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jurkat_lysate_NP40_R1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7000" i="1" l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<sst xmlns="http://schemas.openxmlformats.org/spreadsheetml/2006/main" count="56002" uniqueCount="34733">
  <si>
    <t>Protein_ID</t>
  </si>
  <si>
    <t>plot</t>
  </si>
  <si>
    <t>gene_name</t>
  </si>
  <si>
    <t>uniprot_ac</t>
  </si>
  <si>
    <t>auc</t>
  </si>
  <si>
    <t>plot_link</t>
  </si>
  <si>
    <t>A0AVT1_UBA6</t>
  </si>
  <si>
    <t>A0JNW5_UHRF1BP1L</t>
  </si>
  <si>
    <t>A0MZ66-4_KIAA1598</t>
  </si>
  <si>
    <t>A0PJW6_TMEM223</t>
  </si>
  <si>
    <t>A1A4S6_ARHGAP10</t>
  </si>
  <si>
    <t>A1L0T0_ILVBL</t>
  </si>
  <si>
    <t>A1L188_C17orf89</t>
  </si>
  <si>
    <t>A1X283_SH3PXD2B</t>
  </si>
  <si>
    <t>A2A274_ACO2</t>
  </si>
  <si>
    <t>A2A2D0_STMN1</t>
  </si>
  <si>
    <t>A2A2G4_ALG6</t>
  </si>
  <si>
    <t>A2A2Q9_AAR2</t>
  </si>
  <si>
    <t>A2A2V1_PRNP</t>
  </si>
  <si>
    <t>A2A3N6_PIPSL</t>
  </si>
  <si>
    <t>A2ABK1_NELFE</t>
  </si>
  <si>
    <t>A2RRP1_NBAS</t>
  </si>
  <si>
    <t>A2RU67_KIAA1467</t>
  </si>
  <si>
    <t>A2RUC4_TYW5</t>
  </si>
  <si>
    <t>A2VDF0-2_FUOM</t>
  </si>
  <si>
    <t>A3KMH1-3_VWA8</t>
  </si>
  <si>
    <t>A3KN83-3_SBNO1</t>
  </si>
  <si>
    <t>A4D161-2_FAM221A</t>
  </si>
  <si>
    <t>A4D1E9_GTPBP10</t>
  </si>
  <si>
    <t>A4D1U4_LCHN</t>
  </si>
  <si>
    <t>A4D1W8_UCC1</t>
  </si>
  <si>
    <t>A4D2B0_MBLAC1</t>
  </si>
  <si>
    <t>A5LHX3_PSMB11</t>
  </si>
  <si>
    <t>A5PLL7_TMEM189</t>
  </si>
  <si>
    <t>A5YKK6_CNOT1</t>
  </si>
  <si>
    <t>A6NC98_CCDC88B</t>
  </si>
  <si>
    <t>A6NDG6_PGP</t>
  </si>
  <si>
    <t>A6NDU8_C5orf51</t>
  </si>
  <si>
    <t>A6NED2_RCCD1</t>
  </si>
  <si>
    <t>A6NEM2_HCFC1</t>
  </si>
  <si>
    <t>A6NEM5_PIGK</t>
  </si>
  <si>
    <t>A6NF51_BPNT1</t>
  </si>
  <si>
    <t>A6NFI3_ZNF316</t>
  </si>
  <si>
    <t>A6NFX8_NUDT5</t>
  </si>
  <si>
    <t>A6NG32_CHMP1A</t>
  </si>
  <si>
    <t>A6NG79_PRCC</t>
  </si>
  <si>
    <t>A6NGP5_HN1L</t>
  </si>
  <si>
    <t>A6NHB5_ZMYM3</t>
  </si>
  <si>
    <t>A6NHL2-2_TUBAL3</t>
  </si>
  <si>
    <t>A6NHQ2_FBLL1</t>
  </si>
  <si>
    <t>A6NHR9_SMCHD1</t>
  </si>
  <si>
    <t>A6NHX0_GATSL2</t>
  </si>
  <si>
    <t>A6NIH7_UNC119B</t>
  </si>
  <si>
    <t>A6NIW2_DOCK11</t>
  </si>
  <si>
    <t>A6NIZ0_NDEL1</t>
  </si>
  <si>
    <t>A6NJ78_METTL15</t>
  </si>
  <si>
    <t>A6NJ97_C13orf23</t>
  </si>
  <si>
    <t>A6NK58_LIPT2</t>
  </si>
  <si>
    <t>A6NKD9_CCDC85C</t>
  </si>
  <si>
    <t>A6NKF9_GPR89C</t>
  </si>
  <si>
    <t>A6NLH6_CNIH4</t>
  </si>
  <si>
    <t>A6NMH6_SEPT8</t>
  </si>
  <si>
    <t>A6NML8_DIAPH2</t>
  </si>
  <si>
    <t>A6NMN0_PHKA1</t>
  </si>
  <si>
    <t>A6NMQ1_POLA1</t>
  </si>
  <si>
    <t>A6NMY3_ALMS1</t>
  </si>
  <si>
    <t>A6NN80_ANXA6</t>
  </si>
  <si>
    <t>A6PW57_PIP5K1A</t>
  </si>
  <si>
    <t>A6QL63_BTBD11</t>
  </si>
  <si>
    <t>A8K0B5_ZBTB8OS</t>
  </si>
  <si>
    <t>A8K0M9_SELK</t>
  </si>
  <si>
    <t>A8K186_ZNF276</t>
  </si>
  <si>
    <t>A8MPS7_YDJC</t>
  </si>
  <si>
    <t>A8MQ02_MLLT4</t>
  </si>
  <si>
    <t>A8MQ14_ZNF850</t>
  </si>
  <si>
    <t>A8MT02_SNRPB</t>
  </si>
  <si>
    <t>A8MTG8_ARMC8</t>
  </si>
  <si>
    <t>A8MTY9_DSCR3</t>
  </si>
  <si>
    <t>A8MTZ6_S100PBP</t>
  </si>
  <si>
    <t>A8MUA9_SUMO3</t>
  </si>
  <si>
    <t>A8MUB1_TUBA4A</t>
  </si>
  <si>
    <t>A8MUM1_TSSC1</t>
  </si>
  <si>
    <t>A8MV73_ATF7IP</t>
  </si>
  <si>
    <t>A8MVW0_FAM171A2</t>
  </si>
  <si>
    <t>A8MVZ6_BICD1</t>
  </si>
  <si>
    <t>A8MW61_PLRG1</t>
  </si>
  <si>
    <t>A8MXP9_MATR3</t>
  </si>
  <si>
    <t>A8MYN5_ADH1B</t>
  </si>
  <si>
    <t>A8MZ84_LAIR1</t>
  </si>
  <si>
    <t>A9UHW6_MIF4GD</t>
  </si>
  <si>
    <t>A9Z1X7_SRRM1</t>
  </si>
  <si>
    <t>B0AZU2_KIAA0930</t>
  </si>
  <si>
    <t>B0FLL2_PFKFB2</t>
  </si>
  <si>
    <t>B0I1T2_MYO1G</t>
  </si>
  <si>
    <t>B0QXZ8_HMGXB4</t>
  </si>
  <si>
    <t>B0QY89_EIF3L</t>
  </si>
  <si>
    <t>B0QY95_SMCR7L</t>
  </si>
  <si>
    <t>B0QYI3_TBC1D22A</t>
  </si>
  <si>
    <t>B0QYK0_EWSR1</t>
  </si>
  <si>
    <t>B0UX83_BAG6</t>
  </si>
  <si>
    <t>B0UXB6_ABHD16A</t>
  </si>
  <si>
    <t>B0UZY3_EHMT2</t>
  </si>
  <si>
    <t>B0V043_VARS</t>
  </si>
  <si>
    <t>B0YIW2_APOC3</t>
  </si>
  <si>
    <t>B0YJ81_PTPLA</t>
  </si>
  <si>
    <t>B1AHC6_PHF21B</t>
  </si>
  <si>
    <t>B1AHD1_NHP2L1</t>
  </si>
  <si>
    <t>B1AJU2_TRAF3IP3</t>
  </si>
  <si>
    <t>B1AJY7_PSMD10</t>
  </si>
  <si>
    <t>B1AK13_HMGCL</t>
  </si>
  <si>
    <t>B1AK44_MAD2L2</t>
  </si>
  <si>
    <t>B1AKC9_EPHB2</t>
  </si>
  <si>
    <t>B1AKJ5_NRD1</t>
  </si>
  <si>
    <t>B1AKJ6_OSBPL9</t>
  </si>
  <si>
    <t>B1AKL4_EIF4ENIF1</t>
  </si>
  <si>
    <t>B1AKN7_NFIA</t>
  </si>
  <si>
    <t>B1AKP2_TSPAN2</t>
  </si>
  <si>
    <t>B1AKR6_DYNLRB1</t>
  </si>
  <si>
    <t>B1AKZ5_PEA15</t>
  </si>
  <si>
    <t>B1AL69_CDC37L1</t>
  </si>
  <si>
    <t>B1ALH6_PHYH</t>
  </si>
  <si>
    <t>B1ALK7_ARHGEF7</t>
  </si>
  <si>
    <t>B1ALM5_TMEM9</t>
  </si>
  <si>
    <t>B1AMF0_UBE2J2</t>
  </si>
  <si>
    <t>B1AMS2_SEPT6</t>
  </si>
  <si>
    <t>B1AMU7_EXOSC1</t>
  </si>
  <si>
    <t>B1AMW1_CD58</t>
  </si>
  <si>
    <t>B1AN48_SPRR3</t>
  </si>
  <si>
    <t>B1AN89_EIF4G3</t>
  </si>
  <si>
    <t>B1AN99_PRSS3</t>
  </si>
  <si>
    <t>B1ANH0_GUK1</t>
  </si>
  <si>
    <t>B1AQP1_USF1</t>
  </si>
  <si>
    <t>B1AZV3_TAP1</t>
  </si>
  <si>
    <t>B2WTI3_JMJD6</t>
  </si>
  <si>
    <t>B3FL70_DOCK10.2</t>
  </si>
  <si>
    <t>B3KNQ0_CCDC92</t>
  </si>
  <si>
    <t>B3KPJ4_PHC2</t>
  </si>
  <si>
    <t>B3KRR0_ERCC1</t>
  </si>
  <si>
    <t>B3KS98_EIF3S3</t>
  </si>
  <si>
    <t>B3KSH1_EIF3F</t>
  </si>
  <si>
    <t>B3KSI9_LZTFL1</t>
  </si>
  <si>
    <t>B3KUK2_SOD2</t>
  </si>
  <si>
    <t>B3KUV7_PIGA</t>
  </si>
  <si>
    <t>B3KVH8_PHF23</t>
  </si>
  <si>
    <t>B3KXW5_AP1G1</t>
  </si>
  <si>
    <t>B3KY83_RXRA</t>
  </si>
  <si>
    <t>B3KY94_CDIPT</t>
  </si>
  <si>
    <t>B4DDF4_CNN2</t>
  </si>
  <si>
    <t>B4DDY8_HARS2</t>
  </si>
  <si>
    <t>B4DE60_REEP2</t>
  </si>
  <si>
    <t>B4DEB8_TSPAN7</t>
  </si>
  <si>
    <t>B4DEX5_PRNPIP</t>
  </si>
  <si>
    <t>B4DEZ3_NDUFA13</t>
  </si>
  <si>
    <t>B4DF47_MSTO1</t>
  </si>
  <si>
    <t>B4DF64_HAUS3</t>
  </si>
  <si>
    <t>B4DFI9_HUS1</t>
  </si>
  <si>
    <t>B4DGU4_CTNNB1</t>
  </si>
  <si>
    <t>B4DGX2_PIP4K2A</t>
  </si>
  <si>
    <t>B4DH26_DCUN1D4</t>
  </si>
  <si>
    <t>B4DH53_MAP1S</t>
  </si>
  <si>
    <t>B4DH70_FBXW11</t>
  </si>
  <si>
    <t>B4DHJ7_BNIP3</t>
  </si>
  <si>
    <t>B4DHT5_ACSF2</t>
  </si>
  <si>
    <t>B4DJA5_RAB5A</t>
  </si>
  <si>
    <t>B4DJI5_ISCA1</t>
  </si>
  <si>
    <t>B4DJN2_SLC25A14</t>
  </si>
  <si>
    <t>B4DJN5_PRKCH</t>
  </si>
  <si>
    <t>B4DJP7_SNRPD3</t>
  </si>
  <si>
    <t>B4DJV2_CS</t>
  </si>
  <si>
    <t>B4DJZ1_SLC23A2</t>
  </si>
  <si>
    <t>B4DKF9_ZNF286A</t>
  </si>
  <si>
    <t>B4DL54_CHURC1-FNTB</t>
  </si>
  <si>
    <t>B4DLN1_SLC25A10</t>
  </si>
  <si>
    <t>B4DLT4_RPS6KB1</t>
  </si>
  <si>
    <t>B4DLU3_PGS1</t>
  </si>
  <si>
    <t>B4DLZ9_RNF220</t>
  </si>
  <si>
    <t>B4DMM8_B4GALT1</t>
  </si>
  <si>
    <t>B4DN34_MRPL48</t>
  </si>
  <si>
    <t>B4DNW0_ACY1</t>
  </si>
  <si>
    <t>B4DP21_PTGES3</t>
  </si>
  <si>
    <t>B4DPI2_SARDH</t>
  </si>
  <si>
    <t>B4DPY8_TOX4</t>
  </si>
  <si>
    <t>B4DQE7_HDAC8</t>
  </si>
  <si>
    <t>B4DQI6_TRA2A</t>
  </si>
  <si>
    <t>B4DQJ8_PGD</t>
  </si>
  <si>
    <t>B4DR12_MGRN1</t>
  </si>
  <si>
    <t>B4DR61_SEC61A1</t>
  </si>
  <si>
    <t>B4DRL9_CHM</t>
  </si>
  <si>
    <t>B4DRN8_ZDHHC20</t>
  </si>
  <si>
    <t>B4DS52_TXNDC15</t>
  </si>
  <si>
    <t>B4DSD4_C9orf41</t>
  </si>
  <si>
    <t>B4DSS8_PTBP2</t>
  </si>
  <si>
    <t>B4DT77_ANXA7</t>
  </si>
  <si>
    <t>B4DT96_NUPL2</t>
  </si>
  <si>
    <t>B4DTZ6_SLC9A1</t>
  </si>
  <si>
    <t>B4DUB9_SLC35F2</t>
  </si>
  <si>
    <t>B4DVE7_ANXA11</t>
  </si>
  <si>
    <t>B4DVN5_FHOD1</t>
  </si>
  <si>
    <t>B4DVY1_EIF3D</t>
  </si>
  <si>
    <t>B4DWF2_ZNFN1A2</t>
  </si>
  <si>
    <t>B4DWI1_HACL1</t>
  </si>
  <si>
    <t>B4DXP9_ACTR1A</t>
  </si>
  <si>
    <t>B4DXZ6_FXR1</t>
  </si>
  <si>
    <t>B4DYB4_NUP35</t>
  </si>
  <si>
    <t>B4DZH6_HDAC6</t>
  </si>
  <si>
    <t>B4E0E3_TMEM134</t>
  </si>
  <si>
    <t>B4E0T2_PEX5</t>
  </si>
  <si>
    <t>B4E0T7_LRCH3</t>
  </si>
  <si>
    <t>B4E0Y9_MST4</t>
  </si>
  <si>
    <t>B4E1G1_DERL1</t>
  </si>
  <si>
    <t>B4E1Q4_RIOK3</t>
  </si>
  <si>
    <t>B4E241_SFRS3</t>
  </si>
  <si>
    <t>B4E2S7_LAMP2</t>
  </si>
  <si>
    <t>B4E2V5_STOM</t>
  </si>
  <si>
    <t>B4E2X3_METTL13</t>
  </si>
  <si>
    <t>B4E3Q1_CLSTN1</t>
  </si>
  <si>
    <t>B4E3Q4_CECR1</t>
  </si>
  <si>
    <t>B5MBW9_CHCHD10</t>
  </si>
  <si>
    <t>B5MBX5_LBH</t>
  </si>
  <si>
    <t>B5MC51_LIMK2</t>
  </si>
  <si>
    <t>B5MC53_MPV17</t>
  </si>
  <si>
    <t>B5MCD7_SYNGR1</t>
  </si>
  <si>
    <t>B5MCF9_PES1</t>
  </si>
  <si>
    <t>B5MCN7_NCOA1</t>
  </si>
  <si>
    <t>B5MCT7_PPM1F</t>
  </si>
  <si>
    <t>B5MCT9_STXBP4</t>
  </si>
  <si>
    <t>B5MD23_TSPAN9</t>
  </si>
  <si>
    <t>B5MDB6_NLRC3</t>
  </si>
  <si>
    <t>B5MDE0_RFT1</t>
  </si>
  <si>
    <t>B5MDU6_C2orf43</t>
  </si>
  <si>
    <t>B7WNT5_TCF7</t>
  </si>
  <si>
    <t>B7WP27_CWC22</t>
  </si>
  <si>
    <t>B7WPE2_EML3</t>
  </si>
  <si>
    <t>B7Z1R5_ATP6V1A</t>
  </si>
  <si>
    <t>B7Z254_PDIA6</t>
  </si>
  <si>
    <t>B7Z2B2_MFSD8</t>
  </si>
  <si>
    <t>B7Z2S5_TXNRD1</t>
  </si>
  <si>
    <t>B7Z3I9_ALAD</t>
  </si>
  <si>
    <t>B7Z3K1_TMEM128</t>
  </si>
  <si>
    <t>B7Z3P1_TBCE</t>
  </si>
  <si>
    <t>B7Z3P4_FMO1</t>
  </si>
  <si>
    <t>B7Z463_NPEPPS</t>
  </si>
  <si>
    <t>B7Z4K6_DNASE2</t>
  </si>
  <si>
    <t>B7Z4R0_ERF</t>
  </si>
  <si>
    <t>B7Z4R5_P2RX4</t>
  </si>
  <si>
    <t>B7Z4T2_ACPL2</t>
  </si>
  <si>
    <t>B7Z4V9_INPP5K</t>
  </si>
  <si>
    <t>B7Z4W5_CCBL1</t>
  </si>
  <si>
    <t>B7Z5G4_STMN3</t>
  </si>
  <si>
    <t>B7Z5W1_F11R</t>
  </si>
  <si>
    <t>B7Z662_SLC27A1</t>
  </si>
  <si>
    <t>B7Z6B8_DECR1</t>
  </si>
  <si>
    <t>B7Z6M4_TNFAIP1</t>
  </si>
  <si>
    <t>B7Z779_TMEM106A</t>
  </si>
  <si>
    <t>B7Z798_ZNF558</t>
  </si>
  <si>
    <t>B7Z7G5_TRUB2</t>
  </si>
  <si>
    <t>B7Z7H3_ZKSCAN4</t>
  </si>
  <si>
    <t>B7Z7X8_ATL2</t>
  </si>
  <si>
    <t>B7Z815_USP7</t>
  </si>
  <si>
    <t>B7Z817_DHCR24</t>
  </si>
  <si>
    <t>B7Z902_EMB</t>
  </si>
  <si>
    <t>B7Z9I3_ATP6AP2</t>
  </si>
  <si>
    <t>B7Z9S8_ATP1B1</t>
  </si>
  <si>
    <t>B7ZAA0_PMS1</t>
  </si>
  <si>
    <t>B7ZC38_SH3GLB2</t>
  </si>
  <si>
    <t>B7ZKK9_PPP2R5E</t>
  </si>
  <si>
    <t>B7ZKP8_UBXN2A</t>
  </si>
  <si>
    <t>B7ZKQ9_SCARB1</t>
  </si>
  <si>
    <t>B7ZL88_COX18</t>
  </si>
  <si>
    <t>B7ZLM8_GCHFR</t>
  </si>
  <si>
    <t>B7ZLZ0_GMIP</t>
  </si>
  <si>
    <t>B7ZLZ2_EDEM3</t>
  </si>
  <si>
    <t>B8X2Z3_RLTPR</t>
  </si>
  <si>
    <t>B8ZZI7_CATSPERG</t>
  </si>
  <si>
    <t>B8ZZN6_SUMO1</t>
  </si>
  <si>
    <t>B8ZZQ6_PTMA</t>
  </si>
  <si>
    <t>B8ZZU6_ATF2</t>
  </si>
  <si>
    <t>B8ZZV9_COQ10B</t>
  </si>
  <si>
    <t>B9A008_IMP4</t>
  </si>
  <si>
    <t>B9A018_USP39</t>
  </si>
  <si>
    <t>B9A054_RHBDD1</t>
  </si>
  <si>
    <t>B9A057_COA5</t>
  </si>
  <si>
    <t>B9EGH5_PLCB2</t>
  </si>
  <si>
    <t>C0H5X6_PEX7</t>
  </si>
  <si>
    <t>C0H5Y7_BAK1</t>
  </si>
  <si>
    <t>C1IDX9_ATG12</t>
  </si>
  <si>
    <t>C4AMC7_WASH3P</t>
  </si>
  <si>
    <t>C7C5T7_LAT</t>
  </si>
  <si>
    <t>C9IZW8_NDUFB2</t>
  </si>
  <si>
    <t>C9J0I9_ZC3HC1</t>
  </si>
  <si>
    <t>C9J0J7_PFN2</t>
  </si>
  <si>
    <t>C9J0K6_SRI</t>
  </si>
  <si>
    <t>C9J191_KLHL22</t>
  </si>
  <si>
    <t>C9J1K8_MEGF9</t>
  </si>
  <si>
    <t>C9J1X0_WDR91</t>
  </si>
  <si>
    <t>C9J212_UBE2F</t>
  </si>
  <si>
    <t>C9J2P0_UBE2E1</t>
  </si>
  <si>
    <t>C9J2P9_CBLL1</t>
  </si>
  <si>
    <t>C9J2U4_TAMM41</t>
  </si>
  <si>
    <t>C9J2Y9_POLR2B</t>
  </si>
  <si>
    <t>C9J381_IMPDH1</t>
  </si>
  <si>
    <t>C9J384_CMSS1</t>
  </si>
  <si>
    <t>C9J3D7_CROT</t>
  </si>
  <si>
    <t>C9J3G2_CBWD2</t>
  </si>
  <si>
    <t>C9J4S7_SLC37A3</t>
  </si>
  <si>
    <t>C9J5C3_PDCD10</t>
  </si>
  <si>
    <t>C9J5W6_TAGLN3</t>
  </si>
  <si>
    <t>C9J6N5_FAM107B</t>
  </si>
  <si>
    <t>C9J6N9_UFD1L</t>
  </si>
  <si>
    <t>C9J6W2_KIF20B</t>
  </si>
  <si>
    <t>C9J712_PFN2</t>
  </si>
  <si>
    <t>C9J7E5_TNPO3</t>
  </si>
  <si>
    <t>C9J7K9_PLSCR1</t>
  </si>
  <si>
    <t>C9J8B8_HDAC10</t>
  </si>
  <si>
    <t>C9J929_PHF15</t>
  </si>
  <si>
    <t>C9J975_AGAP3</t>
  </si>
  <si>
    <t>C9J9K3_RPSA</t>
  </si>
  <si>
    <t>C9JA07_COA1</t>
  </si>
  <si>
    <t>C9JA08_NMD3</t>
  </si>
  <si>
    <t>C9JA28_SSR3</t>
  </si>
  <si>
    <t>C9JAB2_SRSF7</t>
  </si>
  <si>
    <t>C9JAX1_FXN</t>
  </si>
  <si>
    <t>C9JB13_BSDC1</t>
  </si>
  <si>
    <t>C9JBL1_SPCS1</t>
  </si>
  <si>
    <t>C9JBY7_MRPS33</t>
  </si>
  <si>
    <t>C9JCC6_DRAP1</t>
  </si>
  <si>
    <t>C9JCU6_MAP4K2</t>
  </si>
  <si>
    <t>C9JDZ2_FAIM</t>
  </si>
  <si>
    <t>C9JE12_TMUB1</t>
  </si>
  <si>
    <t>C9JE82_CACNA2D2</t>
  </si>
  <si>
    <t>C9JE98_NCOR2</t>
  </si>
  <si>
    <t>C9JEH7_RPS4Y1</t>
  </si>
  <si>
    <t>C9JEL3_EIF4E2</t>
  </si>
  <si>
    <t>C9JF58_OSCP1</t>
  </si>
  <si>
    <t>C9JF66_TRAT1</t>
  </si>
  <si>
    <t>C9JFE4_GPS1</t>
  </si>
  <si>
    <t>C9JFR7_CYCS</t>
  </si>
  <si>
    <t>C9JG41_ITM2C</t>
  </si>
  <si>
    <t>C9JG97_AAMP</t>
  </si>
  <si>
    <t>C9JIF9_APEH</t>
  </si>
  <si>
    <t>C9JIZ6_PSAP</t>
  </si>
  <si>
    <t>C9JJ19_MRPS34</t>
  </si>
  <si>
    <t>C9JJN9_VPS8</t>
  </si>
  <si>
    <t>C9JJU1_SLC38A5</t>
  </si>
  <si>
    <t>C9JLU1_POLR2H</t>
  </si>
  <si>
    <t>C9JLV4_APAF1</t>
  </si>
  <si>
    <t>C9JNE2_OARD1</t>
  </si>
  <si>
    <t>C9JP00_MBNL1</t>
  </si>
  <si>
    <t>C9JP16_CRTAP</t>
  </si>
  <si>
    <t>C9JPL0_CCNL1</t>
  </si>
  <si>
    <t>C9JPP2_NKIRAS2</t>
  </si>
  <si>
    <t>C9JPX5_STARD3NL</t>
  </si>
  <si>
    <t>C9JQ41_CCDC58</t>
  </si>
  <si>
    <t>C9JQV0_C7orf50</t>
  </si>
  <si>
    <t>C9JRY4_SEC22A</t>
  </si>
  <si>
    <t>C9JRZ6_CHCHD3</t>
  </si>
  <si>
    <t>C9JRZ8-2_AKR1B15</t>
  </si>
  <si>
    <t>C9JTB0_IKZF1</t>
  </si>
  <si>
    <t>C9JTC0_DGKB</t>
  </si>
  <si>
    <t>C9JVP0_FOXJ3</t>
  </si>
  <si>
    <t>C9JXA2_EPHA3</t>
  </si>
  <si>
    <t>C9JXB8_RPL24</t>
  </si>
  <si>
    <t>C9JXX7_ITGA6</t>
  </si>
  <si>
    <t>C9JY06_NUDT22</t>
  </si>
  <si>
    <t>C9JYJ0_RAD51B</t>
  </si>
  <si>
    <t>C9JYM0_POP7</t>
  </si>
  <si>
    <t>C9JYN0_SYPL1</t>
  </si>
  <si>
    <t>C9JYQ9_RPL22L1</t>
  </si>
  <si>
    <t>C9JZR4_ARFGAP3</t>
  </si>
  <si>
    <t>C9JZR7_ACTB</t>
  </si>
  <si>
    <t>C9JZY6_UBE2H</t>
  </si>
  <si>
    <t>C9K044_XAF1</t>
  </si>
  <si>
    <t>C9K0X5_SNUPN</t>
  </si>
  <si>
    <t>D0FY33_BTN3A3</t>
  </si>
  <si>
    <t>D3DPN2_SDC3</t>
  </si>
  <si>
    <t>D3DQV9_EIF4G2</t>
  </si>
  <si>
    <t>D3DWF9_XPO6</t>
  </si>
  <si>
    <t>D3K174_SLC4A7</t>
  </si>
  <si>
    <t>D3YHP0_CXADR</t>
  </si>
  <si>
    <t>D3YTB1_RPL32</t>
  </si>
  <si>
    <t>D3YTE0_KRI1</t>
  </si>
  <si>
    <t>D3YTE1_PHF20L1</t>
  </si>
  <si>
    <t>D3YTG6_NDOR1</t>
  </si>
  <si>
    <t>D3YTI9_TAPBP</t>
  </si>
  <si>
    <t>D6R992_RELB</t>
  </si>
  <si>
    <t>D6R9P3_HNRNPAB</t>
  </si>
  <si>
    <t>D6R9U7_POLR3G</t>
  </si>
  <si>
    <t>D6R9Z7_COX7C</t>
  </si>
  <si>
    <t>D6RA89_PEX10</t>
  </si>
  <si>
    <t>D6RAD4_CDK7</t>
  </si>
  <si>
    <t>D6RAR3_TMEM161B</t>
  </si>
  <si>
    <t>D6RAT4_CNBP</t>
  </si>
  <si>
    <t>D6RB34_IRF2</t>
  </si>
  <si>
    <t>D6RB81_AMACR</t>
  </si>
  <si>
    <t>D6RBW1_EIF4E</t>
  </si>
  <si>
    <t>D6RCD0_HSD17B11</t>
  </si>
  <si>
    <t>D6RCD9_TMEM175</t>
  </si>
  <si>
    <t>D6RCM8_TNFAIP8</t>
  </si>
  <si>
    <t>D6RD17_IGJ</t>
  </si>
  <si>
    <t>D6RD25_PRELID1</t>
  </si>
  <si>
    <t>D6RDV0_TUSC3</t>
  </si>
  <si>
    <t>D6RDY9_SLC35B1</t>
  </si>
  <si>
    <t>D6REA0_PET112</t>
  </si>
  <si>
    <t>D6REB5_IDUA</t>
  </si>
  <si>
    <t>D6REL0_CDC42SE2</t>
  </si>
  <si>
    <t>D6REL5_FAM175A</t>
  </si>
  <si>
    <t>D6REM4_CSNK1A1</t>
  </si>
  <si>
    <t>D6REX3_SEC31A</t>
  </si>
  <si>
    <t>D6RF48_STX18</t>
  </si>
  <si>
    <t>D6RFG8_DCK</t>
  </si>
  <si>
    <t>D6RGI3_SEPT11</t>
  </si>
  <si>
    <t>D6RH17_ADH6</t>
  </si>
  <si>
    <t>D6RHD3_CENPK</t>
  </si>
  <si>
    <t>D6RHG7_SERINC5</t>
  </si>
  <si>
    <t>D6RHI7_CCNH</t>
  </si>
  <si>
    <t>D6RHI9_RNASET2</t>
  </si>
  <si>
    <t>D6RI11_CPLX1</t>
  </si>
  <si>
    <t>D6RIE3_COX7A2</t>
  </si>
  <si>
    <t>D6RIE5_RNF150</t>
  </si>
  <si>
    <t>D6RIF6_SLAIN2</t>
  </si>
  <si>
    <t>D6RJ07_ZNF346</t>
  </si>
  <si>
    <t>D6RJ90_COMMD10</t>
  </si>
  <si>
    <t>D6W592_HNRPLL</t>
  </si>
  <si>
    <t>E2QRF9_GMNN</t>
  </si>
  <si>
    <t>E2QRH7_ELOVL5</t>
  </si>
  <si>
    <t>E5RFE7_CA1</t>
  </si>
  <si>
    <t>E5RFJ1_NSMCE2</t>
  </si>
  <si>
    <t>E5RFU2_EPHX2</t>
  </si>
  <si>
    <t>E5RFX7_PROSC</t>
  </si>
  <si>
    <t>E5RG04_</t>
  </si>
  <si>
    <t>E5RG17_TATDN1</t>
  </si>
  <si>
    <t>E5RG44_TRIQK</t>
  </si>
  <si>
    <t>E5RGQ3_RWDD1</t>
  </si>
  <si>
    <t>E5RGW4_NPM1</t>
  </si>
  <si>
    <t>E5RGX5_STMN2</t>
  </si>
  <si>
    <t>E5RHC1_PPP2CB</t>
  </si>
  <si>
    <t>E5RHG8_TCEB1</t>
  </si>
  <si>
    <t>E5RHG9_UQCRB</t>
  </si>
  <si>
    <t>E5RI52_C5orf45</t>
  </si>
  <si>
    <t>E5RI87_RNF130</t>
  </si>
  <si>
    <t>E5RIH5_TTI2</t>
  </si>
  <si>
    <t>E5RIP7_IMPA1</t>
  </si>
  <si>
    <t>E5RIY0_TMEM55A</t>
  </si>
  <si>
    <t>E5RJ08_CHCHD7</t>
  </si>
  <si>
    <t>E5RJ99_ZFAND1</t>
  </si>
  <si>
    <t>E5RJI7_MRPL13</t>
  </si>
  <si>
    <t>E5RJJ7_LY96</t>
  </si>
  <si>
    <t>E5RJR5_SKP1</t>
  </si>
  <si>
    <t>E5RK82_CETN3</t>
  </si>
  <si>
    <t>E7EM50_PIGG</t>
  </si>
  <si>
    <t>E7EM64_COPS6</t>
  </si>
  <si>
    <t>E7EM95_RNF5</t>
  </si>
  <si>
    <t>E7EMA9_ATHL1</t>
  </si>
  <si>
    <t>E7EMD6_AKAP10</t>
  </si>
  <si>
    <t>E7EMM4_ASAH1</t>
  </si>
  <si>
    <t>E7EMN6_PPP1R2</t>
  </si>
  <si>
    <t>E7EMV7_TNIP1</t>
  </si>
  <si>
    <t>E7EN19_MAP4K4</t>
  </si>
  <si>
    <t>E7EN67_COCH</t>
  </si>
  <si>
    <t>E7EN73_KIAA0319L</t>
  </si>
  <si>
    <t>E7ENA9_NCSTN</t>
  </si>
  <si>
    <t>E7ENK0_CALCOCO2</t>
  </si>
  <si>
    <t>E7ENR4_HK1</t>
  </si>
  <si>
    <t>E7ENU4_ADAR</t>
  </si>
  <si>
    <t>E7ENW2_CBLB</t>
  </si>
  <si>
    <t>E7ENX6_LRFN4</t>
  </si>
  <si>
    <t>E7EP17_DNAH9</t>
  </si>
  <si>
    <t>E7EP72_C19orf25</t>
  </si>
  <si>
    <t>E7EPB3_RPL14</t>
  </si>
  <si>
    <t>E7EPD0_TOM1</t>
  </si>
  <si>
    <t>E7EPF0_ZCCHC17</t>
  </si>
  <si>
    <t>E7EPL4_PDXDC1</t>
  </si>
  <si>
    <t>E7EPT4_NDUFV2</t>
  </si>
  <si>
    <t>E7EQ45_AP5M1</t>
  </si>
  <si>
    <t>E7EQ69_NAA50</t>
  </si>
  <si>
    <t>E7EQB2_LTF</t>
  </si>
  <si>
    <t>E7EQH1_BBS1</t>
  </si>
  <si>
    <t>E7EQL8_TUBGCP6</t>
  </si>
  <si>
    <t>E7EQN6_SENP6</t>
  </si>
  <si>
    <t>E7EQR8_YIPF3</t>
  </si>
  <si>
    <t>E7EQT4_ACIN1</t>
  </si>
  <si>
    <t>E7EQV9_RPL15</t>
  </si>
  <si>
    <t>E7EQY4_MTA3</t>
  </si>
  <si>
    <t>E7EQZ4_SMN1</t>
  </si>
  <si>
    <t>E7ER81_FAM193B</t>
  </si>
  <si>
    <t>E7ERC6_ATP2C1</t>
  </si>
  <si>
    <t>E7ERR0_KLHDC3</t>
  </si>
  <si>
    <t>E7ERS3_ZC3H18</t>
  </si>
  <si>
    <t>E7ERU0_DST</t>
  </si>
  <si>
    <t>E7ES43_HSPA4L</t>
  </si>
  <si>
    <t>E7ESC9_WDR17</t>
  </si>
  <si>
    <t>E7ESL0_MRPL22</t>
  </si>
  <si>
    <t>E7ESM9_CAST</t>
  </si>
  <si>
    <t>E7ESU6_SLC38A9</t>
  </si>
  <si>
    <t>E7ESU7_CTBP1</t>
  </si>
  <si>
    <t>E7ESZ7_NDUFA10</t>
  </si>
  <si>
    <t>E7ET15_U2SURP</t>
  </si>
  <si>
    <t>E7ET31_CD1E</t>
  </si>
  <si>
    <t>E7ETB3_DNPEP</t>
  </si>
  <si>
    <t>E7ETK0_RPS24</t>
  </si>
  <si>
    <t>E7ETM6_SYS1</t>
  </si>
  <si>
    <t>E7ETP9_LAMP3</t>
  </si>
  <si>
    <t>E7ETU5_RBMS1</t>
  </si>
  <si>
    <t>E7ETY4_MARK2</t>
  </si>
  <si>
    <t>E7ETZ4_BZW2</t>
  </si>
  <si>
    <t>E7ETZ8_MAP9</t>
  </si>
  <si>
    <t>E7EU09_FGFR1</t>
  </si>
  <si>
    <t>E7EU13_ARAP1</t>
  </si>
  <si>
    <t>E7EU23_GDI2</t>
  </si>
  <si>
    <t>E7EU35_PITPNC1</t>
  </si>
  <si>
    <t>E7EU96_CSNK2A1</t>
  </si>
  <si>
    <t>E7EUC7_UGP2</t>
  </si>
  <si>
    <t>E7EUE1_ABCD3</t>
  </si>
  <si>
    <t>E7EUG4_GNA12</t>
  </si>
  <si>
    <t>E7EUM5_NUP54</t>
  </si>
  <si>
    <t>E7EUY5_SSBP1</t>
  </si>
  <si>
    <t>E7EV01_CAPN5</t>
  </si>
  <si>
    <t>E7EV46_PGBD3</t>
  </si>
  <si>
    <t>E7EVA0_MAP4</t>
  </si>
  <si>
    <t>E7EVC7_ATG16L1</t>
  </si>
  <si>
    <t>E7EVH9_HDHD1</t>
  </si>
  <si>
    <t>E7EVJ5_CYFIP2</t>
  </si>
  <si>
    <t>E7EVK2_MTG1</t>
  </si>
  <si>
    <t>E7EVM2_TAL1</t>
  </si>
  <si>
    <t>E7EVT1_DDR1</t>
  </si>
  <si>
    <t>E7EVZ3_RAI1</t>
  </si>
  <si>
    <t>E7EW26_RNF145</t>
  </si>
  <si>
    <t>E7EW32_MON1B</t>
  </si>
  <si>
    <t>E7EW77_ABI2</t>
  </si>
  <si>
    <t>E7EW84_EXOC6</t>
  </si>
  <si>
    <t>E7EWM3_ZMIZ2</t>
  </si>
  <si>
    <t>E7EWW0_C16orf62</t>
  </si>
  <si>
    <t>E7EX01_MPP2</t>
  </si>
  <si>
    <t>E7EX17_EIF4B</t>
  </si>
  <si>
    <t>E7EX73_EIF4G1</t>
  </si>
  <si>
    <t>E7EX90_DCTN1</t>
  </si>
  <si>
    <t>E9PAU2_RAVER1</t>
  </si>
  <si>
    <t>E9PB28_HES4</t>
  </si>
  <si>
    <t>E9PB61_ALYREF</t>
  </si>
  <si>
    <t>E9PBJ0_MUC5B</t>
  </si>
  <si>
    <t>E9PBJ5_SDHA</t>
  </si>
  <si>
    <t>E9PC26_BUB1</t>
  </si>
  <si>
    <t>E9PC50_GIGYF2</t>
  </si>
  <si>
    <t>E9PC62_CELF2</t>
  </si>
  <si>
    <t>E9PC74_EIF2B5</t>
  </si>
  <si>
    <t>E9PC87_TMCC1</t>
  </si>
  <si>
    <t>E9PCH4_FNIP1</t>
  </si>
  <si>
    <t>E9PCQ3_USP15</t>
  </si>
  <si>
    <t>E9PCV0_GUSB</t>
  </si>
  <si>
    <t>E9PCW1_GOSR1</t>
  </si>
  <si>
    <t>E9PD50_SMG7</t>
  </si>
  <si>
    <t>E9PD55_RCAN1</t>
  </si>
  <si>
    <t>E9PDF6_MYO1B</t>
  </si>
  <si>
    <t>E9PDR0_PCCB</t>
  </si>
  <si>
    <t>E9PDU5_WDR6</t>
  </si>
  <si>
    <t>E9PEC4_CCM2</t>
  </si>
  <si>
    <t>E9PEE8_ITGB6</t>
  </si>
  <si>
    <t>E9PEL9_SYNE1</t>
  </si>
  <si>
    <t>E9PEN8_XPO7</t>
  </si>
  <si>
    <t>E9PER1_DIP2A</t>
  </si>
  <si>
    <t>E9PEZ3_DIAPH1</t>
  </si>
  <si>
    <t>E9PF18_HADH</t>
  </si>
  <si>
    <t>E9PF19_TBL2</t>
  </si>
  <si>
    <t>E9PFK9_RABGEF1</t>
  </si>
  <si>
    <t>E9PFP8_PCBP3</t>
  </si>
  <si>
    <t>E9PFR3_PPP2R5D</t>
  </si>
  <si>
    <t>E9PFU9_ZFAND2B</t>
  </si>
  <si>
    <t>E9PG19_FCHSD2</t>
  </si>
  <si>
    <t>E9PG22_CEP97</t>
  </si>
  <si>
    <t>E9PG35_MCCC1</t>
  </si>
  <si>
    <t>E9PGC0_RASA1</t>
  </si>
  <si>
    <t>E9PGC8_MAP1A</t>
  </si>
  <si>
    <t>E9PGE5_TBC1D23</t>
  </si>
  <si>
    <t>E9PGF9_MGEA5</t>
  </si>
  <si>
    <t>E9PGQ0_SLC25A44</t>
  </si>
  <si>
    <t>E9PGQ4_FNBP1</t>
  </si>
  <si>
    <t>E9PGT1_TSN</t>
  </si>
  <si>
    <t>E9PGT3_RPS6KA1</t>
  </si>
  <si>
    <t>E9PGT6_COPS8</t>
  </si>
  <si>
    <t>E9PH29_PRDX3</t>
  </si>
  <si>
    <t>E9PHG5_CYP20A1</t>
  </si>
  <si>
    <t>E9PHY5_EPB41L2</t>
  </si>
  <si>
    <t>E9PI30_CTSW</t>
  </si>
  <si>
    <t>E9PI68_SPCS2</t>
  </si>
  <si>
    <t>E9PIE4_MTCH2</t>
  </si>
  <si>
    <t>E9PIM6_THY1</t>
  </si>
  <si>
    <t>E9PIP3_GPSM3</t>
  </si>
  <si>
    <t>E9PJ24_PHRF1</t>
  </si>
  <si>
    <t>E9PJ55_TCP11L1</t>
  </si>
  <si>
    <t>E9PJ81_UBXN1</t>
  </si>
  <si>
    <t>E9PJB2_C11orf73</t>
  </si>
  <si>
    <t>E9PJD7_CYHR1</t>
  </si>
  <si>
    <t>E9PJK1_CD81</t>
  </si>
  <si>
    <t>E9PJM3_FBXO3</t>
  </si>
  <si>
    <t>E9PK01_EEF1D</t>
  </si>
  <si>
    <t>E9PK67_PARP10</t>
  </si>
  <si>
    <t>E9PK91_BCLAF1</t>
  </si>
  <si>
    <t>E9PKA7_RCE1</t>
  </si>
  <si>
    <t>E9PKC0_PLEKHA7</t>
  </si>
  <si>
    <t>E9PKE4_SLC52A2</t>
  </si>
  <si>
    <t>E9PKG1_PRMT1</t>
  </si>
  <si>
    <t>E9PKN9_TP53I11</t>
  </si>
  <si>
    <t>E9PKQ5_CCDC90B</t>
  </si>
  <si>
    <t>E9PKV2_MRPL17</t>
  </si>
  <si>
    <t>E9PKV8_TTC9C</t>
  </si>
  <si>
    <t>E9PKZ0_RPL8</t>
  </si>
  <si>
    <t>E9PL10_BTF3L4</t>
  </si>
  <si>
    <t>E9PL17_CLP1</t>
  </si>
  <si>
    <t>E9PL33_EI24</t>
  </si>
  <si>
    <t>E9PL57_NEDD8-MDP1</t>
  </si>
  <si>
    <t>E9PLD3_</t>
  </si>
  <si>
    <t>E9PLJ2_CHIA</t>
  </si>
  <si>
    <t>E9PLK3_NPEPPS</t>
  </si>
  <si>
    <t>E9PLL6_RPL27A</t>
  </si>
  <si>
    <t>E9PLM7_BRSK2</t>
  </si>
  <si>
    <t>E9PM46_USP47</t>
  </si>
  <si>
    <t>E9PM92_C11orf58</t>
  </si>
  <si>
    <t>E9PMH5_BIRC2</t>
  </si>
  <si>
    <t>E9PMI6_CLNS1A</t>
  </si>
  <si>
    <t>E9PMJ2_FAM118B</t>
  </si>
  <si>
    <t>E9PMM3_PEX16</t>
  </si>
  <si>
    <t>E9PMQ6_HSF1</t>
  </si>
  <si>
    <t>E9PMR4_CD151</t>
  </si>
  <si>
    <t>E9PMS6_LMO7</t>
  </si>
  <si>
    <t>E9PMU5_MANEAL</t>
  </si>
  <si>
    <t>E9PN39_MTFR2</t>
  </si>
  <si>
    <t>E9PN89_HSPA8</t>
  </si>
  <si>
    <t>E9PND3_EBAG9</t>
  </si>
  <si>
    <t>E9PNP3_AAMDC</t>
  </si>
  <si>
    <t>E9PNT2_ARHGAP27</t>
  </si>
  <si>
    <t>E9PNW4_CD59</t>
  </si>
  <si>
    <t>E9PP40_LRRC14</t>
  </si>
  <si>
    <t>E9PPU0_EPPK1</t>
  </si>
  <si>
    <t>E9PPZ9_GPAA1</t>
  </si>
  <si>
    <t>E9PQ62_VWA5B1</t>
  </si>
  <si>
    <t>E9PQ63_CBR1</t>
  </si>
  <si>
    <t>E9PQY3_ACP2</t>
  </si>
  <si>
    <t>E9PQZ2_ST3GAL4</t>
  </si>
  <si>
    <t>E9PR30_FAU</t>
  </si>
  <si>
    <t>E9PR46_DDX25</t>
  </si>
  <si>
    <t>E9PR76_MAF1</t>
  </si>
  <si>
    <t>E9PRK7_ARL14EP</t>
  </si>
  <si>
    <t>E9PRM7_SLC22A18</t>
  </si>
  <si>
    <t>E9PRY8_EEF1D</t>
  </si>
  <si>
    <t>E9PS17_SCYL1</t>
  </si>
  <si>
    <t>E9PS38_NEDD8-MDP1</t>
  </si>
  <si>
    <t>E9PS47_PTDSS2</t>
  </si>
  <si>
    <t>E9PS74_SLC43A3</t>
  </si>
  <si>
    <t>E9PSB8_SMCO4</t>
  </si>
  <si>
    <t>E9PSH8_CD3E</t>
  </si>
  <si>
    <t>E9PSI1_TM9SF1</t>
  </si>
  <si>
    <t>F2Z2A7_KDM1B</t>
  </si>
  <si>
    <t>F2Z2B9_TUBGCP2</t>
  </si>
  <si>
    <t>F2Z2U4_TRRAP</t>
  </si>
  <si>
    <t>F2Z2U8_MYH14</t>
  </si>
  <si>
    <t>F2Z2V1_FGGY</t>
  </si>
  <si>
    <t>F2Z2W7_TRMT2A</t>
  </si>
  <si>
    <t>F2Z2X4_XPO4</t>
  </si>
  <si>
    <t>F2Z3A6_VEZT</t>
  </si>
  <si>
    <t>F2Z3I4_ARRDC1</t>
  </si>
  <si>
    <t>F2Z3L0_SHANK3</t>
  </si>
  <si>
    <t>F5GWD3_GTF2H3</t>
  </si>
  <si>
    <t>F5GWH5_TMEM258</t>
  </si>
  <si>
    <t>F5GWI9_CCDC53</t>
  </si>
  <si>
    <t>F5GWJ5_ROBO3</t>
  </si>
  <si>
    <t>F5GWT4_WNK1</t>
  </si>
  <si>
    <t>F5GWU7_SMAD5</t>
  </si>
  <si>
    <t>F5GWX5_CHD4</t>
  </si>
  <si>
    <t>F5GWY5_PODXL</t>
  </si>
  <si>
    <t>F5GX09_FAM76B</t>
  </si>
  <si>
    <t>F5GX28_KDM4B</t>
  </si>
  <si>
    <t>F5GX68_DNMT1</t>
  </si>
  <si>
    <t>F5GX82_FRYL</t>
  </si>
  <si>
    <t>F5GXA6_HLA-C</t>
  </si>
  <si>
    <t>F5GXC3_TRAPPC13</t>
  </si>
  <si>
    <t>F5GXC8_SUCLA2</t>
  </si>
  <si>
    <t>F5GXE4_ATE1</t>
  </si>
  <si>
    <t>F5GXF9_AFF1</t>
  </si>
  <si>
    <t>F5GXI4_PTPRK</t>
  </si>
  <si>
    <t>F5GXJ4_STIM2</t>
  </si>
  <si>
    <t>F5GXK8_DNAJB11</t>
  </si>
  <si>
    <t>F5GXU7_SH2B1</t>
  </si>
  <si>
    <t>F5GXX5_DAD1</t>
  </si>
  <si>
    <t>F5GY92_GPBP1</t>
  </si>
  <si>
    <t>F5GY99_GALNT1</t>
  </si>
  <si>
    <t>F5GYC4_RPS6KA3</t>
  </si>
  <si>
    <t>F5GYE0_KCNK4</t>
  </si>
  <si>
    <t>F5GYN4_OTUB1</t>
  </si>
  <si>
    <t>F5GYQ1_ATP6V0D1</t>
  </si>
  <si>
    <t>F5GYV3_TM7SF2</t>
  </si>
  <si>
    <t>F5GZ78_PXN</t>
  </si>
  <si>
    <t>F5GZ90_DTL</t>
  </si>
  <si>
    <t>F5GZG6_TPK1</t>
  </si>
  <si>
    <t>F5GZK1_EXTL2</t>
  </si>
  <si>
    <t>F5GZL6_ABLIM2</t>
  </si>
  <si>
    <t>F5GZS0_DHX36</t>
  </si>
  <si>
    <t>F5GZS6_SLC3A2</t>
  </si>
  <si>
    <t>F5GZX9_FAM120B</t>
  </si>
  <si>
    <t>F5H012_TRIM21</t>
  </si>
  <si>
    <t>F5H029_FAM65B</t>
  </si>
  <si>
    <t>F5H050_DYNC1I1</t>
  </si>
  <si>
    <t>F5H081_SLC2A4</t>
  </si>
  <si>
    <t>F5H0B0_TPD52</t>
  </si>
  <si>
    <t>F5H0F9_ANAPC5</t>
  </si>
  <si>
    <t>F5H0I3_SOX5</t>
  </si>
  <si>
    <t>F5H0L8_SEC23IP</t>
  </si>
  <si>
    <t>F5H0Q6_CLASRP</t>
  </si>
  <si>
    <t>F5H0R1_TUT1</t>
  </si>
  <si>
    <t>F5H136_TCP1</t>
  </si>
  <si>
    <t>F5H148_RRN3</t>
  </si>
  <si>
    <t>F5H1B8_PLEKHB1</t>
  </si>
  <si>
    <t>F5H1D6_POLE</t>
  </si>
  <si>
    <t>F5H1F3_FBLN2</t>
  </si>
  <si>
    <t>F5H1G9_ABI1</t>
  </si>
  <si>
    <t>F5H1L4_TXNRD2</t>
  </si>
  <si>
    <t>F5H1N7_KIAA1211</t>
  </si>
  <si>
    <t>F5H1R7_FLJ22184</t>
  </si>
  <si>
    <t>F5H1U2_RNF4</t>
  </si>
  <si>
    <t>F5H1Z6_STARD10</t>
  </si>
  <si>
    <t>F5H254_TMEM135</t>
  </si>
  <si>
    <t>F5H269_DMXL1</t>
  </si>
  <si>
    <t>F5H2H5_ANKLE2</t>
  </si>
  <si>
    <t>F5H2J3_VMP1</t>
  </si>
  <si>
    <t>F5H2Q7_KIAA1715</t>
  </si>
  <si>
    <t>F5H2S7_DCTN2</t>
  </si>
  <si>
    <t>F5H2U2_PRPF4B</t>
  </si>
  <si>
    <t>F5H2X7_CIZ1</t>
  </si>
  <si>
    <t>F5H315_XAB2</t>
  </si>
  <si>
    <t>F5H365_SEC23A</t>
  </si>
  <si>
    <t>F5H450_FZD10</t>
  </si>
  <si>
    <t>F5H4G7_KPNA6</t>
  </si>
  <si>
    <t>F5H4S8_NFATC1</t>
  </si>
  <si>
    <t>F5H4V9_PDCD2</t>
  </si>
  <si>
    <t>F5H523_KLHL42</t>
  </si>
  <si>
    <t>F5H527_SSH2</t>
  </si>
  <si>
    <t>F5H569_ATP6V0A1</t>
  </si>
  <si>
    <t>F5H577_BRK1</t>
  </si>
  <si>
    <t>F5H5D3_TUBA1C</t>
  </si>
  <si>
    <t>F5H5I6_GRSF1</t>
  </si>
  <si>
    <t>F5H5M7_IFNGR1</t>
  </si>
  <si>
    <t>F5H5N0_CDC42BPA</t>
  </si>
  <si>
    <t>F5H5N1_NDUFS7</t>
  </si>
  <si>
    <t>F5H5P2_BCKDHA</t>
  </si>
  <si>
    <t>F5H5R8_NAT1</t>
  </si>
  <si>
    <t>F5H604_CLASP2</t>
  </si>
  <si>
    <t>F5H620_OXNAD1</t>
  </si>
  <si>
    <t>F5H631_CLEC2B</t>
  </si>
  <si>
    <t>F5H6G7_NOL10</t>
  </si>
  <si>
    <t>F5H6S1_KDM6A</t>
  </si>
  <si>
    <t>F5H6U2_FAM60A</t>
  </si>
  <si>
    <t>F5H715_AIDA</t>
  </si>
  <si>
    <t>F5H721_WBP11</t>
  </si>
  <si>
    <t>F5H7N9_MFGE8</t>
  </si>
  <si>
    <t>F5H7Z9_REEP1</t>
  </si>
  <si>
    <t>F5H801_OGDH</t>
  </si>
  <si>
    <t>F5H827_POMGNT1</t>
  </si>
  <si>
    <t>F5H860_INPP4A</t>
  </si>
  <si>
    <t>F5H874_ASCC1</t>
  </si>
  <si>
    <t>F5H877_SPINT1</t>
  </si>
  <si>
    <t>F5H897_TRAP1</t>
  </si>
  <si>
    <t>F5H8H2_MVK</t>
  </si>
  <si>
    <t>F5H8J3_CLPTM1</t>
  </si>
  <si>
    <t>F5H8L0_RABGAP1L</t>
  </si>
  <si>
    <t>F5H8L4_SIDT2</t>
  </si>
  <si>
    <t>F6PQP6_EPN2</t>
  </si>
  <si>
    <t>F6RAJ7_CDPF1</t>
  </si>
  <si>
    <t>F6T1Q0_PDE12</t>
  </si>
  <si>
    <t>F6TDL0_PIK3R3</t>
  </si>
  <si>
    <t>F6U1T9_PPP3R1</t>
  </si>
  <si>
    <t>F6VZ39_RBM38</t>
  </si>
  <si>
    <t>F6WCX7_MAP2K7</t>
  </si>
  <si>
    <t>F6XY72_NME2</t>
  </si>
  <si>
    <t>F8VP51_C14orf80</t>
  </si>
  <si>
    <t>F8VP89_EIF4B</t>
  </si>
  <si>
    <t>F8VPD4_CAD</t>
  </si>
  <si>
    <t>F8VQD4_C12orf75</t>
  </si>
  <si>
    <t>F8VQX6_METTL7A</t>
  </si>
  <si>
    <t>F8VQY2_UIMC1</t>
  </si>
  <si>
    <t>F8VQZ7_METAP2</t>
  </si>
  <si>
    <t>F8VR27_RBFOX1</t>
  </si>
  <si>
    <t>F8VRE8_TMEM19</t>
  </si>
  <si>
    <t>F8VRH9_RASAL1</t>
  </si>
  <si>
    <t>F8VS02_ALDH7A1</t>
  </si>
  <si>
    <t>F8VS47_NEK3</t>
  </si>
  <si>
    <t>F8VSL3_NFYB</t>
  </si>
  <si>
    <t>F8VSZ4_PLXNA1</t>
  </si>
  <si>
    <t>F8VTS6_RFPL4AL1</t>
  </si>
  <si>
    <t>F8VU11_PRPF40B</t>
  </si>
  <si>
    <t>F8VU90_FKBP11</t>
  </si>
  <si>
    <t>F8VUW5_DAZAP2</t>
  </si>
  <si>
    <t>F8VV32_LYZ</t>
  </si>
  <si>
    <t>F8VV52_CNOT2</t>
  </si>
  <si>
    <t>F8VV59_NAP1L1</t>
  </si>
  <si>
    <t>F8VVA7_COPZ1</t>
  </si>
  <si>
    <t>F8VVN7_TMEM106C</t>
  </si>
  <si>
    <t>F8VW96_CSRP2</t>
  </si>
  <si>
    <t>F8VWA6_MON2</t>
  </si>
  <si>
    <t>F8VWA9_ALG10B</t>
  </si>
  <si>
    <t>F8VWL0_TFCP2</t>
  </si>
  <si>
    <t>F8VX04_SLC38A1</t>
  </si>
  <si>
    <t>F8VX22_PACS2</t>
  </si>
  <si>
    <t>F8VXG7_SCAF11</t>
  </si>
  <si>
    <t>F8VXK3_CHST11</t>
  </si>
  <si>
    <t>F8VYK6_TARBP2</t>
  </si>
  <si>
    <t>F8VYN9_ARL1</t>
  </si>
  <si>
    <t>F8VZH8_UNC13A</t>
  </si>
  <si>
    <t>F8VZJ2_NACA</t>
  </si>
  <si>
    <t>F8VZY9_KRT18</t>
  </si>
  <si>
    <t>F8W038_C17orf49</t>
  </si>
  <si>
    <t>F8W052_TROAP</t>
  </si>
  <si>
    <t>F8W0A9_ALDH2</t>
  </si>
  <si>
    <t>F8W0J6_NAP1L1</t>
  </si>
  <si>
    <t>F8W0Q9_PPHLN1</t>
  </si>
  <si>
    <t>F8W0R1_ERGIC2</t>
  </si>
  <si>
    <t>F8W126_MCRS1</t>
  </si>
  <si>
    <t>F8W181_RPL6</t>
  </si>
  <si>
    <t>F8W689_RFX5</t>
  </si>
  <si>
    <t>F8W6I7_HNRNPA1</t>
  </si>
  <si>
    <t>F8W6N3_BAP1</t>
  </si>
  <si>
    <t>F8W6N8_TRIM5</t>
  </si>
  <si>
    <t>F8W6Q3_ZNF384</t>
  </si>
  <si>
    <t>F8W6T6_TLE4</t>
  </si>
  <si>
    <t>F8W787_CTSD</t>
  </si>
  <si>
    <t>F8W7D0_PBLD</t>
  </si>
  <si>
    <t>F8W7G7_FN1</t>
  </si>
  <si>
    <t>F8W7Q4_FAM162A</t>
  </si>
  <si>
    <t>F8W840_YTHDF1</t>
  </si>
  <si>
    <t>F8W872_CDK10</t>
  </si>
  <si>
    <t>F8W881_FAM120C</t>
  </si>
  <si>
    <t>F8W8D3_SLBP</t>
  </si>
  <si>
    <t>F8W8F9_CASC1</t>
  </si>
  <si>
    <t>F8W8G5_MYB</t>
  </si>
  <si>
    <t>F8W8I6_TIA1</t>
  </si>
  <si>
    <t>F8W8K9_AP1S3</t>
  </si>
  <si>
    <t>F8W914_RTN4</t>
  </si>
  <si>
    <t>F8W946_FSD1L</t>
  </si>
  <si>
    <t>F8W966_MEF2A</t>
  </si>
  <si>
    <t>F8W9A8_PPIP5K1</t>
  </si>
  <si>
    <t>F8W9R9_MED24</t>
  </si>
  <si>
    <t>F8W9X7_CCDC93</t>
  </si>
  <si>
    <t>F8WA11_CLASP1</t>
  </si>
  <si>
    <t>F8WA39_MTMR1</t>
  </si>
  <si>
    <t>F8WAB8_SLC25A26</t>
  </si>
  <si>
    <t>F8WAD8_ADAM22</t>
  </si>
  <si>
    <t>F8WAF5_NABP1</t>
  </si>
  <si>
    <t>F8WAK8_STAG2</t>
  </si>
  <si>
    <t>F8WBK5_MRPL40</t>
  </si>
  <si>
    <t>F8WC47_POLR2F</t>
  </si>
  <si>
    <t>F8WC89_SAC3D1</t>
  </si>
  <si>
    <t>F8WCD0_RNF149</t>
  </si>
  <si>
    <t>F8WCF6_ARPC4</t>
  </si>
  <si>
    <t>F8WCP0_NEB</t>
  </si>
  <si>
    <t>F8WD04_ATL1</t>
  </si>
  <si>
    <t>F8WD19_DONSON</t>
  </si>
  <si>
    <t>F8WE74_SLC25A17</t>
  </si>
  <si>
    <t>F8WE88_MYO5A</t>
  </si>
  <si>
    <t>F8WEC0_MMADHC</t>
  </si>
  <si>
    <t>F8WF93_ALG3</t>
  </si>
  <si>
    <t>F8WJN3_CPSF6</t>
  </si>
  <si>
    <t>G1K394_TRAPPC2</t>
  </si>
  <si>
    <t>G3V0H6_NARG2</t>
  </si>
  <si>
    <t>G3V0I5_NDUFV1</t>
  </si>
  <si>
    <t>G3V0I6_OTUD4</t>
  </si>
  <si>
    <t>G3V167_PARP2</t>
  </si>
  <si>
    <t>G3V1A6_GSDMD</t>
  </si>
  <si>
    <t>G3V1D3_DPP3</t>
  </si>
  <si>
    <t>G3V1P3_LOH12CR1</t>
  </si>
  <si>
    <t>G3V1Q4_SEPT7</t>
  </si>
  <si>
    <t>G3V1S9_ACSL6</t>
  </si>
  <si>
    <t>G3V1U5_GOLT1B</t>
  </si>
  <si>
    <t>G3V1X5_YAF2</t>
  </si>
  <si>
    <t>G3V203_RPL18</t>
  </si>
  <si>
    <t>G3V2F7_TMEM189</t>
  </si>
  <si>
    <t>G3V2U7_ACYP1</t>
  </si>
  <si>
    <t>G3V325_ATP5J2-PTCD1</t>
  </si>
  <si>
    <t>G3V3C1_PTGR2</t>
  </si>
  <si>
    <t>G3V3G9_DCAF8</t>
  </si>
  <si>
    <t>G3V3I4_NFKBIA</t>
  </si>
  <si>
    <t>G3V3J9_GNG2</t>
  </si>
  <si>
    <t>G3V3R7_ATXN3</t>
  </si>
  <si>
    <t>G3V3U6_MRPL52</t>
  </si>
  <si>
    <t>G3V439_SIVA1</t>
  </si>
  <si>
    <t>G3V4J7_DCAF5</t>
  </si>
  <si>
    <t>G3V4K3_VIPAS39</t>
  </si>
  <si>
    <t>G3V4P7_AP4S1</t>
  </si>
  <si>
    <t>G3V4W0_HNRNPC</t>
  </si>
  <si>
    <t>G3V529_DDX24</t>
  </si>
  <si>
    <t>G3V583_FAM177A1</t>
  </si>
  <si>
    <t>G3V597_ACYP1</t>
  </si>
  <si>
    <t>G3V599_CTAGE5</t>
  </si>
  <si>
    <t>G3V5T0_GSTZ1</t>
  </si>
  <si>
    <t>G3V5T9_CDK2</t>
  </si>
  <si>
    <t>G3XAA0_ARID1B</t>
  </si>
  <si>
    <t>G3XAC1_SLC26A6</t>
  </si>
  <si>
    <t>G3XAE9_FAM179B</t>
  </si>
  <si>
    <t>G3XAI9_FAM133B</t>
  </si>
  <si>
    <t>G3XAN4_TRAM1</t>
  </si>
  <si>
    <t>G3XAN8_TIMM8B</t>
  </si>
  <si>
    <t>G3XAP3_ABCB8</t>
  </si>
  <si>
    <t>G5E933_SBF1</t>
  </si>
  <si>
    <t>G5E948_MAP4K4</t>
  </si>
  <si>
    <t>G5E994_GPR107</t>
  </si>
  <si>
    <t>G5E9A6_USP11</t>
  </si>
  <si>
    <t>G5E9E7_TJP1</t>
  </si>
  <si>
    <t>G5E9F3_CABIN1</t>
  </si>
  <si>
    <t>G5E9L8_ECT2</t>
  </si>
  <si>
    <t>G5E9P1_ITPR1</t>
  </si>
  <si>
    <t>G5E9W9_GIMAP4</t>
  </si>
  <si>
    <t>G5EA07_PWWP2A</t>
  </si>
  <si>
    <t>G5EA25_FAT3</t>
  </si>
  <si>
    <t>G5EA30_CELF1</t>
  </si>
  <si>
    <t>G5EA36_CDC27</t>
  </si>
  <si>
    <t>G5EA52_PDIA3</t>
  </si>
  <si>
    <t>G8JL95_MAU2</t>
  </si>
  <si>
    <t>G8JL98_TDG</t>
  </si>
  <si>
    <t>G8JLA2_MYL6</t>
  </si>
  <si>
    <t>G8JLB3_PUS1</t>
  </si>
  <si>
    <t>G8JLB6_HNRNPH1</t>
  </si>
  <si>
    <t>G8JLD3_ERC1</t>
  </si>
  <si>
    <t>G8JLH2_CDC25B</t>
  </si>
  <si>
    <t>G8JLI5_WDR45</t>
  </si>
  <si>
    <t>G8JLK4_TACC1</t>
  </si>
  <si>
    <t>G8JLL2_PPT2</t>
  </si>
  <si>
    <t>G8JLL7_MVB12B</t>
  </si>
  <si>
    <t>H0UI80_TH1L</t>
  </si>
  <si>
    <t>H0Y2M0_KIAA0922</t>
  </si>
  <si>
    <t>H0Y2P9_PIGX</t>
  </si>
  <si>
    <t>H0Y322_LIN9</t>
  </si>
  <si>
    <t>H0Y384_ODF2</t>
  </si>
  <si>
    <t>H0Y3R4_SETD5</t>
  </si>
  <si>
    <t>H0Y412_PRRC2B</t>
  </si>
  <si>
    <t>H0Y494_SIK3</t>
  </si>
  <si>
    <t>H0Y4G9_MYD88</t>
  </si>
  <si>
    <t>H0Y530_PAEP</t>
  </si>
  <si>
    <t>H0Y547_ATP11A</t>
  </si>
  <si>
    <t>H0Y5C2_ATE1</t>
  </si>
  <si>
    <t>H0Y5J5_AAED1</t>
  </si>
  <si>
    <t>H0Y5Y0_PREP</t>
  </si>
  <si>
    <t>H0Y614_UFM1</t>
  </si>
  <si>
    <t>H0Y6A0_ARFGAP3</t>
  </si>
  <si>
    <t>H0Y6C3_PYCRL</t>
  </si>
  <si>
    <t>H0Y6K2_BRD2</t>
  </si>
  <si>
    <t>H0Y6Y6_CD1C</t>
  </si>
  <si>
    <t>H0Y7A7_CALM2</t>
  </si>
  <si>
    <t>H0Y7P7_PISD</t>
  </si>
  <si>
    <t>H0Y7S3_ATP2B2</t>
  </si>
  <si>
    <t>H0Y870_TMEM222</t>
  </si>
  <si>
    <t>H0Y8F2_TACC3</t>
  </si>
  <si>
    <t>H0Y8H1_CHIC2</t>
  </si>
  <si>
    <t>H0Y8W3_RGS14</t>
  </si>
  <si>
    <t>H0Y912_DACH2</t>
  </si>
  <si>
    <t>H0Y9B8_</t>
  </si>
  <si>
    <t>H0Y9N0_ADH4</t>
  </si>
  <si>
    <t>H0Y9S9_PPIP5K2</t>
  </si>
  <si>
    <t>H0Y9T5_DCP2</t>
  </si>
  <si>
    <t>H0Y9X1_TMA16</t>
  </si>
  <si>
    <t>H0Y9Z5_CNOT6L</t>
  </si>
  <si>
    <t>H0YA20_DGKQ</t>
  </si>
  <si>
    <t>H0YA52_PCBD2</t>
  </si>
  <si>
    <t>H0YA68_MAN2B2</t>
  </si>
  <si>
    <t>H0YAS8_CLU</t>
  </si>
  <si>
    <t>H0YAV1_RRM2B</t>
  </si>
  <si>
    <t>H0YBC7_BNIP3L</t>
  </si>
  <si>
    <t>H0YBI6_TXNRD3</t>
  </si>
  <si>
    <t>H0YBP1_PTK2</t>
  </si>
  <si>
    <t>H0YBZ4_MTFR1</t>
  </si>
  <si>
    <t>H0YC40_CD47</t>
  </si>
  <si>
    <t>H0YCP7_TSTA3</t>
  </si>
  <si>
    <t>H0YCY3_WDR67</t>
  </si>
  <si>
    <t>H0YDD3_ALG8</t>
  </si>
  <si>
    <t>H0YDS0_UBQLN1</t>
  </si>
  <si>
    <t>H0YDU8_PPP5C</t>
  </si>
  <si>
    <t>H0YE91_CHI3L2</t>
  </si>
  <si>
    <t>H0YEB6_SSSCA1</t>
  </si>
  <si>
    <t>H0YEF3_RNASEH2C</t>
  </si>
  <si>
    <t>H0YF29_C8orf82</t>
  </si>
  <si>
    <t>H0YFN7_KIAA1432</t>
  </si>
  <si>
    <t>H0YGR4_REXO2</t>
  </si>
  <si>
    <t>H0YGT9_JOSD1</t>
  </si>
  <si>
    <t>H0YH80_HNRNPA1</t>
  </si>
  <si>
    <t>H0YH87_ATXN2</t>
  </si>
  <si>
    <t>H0YHG0_</t>
  </si>
  <si>
    <t>H0YIV9_</t>
  </si>
  <si>
    <t>H0YJB9_C14orf166</t>
  </si>
  <si>
    <t>H0YJF7_VRK1</t>
  </si>
  <si>
    <t>H0YK48_TPM1</t>
  </si>
  <si>
    <t>H0YK61_EMC4</t>
  </si>
  <si>
    <t>H0YKJ9_TSPAN3</t>
  </si>
  <si>
    <t>H0YL70_TLE3</t>
  </si>
  <si>
    <t>H0YLA4_SORD</t>
  </si>
  <si>
    <t>H0YLB5_POU2F1</t>
  </si>
  <si>
    <t>H0YLF2_HMBOX1</t>
  </si>
  <si>
    <t>H0YLW6_SHF</t>
  </si>
  <si>
    <t>H0YLX2_RFX7</t>
  </si>
  <si>
    <t>H0YMB3_GMPR2</t>
  </si>
  <si>
    <t>H0YMJ0_MORF4L1</t>
  </si>
  <si>
    <t>H0YMM4_ISG20</t>
  </si>
  <si>
    <t>H0YN33_CINP</t>
  </si>
  <si>
    <t>H0YNG3_SEC11A</t>
  </si>
  <si>
    <t>H0YNH6_EMC9</t>
  </si>
  <si>
    <t>H0YNU5_BLM</t>
  </si>
  <si>
    <t>H3BLU2_LSAMP</t>
  </si>
  <si>
    <t>H3BLU9_TTC24</t>
  </si>
  <si>
    <t>H3BLV0_CD55</t>
  </si>
  <si>
    <t>H3BLW6_TMEM63B</t>
  </si>
  <si>
    <t>H3BLZ8_DDX17</t>
  </si>
  <si>
    <t>H3BM14_NUB1</t>
  </si>
  <si>
    <t>H3BM67_NOL3</t>
  </si>
  <si>
    <t>H3BM84_TM6SF1</t>
  </si>
  <si>
    <t>H3BMM3_GANC</t>
  </si>
  <si>
    <t>H3BMM5_</t>
  </si>
  <si>
    <t>H3BMQ0_TSC2</t>
  </si>
  <si>
    <t>H3BN98_</t>
  </si>
  <si>
    <t>H3BNE3_BLOC1S6</t>
  </si>
  <si>
    <t>H3BNF1_CLN6</t>
  </si>
  <si>
    <t>H3BNT4_MPHOSPH6</t>
  </si>
  <si>
    <t>H3BNU9_CARHSP1</t>
  </si>
  <si>
    <t>H3BP13_TRAPPC2L</t>
  </si>
  <si>
    <t>H3BP20_HEXA</t>
  </si>
  <si>
    <t>H3BP28_COQ7</t>
  </si>
  <si>
    <t>H3BP77_TK2</t>
  </si>
  <si>
    <t>H3BPB8_MPI</t>
  </si>
  <si>
    <t>H3BPC4_UBE2I</t>
  </si>
  <si>
    <t>H3BPE1_MACF1</t>
  </si>
  <si>
    <t>H3BPZ0_FBXL19</t>
  </si>
  <si>
    <t>H3BQA0_SNAPC5</t>
  </si>
  <si>
    <t>H3BQM0_PAPD5</t>
  </si>
  <si>
    <t>H3BQV3_COG8</t>
  </si>
  <si>
    <t>H3BR82_SPNS1</t>
  </si>
  <si>
    <t>H3BRF9_ZFYVE19</t>
  </si>
  <si>
    <t>H3BRL3_UBFD1</t>
  </si>
  <si>
    <t>H3BRN4_ABAT</t>
  </si>
  <si>
    <t>H3BRS1_NFATC3</t>
  </si>
  <si>
    <t>H3BRV0_EIF3C</t>
  </si>
  <si>
    <t>H3BRY6_VWA9</t>
  </si>
  <si>
    <t>H3BS01_C15orf41</t>
  </si>
  <si>
    <t>H3BS06_CCDC154</t>
  </si>
  <si>
    <t>H3BSM7_C16orf58</t>
  </si>
  <si>
    <t>H3BSW6_CTU2</t>
  </si>
  <si>
    <t>H3BT91_CCNDBP1</t>
  </si>
  <si>
    <t>H3BTB7_EARS2</t>
  </si>
  <si>
    <t>H3BTL1_MAP1LC3B</t>
  </si>
  <si>
    <t>H3BTN5_PKM</t>
  </si>
  <si>
    <t>H3BTR4_CENPT</t>
  </si>
  <si>
    <t>H3BTX0_</t>
  </si>
  <si>
    <t>H3BTX7_RNF166</t>
  </si>
  <si>
    <t>H3BU23_CDR2</t>
  </si>
  <si>
    <t>H3BU49_ARL2BP</t>
  </si>
  <si>
    <t>H3BV80_RNPS1</t>
  </si>
  <si>
    <t>H6UMI1_GABARAP</t>
  </si>
  <si>
    <t>H7BXD5_GCA</t>
  </si>
  <si>
    <t>H7BXF4_SMPD4</t>
  </si>
  <si>
    <t>H7BXF5_SAP130</t>
  </si>
  <si>
    <t>H7BXH2_PPP6R3</t>
  </si>
  <si>
    <t>H7BXH9_METTL21A</t>
  </si>
  <si>
    <t>H7BXI1_ESYT2</t>
  </si>
  <si>
    <t>H7BXI5_ERGIC3</t>
  </si>
  <si>
    <t>H7BXL1_TMEM41A</t>
  </si>
  <si>
    <t>H7BXR8_ARHGAP19</t>
  </si>
  <si>
    <t>H7BXW7_MPC1</t>
  </si>
  <si>
    <t>H7BXY3_DHX30</t>
  </si>
  <si>
    <t>H7BY22_ZBTB44</t>
  </si>
  <si>
    <t>H7BY58_PCMT1</t>
  </si>
  <si>
    <t>H7BY84_GTF3C5</t>
  </si>
  <si>
    <t>H7BYE5_WRB</t>
  </si>
  <si>
    <t>H7BYP4_SP140L</t>
  </si>
  <si>
    <t>H7BYY1_TPM1</t>
  </si>
  <si>
    <t>H7BZ11_</t>
  </si>
  <si>
    <t>H7BZJ3_PDIA3</t>
  </si>
  <si>
    <t>H7BZT4_</t>
  </si>
  <si>
    <t>H7C0S3_CDKN3</t>
  </si>
  <si>
    <t>H7C0V4_RTN4R</t>
  </si>
  <si>
    <t>H7C128_BRD8</t>
  </si>
  <si>
    <t>H7C155_RAF1</t>
  </si>
  <si>
    <t>H7C173_MZT2B</t>
  </si>
  <si>
    <t>H7C1F9_RALGAPA2</t>
  </si>
  <si>
    <t>H7C1I0_SLC35E1</t>
  </si>
  <si>
    <t>H7C1Q1_</t>
  </si>
  <si>
    <t>H7C1U3_CC2D1B</t>
  </si>
  <si>
    <t>H7C1U8_APOO</t>
  </si>
  <si>
    <t>H7C285_TSPAN15</t>
  </si>
  <si>
    <t>H7C3A6_C1orf86</t>
  </si>
  <si>
    <t>H7C3D5_FAM134A</t>
  </si>
  <si>
    <t>H7C3D8_CMC1</t>
  </si>
  <si>
    <t>H7C3P4_GNS</t>
  </si>
  <si>
    <t>H7C3T2_ATG2A</t>
  </si>
  <si>
    <t>H7C417_</t>
  </si>
  <si>
    <t>H7C484_ARV1</t>
  </si>
  <si>
    <t>H7C494_DNAJB14</t>
  </si>
  <si>
    <t>H7C4X9_ZMYND8</t>
  </si>
  <si>
    <t>H7C560_BRAF</t>
  </si>
  <si>
    <t>H7C561_SF1</t>
  </si>
  <si>
    <t>H7C5F7_NDFIP2</t>
  </si>
  <si>
    <t>H7C5G1_IAH1</t>
  </si>
  <si>
    <t>H7C5R8_PARP14</t>
  </si>
  <si>
    <t>H9KV44_EFR3A</t>
  </si>
  <si>
    <t>H9KV59_PRC1</t>
  </si>
  <si>
    <t>H9KVB8_MICU1</t>
  </si>
  <si>
    <t>I3L097_</t>
  </si>
  <si>
    <t>I3L0B8_SLC25A52</t>
  </si>
  <si>
    <t>I3L0C1_SMG1</t>
  </si>
  <si>
    <t>I3L0K1_GOSR2</t>
  </si>
  <si>
    <t>I3L0L6_RNF167</t>
  </si>
  <si>
    <t>I3L0N3_NSF</t>
  </si>
  <si>
    <t>I3L0U5_CCDC137</t>
  </si>
  <si>
    <t>I3L112_DGKE</t>
  </si>
  <si>
    <t>I3L1B5_RPGRIP1L</t>
  </si>
  <si>
    <t>I3L1H5_DPH1</t>
  </si>
  <si>
    <t>I3L1K6_MYL4</t>
  </si>
  <si>
    <t>I3L1L3_MYBBP1A</t>
  </si>
  <si>
    <t>I3L1P8_SLC25A11</t>
  </si>
  <si>
    <t>I3L1Q3_ELP5</t>
  </si>
  <si>
    <t>I3L232_B3GNTL1</t>
  </si>
  <si>
    <t>I3L2B0_CLUH</t>
  </si>
  <si>
    <t>I3L2C7_GEMIN4</t>
  </si>
  <si>
    <t>I3L2J0_CIC</t>
  </si>
  <si>
    <t>I3L2J8_AZI1</t>
  </si>
  <si>
    <t>I3L2L5_FAM195B</t>
  </si>
  <si>
    <t>I3L3A8_PELP1</t>
  </si>
  <si>
    <t>I3L3B4_</t>
  </si>
  <si>
    <t>I3L413_CCNE1</t>
  </si>
  <si>
    <t>I3L448_ATPAF1</t>
  </si>
  <si>
    <t>I3L4C3_SPAG7</t>
  </si>
  <si>
    <t>I3L4J3_KANSL1</t>
  </si>
  <si>
    <t>I3L4X3_NFKBIB</t>
  </si>
  <si>
    <t>I3L4X7_GPS2</t>
  </si>
  <si>
    <t>J3KMW4_CENPI</t>
  </si>
  <si>
    <t>J3KMW8_CACTIN</t>
  </si>
  <si>
    <t>J3KMX2_SMARCD2</t>
  </si>
  <si>
    <t>J3KMY5_NPC2</t>
  </si>
  <si>
    <t>J3KMZ7_INTS2</t>
  </si>
  <si>
    <t>J3KMZ9_LDLR</t>
  </si>
  <si>
    <t>J3KN16_KIAA0368</t>
  </si>
  <si>
    <t>J3KN27_FBRSL1</t>
  </si>
  <si>
    <t>J3KN29_PSMD9</t>
  </si>
  <si>
    <t>J3KN32_RCOR1</t>
  </si>
  <si>
    <t>J3KN47_TF</t>
  </si>
  <si>
    <t>J3KN59_BNIP2</t>
  </si>
  <si>
    <t>J3KN66_TOR1AIP1</t>
  </si>
  <si>
    <t>J3KN67_TPM3</t>
  </si>
  <si>
    <t>J3KN69_NCEH1</t>
  </si>
  <si>
    <t>J3KNA0_OXA1L</t>
  </si>
  <si>
    <t>J3KNB8_MAP3K4</t>
  </si>
  <si>
    <t>J3KNF4_CCS</t>
  </si>
  <si>
    <t>J3KNF5_CEP290</t>
  </si>
  <si>
    <t>J3KNF8_CYB5B</t>
  </si>
  <si>
    <t>J3KNG8_FNIP1</t>
  </si>
  <si>
    <t>J3KNI1_COG4</t>
  </si>
  <si>
    <t>J3KNL2_SEPT1</t>
  </si>
  <si>
    <t>J3KNL3_CHID1</t>
  </si>
  <si>
    <t>J3KNL6_SEC16A</t>
  </si>
  <si>
    <t>J3KNN3_PHKG2</t>
  </si>
  <si>
    <t>J3KNN5_DDX41</t>
  </si>
  <si>
    <t>J3KNN7_BRAP</t>
  </si>
  <si>
    <t>J3KNP4_SEMA4B</t>
  </si>
  <si>
    <t>J3KNR0_MARK3</t>
  </si>
  <si>
    <t>J3KNV1_ZNF292</t>
  </si>
  <si>
    <t>J3KNW4_FHL2</t>
  </si>
  <si>
    <t>J3KNZ9_FBRS</t>
  </si>
  <si>
    <t>J3KP15_SRSF2</t>
  </si>
  <si>
    <t>J3KP19_SIPA1L1</t>
  </si>
  <si>
    <t>J3KP22_PTPRA</t>
  </si>
  <si>
    <t>J3KP26_ANKRD46</t>
  </si>
  <si>
    <t>J3KP75_PHACTR2</t>
  </si>
  <si>
    <t>J3KPC5_RAP1GAP</t>
  </si>
  <si>
    <t>J3KPD3_RBM7</t>
  </si>
  <si>
    <t>J3KPF9_KIF3A</t>
  </si>
  <si>
    <t>J3KPG6_PSTPIP1</t>
  </si>
  <si>
    <t>J3KPK1_SYNJ1</t>
  </si>
  <si>
    <t>J3KPL1_PNPLA8</t>
  </si>
  <si>
    <t>J3KPN1_TESC</t>
  </si>
  <si>
    <t>J3KPP7_ARRB1</t>
  </si>
  <si>
    <t>J3KPQ4_ARHGAP9</t>
  </si>
  <si>
    <t>J3KPS0_DNAJB12</t>
  </si>
  <si>
    <t>J3KPT4_TRABD</t>
  </si>
  <si>
    <t>J3KPW7_HDAC2</t>
  </si>
  <si>
    <t>J3KPY9_ANTXR2</t>
  </si>
  <si>
    <t>J3KPZ4_C1D</t>
  </si>
  <si>
    <t>J3KPZ8_RFXANK</t>
  </si>
  <si>
    <t>J3KQ32_OLA1</t>
  </si>
  <si>
    <t>J3KQ34_COPS7B</t>
  </si>
  <si>
    <t>J3KQ45_TGOLN2</t>
  </si>
  <si>
    <t>J3KQ48_PTRH2</t>
  </si>
  <si>
    <t>J3KQ72_FBXO6</t>
  </si>
  <si>
    <t>J3KQ88_C6orf203</t>
  </si>
  <si>
    <t>J3KQ97_C6orf120</t>
  </si>
  <si>
    <t>J3KQA4_SLC25A36</t>
  </si>
  <si>
    <t>J3KQB0_THUMPD1</t>
  </si>
  <si>
    <t>J3KQD0_FAM213B</t>
  </si>
  <si>
    <t>J3KQE5_RAN</t>
  </si>
  <si>
    <t>J3KQG4_GBA</t>
  </si>
  <si>
    <t>J3KQJ1_SUMF2</t>
  </si>
  <si>
    <t>J3KQL8_APOL2</t>
  </si>
  <si>
    <t>J3KQS6_BABAM1</t>
  </si>
  <si>
    <t>J3KR15_NAPEPLD</t>
  </si>
  <si>
    <t>J3KR33_MED19</t>
  </si>
  <si>
    <t>J3KR35_CCDC12</t>
  </si>
  <si>
    <t>J3KR72_TAF6</t>
  </si>
  <si>
    <t>J3KR97_TBCD</t>
  </si>
  <si>
    <t>J3KRC8_C16orf55</t>
  </si>
  <si>
    <t>J3KRP6_SS18</t>
  </si>
  <si>
    <t>J3KS05_CBX1</t>
  </si>
  <si>
    <t>J3KS15_ICT1</t>
  </si>
  <si>
    <t>J3KS81_TMEM199</t>
  </si>
  <si>
    <t>J3KTA1_FBXL20</t>
  </si>
  <si>
    <t>J3KTL1_ZNF207</t>
  </si>
  <si>
    <t>J3KTL2_SRSF1</t>
  </si>
  <si>
    <t>J3QK89_CHERP</t>
  </si>
  <si>
    <t>J3QL56_SCO1</t>
  </si>
  <si>
    <t>J3QL71_SCRN2</t>
  </si>
  <si>
    <t>J3QLC9_HP</t>
  </si>
  <si>
    <t>J3QLM1_STARD3</t>
  </si>
  <si>
    <t>J3QLS3_MRPS7</t>
  </si>
  <si>
    <t>J3QLV8_SNX11</t>
  </si>
  <si>
    <t>J3QQJ0_SAP30BP</t>
  </si>
  <si>
    <t>J3QQJ5_TRAPPC8</t>
  </si>
  <si>
    <t>J3QQK6_MBP</t>
  </si>
  <si>
    <t>J3QQT2_RPL17</t>
  </si>
  <si>
    <t>J3QQX3_FDXR</t>
  </si>
  <si>
    <t>J3QQY0_MSL1</t>
  </si>
  <si>
    <t>J3QR01_STRA13</t>
  </si>
  <si>
    <t>J3QR07_YTHDC1</t>
  </si>
  <si>
    <t>J3QR09_RPL19</t>
  </si>
  <si>
    <t>J3QR77_CD226</t>
  </si>
  <si>
    <t>J3QRD1_ALDH3A2</t>
  </si>
  <si>
    <t>J3QRM9_ORMDL3</t>
  </si>
  <si>
    <t>J3QRS3_MYL12A</t>
  </si>
  <si>
    <t>J3QRS9_ZNF207</t>
  </si>
  <si>
    <t>J3QRU4_VAMP2</t>
  </si>
  <si>
    <t>J3QSH4_VEZF1</t>
  </si>
  <si>
    <t>J3QT56_HYPK</t>
  </si>
  <si>
    <t>J3QT87_CRBN</t>
  </si>
  <si>
    <t>J3QTA2_BAG1</t>
  </si>
  <si>
    <t>J3QTA6_CHCHD6</t>
  </si>
  <si>
    <t>J3QTL0_TTC40</t>
  </si>
  <si>
    <t>J3QTV4_RGPD2</t>
  </si>
  <si>
    <t>J9JIC5_C17orf75</t>
  </si>
  <si>
    <t>J9JID7_LMNB2</t>
  </si>
  <si>
    <t>J9JIE6_TMCO1</t>
  </si>
  <si>
    <t>K4DI92_RWDD4</t>
  </si>
  <si>
    <t>K4DI93_CUL4B</t>
  </si>
  <si>
    <t>K7EID0_MLX</t>
  </si>
  <si>
    <t>K7EIG1_CLUH</t>
  </si>
  <si>
    <t>K7EIJ0_WBP2</t>
  </si>
  <si>
    <t>K7EIN2_NUDT16L1</t>
  </si>
  <si>
    <t>K7EIU8_SMAD4</t>
  </si>
  <si>
    <t>K7EIX2_HEATR6</t>
  </si>
  <si>
    <t>K7EIY4_STX10</t>
  </si>
  <si>
    <t>K7EJ78_RPS15</t>
  </si>
  <si>
    <t>K7EJB9_CALR</t>
  </si>
  <si>
    <t>K7EJH0_SPC24</t>
  </si>
  <si>
    <t>K7EJQ7_SEC11C</t>
  </si>
  <si>
    <t>K7EK00_FAM210A</t>
  </si>
  <si>
    <t>K7EK07_H3F3B</t>
  </si>
  <si>
    <t>K7EK99_LIN37</t>
  </si>
  <si>
    <t>K7EKE6_LONP1</t>
  </si>
  <si>
    <t>K7EKI0_EVPL</t>
  </si>
  <si>
    <t>K7EKI8_PPL</t>
  </si>
  <si>
    <t>K7EKQ4_C19orf40</t>
  </si>
  <si>
    <t>K7EKW3_TMUB2</t>
  </si>
  <si>
    <t>K7EL68_CDC37</t>
  </si>
  <si>
    <t>K7EL81_PPP1R12C</t>
  </si>
  <si>
    <t>K7ELL7_PRKCSH</t>
  </si>
  <si>
    <t>K7EM02_KATNAL2</t>
  </si>
  <si>
    <t>K7EM09_TMEM205</t>
  </si>
  <si>
    <t>K7EM38_ACTG1</t>
  </si>
  <si>
    <t>K7EMK7_TLE2</t>
  </si>
  <si>
    <t>K7EMM8_GLYR1</t>
  </si>
  <si>
    <t>K7EMV5_ZNF444</t>
  </si>
  <si>
    <t>K7EN05_ELOF1</t>
  </si>
  <si>
    <t>K7EN88_hCG_2039718</t>
  </si>
  <si>
    <t>K7ENF0_NARS</t>
  </si>
  <si>
    <t>K7ENL9_C18orf8</t>
  </si>
  <si>
    <t>K7ENR6_PSMG2</t>
  </si>
  <si>
    <t>K7ENV7_ISOC2</t>
  </si>
  <si>
    <t>K7EP90_RBM42</t>
  </si>
  <si>
    <t>K7EQE7_TMEM161A</t>
  </si>
  <si>
    <t>K7EQR1_UBN1</t>
  </si>
  <si>
    <t>K7EQU4_SAFB2</t>
  </si>
  <si>
    <t>K7EQW8_TPM4</t>
  </si>
  <si>
    <t>K7ER00_FARSA</t>
  </si>
  <si>
    <t>K7ER95_MAP4K1</t>
  </si>
  <si>
    <t>K7ERF1_EIF3K</t>
  </si>
  <si>
    <t>K7ERH3_GJC1</t>
  </si>
  <si>
    <t>K7ERQ0_YIF1B</t>
  </si>
  <si>
    <t>K7ERU0_ZNF580</t>
  </si>
  <si>
    <t>K7ERV4_PQLC1</t>
  </si>
  <si>
    <t>K7ES11_UBE2O</t>
  </si>
  <si>
    <t>K7ES84_FAM86A</t>
  </si>
  <si>
    <t>K7ESE3_RAD23A</t>
  </si>
  <si>
    <t>K7ESG9_NFIX</t>
  </si>
  <si>
    <t>K7ESI9_DNM2</t>
  </si>
  <si>
    <t>K7ESP4_DCAKD</t>
  </si>
  <si>
    <t>M0QWZ7_SARS2</t>
  </si>
  <si>
    <t>M0QX35_PAF1</t>
  </si>
  <si>
    <t>M0QX57_KLK3</t>
  </si>
  <si>
    <t>M0QXA7_WIZ</t>
  </si>
  <si>
    <t>M0QXZ5_ZNF428</t>
  </si>
  <si>
    <t>M0QY97_ZC3H4</t>
  </si>
  <si>
    <t>M0QYD2_ANO8</t>
  </si>
  <si>
    <t>M0QYM7_TUBB4A</t>
  </si>
  <si>
    <t>M0QYS1_RPL13A</t>
  </si>
  <si>
    <t>M0QZ12_GRAMD1A</t>
  </si>
  <si>
    <t>M0QZ22_SAMD4B</t>
  </si>
  <si>
    <t>M0QZI3_FCHO1</t>
  </si>
  <si>
    <t>M0QZL8_JOSD2</t>
  </si>
  <si>
    <t>M0QZM1_HNRNPM</t>
  </si>
  <si>
    <t>M0QZP6_CD37</t>
  </si>
  <si>
    <t>M0QZR4_ARHGEF1</t>
  </si>
  <si>
    <t>M0QZW1_PRKD2</t>
  </si>
  <si>
    <t>M0R042_TUBB4A</t>
  </si>
  <si>
    <t>M0R087_ZNF575</t>
  </si>
  <si>
    <t>M0R0B4_KXD1</t>
  </si>
  <si>
    <t>M0R0F0_RPS5</t>
  </si>
  <si>
    <t>M0R0N4_AP2S1</t>
  </si>
  <si>
    <t>M0R150_</t>
  </si>
  <si>
    <t>M0R226_MRPL34</t>
  </si>
  <si>
    <t>M0R2A0_EMC10</t>
  </si>
  <si>
    <t>M0R2B7_POLD1</t>
  </si>
  <si>
    <t>M0R2P6_SHKBP1</t>
  </si>
  <si>
    <t>M0R300_MYO9B</t>
  </si>
  <si>
    <t>M0R3D4_RABAC1</t>
  </si>
  <si>
    <t>O00116_AGPS</t>
  </si>
  <si>
    <t>O00124-3_UBXN8</t>
  </si>
  <si>
    <t>O00139_KIF2A</t>
  </si>
  <si>
    <t>O00148_DDX39A</t>
  </si>
  <si>
    <t>O00151_PDLIM1</t>
  </si>
  <si>
    <t>O00154-4_ACOT7</t>
  </si>
  <si>
    <t>O00161_SNAP23</t>
  </si>
  <si>
    <t>O00165_HAX1</t>
  </si>
  <si>
    <t>O00170_AIP</t>
  </si>
  <si>
    <t>O00178_GTPBP1</t>
  </si>
  <si>
    <t>O00180_KCNK1</t>
  </si>
  <si>
    <t>O00186_STXBP3</t>
  </si>
  <si>
    <t>O00214_LGALS8</t>
  </si>
  <si>
    <t>O00217_NDUFS8</t>
  </si>
  <si>
    <t>O00221_NFKBIE</t>
  </si>
  <si>
    <t>O00231_PSMD11</t>
  </si>
  <si>
    <t>O00232_PSMD12</t>
  </si>
  <si>
    <t>O00244_ATOX1</t>
  </si>
  <si>
    <t>O00255-2_MEN1</t>
  </si>
  <si>
    <t>O00257_CBX4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</si>
  <si>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</si>
  <si>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</si>
  <si>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</si>
  <si>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</si>
  <si>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</si>
  <si>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</si>
  <si>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</si>
  <si>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O00308_WWP2</t>
  </si>
  <si>
    <t>O00329_PIK3CD</t>
  </si>
  <si>
    <t>O00330_PDHX</t>
  </si>
  <si>
    <t>O00391_QSOX1</t>
  </si>
  <si>
    <t>O00399_DCTN6</t>
  </si>
  <si>
    <t>O00400_SLC33A1</t>
  </si>
  <si>
    <t>O00401_WASL</t>
  </si>
  <si>
    <t>O00410_IPO5</t>
  </si>
  <si>
    <t>O00418_EEF2K</t>
  </si>
  <si>
    <t>O00422_SAP18</t>
  </si>
  <si>
    <t>O00425_IGF2BP3</t>
  </si>
  <si>
    <t>O00429_DNM1L</t>
  </si>
  <si>
    <t>O00429-2_DNM1L</t>
  </si>
  <si>
    <t>O00429-3_DNM1L</t>
  </si>
  <si>
    <t>O00429-4_DNM1L</t>
  </si>
  <si>
    <t>O00442_RTCA</t>
  </si>
  <si>
    <t>O00459_PIK3R2</t>
  </si>
  <si>
    <t>O00462_MANBA</t>
  </si>
  <si>
    <t>O00463_TRAF5</t>
  </si>
  <si>
    <t>O00471_EXOC5</t>
  </si>
  <si>
    <t>O00479_HMGN4</t>
  </si>
  <si>
    <t>O00481_BTN3A1</t>
  </si>
  <si>
    <t>O00483_NDUFA4</t>
  </si>
  <si>
    <t>O00487_PSMD14</t>
  </si>
  <si>
    <t>O00488_ZNF593</t>
  </si>
  <si>
    <t>O00499-6_BIN1</t>
  </si>
  <si>
    <t>O00505_KPNA3</t>
  </si>
  <si>
    <t>O00506_STK25</t>
  </si>
  <si>
    <t>O00512_BCL9</t>
  </si>
  <si>
    <t>O00534_VWA5A</t>
  </si>
  <si>
    <t>O00560_SDCBP</t>
  </si>
  <si>
    <t>O00566_MPHOSPH10</t>
  </si>
  <si>
    <t>O00567_NOP56</t>
  </si>
  <si>
    <t>O00571_DDX3X</t>
  </si>
  <si>
    <t>O00623_PEX12</t>
  </si>
  <si>
    <t>O00629_KPNA4</t>
  </si>
  <si>
    <t>O00716-2_E2F3</t>
  </si>
  <si>
    <t>O00743_PPP6C</t>
  </si>
  <si>
    <t>O00754-2_MAN2B1</t>
  </si>
  <si>
    <t>O00762-2_UBE2C</t>
  </si>
  <si>
    <t>O00764_PDXK</t>
  </si>
  <si>
    <t>O00767_SCD</t>
  </si>
  <si>
    <t>O14497_ARID1A</t>
  </si>
  <si>
    <t>O14519-2_CDK2AP1</t>
  </si>
  <si>
    <t>O14523_C2CD2L</t>
  </si>
  <si>
    <t>O14524-2_TMEM194A</t>
  </si>
  <si>
    <t>O14530_TXNDC9</t>
  </si>
  <si>
    <t>O14545_TRAFD1</t>
  </si>
  <si>
    <t>O14548_COX7A2L</t>
  </si>
  <si>
    <t>O14561_NDUFAB1</t>
  </si>
  <si>
    <t>O14569_CYB561D2</t>
  </si>
  <si>
    <t>O14578-4_CIT</t>
  </si>
  <si>
    <t>O14579_COPE</t>
  </si>
  <si>
    <t>O14602_EIF1AY</t>
  </si>
  <si>
    <t>O14617-4_AP3D1</t>
  </si>
  <si>
    <t>O14656_TOR1A</t>
  </si>
  <si>
    <t>O14657_TOR1B</t>
  </si>
  <si>
    <t>O14662-2_STX16</t>
  </si>
  <si>
    <t>O14672_ADAM10</t>
  </si>
  <si>
    <t>O14686_MLL2</t>
  </si>
  <si>
    <t>O14732-2_IMPA2</t>
  </si>
  <si>
    <t>O14734_ACOT8</t>
  </si>
  <si>
    <t>O14737_PDCD5</t>
  </si>
  <si>
    <t>O14744_PRMT5</t>
  </si>
  <si>
    <t>O14745_SLC9A3R1</t>
  </si>
  <si>
    <t>O14757_CHEK1</t>
  </si>
  <si>
    <t>O14763-2_TNFRSF10B</t>
  </si>
  <si>
    <t>O14772_FPGT</t>
  </si>
  <si>
    <t>O14773-2_TPP1</t>
  </si>
  <si>
    <t>O14775-3_GNB5</t>
  </si>
  <si>
    <t>O14776-2_TCERG1</t>
  </si>
  <si>
    <t>O14777_NDC80</t>
  </si>
  <si>
    <t>O14787-2_TNPO2</t>
  </si>
  <si>
    <t>O14802_POLR3A</t>
  </si>
  <si>
    <t>O14818_PSMA7</t>
  </si>
  <si>
    <t>O14828_SCAMP3</t>
  </si>
  <si>
    <t>O14841_OPLAH</t>
  </si>
  <si>
    <t>O14867_BACH1</t>
  </si>
  <si>
    <t>O14893-2_GEMIN2</t>
  </si>
  <si>
    <t>O14907_TAX1BP3</t>
  </si>
  <si>
    <t>O14908_GIPC1</t>
  </si>
  <si>
    <t>O14920_IKBKB</t>
  </si>
  <si>
    <t>O14925_TIMM23</t>
  </si>
  <si>
    <t>O14929_HAT1</t>
  </si>
  <si>
    <t>O14933_UBE2L6</t>
  </si>
  <si>
    <t>O14949_UQCRQ</t>
  </si>
  <si>
    <t>O14964_HGS</t>
  </si>
  <si>
    <t>O14965_AURKA</t>
  </si>
  <si>
    <t>O14966_RAB7L1</t>
  </si>
  <si>
    <t>O14967_CLGN</t>
  </si>
  <si>
    <t>O14974-4_PPP1R12A</t>
  </si>
  <si>
    <t>O14975-2_SLC27A2</t>
  </si>
  <si>
    <t>O14976_GAK</t>
  </si>
  <si>
    <t>O14979_HNRPDL</t>
  </si>
  <si>
    <t>O14980_XPO1</t>
  </si>
  <si>
    <t>O14981_BTAF1</t>
  </si>
  <si>
    <t>O15014_ZNF609</t>
  </si>
  <si>
    <t>O15015_ZNF646</t>
  </si>
  <si>
    <t>O15020-2_SPTBN2</t>
  </si>
  <si>
    <t>O15040_TECPR2</t>
  </si>
  <si>
    <t>O15047_SETD1A</t>
  </si>
  <si>
    <t>O15056_SYNJ2</t>
  </si>
  <si>
    <t>O15066_KIF3B</t>
  </si>
  <si>
    <t>O15067_PFAS</t>
  </si>
  <si>
    <t>O15084_ANKRD28</t>
  </si>
  <si>
    <t>O15085_ARHGEF11</t>
  </si>
  <si>
    <t>O15111_CHUK</t>
  </si>
  <si>
    <t>O15116_LSM1</t>
  </si>
  <si>
    <t>O15117_FYB</t>
  </si>
  <si>
    <t>O15118_NPC1</t>
  </si>
  <si>
    <t>O15121_DEGS1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</si>
  <si>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</si>
  <si>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</si>
  <si>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</si>
  <si>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</si>
  <si>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</si>
  <si>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</si>
  <si>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</si>
  <si>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O15165-5_LDLRAD4</t>
  </si>
  <si>
    <t>O15173_PGRMC2</t>
  </si>
  <si>
    <t>O15197-3_EPHB6</t>
  </si>
  <si>
    <t>O15212_PFDN6</t>
  </si>
  <si>
    <t>O15213_WDR46</t>
  </si>
  <si>
    <t>O15228_GNPAT</t>
  </si>
  <si>
    <t>O15234_CASC3</t>
  </si>
  <si>
    <t>O15235_MRPS12</t>
  </si>
  <si>
    <t>O15254_ACOX3</t>
  </si>
  <si>
    <t>O15258_RER1</t>
  </si>
  <si>
    <t>O15269_SPTLC1</t>
  </si>
  <si>
    <t>O15270_SPTLC2</t>
  </si>
  <si>
    <t>O15294-3_OGT</t>
  </si>
  <si>
    <t>O15305_PMM2</t>
  </si>
  <si>
    <t>O15344_MID1</t>
  </si>
  <si>
    <t>O15347_HMGB3</t>
  </si>
  <si>
    <t>O15355_PPM1G</t>
  </si>
  <si>
    <t>O15379_HDAC3</t>
  </si>
  <si>
    <t>O15381_NVL</t>
  </si>
  <si>
    <t>O15382_BCAT2</t>
  </si>
  <si>
    <t>O15392-4_BIRC5</t>
  </si>
  <si>
    <t>O15397_IPO8</t>
  </si>
  <si>
    <t>O15400-2_STX7</t>
  </si>
  <si>
    <t>O15427_SLC16A3</t>
  </si>
  <si>
    <t>O15431_SLC31A1</t>
  </si>
  <si>
    <t>O15439-2_ABCC4</t>
  </si>
  <si>
    <t>O15446_CD3EAP</t>
  </si>
  <si>
    <t>O15498_YKT6</t>
  </si>
  <si>
    <t>O15503_INSIG1</t>
  </si>
  <si>
    <t>O15511_ARPC5</t>
  </si>
  <si>
    <t>O15514_POLR2D</t>
  </si>
  <si>
    <t>O15530_PDPK1</t>
  </si>
  <si>
    <t>O15541_RNF113A</t>
  </si>
  <si>
    <t>O43143_DHX15</t>
  </si>
  <si>
    <t>O43148_RNMT</t>
  </si>
  <si>
    <t>O43149_ZZEF1</t>
  </si>
  <si>
    <t>O43150-2_ASAP2</t>
  </si>
  <si>
    <t>O43156_TTI1</t>
  </si>
  <si>
    <t>O43164-2_PJA2</t>
  </si>
  <si>
    <t>O43172-2_PRPF4</t>
  </si>
  <si>
    <t>O43175_PHGDH</t>
  </si>
  <si>
    <t>O43181_NDUFS4</t>
  </si>
  <si>
    <t>O43237_DYNC1LI2</t>
  </si>
  <si>
    <t>O43242_PSMD3</t>
  </si>
  <si>
    <t>O43252_PAPSS1</t>
  </si>
  <si>
    <t>O43264_ZW10</t>
  </si>
  <si>
    <t>O43286_B4GALT5</t>
  </si>
  <si>
    <t>O43290_SART1</t>
  </si>
  <si>
    <t>O43291_SPINT2</t>
  </si>
  <si>
    <t>O43293_DAPK3</t>
  </si>
  <si>
    <t>O43295_SRGAP3</t>
  </si>
  <si>
    <t>O43299_AP5Z1</t>
  </si>
  <si>
    <t>O43310_CTIF</t>
  </si>
  <si>
    <t>O43310-2_CTIF</t>
  </si>
  <si>
    <t>O43314-2_PPIP5K2</t>
  </si>
  <si>
    <t>O43318-2_MAP3K7</t>
  </si>
  <si>
    <t>O43324_EEF1E1</t>
  </si>
  <si>
    <t>O43390_HNRNPR</t>
  </si>
  <si>
    <t>O43395_PRPF3</t>
  </si>
  <si>
    <t>O43396_TXNL1</t>
  </si>
  <si>
    <t>O43399_TPD52L2</t>
  </si>
  <si>
    <t>O43402_EMC8</t>
  </si>
  <si>
    <t>O43422_PRKRIR</t>
  </si>
  <si>
    <t>O43427-2_FIBP</t>
  </si>
  <si>
    <t>O43432_EIF4G3</t>
  </si>
  <si>
    <t>O43447_PPIH</t>
  </si>
  <si>
    <t>O43448_KCNAB3</t>
  </si>
  <si>
    <t>O43464-3_HTRA2</t>
  </si>
  <si>
    <t>O43482_OIP5</t>
  </si>
  <si>
    <t>O43488_AKR7A2</t>
  </si>
  <si>
    <t>O43502_RAD51C</t>
  </si>
  <si>
    <t>O43504_LAMTOR5</t>
  </si>
  <si>
    <t>O43505_B3GNT1</t>
  </si>
  <si>
    <t>O43513_MED7</t>
  </si>
  <si>
    <t>O43516_WIPF1</t>
  </si>
  <si>
    <t>O43524_FOXO3</t>
  </si>
  <si>
    <t>O43542_XRCC3</t>
  </si>
  <si>
    <t>O43566_RGS14</t>
  </si>
  <si>
    <t>O43567_RNF13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</si>
  <si>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</si>
  <si>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</si>
  <si>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</si>
  <si>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</si>
  <si>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</si>
  <si>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</si>
  <si>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</si>
  <si>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O43665-2_RGS10</t>
  </si>
  <si>
    <t>O43674_NDUFB5</t>
  </si>
  <si>
    <t>O43676_NDUFB3</t>
  </si>
  <si>
    <t>O43678_NDUFA2</t>
  </si>
  <si>
    <t>O43681_ASNA1</t>
  </si>
  <si>
    <t>O43684_BUB3</t>
  </si>
  <si>
    <t>O43707_ACTN4</t>
  </si>
  <si>
    <t>O43708_GSTZ1</t>
  </si>
  <si>
    <t>O43709_WBSCR22</t>
  </si>
  <si>
    <t>O43715_TRIAP1</t>
  </si>
  <si>
    <t>O43719_HTATSF1</t>
  </si>
  <si>
    <t>O43736-2_ITM2A</t>
  </si>
  <si>
    <t>O43752_STX6</t>
  </si>
  <si>
    <t>O43760_SYNGR2</t>
  </si>
  <si>
    <t>O43765_SGTA</t>
  </si>
  <si>
    <t>O43766_LIAS</t>
  </si>
  <si>
    <t>O43768-2_ENSA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</si>
  <si>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</si>
  <si>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</si>
  <si>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</si>
  <si>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</si>
  <si>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</si>
  <si>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</si>
  <si>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</si>
  <si>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</si>
  <si>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O43823_AKAP8</t>
  </si>
  <si>
    <t>O43824_GTPBP6</t>
  </si>
  <si>
    <t>O43829_ZBTB14</t>
  </si>
  <si>
    <t>O43837_IDH3B</t>
  </si>
  <si>
    <t>O43852_CALU</t>
  </si>
  <si>
    <t>O43861-2_ATP9B</t>
  </si>
  <si>
    <t>O43865_AHCYL1</t>
  </si>
  <si>
    <t>O43909_EXTL3</t>
  </si>
  <si>
    <t>O43913_ORC5</t>
  </si>
  <si>
    <t>O43920_NDUFS5</t>
  </si>
  <si>
    <t>O43924_PDE6D</t>
  </si>
  <si>
    <t>O43933_PEX1</t>
  </si>
  <si>
    <t>O60216_RAD21</t>
  </si>
  <si>
    <t>O60218_AKR1B10</t>
  </si>
  <si>
    <t>O60220_TIMM8A</t>
  </si>
  <si>
    <t>O60231_DHX16</t>
  </si>
  <si>
    <t>O60234_GMFG</t>
  </si>
  <si>
    <t>O60239_SH3BP5</t>
  </si>
  <si>
    <t>O60244_MED14</t>
  </si>
  <si>
    <t>O60256_PRPSAP2</t>
  </si>
  <si>
    <t>O60262_GNG7</t>
  </si>
  <si>
    <t>O60264_SMARCA5</t>
  </si>
  <si>
    <t>O60271-4_SPAG9</t>
  </si>
  <si>
    <t>O60287_URB1</t>
  </si>
  <si>
    <t>O60294_LCMT2</t>
  </si>
  <si>
    <t>O60306_AQR</t>
  </si>
  <si>
    <t>O60307_MAST3</t>
  </si>
  <si>
    <t>O60313-2_OPA1</t>
  </si>
  <si>
    <t>O60331-4_PIP5K1C</t>
  </si>
  <si>
    <t>O60333-2_KIF1B</t>
  </si>
  <si>
    <t>O60337-5_MARCH6</t>
  </si>
  <si>
    <t>O60341_KDM1A</t>
  </si>
  <si>
    <t>O60343-2_TBC1D4</t>
  </si>
  <si>
    <t>O60344-4_ECE2</t>
  </si>
  <si>
    <t>O60353-2_FZD6</t>
  </si>
  <si>
    <t>O60427_FADS1</t>
  </si>
  <si>
    <t>O60443_DFNA5</t>
  </si>
  <si>
    <t>O60476_MAN1A2</t>
  </si>
  <si>
    <t>O60488-2_ACSL4</t>
  </si>
  <si>
    <t>O60493_SNX3</t>
  </si>
  <si>
    <t>O60496_DOK2</t>
  </si>
  <si>
    <t>O60504-2_SORBS3</t>
  </si>
  <si>
    <t>O60506-3_SYNCRIP</t>
  </si>
  <si>
    <t>O60508_CDC40</t>
  </si>
  <si>
    <t>O60518_RANBP6</t>
  </si>
  <si>
    <t>O60524-4_NEMF</t>
  </si>
  <si>
    <t>O60547_GMDS</t>
  </si>
  <si>
    <t>O60551_NMT2</t>
  </si>
  <si>
    <t>O60563_CCNT1</t>
  </si>
  <si>
    <t>O60566_BUB1B</t>
  </si>
  <si>
    <t>O60568_PLOD3</t>
  </si>
  <si>
    <t>O60583-2_CCNT2</t>
  </si>
  <si>
    <t>O60613_SEP15</t>
  </si>
  <si>
    <t>O60645-3_EXOC3</t>
  </si>
  <si>
    <t>O60664_PLIN3</t>
  </si>
  <si>
    <t>O60664-3_PLIN3</t>
  </si>
  <si>
    <t>O60671_RAD1</t>
  </si>
  <si>
    <t>O60675_MAFK</t>
  </si>
  <si>
    <t>O60678_PRMT3</t>
  </si>
  <si>
    <t>O60701_UGDH</t>
  </si>
  <si>
    <t>O60704_TPST2</t>
  </si>
  <si>
    <t>O60711_LPXN</t>
  </si>
  <si>
    <t>O60725_ICMT</t>
  </si>
  <si>
    <t>O60739_EIF1B</t>
  </si>
  <si>
    <t>O60749_SNX2</t>
  </si>
  <si>
    <t>O60763_USO1</t>
  </si>
  <si>
    <t>O60783_MRPS14</t>
  </si>
  <si>
    <t>O60826_CCDC22</t>
  </si>
  <si>
    <t>O60828_PQBP1</t>
  </si>
  <si>
    <t>O60830_TIMM17B</t>
  </si>
  <si>
    <t>O60831_PRAF2</t>
  </si>
  <si>
    <t>O60832_DKC1</t>
  </si>
  <si>
    <t>O60841_EIF5B</t>
  </si>
  <si>
    <t>O60861_GAS7</t>
  </si>
  <si>
    <t>O60869_EDF1</t>
  </si>
  <si>
    <t>O60870_KIN</t>
  </si>
  <si>
    <t>O60880_SH2D1A</t>
  </si>
  <si>
    <t>O60880-4_SH2D1A</t>
  </si>
  <si>
    <t>O60884_DNAJA2</t>
  </si>
  <si>
    <t>O60885_BRD4</t>
  </si>
  <si>
    <t>O60888-3_CUTA</t>
  </si>
  <si>
    <t>O60906_SMPD2</t>
  </si>
  <si>
    <t>O60925_PFDN1</t>
  </si>
  <si>
    <t>O60927_PPP1R11</t>
  </si>
  <si>
    <t>O60930_RNASEH1</t>
  </si>
  <si>
    <t>O60934_NBN</t>
  </si>
  <si>
    <t>O60942_RNGTT</t>
  </si>
  <si>
    <t>O75027_ABCB7</t>
  </si>
  <si>
    <t>O75044_SRGAP2</t>
  </si>
  <si>
    <t>O75054_IGSF3</t>
  </si>
  <si>
    <t>O75061-3_DNAJC6</t>
  </si>
  <si>
    <t>O75063_FAM20B</t>
  </si>
  <si>
    <t>O75071_EFCAB14</t>
  </si>
  <si>
    <t>O75083_WDR1</t>
  </si>
  <si>
    <t>O75113_N4BP1</t>
  </si>
  <si>
    <t>O75116_ROCK2</t>
  </si>
  <si>
    <t>O75131_CPNE3</t>
  </si>
  <si>
    <t>O75143-2_ATG13</t>
  </si>
  <si>
    <t>O75145-2_PPFIA3</t>
  </si>
  <si>
    <t>O75146_HIP1R</t>
  </si>
  <si>
    <t>O75150_RNF40</t>
  </si>
  <si>
    <t>O75151_PHF2</t>
  </si>
  <si>
    <t>O75152_ZC3H11A</t>
  </si>
  <si>
    <t>O75155_CAND2</t>
  </si>
  <si>
    <t>O75157-2_TSC22D2</t>
  </si>
  <si>
    <t>O75164_KDM4A</t>
  </si>
  <si>
    <t>O75165_DNAJC13</t>
  </si>
  <si>
    <t>O75170-4_PPP6R2</t>
  </si>
  <si>
    <t>O75175_CNOT3</t>
  </si>
  <si>
    <t>O75177_SS18L1</t>
  </si>
  <si>
    <t>O75179-2_ANKRD17</t>
  </si>
  <si>
    <t>O75190_DNAJB6</t>
  </si>
  <si>
    <t>O75191_XYLB</t>
  </si>
  <si>
    <t>O75208_COQ9</t>
  </si>
  <si>
    <t>O75223_GGCT</t>
  </si>
  <si>
    <t>O75264_C19orf77</t>
  </si>
  <si>
    <t>O75306_NDUFS2</t>
  </si>
  <si>
    <t>O75312_ZNF259</t>
  </si>
  <si>
    <t>O75317_USP12</t>
  </si>
  <si>
    <t>O75323_GBAS</t>
  </si>
  <si>
    <t>O75326_SEMA7A</t>
  </si>
  <si>
    <t>O75330-2_HMMR</t>
  </si>
  <si>
    <t>O75340_PDCD6</t>
  </si>
  <si>
    <t>O75347_TBCA</t>
  </si>
  <si>
    <t>O75348_ATP6V1G1</t>
  </si>
  <si>
    <t>O75351_VPS4B</t>
  </si>
  <si>
    <t>O75356_ENTPD5</t>
  </si>
  <si>
    <t>O75362_ZNF217</t>
  </si>
  <si>
    <t>O75367-2_H2AFY</t>
  </si>
  <si>
    <t>O75368_SH3BGRL</t>
  </si>
  <si>
    <t>O75369-8_FLNB</t>
  </si>
  <si>
    <t>O75376_NCOR1</t>
  </si>
  <si>
    <t>O75379-2_VAMP4</t>
  </si>
  <si>
    <t>O75380_NDUFS6</t>
  </si>
  <si>
    <t>O75381-2_PEX14</t>
  </si>
  <si>
    <t>O75382-2_TRIM3</t>
  </si>
  <si>
    <t>O75386_TULP3</t>
  </si>
  <si>
    <t>O75387_SLC43A1</t>
  </si>
  <si>
    <t>O75391_SPAG7</t>
  </si>
  <si>
    <t>O75394_MRPL33</t>
  </si>
  <si>
    <t>O75396_SEC22B</t>
  </si>
  <si>
    <t>O75400_PRPF40A</t>
  </si>
  <si>
    <t>O75419-2_CDC45</t>
  </si>
  <si>
    <t>O75420_GIGYF1</t>
  </si>
  <si>
    <t>O75427_LRCH4</t>
  </si>
  <si>
    <t>O75436_VPS26A</t>
  </si>
  <si>
    <t>O75438_NDUFB1</t>
  </si>
  <si>
    <t>O75439_PMPCB</t>
  </si>
  <si>
    <t>O75446_SAP30</t>
  </si>
  <si>
    <t>O75449_KATNA1</t>
  </si>
  <si>
    <t>O75475_PSIP1</t>
  </si>
  <si>
    <t>O75477_ERLIN1</t>
  </si>
  <si>
    <t>O75489_NDUFS3</t>
  </si>
  <si>
    <t>O75503_CLN5</t>
  </si>
  <si>
    <t>O75506_HSBP1</t>
  </si>
  <si>
    <t>O75521-2_ECI2</t>
  </si>
  <si>
    <t>O75525_KHDRBS3</t>
  </si>
  <si>
    <t>O75528_TADA3</t>
  </si>
  <si>
    <t>O75530_EED</t>
  </si>
  <si>
    <t>O75531_BANF1</t>
  </si>
  <si>
    <t>O75533_SF3B1</t>
  </si>
  <si>
    <t>O75534_CSDE1</t>
  </si>
  <si>
    <t>O75554_WBP4</t>
  </si>
  <si>
    <t>O75570_MTRF1</t>
  </si>
  <si>
    <t>O75582_RPS6KA5</t>
  </si>
  <si>
    <t>O75600_GCAT</t>
  </si>
  <si>
    <t>O75607_NPM3</t>
  </si>
  <si>
    <t>O75608-2_LYPLA1</t>
  </si>
  <si>
    <t>O75616_ERAL1</t>
  </si>
  <si>
    <t>O75643_SNRNP200</t>
  </si>
  <si>
    <t>O75648_TRMU</t>
  </si>
  <si>
    <t>O75663_TIPRL</t>
  </si>
  <si>
    <t>O75688_PPM1B</t>
  </si>
  <si>
    <t>O75691_UTP20</t>
  </si>
  <si>
    <t>O75694-2_NUP155</t>
  </si>
  <si>
    <t>O75695_RP2</t>
  </si>
  <si>
    <t>O75717_WDHD1</t>
  </si>
  <si>
    <t>O75746_SLC25A12</t>
  </si>
  <si>
    <t>O75781_PALM</t>
  </si>
  <si>
    <t>O75791_GRAP2</t>
  </si>
  <si>
    <t>O75792_RNASEH2A</t>
  </si>
  <si>
    <t>O75794_CDC123</t>
  </si>
  <si>
    <t>O75808_SOLH</t>
  </si>
  <si>
    <t>O75818_RPP40</t>
  </si>
  <si>
    <t>O75821_EIF3G</t>
  </si>
  <si>
    <t>O75822_EIF3J</t>
  </si>
  <si>
    <t>O75828_CBR3</t>
  </si>
  <si>
    <t>O75843_AP1G2</t>
  </si>
  <si>
    <t>O75844_ZMPSTE24</t>
  </si>
  <si>
    <t>O75865_TRAPPC6A</t>
  </si>
  <si>
    <t>O75874_IDH1</t>
  </si>
  <si>
    <t>O75882_ATRN</t>
  </si>
  <si>
    <t>O75884_RBBP9</t>
  </si>
  <si>
    <t>O75886_STAM2</t>
  </si>
  <si>
    <t>O75896_TUSC2</t>
  </si>
  <si>
    <t>O75909_CCNK</t>
  </si>
  <si>
    <t>O75915_ARL6IP5</t>
  </si>
  <si>
    <t>O75925_PIAS1</t>
  </si>
  <si>
    <t>O75928-2_PIAS2</t>
  </si>
  <si>
    <t>O75934_BCAS2</t>
  </si>
  <si>
    <t>O75935_DCTN3</t>
  </si>
  <si>
    <t>O75937_DNAJC8</t>
  </si>
  <si>
    <t>O75940_SMNDC1</t>
  </si>
  <si>
    <t>O75943-4_RAD17</t>
  </si>
  <si>
    <t>O75947_ATP5H</t>
  </si>
  <si>
    <t>O75955_FLOT1</t>
  </si>
  <si>
    <t>O75962-2_TRIO</t>
  </si>
  <si>
    <t>O75964_ATP5L</t>
  </si>
  <si>
    <t>O75973_C1QL1</t>
  </si>
  <si>
    <t>O75976_CPD</t>
  </si>
  <si>
    <t>O75995_SASH3</t>
  </si>
  <si>
    <t>O76003_GLRX3</t>
  </si>
  <si>
    <t>O76024_WFS1</t>
  </si>
  <si>
    <t>O76031_CLPX</t>
  </si>
  <si>
    <t>O76054-4_SEC14L2</t>
  </si>
  <si>
    <t>O76071_CIAO1</t>
  </si>
  <si>
    <t>O76080_ZFAND5</t>
  </si>
  <si>
    <t>O76094_SRP72</t>
  </si>
  <si>
    <t>O76095-2_JTB</t>
  </si>
  <si>
    <t>O76096_CST7</t>
  </si>
  <si>
    <t>O94762_RECQL5</t>
  </si>
  <si>
    <t>O94763_URI1</t>
  </si>
  <si>
    <t>O94766_B3GAT3</t>
  </si>
  <si>
    <t>O94768_STK17B</t>
  </si>
  <si>
    <t>O94776_MTA2</t>
  </si>
  <si>
    <t>O94782_USP1</t>
  </si>
  <si>
    <t>O94804_STK10</t>
  </si>
  <si>
    <t>O94819_KBTBD11</t>
  </si>
  <si>
    <t>O94826_TOMM70A</t>
  </si>
  <si>
    <t>O94829_IPO13</t>
  </si>
  <si>
    <t>O94830_DDHD2</t>
  </si>
  <si>
    <t>O94832_MYO1D</t>
  </si>
  <si>
    <t>O94855_SEC24D</t>
  </si>
  <si>
    <t>O94864-2_SUPT7L</t>
  </si>
  <si>
    <t>O94874_UFL1</t>
  </si>
  <si>
    <t>O94880_PHF14</t>
  </si>
  <si>
    <t>O94886_TMEM63A</t>
  </si>
  <si>
    <t>O94888_UBXN7</t>
  </si>
  <si>
    <t>O94889_KLHL18</t>
  </si>
  <si>
    <t>O94900_TOX</t>
  </si>
  <si>
    <t>O94903_PROSC</t>
  </si>
  <si>
    <t>O94905_ERLIN2</t>
  </si>
  <si>
    <t>O94906_PRPF6</t>
  </si>
  <si>
    <t>O94913_PCF11</t>
  </si>
  <si>
    <t>O94919_ENDOD1</t>
  </si>
  <si>
    <t>O94925_GLS</t>
  </si>
  <si>
    <t>O94925-3_GLS</t>
  </si>
  <si>
    <t>O94927_HAUS5</t>
  </si>
  <si>
    <t>O94952-1_FBXO21</t>
  </si>
  <si>
    <t>O94966-7_USP19</t>
  </si>
  <si>
    <t>O94967-2_WDR47</t>
  </si>
  <si>
    <t>O94973_AP2A2</t>
  </si>
  <si>
    <t>O94973-2_AP2A2</t>
  </si>
  <si>
    <t>O94992_HEXIM1</t>
  </si>
  <si>
    <t>O95059_RPP14</t>
  </si>
  <si>
    <t>O95067_CCNB2</t>
  </si>
  <si>
    <t>O95081_AGFG2</t>
  </si>
  <si>
    <t>O95104_SCAF4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</si>
  <si>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</si>
  <si>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</si>
  <si>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</si>
  <si>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</si>
  <si>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</si>
  <si>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</si>
  <si>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</si>
  <si>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O95182_NDUFA7</t>
  </si>
  <si>
    <t>O95183_VAMP5</t>
  </si>
  <si>
    <t>O95197-2_RTN3</t>
  </si>
  <si>
    <t>O95202_LETM1</t>
  </si>
  <si>
    <t>O95218-2_ZRANB2</t>
  </si>
  <si>
    <t>O95219_SNX4</t>
  </si>
  <si>
    <t>O95229_ZWINT</t>
  </si>
  <si>
    <t>O95231_VENTX</t>
  </si>
  <si>
    <t>O95232_LUC7L3</t>
  </si>
  <si>
    <t>O95235_KIF20A</t>
  </si>
  <si>
    <t>O95239_KIF4A</t>
  </si>
  <si>
    <t>O95251-4_KAT7</t>
  </si>
  <si>
    <t>O95292_VAPB</t>
  </si>
  <si>
    <t>O95295_SNAPIN</t>
  </si>
  <si>
    <t>O95297-2_MPZL1</t>
  </si>
  <si>
    <t>O95298-2_NDUFC2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</si>
  <si>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</si>
  <si>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</si>
  <si>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</si>
  <si>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</si>
  <si>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</si>
  <si>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</si>
  <si>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</si>
  <si>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</si>
  <si>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</si>
  <si>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</si>
  <si>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</si>
  <si>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</si>
  <si>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O95402_MED26</t>
  </si>
  <si>
    <t>O95405_ZFYVE9</t>
  </si>
  <si>
    <t>O95429-2_BAG4</t>
  </si>
  <si>
    <t>O95433_AHSA1</t>
  </si>
  <si>
    <t>O95453-2_PARN</t>
  </si>
  <si>
    <t>O95456_PSMG1</t>
  </si>
  <si>
    <t>O95466-2_FMNL1</t>
  </si>
  <si>
    <t>O95470_SGPL1</t>
  </si>
  <si>
    <t>O95475_SIX6</t>
  </si>
  <si>
    <t>O95486_SEC24A</t>
  </si>
  <si>
    <t>O95487-2_SEC24B</t>
  </si>
  <si>
    <t>O95544_NADK</t>
  </si>
  <si>
    <t>O95551_TDP2</t>
  </si>
  <si>
    <t>O95568_METTL18</t>
  </si>
  <si>
    <t>O95571_ETHE1</t>
  </si>
  <si>
    <t>O95573_ACSL3</t>
  </si>
  <si>
    <t>O95602_POLR1A</t>
  </si>
  <si>
    <t>O95619_YEATS4</t>
  </si>
  <si>
    <t>O95620_DUS4L</t>
  </si>
  <si>
    <t>O95628-3_CNOT4</t>
  </si>
  <si>
    <t>O95630_STAMBP</t>
  </si>
  <si>
    <t>O95639-3_CPSF4</t>
  </si>
  <si>
    <t>O95671-2_ASMTL</t>
  </si>
  <si>
    <t>O95674_CDS2</t>
  </si>
  <si>
    <t>O95684_FGFR1OP</t>
  </si>
  <si>
    <t>O95685_PPP1R3D</t>
  </si>
  <si>
    <t>O95716_RAB3D</t>
  </si>
  <si>
    <t>O95721_SNAP29</t>
  </si>
  <si>
    <t>O95747_OXSR1</t>
  </si>
  <si>
    <t>O95749_GGPS1</t>
  </si>
  <si>
    <t>O95758-1_PTBP3</t>
  </si>
  <si>
    <t>O95777_NAA38</t>
  </si>
  <si>
    <t>O95782-2_AP2A1</t>
  </si>
  <si>
    <t>O95786_DDX58</t>
  </si>
  <si>
    <t>O95801_TTC4</t>
  </si>
  <si>
    <t>O95807_TMEM50A</t>
  </si>
  <si>
    <t>O95816_BAG2</t>
  </si>
  <si>
    <t>O95817_BAG3</t>
  </si>
  <si>
    <t>O95822_MLYCD</t>
  </si>
  <si>
    <t>O95825_CRYZL1</t>
  </si>
  <si>
    <t>O95831-3_AIFM1</t>
  </si>
  <si>
    <t>O95834-2_EML2</t>
  </si>
  <si>
    <t>O95837_GNA14</t>
  </si>
  <si>
    <t>O95848_NUDT14</t>
  </si>
  <si>
    <t>O95857_TSPAN13</t>
  </si>
  <si>
    <t>O95861_BPNT1</t>
  </si>
  <si>
    <t>O95864_FADS2</t>
  </si>
  <si>
    <t>O95865_DDAH2</t>
  </si>
  <si>
    <t>O95873_C6orf47</t>
  </si>
  <si>
    <t>O95881_TXNDC12</t>
  </si>
  <si>
    <t>O95905-2_ECD</t>
  </si>
  <si>
    <t>O95926_SYF2</t>
  </si>
  <si>
    <t>O95980_RECK</t>
  </si>
  <si>
    <t>O95983-2_MBD3</t>
  </si>
  <si>
    <t>O95985-3_TOP3B</t>
  </si>
  <si>
    <t>O95989_NUDT3</t>
  </si>
  <si>
    <t>O95997_PTTG1</t>
  </si>
  <si>
    <t>O95999_BCL10</t>
  </si>
  <si>
    <t>O96000_NDUFB10</t>
  </si>
  <si>
    <t>O96006_ZBED1</t>
  </si>
  <si>
    <t>O96007_MOCS2</t>
  </si>
  <si>
    <t>O96008_TOMM40</t>
  </si>
  <si>
    <t>O96011_PEX11B</t>
  </si>
  <si>
    <t>O96013_PAK4</t>
  </si>
  <si>
    <t>O96017_CHEK2</t>
  </si>
  <si>
    <t>O96018_APBA3</t>
  </si>
  <si>
    <t>O96019_ACTL6A</t>
  </si>
  <si>
    <t>O96028-5_WHSC1</t>
  </si>
  <si>
    <t>O96033_MOCS2</t>
  </si>
  <si>
    <t>P00167-2_CYB5A</t>
  </si>
  <si>
    <t>P00326_ADH1C</t>
  </si>
  <si>
    <t>P00338_LDHA</t>
  </si>
  <si>
    <t>P00352_ALDH1A1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</si>
  <si>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</si>
  <si>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</si>
  <si>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</si>
  <si>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</si>
  <si>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</si>
  <si>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</si>
  <si>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</si>
  <si>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</si>
  <si>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</si>
  <si>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</si>
  <si>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P00558_PGK1</t>
  </si>
  <si>
    <t>P00813_ADA</t>
  </si>
  <si>
    <t>P00846_MT-ATP6</t>
  </si>
  <si>
    <t>P00966_ASS1</t>
  </si>
  <si>
    <t>P01009-2_SERPINA1</t>
  </si>
  <si>
    <t>P01023_A2M</t>
  </si>
  <si>
    <t>P01024_C3</t>
  </si>
  <si>
    <t>P01034_CST3</t>
  </si>
  <si>
    <t>P01037_CST1</t>
  </si>
  <si>
    <t>P01111_NRAS</t>
  </si>
  <si>
    <t>P01112_HRAS</t>
  </si>
  <si>
    <t>P01116-2_KRAS</t>
  </si>
  <si>
    <t>P01137_TGFB1</t>
  </si>
  <si>
    <t>P01344_IGF2</t>
  </si>
  <si>
    <t>P01730_CD4</t>
  </si>
  <si>
    <t>P01733_TRBV12-3</t>
  </si>
  <si>
    <t>P01737_</t>
  </si>
  <si>
    <t>P01777_</t>
  </si>
  <si>
    <t>P01833_PIGR</t>
  </si>
  <si>
    <t>P01834_IGKC</t>
  </si>
  <si>
    <t>P01848_TRAC</t>
  </si>
  <si>
    <t>P01850_TRBC1</t>
  </si>
  <si>
    <t>P01857_IGHG1</t>
  </si>
  <si>
    <t>P01876_IGHA1</t>
  </si>
  <si>
    <t>P01889_HLA-B</t>
  </si>
  <si>
    <t>P02008_HBZ</t>
  </si>
  <si>
    <t>P02545_LMNA</t>
  </si>
  <si>
    <t>P02763_ORM1</t>
  </si>
  <si>
    <t>P02766_TTR</t>
  </si>
  <si>
    <t>P02786_TFRC</t>
  </si>
  <si>
    <t>P02792_FTL</t>
  </si>
  <si>
    <t>P02794_FTH1</t>
  </si>
  <si>
    <t>P02795_MT2A</t>
  </si>
  <si>
    <t>P02814_SMR3B</t>
  </si>
  <si>
    <t>P03897_MT-ND3</t>
  </si>
  <si>
    <t>P03928_MT-ATP8</t>
  </si>
  <si>
    <t>P03971_AMH</t>
  </si>
  <si>
    <t>P03973_SLPI</t>
  </si>
  <si>
    <t>P04040_CAT</t>
  </si>
  <si>
    <t>P04053-2_DNTT</t>
  </si>
  <si>
    <t>P04066_FUCA1</t>
  </si>
  <si>
    <t>P04075_ALDOA</t>
  </si>
  <si>
    <t>P04080_CSTB</t>
  </si>
  <si>
    <t>P04083_ANXA1</t>
  </si>
  <si>
    <t>P04114_APOB</t>
  </si>
  <si>
    <t>P04150-7_NR3C1</t>
  </si>
  <si>
    <t>P04181_OAT</t>
  </si>
  <si>
    <t>P04183_TK1</t>
  </si>
  <si>
    <t>P04234_CD3D</t>
  </si>
  <si>
    <t>P04264_KRT1</t>
  </si>
  <si>
    <t>P04275_VWF</t>
  </si>
  <si>
    <t>P04350_TUBB4A</t>
  </si>
  <si>
    <t>P04406_GAPDH</t>
  </si>
  <si>
    <t>P04406-2_GAPDH</t>
  </si>
  <si>
    <t>P04424_ASL</t>
  </si>
  <si>
    <t>P04632_CAPNS1</t>
  </si>
  <si>
    <t>P04745_AMY1A</t>
  </si>
  <si>
    <t>P04792_HSPB1</t>
  </si>
  <si>
    <t>P04818_TYMS</t>
  </si>
  <si>
    <t>P04843_RPN1</t>
  </si>
  <si>
    <t>P04844_RPN2</t>
  </si>
  <si>
    <t>P04899_GNAI2</t>
  </si>
  <si>
    <t>P04920-2_SLC4A2</t>
  </si>
  <si>
    <t>P04921-2_GYPC</t>
  </si>
  <si>
    <t>P05023-4_ATP1A1</t>
  </si>
  <si>
    <t>P05062_ALDOB</t>
  </si>
  <si>
    <t>P05089-3_ARG1</t>
  </si>
  <si>
    <t>P05106_ITGB3</t>
  </si>
  <si>
    <t>P05107_ITGB2</t>
  </si>
  <si>
    <t>P05109_S100A8</t>
  </si>
  <si>
    <t>P05114_HMGN1</t>
  </si>
  <si>
    <t>P05120_SERPINB2</t>
  </si>
  <si>
    <t>P05141_SLC25A5</t>
  </si>
  <si>
    <t>P05161_ISG15</t>
  </si>
  <si>
    <t>P05165-2_PCCA</t>
  </si>
  <si>
    <t>P05198_EIF2S1</t>
  </si>
  <si>
    <t>P05204_HMGN2</t>
  </si>
  <si>
    <t>P05362_ICAM1</t>
  </si>
  <si>
    <t>P05386_RPLP1</t>
  </si>
  <si>
    <t>P05387_RPLP2</t>
  </si>
  <si>
    <t>P05388_RPLP0</t>
  </si>
  <si>
    <t>P05412_JUN</t>
  </si>
  <si>
    <t>P05455_SSB</t>
  </si>
  <si>
    <t>P05556_ITGB1</t>
  </si>
  <si>
    <t>P05771-2_PRKCB</t>
  </si>
  <si>
    <t>P06126_CD1A</t>
  </si>
  <si>
    <t>P06127_CD5</t>
  </si>
  <si>
    <t>P06132_UROD</t>
  </si>
  <si>
    <t>P06213-2_INSR</t>
  </si>
  <si>
    <t>P06239_LCK</t>
  </si>
  <si>
    <t>P06241-2_FYN</t>
  </si>
  <si>
    <t>P06280_GLA</t>
  </si>
  <si>
    <t>P06396-2_GSN</t>
  </si>
  <si>
    <t>P06400_RB1</t>
  </si>
  <si>
    <t>P06493_CDK1</t>
  </si>
  <si>
    <t>P06576_ATP5B</t>
  </si>
  <si>
    <t>P06702_S100A9</t>
  </si>
  <si>
    <t>P06729_CD2</t>
  </si>
  <si>
    <t>P06733_ENO1</t>
  </si>
  <si>
    <t>P06733-2_ENO1</t>
  </si>
  <si>
    <t>P06744_GPI</t>
  </si>
  <si>
    <t>P06746_POLB</t>
  </si>
  <si>
    <t>P06748_NPM1</t>
  </si>
  <si>
    <t>P06748-3_NPM1</t>
  </si>
  <si>
    <t>P06753-2_TPM3</t>
  </si>
  <si>
    <t>P06753-3_TPM3</t>
  </si>
  <si>
    <t>P06753-5_TPM3</t>
  </si>
  <si>
    <t>P06756-3_ITGAV</t>
  </si>
  <si>
    <t>P06899_HIST1H2BJ</t>
  </si>
  <si>
    <t>P07099_EPHX1</t>
  </si>
  <si>
    <t>P07108_DBI</t>
  </si>
  <si>
    <t>P07195_LDHB</t>
  </si>
  <si>
    <t>P07203_GPX1</t>
  </si>
  <si>
    <t>P07205_PGK2</t>
  </si>
  <si>
    <t>P07237_P4HB</t>
  </si>
  <si>
    <t>P07305-2_H1F0</t>
  </si>
  <si>
    <t>P07339_CTSD</t>
  </si>
  <si>
    <t>P07355_ANXA2</t>
  </si>
  <si>
    <t>P07384_CAPN1</t>
  </si>
  <si>
    <t>P07686_HEXB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</si>
  <si>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</si>
  <si>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</si>
  <si>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</si>
  <si>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</si>
  <si>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</si>
  <si>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</si>
  <si>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</si>
  <si>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</si>
  <si>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P07954-2_FH</t>
  </si>
  <si>
    <t>P08047_SP1</t>
  </si>
  <si>
    <t>P08107_HSPA1A</t>
  </si>
  <si>
    <t>P08133_ANXA6</t>
  </si>
  <si>
    <t>P08237_PFKM</t>
  </si>
  <si>
    <t>P08238_HSP90AB1</t>
  </si>
  <si>
    <t>P08240_SRPR</t>
  </si>
  <si>
    <t>P08243-2_ASNS</t>
  </si>
  <si>
    <t>P08397-2_HMBS</t>
  </si>
  <si>
    <t>P08559_PDHA1</t>
  </si>
  <si>
    <t>P08567_PLEK</t>
  </si>
  <si>
    <t>P08574_CYC1</t>
  </si>
  <si>
    <t>P08575_PTPRC</t>
  </si>
  <si>
    <t>P08579_SNRPB2</t>
  </si>
  <si>
    <t>P08582_MFI2</t>
  </si>
  <si>
    <t>P08590_MYL3</t>
  </si>
  <si>
    <t>P08621-2_SNRNP70</t>
  </si>
  <si>
    <t>P08648_ITGA5</t>
  </si>
  <si>
    <t>P08651-4_NFIC</t>
  </si>
  <si>
    <t>P08670_VIM</t>
  </si>
  <si>
    <t>P08754_GNAI3</t>
  </si>
  <si>
    <t>P08758_ANXA5</t>
  </si>
  <si>
    <t>P09012_SNRPA</t>
  </si>
  <si>
    <t>P09104_ENO2</t>
  </si>
  <si>
    <t>P09110_ACAA1</t>
  </si>
  <si>
    <t>P09132_SRP19</t>
  </si>
  <si>
    <t>P09211_GSTP1</t>
  </si>
  <si>
    <t>P09234_SNRPC</t>
  </si>
  <si>
    <t>P09326_CD48</t>
  </si>
  <si>
    <t>P09382_LGALS1</t>
  </si>
  <si>
    <t>P09417_QDPR</t>
  </si>
  <si>
    <t>P09429_HMGB1</t>
  </si>
  <si>
    <t>P09471-2_GNAO1</t>
  </si>
  <si>
    <t>P09486_SPARC</t>
  </si>
  <si>
    <t>P09488_GSTM1</t>
  </si>
  <si>
    <t>P09496-2_CLTA</t>
  </si>
  <si>
    <t>P09497-2_CLTB</t>
  </si>
  <si>
    <t>P09525_ANXA4</t>
  </si>
  <si>
    <t>P09543-2_CNP</t>
  </si>
  <si>
    <t>P09564_CD7</t>
  </si>
  <si>
    <t>P09622_DLD</t>
  </si>
  <si>
    <t>P09661_SNRPA1</t>
  </si>
  <si>
    <t>P09668_CTSH</t>
  </si>
  <si>
    <t>P09669_COX6C</t>
  </si>
  <si>
    <t>P09693_CD3G</t>
  </si>
  <si>
    <t>P09874_PARP1</t>
  </si>
  <si>
    <t>P09960_LTA4H</t>
  </si>
  <si>
    <t>P09972_ALDOC</t>
  </si>
  <si>
    <t>P0C7P0_CISD3</t>
  </si>
  <si>
    <t>P0C7P4_UQCRFS1P1</t>
  </si>
  <si>
    <t>P0C7T5_ATXN1L</t>
  </si>
  <si>
    <t>P0C7V0_LINC00271</t>
  </si>
  <si>
    <t>P0CAP2_POLR2M</t>
  </si>
  <si>
    <t>P0CG06_IGLC3</t>
  </si>
  <si>
    <t>P0CG12_CHTF8</t>
  </si>
  <si>
    <t>P0CG13_CHTF8</t>
  </si>
  <si>
    <t>P0CW22_RPS17L</t>
  </si>
  <si>
    <t>P0DJ93_SMIM13</t>
  </si>
  <si>
    <t>P10109_FDX1</t>
  </si>
  <si>
    <t>P10155_TROVE2</t>
  </si>
  <si>
    <t>P10176_COX8A</t>
  </si>
  <si>
    <t>P10253_GAA</t>
  </si>
  <si>
    <t>P10301_RRAS</t>
  </si>
  <si>
    <t>P10316_HLA-A</t>
  </si>
  <si>
    <t>P10398_ARAF</t>
  </si>
  <si>
    <t>P10412_HIST1H1E</t>
  </si>
  <si>
    <t>P10515_DLAT</t>
  </si>
  <si>
    <t>P10586-2_PTPRF</t>
  </si>
  <si>
    <t>P10599_TXN</t>
  </si>
  <si>
    <t>P10606_COX5B</t>
  </si>
  <si>
    <t>P10619_CTSA</t>
  </si>
  <si>
    <t>P10636-4_MAPT</t>
  </si>
  <si>
    <t>P10644_PRKAR1A</t>
  </si>
  <si>
    <t>P10721-2_KIT</t>
  </si>
  <si>
    <t>P10746_UROS</t>
  </si>
  <si>
    <t>P10747_CD28</t>
  </si>
  <si>
    <t>P10768_ESD</t>
  </si>
  <si>
    <t>P10809_HSPD1</t>
  </si>
  <si>
    <t>P11021_HSPA5</t>
  </si>
  <si>
    <t>P11047_LAMC1</t>
  </si>
  <si>
    <t>P11142_HSPA8</t>
  </si>
  <si>
    <t>P11166_SLC2A1</t>
  </si>
  <si>
    <t>P11169_SLC2A3</t>
  </si>
  <si>
    <t>P11171-2_EPB41</t>
  </si>
  <si>
    <t>P11171-4_EPB41</t>
  </si>
  <si>
    <t>P11172_UMPS</t>
  </si>
  <si>
    <t>P11177-2_PDHB</t>
  </si>
  <si>
    <t>P11182_DBT</t>
  </si>
  <si>
    <t>P11216_PYGB</t>
  </si>
  <si>
    <t>P11233_RALA</t>
  </si>
  <si>
    <t>P11234_RALB</t>
  </si>
  <si>
    <t>P11274_BCR</t>
  </si>
  <si>
    <t>P11279_LAMP1</t>
  </si>
  <si>
    <t>P11387_TOP1</t>
  </si>
  <si>
    <t>P11388_TOP2A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</si>
  <si>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</si>
  <si>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</si>
  <si>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</si>
  <si>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</si>
  <si>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</si>
  <si>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</si>
  <si>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</si>
  <si>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P11831_SRF</t>
  </si>
  <si>
    <t>P11908-2_PRPS2</t>
  </si>
  <si>
    <t>P11926_ODC1</t>
  </si>
  <si>
    <t>P11940_PABPC1</t>
  </si>
  <si>
    <t>P12004_PCNA</t>
  </si>
  <si>
    <t>P12081_HARS</t>
  </si>
  <si>
    <t>P12235_SLC25A4</t>
  </si>
  <si>
    <t>P12236_SLC25A6</t>
  </si>
  <si>
    <t>P12268_IMPDH2</t>
  </si>
  <si>
    <t>P12270_TPR</t>
  </si>
  <si>
    <t>P12273_PIP</t>
  </si>
  <si>
    <t>P12277_CKB</t>
  </si>
  <si>
    <t>P12429_ANXA3</t>
  </si>
  <si>
    <t>P12532_CKMT1A</t>
  </si>
  <si>
    <t>P12544-2_GZMA</t>
  </si>
  <si>
    <t>P12755_SKI</t>
  </si>
  <si>
    <t>P12814_ACTN1</t>
  </si>
  <si>
    <t>P12882_MYH1</t>
  </si>
  <si>
    <t>P12931_SRC</t>
  </si>
  <si>
    <t>P12955_PEPD</t>
  </si>
  <si>
    <t>P12956_XRCC6</t>
  </si>
  <si>
    <t>P13010_XRCC5</t>
  </si>
  <si>
    <t>P13051_UNG</t>
  </si>
  <si>
    <t>P13056_NR2C1</t>
  </si>
  <si>
    <t>P13073_COX4I1</t>
  </si>
  <si>
    <t>P13284_IFI30</t>
  </si>
  <si>
    <t>P13489_RNH1</t>
  </si>
  <si>
    <t>P13498_CYBA</t>
  </si>
  <si>
    <t>P13598_ICAM2</t>
  </si>
  <si>
    <t>P13612_ITGA4</t>
  </si>
  <si>
    <t>P13637_ATP1A3</t>
  </si>
  <si>
    <t>P13639_EEF2</t>
  </si>
  <si>
    <t>P13667_PDIA4</t>
  </si>
  <si>
    <t>P13674-2_P4HA1</t>
  </si>
  <si>
    <t>P13693_TPT1</t>
  </si>
  <si>
    <t>P13796_LCP1</t>
  </si>
  <si>
    <t>P13804_ETFA</t>
  </si>
  <si>
    <t>P13807-2_GYS1</t>
  </si>
  <si>
    <t>P13861_PRKAR2A</t>
  </si>
  <si>
    <t>P13929-2_ENO3</t>
  </si>
  <si>
    <t>P13984_GTF2F2</t>
  </si>
  <si>
    <t>P13994_CCDC130</t>
  </si>
  <si>
    <t>P13995_MTHFD2</t>
  </si>
  <si>
    <t>P14136-3_GFAP</t>
  </si>
  <si>
    <t>P14151_SELL</t>
  </si>
  <si>
    <t>P14174_MIF</t>
  </si>
  <si>
    <t>P14209-3_CD99</t>
  </si>
  <si>
    <t>P14317_HCLS1</t>
  </si>
  <si>
    <t>P14324-2_FDPS</t>
  </si>
  <si>
    <t>P14550_AKR1A1</t>
  </si>
  <si>
    <t>P14618_PKM</t>
  </si>
  <si>
    <t>P14618-2_PKM</t>
  </si>
  <si>
    <t>P14621_ACYP2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</si>
  <si>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</si>
  <si>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</si>
  <si>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</si>
  <si>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</si>
  <si>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</si>
  <si>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</si>
  <si>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</si>
  <si>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</si>
  <si>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P14921_ETS1</t>
  </si>
  <si>
    <t>P14923_JUP</t>
  </si>
  <si>
    <t>P14927_UQCRB</t>
  </si>
  <si>
    <t>P15056_BRAF</t>
  </si>
  <si>
    <t>P15090_FABP4</t>
  </si>
  <si>
    <t>P15104_GLUL</t>
  </si>
  <si>
    <t>P15121_AKR1B1</t>
  </si>
  <si>
    <t>P15151-3_PVR</t>
  </si>
  <si>
    <t>P15153_RAC2</t>
  </si>
  <si>
    <t>P15170-2_GSPT1</t>
  </si>
  <si>
    <t>P15289_ARSA</t>
  </si>
  <si>
    <t>P15311_EZR</t>
  </si>
  <si>
    <t>P15374_UCHL3</t>
  </si>
  <si>
    <t>P15428_HPGD</t>
  </si>
  <si>
    <t>P15498_VAV1</t>
  </si>
  <si>
    <t>P15529-16_CD46</t>
  </si>
  <si>
    <t>P15531_NME1</t>
  </si>
  <si>
    <t>P15813_CD1D</t>
  </si>
  <si>
    <t>P15848_ARSB</t>
  </si>
  <si>
    <t>P15880_RPS2</t>
  </si>
  <si>
    <t>P15882_CHN1</t>
  </si>
  <si>
    <t>P15907_ST6GAL1</t>
  </si>
  <si>
    <t>P15923-2_TCF3</t>
  </si>
  <si>
    <t>P15924_DSP</t>
  </si>
  <si>
    <t>P15927_RPA2</t>
  </si>
  <si>
    <t>P16035_TIMP2</t>
  </si>
  <si>
    <t>P16150_SPN</t>
  </si>
  <si>
    <t>P16219_ACADS</t>
  </si>
  <si>
    <t>P16220_CREB1</t>
  </si>
  <si>
    <t>P16278-3_GLB1</t>
  </si>
  <si>
    <t>P16284-3_PECAM1</t>
  </si>
  <si>
    <t>P16298_PPP3CB</t>
  </si>
  <si>
    <t>P16333_NCK1</t>
  </si>
  <si>
    <t>P16383_GCFC2</t>
  </si>
  <si>
    <t>P16389-2_KCNA2</t>
  </si>
  <si>
    <t>P16401_HIST1H1B</t>
  </si>
  <si>
    <t>P16435_POR</t>
  </si>
  <si>
    <t>P16455_MGMT</t>
  </si>
  <si>
    <t>P16591-3_FER</t>
  </si>
  <si>
    <t>P16615_ATP2A2</t>
  </si>
  <si>
    <t>P16885_PLCG2</t>
  </si>
  <si>
    <t>P16930_FAH</t>
  </si>
  <si>
    <t>P16949_STMN1</t>
  </si>
  <si>
    <t>P16989_YBX3</t>
  </si>
  <si>
    <t>P17026_ZNF22</t>
  </si>
  <si>
    <t>P17028_ZNF24</t>
  </si>
  <si>
    <t>P17050_NAGA</t>
  </si>
  <si>
    <t>P17066_HSPA6</t>
  </si>
  <si>
    <t>P17096_HMGA1</t>
  </si>
  <si>
    <t>P17098_ZNF8</t>
  </si>
  <si>
    <t>P17152_TMEM11</t>
  </si>
  <si>
    <t>P17174_GOT1</t>
  </si>
  <si>
    <t>P17181_IFNAR1</t>
  </si>
  <si>
    <t>P17252_PRKCA</t>
  </si>
  <si>
    <t>P17275_JUNB</t>
  </si>
  <si>
    <t>P17480_UBTF</t>
  </si>
  <si>
    <t>P17483_HOXB4</t>
  </si>
  <si>
    <t>P17535_JUND</t>
  </si>
  <si>
    <t>P17542-3_TAL1</t>
  </si>
  <si>
    <t>P17544-4_ATF7</t>
  </si>
  <si>
    <t>P17568_NDUFB7</t>
  </si>
  <si>
    <t>P17600-2_SYN1</t>
  </si>
  <si>
    <t>P17612_PRKACA</t>
  </si>
  <si>
    <t>P17706-2_PTPN2</t>
  </si>
  <si>
    <t>P17707_AMD1</t>
  </si>
  <si>
    <t>P17812_CTPS1</t>
  </si>
  <si>
    <t>P17844_DDX5</t>
  </si>
  <si>
    <t>P17858_PFKL</t>
  </si>
  <si>
    <t>P17900_GM2A</t>
  </si>
  <si>
    <t>P17987_TCP1</t>
  </si>
  <si>
    <t>P18031_PTPN1</t>
  </si>
  <si>
    <t>P18065_IGFBP2</t>
  </si>
  <si>
    <t>P18074_ERCC2</t>
  </si>
  <si>
    <t>P18077_RPL35A</t>
  </si>
  <si>
    <t>P18084_ITGB5</t>
  </si>
  <si>
    <t>P18085_ARF4</t>
  </si>
  <si>
    <t>P18124_RPL7</t>
  </si>
  <si>
    <t>P18146_EGR1</t>
  </si>
  <si>
    <t>P18206-2_VCL</t>
  </si>
  <si>
    <t>P18583-2_SON</t>
  </si>
  <si>
    <t>P18615_NELFE</t>
  </si>
  <si>
    <t>P18669_PGAM1</t>
  </si>
  <si>
    <t>P18754-2_RCC1</t>
  </si>
  <si>
    <t>P18846_ATF1</t>
  </si>
  <si>
    <t>P18858_LIG1</t>
  </si>
  <si>
    <t>P18859_ATP5J</t>
  </si>
  <si>
    <t>P18887_XRCC1</t>
  </si>
  <si>
    <t>P19022_CDH2</t>
  </si>
  <si>
    <t>P19174_PLCG1</t>
  </si>
  <si>
    <t>P19338_NCL</t>
  </si>
  <si>
    <t>P19387_POLR2C</t>
  </si>
  <si>
    <t>P19388_POLR2E</t>
  </si>
  <si>
    <t>P19397_CD53</t>
  </si>
  <si>
    <t>P19447_ERCC3</t>
  </si>
  <si>
    <t>P19525_EIF2AK2</t>
  </si>
  <si>
    <t>P19532_TFE3</t>
  </si>
  <si>
    <t>P19623_SRM</t>
  </si>
  <si>
    <t>P19784_CSNK2A2</t>
  </si>
  <si>
    <t>P19835_CEL</t>
  </si>
  <si>
    <t>P19838_NFKB1</t>
  </si>
  <si>
    <t>P20020-5_ATP2B1</t>
  </si>
  <si>
    <t>P20042_EIF2S2</t>
  </si>
  <si>
    <t>P20061_TCN1</t>
  </si>
  <si>
    <t>P20248_CCNA2</t>
  </si>
  <si>
    <t>P20290_BTF3</t>
  </si>
  <si>
    <t>P20290-2_BTF3</t>
  </si>
  <si>
    <t>P20336_RAB3A</t>
  </si>
  <si>
    <t>P20337_RAB3B</t>
  </si>
  <si>
    <t>P20338_RAB4A</t>
  </si>
  <si>
    <t>P20340_RAB6A</t>
  </si>
  <si>
    <t>P20340-2_RAB6A</t>
  </si>
  <si>
    <t>P20618_PSMB1</t>
  </si>
  <si>
    <t>P20645_M6PR</t>
  </si>
  <si>
    <t>P20671_HIST1H2AD</t>
  </si>
  <si>
    <t>P20674_COX5A</t>
  </si>
  <si>
    <t>P20700_LMNB1</t>
  </si>
  <si>
    <t>P20701_ITGAL</t>
  </si>
  <si>
    <t>P20774_OGN</t>
  </si>
  <si>
    <t>P20962_PTMS</t>
  </si>
  <si>
    <t>P20963_CD247</t>
  </si>
  <si>
    <t>P21127-8_CDK11B</t>
  </si>
  <si>
    <t>P21266_GSTM3</t>
  </si>
  <si>
    <t>P21281_ATP6V1B2</t>
  </si>
  <si>
    <t>P21283_ATP6V1C1</t>
  </si>
  <si>
    <t>P21291_CSRP1</t>
  </si>
  <si>
    <t>P21333-2_FLNA</t>
  </si>
  <si>
    <t>P21399_ACO1</t>
  </si>
  <si>
    <t>P21549_AGXT</t>
  </si>
  <si>
    <t>P21580_TNFAIP3</t>
  </si>
  <si>
    <t>P21796_VDAC1</t>
  </si>
  <si>
    <t>P21912_SDHB</t>
  </si>
  <si>
    <t>P21953_BCKDHB</t>
  </si>
  <si>
    <t>P21964-2_COMT</t>
  </si>
  <si>
    <t>P22033_MUT</t>
  </si>
  <si>
    <t>P22059_OSBP</t>
  </si>
  <si>
    <t>P22087_FBL</t>
  </si>
  <si>
    <t>P22102_GART</t>
  </si>
  <si>
    <t>P22234_PAICS</t>
  </si>
  <si>
    <t>P22307_SCP2</t>
  </si>
  <si>
    <t>P22314_UBA1</t>
  </si>
  <si>
    <t>P22570-5_FDXR</t>
  </si>
  <si>
    <t>P22626_HNRNPA2B1</t>
  </si>
  <si>
    <t>P22670_RFX1</t>
  </si>
  <si>
    <t>P22681_CBL</t>
  </si>
  <si>
    <t>P22694-4_PRKACB</t>
  </si>
  <si>
    <t>P22695_UQCRC2</t>
  </si>
  <si>
    <t>P22830_FECH</t>
  </si>
  <si>
    <t>P23025_XPA</t>
  </si>
  <si>
    <t>P23109-2_AMPD1</t>
  </si>
  <si>
    <t>P23193_TCEA1</t>
  </si>
  <si>
    <t>P23246_SFPQ</t>
  </si>
  <si>
    <t>P23258_TUBG1</t>
  </si>
  <si>
    <t>P23284_PPIB</t>
  </si>
  <si>
    <t>P23368_ME2</t>
  </si>
  <si>
    <t>P23378_GLDC</t>
  </si>
  <si>
    <t>P23381_WARS</t>
  </si>
  <si>
    <t>P23396_RPS3</t>
  </si>
  <si>
    <t>P23434_GCSH</t>
  </si>
  <si>
    <t>P23458_JAK1</t>
  </si>
  <si>
    <t>P23469-3_PTPRE</t>
  </si>
  <si>
    <t>P23497_SP100</t>
  </si>
  <si>
    <t>P23511-2_NFYA</t>
  </si>
  <si>
    <t>P23526_AHCY</t>
  </si>
  <si>
    <t>P23527_HIST1H2BO</t>
  </si>
  <si>
    <t>P23528_CFL1</t>
  </si>
  <si>
    <t>P23610_F8A1</t>
  </si>
  <si>
    <t>P23634-7_ATP2B4</t>
  </si>
  <si>
    <t>P23743_DGKA</t>
  </si>
  <si>
    <t>P23771_GATA3</t>
  </si>
  <si>
    <t>P23786_CPT2</t>
  </si>
  <si>
    <t>P23919_DTYMK</t>
  </si>
  <si>
    <t>P23921_RRM1</t>
  </si>
  <si>
    <t>P24001-2_IL32</t>
  </si>
  <si>
    <t>P24298_GPT</t>
  </si>
  <si>
    <t>P24311_COX7B</t>
  </si>
  <si>
    <t>P24534_EEF1B2</t>
  </si>
  <si>
    <t>P24588_AKAP5</t>
  </si>
  <si>
    <t>P24666_ACP1</t>
  </si>
  <si>
    <t>P24666-2_ACP1</t>
  </si>
  <si>
    <t>P24752_ACAT1</t>
  </si>
  <si>
    <t>P24928_POLR2A</t>
  </si>
  <si>
    <t>P25054-2_APC</t>
  </si>
  <si>
    <t>P25098_ADRBK1</t>
  </si>
  <si>
    <t>P25116_F2R</t>
  </si>
  <si>
    <t>P25205_MCM3</t>
  </si>
  <si>
    <t>P25325_MPST</t>
  </si>
  <si>
    <t>P25398_RPS12</t>
  </si>
  <si>
    <t>P25445-6_FAS</t>
  </si>
  <si>
    <t>P25490_YY1</t>
  </si>
  <si>
    <t>P25685_DNAJB1</t>
  </si>
  <si>
    <t>P25686_DNAJB2</t>
  </si>
  <si>
    <t>P25705_ATP5A1</t>
  </si>
  <si>
    <t>P25705-2_ATP5A1</t>
  </si>
  <si>
    <t>P25774-2_CTSS</t>
  </si>
  <si>
    <t>P25786_PSMA1</t>
  </si>
  <si>
    <t>P25787_PSMA2</t>
  </si>
  <si>
    <t>P25788-2_PSMA3</t>
  </si>
  <si>
    <t>P25789_PSMA4</t>
  </si>
  <si>
    <t>P25815_S100P</t>
  </si>
  <si>
    <t>P26006_ITGA3</t>
  </si>
  <si>
    <t>P26038_MSN</t>
  </si>
  <si>
    <t>P26196_DDX6</t>
  </si>
  <si>
    <t>P26358_DNMT1</t>
  </si>
  <si>
    <t>P26368-2_U2AF2</t>
  </si>
  <si>
    <t>P26373_RPL13</t>
  </si>
  <si>
    <t>P26374_CHML</t>
  </si>
  <si>
    <t>P26440_IVD</t>
  </si>
  <si>
    <t>P26447_S100A4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</si>
  <si>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</si>
  <si>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</si>
  <si>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</si>
  <si>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</si>
  <si>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</si>
  <si>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</si>
  <si>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</si>
  <si>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P27348_YWHAQ</t>
  </si>
  <si>
    <t>P27361_MAPK3</t>
  </si>
  <si>
    <t>P27449_ATP6V0C</t>
  </si>
  <si>
    <t>P27540-2_ARNT</t>
  </si>
  <si>
    <t>P27544-2_CERS1</t>
  </si>
  <si>
    <t>P27635_RPL10</t>
  </si>
  <si>
    <t>P27694_RPA1</t>
  </si>
  <si>
    <t>P27695_APEX1</t>
  </si>
  <si>
    <t>P27701_CD82</t>
  </si>
  <si>
    <t>P27797_CALR</t>
  </si>
  <si>
    <t>P27815_PDE4A</t>
  </si>
  <si>
    <t>P27816-5_MAP4</t>
  </si>
  <si>
    <t>P27824_CANX</t>
  </si>
  <si>
    <t>P27986_PIK3R1</t>
  </si>
  <si>
    <t>P28062_PSMB8</t>
  </si>
  <si>
    <t>P28065_PSMB9</t>
  </si>
  <si>
    <t>P28066_PSMA5</t>
  </si>
  <si>
    <t>P28070_PSMB4</t>
  </si>
  <si>
    <t>P28072_PSMB6</t>
  </si>
  <si>
    <t>P28074_PSMB5</t>
  </si>
  <si>
    <t>P28161_GSTM2</t>
  </si>
  <si>
    <t>P28331-4_NDUFS1</t>
  </si>
  <si>
    <t>P28482_MAPK1</t>
  </si>
  <si>
    <t>P28702_RXRB</t>
  </si>
  <si>
    <t>P28715_ERCC5</t>
  </si>
  <si>
    <t>P28749_RBL1</t>
  </si>
  <si>
    <t>P28799_GRN</t>
  </si>
  <si>
    <t>P28838_LAP3</t>
  </si>
  <si>
    <t>P28907_CD38</t>
  </si>
  <si>
    <t>P28908_TNFRSF8</t>
  </si>
  <si>
    <t>P29016_CD1B</t>
  </si>
  <si>
    <t>P29083_GTF2E1</t>
  </si>
  <si>
    <t>P29084_GTF2E2</t>
  </si>
  <si>
    <t>P29144_TPP2</t>
  </si>
  <si>
    <t>P29218_IMPA1</t>
  </si>
  <si>
    <t>P29350_PTPN6</t>
  </si>
  <si>
    <t>P29353-7_SHC1</t>
  </si>
  <si>
    <t>P29372-5_MPG</t>
  </si>
  <si>
    <t>P29374-3_ARID4A</t>
  </si>
  <si>
    <t>P29401_TKT</t>
  </si>
  <si>
    <t>P29590_PML</t>
  </si>
  <si>
    <t>P29692-3_EEF1D</t>
  </si>
  <si>
    <t>P29728-2_OAS2</t>
  </si>
  <si>
    <t>P29965_CD40LG</t>
  </si>
  <si>
    <t>P29966_MARCKS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</si>
  <si>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</si>
  <si>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</si>
  <si>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</si>
  <si>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</si>
  <si>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</si>
  <si>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</si>
  <si>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</si>
  <si>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</si>
  <si>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</si>
  <si>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</si>
  <si>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</si>
  <si>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</si>
  <si>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</si>
  <si>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</si>
  <si>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</si>
  <si>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P30203-5_CD6</t>
  </si>
  <si>
    <t>P30260_CDC27</t>
  </si>
  <si>
    <t>P30281_CCND3</t>
  </si>
  <si>
    <t>P30291_WEE1</t>
  </si>
  <si>
    <t>P30405_PPIF</t>
  </si>
  <si>
    <t>P30419_NMT1</t>
  </si>
  <si>
    <t>P30493_HLA-B</t>
  </si>
  <si>
    <t>P30495_HLA-B</t>
  </si>
  <si>
    <t>P30504_HLA-C</t>
  </si>
  <si>
    <t>P30519_HMOX2</t>
  </si>
  <si>
    <t>P30520_ADSS</t>
  </si>
  <si>
    <t>P30533_LRPAP1</t>
  </si>
  <si>
    <t>P30566_ADSL</t>
  </si>
  <si>
    <t>P30613-2_PKLR</t>
  </si>
  <si>
    <t>P30622-2_CLIP1</t>
  </si>
  <si>
    <t>P30679_GNA15</t>
  </si>
  <si>
    <t>P30685_HLA-B</t>
  </si>
  <si>
    <t>P30740_SERPINB1</t>
  </si>
  <si>
    <t>P30793_GCH1</t>
  </si>
  <si>
    <t>P30825_SLC7A1</t>
  </si>
  <si>
    <t>P31146_CORO1A</t>
  </si>
  <si>
    <t>P31150_GDI1</t>
  </si>
  <si>
    <t>P31151_S100A7</t>
  </si>
  <si>
    <t>P31153_MAT2A</t>
  </si>
  <si>
    <t>P31321_PRKAR1B</t>
  </si>
  <si>
    <t>P31323_PRKAR2B</t>
  </si>
  <si>
    <t>P31327_CPS1</t>
  </si>
  <si>
    <t>P31350_RRM2</t>
  </si>
  <si>
    <t>P31641_SLC6A6</t>
  </si>
  <si>
    <t>P31689_DNAJA1</t>
  </si>
  <si>
    <t>P31749_AKT1</t>
  </si>
  <si>
    <t>P31751_AKT2</t>
  </si>
  <si>
    <t>P31785_IL2RG</t>
  </si>
  <si>
    <t>P31930_UQCRC1</t>
  </si>
  <si>
    <t>P31937_HIBADH</t>
  </si>
  <si>
    <t>P31939_ATIC</t>
  </si>
  <si>
    <t>P31942-2_HNRNPH3</t>
  </si>
  <si>
    <t>P31946-2_YWHAB</t>
  </si>
  <si>
    <t>P31947-2_SFN</t>
  </si>
  <si>
    <t>P31948_STIP1</t>
  </si>
  <si>
    <t>P31949_S100A11</t>
  </si>
  <si>
    <t>P32019-3_INPP5B</t>
  </si>
  <si>
    <t>P32119_PRDX2</t>
  </si>
  <si>
    <t>P32121_ARRB2</t>
  </si>
  <si>
    <t>P32189-1_GK</t>
  </si>
  <si>
    <t>P32321-2_DCTD</t>
  </si>
  <si>
    <t>P32322_PYCR1</t>
  </si>
  <si>
    <t>P32455_GBP1</t>
  </si>
  <si>
    <t>P32519-2_ELF1</t>
  </si>
  <si>
    <t>P32780_GTF2H1</t>
  </si>
  <si>
    <t>P32856-3_STX2</t>
  </si>
  <si>
    <t>P32929_CTH</t>
  </si>
  <si>
    <t>P32942_ICAM3</t>
  </si>
  <si>
    <t>P32969_RPL9</t>
  </si>
  <si>
    <t>P33121_ACSL1</t>
  </si>
  <si>
    <t>P33176_KIF5B</t>
  </si>
  <si>
    <t>P33240-2_CSTF2</t>
  </si>
  <si>
    <t>P33241_LSP1</t>
  </si>
  <si>
    <t>P33316_DUT</t>
  </si>
  <si>
    <t>P33316-2_DUT</t>
  </si>
  <si>
    <t>P33527_ABCC1</t>
  </si>
  <si>
    <t>P33552_CKS2</t>
  </si>
  <si>
    <t>P33897_ABCD1</t>
  </si>
  <si>
    <t>P33908_MAN1A1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</si>
  <si>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</si>
  <si>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</si>
  <si>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</si>
  <si>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</si>
  <si>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</si>
  <si>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</si>
  <si>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</si>
  <si>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P34932_HSPA4</t>
  </si>
  <si>
    <t>P34947_GRK5</t>
  </si>
  <si>
    <t>P34972_CNR2</t>
  </si>
  <si>
    <t>P35219_CA8</t>
  </si>
  <si>
    <t>P35221_CTNNA1</t>
  </si>
  <si>
    <t>P35227_PCGF2</t>
  </si>
  <si>
    <t>P35232_PHB</t>
  </si>
  <si>
    <t>P35236-2_PTPN7</t>
  </si>
  <si>
    <t>P35237_SERPINB6</t>
  </si>
  <si>
    <t>P35240-5_NF2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</si>
  <si>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</si>
  <si>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</si>
  <si>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</si>
  <si>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</si>
  <si>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</si>
  <si>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</si>
  <si>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</si>
  <si>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</si>
  <si>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P35321_SPRR1A</t>
  </si>
  <si>
    <t>P35408_PTGER4</t>
  </si>
  <si>
    <t>P35520_CBS</t>
  </si>
  <si>
    <t>P35573_AGL</t>
  </si>
  <si>
    <t>P35579_MYH9</t>
  </si>
  <si>
    <t>P35580_MYH10</t>
  </si>
  <si>
    <t>P35606_COPB2</t>
  </si>
  <si>
    <t>P35610_SOAT1</t>
  </si>
  <si>
    <t>P35611_ADD1</t>
  </si>
  <si>
    <t>P35612_ADD2</t>
  </si>
  <si>
    <t>P35613-2_BSG</t>
  </si>
  <si>
    <t>P35626_ADRBK2</t>
  </si>
  <si>
    <t>P35637-2_FUS</t>
  </si>
  <si>
    <t>P35658-2_NUP214</t>
  </si>
  <si>
    <t>P35659_DEK</t>
  </si>
  <si>
    <t>P35754_GLRX</t>
  </si>
  <si>
    <t>P35790_CHKA</t>
  </si>
  <si>
    <t>P35813_PPM1A</t>
  </si>
  <si>
    <t>P35998_PSMC2</t>
  </si>
  <si>
    <t>P36404_ARL2</t>
  </si>
  <si>
    <t>P36405_ARL3</t>
  </si>
  <si>
    <t>P36406-3_TRIM23</t>
  </si>
  <si>
    <t>P36507_MAP2K2</t>
  </si>
  <si>
    <t>P36542_ATP5C1</t>
  </si>
  <si>
    <t>P36543_ATP6V1E1</t>
  </si>
  <si>
    <t>P36551_CPOX</t>
  </si>
  <si>
    <t>P36578_RPL4</t>
  </si>
  <si>
    <t>P36639-4_NUDT1</t>
  </si>
  <si>
    <t>P36871_PGM1</t>
  </si>
  <si>
    <t>P36873-2_PPP1CC</t>
  </si>
  <si>
    <t>P36915_GNL1</t>
  </si>
  <si>
    <t>P36954_POLR2I</t>
  </si>
  <si>
    <t>P36957_DLST</t>
  </si>
  <si>
    <t>P36969-2_GPX4</t>
  </si>
  <si>
    <t>P37108_SRP14</t>
  </si>
  <si>
    <t>P37198_NUP62</t>
  </si>
  <si>
    <t>P37235_HPCAL1</t>
  </si>
  <si>
    <t>P37268_FDFT1</t>
  </si>
  <si>
    <t>P37275-3_ZEB1</t>
  </si>
  <si>
    <t>P37802_TAGLN2</t>
  </si>
  <si>
    <t>P37837_TALDO1</t>
  </si>
  <si>
    <t>P38117_ETFB</t>
  </si>
  <si>
    <t>P38159_RBMX</t>
  </si>
  <si>
    <t>P38159-2_RBMX</t>
  </si>
  <si>
    <t>P38571-2_LIPA</t>
  </si>
  <si>
    <t>P38646_HSPA9</t>
  </si>
  <si>
    <t>P38919_EIF4A3</t>
  </si>
  <si>
    <t>P38935_IGHMBP2</t>
  </si>
  <si>
    <t>P39019_RPS19</t>
  </si>
  <si>
    <t>P39023_RPL3</t>
  </si>
  <si>
    <t>P39656_DDOST</t>
  </si>
  <si>
    <t>P39687_ANP32A</t>
  </si>
  <si>
    <t>P39748_FEN1</t>
  </si>
  <si>
    <t>P39880-3_CUX1</t>
  </si>
  <si>
    <t>P40121_CAPG</t>
  </si>
  <si>
    <t>P40222_TXLNA</t>
  </si>
  <si>
    <t>P40227_CCT6A</t>
  </si>
  <si>
    <t>P40306_PSMB10</t>
  </si>
  <si>
    <t>P40337-3_VHL</t>
  </si>
  <si>
    <t>P40425_PBX2</t>
  </si>
  <si>
    <t>P40692_MLH1</t>
  </si>
  <si>
    <t>P40763_STAT3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</si>
  <si>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</si>
  <si>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</si>
  <si>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</si>
  <si>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</si>
  <si>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</si>
  <si>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</si>
  <si>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</si>
  <si>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P41134_ID1</t>
  </si>
  <si>
    <t>P41208_CETN2</t>
  </si>
  <si>
    <t>P41212_ETV6</t>
  </si>
  <si>
    <t>P41214_EIF2D</t>
  </si>
  <si>
    <t>P41223_BUD31</t>
  </si>
  <si>
    <t>P41227_NAA10</t>
  </si>
  <si>
    <t>P41229-3_KDM5C</t>
  </si>
  <si>
    <t>P41240_CSK</t>
  </si>
  <si>
    <t>P41250_GARS</t>
  </si>
  <si>
    <t>P41252_IARS</t>
  </si>
  <si>
    <t>P41440_SLC19A1</t>
  </si>
  <si>
    <t>P41567_EIF1</t>
  </si>
  <si>
    <t>P41743_PRKCI</t>
  </si>
  <si>
    <t>P42025_ACTR1B</t>
  </si>
  <si>
    <t>P42166_TMPO</t>
  </si>
  <si>
    <t>P42167_TMPO</t>
  </si>
  <si>
    <t>P42167-2_TMPO</t>
  </si>
  <si>
    <t>P42224_STAT1</t>
  </si>
  <si>
    <t>P42226_STAT6</t>
  </si>
  <si>
    <t>P42285_SKIV2L2</t>
  </si>
  <si>
    <t>P42330_AKR1C3</t>
  </si>
  <si>
    <t>P42331-5_ARHGAP25</t>
  </si>
  <si>
    <t>P42336_PIK3CA</t>
  </si>
  <si>
    <t>P42338_PIK3CB</t>
  </si>
  <si>
    <t>P42345_MTOR</t>
  </si>
  <si>
    <t>P42566_EPS15</t>
  </si>
  <si>
    <t>P42574_CASP3</t>
  </si>
  <si>
    <t>P42575_CASP2</t>
  </si>
  <si>
    <t>P42677_RPS27</t>
  </si>
  <si>
    <t>P42684-6_ABL2</t>
  </si>
  <si>
    <t>P42695_NCAPD3</t>
  </si>
  <si>
    <t>P42704_LRPPRC</t>
  </si>
  <si>
    <t>P42765_ACAA2</t>
  </si>
  <si>
    <t>P42766_RPL35</t>
  </si>
  <si>
    <t>P42768_WAS</t>
  </si>
  <si>
    <t>P42773_CDKN2C</t>
  </si>
  <si>
    <t>P42785_PRCP</t>
  </si>
  <si>
    <t>P42858_HTT</t>
  </si>
  <si>
    <t>P42892-3_ECE1</t>
  </si>
  <si>
    <t>P42898_MTHFR</t>
  </si>
  <si>
    <t>P43003-2_SLC1A3</t>
  </si>
  <si>
    <t>P43007_SLC1A4</t>
  </si>
  <si>
    <t>P43034_PAFAH1B1</t>
  </si>
  <si>
    <t>P43155-2_CRAT</t>
  </si>
  <si>
    <t>P43250-2_GRK6</t>
  </si>
  <si>
    <t>P43307_SSR1</t>
  </si>
  <si>
    <t>P43378_PTPN9</t>
  </si>
  <si>
    <t>P43403_ZAP70</t>
  </si>
  <si>
    <t>P43487_RANBP1</t>
  </si>
  <si>
    <t>P43490_NAMPT</t>
  </si>
  <si>
    <t>P43686_PSMC4</t>
  </si>
  <si>
    <t>P43897_TSFM</t>
  </si>
  <si>
    <t>P45880_VDAC2</t>
  </si>
  <si>
    <t>P45954_ACADSB</t>
  </si>
  <si>
    <t>P45973_CBX5</t>
  </si>
  <si>
    <t>P45974-2_USP5</t>
  </si>
  <si>
    <t>P45983-3_MAPK8</t>
  </si>
  <si>
    <t>P45984-2_MAPK9</t>
  </si>
  <si>
    <t>P45985_MAP2K4</t>
  </si>
  <si>
    <t>P46013_MKI67</t>
  </si>
  <si>
    <t>P46060_RANGAP1</t>
  </si>
  <si>
    <t>P46063_RECQL</t>
  </si>
  <si>
    <t>P46087_NOP2</t>
  </si>
  <si>
    <t>P46100-4_ATRX</t>
  </si>
  <si>
    <t>P46108_CRK</t>
  </si>
  <si>
    <t>P46109_CRKL</t>
  </si>
  <si>
    <t>P46199_MTIF2</t>
  </si>
  <si>
    <t>P46527_CDKN1B</t>
  </si>
  <si>
    <t>P46531_NOTCH1</t>
  </si>
  <si>
    <t>P46734_MAP2K3</t>
  </si>
  <si>
    <t>P46736-2_BRCC3</t>
  </si>
  <si>
    <t>P46777_RPL5</t>
  </si>
  <si>
    <t>P46778_RPL21</t>
  </si>
  <si>
    <t>P46779_RPL28</t>
  </si>
  <si>
    <t>P46781_RPS9</t>
  </si>
  <si>
    <t>P46783_RPS10</t>
  </si>
  <si>
    <t>P46926_GNPDA1</t>
  </si>
  <si>
    <t>P46934-4_NEDD4</t>
  </si>
  <si>
    <t>P46939_UTRN</t>
  </si>
  <si>
    <t>P46940_IQGAP1</t>
  </si>
  <si>
    <t>P46976-2_GYG1</t>
  </si>
  <si>
    <t>P46977_STT3A</t>
  </si>
  <si>
    <t>P47224_RABIF</t>
  </si>
  <si>
    <t>P47755_CAPZA2</t>
  </si>
  <si>
    <t>P47756-2_CAPZB</t>
  </si>
  <si>
    <t>P47813_EIF1AX</t>
  </si>
  <si>
    <t>P47897_QARS</t>
  </si>
  <si>
    <t>P47914_RPL29</t>
  </si>
  <si>
    <t>P47974_ZFP36L2</t>
  </si>
  <si>
    <t>P47985_UQCRFS1</t>
  </si>
  <si>
    <t>P48029-3_SLC6A8</t>
  </si>
  <si>
    <t>P48047_ATP5O</t>
  </si>
  <si>
    <t>P48059-5_LIMS1</t>
  </si>
  <si>
    <t>P48147_PREP</t>
  </si>
  <si>
    <t>P48200_IREB2</t>
  </si>
  <si>
    <t>P48380-3_RFX3</t>
  </si>
  <si>
    <t>P48444_ARCN1</t>
  </si>
  <si>
    <t>P48449_LSS</t>
  </si>
  <si>
    <t>P48454_PPP3CC</t>
  </si>
  <si>
    <t>P48506_GCLC</t>
  </si>
  <si>
    <t>P48507_GCLM</t>
  </si>
  <si>
    <t>P48553_TRAPPC10</t>
  </si>
  <si>
    <t>P48634_PRRC2A</t>
  </si>
  <si>
    <t>P48637_GSS</t>
  </si>
  <si>
    <t>P48643_CCT5</t>
  </si>
  <si>
    <t>P48651_PTDSS1</t>
  </si>
  <si>
    <t>P48723_HSPA13</t>
  </si>
  <si>
    <t>P48729_CSNK1A1</t>
  </si>
  <si>
    <t>P48730-2_CSNK1D</t>
  </si>
  <si>
    <t>P48735_IDH2</t>
  </si>
  <si>
    <t>P48736_PIK3CG</t>
  </si>
  <si>
    <t>P48739_PITPNB</t>
  </si>
  <si>
    <t>P48960-2_CD97</t>
  </si>
  <si>
    <t>P49005_POLD2</t>
  </si>
  <si>
    <t>P49006_MARCKSL1</t>
  </si>
  <si>
    <t>P49069_CAMLG</t>
  </si>
  <si>
    <t>P49116_NR2C2</t>
  </si>
  <si>
    <t>P49137_MAPKAPK2</t>
  </si>
  <si>
    <t>P49189_ALDH9A1</t>
  </si>
  <si>
    <t>P49207_RPL34</t>
  </si>
  <si>
    <t>P49247_RPIA</t>
  </si>
  <si>
    <t>P49257_LMAN1</t>
  </si>
  <si>
    <t>P49281-2_SLC11A2</t>
  </si>
  <si>
    <t>P49321_NASP</t>
  </si>
  <si>
    <t>P49327_FASN</t>
  </si>
  <si>
    <t>P49336-2_CDK8</t>
  </si>
  <si>
    <t>P49354_FNTA</t>
  </si>
  <si>
    <t>P49356_FNTB</t>
  </si>
  <si>
    <t>P49366_DHPS</t>
  </si>
  <si>
    <t>P49368_CCT3</t>
  </si>
  <si>
    <t>P49406_MRPL19</t>
  </si>
  <si>
    <t>P49411_TUFM</t>
  </si>
  <si>
    <t>P49427_CDC34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</si>
  <si>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</si>
  <si>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</si>
  <si>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</si>
  <si>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</si>
  <si>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</si>
  <si>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</si>
  <si>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</si>
  <si>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P49642_PRIM1</t>
  </si>
  <si>
    <t>P49643_PRIM2</t>
  </si>
  <si>
    <t>P49674_CSNK1E</t>
  </si>
  <si>
    <t>P49711_CTCF</t>
  </si>
  <si>
    <t>P49720_PSMB3</t>
  </si>
  <si>
    <t>P49721_PSMB2</t>
  </si>
  <si>
    <t>P49736_MCM2</t>
  </si>
  <si>
    <t>P49748_ACADVL</t>
  </si>
  <si>
    <t>P49750-4_YLPM1</t>
  </si>
  <si>
    <t>P49755_TMED10</t>
  </si>
  <si>
    <t>P49756_RBM25</t>
  </si>
  <si>
    <t>P49757-4_NUMB</t>
  </si>
  <si>
    <t>P49768-2_PSEN1</t>
  </si>
  <si>
    <t>P49770_EIF2B2</t>
  </si>
  <si>
    <t>P49773_HINT1</t>
  </si>
  <si>
    <t>P49789_FHIT</t>
  </si>
  <si>
    <t>P49790_NUP153</t>
  </si>
  <si>
    <t>P49792_RANBP2</t>
  </si>
  <si>
    <t>P49795_RGS19</t>
  </si>
  <si>
    <t>P49840_GSK3A</t>
  </si>
  <si>
    <t>P49841_GSK3B</t>
  </si>
  <si>
    <t>P49902_NT5C2</t>
  </si>
  <si>
    <t>P49903_SEPHS1</t>
  </si>
  <si>
    <t>P49914_MTHFS</t>
  </si>
  <si>
    <t>P49915_GMPS</t>
  </si>
  <si>
    <t>P49916_LIG3</t>
  </si>
  <si>
    <t>P49917_LIG4</t>
  </si>
  <si>
    <t>P49959_MRE11A</t>
  </si>
  <si>
    <t>P50053_KHK</t>
  </si>
  <si>
    <t>P50148_GNAQ</t>
  </si>
  <si>
    <t>P50150_GNG4</t>
  </si>
  <si>
    <t>P50151_GNG10</t>
  </si>
  <si>
    <t>P50213_IDH3A</t>
  </si>
  <si>
    <t>P50219_MNX1</t>
  </si>
  <si>
    <t>P50238_CRIP1</t>
  </si>
  <si>
    <t>P50336_PPOX</t>
  </si>
  <si>
    <t>P50402_EMD</t>
  </si>
  <si>
    <t>P50416_CPT1A</t>
  </si>
  <si>
    <t>P50440-3_GATM</t>
  </si>
  <si>
    <t>P50443_SLC26A2</t>
  </si>
  <si>
    <t>P50452_SERPINB8</t>
  </si>
  <si>
    <t>P50454_SERPINH1</t>
  </si>
  <si>
    <t>P50502_ST13</t>
  </si>
  <si>
    <t>P50552_VASP</t>
  </si>
  <si>
    <t>P50570-4_DNM2</t>
  </si>
  <si>
    <t>P50579_METAP2</t>
  </si>
  <si>
    <t>P50583_NUDT2</t>
  </si>
  <si>
    <t>P50747_HLCS</t>
  </si>
  <si>
    <t>P50748_KNTC1</t>
  </si>
  <si>
    <t>P50749_RASSF2</t>
  </si>
  <si>
    <t>P50750_CDK9</t>
  </si>
  <si>
    <t>P50851_LRBA</t>
  </si>
  <si>
    <t>P50895_BCAM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</si>
  <si>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</si>
  <si>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</si>
  <si>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</si>
  <si>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</si>
  <si>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</si>
  <si>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</si>
  <si>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</si>
  <si>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</si>
  <si>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P51157_RAB28</t>
  </si>
  <si>
    <t>P51159_RAB27A</t>
  </si>
  <si>
    <t>P51398-2_DAP3</t>
  </si>
  <si>
    <t>P51452_DUSP3</t>
  </si>
  <si>
    <t>P51513-5_NOVA1</t>
  </si>
  <si>
    <t>P51531_SMARCA2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</si>
  <si>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</si>
  <si>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</si>
  <si>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</si>
  <si>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</si>
  <si>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</si>
  <si>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</si>
  <si>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</si>
  <si>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P51649_ALDH5A1</t>
  </si>
  <si>
    <t>P51659_HSD17B4</t>
  </si>
  <si>
    <t>P51665_PSMD7</t>
  </si>
  <si>
    <t>P51668_UBE2D1</t>
  </si>
  <si>
    <t>P51688_SGSH</t>
  </si>
  <si>
    <t>P51692_STAT5B</t>
  </si>
  <si>
    <t>P51790-4_CLCN3</t>
  </si>
  <si>
    <t>P51795_CLCN5</t>
  </si>
  <si>
    <t>P51797_CLCN6</t>
  </si>
  <si>
    <t>P51798-2_CLCN7</t>
  </si>
  <si>
    <t>P51809_VAMP7</t>
  </si>
  <si>
    <t>P51828_ADCY7</t>
  </si>
  <si>
    <t>P51858_HDGF</t>
  </si>
  <si>
    <t>P51948-2_MNAT1</t>
  </si>
  <si>
    <t>P51970_NDUFA8</t>
  </si>
  <si>
    <t>P51991_HNRNPA3</t>
  </si>
  <si>
    <t>P52272-2_HNRNPM</t>
  </si>
  <si>
    <t>P52292_KPNA2</t>
  </si>
  <si>
    <t>P52294_KPNA1</t>
  </si>
  <si>
    <t>P52298_NCBP2</t>
  </si>
  <si>
    <t>P52306_RAP1GDS1</t>
  </si>
  <si>
    <t>P52306-4_RAP1GDS1</t>
  </si>
  <si>
    <t>P52435_POLR2J</t>
  </si>
  <si>
    <t>P52564_MAP2K6</t>
  </si>
  <si>
    <t>P52565_ARHGDIA</t>
  </si>
  <si>
    <t>P52566_ARHGDIB</t>
  </si>
  <si>
    <t>P52594-2_AGFG1</t>
  </si>
  <si>
    <t>P52597_HNRNPF</t>
  </si>
  <si>
    <t>P52630-4_STAT2</t>
  </si>
  <si>
    <t>P52655_GTF2A1</t>
  </si>
  <si>
    <t>P52657_GTF2A2</t>
  </si>
  <si>
    <t>P52732_KIF11</t>
  </si>
  <si>
    <t>P52735-3_VAV2</t>
  </si>
  <si>
    <t>P52756_RBM5</t>
  </si>
  <si>
    <t>P52758_HRSP12</t>
  </si>
  <si>
    <t>P52788_SMS</t>
  </si>
  <si>
    <t>P52789_HK2</t>
  </si>
  <si>
    <t>P52798-2_EFNA4</t>
  </si>
  <si>
    <t>P52815_MRPL12</t>
  </si>
  <si>
    <t>P52888_THOP1</t>
  </si>
  <si>
    <t>P52907_CAPZA1</t>
  </si>
  <si>
    <t>P52943_CRIP2</t>
  </si>
  <si>
    <t>P52948-5_NUP98</t>
  </si>
  <si>
    <t>P53004_BLVRA</t>
  </si>
  <si>
    <t>P53007_SLC25A1</t>
  </si>
  <si>
    <t>P53350_PLK1</t>
  </si>
  <si>
    <t>P53365_ARFIP2</t>
  </si>
  <si>
    <t>P53367-2_ARFIP1</t>
  </si>
  <si>
    <t>P53384-2_NUBP1</t>
  </si>
  <si>
    <t>P53396_ACLY</t>
  </si>
  <si>
    <t>P53567_CEBPG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</si>
  <si>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</si>
  <si>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</si>
  <si>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</si>
  <si>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</si>
  <si>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</si>
  <si>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</si>
  <si>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</si>
  <si>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</si>
  <si>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P53675-2_CLTCL1</t>
  </si>
  <si>
    <t>P53701_HCCS</t>
  </si>
  <si>
    <t>P53778_MAPK12</t>
  </si>
  <si>
    <t>P53794_SLC5A3</t>
  </si>
  <si>
    <t>P53801_PTTG1IP</t>
  </si>
  <si>
    <t>P53803_POLR2K</t>
  </si>
  <si>
    <t>P53814-5_SMTN</t>
  </si>
  <si>
    <t>P53985_SLC16A1</t>
  </si>
  <si>
    <t>P53990-2_IST1</t>
  </si>
  <si>
    <t>P53992_SEC24C</t>
  </si>
  <si>
    <t>P53999_SUB1</t>
  </si>
  <si>
    <t>P54098_POLG</t>
  </si>
  <si>
    <t>P54136_RARS</t>
  </si>
  <si>
    <t>P54136-2_RARS</t>
  </si>
  <si>
    <t>P54259_ATN1</t>
  </si>
  <si>
    <t>P54278_PMS2</t>
  </si>
  <si>
    <t>P54284-3_CACNB3</t>
  </si>
  <si>
    <t>P54577_YARS</t>
  </si>
  <si>
    <t>P54578_USP14</t>
  </si>
  <si>
    <t>P54619-2_PRKAG1</t>
  </si>
  <si>
    <t>P54652_HSPA2</t>
  </si>
  <si>
    <t>P54687_BCAT1</t>
  </si>
  <si>
    <t>P54709_ATP1B3</t>
  </si>
  <si>
    <t>P54710-2_FXYD2</t>
  </si>
  <si>
    <t>P54727_RAD23B</t>
  </si>
  <si>
    <t>P54819_AK2</t>
  </si>
  <si>
    <t>P54868_HMGCS2</t>
  </si>
  <si>
    <t>P54886_ALDH18A1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</si>
  <si>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</si>
  <si>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</si>
  <si>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</si>
  <si>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</si>
  <si>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</si>
  <si>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</si>
  <si>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</si>
  <si>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</si>
  <si>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P55084_HADHB</t>
  </si>
  <si>
    <t>P55145_MANF</t>
  </si>
  <si>
    <t>P55160_NCKAP1L</t>
  </si>
  <si>
    <t>P55199_ELL</t>
  </si>
  <si>
    <t>P55210_CASP7</t>
  </si>
  <si>
    <t>P55211_CASP9</t>
  </si>
  <si>
    <t>P55212_CASP6</t>
  </si>
  <si>
    <t>P55263_ADK</t>
  </si>
  <si>
    <t>P55273_CDKN2D</t>
  </si>
  <si>
    <t>P55283_CDH4</t>
  </si>
  <si>
    <t>P55327-2_TPD52</t>
  </si>
  <si>
    <t>P55735_SEC13</t>
  </si>
  <si>
    <t>P55771_PAX9</t>
  </si>
  <si>
    <t>P55789_GFER</t>
  </si>
  <si>
    <t>P55795_HNRNPH2</t>
  </si>
  <si>
    <t>P55809_OXCT1</t>
  </si>
  <si>
    <t>P55884_EIF3B</t>
  </si>
  <si>
    <t>P55899_FCGRT</t>
  </si>
  <si>
    <t>P55957_BID</t>
  </si>
  <si>
    <t>P56134-3_ATP5J2</t>
  </si>
  <si>
    <t>P56159-2_GFRA1</t>
  </si>
  <si>
    <t>P56181_NDUFV3</t>
  </si>
  <si>
    <t>P56181-2_NDUFV3</t>
  </si>
  <si>
    <t>P56182_RRP1</t>
  </si>
  <si>
    <t>P56192_MARS</t>
  </si>
  <si>
    <t>P56199_ITGA1</t>
  </si>
  <si>
    <t>P56211_ARPP19</t>
  </si>
  <si>
    <t>P56270-2_MAZ</t>
  </si>
  <si>
    <t>P56277_CMC4</t>
  </si>
  <si>
    <t>P56282_POLE2</t>
  </si>
  <si>
    <t>P56377_AP1S2</t>
  </si>
  <si>
    <t>P56378_MP68</t>
  </si>
  <si>
    <t>P56381_ATP5E</t>
  </si>
  <si>
    <t>P56385_ATP5I</t>
  </si>
  <si>
    <t>P56524_HDAC4</t>
  </si>
  <si>
    <t>P56537_EIF6</t>
  </si>
  <si>
    <t>P56556_NDUFA6</t>
  </si>
  <si>
    <t>P56559_ARL4C</t>
  </si>
  <si>
    <t>P56589_PEX3</t>
  </si>
  <si>
    <t>P56937-3_HSD17B7</t>
  </si>
  <si>
    <t>P56962_STX17</t>
  </si>
  <si>
    <t>P57060_RWDD2B</t>
  </si>
  <si>
    <t>P57075-2_UBASH3A</t>
  </si>
  <si>
    <t>P57076_C21orf59</t>
  </si>
  <si>
    <t>P57081-2_WDR4</t>
  </si>
  <si>
    <t>P57088_TMEM33</t>
  </si>
  <si>
    <t>P57105_SYNJ2BP</t>
  </si>
  <si>
    <t>P57737-3_CORO7</t>
  </si>
  <si>
    <t>P57740_NUP107</t>
  </si>
  <si>
    <t>P57768_SNX16</t>
  </si>
  <si>
    <t>P57772_EEFSEC</t>
  </si>
  <si>
    <t>P58004_SESN2</t>
  </si>
  <si>
    <t>P58546_MTPN</t>
  </si>
  <si>
    <t>P58557-2_YBEY</t>
  </si>
  <si>
    <t>P58876_HIST1H2BD</t>
  </si>
  <si>
    <t>P59190_RAB15</t>
  </si>
  <si>
    <t>P59666_DEFA3</t>
  </si>
  <si>
    <t>P60059_SEC61G</t>
  </si>
  <si>
    <t>P60174_TPI1</t>
  </si>
  <si>
    <t>P60228_EIF3E</t>
  </si>
  <si>
    <t>P60468_SEC61B</t>
  </si>
  <si>
    <t>P60510_PPP4C</t>
  </si>
  <si>
    <t>P60520_GABARAPL2</t>
  </si>
  <si>
    <t>P60602_ROMO1</t>
  </si>
  <si>
    <t>P60604-2_UBE2G2</t>
  </si>
  <si>
    <t>P60709_ACTB</t>
  </si>
  <si>
    <t>P60763_RAC3</t>
  </si>
  <si>
    <t>P60842_EIF4A1</t>
  </si>
  <si>
    <t>P60866_RPS20</t>
  </si>
  <si>
    <t>P60891_PRPS1</t>
  </si>
  <si>
    <t>P60896_SHFM1</t>
  </si>
  <si>
    <t>P60900_PSMA6</t>
  </si>
  <si>
    <t>P60903_S100A10</t>
  </si>
  <si>
    <t>P60953_CDC42</t>
  </si>
  <si>
    <t>P60953-1_CDC42</t>
  </si>
  <si>
    <t>P60981_DSTN</t>
  </si>
  <si>
    <t>P60983_GMFB</t>
  </si>
  <si>
    <t>P61006_RAB8A</t>
  </si>
  <si>
    <t>P61009_SPCS3</t>
  </si>
  <si>
    <t>P61011_SRP54</t>
  </si>
  <si>
    <t>P61018_RAB4B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</si>
  <si>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</si>
  <si>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</si>
  <si>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</si>
  <si>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</si>
  <si>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</si>
  <si>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</si>
  <si>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</si>
  <si>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</si>
  <si>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</si>
  <si>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</si>
  <si>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</si>
  <si>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</si>
  <si>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P61163_ACTR1A</t>
  </si>
  <si>
    <t>P61201_COPS2</t>
  </si>
  <si>
    <t>P61204_ARF3</t>
  </si>
  <si>
    <t>P61221_ABCE1</t>
  </si>
  <si>
    <t>P61224_RAP1B</t>
  </si>
  <si>
    <t>P61244-2_MAX</t>
  </si>
  <si>
    <t>P61247_RPS3A</t>
  </si>
  <si>
    <t>P61254_RPL26</t>
  </si>
  <si>
    <t>P61289_PSME3</t>
  </si>
  <si>
    <t>P61326_MAGOH</t>
  </si>
  <si>
    <t>P61353_RPL27</t>
  </si>
  <si>
    <t>P61457_PCBD1</t>
  </si>
  <si>
    <t>P61513_RPL37A</t>
  </si>
  <si>
    <t>P61586_RHOA</t>
  </si>
  <si>
    <t>P61599_NAA20</t>
  </si>
  <si>
    <t>P61604_HSPE1</t>
  </si>
  <si>
    <t>P61758_VBP1</t>
  </si>
  <si>
    <t>P61764_STXBP1</t>
  </si>
  <si>
    <t>P61769_B2M</t>
  </si>
  <si>
    <t>P61925_PKIA</t>
  </si>
  <si>
    <t>P61927_RPL37</t>
  </si>
  <si>
    <t>P61962_DCAF7</t>
  </si>
  <si>
    <t>P61964_WDR5</t>
  </si>
  <si>
    <t>P61966_AP1S1</t>
  </si>
  <si>
    <t>P61968_LMO4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</si>
  <si>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</si>
  <si>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</si>
  <si>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</si>
  <si>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</si>
  <si>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</si>
  <si>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</si>
  <si>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</si>
  <si>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</si>
  <si>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P62166_NCS1</t>
  </si>
  <si>
    <t>P62191_PSMC1</t>
  </si>
  <si>
    <t>P62195-2_PSMC5</t>
  </si>
  <si>
    <t>P62241_RPS8</t>
  </si>
  <si>
    <t>P62244_RPS15A</t>
  </si>
  <si>
    <t>P62249_RPS16</t>
  </si>
  <si>
    <t>P62253_UBE2G1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</si>
  <si>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</si>
  <si>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</si>
  <si>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</si>
  <si>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</si>
  <si>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</si>
  <si>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</si>
  <si>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</si>
  <si>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</si>
  <si>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</si>
  <si>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</si>
  <si>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</si>
  <si>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</si>
  <si>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</si>
  <si>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</si>
  <si>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</si>
  <si>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</si>
  <si>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</si>
  <si>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P62341_SELT</t>
  </si>
  <si>
    <t>P62380_TBPL1</t>
  </si>
  <si>
    <t>P62424_RPL7A</t>
  </si>
  <si>
    <t>P62487_POLR2G</t>
  </si>
  <si>
    <t>P62495_ETF1</t>
  </si>
  <si>
    <t>P62633-2_CNBP</t>
  </si>
  <si>
    <t>P62633-3_CNBP</t>
  </si>
  <si>
    <t>P62633-4_CNBP</t>
  </si>
  <si>
    <t>P62633-5_CNBP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</si>
  <si>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</si>
  <si>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</si>
  <si>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</si>
  <si>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</si>
  <si>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</si>
  <si>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</si>
  <si>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</si>
  <si>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</si>
  <si>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</si>
  <si>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</si>
  <si>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</si>
  <si>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</si>
  <si>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</si>
  <si>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</si>
  <si>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P62875_POLR2L</t>
  </si>
  <si>
    <t>P62877_RBX1</t>
  </si>
  <si>
    <t>P62879_GNB2</t>
  </si>
  <si>
    <t>P62888_RPL30</t>
  </si>
  <si>
    <t>P62899_RPL31</t>
  </si>
  <si>
    <t>P62906_RPL10A</t>
  </si>
  <si>
    <t>P62913-2_RPL11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</si>
  <si>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</si>
  <si>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</si>
  <si>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</si>
  <si>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</si>
  <si>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</si>
  <si>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</si>
  <si>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</si>
  <si>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</si>
  <si>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P63092_GNAS</t>
  </si>
  <si>
    <t>P63092-3_GNAS</t>
  </si>
  <si>
    <t>P63104_YWHAZ</t>
  </si>
  <si>
    <t>P63146_UBE2B</t>
  </si>
  <si>
    <t>P63151_PPP2R2A</t>
  </si>
  <si>
    <t>P63167_DYNLL1</t>
  </si>
  <si>
    <t>P63172_DYNLT1</t>
  </si>
  <si>
    <t>P63173_RPL38</t>
  </si>
  <si>
    <t>P63218_GNG5</t>
  </si>
  <si>
    <t>P63220_RPS21</t>
  </si>
  <si>
    <t>P63241_EIF5A</t>
  </si>
  <si>
    <t>P63244_GNB2L1</t>
  </si>
  <si>
    <t>P63261_ACTG1</t>
  </si>
  <si>
    <t>P63272_SUPT4H1</t>
  </si>
  <si>
    <t>P67775_PPP2CA</t>
  </si>
  <si>
    <t>P67809_YBX1</t>
  </si>
  <si>
    <t>P67936_TPM4</t>
  </si>
  <si>
    <t>P68036_UBE2L3</t>
  </si>
  <si>
    <t>P68104_EEF1A1</t>
  </si>
  <si>
    <t>P68133_ACTA1</t>
  </si>
  <si>
    <t>P68363_TUBA1B</t>
  </si>
  <si>
    <t>P68371_TUBB4B</t>
  </si>
  <si>
    <t>P68402_PAFAH1B2</t>
  </si>
  <si>
    <t>P68871_HBB</t>
  </si>
  <si>
    <t>P69905_HBA1</t>
  </si>
  <si>
    <t>P78316_NOP14</t>
  </si>
  <si>
    <t>P78318_IGBP1</t>
  </si>
  <si>
    <t>P78330_PSPH</t>
  </si>
  <si>
    <t>P78332_RBM6</t>
  </si>
  <si>
    <t>P78345_RPP38</t>
  </si>
  <si>
    <t>P78346_RPP30</t>
  </si>
  <si>
    <t>P78347-2_GTF2I</t>
  </si>
  <si>
    <t>P78356_PIP4K2B</t>
  </si>
  <si>
    <t>P78362_SRPK2</t>
  </si>
  <si>
    <t>P78371_CCT2</t>
  </si>
  <si>
    <t>P78382-2_SLC35A1</t>
  </si>
  <si>
    <t>P78406_RAE1</t>
  </si>
  <si>
    <t>P78410-3_BTN3A2</t>
  </si>
  <si>
    <t>P78417_GSTO1</t>
  </si>
  <si>
    <t>P78527_PRKDC</t>
  </si>
  <si>
    <t>P78536_ADAM17</t>
  </si>
  <si>
    <t>P78537-2_BLOC1S1</t>
  </si>
  <si>
    <t>P78540_ARG2</t>
  </si>
  <si>
    <t>P78549_NTHL1</t>
  </si>
  <si>
    <t>P79522-2_PRR3</t>
  </si>
  <si>
    <t>P80217_IFI35</t>
  </si>
  <si>
    <t>P80297_MT1X</t>
  </si>
  <si>
    <t>P80303_NUCB2</t>
  </si>
  <si>
    <t>P81605_DCD</t>
  </si>
  <si>
    <t>P82094_TMF1</t>
  </si>
  <si>
    <t>P82664_MRPS10</t>
  </si>
  <si>
    <t>P82673_MRPS35</t>
  </si>
  <si>
    <t>P82909_MRPS36</t>
  </si>
  <si>
    <t>P82912-2_MRPS11</t>
  </si>
  <si>
    <t>P82921_MRPS21</t>
  </si>
  <si>
    <t>P82932_MRPS6</t>
  </si>
  <si>
    <t>P82933_MRPS9</t>
  </si>
  <si>
    <t>P82979_SARNP</t>
  </si>
  <si>
    <t>P83111_LACTB</t>
  </si>
  <si>
    <t>P83436_COG7</t>
  </si>
  <si>
    <t>P83876_TXNL4A</t>
  </si>
  <si>
    <t>P84022_SMAD3</t>
  </si>
  <si>
    <t>P84085_ARF5</t>
  </si>
  <si>
    <t>P84090_ERH</t>
  </si>
  <si>
    <t>P84095_RHOG</t>
  </si>
  <si>
    <t>P84101-4_SERF2</t>
  </si>
  <si>
    <t>P84157_MXRA7</t>
  </si>
  <si>
    <t>P84157-2_MXRA7</t>
  </si>
  <si>
    <t>P85037_FOXK1</t>
  </si>
  <si>
    <t>P86791_CCZ1</t>
  </si>
  <si>
    <t>P98155-2_VLDLR</t>
  </si>
  <si>
    <t>P98170_XIAP</t>
  </si>
  <si>
    <t>P98172_EFNB1</t>
  </si>
  <si>
    <t>P98173-3_FAM3A</t>
  </si>
  <si>
    <t>P98175-2_RBM10</t>
  </si>
  <si>
    <t>P98179_RBM3</t>
  </si>
  <si>
    <t>Q00013-2_MPP1</t>
  </si>
  <si>
    <t>Q00059_TFAM</t>
  </si>
  <si>
    <t>Q00169_PITPNA</t>
  </si>
  <si>
    <t>Q00266_MAT1A</t>
  </si>
  <si>
    <t>Q00325-2_SLC25A3</t>
  </si>
  <si>
    <t>Q00341_HDLBP</t>
  </si>
  <si>
    <t>Q00403_GTF2B</t>
  </si>
  <si>
    <t>Q00534_CDK6</t>
  </si>
  <si>
    <t>Q00535_CDK5</t>
  </si>
  <si>
    <t>Q00536_CDK16</t>
  </si>
  <si>
    <t>Q00577_PURA</t>
  </si>
  <si>
    <t>Q00610-2_CLTC</t>
  </si>
  <si>
    <t>Q00653-4_NFKB2</t>
  </si>
  <si>
    <t>Q00688_FKBP3</t>
  </si>
  <si>
    <t>Q00765_REEP5</t>
  </si>
  <si>
    <t>Q00796_SORD</t>
  </si>
  <si>
    <t>Q00839-2_HNRNPU</t>
  </si>
  <si>
    <t>Q01081_U2AF1</t>
  </si>
  <si>
    <t>Q01082_SPTBN1</t>
  </si>
  <si>
    <t>Q01082-3_SPTBN1</t>
  </si>
  <si>
    <t>Q01085-2_TIAL1</t>
  </si>
  <si>
    <t>Q01105-2_SET</t>
  </si>
  <si>
    <t>Q01151_CD83</t>
  </si>
  <si>
    <t>Q01167_FOXK2</t>
  </si>
  <si>
    <t>Q01196_RUNX1</t>
  </si>
  <si>
    <t>Q01415_GALK2</t>
  </si>
  <si>
    <t>Q01432_AMPD3</t>
  </si>
  <si>
    <t>Q01433_AMPD2</t>
  </si>
  <si>
    <t>Q01459_CTBS</t>
  </si>
  <si>
    <t>Q01469_FABP5</t>
  </si>
  <si>
    <t>Q01518-2_CAP1</t>
  </si>
  <si>
    <t>Q01543_FLI1</t>
  </si>
  <si>
    <t>Q01546_KRT76</t>
  </si>
  <si>
    <t>Q01581_HMGCS1</t>
  </si>
  <si>
    <t>Q01650_SLC7A5</t>
  </si>
  <si>
    <t>Q01658_DR1</t>
  </si>
  <si>
    <t>Q01664_TFAP4</t>
  </si>
  <si>
    <t>Q01780-2_EXOSC10</t>
  </si>
  <si>
    <t>Q01813_PFKP</t>
  </si>
  <si>
    <t>Q01826_SATB1</t>
  </si>
  <si>
    <t>Q01968_OCRL</t>
  </si>
  <si>
    <t>Q01970_PLCB3</t>
  </si>
  <si>
    <t>Q02040_AKAP17A</t>
  </si>
  <si>
    <t>Q02083-2_NAAA</t>
  </si>
  <si>
    <t>Q02127_DHODH</t>
  </si>
  <si>
    <t>Q02224-3_CENPE</t>
  </si>
  <si>
    <t>Q02241_KIF23</t>
  </si>
  <si>
    <t>Q02252_ALDH6A1</t>
  </si>
  <si>
    <t>Q02338_BDH1</t>
  </si>
  <si>
    <t>Q02383_SEMG2</t>
  </si>
  <si>
    <t>Q02410_APBA1</t>
  </si>
  <si>
    <t>Q02446_SP4</t>
  </si>
  <si>
    <t>Q02447-3_SP3</t>
  </si>
  <si>
    <t>Q02535_ID3</t>
  </si>
  <si>
    <t>Q02543_RPL18A</t>
  </si>
  <si>
    <t>Q02750_MAP2K1</t>
  </si>
  <si>
    <t>Q02790_FKBP4</t>
  </si>
  <si>
    <t>Q02809_PLOD1</t>
  </si>
  <si>
    <t>Q02818_NUCB1</t>
  </si>
  <si>
    <t>Q02833-3_RASSF7</t>
  </si>
  <si>
    <t>Q02880-2_TOP2B</t>
  </si>
  <si>
    <t>Q03013_GSTM4</t>
  </si>
  <si>
    <t>Q03111_MLLT1</t>
  </si>
  <si>
    <t>Q03164-2_MLL</t>
  </si>
  <si>
    <t>Q03405_PLAUR</t>
  </si>
  <si>
    <t>Q03519_TAP2</t>
  </si>
  <si>
    <t>Q04446_GBE1</t>
  </si>
  <si>
    <t>Q04656-5_ATP7A</t>
  </si>
  <si>
    <t>Q04721_NOTCH2</t>
  </si>
  <si>
    <t>Q04726-3_TLE3</t>
  </si>
  <si>
    <t>Q04759_PRKCQ</t>
  </si>
  <si>
    <t>Q04760-2_GLO1</t>
  </si>
  <si>
    <t>Q04837_SSBP1</t>
  </si>
  <si>
    <t>Q04917_YWHAH</t>
  </si>
  <si>
    <t>Q04941_PLP2</t>
  </si>
  <si>
    <t>Q05048_CSTF1</t>
  </si>
  <si>
    <t>Q05086-3_UBE3A</t>
  </si>
  <si>
    <t>Q05193-3_DNM1</t>
  </si>
  <si>
    <t>Q05519-2_SRSF11</t>
  </si>
  <si>
    <t>Q05639_EEF1A2</t>
  </si>
  <si>
    <t>Q05655_PRKCD</t>
  </si>
  <si>
    <t>Q05932-3_FPGS</t>
  </si>
  <si>
    <t>Q05D32_CTDSPL2</t>
  </si>
  <si>
    <t>Q06124_PTPN11</t>
  </si>
  <si>
    <t>Q06136_KDSR</t>
  </si>
  <si>
    <t>Q06203_PPAT</t>
  </si>
  <si>
    <t>Q06210-2_GFPT1</t>
  </si>
  <si>
    <t>Q06265_EXOSC9</t>
  </si>
  <si>
    <t>Q06323_PSME1</t>
  </si>
  <si>
    <t>Q06330-4_RBPJ</t>
  </si>
  <si>
    <t>Q06481_APLP2</t>
  </si>
  <si>
    <t>Q06546_GABPA</t>
  </si>
  <si>
    <t>Q06547-2_GABPB1</t>
  </si>
  <si>
    <t>Q06587_RING1</t>
  </si>
  <si>
    <t>Q06609_RAD51</t>
  </si>
  <si>
    <t>Q06787-6_FMR1</t>
  </si>
  <si>
    <t>Q06830_PRDX1</t>
  </si>
  <si>
    <t>Q06945_SOX4</t>
  </si>
  <si>
    <t>Q07021_C1QBP</t>
  </si>
  <si>
    <t>Q07065_CKAP4</t>
  </si>
  <si>
    <t>Q07108_CD69</t>
  </si>
  <si>
    <t>Q07666_KHDRBS1</t>
  </si>
  <si>
    <t>Q07820-2_MCL1</t>
  </si>
  <si>
    <t>Q07866-3_KLC1</t>
  </si>
  <si>
    <t>Q07866-6_KLC1</t>
  </si>
  <si>
    <t>Q07960_ARHGAP1</t>
  </si>
  <si>
    <t>Q08170_SRSF4</t>
  </si>
  <si>
    <t>Q08209-2_PPP3CA</t>
  </si>
  <si>
    <t>Q08211_DHX9</t>
  </si>
  <si>
    <t>Q08257_CRYZ</t>
  </si>
  <si>
    <t>Q08357_SLC20A2</t>
  </si>
  <si>
    <t>Q08378_GOLGA3</t>
  </si>
  <si>
    <t>Q08379_GOLGA2</t>
  </si>
  <si>
    <t>Q08380_LGALS3BP</t>
  </si>
  <si>
    <t>Q08426-2_EHHADH</t>
  </si>
  <si>
    <t>Q08722_CD47</t>
  </si>
  <si>
    <t>Q08752_PPID</t>
  </si>
  <si>
    <t>Q08881_ITK</t>
  </si>
  <si>
    <t>Q08945_SSRP1</t>
  </si>
  <si>
    <t>Q08AD1-2_CAMSAP2</t>
  </si>
  <si>
    <t>Q08AF3_SLFN5</t>
  </si>
  <si>
    <t>Q08AG7_MZT1</t>
  </si>
  <si>
    <t>Q08AM6_VAC14</t>
  </si>
  <si>
    <t>Q08E86_KIAA0100</t>
  </si>
  <si>
    <t>Q08J23_NSUN2</t>
  </si>
  <si>
    <t>Q09028-3_RBBP4</t>
  </si>
  <si>
    <t>Q09161_NCBP1</t>
  </si>
  <si>
    <t>Q09328_MGAT5</t>
  </si>
  <si>
    <t>Q09472_EP300</t>
  </si>
  <si>
    <t>Q09666_AHNAK</t>
  </si>
  <si>
    <t>Q0GE19_SLC10A7</t>
  </si>
  <si>
    <t>Q0PNE2_ELP6</t>
  </si>
  <si>
    <t>Q0VD83_APOBR</t>
  </si>
  <si>
    <t>Q0VDF9_HSPA14</t>
  </si>
  <si>
    <t>Q0VDG4_SCRN3</t>
  </si>
  <si>
    <t>Q0VGL1_LAMTOR4</t>
  </si>
  <si>
    <t>Q10469_MGAT2</t>
  </si>
  <si>
    <t>Q10471_GALNT2</t>
  </si>
  <si>
    <t>Q10567-2_AP1B1</t>
  </si>
  <si>
    <t>Q10567-3_AP1B1</t>
  </si>
  <si>
    <t>Q10570_CPSF1</t>
  </si>
  <si>
    <t>Q10589_BST2</t>
  </si>
  <si>
    <t>Q10713_PMPCA</t>
  </si>
  <si>
    <t>Q12765_SCRN1</t>
  </si>
  <si>
    <t>Q12768_KIAA0196</t>
  </si>
  <si>
    <t>Q12769_NUP160</t>
  </si>
  <si>
    <t>Q12770_SCAP</t>
  </si>
  <si>
    <t>Q12788_TBL3</t>
  </si>
  <si>
    <t>Q12789-3_GTF3C1</t>
  </si>
  <si>
    <t>Q12792_TWF1</t>
  </si>
  <si>
    <t>Q12797-10_ASPH</t>
  </si>
  <si>
    <t>Q12802-4_AKAP13</t>
  </si>
  <si>
    <t>Q12824-2_SMARCB1</t>
  </si>
  <si>
    <t>Q12830-4_BPTF</t>
  </si>
  <si>
    <t>Q12834_CDC20</t>
  </si>
  <si>
    <t>Q12846_STX4</t>
  </si>
  <si>
    <t>Q12872_SFSWAP</t>
  </si>
  <si>
    <t>Q12874_SF3A3</t>
  </si>
  <si>
    <t>Q12882_DPYD</t>
  </si>
  <si>
    <t>Q12888_TP53BP1</t>
  </si>
  <si>
    <t>Q12893_TMEM115</t>
  </si>
  <si>
    <t>Q12894_IFRD2</t>
  </si>
  <si>
    <t>Q12899_TRIM26</t>
  </si>
  <si>
    <t>Q12904_AIMP1</t>
  </si>
  <si>
    <t>Q12905_ILF2</t>
  </si>
  <si>
    <t>Q12906-7_ILF3</t>
  </si>
  <si>
    <t>Q12907_LMAN2</t>
  </si>
  <si>
    <t>Q12912-2_LRMP</t>
  </si>
  <si>
    <t>Q12933-3_TRAF2</t>
  </si>
  <si>
    <t>Q12955_ANK3</t>
  </si>
  <si>
    <t>Q12959-5_DLG1</t>
  </si>
  <si>
    <t>Q12962_TAF10</t>
  </si>
  <si>
    <t>Q12972_PPP1R8</t>
  </si>
  <si>
    <t>Q12974_PTP4A2</t>
  </si>
  <si>
    <t>Q12979-4_ABR</t>
  </si>
  <si>
    <t>Q12981_BNIP1</t>
  </si>
  <si>
    <t>Q12986_NFX1</t>
  </si>
  <si>
    <t>Q12996_CSTF3</t>
  </si>
  <si>
    <t>Q13011_ECH1</t>
  </si>
  <si>
    <t>Q13015_MLLT11</t>
  </si>
  <si>
    <t>Q13017-2_ARHGAP5</t>
  </si>
  <si>
    <t>Q13033_STRN3</t>
  </si>
  <si>
    <t>Q13033-2_STRN3</t>
  </si>
  <si>
    <t>Q13042-3_CDC16</t>
  </si>
  <si>
    <t>Q13043_STK4</t>
  </si>
  <si>
    <t>Q13045_FLII</t>
  </si>
  <si>
    <t>Q13045-2_FLII</t>
  </si>
  <si>
    <t>Q13049_TRIM32</t>
  </si>
  <si>
    <t>Q13057_COASY</t>
  </si>
  <si>
    <t>Q13085_ACACA</t>
  </si>
  <si>
    <t>Q13094_LCP2</t>
  </si>
  <si>
    <t>Q13107-2_USP4</t>
  </si>
  <si>
    <t>Q13111_CHAF1A</t>
  </si>
  <si>
    <t>Q13112_CHAF1B</t>
  </si>
  <si>
    <t>Q13123_IK</t>
  </si>
  <si>
    <t>Q13131_PRKAA1</t>
  </si>
  <si>
    <t>Q13136_PPFIA1</t>
  </si>
  <si>
    <t>Q13148_TARDBP</t>
  </si>
  <si>
    <t>Q13151_HNRNPA0</t>
  </si>
  <si>
    <t>Q13153_PAK1</t>
  </si>
  <si>
    <t>Q13155_AIMP2</t>
  </si>
  <si>
    <t>Q13158_FADD</t>
  </si>
  <si>
    <t>Q13162_PRDX4</t>
  </si>
  <si>
    <t>Q13163-4_MAP2K5</t>
  </si>
  <si>
    <t>Q13164-2_MAPK7</t>
  </si>
  <si>
    <t>Q13177_PAK2</t>
  </si>
  <si>
    <t>Q13185_CBX3</t>
  </si>
  <si>
    <t>Q13188_STK3</t>
  </si>
  <si>
    <t>Q13190-2_STX5</t>
  </si>
  <si>
    <t>Q13200_PSMD2</t>
  </si>
  <si>
    <t>Q13216_ERCC8</t>
  </si>
  <si>
    <t>Q13217_DNAJC3</t>
  </si>
  <si>
    <t>Q13228-2_SELENBP1</t>
  </si>
  <si>
    <t>Q13242_SRSF9</t>
  </si>
  <si>
    <t>Q13243_SRSF5</t>
  </si>
  <si>
    <t>Q13247-3_SRSF6</t>
  </si>
  <si>
    <t>Q13257_MAD2L1</t>
  </si>
  <si>
    <t>Q13263_TRIM28</t>
  </si>
  <si>
    <t>Q13277-2_STX3</t>
  </si>
  <si>
    <t>Q13283_G3BP1</t>
  </si>
  <si>
    <t>Q13287_NMI</t>
  </si>
  <si>
    <t>Q13303_KCNAB2</t>
  </si>
  <si>
    <t>Q13303-2_KCNAB2</t>
  </si>
  <si>
    <t>Q13308_PTK7</t>
  </si>
  <si>
    <t>Q13309_SKP2</t>
  </si>
  <si>
    <t>Q13310-3_PABPC4</t>
  </si>
  <si>
    <t>Q13325_IFIT5</t>
  </si>
  <si>
    <t>Q13330-3_MTA1</t>
  </si>
  <si>
    <t>Q13332-6_PTPRS</t>
  </si>
  <si>
    <t>Q13347_EIF3I</t>
  </si>
  <si>
    <t>Q13356_PPIL2</t>
  </si>
  <si>
    <t>Q13362-2_PPP2R5C</t>
  </si>
  <si>
    <t>Q13362-3_PPP2R5C</t>
  </si>
  <si>
    <t>Q13362-4_PPP2R5C</t>
  </si>
  <si>
    <t>Q13363_CTBP1</t>
  </si>
  <si>
    <t>Q13371_PDCL</t>
  </si>
  <si>
    <t>Q13395_TARBP1</t>
  </si>
  <si>
    <t>Q13405_MRPL49</t>
  </si>
  <si>
    <t>Q13409-3_DYNC1I2</t>
  </si>
  <si>
    <t>Q13416_ORC2</t>
  </si>
  <si>
    <t>Q13418_ILK</t>
  </si>
  <si>
    <t>Q13422_IKZF1</t>
  </si>
  <si>
    <t>Q13422-2_IKZF1</t>
  </si>
  <si>
    <t>Q13423_NNT</t>
  </si>
  <si>
    <t>Q13426_XRCC4</t>
  </si>
  <si>
    <t>Q13426-2_XRCC4</t>
  </si>
  <si>
    <t>Q13427_PPIG</t>
  </si>
  <si>
    <t>Q13428-3_TCOF1</t>
  </si>
  <si>
    <t>Q13432-2_UNC119</t>
  </si>
  <si>
    <t>Q13433_SLC39A6</t>
  </si>
  <si>
    <t>Q13435_SF3B2</t>
  </si>
  <si>
    <t>Q13438-4_OS9</t>
  </si>
  <si>
    <t>Q13439-3_GOLGA4</t>
  </si>
  <si>
    <t>Q13442_PDAP1</t>
  </si>
  <si>
    <t>Q13445_TMED1</t>
  </si>
  <si>
    <t>Q13451_FKBP5</t>
  </si>
  <si>
    <t>Q13464_ROCK1</t>
  </si>
  <si>
    <t>Q13469-3_NFATC2</t>
  </si>
  <si>
    <t>Q13472-2_TOP3A</t>
  </si>
  <si>
    <t>Q13492-2_PICALM</t>
  </si>
  <si>
    <t>Q13496_MTM1</t>
  </si>
  <si>
    <t>Q13501_SQSTM1</t>
  </si>
  <si>
    <t>Q13503_MED21</t>
  </si>
  <si>
    <t>Q13505-3_MTX1</t>
  </si>
  <si>
    <t>Q13509_TUBB3</t>
  </si>
  <si>
    <t>Q13526_PIN1</t>
  </si>
  <si>
    <t>Q13535-2_ATR</t>
  </si>
  <si>
    <t>Q13541_EIF4EBP1</t>
  </si>
  <si>
    <t>Q13542_EIF4EBP2</t>
  </si>
  <si>
    <t>Q13546_RIPK1</t>
  </si>
  <si>
    <t>Q13547_HDAC1</t>
  </si>
  <si>
    <t>Q13564_NAE1</t>
  </si>
  <si>
    <t>Q13572_ITPK1</t>
  </si>
  <si>
    <t>Q13573_SNW1</t>
  </si>
  <si>
    <t>Q13574_DGKZ</t>
  </si>
  <si>
    <t>Q13576_IQGAP2</t>
  </si>
  <si>
    <t>Q13586_STIM1</t>
  </si>
  <si>
    <t>Q13588_GRAP</t>
  </si>
  <si>
    <t>Q13596_SNX1</t>
  </si>
  <si>
    <t>Q13608_PEX6</t>
  </si>
  <si>
    <t>Q13610_PWP1</t>
  </si>
  <si>
    <t>Q13614_MTMR2</t>
  </si>
  <si>
    <t>Q13615-3_MTMR3</t>
  </si>
  <si>
    <t>Q13616_CUL1</t>
  </si>
  <si>
    <t>Q13617_CUL2</t>
  </si>
  <si>
    <t>Q13618_CUL3</t>
  </si>
  <si>
    <t>Q13619_CUL4A</t>
  </si>
  <si>
    <t>Q13625-2_TP53BP2</t>
  </si>
  <si>
    <t>Q13627-2_DYRK1A</t>
  </si>
  <si>
    <t>Q13630_TSTA3</t>
  </si>
  <si>
    <t>Q13642-1_FHL1</t>
  </si>
  <si>
    <t>Q13643_FHL3</t>
  </si>
  <si>
    <t>Q13686_ALKBH1</t>
  </si>
  <si>
    <t>Q13724_MOGS</t>
  </si>
  <si>
    <t>Q13740-2_ALCAM</t>
  </si>
  <si>
    <t>Q13769_THOC5</t>
  </si>
  <si>
    <t>Q13795_ARFRP1</t>
  </si>
  <si>
    <t>Q13813_SPTAN1</t>
  </si>
  <si>
    <t>Q13813-2_SPTAN1</t>
  </si>
  <si>
    <t>Q13825_AUH</t>
  </si>
  <si>
    <t>Q13838_DDX39B</t>
  </si>
  <si>
    <t>Q13867_BLMH</t>
  </si>
  <si>
    <t>Q13868_EXOSC2</t>
  </si>
  <si>
    <t>Q13884_SNTB1</t>
  </si>
  <si>
    <t>Q13885_TUBB2A</t>
  </si>
  <si>
    <t>Q13895_BYSL</t>
  </si>
  <si>
    <t>Q13905_RAPGEF1</t>
  </si>
  <si>
    <t>Q13907_IDI1</t>
  </si>
  <si>
    <t>Q13948_CUX1</t>
  </si>
  <si>
    <t>Q13951_CBFB</t>
  </si>
  <si>
    <t>Q13951-2_CBFB</t>
  </si>
  <si>
    <t>Q13952-3_NFYC</t>
  </si>
  <si>
    <t>Q14004-2_CDK13</t>
  </si>
  <si>
    <t>Q14005-3_IL16</t>
  </si>
  <si>
    <t>Q14008-2_CKAP5</t>
  </si>
  <si>
    <t>Q14011_CIRBP</t>
  </si>
  <si>
    <t>Q14019_COTL1</t>
  </si>
  <si>
    <t>Q14061_COX17</t>
  </si>
  <si>
    <t>Q14088_RAB33A</t>
  </si>
  <si>
    <t>Q14103-3_HNRNPD</t>
  </si>
  <si>
    <t>Q14103-4_HNRNPD</t>
  </si>
  <si>
    <t>Q14108_SCARB2</t>
  </si>
  <si>
    <t>Q14114_LRP8</t>
  </si>
  <si>
    <t>Q14117_DPYS</t>
  </si>
  <si>
    <t>Q14118_DAG1</t>
  </si>
  <si>
    <t>Q14126_DSG2</t>
  </si>
  <si>
    <t>Q14135_VGLL4</t>
  </si>
  <si>
    <t>Q14137_BOP1</t>
  </si>
  <si>
    <t>Q14139_UBE4A</t>
  </si>
  <si>
    <t>Q14145_KEAP1</t>
  </si>
  <si>
    <t>Q14146_URB2</t>
  </si>
  <si>
    <t>Q14147_DHX34</t>
  </si>
  <si>
    <t>Q14149_MORC3</t>
  </si>
  <si>
    <t>Q14151_SAFB2</t>
  </si>
  <si>
    <t>Q14152_EIF3A</t>
  </si>
  <si>
    <t>Q14153_FAM53B</t>
  </si>
  <si>
    <t>Q14157-1_UBAP2L</t>
  </si>
  <si>
    <t>Q14157-3_UBAP2L</t>
  </si>
  <si>
    <t>Q14160_SCRIB</t>
  </si>
  <si>
    <t>Q14161_GIT2</t>
  </si>
  <si>
    <t>Q14165_MLEC</t>
  </si>
  <si>
    <t>Q14166_TTLL12</t>
  </si>
  <si>
    <t>Q14181_POLA2</t>
  </si>
  <si>
    <t>Q14183_DOC2A</t>
  </si>
  <si>
    <t>Q14188_TFDP2</t>
  </si>
  <si>
    <t>Q14204_DYNC1H1</t>
  </si>
  <si>
    <t>Q14232_EIF2B1</t>
  </si>
  <si>
    <t>Q14240_EIF4A2</t>
  </si>
  <si>
    <t>Q14241_TCEB3</t>
  </si>
  <si>
    <t>Q14242_SELPLG</t>
  </si>
  <si>
    <t>Q14247_CTTN</t>
  </si>
  <si>
    <t>Q14249_ENDOG</t>
  </si>
  <si>
    <t>Q14254_FLOT2</t>
  </si>
  <si>
    <t>Q14257_RCN2</t>
  </si>
  <si>
    <t>Q14258_TRIM25</t>
  </si>
  <si>
    <t>Q14289-2_PTK2B</t>
  </si>
  <si>
    <t>Q14315-2_FLNC</t>
  </si>
  <si>
    <t>Q14318-2_FKBP8</t>
  </si>
  <si>
    <t>Q14320_FAM50A</t>
  </si>
  <si>
    <t>Q14331_FRG1</t>
  </si>
  <si>
    <t>Q14332_FZD2</t>
  </si>
  <si>
    <t>Q14344_GNA13</t>
  </si>
  <si>
    <t>Q14353_GAMT</t>
  </si>
  <si>
    <t>Q14376_GALE</t>
  </si>
  <si>
    <t>Q14444_CAPRIN1</t>
  </si>
  <si>
    <t>Q14457_BECN1</t>
  </si>
  <si>
    <t>Q14469_HES1</t>
  </si>
  <si>
    <t>Q14493-2_SLBP</t>
  </si>
  <si>
    <t>Q14498-2_RBM39</t>
  </si>
  <si>
    <t>Q14517_FAT1</t>
  </si>
  <si>
    <t>Q14520-2_HABP2</t>
  </si>
  <si>
    <t>Q14527_HLTF</t>
  </si>
  <si>
    <t>Q14534_SQLE</t>
  </si>
  <si>
    <t>Q14554_PDIA5</t>
  </si>
  <si>
    <t>Q14558-2_PRPSAP1</t>
  </si>
  <si>
    <t>Q14562_DHX8</t>
  </si>
  <si>
    <t>Q14566_MCM6</t>
  </si>
  <si>
    <t>Q14644_RASA3</t>
  </si>
  <si>
    <t>Q14651_PLS1</t>
  </si>
  <si>
    <t>Q14653_IRF3</t>
  </si>
  <si>
    <t>Q14657_LAGE3</t>
  </si>
  <si>
    <t>Q14669-2_TRIP12</t>
  </si>
  <si>
    <t>Q14671_PUM1</t>
  </si>
  <si>
    <t>Q14676_MDC1</t>
  </si>
  <si>
    <t>Q14677_CLINT1</t>
  </si>
  <si>
    <t>Q14677-3_CLINT1</t>
  </si>
  <si>
    <t>Q14680-5_MELK</t>
  </si>
  <si>
    <t>Q14683_SMC1A</t>
  </si>
  <si>
    <t>Q14684-2_RRP1B</t>
  </si>
  <si>
    <t>Q14686_NCOA6</t>
  </si>
  <si>
    <t>Q14687-2_GSE1</t>
  </si>
  <si>
    <t>Q14690_PDCD11</t>
  </si>
  <si>
    <t>Q14691_GINS1</t>
  </si>
  <si>
    <t>Q14692_BMS1</t>
  </si>
  <si>
    <t>Q14694_USP10</t>
  </si>
  <si>
    <t>Q14696_MESDC2</t>
  </si>
  <si>
    <t>Q14697_GANAB</t>
  </si>
  <si>
    <t>Q14697-2_GANAB</t>
  </si>
  <si>
    <t>Q14699_RFTN1</t>
  </si>
  <si>
    <t>Q14739_LBR</t>
  </si>
  <si>
    <t>Q14746-2_COG2</t>
  </si>
  <si>
    <t>Q14761_PTPRCAP</t>
  </si>
  <si>
    <t>Q14789_GOLGB1</t>
  </si>
  <si>
    <t>Q14790-2_CASP8</t>
  </si>
  <si>
    <t>Q147X3_NAA30</t>
  </si>
  <si>
    <t>Q14807_KIF22</t>
  </si>
  <si>
    <t>Q14814-4_MEF2D</t>
  </si>
  <si>
    <t>Q14847_LASP1</t>
  </si>
  <si>
    <t>Q14894_CRYM</t>
  </si>
  <si>
    <t>Q14964_RAB39A</t>
  </si>
  <si>
    <t>Q14966_ZNF638</t>
  </si>
  <si>
    <t>Q14974_KPNB1</t>
  </si>
  <si>
    <t>Q14978-2_NOLC1</t>
  </si>
  <si>
    <t>Q14980-2_NUMA1</t>
  </si>
  <si>
    <t>Q14990_ODF1</t>
  </si>
  <si>
    <t>Q14997_PSME4</t>
  </si>
  <si>
    <t>Q14BN4-2_SLMAP</t>
  </si>
  <si>
    <t>Q14C86-5_GAPVD1</t>
  </si>
  <si>
    <t>Q14CX7_NAA25</t>
  </si>
  <si>
    <t>Q15003_NCAPH</t>
  </si>
  <si>
    <t>Q15004_KIAA0101</t>
  </si>
  <si>
    <t>Q15006_EMC2</t>
  </si>
  <si>
    <t>Q15007_WTAP</t>
  </si>
  <si>
    <t>Q15008_PSMD6</t>
  </si>
  <si>
    <t>Q15011-3_HERPUD1</t>
  </si>
  <si>
    <t>Q15013_MAD2L1BP</t>
  </si>
  <si>
    <t>Q15014_MORF4L2</t>
  </si>
  <si>
    <t>Q15018_FAM175B</t>
  </si>
  <si>
    <t>Q15019-2_SEPT2</t>
  </si>
  <si>
    <t>Q15020_SART3</t>
  </si>
  <si>
    <t>Q15021_NCAPD2</t>
  </si>
  <si>
    <t>Q15022_SUZ12</t>
  </si>
  <si>
    <t>Q15024_EXOSC7</t>
  </si>
  <si>
    <t>Q15027_ACAP1</t>
  </si>
  <si>
    <t>Q15029-2_EFTUD2</t>
  </si>
  <si>
    <t>Q15031_LARS2</t>
  </si>
  <si>
    <t>Q15032-2_R3HDM1</t>
  </si>
  <si>
    <t>Q15036-2_SNX17</t>
  </si>
  <si>
    <t>Q15042_RAB3GAP1</t>
  </si>
  <si>
    <t>Q15043-2_SLC39A14</t>
  </si>
  <si>
    <t>Q15046_KARS</t>
  </si>
  <si>
    <t>Q15050_RRS1</t>
  </si>
  <si>
    <t>Q15052_ARHGEF6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</si>
  <si>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</si>
  <si>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</si>
  <si>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</si>
  <si>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</si>
  <si>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</si>
  <si>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</si>
  <si>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</si>
  <si>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Q15072_ZNF146</t>
  </si>
  <si>
    <t>Q15075_EEA1</t>
  </si>
  <si>
    <t>Q15102_PAFAH1B3</t>
  </si>
  <si>
    <t>Q15118_PDK1</t>
  </si>
  <si>
    <t>Q15119_PDK2</t>
  </si>
  <si>
    <t>Q15120_PDK3</t>
  </si>
  <si>
    <t>Q15125_EBP</t>
  </si>
  <si>
    <t>Q15126_PMVK</t>
  </si>
  <si>
    <t>Q15149_PLEC</t>
  </si>
  <si>
    <t>Q15149-3_PLEC</t>
  </si>
  <si>
    <t>Q15154-2_PCM1</t>
  </si>
  <si>
    <t>Q15155_NOMO1</t>
  </si>
  <si>
    <t>Q15170-2_TCEAL1</t>
  </si>
  <si>
    <t>Q15172_PPP2R5A</t>
  </si>
  <si>
    <t>Q15173-2_PPP2R5B</t>
  </si>
  <si>
    <t>Q15181_PPA1</t>
  </si>
  <si>
    <t>Q15208_STK38</t>
  </si>
  <si>
    <t>Q15223_PVRL1</t>
  </si>
  <si>
    <t>Q15233_NONO</t>
  </si>
  <si>
    <t>Q15257_PPP2R4</t>
  </si>
  <si>
    <t>Q15269_PWP2</t>
  </si>
  <si>
    <t>Q15274_QPRT</t>
  </si>
  <si>
    <t>Q15276_RABEP1</t>
  </si>
  <si>
    <t>Q15283-2_RASA2</t>
  </si>
  <si>
    <t>Q15286_RAB35</t>
  </si>
  <si>
    <t>Q15291_RBBP5</t>
  </si>
  <si>
    <t>Q15293_RCN1</t>
  </si>
  <si>
    <t>Q15311_RALBP1</t>
  </si>
  <si>
    <t>Q15334_LLGL1</t>
  </si>
  <si>
    <t>Q15345_LRRC41</t>
  </si>
  <si>
    <t>Q15363_TMED2</t>
  </si>
  <si>
    <t>Q15365_PCBP1</t>
  </si>
  <si>
    <t>Q15366-2_PCBP2</t>
  </si>
  <si>
    <t>Q15366-3_PCBP2</t>
  </si>
  <si>
    <t>Q15370_TCEB2</t>
  </si>
  <si>
    <t>Q15382_RHEB</t>
  </si>
  <si>
    <t>Q15386_UBE3C</t>
  </si>
  <si>
    <t>Q15388_TOMM20</t>
  </si>
  <si>
    <t>Q15393_SF3B3</t>
  </si>
  <si>
    <t>Q15398-3_DLGAP5</t>
  </si>
  <si>
    <t>Q15404_RSU1</t>
  </si>
  <si>
    <t>Q15417_CNN3</t>
  </si>
  <si>
    <t>Q15424_SAFB</t>
  </si>
  <si>
    <t>Q15427_SF3B4</t>
  </si>
  <si>
    <t>Q15428_SF3A2</t>
  </si>
  <si>
    <t>Q15435_PPP1R7</t>
  </si>
  <si>
    <t>Q15437_SEC23B</t>
  </si>
  <si>
    <t>Q15438-2_CYTH1</t>
  </si>
  <si>
    <t>Q15459_SF3A1</t>
  </si>
  <si>
    <t>Q15477_SKIV2L</t>
  </si>
  <si>
    <t>Q15506_SPA17</t>
  </si>
  <si>
    <t>Q15526-2_SURF1</t>
  </si>
  <si>
    <t>Q15527_SURF2</t>
  </si>
  <si>
    <t>Q15542_TAF5</t>
  </si>
  <si>
    <t>Q15544_TAF11</t>
  </si>
  <si>
    <t>Q15545_TAF7</t>
  </si>
  <si>
    <t>Q15554_TERF2</t>
  </si>
  <si>
    <t>Q15555-4_MAPRE2</t>
  </si>
  <si>
    <t>Q15560-2_TCEA2</t>
  </si>
  <si>
    <t>Q15596_NCOA2</t>
  </si>
  <si>
    <t>Q15599_SLC9A3R2</t>
  </si>
  <si>
    <t>Q15628_TRADD</t>
  </si>
  <si>
    <t>Q15637-5_SF1</t>
  </si>
  <si>
    <t>Q15637-6_SF1</t>
  </si>
  <si>
    <t>Q15642-2_TRIP10</t>
  </si>
  <si>
    <t>Q15643_TRIP11</t>
  </si>
  <si>
    <t>Q15645_TRIP13</t>
  </si>
  <si>
    <t>Q15648_MED1</t>
  </si>
  <si>
    <t>Q15649_ZNHIT3</t>
  </si>
  <si>
    <t>Q15650_TRIP4</t>
  </si>
  <si>
    <t>Q15652-3_JMJD1C</t>
  </si>
  <si>
    <t>Q15691_MAPRE1</t>
  </si>
  <si>
    <t>Q15714_TSC22D1</t>
  </si>
  <si>
    <t>Q15717_ELAVL1</t>
  </si>
  <si>
    <t>Q15738_NSDHL</t>
  </si>
  <si>
    <t>Q15743_GPR68</t>
  </si>
  <si>
    <t>Q15746-4_MYLK</t>
  </si>
  <si>
    <t>Q15750-2_TAB1</t>
  </si>
  <si>
    <t>Q15751_HERC1</t>
  </si>
  <si>
    <t>Q15758_SLC1A5</t>
  </si>
  <si>
    <t>Q15759_MAPK11</t>
  </si>
  <si>
    <t>Q15771_RAB30</t>
  </si>
  <si>
    <t>Q15773_MLF2</t>
  </si>
  <si>
    <t>Q15777-2_MPPED2</t>
  </si>
  <si>
    <t>Q15785_TOMM34</t>
  </si>
  <si>
    <t>Q15796-2_SMAD2</t>
  </si>
  <si>
    <t>Q15800_MSMO1</t>
  </si>
  <si>
    <t>Q15813_TBCE</t>
  </si>
  <si>
    <t>Q15814_TBCC</t>
  </si>
  <si>
    <t>Q15819_UBE2V2</t>
  </si>
  <si>
    <t>Q15831-2_STK11</t>
  </si>
  <si>
    <t>Q15833_STXBP2</t>
  </si>
  <si>
    <t>Q15836_VAMP3</t>
  </si>
  <si>
    <t>Q15853-2_USF2</t>
  </si>
  <si>
    <t>Q15904_ATP6AP1</t>
  </si>
  <si>
    <t>Q15906_VPS72</t>
  </si>
  <si>
    <t>Q15907_RAB11B</t>
  </si>
  <si>
    <t>Q15910_EZH2</t>
  </si>
  <si>
    <t>Q15942_ZYX</t>
  </si>
  <si>
    <t>Q15973-4_ZNF124</t>
  </si>
  <si>
    <t>Q16134_ETFDH</t>
  </si>
  <si>
    <t>Q16143_SNCB</t>
  </si>
  <si>
    <t>Q16181_SEPT7</t>
  </si>
  <si>
    <t>Q16181-2_SEPT7</t>
  </si>
  <si>
    <t>Q16186_ADRM1</t>
  </si>
  <si>
    <t>Q16204_CCDC6</t>
  </si>
  <si>
    <t>Q16222-2_UAP1</t>
  </si>
  <si>
    <t>Q16254_E2F4</t>
  </si>
  <si>
    <t>Q16401-2_PSMD5</t>
  </si>
  <si>
    <t>Q16512_PKN1</t>
  </si>
  <si>
    <t>Q16513-2_PKN2</t>
  </si>
  <si>
    <t>Q16514-2_TAF12</t>
  </si>
  <si>
    <t>Q16526_CRY1</t>
  </si>
  <si>
    <t>Q16531_DDB1</t>
  </si>
  <si>
    <t>Q16539_MAPK14</t>
  </si>
  <si>
    <t>Q16543_CDC37</t>
  </si>
  <si>
    <t>Q16555_DPYSL2</t>
  </si>
  <si>
    <t>Q16566_CAMK4</t>
  </si>
  <si>
    <t>Q16576_RBBP7</t>
  </si>
  <si>
    <t>Q16576-2_RBBP7</t>
  </si>
  <si>
    <t>Q16587-5_ZNF74</t>
  </si>
  <si>
    <t>Q16594_TAF9</t>
  </si>
  <si>
    <t>Q16625-4_OCLN</t>
  </si>
  <si>
    <t>Q16626_MEA1</t>
  </si>
  <si>
    <t>Q16643_DBN1</t>
  </si>
  <si>
    <t>Q16644_MAPKAPK3</t>
  </si>
  <si>
    <t>Q16656-2_NRF1</t>
  </si>
  <si>
    <t>Q16658_FSCN1</t>
  </si>
  <si>
    <t>Q16666-2_IFI16</t>
  </si>
  <si>
    <t>Q16670-2_ZSCAN26</t>
  </si>
  <si>
    <t>Q16706_MAN2A1</t>
  </si>
  <si>
    <t>Q16718_NDUFA5</t>
  </si>
  <si>
    <t>Q16740_CLPP</t>
  </si>
  <si>
    <t>Q16762_TST</t>
  </si>
  <si>
    <t>Q16763_UBE2S</t>
  </si>
  <si>
    <t>Q16775_HAGH</t>
  </si>
  <si>
    <t>Q16778_HIST2H2BE</t>
  </si>
  <si>
    <t>Q16795_NDUFA9</t>
  </si>
  <si>
    <t>Q16822_PCK2</t>
  </si>
  <si>
    <t>Q16854_DGUOK</t>
  </si>
  <si>
    <t>Q16864_ATP6V1F</t>
  </si>
  <si>
    <t>Q16891-2_IMMT</t>
  </si>
  <si>
    <t>Q17R31-2_TATDN3</t>
  </si>
  <si>
    <t>Q17RN3_FAM98C</t>
  </si>
  <si>
    <t>Q17RU2_REL</t>
  </si>
  <si>
    <t>Q1ED39_KNOP1</t>
  </si>
  <si>
    <t>Q1KMD3_HNRNPUL2</t>
  </si>
  <si>
    <t>Q1MSJ5-1_CSPP1</t>
  </si>
  <si>
    <t>Q1W6H9_FAM110C</t>
  </si>
  <si>
    <t>Q27J81-2_INF2</t>
  </si>
  <si>
    <t>Q29718_HLA-B</t>
  </si>
  <si>
    <t>Q29940_HLA-B</t>
  </si>
  <si>
    <t>Q29963_HLA-C</t>
  </si>
  <si>
    <t>Q29RF7_PDS5A</t>
  </si>
  <si>
    <t>Q2KHT3_CLEC16A</t>
  </si>
  <si>
    <t>Q2M296-2_MTHFSD</t>
  </si>
  <si>
    <t>Q2M296-4_MTHFSD</t>
  </si>
  <si>
    <t>Q2M2I8-2_AAK1</t>
  </si>
  <si>
    <t>Q2M389_KIAA1033</t>
  </si>
  <si>
    <t>Q2NKX8_ERCC6L</t>
  </si>
  <si>
    <t>Q2NL82_TSR1</t>
  </si>
  <si>
    <t>Q2NL98_VMAC</t>
  </si>
  <si>
    <t>Q2T9J0_TYSND1</t>
  </si>
  <si>
    <t>Q2TAA5_ALG11</t>
  </si>
  <si>
    <t>Q2TAL8_QRICH1</t>
  </si>
  <si>
    <t>Q2TAM5_RELA</t>
  </si>
  <si>
    <t>Q2TAY7_SMU1</t>
  </si>
  <si>
    <t>Q2TBE0_CWF19L2</t>
  </si>
  <si>
    <t>Q2VPB7_AP5B1</t>
  </si>
  <si>
    <t>Q2VPS2_STX1B</t>
  </si>
  <si>
    <t>Q32MZ4-2_LRRFIP1</t>
  </si>
  <si>
    <t>Q32MZ4-3_LRRFIP1</t>
  </si>
  <si>
    <t>Q32MZ4-4_LRRFIP1</t>
  </si>
  <si>
    <t>Q32MZ9_POLD3</t>
  </si>
  <si>
    <t>Q32P28_LEPRE1</t>
  </si>
  <si>
    <t>Q32P41_TRMT5</t>
  </si>
  <si>
    <t>Q32Q12_NME1-NME2</t>
  </si>
  <si>
    <t>Q3B726_TWISTNB</t>
  </si>
  <si>
    <t>Q3B7J2_GFOD2</t>
  </si>
  <si>
    <t>Q3B7T1-5_EDRF1</t>
  </si>
  <si>
    <t>Q3KQU3-4_MAP7D1</t>
  </si>
  <si>
    <t>Q3KQV9_UAP1L1</t>
  </si>
  <si>
    <t>Q3KRA6_C2orf76</t>
  </si>
  <si>
    <t>Q3KRA9_ALKBH6</t>
  </si>
  <si>
    <t>Q3LIE5_ADPRM</t>
  </si>
  <si>
    <t>Q3LXA3_DAK</t>
  </si>
  <si>
    <t>Q3MHD2_LSM12</t>
  </si>
  <si>
    <t>Q3MII6_TBC1D25</t>
  </si>
  <si>
    <t>Q3MIT2_PUS10</t>
  </si>
  <si>
    <t>Q3SXM5_HSDL1</t>
  </si>
  <si>
    <t>Q3SXY8_ARL13B</t>
  </si>
  <si>
    <t>Q3T906_GNPTAB</t>
  </si>
  <si>
    <t>Q3V6T2-2_CCDC88A</t>
  </si>
  <si>
    <t>Q3YEC7_RABL6</t>
  </si>
  <si>
    <t>Q3ZAQ7_VMA21</t>
  </si>
  <si>
    <t>Q3ZCM7_TUBB8</t>
  </si>
  <si>
    <t>Q3ZCQ3_FAM174B</t>
  </si>
  <si>
    <t>Q3ZCQ8_TIMM50</t>
  </si>
  <si>
    <t>Q3ZCV1_USP38</t>
  </si>
  <si>
    <t>Q3ZCW2_LGALSL</t>
  </si>
  <si>
    <t>Q49AR2_C5orf22</t>
  </si>
  <si>
    <t>Q49B96_COX19</t>
  </si>
  <si>
    <t>Q4G0F5_VPS26B</t>
  </si>
  <si>
    <t>Q4G0I0_CCSMST1</t>
  </si>
  <si>
    <t>Q4G0J3_LARP7</t>
  </si>
  <si>
    <t>Q4G0N4_NADKD1</t>
  </si>
  <si>
    <t>Q4G0W3_COL14A1</t>
  </si>
  <si>
    <t>Q4G148-2_GXYLT1</t>
  </si>
  <si>
    <t>Q4G176_ACSF3</t>
  </si>
  <si>
    <t>Q4J6C6-4_PREPL</t>
  </si>
  <si>
    <t>Q4KMP7_TBC1D10B</t>
  </si>
  <si>
    <t>Q4KMQ2-3_ANO6</t>
  </si>
  <si>
    <t>Q4KWH8-3_PLCH1</t>
  </si>
  <si>
    <t>Q4LDG9_DNAL1</t>
  </si>
  <si>
    <t>Q4LE39-3_ARID4B</t>
  </si>
  <si>
    <t>Q4TT34_NME4</t>
  </si>
  <si>
    <t>Q4V328_GRIPAP1</t>
  </si>
  <si>
    <t>Q4VC05_BCL7A</t>
  </si>
  <si>
    <t>Q4VC05-2_BCL7A</t>
  </si>
  <si>
    <t>Q4VXZ8_DECR2</t>
  </si>
  <si>
    <t>Q4ZIN3-2_TMEM259</t>
  </si>
  <si>
    <t>Q504Q3-2_PAN2</t>
  </si>
  <si>
    <t>Q504U0_C4orf46</t>
  </si>
  <si>
    <t>Q52LA3_LIN52</t>
  </si>
  <si>
    <t>Q52LJ0-2_FAM98B</t>
  </si>
  <si>
    <t>Q53EL6-2_PDCD4</t>
  </si>
  <si>
    <t>Q53ET0_CRTC2</t>
  </si>
  <si>
    <t>Q53EZ4_CEP55</t>
  </si>
  <si>
    <t>Q53F19_C17orf85</t>
  </si>
  <si>
    <t>Q53FA7_TP53I3</t>
  </si>
  <si>
    <t>Q53GQ0_HSD17B12</t>
  </si>
  <si>
    <t>Q53GS7-2_GLE1</t>
  </si>
  <si>
    <t>Q53H12_AGK</t>
  </si>
  <si>
    <t>Q53H47_SETMAR</t>
  </si>
  <si>
    <t>Q53H80_AKIRIN2</t>
  </si>
  <si>
    <t>Q53H82_LACTB2</t>
  </si>
  <si>
    <t>Q53H96_PYCRL</t>
  </si>
  <si>
    <t>Q53HL2_CDCA8</t>
  </si>
  <si>
    <t>Q53QZ3_ARHGAP15</t>
  </si>
  <si>
    <t>Q53S33_BOLA3</t>
  </si>
  <si>
    <t>Q53T59_HS1BP3</t>
  </si>
  <si>
    <t>Q53TN4-3_CYBRD1</t>
  </si>
  <si>
    <t>Q562F6-2_SGOL2</t>
  </si>
  <si>
    <t>Q562R1_ACTBL2</t>
  </si>
  <si>
    <t>Q567Q0_PPIA</t>
  </si>
  <si>
    <t>Q567V2-2_MPV17L2</t>
  </si>
  <si>
    <t>Q56VL3_OCIAD2</t>
  </si>
  <si>
    <t>Q587I9_SFT2D3</t>
  </si>
  <si>
    <t>Q587J8_KHDC3L</t>
  </si>
  <si>
    <t>Q58A45_PAN3</t>
  </si>
  <si>
    <t>Q58FF8_HSP90AB2P</t>
  </si>
  <si>
    <t>Q58FG1_HSP90AA4P</t>
  </si>
  <si>
    <t>Q59GN2_RPL39P5</t>
  </si>
  <si>
    <t>Q5BJF2_TMEM97</t>
  </si>
  <si>
    <t>Q5BKU9_OXLD1</t>
  </si>
  <si>
    <t>Q5BKX5_C19orf54</t>
  </si>
  <si>
    <t>Q5BKZ1_ZNF326</t>
  </si>
  <si>
    <t>Q5CZ79_ANKRD20A8P</t>
  </si>
  <si>
    <t>Q5D1E8_ZC3H12A</t>
  </si>
  <si>
    <t>Q5EBL8_PDZD11</t>
  </si>
  <si>
    <t>Q5EBM0_CMPK2</t>
  </si>
  <si>
    <t>Q5F1R6_DNAJC21</t>
  </si>
  <si>
    <t>Q5FBB7-5_SGOL1</t>
  </si>
  <si>
    <t>Q5FWF5-2_ESCO1</t>
  </si>
  <si>
    <t>Q5GLZ8-3_HERC4</t>
  </si>
  <si>
    <t>Q5H8X8_UTS2</t>
  </si>
  <si>
    <t>Q5H937_PKIG</t>
  </si>
  <si>
    <t>Q5HY62_CXorf40B</t>
  </si>
  <si>
    <t>Q5HYA8-3_TMEM67</t>
  </si>
  <si>
    <t>Q5HYI8_RABL3</t>
  </si>
  <si>
    <t>Q5HYK3_COQ5</t>
  </si>
  <si>
    <t>Q5JP53_TUBB</t>
  </si>
  <si>
    <t>Q5JPE7-2_NOMO2</t>
  </si>
  <si>
    <t>Q5JPI3-2_C3orf38</t>
  </si>
  <si>
    <t>Q5JPI9_METTL10</t>
  </si>
  <si>
    <t>Q5JR08_RHOC</t>
  </si>
  <si>
    <t>Q5JRA6_MIA3</t>
  </si>
  <si>
    <t>Q5JRI1_SRSF10</t>
  </si>
  <si>
    <t>Q5JRX3_PITRM1</t>
  </si>
  <si>
    <t>Q5JS37-2_NHLRC3</t>
  </si>
  <si>
    <t>Q5JS54_PSMG4</t>
  </si>
  <si>
    <t>Q5JSH3-2_WDR44</t>
  </si>
  <si>
    <t>Q5JSL0_HMGN5</t>
  </si>
  <si>
    <t>Q5JSP0_FGD3</t>
  </si>
  <si>
    <t>Q5JSZ5_PRRC2B</t>
  </si>
  <si>
    <t>Q5JTD0-2_TJAP1</t>
  </si>
  <si>
    <t>Q5JTH9-2_RRP12</t>
  </si>
  <si>
    <t>Q5JTJ3-3_COA6</t>
  </si>
  <si>
    <t>Q5JTV1_GMEB2</t>
  </si>
  <si>
    <t>Q5JTV8_TOR1AIP1</t>
  </si>
  <si>
    <t>Q5JTZ9_AARS2</t>
  </si>
  <si>
    <t>Q5JU69_TOR2A</t>
  </si>
  <si>
    <t>Q5JUL1_PAGE5</t>
  </si>
  <si>
    <t>Q5JUR7_TEX30</t>
  </si>
  <si>
    <t>Q5JUW8_DLG3</t>
  </si>
  <si>
    <t>Q5JVF3-3_PCID2</t>
  </si>
  <si>
    <t>Q5JVP3_PTGR1</t>
  </si>
  <si>
    <t>Q5JVS0_HABP4</t>
  </si>
  <si>
    <t>Q5JVZ5_ELMO2</t>
  </si>
  <si>
    <t>Q5JW02_SLC35C2</t>
  </si>
  <si>
    <t>Q5JW30_STAU1</t>
  </si>
  <si>
    <t>Q5JWB9_TMEM230</t>
  </si>
  <si>
    <t>Q5JWT2_MED23</t>
  </si>
  <si>
    <t>Q5JY65_CRNKL1</t>
  </si>
  <si>
    <t>Q5K651_SAMD9</t>
  </si>
  <si>
    <t>Q5M775-5_SPECC1</t>
  </si>
  <si>
    <t>Q5MIZ7-3_SMEK2</t>
  </si>
  <si>
    <t>Q5MNZ6_WDR45B</t>
  </si>
  <si>
    <t>Q5QJ74_TBCEL</t>
  </si>
  <si>
    <t>Q5QJE6_DNTTIP2</t>
  </si>
  <si>
    <t>Q5QNY5_PEX19</t>
  </si>
  <si>
    <t>Q5QNZ2_ATP5F1</t>
  </si>
  <si>
    <t>Q5QP56_BCL2L1</t>
  </si>
  <si>
    <t>Q5QP82-2_DCAF10</t>
  </si>
  <si>
    <t>Q5QPK2_DPM1</t>
  </si>
  <si>
    <t>Q5QPM7_PSMF1</t>
  </si>
  <si>
    <t>Q5R372-4_RABGAP1L</t>
  </si>
  <si>
    <t>Q5R3B4_MPC2</t>
  </si>
  <si>
    <t>Q5RI15_COX20</t>
  </si>
  <si>
    <t>Q5RJ85_HLA-G</t>
  </si>
  <si>
    <t>Q5RKV6_EXOSC6</t>
  </si>
  <si>
    <t>Q5RL73_RBM48</t>
  </si>
  <si>
    <t>Q5SGD2_PPM1L</t>
  </si>
  <si>
    <t>Q5SQI0-5_ATAT1</t>
  </si>
  <si>
    <t>Q5SR47_CR2</t>
  </si>
  <si>
    <t>Q5SR56_HIATL1</t>
  </si>
  <si>
    <t>Q5SRE5_NUP188</t>
  </si>
  <si>
    <t>Q5SRI9_MANEA</t>
  </si>
  <si>
    <t>Q5SRN5_HLA-A</t>
  </si>
  <si>
    <t>Q5SRQ6_CSNK2B</t>
  </si>
  <si>
    <t>Q5SSJ5_HP1BP3</t>
  </si>
  <si>
    <t>Q5ST30_VARS2</t>
  </si>
  <si>
    <t>Q5STX8_AIF1</t>
  </si>
  <si>
    <t>Q5SVK8_DNMBP</t>
  </si>
  <si>
    <t>Q5SW79_CEP170</t>
  </si>
  <si>
    <t>Q5SW96_LDLRAP1</t>
  </si>
  <si>
    <t>Q5SWX3_CAMK2G</t>
  </si>
  <si>
    <t>Q5SWX8-3_ODR4</t>
  </si>
  <si>
    <t>Q5SXM2_SNAPC4</t>
  </si>
  <si>
    <t>Q5SXM8_DNLZ</t>
  </si>
  <si>
    <t>Q5SZE3_CERS2</t>
  </si>
  <si>
    <t>Q5SZR4_TDRKH</t>
  </si>
  <si>
    <t>Q5T0D9_TPRG1L</t>
  </si>
  <si>
    <t>Q5T0N5-3_FNBP1L</t>
  </si>
  <si>
    <t>Q5T0Q6_DPYSL4</t>
  </si>
  <si>
    <t>Q5T0V0_SLIT1</t>
  </si>
  <si>
    <t>Q5T114_C9orf156</t>
  </si>
  <si>
    <t>Q5T123_SH3BGRL3</t>
  </si>
  <si>
    <t>Q5T160_RARS2</t>
  </si>
  <si>
    <t>Q5T171_PYGO2</t>
  </si>
  <si>
    <t>Q5T1M5_FKBP15</t>
  </si>
  <si>
    <t>Q5T1V6_DDX59</t>
  </si>
  <si>
    <t>Q5T1Z4_PUM1</t>
  </si>
  <si>
    <t>Q5T200_ZC3H13</t>
  </si>
  <si>
    <t>Q5T266_ZDHHC12</t>
  </si>
  <si>
    <t>Q5T280_C9orf114</t>
  </si>
  <si>
    <t>Q5T2E6_C10orf76</t>
  </si>
  <si>
    <t>Q5T2R2-3_PDSS1</t>
  </si>
  <si>
    <t>Q5T321_NBEA</t>
  </si>
  <si>
    <t>Q5T3I0_GPATCH4</t>
  </si>
  <si>
    <t>Q5T3J3-2_LRIF1</t>
  </si>
  <si>
    <t>Q5T427_ZNF438</t>
  </si>
  <si>
    <t>Q5T440_IBA57</t>
  </si>
  <si>
    <t>Q5T447_HECTD3</t>
  </si>
  <si>
    <t>Q5T4F4-7_ZFYVE27</t>
  </si>
  <si>
    <t>Q5T4S7-3_UBR4</t>
  </si>
  <si>
    <t>Q5T4U5_ACADM</t>
  </si>
  <si>
    <t>Q5T593_FAM219A</t>
  </si>
  <si>
    <t>Q5T5C0-3_STXBP5</t>
  </si>
  <si>
    <t>Q5T5Y3_CAMSAP1</t>
  </si>
  <si>
    <t>Q5T670_MCM10</t>
  </si>
  <si>
    <t>Q5T6F2_UBAP2</t>
  </si>
  <si>
    <t>Q5T6J7_IDNK</t>
  </si>
  <si>
    <t>Q5T6N4_ABLIM1</t>
  </si>
  <si>
    <t>Q5T6V5_C9orf64</t>
  </si>
  <si>
    <t>Q5T7A4_ADCK3</t>
  </si>
  <si>
    <t>Q5T7M9_FAM69A</t>
  </si>
  <si>
    <t>Q5T7V8_GORAB</t>
  </si>
  <si>
    <t>Q5T7W0-2_ZNF618</t>
  </si>
  <si>
    <t>Q5T8D3-2_ACBD5</t>
  </si>
  <si>
    <t>Q5T8I0_COX6A1P2</t>
  </si>
  <si>
    <t>Q5T8P6-3_RBM26</t>
  </si>
  <si>
    <t>Q5T8T7_MED22</t>
  </si>
  <si>
    <t>Q5T8U5_SURF4</t>
  </si>
  <si>
    <t>Q5T911_MED4</t>
  </si>
  <si>
    <t>Q5T9C2-2_FAM102A</t>
  </si>
  <si>
    <t>Q5TA02_GSTO1</t>
  </si>
  <si>
    <t>Q5TA45-3_CPSF3L</t>
  </si>
  <si>
    <t>Q5TA50_GLTPD1</t>
  </si>
  <si>
    <t>Q5TAL2_SNRPC</t>
  </si>
  <si>
    <t>Q5TAX3_ZCCHC11</t>
  </si>
  <si>
    <t>Q5TBB1_RNASEH2B</t>
  </si>
  <si>
    <t>Q5TBP5_TAF4</t>
  </si>
  <si>
    <t>Q5TCJ5_SEMA4A</t>
  </si>
  <si>
    <t>Q5TD07_NQO2</t>
  </si>
  <si>
    <t>Q5TDG9_DNAJC16</t>
  </si>
  <si>
    <t>Q5TDH0_DDI2</t>
  </si>
  <si>
    <t>Q5TEU4_NDUFAF5</t>
  </si>
  <si>
    <t>Q5TF39_NAGLT1</t>
  </si>
  <si>
    <t>Q5TFE4_NT5DC1</t>
  </si>
  <si>
    <t>Q5THK1-3_PRR14L</t>
  </si>
  <si>
    <t>Q5THR1_DHX35</t>
  </si>
  <si>
    <t>Q5TIE1_SLC19A2</t>
  </si>
  <si>
    <t>Q5TIH2_SFT2D2</t>
  </si>
  <si>
    <t>Q5TZA2_CROCC</t>
  </si>
  <si>
    <t>Q5U5Q3_MEX3C</t>
  </si>
  <si>
    <t>Q5U5X0_LYRM7</t>
  </si>
  <si>
    <t>Q5UIP0-2_RIF1</t>
  </si>
  <si>
    <t>Q5VIR6-4_VPS53</t>
  </si>
  <si>
    <t>Q5VSL9_STRIP1</t>
  </si>
  <si>
    <t>Q5VST6_ABHD17B</t>
  </si>
  <si>
    <t>Q5VSY0-2_GKAP1</t>
  </si>
  <si>
    <t>Q5VT06_CEP350</t>
  </si>
  <si>
    <t>Q5VT52_RPRD2</t>
  </si>
  <si>
    <t>Q5VT94_GHITM</t>
  </si>
  <si>
    <t>Q5VTL8_PRPF38B</t>
  </si>
  <si>
    <t>Q5VTR2_RNF20</t>
  </si>
  <si>
    <t>Q5VU58_TPM3</t>
  </si>
  <si>
    <t>Q5VU97_CACHD1</t>
  </si>
  <si>
    <t>Q5VUE5_C1orf53</t>
  </si>
  <si>
    <t>Q5VUM1_C6orf57</t>
  </si>
  <si>
    <t>Q5VV42_CDKAL1</t>
  </si>
  <si>
    <t>Q5VV50_ZNF691</t>
  </si>
  <si>
    <t>Q5VV89_MGST3</t>
  </si>
  <si>
    <t>Q5VVD7_PLEKHM2</t>
  </si>
  <si>
    <t>Q5VVJ2_MYSM1</t>
  </si>
  <si>
    <t>Q5VVQ6-2_YOD1</t>
  </si>
  <si>
    <t>Q5VVW5_SLC2A8</t>
  </si>
  <si>
    <t>Q5VW32_BROX</t>
  </si>
  <si>
    <t>Q5VW36_FOCAD</t>
  </si>
  <si>
    <t>Q5VWC4_PSMD4</t>
  </si>
  <si>
    <t>Q5VWG9_TAF3</t>
  </si>
  <si>
    <t>Q5VWJ9_SNX30</t>
  </si>
  <si>
    <t>Q5VWP2_FAM46C</t>
  </si>
  <si>
    <t>Q5VWQ0_RSBN1</t>
  </si>
  <si>
    <t>Q5VWZ2_LYPLAL1</t>
  </si>
  <si>
    <t>Q5VY93_ARHGEF2</t>
  </si>
  <si>
    <t>Q5VYB9_LRP11</t>
  </si>
  <si>
    <t>Q5VYH8_LY9</t>
  </si>
  <si>
    <t>Q5VYS8-6_ZCCHC6</t>
  </si>
  <si>
    <t>Q5VZE5_NAA35</t>
  </si>
  <si>
    <t>Q5VZI3-2_C9orf91</t>
  </si>
  <si>
    <t>Q5W015_PFKFB3</t>
  </si>
  <si>
    <t>Q5W0B1_RNF219</t>
  </si>
  <si>
    <t>Q5W0V3_FAM160B1</t>
  </si>
  <si>
    <t>Q5W0Z9-3_ZDHHC20</t>
  </si>
  <si>
    <t>Q5W111-2_SPRYD7</t>
  </si>
  <si>
    <t>Q5W145_NDUFB8</t>
  </si>
  <si>
    <t>Q5XKP0_QIL1</t>
  </si>
  <si>
    <t>Q5XPI4_RNF123</t>
  </si>
  <si>
    <t>Q5XUX1-3_FBXW9</t>
  </si>
  <si>
    <t>Q63HN8_RNF213</t>
  </si>
  <si>
    <t>Q63HQ0_AP1AR</t>
  </si>
  <si>
    <t>Q641Q2_FAM21A</t>
  </si>
  <si>
    <t>Q643R3_LPCAT4</t>
  </si>
  <si>
    <t>Q658Y4_FAM91A1</t>
  </si>
  <si>
    <t>Q659C4_LARP1B</t>
  </si>
  <si>
    <t>Q66GS9_CEP135</t>
  </si>
  <si>
    <t>Q66K14-2_TBC1D9B</t>
  </si>
  <si>
    <t>Q66K64_DCAF15</t>
  </si>
  <si>
    <t>Q66LE6_PPP2R2D</t>
  </si>
  <si>
    <t>Q66PJ3_ARL6IP4</t>
  </si>
  <si>
    <t>Q66S35_PFKFB4</t>
  </si>
  <si>
    <t>Q674X7-3_KAZN</t>
  </si>
  <si>
    <t>Q684P5-3_RAP1GAP2</t>
  </si>
  <si>
    <t>Q68CP9-3_ARID2</t>
  </si>
  <si>
    <t>Q68CQ4_DIEXF</t>
  </si>
  <si>
    <t>Q68D10-2_SPTY2D1</t>
  </si>
  <si>
    <t>Q68D20_PMS2CL</t>
  </si>
  <si>
    <t>Q68D85_NCR3LG1</t>
  </si>
  <si>
    <t>Q68D91_MBLAC2</t>
  </si>
  <si>
    <t>Q68DH5_LMBRD2</t>
  </si>
  <si>
    <t>Q68E01-2_INTS3</t>
  </si>
  <si>
    <t>Q68EM7_ARHGAP17</t>
  </si>
  <si>
    <t>Q69YH5_CDCA2</t>
  </si>
  <si>
    <t>Q69YL0_</t>
  </si>
  <si>
    <t>Q69YN2_CWF19L1</t>
  </si>
  <si>
    <t>Q69YN4_KIAA1429</t>
  </si>
  <si>
    <t>Q69YQ0-2_SPECC1L</t>
  </si>
  <si>
    <t>Q69YU5_C12orf73</t>
  </si>
  <si>
    <t>Q6BDS2_UHRF1BP1</t>
  </si>
  <si>
    <t>Q6DD87_ZNF787</t>
  </si>
  <si>
    <t>Q6DD88_ATL3</t>
  </si>
  <si>
    <t>Q6DHV7_ADAL</t>
  </si>
  <si>
    <t>Q6DKJ4_NXN</t>
  </si>
  <si>
    <t>Q6DKK2_TTC19</t>
  </si>
  <si>
    <t>Q6DU44_HLA-E</t>
  </si>
  <si>
    <t>Q6EEV4-2_POLR2M</t>
  </si>
  <si>
    <t>Q6FI81_CIAPIN1</t>
  </si>
  <si>
    <t>Q6FIF0-2_ZFAND6</t>
  </si>
  <si>
    <t>Q6GMV2_SMYD5</t>
  </si>
  <si>
    <t>Q6GMV3_PTRHD1</t>
  </si>
  <si>
    <t>Q6GQQ9-2_OTUD7B</t>
  </si>
  <si>
    <t>Q6GYA4_SELS</t>
  </si>
  <si>
    <t>Q6GYQ0-4_RALGAPA1</t>
  </si>
  <si>
    <t>Q6I9Y2_THOC7</t>
  </si>
  <si>
    <t>Q6IA17_SIGIRR</t>
  </si>
  <si>
    <t>Q6IA69_NADSYN1</t>
  </si>
  <si>
    <t>Q6IA86-3_ELP2</t>
  </si>
  <si>
    <t>Q6IAA8_LAMTOR1</t>
  </si>
  <si>
    <t>Q6IAN0_DHRS7B</t>
  </si>
  <si>
    <t>Q6IBS0_TWF2</t>
  </si>
  <si>
    <t>Q6IBW4-2_NCAPH2</t>
  </si>
  <si>
    <t>Q6IC98_GRAMD4</t>
  </si>
  <si>
    <t>Q6ICB0_DESI1</t>
  </si>
  <si>
    <t>Q6ICH7_ASPHD2</t>
  </si>
  <si>
    <t>Q6IN85_SMEK1</t>
  </si>
  <si>
    <t>Q6IPR3_TYW3</t>
  </si>
  <si>
    <t>Q6IPU0_CENPP</t>
  </si>
  <si>
    <t>Q6IQ19_CCSAP</t>
  </si>
  <si>
    <t>Q6IQ22_RAB12</t>
  </si>
  <si>
    <t>Q6IQ49-2_SDE2</t>
  </si>
  <si>
    <t>Q6J164_GRM5</t>
  </si>
  <si>
    <t>Q6JBY9_RCSD1</t>
  </si>
  <si>
    <t>Q6JHV3_USP3</t>
  </si>
  <si>
    <t>Q6JQN1_ACAD10</t>
  </si>
  <si>
    <t>Q6KC79-2_NIPBL</t>
  </si>
  <si>
    <t>Q6KCM7-2_SLC25A25</t>
  </si>
  <si>
    <t>Q6MZP7_LIN54</t>
  </si>
  <si>
    <t>Q6N043-2_ZNF280D</t>
  </si>
  <si>
    <t>Q6N063_OGFOD2</t>
  </si>
  <si>
    <t>Q6N069_NAA16</t>
  </si>
  <si>
    <t>Q6NS38_ALKBH2</t>
  </si>
  <si>
    <t>Q6NSJ5_LRRC8E</t>
  </si>
  <si>
    <t>Q6NT16_SLC18B1</t>
  </si>
  <si>
    <t>Q6NUK1_SLC25A24</t>
  </si>
  <si>
    <t>Q6NUK4_REEP3</t>
  </si>
  <si>
    <t>Q6NUM9_RETSAT</t>
  </si>
  <si>
    <t>Q6NUQ1_RINT1</t>
  </si>
  <si>
    <t>Q6NUQ4-2_TMEM214</t>
  </si>
  <si>
    <t>Q6NUS6_TCTN3</t>
  </si>
  <si>
    <t>Q6NVY1_HIBCH</t>
  </si>
  <si>
    <t>Q6NXE6-2_ARMC6</t>
  </si>
  <si>
    <t>Q6NXT1_ANKRD54</t>
  </si>
  <si>
    <t>Q6NXT6_TAPT1</t>
  </si>
  <si>
    <t>Q6NYC8_PPP1R18</t>
  </si>
  <si>
    <t>Q6NZY4_ZCCHC8</t>
  </si>
  <si>
    <t>Q6P087-2_RPUSD3</t>
  </si>
  <si>
    <t>Q6P161_MRPL54</t>
  </si>
  <si>
    <t>Q6P179_ERAP2</t>
  </si>
  <si>
    <t>Q6P1J9_CDC73</t>
  </si>
  <si>
    <t>Q6P1K2-4_PMF1</t>
  </si>
  <si>
    <t>Q6P1K8_GTF2H2C</t>
  </si>
  <si>
    <t>Q6P1L5_FAM117B</t>
  </si>
  <si>
    <t>Q6P1L8_MRPL14</t>
  </si>
  <si>
    <t>Q6P1M0_SLC27A4</t>
  </si>
  <si>
    <t>Q6P1N0-2_CC2D1A</t>
  </si>
  <si>
    <t>Q6P1Q9_METTL2B</t>
  </si>
  <si>
    <t>Q6P1R3-3_MSANTD2</t>
  </si>
  <si>
    <t>Q6P1R4_DUS1L</t>
  </si>
  <si>
    <t>Q6P1X5_TAF2</t>
  </si>
  <si>
    <t>Q6P275_STAG1</t>
  </si>
  <si>
    <t>Q6P2C8_MED27</t>
  </si>
  <si>
    <t>Q6P2E9_EDC4</t>
  </si>
  <si>
    <t>Q6P2H3-2_CEP85</t>
  </si>
  <si>
    <t>Q6P2I3_FAHD2B</t>
  </si>
  <si>
    <t>Q6P2P2_PRMT10</t>
  </si>
  <si>
    <t>Q6P2Q9_PRPF8</t>
  </si>
  <si>
    <t>Q6P3S1-5_DENND1B</t>
  </si>
  <si>
    <t>Q6P3S6_FBXO42</t>
  </si>
  <si>
    <t>Q6P3W7_SCYL2</t>
  </si>
  <si>
    <t>Q6P3X3_TTC27</t>
  </si>
  <si>
    <t>Q6P499-2_NIPAL3</t>
  </si>
  <si>
    <t>Q6P4A7_SFXN4</t>
  </si>
  <si>
    <t>Q6P4E1-2_CASC4</t>
  </si>
  <si>
    <t>Q6P4F2_FDX1L</t>
  </si>
  <si>
    <t>Q6P4I2_WDR73</t>
  </si>
  <si>
    <t>Q6P4Q7_CNNM4</t>
  </si>
  <si>
    <t>Q6P4R8-3_NFRKB</t>
  </si>
  <si>
    <t>Q6P582_MZT2A</t>
  </si>
  <si>
    <t>Q6P587_FAHD1</t>
  </si>
  <si>
    <t>Q6P5X5_C22orf39</t>
  </si>
  <si>
    <t>Q6P6B1_C8orf47</t>
  </si>
  <si>
    <t>Q6P6B7-2_ANKRD16</t>
  </si>
  <si>
    <t>Q6P6C2-3_ALKBH5</t>
  </si>
  <si>
    <t>Q6P9B6_KIAA1609</t>
  </si>
  <si>
    <t>Q6P9B9_INTS5</t>
  </si>
  <si>
    <t>Q6P9H5_GIMAP6</t>
  </si>
  <si>
    <t>Q6PCB0-2_VWA1</t>
  </si>
  <si>
    <t>Q6PCB5_RSBN1L</t>
  </si>
  <si>
    <t>Q6PCD5_RFWD3</t>
  </si>
  <si>
    <t>Q6PCE3_PGM2L1</t>
  </si>
  <si>
    <t>Q6PD62_CTR9</t>
  </si>
  <si>
    <t>Q6PD74_AAGAB</t>
  </si>
  <si>
    <t>Q6PGN9-2_PSRC1</t>
  </si>
  <si>
    <t>Q6PGP7_TTC37</t>
  </si>
  <si>
    <t>Q6PH81_C16orf87</t>
  </si>
  <si>
    <t>Q6PHR2_ULK3</t>
  </si>
  <si>
    <t>Q6PI48_DARS2</t>
  </si>
  <si>
    <t>Q6PI78_TMEM65</t>
  </si>
  <si>
    <t>Q6PI98_INO80C</t>
  </si>
  <si>
    <t>Q6PID6_TTC33</t>
  </si>
  <si>
    <t>Q6PII3_CCDC174</t>
  </si>
  <si>
    <t>Q6PIJ6-2_FBXO38</t>
  </si>
  <si>
    <t>Q6PIR0_CENPC1</t>
  </si>
  <si>
    <t>Q6PIW4-2_FIGNL1</t>
  </si>
  <si>
    <t>Q6PJ61_FBXO46</t>
  </si>
  <si>
    <t>Q6PJ69_TRIM65</t>
  </si>
  <si>
    <t>Q6PJG2_ELMSAN1</t>
  </si>
  <si>
    <t>Q6PJG6_BRAT1</t>
  </si>
  <si>
    <t>Q6PJI9_WDR59</t>
  </si>
  <si>
    <t>Q6PJT7-3_ZC3H14</t>
  </si>
  <si>
    <t>Q6PJT7-9_ZC3H14</t>
  </si>
  <si>
    <t>Q6PJW8_CNST</t>
  </si>
  <si>
    <t>Q6PK18_OGFOD3</t>
  </si>
  <si>
    <t>Q6PKG0_LARP1</t>
  </si>
  <si>
    <t>Q6PL24_TMED8</t>
  </si>
  <si>
    <t>Q6PML9_SLC30A9</t>
  </si>
  <si>
    <t>Q6QNY0_BLOC1S3</t>
  </si>
  <si>
    <t>Q6QNY1_BLOC1S2</t>
  </si>
  <si>
    <t>Q6R327_RICTOR</t>
  </si>
  <si>
    <t>Q6RFH5_WDR74</t>
  </si>
  <si>
    <t>Q6RW13-2_AGTRAP</t>
  </si>
  <si>
    <t>Q6S8J3_POTEE</t>
  </si>
  <si>
    <t>Q6SJ93-2_FAM111B</t>
  </si>
  <si>
    <t>Q6STE5-2_SMARCD3</t>
  </si>
  <si>
    <t>Q6UB35_MTHFD1L</t>
  </si>
  <si>
    <t>Q6UB99_ANKRD11</t>
  </si>
  <si>
    <t>Q6ULP2-5_AFTPH</t>
  </si>
  <si>
    <t>Q6UN15_FIP1L1</t>
  </si>
  <si>
    <t>Q6UUV7-3_CRTC3</t>
  </si>
  <si>
    <t>Q6UUV9-3_CRTC1</t>
  </si>
  <si>
    <t>Q6UVJ0_SASS6</t>
  </si>
  <si>
    <t>Q6UW56_ATRAID</t>
  </si>
  <si>
    <t>Q6UW63_KDELC1</t>
  </si>
  <si>
    <t>Q6UWE0_LRSAM1</t>
  </si>
  <si>
    <t>Q6UWI4_SHISA2</t>
  </si>
  <si>
    <t>Q6UWP2_DHRS11</t>
  </si>
  <si>
    <t>Q6UWP7-3_LCLAT1</t>
  </si>
  <si>
    <t>Q6UWS5_PET117</t>
  </si>
  <si>
    <t>Q6UWU4_C6orf89</t>
  </si>
  <si>
    <t>Q6UX04_CWC27</t>
  </si>
  <si>
    <t>Q6UX07_DHRS13</t>
  </si>
  <si>
    <t>Q6UXB8-2_PI16</t>
  </si>
  <si>
    <t>Q6UXD5-3_SEZ6L2</t>
  </si>
  <si>
    <t>Q6UXH1-4_CRELD2</t>
  </si>
  <si>
    <t>Q6UXN9_WDR82</t>
  </si>
  <si>
    <t>Q6UXV4_APOOL</t>
  </si>
  <si>
    <t>Q6V1X1-3_DPP8</t>
  </si>
  <si>
    <t>Q6VY07_PACS1</t>
  </si>
  <si>
    <t>Q6W2J9-4_BCOR</t>
  </si>
  <si>
    <t>Q6WCQ1-2_MPRIP</t>
  </si>
  <si>
    <t>Q6WKZ4_RAB11FIP1</t>
  </si>
  <si>
    <t>Q6XQN6_NAPRT1</t>
  </si>
  <si>
    <t>Q6Y1H2_PTPLB</t>
  </si>
  <si>
    <t>Q6Y288_B3GALTL</t>
  </si>
  <si>
    <t>Q6Y2X3_DNAJC14</t>
  </si>
  <si>
    <t>Q6Y7W6-4_GIGYF2</t>
  </si>
  <si>
    <t>Q6YHU6-3_THADA</t>
  </si>
  <si>
    <t>Q6YN16_HSDL2</t>
  </si>
  <si>
    <t>Q6YP21-3_CCBL2</t>
  </si>
  <si>
    <t>Q6ZMG9_CERS6</t>
  </si>
  <si>
    <t>Q6ZMI0_PPP1R21</t>
  </si>
  <si>
    <t>Q6ZN04_MEX3B</t>
  </si>
  <si>
    <t>Q6ZN18-2_AEBP2</t>
  </si>
  <si>
    <t>Q6ZN50_OSBP2</t>
  </si>
  <si>
    <t>Q6ZNA5_FRRS1</t>
  </si>
  <si>
    <t>Q6ZNB6_NFXL1</t>
  </si>
  <si>
    <t>Q6ZNW5_GDPGP1</t>
  </si>
  <si>
    <t>Q6ZPD9_DPY19L3</t>
  </si>
  <si>
    <t>Q6ZRI6-2_C15orf39</t>
  </si>
  <si>
    <t>Q6ZRP7_QSOX2</t>
  </si>
  <si>
    <t>Q6ZRS2-3_SRCAP</t>
  </si>
  <si>
    <t>Q6ZS86_GK5</t>
  </si>
  <si>
    <t>Q6ZSJ8_C1orf122</t>
  </si>
  <si>
    <t>Q6ZSS7_MFSD6</t>
  </si>
  <si>
    <t>Q6ZT21-2_TMPPE</t>
  </si>
  <si>
    <t>Q6ZT62_SH3BP1</t>
  </si>
  <si>
    <t>Q6ZUT1_C11orf57</t>
  </si>
  <si>
    <t>Q6ZVK8_NUDT18</t>
  </si>
  <si>
    <t>Q6ZVM7_TOM1L2</t>
  </si>
  <si>
    <t>Q6ZW49-4_PAXIP1</t>
  </si>
  <si>
    <t>Q6ZWL3-2_CYP4V2</t>
  </si>
  <si>
    <t>Q6ZWT7_MBOAT2</t>
  </si>
  <si>
    <t>Q6ZXV5-2_TMTC3</t>
  </si>
  <si>
    <t>Q6ZYL4_GTF2H5</t>
  </si>
  <si>
    <t>Q709C8-3_VPS13C</t>
  </si>
  <si>
    <t>Q70IA6_MOB2</t>
  </si>
  <si>
    <t>Q70J99_UNC13D</t>
  </si>
  <si>
    <t>Q70UQ0_IKBIP</t>
  </si>
  <si>
    <t>Q70UQ0-4_IKBIP</t>
  </si>
  <si>
    <t>Q70Z53-2_FRA10AC1</t>
  </si>
  <si>
    <t>Q712K3_UBE2R2</t>
  </si>
  <si>
    <t>Q71F23_MLF1IP</t>
  </si>
  <si>
    <t>Q71RC2-6_LARP4</t>
  </si>
  <si>
    <t>Q71SY5-2_MED25</t>
  </si>
  <si>
    <t>Q71U36-2_TUBA1A</t>
  </si>
  <si>
    <t>Q71UI9_H2AFV</t>
  </si>
  <si>
    <t>Q75QN2_INTS8</t>
  </si>
  <si>
    <t>Q765P7_MTSS1L</t>
  </si>
  <si>
    <t>Q76FK4-4_NOL8</t>
  </si>
  <si>
    <t>Q7KYR7_BTN2A1</t>
  </si>
  <si>
    <t>Q7KZ85_SUPT6H</t>
  </si>
  <si>
    <t>Q7KZF4_SND1</t>
  </si>
  <si>
    <t>Q7KZN9-2_COX15</t>
  </si>
  <si>
    <t>Q7L014_DDX46</t>
  </si>
  <si>
    <t>Q7L099-2_RUFY3</t>
  </si>
  <si>
    <t>Q7L099-4_RUFY3</t>
  </si>
  <si>
    <t>Q7L0J3-2_SV2A</t>
  </si>
  <si>
    <t>Q7L0Y3_TRMT10C</t>
  </si>
  <si>
    <t>Q7L1Q6_BZW1</t>
  </si>
  <si>
    <t>Q7L1T6_CYB5R4</t>
  </si>
  <si>
    <t>Q7L211_ABHD13</t>
  </si>
  <si>
    <t>Q7L266_ASRGL1</t>
  </si>
  <si>
    <t>Q7L273_KCTD9</t>
  </si>
  <si>
    <t>Q7L2H7_EIF3M</t>
  </si>
  <si>
    <t>Q7L2J0_MEPCE</t>
  </si>
  <si>
    <t>Q7L2Z9_CENPQ</t>
  </si>
  <si>
    <t>Q7L3S4_ZNF771</t>
  </si>
  <si>
    <t>Q7L3T8_PARS2</t>
  </si>
  <si>
    <t>Q7L4I2_RSRC2</t>
  </si>
  <si>
    <t>Q7L4P6-2_BEND5</t>
  </si>
  <si>
    <t>Q7L523_RRAGA</t>
  </si>
  <si>
    <t>Q7L576_CYFIP1</t>
  </si>
  <si>
    <t>Q7L5D6_GET4</t>
  </si>
  <si>
    <t>Q7L5N7_LPCAT2</t>
  </si>
  <si>
    <t>Q7L5Y1_ENOSF1</t>
  </si>
  <si>
    <t>Q7L5Y9_MAEA</t>
  </si>
  <si>
    <t>Q7L775_EPM2AIP1</t>
  </si>
  <si>
    <t>Q7L7L0_HIST3H2A</t>
  </si>
  <si>
    <t>Q7L7X3_TAOK1</t>
  </si>
  <si>
    <t>Q7L8J4_SH3BP5L</t>
  </si>
  <si>
    <t>Q7L8L6_FASTKD5</t>
  </si>
  <si>
    <t>Q7L8W6_ATPBD4</t>
  </si>
  <si>
    <t>Q7L9B9_EEPD1</t>
  </si>
  <si>
    <t>Q7LBC6_KDM3B</t>
  </si>
  <si>
    <t>Q7LBR1_CHMP1B</t>
  </si>
  <si>
    <t>Q7LGA3_HS2ST1</t>
  </si>
  <si>
    <t>Q7RTN6-6_STRADA</t>
  </si>
  <si>
    <t>Q7RTP0_NIPA1</t>
  </si>
  <si>
    <t>Q7RTP6_MICAL3</t>
  </si>
  <si>
    <t>Q7RTS9_DYM</t>
  </si>
  <si>
    <t>Q7RTV0_PHF5A</t>
  </si>
  <si>
    <t>Q7Z2E3-7_APTX</t>
  </si>
  <si>
    <t>Q7Z2K6_ERMP1</t>
  </si>
  <si>
    <t>Q7Z2K8_GPRIN1</t>
  </si>
  <si>
    <t>Q7Z2T5_TRMT1L</t>
  </si>
  <si>
    <t>Q7Z2W4_ZC3HAV1</t>
  </si>
  <si>
    <t>Q7Z2Z2_EFTUD1</t>
  </si>
  <si>
    <t>Q7Z309_FAM122B</t>
  </si>
  <si>
    <t>Q7Z392_TRAPPC11</t>
  </si>
  <si>
    <t>Q7Z3C6-2_ATG9A</t>
  </si>
  <si>
    <t>Q7Z3D4_LYSMD3</t>
  </si>
  <si>
    <t>Q7Z3D6-2_C14orf159</t>
  </si>
  <si>
    <t>Q7Z3E2_C10orf118</t>
  </si>
  <si>
    <t>Q7Z3K3-5_POGZ</t>
  </si>
  <si>
    <t>Q7Z3T8_ZFYVE16</t>
  </si>
  <si>
    <t>Q7Z3Z2_RD3</t>
  </si>
  <si>
    <t>Q7Z417_NUFIP2</t>
  </si>
  <si>
    <t>Q7Z422-2_SZRD1</t>
  </si>
  <si>
    <t>Q7Z434_MAVS</t>
  </si>
  <si>
    <t>Q7Z449_CYP2U1</t>
  </si>
  <si>
    <t>Q7Z478_DHX29</t>
  </si>
  <si>
    <t>Q7Z4G1_COMMD6</t>
  </si>
  <si>
    <t>Q7Z4G4-2_TRMT11</t>
  </si>
  <si>
    <t>Q7Z4H3_HDDC2</t>
  </si>
  <si>
    <t>Q7Z4H7-3_HAUS6</t>
  </si>
  <si>
    <t>Q7Z4Q2_HEATR3</t>
  </si>
  <si>
    <t>Q7Z4V5_HDGFRP2</t>
  </si>
  <si>
    <t>Q7Z4V5-2_HDGFRP2</t>
  </si>
  <si>
    <t>Q7Z4W1_DCXR</t>
  </si>
  <si>
    <t>Q7Z5G4_GOLGA7</t>
  </si>
  <si>
    <t>Q7Z5K2_WAPAL</t>
  </si>
  <si>
    <t>Q7Z5L9-2_IRF2BP2</t>
  </si>
  <si>
    <t>Q7Z5R6_APBB1IP</t>
  </si>
  <si>
    <t>Q7Z5U6_WDR53</t>
  </si>
  <si>
    <t>Q7Z5W3_BCDIN3D</t>
  </si>
  <si>
    <t>Q7Z6B0-2_CCDC91</t>
  </si>
  <si>
    <t>Q7Z6E9_RBBP6</t>
  </si>
  <si>
    <t>Q7Z6I6_ARHGAP30</t>
  </si>
  <si>
    <t>Q7Z6I8_C5orf24</t>
  </si>
  <si>
    <t>Q7Z6J8_UBE3D</t>
  </si>
  <si>
    <t>Q7Z6J9_TSEN54</t>
  </si>
  <si>
    <t>Q7Z6K3_PTAR1</t>
  </si>
  <si>
    <t>Q7Z6L1_TECPR1</t>
  </si>
  <si>
    <t>Q7Z6M1_RABEPK</t>
  </si>
  <si>
    <t>Q7Z6M2_FBXO33</t>
  </si>
  <si>
    <t>Q7Z6M4_MTERFD2</t>
  </si>
  <si>
    <t>Q7Z6P3_RAB44</t>
  </si>
  <si>
    <t>Q7Z6V5_ADAT2</t>
  </si>
  <si>
    <t>Q7Z6Z7-2_HUWE1</t>
  </si>
  <si>
    <t>Q7Z7A3_CTU1</t>
  </si>
  <si>
    <t>Q7Z7A4-2_PXK</t>
  </si>
  <si>
    <t>Q7Z7C8_TAF8</t>
  </si>
  <si>
    <t>Q7Z7E8_UBE2Q1</t>
  </si>
  <si>
    <t>Q7Z7F0_KIAA0907</t>
  </si>
  <si>
    <t>Q7Z7F7_MRPL55</t>
  </si>
  <si>
    <t>Q7Z7G8-2_VPS13B</t>
  </si>
  <si>
    <t>Q7Z7H5-3_TMED4</t>
  </si>
  <si>
    <t>Q7Z7H8_MRPL10</t>
  </si>
  <si>
    <t>Q7Z7K6-3_CENPV</t>
  </si>
  <si>
    <t>Q7Z7L1_SLFN11</t>
  </si>
  <si>
    <t>Q7Z7L7_ZER1</t>
  </si>
  <si>
    <t>Q7Z7L8_C11orf96</t>
  </si>
  <si>
    <t>Q7Z7L9_ZSCAN2</t>
  </si>
  <si>
    <t>Q7Z7N9_TMEM179B</t>
  </si>
  <si>
    <t>Q86SF2_GALNT7</t>
  </si>
  <si>
    <t>Q86SK9-2_SCD5</t>
  </si>
  <si>
    <t>Q86SQ9-3_DHDDS</t>
  </si>
  <si>
    <t>Q86SX6_GLRX5</t>
  </si>
  <si>
    <t>Q86SZ2_TRAPPC6B</t>
  </si>
  <si>
    <t>Q86T03_TMEM55B</t>
  </si>
  <si>
    <t>Q86T13_CLEC14A</t>
  </si>
  <si>
    <t>Q86TB9-4_PATL1</t>
  </si>
  <si>
    <t>Q86TI0-2_TBC1D1</t>
  </si>
  <si>
    <t>Q86TI2-2_DPP9</t>
  </si>
  <si>
    <t>Q86TM6-2_SYVN1</t>
  </si>
  <si>
    <t>Q86TN4_TRPT1</t>
  </si>
  <si>
    <t>Q86TP1_PRUNE</t>
  </si>
  <si>
    <t>Q86TU7_SETD3</t>
  </si>
  <si>
    <t>Q86TV2_LGMN</t>
  </si>
  <si>
    <t>Q86U06-4_RBM23</t>
  </si>
  <si>
    <t>Q86U28_ISCA2</t>
  </si>
  <si>
    <t>Q86U38_NOP9</t>
  </si>
  <si>
    <t>Q86U44_METTL3</t>
  </si>
  <si>
    <t>Q86U70-3_LDB1</t>
  </si>
  <si>
    <t>Q86U86-5_PBRM1</t>
  </si>
  <si>
    <t>Q86U90_YRDC</t>
  </si>
  <si>
    <t>Q86UA1_PRPF39</t>
  </si>
  <si>
    <t>Q86UA6-3_RPAIN</t>
  </si>
  <si>
    <t>Q86UD0_SAPCD2</t>
  </si>
  <si>
    <t>Q86UE4_MTDH</t>
  </si>
  <si>
    <t>Q86UE8-2_TLK2</t>
  </si>
  <si>
    <t>Q86UF1_TSPAN33</t>
  </si>
  <si>
    <t>Q86UK7-2_ZNF598</t>
  </si>
  <si>
    <t>Q86UL3_AGPAT6</t>
  </si>
  <si>
    <t>Q86UN3_RTN4RL2</t>
  </si>
  <si>
    <t>Q86UP2_KTN1</t>
  </si>
  <si>
    <t>Q86US8_SMG6</t>
  </si>
  <si>
    <t>Q86UT8_CCDC84</t>
  </si>
  <si>
    <t>Q86UU0-4_BCL9L</t>
  </si>
  <si>
    <t>Q86UV5_USP48</t>
  </si>
  <si>
    <t>Q86UX3_ABCC5</t>
  </si>
  <si>
    <t>Q86UX7-2_FERMT3</t>
  </si>
  <si>
    <t>Q86UY0_TXNDC5</t>
  </si>
  <si>
    <t>Q86UY6_NAA40</t>
  </si>
  <si>
    <t>Q86UY8-2_NT5DC3</t>
  </si>
  <si>
    <t>Q86V21_AACS</t>
  </si>
  <si>
    <t>Q86V42_FAM124A</t>
  </si>
  <si>
    <t>Q86V48-2_LUZP1</t>
  </si>
  <si>
    <t>Q86V59-2_PNMAL1</t>
  </si>
  <si>
    <t>Q86V85_GPR180</t>
  </si>
  <si>
    <t>Q86V87_FAM160B2</t>
  </si>
  <si>
    <t>Q86V88_MDP1</t>
  </si>
  <si>
    <t>Q86VD7_SLC25A42</t>
  </si>
  <si>
    <t>Q86VN1-2_VPS36</t>
  </si>
  <si>
    <t>Q86VP1-2_TAX1BP1</t>
  </si>
  <si>
    <t>Q86VP6_CAND1</t>
  </si>
  <si>
    <t>Q86VQ1_GLCCI1</t>
  </si>
  <si>
    <t>Q86VQ2_WASF3</t>
  </si>
  <si>
    <t>Q86VR2_FAM134C</t>
  </si>
  <si>
    <t>Q86VS8_HOOK3</t>
  </si>
  <si>
    <t>Q86VU5_COMTD1</t>
  </si>
  <si>
    <t>Q86VW0_SESTD1</t>
  </si>
  <si>
    <t>Q86VX2-2_COMMD7</t>
  </si>
  <si>
    <t>Q86VX9_MON1A</t>
  </si>
  <si>
    <t>Q86VY4_TSPYL5</t>
  </si>
  <si>
    <t>Q86VZ1_P2RY8</t>
  </si>
  <si>
    <t>Q86W33_TPRA1</t>
  </si>
  <si>
    <t>Q86W42_THOC6</t>
  </si>
  <si>
    <t>Q86W50_METTL16</t>
  </si>
  <si>
    <t>Q86W56_PARG</t>
  </si>
  <si>
    <t>Q86W92-4_PPFIBP1</t>
  </si>
  <si>
    <t>Q86WA6-2_BPHL</t>
  </si>
  <si>
    <t>Q86WA8_LONP2</t>
  </si>
  <si>
    <t>Q86WC4_OSTM1</t>
  </si>
  <si>
    <t>Q86WJ1_CHD1L</t>
  </si>
  <si>
    <t>Q86WQ0_NR2C2AP</t>
  </si>
  <si>
    <t>Q86WR0_CCDC25</t>
  </si>
  <si>
    <t>Q86WV1-2_SKAP1</t>
  </si>
  <si>
    <t>Q86WV6_TMEM173</t>
  </si>
  <si>
    <t>Q86WV7_CCDC43</t>
  </si>
  <si>
    <t>Q86WX3_RPS19BP1</t>
  </si>
  <si>
    <t>Q86X02_CDR2L</t>
  </si>
  <si>
    <t>Q86X10_RALGAPB</t>
  </si>
  <si>
    <t>Q86X27_RALGPS2</t>
  </si>
  <si>
    <t>Q86X53_ERICH1</t>
  </si>
  <si>
    <t>Q86X55-1_CARM1</t>
  </si>
  <si>
    <t>Q86X76-2_NIT1</t>
  </si>
  <si>
    <t>Q86X83_COMMD2</t>
  </si>
  <si>
    <t>Q86X95_CIR1</t>
  </si>
  <si>
    <t>Q86XI2_NCAPG2</t>
  </si>
  <si>
    <t>Q86XK3-3_SFR1</t>
  </si>
  <si>
    <t>Q86XP1_DGKH</t>
  </si>
  <si>
    <t>Q86XP3_DDX42</t>
  </si>
  <si>
    <t>Q86XZ4_SPATS2</t>
  </si>
  <si>
    <t>Q86Y01_DTX1</t>
  </si>
  <si>
    <t>Q86Y07-4_VRK2</t>
  </si>
  <si>
    <t>Q86Y37_CACUL1</t>
  </si>
  <si>
    <t>Q86Y39_NDUFA11</t>
  </si>
  <si>
    <t>Q86Y56_HEATR2</t>
  </si>
  <si>
    <t>Q86Y79_PTRH1</t>
  </si>
  <si>
    <t>Q86Y82_STX12</t>
  </si>
  <si>
    <t>Q86YH6_PDSS2</t>
  </si>
  <si>
    <t>Q86YM7_HOMER1</t>
  </si>
  <si>
    <t>Q86YN1-2_DOLPP1</t>
  </si>
  <si>
    <t>Q86YP4_GATAD2A</t>
  </si>
  <si>
    <t>Q86YR5-4_GPSM1</t>
  </si>
  <si>
    <t>Q86YS3_RAB11FIP4</t>
  </si>
  <si>
    <t>Q86YS6_RAB43</t>
  </si>
  <si>
    <t>Q86YS7_C2CD5</t>
  </si>
  <si>
    <t>Q86YT6_MIB1</t>
  </si>
  <si>
    <t>Q86YV0_RASAL3</t>
  </si>
  <si>
    <t>Q8IU81_IRF2BP1</t>
  </si>
  <si>
    <t>Q8IU85-2_CAMK1D</t>
  </si>
  <si>
    <t>Q8IUE6_HIST2H2AB</t>
  </si>
  <si>
    <t>Q8IUF8_MINA</t>
  </si>
  <si>
    <t>Q8IUH3-3_RBM45</t>
  </si>
  <si>
    <t>Q8IUH4_ZDHHC13</t>
  </si>
  <si>
    <t>Q8IUH5_ZDHHC17</t>
  </si>
  <si>
    <t>Q8IUI8_CRLF3</t>
  </si>
  <si>
    <t>Q8IUQ4_SIAH1</t>
  </si>
  <si>
    <t>Q8IUR0_TRAPPC5</t>
  </si>
  <si>
    <t>Q8IUW5_RELL1</t>
  </si>
  <si>
    <t>Q8IUX1-4_TMEM126B</t>
  </si>
  <si>
    <t>Q8IUX7_AEBP1</t>
  </si>
  <si>
    <t>Q8IUZ5_AGXT2L2</t>
  </si>
  <si>
    <t>Q8IV04_TBC1D10C</t>
  </si>
  <si>
    <t>Q8IV08_PLD3</t>
  </si>
  <si>
    <t>Q8IV36-2_HID1</t>
  </si>
  <si>
    <t>Q8IV38_ANKMY2</t>
  </si>
  <si>
    <t>Q8IV48_ERI1</t>
  </si>
  <si>
    <t>Q8IV50_LYSMD2</t>
  </si>
  <si>
    <t>Q8IV53-2_DENND1C</t>
  </si>
  <si>
    <t>Q8IV63-3_VRK3</t>
  </si>
  <si>
    <t>Q8IVB5_LIX1L</t>
  </si>
  <si>
    <t>Q8IVD9_NUDCD3</t>
  </si>
  <si>
    <t>Q8IVF2-3_AHNAK2</t>
  </si>
  <si>
    <t>Q8IVH4_MMAA</t>
  </si>
  <si>
    <t>Q8IVR6_PPM1D</t>
  </si>
  <si>
    <t>Q8IVS2_MCAT</t>
  </si>
  <si>
    <t>Q8IVV7_GID4</t>
  </si>
  <si>
    <t>Q8IW19_APLF</t>
  </si>
  <si>
    <t>Q8IW41-2_MAPKAPK5</t>
  </si>
  <si>
    <t>Q8IW45_CARKD</t>
  </si>
  <si>
    <t>Q8IWA0_WDR75</t>
  </si>
  <si>
    <t>Q8IWA4_MFN1</t>
  </si>
  <si>
    <t>Q8IWB1_ITPRIP</t>
  </si>
  <si>
    <t>Q8IWB7_WDFY1</t>
  </si>
  <si>
    <t>Q8IWB9_TEX2</t>
  </si>
  <si>
    <t>Q8IWC1-2_MAP7D3</t>
  </si>
  <si>
    <t>Q8IWD4_CCDC117</t>
  </si>
  <si>
    <t>Q8IWE4_DCUN1D3</t>
  </si>
  <si>
    <t>Q8IWF6_DENND6A</t>
  </si>
  <si>
    <t>Q8IWJ2_GCC2</t>
  </si>
  <si>
    <t>Q8IWS0_PHF6</t>
  </si>
  <si>
    <t>Q8IWT6_LRRC8A</t>
  </si>
  <si>
    <t>Q8IWV7_UBR1</t>
  </si>
  <si>
    <t>Q8IWV8_UBR2</t>
  </si>
  <si>
    <t>Q8IWY9_CDAN1</t>
  </si>
  <si>
    <t>Q8IWZ3-6_ANKHD1</t>
  </si>
  <si>
    <t>Q8IWZ8_SUGP1</t>
  </si>
  <si>
    <t>Q8IX12-2_CCAR1</t>
  </si>
  <si>
    <t>Q8IX18-3_DHX40</t>
  </si>
  <si>
    <t>Q8IX90_SKA3</t>
  </si>
  <si>
    <t>Q8IXB1_DNAJC10</t>
  </si>
  <si>
    <t>Q8IXI1_RHOT2</t>
  </si>
  <si>
    <t>Q8IXI2-2_RHOT1</t>
  </si>
  <si>
    <t>Q8IXJ6-2_SIRT2</t>
  </si>
  <si>
    <t>Q8IXK2_GALNT12</t>
  </si>
  <si>
    <t>Q8IXM6_NRM</t>
  </si>
  <si>
    <t>Q8IXN7_RIMKLA</t>
  </si>
  <si>
    <t>Q8IXQ3_C9orf40</t>
  </si>
  <si>
    <t>Q8IXQ4_KIAA1704</t>
  </si>
  <si>
    <t>Q8IXQ5-2_KLHL7</t>
  </si>
  <si>
    <t>Q8IXT5_RBM12B</t>
  </si>
  <si>
    <t>Q8IY17-2_PNPLA6</t>
  </si>
  <si>
    <t>Q8IY18_SMC5</t>
  </si>
  <si>
    <t>Q8IY21_DDX60</t>
  </si>
  <si>
    <t>Q8IY22_CMIP</t>
  </si>
  <si>
    <t>Q8IY37_DHX37</t>
  </si>
  <si>
    <t>Q8IY95-2_TMEM192</t>
  </si>
  <si>
    <t>Q8IYB1_MB21D2</t>
  </si>
  <si>
    <t>Q8IYB5-3_SMAP1</t>
  </si>
  <si>
    <t>Q8IYB7_DIS3L2</t>
  </si>
  <si>
    <t>Q8IYB8_SUPV3L1</t>
  </si>
  <si>
    <t>Q8IYD1_GSPT2</t>
  </si>
  <si>
    <t>Q8IYH5-4_ZZZ3</t>
  </si>
  <si>
    <t>Q8IYI6_EXOC8</t>
  </si>
  <si>
    <t>Q8IYJ3_SYTL1</t>
  </si>
  <si>
    <t>Q8IYL3_C1orf174</t>
  </si>
  <si>
    <t>Q8IYN2_TCEAL8</t>
  </si>
  <si>
    <t>Q8IYQ7_THNSL1</t>
  </si>
  <si>
    <t>Q8IYS1_PM20D2</t>
  </si>
  <si>
    <t>Q8IYS2_KIAA2013</t>
  </si>
  <si>
    <t>Q8IYT2_FTSJD1</t>
  </si>
  <si>
    <t>Q8IYU8_MICU2</t>
  </si>
  <si>
    <t>Q8IYW5_RNF168</t>
  </si>
  <si>
    <t>Q8IZ07_ANKRD13A</t>
  </si>
  <si>
    <t>Q8IZ21-3_PHACTR4</t>
  </si>
  <si>
    <t>Q8IZ40_RCOR2</t>
  </si>
  <si>
    <t>Q8IZ68_MTX2</t>
  </si>
  <si>
    <t>Q8IZ73_RPUSD2</t>
  </si>
  <si>
    <t>Q8IZ81_ELMOD2</t>
  </si>
  <si>
    <t>Q8IZ83_ALDH16A1</t>
  </si>
  <si>
    <t>Q8IZD4_DCP1B</t>
  </si>
  <si>
    <t>Q8IZE3-2_SCYL3</t>
  </si>
  <si>
    <t>Q8IZH2-2_XRN1</t>
  </si>
  <si>
    <t>Q8IZM8_ZNF654</t>
  </si>
  <si>
    <t>Q8IZQ5_SELH</t>
  </si>
  <si>
    <t>Q8IZR5-3_CMTM4</t>
  </si>
  <si>
    <t>Q8N0T1_C8orf59</t>
  </si>
  <si>
    <t>Q8N0U4_FAM185A</t>
  </si>
  <si>
    <t>Q8N0U8_VKORC1L1</t>
  </si>
  <si>
    <t>Q8N0V3_RBFA</t>
  </si>
  <si>
    <t>Q8N0W3_FUK</t>
  </si>
  <si>
    <t>Q8N0X4_CLYBL</t>
  </si>
  <si>
    <t>Q8N0X7_SPG20</t>
  </si>
  <si>
    <t>Q8N0Z6_TTC5</t>
  </si>
  <si>
    <t>Q8N108-17_MIER1</t>
  </si>
  <si>
    <t>Q8N122_RPTOR</t>
  </si>
  <si>
    <t>Q8N129_CNPY4</t>
  </si>
  <si>
    <t>Q8N142_ADSSL1</t>
  </si>
  <si>
    <t>Q8N163_KIAA1967</t>
  </si>
  <si>
    <t>Q8N183_NDUFAF2</t>
  </si>
  <si>
    <t>Q8N1B4_VPS52</t>
  </si>
  <si>
    <t>Q8N1F7_NUP93</t>
  </si>
  <si>
    <t>Q8N1G1_REXO1</t>
  </si>
  <si>
    <t>Q8N1G2_FTSJD2</t>
  </si>
  <si>
    <t>Q8N1G4_LRRC47</t>
  </si>
  <si>
    <t>Q8N1K5_THEMIS</t>
  </si>
  <si>
    <t>Q8N1S5-2_SLC39A11</t>
  </si>
  <si>
    <t>Q8N201_INTS1</t>
  </si>
  <si>
    <t>Q8N257_HIST3H2BB</t>
  </si>
  <si>
    <t>Q8N2F6-3_ARMC10</t>
  </si>
  <si>
    <t>Q8N2G8-3_GHDC</t>
  </si>
  <si>
    <t>Q8N2K0_ABHD12</t>
  </si>
  <si>
    <t>Q8N2W9_PIAS4</t>
  </si>
  <si>
    <t>Q8N2Z9_APITD1</t>
  </si>
  <si>
    <t>Q8N300_CCDC23</t>
  </si>
  <si>
    <t>Q8N302_AGGF1</t>
  </si>
  <si>
    <t>Q8N335_GPD1L</t>
  </si>
  <si>
    <t>Q8N344_MIER2</t>
  </si>
  <si>
    <t>Q8N357_SLC35F6</t>
  </si>
  <si>
    <t>Q8N371_KDM8</t>
  </si>
  <si>
    <t>Q8N3C0_ASCC3</t>
  </si>
  <si>
    <t>Q8N3D4_EHBP1L1</t>
  </si>
  <si>
    <t>Q8N3F8_MICALL1</t>
  </si>
  <si>
    <t>Q8N3X1_FNBP4</t>
  </si>
  <si>
    <t>Q8N3Z3_GTPBP8</t>
  </si>
  <si>
    <t>Q8N442_GUF1</t>
  </si>
  <si>
    <t>Q8N465_D2HGDH</t>
  </si>
  <si>
    <t>Q8N488_RYBP</t>
  </si>
  <si>
    <t>Q8N490_PNKD</t>
  </si>
  <si>
    <t>Q8N490-2_PNKD</t>
  </si>
  <si>
    <t>Q8N4C8-5_MINK1</t>
  </si>
  <si>
    <t>Q8N4H5_TOMM5</t>
  </si>
  <si>
    <t>Q8N4P3_HDDC3</t>
  </si>
  <si>
    <t>Q8N4Q0_ZADH2</t>
  </si>
  <si>
    <t>Q8N4Q1_CHCHD4</t>
  </si>
  <si>
    <t>Q8N4S0_CCDC82</t>
  </si>
  <si>
    <t>Q8N4T8_CBR4</t>
  </si>
  <si>
    <t>Q8N4V1_MMGT1</t>
  </si>
  <si>
    <t>Q8N543_OGFOD1</t>
  </si>
  <si>
    <t>Q8N567_ZCCHC9</t>
  </si>
  <si>
    <t>Q8N573-2_OXR1</t>
  </si>
  <si>
    <t>Q8N584-2_TTC39C</t>
  </si>
  <si>
    <t>Q8N5A5-2_ZGPAT</t>
  </si>
  <si>
    <t>Q8N5C6_SRBD1</t>
  </si>
  <si>
    <t>Q8N5C7_DTWD1</t>
  </si>
  <si>
    <t>Q8N5F7_NKAP</t>
  </si>
  <si>
    <t>Q8N5G0-2_SMIM20</t>
  </si>
  <si>
    <t>Q8N5G2_TMEM57</t>
  </si>
  <si>
    <t>Q8N5I4_DHRSX</t>
  </si>
  <si>
    <t>Q8N5I9_C12orf45</t>
  </si>
  <si>
    <t>Q8N5K1_CISD2</t>
  </si>
  <si>
    <t>Q8N5L8_RPP25L</t>
  </si>
  <si>
    <t>Q8N5M1_ATPAF2</t>
  </si>
  <si>
    <t>Q8N5M9_JAGN1</t>
  </si>
  <si>
    <t>Q8N5N7_MRPL50</t>
  </si>
  <si>
    <t>Q8N5P1_ZC3H8</t>
  </si>
  <si>
    <t>Q8N5Y8_PARP16</t>
  </si>
  <si>
    <t>Q8N5Z5-2_KCTD17</t>
  </si>
  <si>
    <t>Q8N608-4_DPP10</t>
  </si>
  <si>
    <t>Q8N655_C10orf12</t>
  </si>
  <si>
    <t>Q8N668_COMMD1</t>
  </si>
  <si>
    <t>Q8N684_CPSF7</t>
  </si>
  <si>
    <t>Q8N697_SLC15A4</t>
  </si>
  <si>
    <t>Q8N6H7_ARFGAP2</t>
  </si>
  <si>
    <t>Q8N6M0_OTUD6B</t>
  </si>
  <si>
    <t>Q8N6N3_C1orf52</t>
  </si>
  <si>
    <t>Q8N6N7_ACBD7</t>
  </si>
  <si>
    <t>Q8N6Q8_METTL25</t>
  </si>
  <si>
    <t>Q8N6S5_ARL6IP6</t>
  </si>
  <si>
    <t>Q8N6T3_ARFGAP1</t>
  </si>
  <si>
    <t>Q8N6T7_SIRT6</t>
  </si>
  <si>
    <t>Q8N766-3_EMC1</t>
  </si>
  <si>
    <t>Q8N806_UBR7</t>
  </si>
  <si>
    <t>Q8N8A6_DDX51</t>
  </si>
  <si>
    <t>Q8N8R3_SLC25A29</t>
  </si>
  <si>
    <t>Q8N8R5_C2orf69</t>
  </si>
  <si>
    <t>Q8N8S7-2_ENAH</t>
  </si>
  <si>
    <t>Q8N8Y2_ATP6V0D2</t>
  </si>
  <si>
    <t>Q8N8Z6-2_DCBLD1</t>
  </si>
  <si>
    <t>Q8N954_GPATCH11</t>
  </si>
  <si>
    <t>Q8N960_CEP120</t>
  </si>
  <si>
    <t>Q8N983-4_MRPL43</t>
  </si>
  <si>
    <t>Q8N999_C12orf29</t>
  </si>
  <si>
    <t>Q8N9A8-2_CNEP1R1</t>
  </si>
  <si>
    <t>Q8N9F7_GDPD1</t>
  </si>
  <si>
    <t>Q8N9M1_C19orf47</t>
  </si>
  <si>
    <t>Q8N9M5_TMEM102</t>
  </si>
  <si>
    <t>Q8N9N7_LRRC57</t>
  </si>
  <si>
    <t>Q8N9N8_EIF1AD</t>
  </si>
  <si>
    <t>Q8N9Q2_SREK1IP1</t>
  </si>
  <si>
    <t>Q8N9R8_SCAI</t>
  </si>
  <si>
    <t>Q8N9V3-2_WDSUB1</t>
  </si>
  <si>
    <t>Q8NAF0_ZNF579</t>
  </si>
  <si>
    <t>Q8NAT1_GTDC2</t>
  </si>
  <si>
    <t>Q8NAV1_PRPF38A</t>
  </si>
  <si>
    <t>Q8NB15-2_ZNF511</t>
  </si>
  <si>
    <t>Q8NB16_MLKL</t>
  </si>
  <si>
    <t>Q8NB37_PDDC1</t>
  </si>
  <si>
    <t>Q8NB42-2_ZNF527</t>
  </si>
  <si>
    <t>Q8NB46_ANKRD52</t>
  </si>
  <si>
    <t>Q8NB49-3_ATP11C</t>
  </si>
  <si>
    <t>Q8NB90_SPATA5</t>
  </si>
  <si>
    <t>Q8NBA8_DTWD2</t>
  </si>
  <si>
    <t>Q8NBF2_NHLRC2</t>
  </si>
  <si>
    <t>Q8NBF6_AVL9</t>
  </si>
  <si>
    <t>Q8NBI6_XXYLT1</t>
  </si>
  <si>
    <t>Q8NBJ4-2_GOLM1</t>
  </si>
  <si>
    <t>Q8NBJ5_COLGALT1</t>
  </si>
  <si>
    <t>Q8NBK3-4_SUMF1</t>
  </si>
  <si>
    <t>Q8NBL1_POGLUT1</t>
  </si>
  <si>
    <t>Q8NBM4-4_UBAC2</t>
  </si>
  <si>
    <t>Q8NBM8_PCYOX1L</t>
  </si>
  <si>
    <t>Q8NBN3_TMEM87A</t>
  </si>
  <si>
    <t>Q8NBP0_TTC13</t>
  </si>
  <si>
    <t>Q8NBU5_ATAD1</t>
  </si>
  <si>
    <t>Q8NBX0_SCCPDH</t>
  </si>
  <si>
    <t>Q8NBZ0_INO80E</t>
  </si>
  <si>
    <t>Q8NBZ7_UXS1</t>
  </si>
  <si>
    <t>Q8NC51_SERBP1</t>
  </si>
  <si>
    <t>Q8NC51-2_SERBP1</t>
  </si>
  <si>
    <t>Q8NC54_KCT2</t>
  </si>
  <si>
    <t>Q8NC56_LEMD2</t>
  </si>
  <si>
    <t>Q8NC60_NOA1</t>
  </si>
  <si>
    <t>Q8NC96_NECAP1</t>
  </si>
  <si>
    <t>Q8NCA5-2_FAM98A</t>
  </si>
  <si>
    <t>Q8NCC3_PLA2G15</t>
  </si>
  <si>
    <t>Q8NCE0-2_TSEN2</t>
  </si>
  <si>
    <t>Q8NCE2-2_MTMR14</t>
  </si>
  <si>
    <t>Q8NCF5_NFATC2IP</t>
  </si>
  <si>
    <t>Q8NCG7-4_DAGLB</t>
  </si>
  <si>
    <t>Q8NCN4_RNF169</t>
  </si>
  <si>
    <t>Q8NCN5_PDPR</t>
  </si>
  <si>
    <t>Q8NCR0_B3GALNT2</t>
  </si>
  <si>
    <t>Q8NCW5_APOA1BP</t>
  </si>
  <si>
    <t>Q8ND04_SMG8</t>
  </si>
  <si>
    <t>Q8ND24_RNF214</t>
  </si>
  <si>
    <t>Q8ND25_ZNRF1</t>
  </si>
  <si>
    <t>Q8ND56-2_LSM14A</t>
  </si>
  <si>
    <t>Q8ND76-3_CCNY</t>
  </si>
  <si>
    <t>Q8ND83_SLAIN1</t>
  </si>
  <si>
    <t>Q8NDC0_MAPK1IP1L</t>
  </si>
  <si>
    <t>Q8NDD1-2_C1orf131</t>
  </si>
  <si>
    <t>Q8NDD1-3_C1orf131</t>
  </si>
  <si>
    <t>Q8NDI1-3_EHBP1</t>
  </si>
  <si>
    <t>Q8NDT2_RBM15B</t>
  </si>
  <si>
    <t>Q8NDV3-2_SMC1B</t>
  </si>
  <si>
    <t>Q8NDZ4_C3orf58</t>
  </si>
  <si>
    <t>Q8NE00_TMEM104</t>
  </si>
  <si>
    <t>Q8NE01_CNNM3</t>
  </si>
  <si>
    <t>Q8NE71_ABCF1</t>
  </si>
  <si>
    <t>Q8NE86-3_MCU</t>
  </si>
  <si>
    <t>Q8NEB9_PIK3C3</t>
  </si>
  <si>
    <t>Q8NEC7_GSTCD</t>
  </si>
  <si>
    <t>Q8NEF9_SRFBP1</t>
  </si>
  <si>
    <t>Q8NEL9-2_DDHD1</t>
  </si>
  <si>
    <t>Q8NEM2_SHCBP1</t>
  </si>
  <si>
    <t>Q8NEN9_PDZD8</t>
  </si>
  <si>
    <t>Q8NEZ2-2_VPS37A</t>
  </si>
  <si>
    <t>Q8NEZ5_FBXO22</t>
  </si>
  <si>
    <t>Q8NF37_LPCAT1</t>
  </si>
  <si>
    <t>Q8NFC6_BOD1L1</t>
  </si>
  <si>
    <t>Q8NFF5-2_FLAD1</t>
  </si>
  <si>
    <t>Q8NFH3_NUP43</t>
  </si>
  <si>
    <t>Q8NFH4_NUP37</t>
  </si>
  <si>
    <t>Q8NFI3_ENGASE</t>
  </si>
  <si>
    <t>Q8NFQ8_TOR1AIP2</t>
  </si>
  <si>
    <t>Q8NFU3_TSTD1</t>
  </si>
  <si>
    <t>Q8NFU5_IPMK</t>
  </si>
  <si>
    <t>Q8NFV4-4_ABHD11</t>
  </si>
  <si>
    <t>Q8NFW8_CMAS</t>
  </si>
  <si>
    <t>Q8NFY9_KBTBD8</t>
  </si>
  <si>
    <t>Q8NFZ8_CADM4</t>
  </si>
  <si>
    <t>Q8NG11-2_TSPAN14</t>
  </si>
  <si>
    <t>Q8NG68_TTL</t>
  </si>
  <si>
    <t>Q8NHG7_SVIP</t>
  </si>
  <si>
    <t>Q8NHG8_ZNRF2</t>
  </si>
  <si>
    <t>Q8NHP6_MOSPD2</t>
  </si>
  <si>
    <t>Q8NHP8_PLBD2</t>
  </si>
  <si>
    <t>Q8NHQ9_DDX55</t>
  </si>
  <si>
    <t>Q8NHU6_TDRD7</t>
  </si>
  <si>
    <t>Q8NHV1_GIMAP7</t>
  </si>
  <si>
    <t>Q8NHV4_NEDD1</t>
  </si>
  <si>
    <t>Q8NHZ8_CDC26</t>
  </si>
  <si>
    <t>Q8NI08-2_NCOA7</t>
  </si>
  <si>
    <t>Q8NI22-2_MCFD2</t>
  </si>
  <si>
    <t>Q8NI27_THOC2</t>
  </si>
  <si>
    <t>Q8NI36_WDR36</t>
  </si>
  <si>
    <t>Q8NI37_PPTC7</t>
  </si>
  <si>
    <t>Q8TA86_RP9</t>
  </si>
  <si>
    <t>Q8TAA3-5_PSMA8</t>
  </si>
  <si>
    <t>Q8TAA5_GRPEL2</t>
  </si>
  <si>
    <t>Q8TAA9-2_VANGL1</t>
  </si>
  <si>
    <t>Q8TAC1_RFESD</t>
  </si>
  <si>
    <t>Q8TAD8_SNIP1</t>
  </si>
  <si>
    <t>Q8TAE8_GADD45GIP1</t>
  </si>
  <si>
    <t>Q8TAF3_WDR48</t>
  </si>
  <si>
    <t>Q8TAP6_CEP76</t>
  </si>
  <si>
    <t>Q8TAP8_PPP1R35</t>
  </si>
  <si>
    <t>Q8TAP9_MPLKIP</t>
  </si>
  <si>
    <t>Q8TAQ2_SMARCC2</t>
  </si>
  <si>
    <t>Q8TAT6_NPLOC4</t>
  </si>
  <si>
    <t>Q8TAV0_FAM76A</t>
  </si>
  <si>
    <t>Q8TAY7_FAM110D</t>
  </si>
  <si>
    <t>Q8TB03_CXorf38</t>
  </si>
  <si>
    <t>Q8TB22-3_SPATA20</t>
  </si>
  <si>
    <t>Q8TB36_GDAP1</t>
  </si>
  <si>
    <t>Q8TB37_NUBPL</t>
  </si>
  <si>
    <t>Q8TB52_FBXO30</t>
  </si>
  <si>
    <t>Q8TB61-3_SLC35B2</t>
  </si>
  <si>
    <t>Q8TB72-3_PUM2</t>
  </si>
  <si>
    <t>Q8TB96_ITFG1</t>
  </si>
  <si>
    <t>Q8TBA6-2_GOLGA5</t>
  </si>
  <si>
    <t>Q8TBB5-3_KLHDC4</t>
  </si>
  <si>
    <t>Q8TBC4_UBA3</t>
  </si>
  <si>
    <t>Q8TBE9_NANP</t>
  </si>
  <si>
    <t>Q8TBF4_ZCRB1</t>
  </si>
  <si>
    <t>Q8TBM8_DNAJB14</t>
  </si>
  <si>
    <t>Q8TBN0_RAB3IL1</t>
  </si>
  <si>
    <t>Q8TBP6_SLC25A40</t>
  </si>
  <si>
    <t>Q8TBQ9_TMEM167A</t>
  </si>
  <si>
    <t>Q8TBX8_PIP4K2C</t>
  </si>
  <si>
    <t>Q8TBZ3_WDR20</t>
  </si>
  <si>
    <t>Q8TBZ6_TRMT10A</t>
  </si>
  <si>
    <t>Q8TC07-2_TBC1D15</t>
  </si>
  <si>
    <t>Q8TC12_RDH11</t>
  </si>
  <si>
    <t>Q8TC24_SEC61A2</t>
  </si>
  <si>
    <t>Q8TCA0_LRRC20</t>
  </si>
  <si>
    <t>Q8TCD1_C18orf32</t>
  </si>
  <si>
    <t>Q8TCD5_NT5C</t>
  </si>
  <si>
    <t>Q8TCE6-2_FAM45A</t>
  </si>
  <si>
    <t>Q8TCG1_KIAA1524</t>
  </si>
  <si>
    <t>Q8TCG2_PI4K2B</t>
  </si>
  <si>
    <t>Q8TCJ2_STT3B</t>
  </si>
  <si>
    <t>Q8TCS8_PNPT1</t>
  </si>
  <si>
    <t>Q8TCT6-3_SPPL3</t>
  </si>
  <si>
    <t>Q8TCT8_SPPL2A</t>
  </si>
  <si>
    <t>Q8TCT9-5_HM13</t>
  </si>
  <si>
    <t>Q8TCY9_URGCP</t>
  </si>
  <si>
    <t>Q8TCZ2-6_CD99L2</t>
  </si>
  <si>
    <t>Q8TD08-2_MAPK15</t>
  </si>
  <si>
    <t>Q8TD16-2_BICD2</t>
  </si>
  <si>
    <t>Q8TD19_NEK9</t>
  </si>
  <si>
    <t>Q8TD30_GPT2</t>
  </si>
  <si>
    <t>Q8TD55-2_PLEKHO2</t>
  </si>
  <si>
    <t>Q8TDB6_DTX3L</t>
  </si>
  <si>
    <t>Q8TDC3_BRSK1</t>
  </si>
  <si>
    <t>Q8TDD1_DDX54</t>
  </si>
  <si>
    <t>Q8TDH9_BLOC1S5</t>
  </si>
  <si>
    <t>Q8TDI0_CHD5</t>
  </si>
  <si>
    <t>Q8TDJ6_DMXL2</t>
  </si>
  <si>
    <t>Q8TDQ7_GNPDA2</t>
  </si>
  <si>
    <t>Q8TDW0_LRRC8C</t>
  </si>
  <si>
    <t>Q8TDX7_NEK7</t>
  </si>
  <si>
    <t>Q8TDY2-2_RB1CC1</t>
  </si>
  <si>
    <t>Q8TDZ2_MICAL1</t>
  </si>
  <si>
    <t>Q8TE04-2_PANK1</t>
  </si>
  <si>
    <t>Q8TEA1_NSUN6</t>
  </si>
  <si>
    <t>Q8TEA7-3_TBCK</t>
  </si>
  <si>
    <t>Q8TEA8_DTD1</t>
  </si>
  <si>
    <t>Q8TEB1-2_DCAF11</t>
  </si>
  <si>
    <t>Q8TED0_UTP15</t>
  </si>
  <si>
    <t>Q8TEH3_DENND1A</t>
  </si>
  <si>
    <t>Q8TEM1_NUP210</t>
  </si>
  <si>
    <t>Q8TEQ0-2_SNX29</t>
  </si>
  <si>
    <t>Q8TEQ6_GEMIN5</t>
  </si>
  <si>
    <t>Q8TEQ8_PIGO</t>
  </si>
  <si>
    <t>Q8TEW0-7_PARD3</t>
  </si>
  <si>
    <t>Q8TEX9_IPO4</t>
  </si>
  <si>
    <t>Q8TF01_PNISR</t>
  </si>
  <si>
    <t>Q8TF05-2_PPP4R1</t>
  </si>
  <si>
    <t>Q8TF42_UBASH3B</t>
  </si>
  <si>
    <t>Q8TF44_C2CD4C</t>
  </si>
  <si>
    <t>Q8TF71_SLC16A10</t>
  </si>
  <si>
    <t>Q8TF74_WIPF2</t>
  </si>
  <si>
    <t>Q8WTS1_ABHD5</t>
  </si>
  <si>
    <t>Q8WTS6_SETD7</t>
  </si>
  <si>
    <t>Q8WTW3_COG1</t>
  </si>
  <si>
    <t>Q8WU10_PYROXD1</t>
  </si>
  <si>
    <t>Q8WU39_MZB1</t>
  </si>
  <si>
    <t>Q8WU76-2_SCFD2</t>
  </si>
  <si>
    <t>Q8WU79_SMAP2</t>
  </si>
  <si>
    <t>Q8WU90_ZC3H15</t>
  </si>
  <si>
    <t>Q8WUA2_PPIL4</t>
  </si>
  <si>
    <t>Q8WUA8_TSKU</t>
  </si>
  <si>
    <t>Q8WUB8-3_PHF10</t>
  </si>
  <si>
    <t>Q8WUD1_RAB2B</t>
  </si>
  <si>
    <t>Q8WUF5_PPP1R13L</t>
  </si>
  <si>
    <t>Q8WUF8-3_FAM172A</t>
  </si>
  <si>
    <t>Q8WUH1_CHURC1</t>
  </si>
  <si>
    <t>Q8WUH2_TGFBRAP1</t>
  </si>
  <si>
    <t>Q8WUH6_C12orf23</t>
  </si>
  <si>
    <t>Q8WUI4-3_HDAC7</t>
  </si>
  <si>
    <t>Q8WUJ0_STYX</t>
  </si>
  <si>
    <t>Q8WUM0_NUP133</t>
  </si>
  <si>
    <t>Q8WUM4_PDCD6IP</t>
  </si>
  <si>
    <t>Q8WUM9_SLC20A1</t>
  </si>
  <si>
    <t>Q8WUN7_UBTD2</t>
  </si>
  <si>
    <t>Q8WUR7_C15orf40</t>
  </si>
  <si>
    <t>Q8WUX2_CHAC2</t>
  </si>
  <si>
    <t>Q8WUX9_CHMP7</t>
  </si>
  <si>
    <t>Q8WUY1_THEM6</t>
  </si>
  <si>
    <t>Q8WUY8_NAT14</t>
  </si>
  <si>
    <t>Q8WV22_NSMCE1</t>
  </si>
  <si>
    <t>Q8WV24_PHLDA1</t>
  </si>
  <si>
    <t>Q8WV74_NUDT8</t>
  </si>
  <si>
    <t>Q8WV92_MITD1</t>
  </si>
  <si>
    <t>Q8WVB6_CHTF18</t>
  </si>
  <si>
    <t>Q8WVC0_LEO1</t>
  </si>
  <si>
    <t>Q8WVD3_RNF138</t>
  </si>
  <si>
    <t>Q8WVD5_RNF141</t>
  </si>
  <si>
    <t>Q8WVE0_N6AMT2</t>
  </si>
  <si>
    <t>Q8WVJ2_NUDCD2</t>
  </si>
  <si>
    <t>Q8WVK2_SNRNP27</t>
  </si>
  <si>
    <t>Q8WVK7_SKA2</t>
  </si>
  <si>
    <t>Q8WVL7_ANKRD49</t>
  </si>
  <si>
    <t>Q8WVM0_TFB1M</t>
  </si>
  <si>
    <t>Q8WVM8_SCFD1</t>
  </si>
  <si>
    <t>Q8WVQ1_CANT1</t>
  </si>
  <si>
    <t>Q8WVT3_TRAPPC12</t>
  </si>
  <si>
    <t>Q8WVX9_FAR1</t>
  </si>
  <si>
    <t>Q8WVY7_UBLCP1</t>
  </si>
  <si>
    <t>Q8WVZ9_KBTBD7</t>
  </si>
  <si>
    <t>Q8WW01_TSEN15</t>
  </si>
  <si>
    <t>Q8WW12_PCNP</t>
  </si>
  <si>
    <t>Q8WW59_SPRYD4</t>
  </si>
  <si>
    <t>Q8WWB7-2_C1orf85</t>
  </si>
  <si>
    <t>Q8WWC4_C2orf47</t>
  </si>
  <si>
    <t>Q8WWH5_TRUB1</t>
  </si>
  <si>
    <t>Q8WWI5_SLC44A1</t>
  </si>
  <si>
    <t>Q8WWK9-5_CKAP2</t>
  </si>
  <si>
    <t>Q8WWL7_CCNB3</t>
  </si>
  <si>
    <t>Q8WWM7_ATXN2L</t>
  </si>
  <si>
    <t>Q8WWP7_GIMAP1</t>
  </si>
  <si>
    <t>Q8WWV3_RTN4IP1</t>
  </si>
  <si>
    <t>Q8WWW0-2_RASSF5</t>
  </si>
  <si>
    <t>Q8WWX9_SELM</t>
  </si>
  <si>
    <t>Q8WWY3_PRPF31</t>
  </si>
  <si>
    <t>Q8WX92_NELFB</t>
  </si>
  <si>
    <t>Q8WX93-3_PALLD</t>
  </si>
  <si>
    <t>Q8WXA9-2_SREK1</t>
  </si>
  <si>
    <t>Q8WXD5_GEMIN6</t>
  </si>
  <si>
    <t>Q8WXE0_CASKIN2</t>
  </si>
  <si>
    <t>Q8WXE1-5_ATRIP</t>
  </si>
  <si>
    <t>Q8WXF1_PSPC1</t>
  </si>
  <si>
    <t>Q8WXG6-7_MADD</t>
  </si>
  <si>
    <t>Q8WXH0_SYNE2</t>
  </si>
  <si>
    <t>Q8WXI9_GATAD2B</t>
  </si>
  <si>
    <t>Q8WXX0_DNAH7</t>
  </si>
  <si>
    <t>Q8WXX5_DNAJC9</t>
  </si>
  <si>
    <t>Q8WY22_BRI3BP</t>
  </si>
  <si>
    <t>Q8WY54-2_PPM1E</t>
  </si>
  <si>
    <t>Q8WYA6_CTNNBL1</t>
  </si>
  <si>
    <t>Q8WYH8_ING5</t>
  </si>
  <si>
    <t>Q8WYN0-3_ATG4A</t>
  </si>
  <si>
    <t>Q8WYP5_AHCTF1</t>
  </si>
  <si>
    <t>Q8WYQ5-3_DGCR8</t>
  </si>
  <si>
    <t>Q8WYQ7_LGALS9</t>
  </si>
  <si>
    <t>Q8WZ82_OVCA2</t>
  </si>
  <si>
    <t>Q8WZA0_LZIC</t>
  </si>
  <si>
    <t>Q8WZA9_IRGQ</t>
  </si>
  <si>
    <t>Q92466_DDB2</t>
  </si>
  <si>
    <t>Q92482-2_AQP3</t>
  </si>
  <si>
    <t>Q92499_DDX1</t>
  </si>
  <si>
    <t>Q92503-3_SEC14L1</t>
  </si>
  <si>
    <t>Q92504_SLC39A7</t>
  </si>
  <si>
    <t>Q92506_HSD17B8</t>
  </si>
  <si>
    <t>Q92508_PIEZO1</t>
  </si>
  <si>
    <t>Q92520_FAM3C</t>
  </si>
  <si>
    <t>Q92522_H1FX</t>
  </si>
  <si>
    <t>Q92526_CCT6B</t>
  </si>
  <si>
    <t>Q92536_SLC7A6</t>
  </si>
  <si>
    <t>Q92537_KIAA0247</t>
  </si>
  <si>
    <t>Q92538_GBF1</t>
  </si>
  <si>
    <t>Q92541_RTF1</t>
  </si>
  <si>
    <t>Q92544_TM9SF4</t>
  </si>
  <si>
    <t>Q92546_RGP1</t>
  </si>
  <si>
    <t>Q92547_TOPBP1</t>
  </si>
  <si>
    <t>Q92551_IP6K1</t>
  </si>
  <si>
    <t>Q92552_MRPS27</t>
  </si>
  <si>
    <t>Q92556_ELMO1</t>
  </si>
  <si>
    <t>Q92558_WASF1</t>
  </si>
  <si>
    <t>Q92567-2_FAM168A</t>
  </si>
  <si>
    <t>Q92572_AP3S1</t>
  </si>
  <si>
    <t>Q92575_UBXN4</t>
  </si>
  <si>
    <t>Q92576-2_PHF3</t>
  </si>
  <si>
    <t>Q92581-2_SLC9A6</t>
  </si>
  <si>
    <t>Q92585_MAML1</t>
  </si>
  <si>
    <t>Q92597_NDRG1</t>
  </si>
  <si>
    <t>Q92598-2_HSPH1</t>
  </si>
  <si>
    <t>Q92600_RQCD1</t>
  </si>
  <si>
    <t>Q92608_DOCK2</t>
  </si>
  <si>
    <t>Q92609_TBC1D5</t>
  </si>
  <si>
    <t>Q92611_EDEM1</t>
  </si>
  <si>
    <t>Q92613_PHF16</t>
  </si>
  <si>
    <t>Q92614-2_MYO18A</t>
  </si>
  <si>
    <t>Q92615_LARP4B</t>
  </si>
  <si>
    <t>Q92616_GCN1L1</t>
  </si>
  <si>
    <t>Q92619_HMHA1</t>
  </si>
  <si>
    <t>Q92620_DHX38</t>
  </si>
  <si>
    <t>Q92621_NUP205</t>
  </si>
  <si>
    <t>Q92623_TTC9</t>
  </si>
  <si>
    <t>Q92626_PXDN</t>
  </si>
  <si>
    <t>Q92636_NSMAF</t>
  </si>
  <si>
    <t>Q92665_MRPS31</t>
  </si>
  <si>
    <t>Q92667_AKAP1</t>
  </si>
  <si>
    <t>Q92673_SORL1</t>
  </si>
  <si>
    <t>Q92686_NRGN</t>
  </si>
  <si>
    <t>Q92688-2_ANP32B</t>
  </si>
  <si>
    <t>Q92692_PVRL2</t>
  </si>
  <si>
    <t>Q92692-2_PVRL2</t>
  </si>
  <si>
    <t>Q92696_RABGGTA</t>
  </si>
  <si>
    <t>Q92734-2_TFG</t>
  </si>
  <si>
    <t>Q92738_USP6NL</t>
  </si>
  <si>
    <t>Q92747_ARPC1A</t>
  </si>
  <si>
    <t>Q92759_GTF2H4</t>
  </si>
  <si>
    <t>Q92766_RREB1</t>
  </si>
  <si>
    <t>Q92771_DDX12P</t>
  </si>
  <si>
    <t>Q92783-2_STAM</t>
  </si>
  <si>
    <t>Q92784_DPF3</t>
  </si>
  <si>
    <t>Q92785_DPF2</t>
  </si>
  <si>
    <t>Q92793_CREBBP</t>
  </si>
  <si>
    <t>Q92797_SYMPK</t>
  </si>
  <si>
    <t>Q92804-2_TAF15</t>
  </si>
  <si>
    <t>Q92820_GGH</t>
  </si>
  <si>
    <t>Q92828_CORO2A</t>
  </si>
  <si>
    <t>Q92834-4_RPGR</t>
  </si>
  <si>
    <t>Q92843-2_BCL2L2</t>
  </si>
  <si>
    <t>Q92844_TANK</t>
  </si>
  <si>
    <t>Q92851-4_CASP10</t>
  </si>
  <si>
    <t>Q92854_SEMA4D</t>
  </si>
  <si>
    <t>Q92859-3_NEO1</t>
  </si>
  <si>
    <t>Q92871_PMM1</t>
  </si>
  <si>
    <t>Q92878_RAD50</t>
  </si>
  <si>
    <t>Q92882_OSTF1</t>
  </si>
  <si>
    <t>Q92889_ERCC4</t>
  </si>
  <si>
    <t>Q92890_UFD1L</t>
  </si>
  <si>
    <t>Q92896_GLG1</t>
  </si>
  <si>
    <t>Q92900_UPF1</t>
  </si>
  <si>
    <t>Q92905_COPS5</t>
  </si>
  <si>
    <t>Q92917_GPKOW</t>
  </si>
  <si>
    <t>Q92922_SMARCC1</t>
  </si>
  <si>
    <t>Q92930_RAB8B</t>
  </si>
  <si>
    <t>Q92934_BAD</t>
  </si>
  <si>
    <t>Q92945_KHSRP</t>
  </si>
  <si>
    <t>Q92947_GCDH</t>
  </si>
  <si>
    <t>Q92968_PEX13</t>
  </si>
  <si>
    <t>Q92973-2_TNPO1</t>
  </si>
  <si>
    <t>Q92979_EMG1</t>
  </si>
  <si>
    <t>Q92990_GLMN</t>
  </si>
  <si>
    <t>Q92994-5_BRF1</t>
  </si>
  <si>
    <t>Q92995_USP13</t>
  </si>
  <si>
    <t>Q93008-1_USP9X</t>
  </si>
  <si>
    <t>Q93015_NAT6</t>
  </si>
  <si>
    <t>Q93034_CUL5</t>
  </si>
  <si>
    <t>Q93052_LPP</t>
  </si>
  <si>
    <t>Q93063_EXT2</t>
  </si>
  <si>
    <t>Q93075_TATDN2</t>
  </si>
  <si>
    <t>Q93084-2_ATP2A3</t>
  </si>
  <si>
    <t>Q93096_PTP4A1</t>
  </si>
  <si>
    <t>Q93100-4_PHKB</t>
  </si>
  <si>
    <t>Q969E2-2_SCAMP4</t>
  </si>
  <si>
    <t>Q969E4_TCEAL3</t>
  </si>
  <si>
    <t>Q969E8_TSR2</t>
  </si>
  <si>
    <t>Q969F2_NKD2</t>
  </si>
  <si>
    <t>Q969G3-2_SMARCE1</t>
  </si>
  <si>
    <t>Q969G6_RFK</t>
  </si>
  <si>
    <t>Q969H6_POP5</t>
  </si>
  <si>
    <t>Q969H8_C19orf10</t>
  </si>
  <si>
    <t>Q969M1_TOMM40L</t>
  </si>
  <si>
    <t>Q969M3_YIPF5</t>
  </si>
  <si>
    <t>Q969N2-5_PIGT</t>
  </si>
  <si>
    <t>Q969P0-3_IGSF8</t>
  </si>
  <si>
    <t>Q969Q0_RPL36AL</t>
  </si>
  <si>
    <t>Q969Q5_RAB24</t>
  </si>
  <si>
    <t>Q969R5_L3MBTL2</t>
  </si>
  <si>
    <t>Q969R8_ITFG2</t>
  </si>
  <si>
    <t>Q969S3_ZNF622</t>
  </si>
  <si>
    <t>Q969S9-2_GFM2</t>
  </si>
  <si>
    <t>Q969T7-2_NT5C3B</t>
  </si>
  <si>
    <t>Q969V3-2_NCLN</t>
  </si>
  <si>
    <t>Q969V5_MUL1</t>
  </si>
  <si>
    <t>Q969X0_RILPL2</t>
  </si>
  <si>
    <t>Q969X5-2_ERGIC1</t>
  </si>
  <si>
    <t>Q969X6_CIRH1A</t>
  </si>
  <si>
    <t>Q969Y2-3_GTPBP3</t>
  </si>
  <si>
    <t>Q969Z0_TBRG4</t>
  </si>
  <si>
    <t>Q96A19_CCDC102A</t>
  </si>
  <si>
    <t>Q96A29-2_SLC35C1</t>
  </si>
  <si>
    <t>Q96A33_CCDC47</t>
  </si>
  <si>
    <t>Q96A47_ISL2</t>
  </si>
  <si>
    <t>Q96A49_SYAP1</t>
  </si>
  <si>
    <t>Q96A65_EXOC4</t>
  </si>
  <si>
    <t>Q96A73_KIAA1191</t>
  </si>
  <si>
    <t>Q96AB6_NTAN1</t>
  </si>
  <si>
    <t>Q96AC1_FERMT2</t>
  </si>
  <si>
    <t>Q96AE4_FUBP1</t>
  </si>
  <si>
    <t>Q96AE4-2_FUBP1</t>
  </si>
  <si>
    <t>Q96AG3_SLC25A46</t>
  </si>
  <si>
    <t>Q96AG4_LRRC59</t>
  </si>
  <si>
    <t>Q96AJ9-1_VTI1A</t>
  </si>
  <si>
    <t>Q96AP0-2_ACD</t>
  </si>
  <si>
    <t>Q96AQ6-2_PBXIP1</t>
  </si>
  <si>
    <t>Q96AQ8_MCUR1</t>
  </si>
  <si>
    <t>Q96AT1_KIAA1143</t>
  </si>
  <si>
    <t>Q96AT9_RPE</t>
  </si>
  <si>
    <t>Q96AX2-4_RAB37</t>
  </si>
  <si>
    <t>Q96B01_RAD51AP1</t>
  </si>
  <si>
    <t>Q96B23-2_C18orf25</t>
  </si>
  <si>
    <t>Q96B26_EXOSC8</t>
  </si>
  <si>
    <t>Q96B36_AKT1S1</t>
  </si>
  <si>
    <t>Q96B45_C10orf32</t>
  </si>
  <si>
    <t>Q96B49_TOMM6</t>
  </si>
  <si>
    <t>Q96B70_LENG9</t>
  </si>
  <si>
    <t>Q96B97_SH3KBP1</t>
  </si>
  <si>
    <t>Q96BH1_RNF25</t>
  </si>
  <si>
    <t>Q96BI3_APH1A</t>
  </si>
  <si>
    <t>Q96BK5_PINX1</t>
  </si>
  <si>
    <t>Q96BM9_ARL8A</t>
  </si>
  <si>
    <t>Q96BN8_FAM105B</t>
  </si>
  <si>
    <t>Q96BP2_CHCHD1</t>
  </si>
  <si>
    <t>Q96BP3_PPWD1</t>
  </si>
  <si>
    <t>Q96BR5_SELRC1</t>
  </si>
  <si>
    <t>Q96BT7_ALKBH8</t>
  </si>
  <si>
    <t>Q96BW1_UPRT</t>
  </si>
  <si>
    <t>Q96BW5-2_PTER</t>
  </si>
  <si>
    <t>Q96BX8_MOB3A</t>
  </si>
  <si>
    <t>Q96BY7_ATG2B</t>
  </si>
  <si>
    <t>Q96BZ8_LENG1</t>
  </si>
  <si>
    <t>Q96BZ9_TBC1D20</t>
  </si>
  <si>
    <t>Q96C01_FAM136A</t>
  </si>
  <si>
    <t>Q96C19_EFHD2</t>
  </si>
  <si>
    <t>Q96C36_PYCR2</t>
  </si>
  <si>
    <t>Q96C57_C12orf43</t>
  </si>
  <si>
    <t>Q96C86_DCPS</t>
  </si>
  <si>
    <t>Q96C90_PPP1R14B</t>
  </si>
  <si>
    <t>Q96CB8_INTS12</t>
  </si>
  <si>
    <t>Q96CB9_NSUN4</t>
  </si>
  <si>
    <t>Q96CD0_FBXL8</t>
  </si>
  <si>
    <t>Q96CD2_PPCDC</t>
  </si>
  <si>
    <t>Q96CG3_TIFA</t>
  </si>
  <si>
    <t>Q96CN4-2_EVI5L</t>
  </si>
  <si>
    <t>Q96CN7_ISOC1</t>
  </si>
  <si>
    <t>Q96CN9_GCC1</t>
  </si>
  <si>
    <t>Q96CP2_FLYWCH2</t>
  </si>
  <si>
    <t>Q96CS2_HAUS1</t>
  </si>
  <si>
    <t>Q96CS3_FAF2</t>
  </si>
  <si>
    <t>Q96CT7_CCDC124</t>
  </si>
  <si>
    <t>Q96CU9_FOXRED1</t>
  </si>
  <si>
    <t>Q96CV9-3_OPTN</t>
  </si>
  <si>
    <t>Q96CW1-2_AP2M1</t>
  </si>
  <si>
    <t>Q96CW5_TUBGCP3</t>
  </si>
  <si>
    <t>Q96CW6_SLC7A6OS</t>
  </si>
  <si>
    <t>Q96CX2_KCTD12</t>
  </si>
  <si>
    <t>Q96CX6_LRRC58</t>
  </si>
  <si>
    <t>Q96D05_C10orf35</t>
  </si>
  <si>
    <t>Q96D31-2_ORAI1</t>
  </si>
  <si>
    <t>Q96D53_ADCK4</t>
  </si>
  <si>
    <t>Q96D71-3_REPS1</t>
  </si>
  <si>
    <t>Q96D96-4_HVCN1</t>
  </si>
  <si>
    <t>Q96DA2_RAB39B</t>
  </si>
  <si>
    <t>Q96DA6_DNAJC19</t>
  </si>
  <si>
    <t>Q96DB5_RMDN1</t>
  </si>
  <si>
    <t>Q96DC9_OTUB2</t>
  </si>
  <si>
    <t>Q96DE5_ANAPC16</t>
  </si>
  <si>
    <t>Q96DF8_DGCR14</t>
  </si>
  <si>
    <t>Q96DH6-2_MSI2</t>
  </si>
  <si>
    <t>Q96DI7_SNRNP40</t>
  </si>
  <si>
    <t>Q96DR7_ARHGEF26</t>
  </si>
  <si>
    <t>Q96DT6_ATG4C</t>
  </si>
  <si>
    <t>Q96DU3-2_SLAMF6</t>
  </si>
  <si>
    <t>Q96DV4_MRPL38</t>
  </si>
  <si>
    <t>Q96DX4_RSPRY1</t>
  </si>
  <si>
    <t>Q96DX7_TRIM44</t>
  </si>
  <si>
    <t>Q96DZ1_ERLEC1</t>
  </si>
  <si>
    <t>Q96E09_FAM122A</t>
  </si>
  <si>
    <t>Q96E11-3_MRRF</t>
  </si>
  <si>
    <t>Q96E14_RMI2</t>
  </si>
  <si>
    <t>Q96E22_NUS1</t>
  </si>
  <si>
    <t>Q96E40-2_C9orf9</t>
  </si>
  <si>
    <t>Q96E52_OMA1</t>
  </si>
  <si>
    <t>Q96EA4_SPDL1</t>
  </si>
  <si>
    <t>Q96EB1_ELP4</t>
  </si>
  <si>
    <t>Q96EB6_SIRT1</t>
  </si>
  <si>
    <t>Q96EC8_YIPF6</t>
  </si>
  <si>
    <t>Q96EE3_SEH1L</t>
  </si>
  <si>
    <t>Q96EH3_MALSU1</t>
  </si>
  <si>
    <t>Q96EK4_THAP11</t>
  </si>
  <si>
    <t>Q96EK5_KIAA1279</t>
  </si>
  <si>
    <t>Q96EK6_GNPNAT1</t>
  </si>
  <si>
    <t>Q96EK9_KTI12</t>
  </si>
  <si>
    <t>Q96EL2_MRPS24</t>
  </si>
  <si>
    <t>Q96EL3_MRPL53</t>
  </si>
  <si>
    <t>Q96EM0_L3HYPDH</t>
  </si>
  <si>
    <t>Q96EP0_RNF31</t>
  </si>
  <si>
    <t>Q96EP5_DAZAP1</t>
  </si>
  <si>
    <t>Q96EQ0_SGTB</t>
  </si>
  <si>
    <t>Q96ER3_SAAL1</t>
  </si>
  <si>
    <t>Q96ER9_CCDC51</t>
  </si>
  <si>
    <t>Q96ES7_CCDC101</t>
  </si>
  <si>
    <t>Q96EU6-2_RRP36</t>
  </si>
  <si>
    <t>Q96EV2_RBM33</t>
  </si>
  <si>
    <t>Q96EV8-2_DTNBP1</t>
  </si>
  <si>
    <t>Q96EW2_HSPBAP1</t>
  </si>
  <si>
    <t>Q96EX1_SMIM12</t>
  </si>
  <si>
    <t>Q96EX3_WDR34</t>
  </si>
  <si>
    <t>Q96EY1_DNAJA3</t>
  </si>
  <si>
    <t>Q96EY5_MVB12A</t>
  </si>
  <si>
    <t>Q96EY7_PTCD3</t>
  </si>
  <si>
    <t>Q96EY8_MMAB</t>
  </si>
  <si>
    <t>Q96EY9_ADAT3</t>
  </si>
  <si>
    <t>Q96F15_GIMAP5</t>
  </si>
  <si>
    <t>Q96F24-2_NRBF2</t>
  </si>
  <si>
    <t>Q96F44-3_TRIM11</t>
  </si>
  <si>
    <t>Q96F46_IL17RA</t>
  </si>
  <si>
    <t>Q96F63_CCDC97</t>
  </si>
  <si>
    <t>Q96F86_EDC3</t>
  </si>
  <si>
    <t>Q96FC9-3_DDX11</t>
  </si>
  <si>
    <t>Q96FF9_CDCA5</t>
  </si>
  <si>
    <t>Q96FH0_MEF2BNB</t>
  </si>
  <si>
    <t>Q96FJ0_STAMBPL1</t>
  </si>
  <si>
    <t>Q96FJ2_DYNLL2</t>
  </si>
  <si>
    <t>Q96FK6_WDR89</t>
  </si>
  <si>
    <t>Q96FN4_CPNE2</t>
  </si>
  <si>
    <t>Q96FN9_DTD2</t>
  </si>
  <si>
    <t>Q96FS4_SIPA1</t>
  </si>
  <si>
    <t>Q96FV9_THOC1</t>
  </si>
  <si>
    <t>Q96FX2_DPH3</t>
  </si>
  <si>
    <t>Q96FX7_TRMT61A</t>
  </si>
  <si>
    <t>Q96FZ2_C3orf37</t>
  </si>
  <si>
    <t>Q96FZ7_CHMP6</t>
  </si>
  <si>
    <t>Q96G03_PGM2</t>
  </si>
  <si>
    <t>Q96G25_MED8</t>
  </si>
  <si>
    <t>Q96G28_CCDC104</t>
  </si>
  <si>
    <t>Q96G46_DUS3L</t>
  </si>
  <si>
    <t>Q96G61_NUDT11</t>
  </si>
  <si>
    <t>Q96G74-3_OTUD5</t>
  </si>
  <si>
    <t>Q96GA3_LTV1</t>
  </si>
  <si>
    <t>Q96GD0_PDXP</t>
  </si>
  <si>
    <t>Q96GD4_AURKB</t>
  </si>
  <si>
    <t>Q96GF1_RNF185</t>
  </si>
  <si>
    <t>Q96GG9_DCUN1D1</t>
  </si>
  <si>
    <t>Q96GK7_FAHD2A</t>
  </si>
  <si>
    <t>Q96GM5_SMARCD1</t>
  </si>
  <si>
    <t>Q96GM8_TOE1</t>
  </si>
  <si>
    <t>Q96GQ7_DDX27</t>
  </si>
  <si>
    <t>Q96GS4_C17orf59</t>
  </si>
  <si>
    <t>Q96GS6_ABHD17A</t>
  </si>
  <si>
    <t>Q96GW9_MARS2</t>
  </si>
  <si>
    <t>Q96GX2_ATXN7L3B</t>
  </si>
  <si>
    <t>Q96GX5-2_MASTL</t>
  </si>
  <si>
    <t>Q96GX9_APIP</t>
  </si>
  <si>
    <t>Q96GX9-3_APIP</t>
  </si>
  <si>
    <t>Q96GY0_ZC2HC1A</t>
  </si>
  <si>
    <t>Q96H20_SNF8</t>
  </si>
  <si>
    <t>Q96H22-4_CENPN</t>
  </si>
  <si>
    <t>Q96H79_ZC3HAV1L</t>
  </si>
  <si>
    <t>Q96H86-2_ZNF764</t>
  </si>
  <si>
    <t>Q96HA4-4_C1orf159</t>
  </si>
  <si>
    <t>Q96HC4_PDLIM5</t>
  </si>
  <si>
    <t>Q96HD9_ACY3</t>
  </si>
  <si>
    <t>Q96HE7_ERO1L</t>
  </si>
  <si>
    <t>Q96HJ9_C7orf55</t>
  </si>
  <si>
    <t>Q96HJ9-2_C7orf55</t>
  </si>
  <si>
    <t>Q96HN2_AHCYL2</t>
  </si>
  <si>
    <t>Q96HQ2_CDKN2AIPNL</t>
  </si>
  <si>
    <t>Q96HR3_MED30</t>
  </si>
  <si>
    <t>Q96HR8-2_NAF1</t>
  </si>
  <si>
    <t>Q96HR9_REEP6</t>
  </si>
  <si>
    <t>Q96HS1_PGAM5</t>
  </si>
  <si>
    <t>Q96HW7_INTS4</t>
  </si>
  <si>
    <t>Q96HY6_DDRGK1</t>
  </si>
  <si>
    <t>Q96HY7_DHTKD1</t>
  </si>
  <si>
    <t>Q96I15_SCLY</t>
  </si>
  <si>
    <t>Q96I24_FUBP3</t>
  </si>
  <si>
    <t>Q96I25_RBM17</t>
  </si>
  <si>
    <t>Q96I36_COX14</t>
  </si>
  <si>
    <t>Q96I59_NARS2</t>
  </si>
  <si>
    <t>Q96I99_SUCLG2</t>
  </si>
  <si>
    <t>Q96IF1_AJUBA</t>
  </si>
  <si>
    <t>Q96IJ6_GMPPA</t>
  </si>
  <si>
    <t>Q96IK1_BOD1</t>
  </si>
  <si>
    <t>Q96IQ9-2_ZNF414</t>
  </si>
  <si>
    <t>Q96IR2_ZNF845</t>
  </si>
  <si>
    <t>Q96IU2_ZBED3</t>
  </si>
  <si>
    <t>Q96IU4_ABHD14B</t>
  </si>
  <si>
    <t>Q96IV0-5_NGLY1</t>
  </si>
  <si>
    <t>Q96IX5_USMG5</t>
  </si>
  <si>
    <t>Q96IY1_NSL1</t>
  </si>
  <si>
    <t>Q96IZ0_PAWR</t>
  </si>
  <si>
    <t>Q96IZ7-2_RSRC1</t>
  </si>
  <si>
    <t>Q96J01_THOC3</t>
  </si>
  <si>
    <t>Q96J02-2_ITCH</t>
  </si>
  <si>
    <t>Q96J84-2_KIRREL</t>
  </si>
  <si>
    <t>Q96J88-2_EPSTI1</t>
  </si>
  <si>
    <t>Q96JB2_COG3</t>
  </si>
  <si>
    <t>Q96JB5_CDK5RAP3</t>
  </si>
  <si>
    <t>Q96JC1-2_VPS39</t>
  </si>
  <si>
    <t>Q96JC9_EAF1</t>
  </si>
  <si>
    <t>Q96JG6_CCDC132</t>
  </si>
  <si>
    <t>Q96JH7_VCPIP1</t>
  </si>
  <si>
    <t>Q96JJ7_TMX3</t>
  </si>
  <si>
    <t>Q96JM3_CHAMP1</t>
  </si>
  <si>
    <t>Q96JP5_ZFP91</t>
  </si>
  <si>
    <t>Q96JQ2_CLMN</t>
  </si>
  <si>
    <t>Q96JY6_PDLIM2</t>
  </si>
  <si>
    <t>Q96K19-2_RNF170</t>
  </si>
  <si>
    <t>Q96K31_C8orf76</t>
  </si>
  <si>
    <t>Q96K80_ZC3H10</t>
  </si>
  <si>
    <t>Q96KA5-2_CLPTM1L</t>
  </si>
  <si>
    <t>Q96KB5_PBK</t>
  </si>
  <si>
    <t>Q96KC8_DNAJC1</t>
  </si>
  <si>
    <t>Q96KM6_ZNF512B</t>
  </si>
  <si>
    <t>Q96KP1_EXOC2</t>
  </si>
  <si>
    <t>Q96KP4_CNDP2</t>
  </si>
  <si>
    <t>Q96KQ4_PPP1R13B</t>
  </si>
  <si>
    <t>Q96KR1_ZFR</t>
  </si>
  <si>
    <t>Q96L50_LRR1</t>
  </si>
  <si>
    <t>Q96L91-4_EP400</t>
  </si>
  <si>
    <t>Q96L92-3_SNX27</t>
  </si>
  <si>
    <t>Q96L93-6_KIF16B</t>
  </si>
  <si>
    <t>Q96LA8_PRMT6</t>
  </si>
  <si>
    <t>Q96LJ7_DHRS1</t>
  </si>
  <si>
    <t>Q96LR5_UBE2E2</t>
  </si>
  <si>
    <t>Q96LT7_C9orf72</t>
  </si>
  <si>
    <t>Q96LU5_IMMP1L</t>
  </si>
  <si>
    <t>Q96LW7-2_C9orf89</t>
  </si>
  <si>
    <t>Q96M20-2_CNBD2</t>
  </si>
  <si>
    <t>Q96M27_PRRC1</t>
  </si>
  <si>
    <t>Q96MC6_HIAT1</t>
  </si>
  <si>
    <t>Q96MD7-1_C9orf85</t>
  </si>
  <si>
    <t>Q96ME1-4_FBXL18</t>
  </si>
  <si>
    <t>Q96MG7_NDNL2</t>
  </si>
  <si>
    <t>Q96MG8_PCMTD1</t>
  </si>
  <si>
    <t>Q96MH2_HEXIM2</t>
  </si>
  <si>
    <t>Q96MH6_TMEM68</t>
  </si>
  <si>
    <t>Q96MX3_ZNF48</t>
  </si>
  <si>
    <t>Q96MX6_WDR92</t>
  </si>
  <si>
    <t>Q96MY1_C20orf112</t>
  </si>
  <si>
    <t>Q96N11-2_C7orf26</t>
  </si>
  <si>
    <t>Q96N16_JAKMIP1</t>
  </si>
  <si>
    <t>Q96N46_TTC14</t>
  </si>
  <si>
    <t>Q96N66-2_MBOAT7</t>
  </si>
  <si>
    <t>Q96N67-4_DOCK7</t>
  </si>
  <si>
    <t>Q96NB1_FOPNL</t>
  </si>
  <si>
    <t>Q96NB2_SFXN2</t>
  </si>
  <si>
    <t>Q96NB3_ZNF830</t>
  </si>
  <si>
    <t>Q96NC0_ZMAT2</t>
  </si>
  <si>
    <t>Q96NJ6_ZFP3</t>
  </si>
  <si>
    <t>Q96NL8_C8orf37</t>
  </si>
  <si>
    <t>Q96NT0_CCDC115</t>
  </si>
  <si>
    <t>Q96NT1_NAP1L5</t>
  </si>
  <si>
    <t>Q96P11-2_NSUN5</t>
  </si>
  <si>
    <t>Q96P16_RPRD1A</t>
  </si>
  <si>
    <t>Q96P70_IPO9</t>
  </si>
  <si>
    <t>Q96PD2_DCBLD2</t>
  </si>
  <si>
    <t>Q96PE7_MCEE</t>
  </si>
  <si>
    <t>Q96PK6_RBM14</t>
  </si>
  <si>
    <t>Q96PM5_RCHY1</t>
  </si>
  <si>
    <t>Q96PU4_UHRF2</t>
  </si>
  <si>
    <t>Q96PU5-2_NEDD4L</t>
  </si>
  <si>
    <t>Q96PU8-9_QKI</t>
  </si>
  <si>
    <t>Q96PV6-2_LENG8</t>
  </si>
  <si>
    <t>Q96PY6-2_NEK1</t>
  </si>
  <si>
    <t>Q96PZ0_PUS7</t>
  </si>
  <si>
    <t>Q96PZ2_FAM111A</t>
  </si>
  <si>
    <t>Q96Q05-3_TRAPPC9</t>
  </si>
  <si>
    <t>Q96Q11-2_TRNT1</t>
  </si>
  <si>
    <t>Q96Q45-2_TMEM237</t>
  </si>
  <si>
    <t>Q96Q83_ALKBH3</t>
  </si>
  <si>
    <t>Q96QC0_PPP1R10</t>
  </si>
  <si>
    <t>Q96QD8_SLC38A2</t>
  </si>
  <si>
    <t>Q96QE2_SLC2A13</t>
  </si>
  <si>
    <t>Q96QF0-2_RAB3IP</t>
  </si>
  <si>
    <t>Q96QK1_VPS35</t>
  </si>
  <si>
    <t>Q96QR8_PURB</t>
  </si>
  <si>
    <t>Q96QV1_HHIP</t>
  </si>
  <si>
    <t>Q96QZ7-6_MAGI1</t>
  </si>
  <si>
    <t>Q96R06_SPAG5</t>
  </si>
  <si>
    <t>Q96RD7-2_PANX1</t>
  </si>
  <si>
    <t>Q96RE7_NACC1</t>
  </si>
  <si>
    <t>Q96RG2_PASK</t>
  </si>
  <si>
    <t>Q96RL7-4_VPS13A</t>
  </si>
  <si>
    <t>Q96RN5-3_MED15</t>
  </si>
  <si>
    <t>Q96RP9_GFM1</t>
  </si>
  <si>
    <t>Q96RR1_PEO1</t>
  </si>
  <si>
    <t>Q96RR4-2_CAMKK2</t>
  </si>
  <si>
    <t>Q96RS0_TGS1</t>
  </si>
  <si>
    <t>Q96RS6_NUDCD1</t>
  </si>
  <si>
    <t>Q96RT1-7_ERBB2IP</t>
  </si>
  <si>
    <t>Q96S19_C16orf13</t>
  </si>
  <si>
    <t>Q96S44_TP53RK</t>
  </si>
  <si>
    <t>Q96S52_PIGS</t>
  </si>
  <si>
    <t>Q96S55-2_WRNIP1</t>
  </si>
  <si>
    <t>Q96S59_RANBP9</t>
  </si>
  <si>
    <t>Q96S66_CLCC1</t>
  </si>
  <si>
    <t>Q96S82_UBL7</t>
  </si>
  <si>
    <t>Q96S90_LYSMD1</t>
  </si>
  <si>
    <t>Q96S94_CCNL2</t>
  </si>
  <si>
    <t>Q96S97_MYADM</t>
  </si>
  <si>
    <t>Q96S99_PLEKHF1</t>
  </si>
  <si>
    <t>Q96SB3_PPP1R9B</t>
  </si>
  <si>
    <t>Q96SB4_SRPK1</t>
  </si>
  <si>
    <t>Q96SB8_SMC6</t>
  </si>
  <si>
    <t>Q96SI1_KCTD15</t>
  </si>
  <si>
    <t>Q96SK2-2_TMEM209</t>
  </si>
  <si>
    <t>Q96SL8_FIZ1</t>
  </si>
  <si>
    <t>Q96SN7_ORAI2</t>
  </si>
  <si>
    <t>Q96ST2_IWS1</t>
  </si>
  <si>
    <t>Q96ST3_SIN3A</t>
  </si>
  <si>
    <t>Q96SZ5_ADO</t>
  </si>
  <si>
    <t>Q96T37-2_RBM15</t>
  </si>
  <si>
    <t>Q96T51_RUFY1</t>
  </si>
  <si>
    <t>Q96T58_SPEN</t>
  </si>
  <si>
    <t>Q96T60_PNKP</t>
  </si>
  <si>
    <t>Q96T76_MMS19</t>
  </si>
  <si>
    <t>Q96T83_SLC9A7</t>
  </si>
  <si>
    <t>Q96T88_UHRF1</t>
  </si>
  <si>
    <t>Q96TA1-2_FAM129B</t>
  </si>
  <si>
    <t>Q96TA2-3_YME1L1</t>
  </si>
  <si>
    <t>Q96TC7_RMDN3</t>
  </si>
  <si>
    <t>Q99081_TCF12</t>
  </si>
  <si>
    <t>Q99417_MYCBP</t>
  </si>
  <si>
    <t>Q99426_TBCB</t>
  </si>
  <si>
    <t>Q99436_PSMB7</t>
  </si>
  <si>
    <t>Q99442_SEC62</t>
  </si>
  <si>
    <t>Q99447_PCYT2</t>
  </si>
  <si>
    <t>Q99459_CDC5L</t>
  </si>
  <si>
    <t>Q99460_PSMD1</t>
  </si>
  <si>
    <t>Q99470_SDF2</t>
  </si>
  <si>
    <t>Q99471_PFDN5</t>
  </si>
  <si>
    <t>Q99487_PAFAH2</t>
  </si>
  <si>
    <t>Q99490-2_AGAP2</t>
  </si>
  <si>
    <t>Q99496_RNF2</t>
  </si>
  <si>
    <t>Q99497_PARK7</t>
  </si>
  <si>
    <t>Q99501_GAS2L1</t>
  </si>
  <si>
    <t>Q99504-2_EYA3</t>
  </si>
  <si>
    <t>Q99519_NEU1</t>
  </si>
  <si>
    <t>Q99523_SORT1</t>
  </si>
  <si>
    <t>Q99536_VAT1</t>
  </si>
  <si>
    <t>Q99543_DNAJC2</t>
  </si>
  <si>
    <t>Q99549_MPHOSPH8</t>
  </si>
  <si>
    <t>Q99567_NUP88</t>
  </si>
  <si>
    <t>Q99570_PIK3R4</t>
  </si>
  <si>
    <t>Q99575_POP1</t>
  </si>
  <si>
    <t>Q99583_MNT</t>
  </si>
  <si>
    <t>Q99595_TIMM17A</t>
  </si>
  <si>
    <t>Q99598_TSNAX</t>
  </si>
  <si>
    <t>Q99608_NDN</t>
  </si>
  <si>
    <t>Q99611_SEPHS2</t>
  </si>
  <si>
    <t>Q99614_TTC1</t>
  </si>
  <si>
    <t>Q99615_DNAJC7</t>
  </si>
  <si>
    <t>Q99618_CDCA3</t>
  </si>
  <si>
    <t>Q99622_C12orf57</t>
  </si>
  <si>
    <t>Q99623_PHB2</t>
  </si>
  <si>
    <t>Q99633_PRPF18</t>
  </si>
  <si>
    <t>Q99638_RAD9A</t>
  </si>
  <si>
    <t>Q99653_CHP1</t>
  </si>
  <si>
    <t>Q99661_KIF2C</t>
  </si>
  <si>
    <t>Q99674_CGREF1</t>
  </si>
  <si>
    <t>Q99704_DOK1</t>
  </si>
  <si>
    <t>Q99707_MTR</t>
  </si>
  <si>
    <t>Q99714_HSD17B10</t>
  </si>
  <si>
    <t>Q99719_SEPT5</t>
  </si>
  <si>
    <t>Q99720-4_SIGMAR1</t>
  </si>
  <si>
    <t>Q99733_NAP1L4</t>
  </si>
  <si>
    <t>Q99747_NAPG</t>
  </si>
  <si>
    <t>Q99757_TXN2</t>
  </si>
  <si>
    <t>Q99766_ATP5S</t>
  </si>
  <si>
    <t>Q99795_GPA33</t>
  </si>
  <si>
    <t>Q99797_MIPEP</t>
  </si>
  <si>
    <t>Q99805_TM9SF2</t>
  </si>
  <si>
    <t>Q99808_SLC29A1</t>
  </si>
  <si>
    <t>Q99816_TSG101</t>
  </si>
  <si>
    <t>Q99829_CPNE1</t>
  </si>
  <si>
    <t>Q99832_CCT7</t>
  </si>
  <si>
    <t>Q99856_ARID3A</t>
  </si>
  <si>
    <t>Q99879_HIST1H2BM</t>
  </si>
  <si>
    <t>Q99952-2_PTPN18</t>
  </si>
  <si>
    <t>Q99956_DUSP9</t>
  </si>
  <si>
    <t>Q99961_SH3GL1</t>
  </si>
  <si>
    <t>Q99963-4_SH3GL3</t>
  </si>
  <si>
    <t>Q99986_VRK1</t>
  </si>
  <si>
    <t>Q99996-5_AKAP9</t>
  </si>
  <si>
    <t>Q9BPW8_NIPSNAP1</t>
  </si>
  <si>
    <t>Q9BPX3_NCAPG</t>
  </si>
  <si>
    <t>Q9BPX5_ARPC5L</t>
  </si>
  <si>
    <t>Q9BPX7_C7orf25</t>
  </si>
  <si>
    <t>Q9BPZ3_PAIP2</t>
  </si>
  <si>
    <t>Q9BQ04_RBM4B</t>
  </si>
  <si>
    <t>Q9BQ39_DDX50</t>
  </si>
  <si>
    <t>Q9BQ52_ELAC2</t>
  </si>
  <si>
    <t>Q9BQ61_C19orf43</t>
  </si>
  <si>
    <t>Q9BQ67_GRWD1</t>
  </si>
  <si>
    <t>Q9BQ69_MACROD1</t>
  </si>
  <si>
    <t>Q9BQ70_TCF25</t>
  </si>
  <si>
    <t>Q9BQ95_ECSIT</t>
  </si>
  <si>
    <t>Q9BQA1_WDR77</t>
  </si>
  <si>
    <t>Q9BQA9-2_C17orf62</t>
  </si>
  <si>
    <t>Q9BQC3_DPH2</t>
  </si>
  <si>
    <t>Q9BQE9-4_BCL7B</t>
  </si>
  <si>
    <t>Q9BQF6-5_SENP7</t>
  </si>
  <si>
    <t>Q9BQI0_AIF1L</t>
  </si>
  <si>
    <t>Q9BQI3-2_EIF2AK1</t>
  </si>
  <si>
    <t>Q9BQP7_MGME1</t>
  </si>
  <si>
    <t>Q9BR61_ACBD6</t>
  </si>
  <si>
    <t>Q9BR76_CORO1B</t>
  </si>
  <si>
    <t>Q9BRA0-2_LSMD1</t>
  </si>
  <si>
    <t>Q9BRA2_TXNDC17</t>
  </si>
  <si>
    <t>Q9BRB3-2_PIGQ</t>
  </si>
  <si>
    <t>Q9BRD0_BUD13</t>
  </si>
  <si>
    <t>Q9BRF8_CPPED1</t>
  </si>
  <si>
    <t>Q9BRG1_VPS25</t>
  </si>
  <si>
    <t>Q9BRJ2_MRPL45</t>
  </si>
  <si>
    <t>Q9BRK5_SDF4</t>
  </si>
  <si>
    <t>Q9BRL6-2_SRSF8</t>
  </si>
  <si>
    <t>Q9BRP1_PDCD2L</t>
  </si>
  <si>
    <t>Q9BRP4_PAAF1</t>
  </si>
  <si>
    <t>Q9BRP8-2_WIBG</t>
  </si>
  <si>
    <t>Q9BRR0-2_ZKSCAN3</t>
  </si>
  <si>
    <t>Q9BRR6-2_ADPGK</t>
  </si>
  <si>
    <t>Q9BRR8_GPATCH1</t>
  </si>
  <si>
    <t>Q9BRS2_RIOK1</t>
  </si>
  <si>
    <t>Q9BRT2_MNF1</t>
  </si>
  <si>
    <t>Q9BRT3_MIEN1</t>
  </si>
  <si>
    <t>Q9BRT9_GINS4</t>
  </si>
  <si>
    <t>Q9BRV8_SIKE1</t>
  </si>
  <si>
    <t>Q9BRX2_PELO</t>
  </si>
  <si>
    <t>Q9BRX5_GINS3</t>
  </si>
  <si>
    <t>Q9BRX8-2_FAM213A</t>
  </si>
  <si>
    <t>Q9BRX9_WDR83</t>
  </si>
  <si>
    <t>Q9BRZ2_TRIM56</t>
  </si>
  <si>
    <t>Q9BS26_ERP44</t>
  </si>
  <si>
    <t>Q9BSB4_ATG101</t>
  </si>
  <si>
    <t>Q9BSD7_NTPCR</t>
  </si>
  <si>
    <t>Q9BSE4_HERPUD2</t>
  </si>
  <si>
    <t>Q9BSF4_C19orf52</t>
  </si>
  <si>
    <t>Q9BSH4_TACO1</t>
  </si>
  <si>
    <t>Q9BSH5_HDHD3</t>
  </si>
  <si>
    <t>Q9BSI4-2_TINF2</t>
  </si>
  <si>
    <t>Q9BSJ5-3_C17orf80</t>
  </si>
  <si>
    <t>Q9BSJ8_ESYT1</t>
  </si>
  <si>
    <t>Q9BSK2_SLC25A33</t>
  </si>
  <si>
    <t>Q9BSL1_UBAC1</t>
  </si>
  <si>
    <t>Q9BSR8_YIPF4</t>
  </si>
  <si>
    <t>Q9BSU1_C16orf70</t>
  </si>
  <si>
    <t>Q9BSV6_TSEN34</t>
  </si>
  <si>
    <t>Q9BSW2-2_EFCAB4B</t>
  </si>
  <si>
    <t>Q9BSY9-2_DESI2</t>
  </si>
  <si>
    <t>Q9BT09_CNPY3</t>
  </si>
  <si>
    <t>Q9BT22_ALG1</t>
  </si>
  <si>
    <t>Q9BT23_LIMD2</t>
  </si>
  <si>
    <t>Q9BT25-2_HAUS8</t>
  </si>
  <si>
    <t>Q9BT30_ALKBH7</t>
  </si>
  <si>
    <t>Q9BT73_PSMG3</t>
  </si>
  <si>
    <t>Q9BT78_COPS4</t>
  </si>
  <si>
    <t>Q9BT92_TCHP</t>
  </si>
  <si>
    <t>Q9BTA9_WAC</t>
  </si>
  <si>
    <t>Q9BTA9-5_WAC</t>
  </si>
  <si>
    <t>Q9BTC0_DIDO1</t>
  </si>
  <si>
    <t>Q9BTE1_DCTN5</t>
  </si>
  <si>
    <t>Q9BTE3-2_MCMBP</t>
  </si>
  <si>
    <t>Q9BTE6_AARSD1</t>
  </si>
  <si>
    <t>Q9BTE7_DCUN1D5</t>
  </si>
  <si>
    <t>Q9BTL3_FAM103A1</t>
  </si>
  <si>
    <t>Q9BTN0_LRFN3</t>
  </si>
  <si>
    <t>Q9BTT0_ANP32E</t>
  </si>
  <si>
    <t>Q9BTT4_MED10</t>
  </si>
  <si>
    <t>Q9BTT6_LRRC1</t>
  </si>
  <si>
    <t>Q9BTU6_PI4K2A</t>
  </si>
  <si>
    <t>Q9BTV4_TMEM43</t>
  </si>
  <si>
    <t>Q9BTV5_FSD1</t>
  </si>
  <si>
    <t>Q9BTV6_WDR85</t>
  </si>
  <si>
    <t>Q9BTV7_CABLES2</t>
  </si>
  <si>
    <t>Q9BTX1-4_TMEM48</t>
  </si>
  <si>
    <t>Q9BTX7_TTPAL</t>
  </si>
  <si>
    <t>Q9BTY7_FAM203A</t>
  </si>
  <si>
    <t>Q9BTZ2_DHRS4</t>
  </si>
  <si>
    <t>Q9BU02_THTPA</t>
  </si>
  <si>
    <t>Q9BU23-2_LMF2</t>
  </si>
  <si>
    <t>Q9BU61_NDUFAF3</t>
  </si>
  <si>
    <t>Q9BU64_CENPO</t>
  </si>
  <si>
    <t>Q9BU76-3_MMTAG2</t>
  </si>
  <si>
    <t>Q9BU89_DOHH</t>
  </si>
  <si>
    <t>Q9BUA3_C11orf84</t>
  </si>
  <si>
    <t>Q9BUB5-2_MKNK1</t>
  </si>
  <si>
    <t>Q9BUB7_TMEM70</t>
  </si>
  <si>
    <t>Q9BUE0_MED18</t>
  </si>
  <si>
    <t>Q9BUF5_TUBB6</t>
  </si>
  <si>
    <t>Q9BUH6_C9orf142</t>
  </si>
  <si>
    <t>Q9BUI4_POLR3C</t>
  </si>
  <si>
    <t>Q9BUJ2-2_HNRNPUL1</t>
  </si>
  <si>
    <t>Q9BUL9_RPP25</t>
  </si>
  <si>
    <t>Q9BUN5_CCDC28B</t>
  </si>
  <si>
    <t>Q9BUP0_EFHD1</t>
  </si>
  <si>
    <t>Q9BUQ8_DDX23</t>
  </si>
  <si>
    <t>Q9BUR4_WRAP53</t>
  </si>
  <si>
    <t>Q9BUT1_BDH2</t>
  </si>
  <si>
    <t>Q9BUT9_FAM195A</t>
  </si>
  <si>
    <t>Q9BUW7_C9orf16</t>
  </si>
  <si>
    <t>Q9BV10_ALG12</t>
  </si>
  <si>
    <t>Q9BV19_C1orf50</t>
  </si>
  <si>
    <t>Q9BV20_MRI1</t>
  </si>
  <si>
    <t>Q9BV23_ABHD6</t>
  </si>
  <si>
    <t>Q9BV38_WDR18</t>
  </si>
  <si>
    <t>Q9BV44_THUMPD3</t>
  </si>
  <si>
    <t>Q9BV57_ADI1</t>
  </si>
  <si>
    <t>Q9BV68-2_RNF126</t>
  </si>
  <si>
    <t>Q9BV79_MECR</t>
  </si>
  <si>
    <t>Q9BV81_EMC6</t>
  </si>
  <si>
    <t>Q9BV86_NTMT1</t>
  </si>
  <si>
    <t>Q9BVA0_KATNB1</t>
  </si>
  <si>
    <t>Q9BVC3_DSCC1</t>
  </si>
  <si>
    <t>Q9BVC4_MLST8</t>
  </si>
  <si>
    <t>Q9BVC5_C2orf49</t>
  </si>
  <si>
    <t>Q9BVC6_TMEM109</t>
  </si>
  <si>
    <t>Q9BVI0_PHF20</t>
  </si>
  <si>
    <t>Q9BVI4_NOC4L</t>
  </si>
  <si>
    <t>Q9BVJ6_UTP14A</t>
  </si>
  <si>
    <t>Q9BVK6_TMED9</t>
  </si>
  <si>
    <t>Q9BVL2-3_NUPL1</t>
  </si>
  <si>
    <t>Q9BVL4_SELO</t>
  </si>
  <si>
    <t>Q9BVM4_GGACT</t>
  </si>
  <si>
    <t>Q9BVP2-2_GNL3</t>
  </si>
  <si>
    <t>Q9BVQ7_SPATA5L1</t>
  </si>
  <si>
    <t>Q9BVS4_RIOK2</t>
  </si>
  <si>
    <t>Q9BVS5_TRMT61B</t>
  </si>
  <si>
    <t>Q9BVV7_TIMM21</t>
  </si>
  <si>
    <t>Q9BVW5_TIPIN</t>
  </si>
  <si>
    <t>Q9BW19_KIFC1</t>
  </si>
  <si>
    <t>Q9BW27_NUP85</t>
  </si>
  <si>
    <t>Q9BW60_ELOVL1</t>
  </si>
  <si>
    <t>Q9BW61_DDA1</t>
  </si>
  <si>
    <t>Q9BW62_KATNAL1</t>
  </si>
  <si>
    <t>Q9BW71_HIRIP3</t>
  </si>
  <si>
    <t>Q9BW83_IFT27</t>
  </si>
  <si>
    <t>Q9BW85_CCDC94</t>
  </si>
  <si>
    <t>Q9BW91-2_NUDT9</t>
  </si>
  <si>
    <t>Q9BW92_TARS2</t>
  </si>
  <si>
    <t>Q9BWD1_ACAT2</t>
  </si>
  <si>
    <t>Q9BWE0_REPIN1</t>
  </si>
  <si>
    <t>Q9BWF3_RBM4</t>
  </si>
  <si>
    <t>Q9BWG6_SCNM1</t>
  </si>
  <si>
    <t>Q9BWH2_FUNDC2</t>
  </si>
  <si>
    <t>Q9BWH6_RPAP1</t>
  </si>
  <si>
    <t>Q9BWJ5_SF3B5</t>
  </si>
  <si>
    <t>Q9BWK5_MRI</t>
  </si>
  <si>
    <t>Q9BWM7_SFXN3</t>
  </si>
  <si>
    <t>Q9BWT3_PAPOLG</t>
  </si>
  <si>
    <t>Q9BWT6_MND1</t>
  </si>
  <si>
    <t>Q9BWU0_SLC4A1AP</t>
  </si>
  <si>
    <t>Q9BWW4-2_SSBP3</t>
  </si>
  <si>
    <t>Q9BX40_LSM14B</t>
  </si>
  <si>
    <t>Q9BX63_BRIP1</t>
  </si>
  <si>
    <t>Q9BX66-9_SORBS1</t>
  </si>
  <si>
    <t>Q9BX67_JAM3</t>
  </si>
  <si>
    <t>Q9BX68_HINT2</t>
  </si>
  <si>
    <t>Q9BX95_SGPP1</t>
  </si>
  <si>
    <t>Q9BXB4_OSBPL11</t>
  </si>
  <si>
    <t>Q9BXF6_RAB11FIP5</t>
  </si>
  <si>
    <t>Q9BXH1-2_BBC3</t>
  </si>
  <si>
    <t>Q9BXI6_TBC1D10A</t>
  </si>
  <si>
    <t>Q9BXJ9_NAA15</t>
  </si>
  <si>
    <t>Q9BXK1_KLF16</t>
  </si>
  <si>
    <t>Q9BXK5_BCL2L13</t>
  </si>
  <si>
    <t>Q9BXL5_HEMGN</t>
  </si>
  <si>
    <t>Q9BXL7_CARD11</t>
  </si>
  <si>
    <t>Q9BXP2_SLC12A9</t>
  </si>
  <si>
    <t>Q9BXP5-4_SRRT</t>
  </si>
  <si>
    <t>Q9BXR0_QTRT1</t>
  </si>
  <si>
    <t>Q9BXS5_AP1M1</t>
  </si>
  <si>
    <t>Q9BXS6-2_NUSAP1</t>
  </si>
  <si>
    <t>Q9BXV9_C14orf142</t>
  </si>
  <si>
    <t>Q9BXW6_OSBPL1A</t>
  </si>
  <si>
    <t>Q9BXW7-2_CECR5</t>
  </si>
  <si>
    <t>Q9BXW9-2_FANCD2</t>
  </si>
  <si>
    <t>Q9BXY0_MAK16</t>
  </si>
  <si>
    <t>Q9BY27_DGCR6L</t>
  </si>
  <si>
    <t>Q9BY32_ITPA</t>
  </si>
  <si>
    <t>Q9BY42_RTFDC1</t>
  </si>
  <si>
    <t>Q9BY43_CHMP4A</t>
  </si>
  <si>
    <t>Q9BY44_EIF2A</t>
  </si>
  <si>
    <t>Q9BY49_PECR</t>
  </si>
  <si>
    <t>Q9BY77_POLDIP3</t>
  </si>
  <si>
    <t>Q9BYB4_GNB1L</t>
  </si>
  <si>
    <t>Q9BYC5_FUT8</t>
  </si>
  <si>
    <t>Q9BYC8_MRPL32</t>
  </si>
  <si>
    <t>Q9BYD6_MRPL1</t>
  </si>
  <si>
    <t>Q9BYG5_PARD6B</t>
  </si>
  <si>
    <t>Q9BYM8_RBCK1</t>
  </si>
  <si>
    <t>Q9BYN0_SRXN1</t>
  </si>
  <si>
    <t>Q9BYN8_MRPS26</t>
  </si>
  <si>
    <t>Q9BYT3_STK33</t>
  </si>
  <si>
    <t>Q9BYT8_NLN</t>
  </si>
  <si>
    <t>Q9BYV8_CEP41</t>
  </si>
  <si>
    <t>Q9BYW2_SETD2</t>
  </si>
  <si>
    <t>Q9BYX2-3_TBC1D2</t>
  </si>
  <si>
    <t>Q9BZ23-3_PANK2</t>
  </si>
  <si>
    <t>Q9BZ67-2_FRMD8</t>
  </si>
  <si>
    <t>Q9BZ95-3_WHSC1L1</t>
  </si>
  <si>
    <t>Q9BZA5_TXLNG2P</t>
  </si>
  <si>
    <t>Q9BZD2_SLC29A3</t>
  </si>
  <si>
    <t>Q9BZD4_NUF2</t>
  </si>
  <si>
    <t>Q9BZE1_MRPL37</t>
  </si>
  <si>
    <t>Q9BZE2_PUS3</t>
  </si>
  <si>
    <t>Q9BZE4_GTPBP4</t>
  </si>
  <si>
    <t>Q9BZE9_ASPSCR1</t>
  </si>
  <si>
    <t>Q9BZF1-3_OSBPL8</t>
  </si>
  <si>
    <t>Q9BZH6_WDR11</t>
  </si>
  <si>
    <t>Q9BZI7-2_UPF3B</t>
  </si>
  <si>
    <t>Q9BZK7_TBL1XR1</t>
  </si>
  <si>
    <t>Q9BZL1_UBL5</t>
  </si>
  <si>
    <t>Q9BZM1_PLA2G12A</t>
  </si>
  <si>
    <t>Q9BZM5_ULBP2</t>
  </si>
  <si>
    <t>Q9BZX2_UCK2</t>
  </si>
  <si>
    <t>Q9BZZ5_API5</t>
  </si>
  <si>
    <t>Q9BZZ5-2_API5</t>
  </si>
  <si>
    <t>Q9C005_DPY30</t>
  </si>
  <si>
    <t>Q9C026_TRIM9</t>
  </si>
  <si>
    <t>Q9C037-2_TRIM4</t>
  </si>
  <si>
    <t>Q9C073_FAM117A</t>
  </si>
  <si>
    <t>Q9C0B0_UNK</t>
  </si>
  <si>
    <t>Q9C0B1_FTO</t>
  </si>
  <si>
    <t>Q9C0B5-2_ZDHHC5</t>
  </si>
  <si>
    <t>Q9C0B7_TANGO6</t>
  </si>
  <si>
    <t>Q9C0C2_TNKS1BP1</t>
  </si>
  <si>
    <t>Q9C0C4_SEMA4C</t>
  </si>
  <si>
    <t>Q9C0C9_UBE2O</t>
  </si>
  <si>
    <t>Q9C0D3_ZYG11B</t>
  </si>
  <si>
    <t>Q9C0D5-2_TANC1</t>
  </si>
  <si>
    <t>Q9C0F1_CEP44</t>
  </si>
  <si>
    <t>Q9C0H2-2_TTYH3</t>
  </si>
  <si>
    <t>Q9C0I1_MTMR12</t>
  </si>
  <si>
    <t>Q9C0J8_WDR33</t>
  </si>
  <si>
    <t>Q9C0K0-2_BCL11B</t>
  </si>
  <si>
    <t>Q9C0K1-2_SLC39A8</t>
  </si>
  <si>
    <t>Q9C0K7-2_STRADB</t>
  </si>
  <si>
    <t>Q9GZL7_WDR12</t>
  </si>
  <si>
    <t>Q9GZN1_ACTR6</t>
  </si>
  <si>
    <t>Q9GZN8_C20orf27</t>
  </si>
  <si>
    <t>Q9GZP4_PITHD1</t>
  </si>
  <si>
    <t>Q9GZP9_DERL2</t>
  </si>
  <si>
    <t>Q9GZQ3_COMMD5</t>
  </si>
  <si>
    <t>Q9GZS1-2_POLR1E</t>
  </si>
  <si>
    <t>Q9GZS3_WDR61</t>
  </si>
  <si>
    <t>Q9GZT3-2_SLIRP</t>
  </si>
  <si>
    <t>Q9GZT6-2_CCDC90B</t>
  </si>
  <si>
    <t>Q9GZT8-2_NIF3L1</t>
  </si>
  <si>
    <t>Q9GZT9_EGLN1</t>
  </si>
  <si>
    <t>Q9GZU8_FAM192A</t>
  </si>
  <si>
    <t>Q9GZX9_TWSG1</t>
  </si>
  <si>
    <t>Q9GZY8-2_MFF</t>
  </si>
  <si>
    <t>Q9GZY8-4_MFF</t>
  </si>
  <si>
    <t>Q9GZZ9_UBA5</t>
  </si>
  <si>
    <t>Q9H008_LHPP</t>
  </si>
  <si>
    <t>Q9H019-3_MTFR1L</t>
  </si>
  <si>
    <t>Q9H061_TMEM126A</t>
  </si>
  <si>
    <t>Q9H074_PAIP1</t>
  </si>
  <si>
    <t>Q9H078-2_CLPB</t>
  </si>
  <si>
    <t>Q9H081_MIS12</t>
  </si>
  <si>
    <t>Q9H082_RAB33B</t>
  </si>
  <si>
    <t>Q9H089_LSG1</t>
  </si>
  <si>
    <t>Q9H0A0_NAT10</t>
  </si>
  <si>
    <t>Q9H0A8_COMMD4</t>
  </si>
  <si>
    <t>Q9H0B6_KLC2</t>
  </si>
  <si>
    <t>Q9H0C8_ILKAP</t>
  </si>
  <si>
    <t>Q9H0D6_XRN2</t>
  </si>
  <si>
    <t>Q9H0E2_TOLLIP</t>
  </si>
  <si>
    <t>Q9H0F6-2_SHARPIN</t>
  </si>
  <si>
    <t>Q9H0F7_ARL6</t>
  </si>
  <si>
    <t>Q9H0G5_NSRP1</t>
  </si>
  <si>
    <t>Q9H0H5_RACGAP1</t>
  </si>
  <si>
    <t>Q9H0J9_PARP12</t>
  </si>
  <si>
    <t>Q9H0K6_PUS7L</t>
  </si>
  <si>
    <t>Q9H0L4_CSTF2T</t>
  </si>
  <si>
    <t>Q9H0P0_NT5C3A</t>
  </si>
  <si>
    <t>Q9H0R4_HDHD2</t>
  </si>
  <si>
    <t>Q9H0R6_QRSL1</t>
  </si>
  <si>
    <t>Q9H0S4-2_DDX47</t>
  </si>
  <si>
    <t>Q9H0U3_MAGT1</t>
  </si>
  <si>
    <t>Q9H0U4_RAB1B</t>
  </si>
  <si>
    <t>Q9H0U9_TSPYL1</t>
  </si>
  <si>
    <t>Q9H0V9_LMAN2L</t>
  </si>
  <si>
    <t>Q9H0W8_SMG9</t>
  </si>
  <si>
    <t>Q9H0W9_C11orf54</t>
  </si>
  <si>
    <t>Q9H0X4_ITFG3</t>
  </si>
  <si>
    <t>Q9H115_NAPB</t>
  </si>
  <si>
    <t>Q9H147_DNTTIP1</t>
  </si>
  <si>
    <t>Q9H173_SIL1</t>
  </si>
  <si>
    <t>Q9H1A3-2_METTL9</t>
  </si>
  <si>
    <t>Q9H1A4_ANAPC1</t>
  </si>
  <si>
    <t>Q9H1B7_IRF2BPL</t>
  </si>
  <si>
    <t>Q9H1D9_POLR3F</t>
  </si>
  <si>
    <t>Q9H1E3_NUCKS1</t>
  </si>
  <si>
    <t>Q9H1E5_TMX4</t>
  </si>
  <si>
    <t>Q9H1I8-3_ASCC2</t>
  </si>
  <si>
    <t>Q9H1J1-2_UPF3A</t>
  </si>
  <si>
    <t>Q9H1K0_ZFYVE20</t>
  </si>
  <si>
    <t>Q9H1K1_ISCU</t>
  </si>
  <si>
    <t>Q9H1Y0_ATG5</t>
  </si>
  <si>
    <t>Q9H1Z4_WDR13</t>
  </si>
  <si>
    <t>Q9H204_MED28</t>
  </si>
  <si>
    <t>Q9H223_EHD4</t>
  </si>
  <si>
    <t>Q9H246_C1orf21</t>
  </si>
  <si>
    <t>Q9H254-4_SPTBN4</t>
  </si>
  <si>
    <t>Q9H267_VPS33B</t>
  </si>
  <si>
    <t>Q9H269_VPS16</t>
  </si>
  <si>
    <t>Q9H270_VPS11</t>
  </si>
  <si>
    <t>Q9H2C0_GAN</t>
  </si>
  <si>
    <t>Q9H2D1_SLC25A32</t>
  </si>
  <si>
    <t>Q9H2D6-5_TRIOBP</t>
  </si>
  <si>
    <t>Q9H2G2-2_SLK</t>
  </si>
  <si>
    <t>Q9H2H8_PPIL3</t>
  </si>
  <si>
    <t>Q9H2J4_PDCL3</t>
  </si>
  <si>
    <t>Q9H2K0_MTIF3</t>
  </si>
  <si>
    <t>Q9H2K8_TAOK3</t>
  </si>
  <si>
    <t>Q9H2M9_RAB3GAP2</t>
  </si>
  <si>
    <t>Q9H2P0_ADNP</t>
  </si>
  <si>
    <t>Q9H2P9_DPH5</t>
  </si>
  <si>
    <t>Q9H2U2_PPA2</t>
  </si>
  <si>
    <t>Q9H2W2_MIXL1</t>
  </si>
  <si>
    <t>Q9H2W6_MRPL46</t>
  </si>
  <si>
    <t>Q9H2Y7_ZNF106</t>
  </si>
  <si>
    <t>Q9H300_PARL</t>
  </si>
  <si>
    <t>Q9H307_PNN</t>
  </si>
  <si>
    <t>Q9H330-2_TMEM245</t>
  </si>
  <si>
    <t>Q9H3C7_GGNBP2</t>
  </si>
  <si>
    <t>Q9H3F6_KCTD10</t>
  </si>
  <si>
    <t>Q9H3G5_CPVL</t>
  </si>
  <si>
    <t>Q9H3H1_TRIT1</t>
  </si>
  <si>
    <t>Q9H3H3-2_C11orf68</t>
  </si>
  <si>
    <t>Q9H3H5-2_DPAGT1</t>
  </si>
  <si>
    <t>Q9H3K6_BOLA2</t>
  </si>
  <si>
    <t>Q9H3N1_TMX1</t>
  </si>
  <si>
    <t>Q9H3P2_NELFA</t>
  </si>
  <si>
    <t>Q9H3P7_ACBD3</t>
  </si>
  <si>
    <t>Q9H3R5_CENPH</t>
  </si>
  <si>
    <t>Q9H3S7_PTPN23</t>
  </si>
  <si>
    <t>Q9H3U1-2_UNC45A</t>
  </si>
  <si>
    <t>Q9H3U5-3_MFSD1</t>
  </si>
  <si>
    <t>Q9H3Z4-2_DNAJC5</t>
  </si>
  <si>
    <t>Q9H400_LIME1</t>
  </si>
  <si>
    <t>Q9H410_DSN1</t>
  </si>
  <si>
    <t>Q9H425_C1orf198</t>
  </si>
  <si>
    <t>Q9H444_CHMP4B</t>
  </si>
  <si>
    <t>Q9H467_CUEDC2</t>
  </si>
  <si>
    <t>Q9H477_RBKS</t>
  </si>
  <si>
    <t>Q9H488_POFUT1</t>
  </si>
  <si>
    <t>Q9H490-2_PIGU</t>
  </si>
  <si>
    <t>Q9H496_IFRG15</t>
  </si>
  <si>
    <t>Q9H497_TOR3A</t>
  </si>
  <si>
    <t>Q9H4A4_RNPEP</t>
  </si>
  <si>
    <t>Q9H4A5_GOLPH3L</t>
  </si>
  <si>
    <t>Q9H4A6_GOLPH3</t>
  </si>
  <si>
    <t>Q9H4B0_OSGEPL1</t>
  </si>
  <si>
    <t>Q9H4E7_DEF6</t>
  </si>
  <si>
    <t>Q9H4G4_GLIPR2</t>
  </si>
  <si>
    <t>Q9H4H8-2_FAM83D</t>
  </si>
  <si>
    <t>Q9H4I2_ZHX3</t>
  </si>
  <si>
    <t>Q9H4L5-2_OSBPL3</t>
  </si>
  <si>
    <t>Q9H4L7-2_SMARCAD1</t>
  </si>
  <si>
    <t>Q9H4M9_EHD1</t>
  </si>
  <si>
    <t>Q9H4P4-2_RNF41</t>
  </si>
  <si>
    <t>Q9H4X1-2_RGCC</t>
  </si>
  <si>
    <t>Q9H4Z3_PCIF1</t>
  </si>
  <si>
    <t>Q9H501_ESF1</t>
  </si>
  <si>
    <t>Q9H553_ALG2</t>
  </si>
  <si>
    <t>Q9H583_HEATR1</t>
  </si>
  <si>
    <t>Q9H5K3_SGK196</t>
  </si>
  <si>
    <t>Q9H5N1_RABEP2</t>
  </si>
  <si>
    <t>Q9H5Q4_TFB2M</t>
  </si>
  <si>
    <t>Q9H5V9-3_CXorf56</t>
  </si>
  <si>
    <t>Q9H5X1_FAM96A</t>
  </si>
  <si>
    <t>Q9H6D7_HAUS4</t>
  </si>
  <si>
    <t>Q9H6E4_CCDC134</t>
  </si>
  <si>
    <t>Q9H6F5_CCDC86</t>
  </si>
  <si>
    <t>Q9H6H4_REEP4</t>
  </si>
  <si>
    <t>Q9H6K1_C6orf106</t>
  </si>
  <si>
    <t>Q9H6K4_OPA3</t>
  </si>
  <si>
    <t>Q9H6L2_TMEM231</t>
  </si>
  <si>
    <t>Q9H6L5_FAM134B</t>
  </si>
  <si>
    <t>Q9H6P5_TASP1</t>
  </si>
  <si>
    <t>Q9H6Q4_NARFL</t>
  </si>
  <si>
    <t>Q9H6R0_DHX33</t>
  </si>
  <si>
    <t>Q9H6R4-4_NOL6</t>
  </si>
  <si>
    <t>Q9H6R6-2_ZDHHC6</t>
  </si>
  <si>
    <t>Q9H6S0_YTHDC2</t>
  </si>
  <si>
    <t>Q9H6T3_RPAP3</t>
  </si>
  <si>
    <t>Q9H6U6-2_BCAS3</t>
  </si>
  <si>
    <t>Q9H6U8_ALG9</t>
  </si>
  <si>
    <t>Q9H6W3_NO66</t>
  </si>
  <si>
    <t>Q9H6X2_ANTXR1</t>
  </si>
  <si>
    <t>Q9H6Y2_WDR55</t>
  </si>
  <si>
    <t>Q9H6Z4-3_RANBP3</t>
  </si>
  <si>
    <t>Q9H773_DCTPP1</t>
  </si>
  <si>
    <t>Q9H777_ELAC1</t>
  </si>
  <si>
    <t>Q9H7B4_SMYD3</t>
  </si>
  <si>
    <t>Q9H7D7-2_WDR26</t>
  </si>
  <si>
    <t>Q9H7E2-3_TDRD3</t>
  </si>
  <si>
    <t>Q9H7E9_C8orf33</t>
  </si>
  <si>
    <t>Q9H7F0_ATP13A3</t>
  </si>
  <si>
    <t>Q9H7F4_TMEM185B</t>
  </si>
  <si>
    <t>Q9H7H0-3_METTL17</t>
  </si>
  <si>
    <t>Q9H7J1_PPP1R3E</t>
  </si>
  <si>
    <t>Q9H7L9_SUDS3</t>
  </si>
  <si>
    <t>Q9H7M9_C10orf54</t>
  </si>
  <si>
    <t>Q9H7N4_SCAF1</t>
  </si>
  <si>
    <t>Q9H7U1-3_CCSER2</t>
  </si>
  <si>
    <t>Q9H7X3_ZNF696</t>
  </si>
  <si>
    <t>Q9H7Z3_NRDE2</t>
  </si>
  <si>
    <t>Q9H7Z6_KAT8</t>
  </si>
  <si>
    <t>Q9H7Z7_PTGES2</t>
  </si>
  <si>
    <t>Q9H813_TMEM206</t>
  </si>
  <si>
    <t>Q9H814_PHAX</t>
  </si>
  <si>
    <t>Q9H832_UBE2Z</t>
  </si>
  <si>
    <t>Q9H845_ACAD9</t>
  </si>
  <si>
    <t>Q9H857-2_NT5DC2</t>
  </si>
  <si>
    <t>Q9H867-2_METTL21D</t>
  </si>
  <si>
    <t>Q9H871_RMND5A</t>
  </si>
  <si>
    <t>Q9H875_PRKRIP1</t>
  </si>
  <si>
    <t>Q9H8G2_CAAP1</t>
  </si>
  <si>
    <t>Q9H8H0_NOL11</t>
  </si>
  <si>
    <t>Q9H8M2-2_BRD9</t>
  </si>
  <si>
    <t>Q9H8M5-3_CNNM2</t>
  </si>
  <si>
    <t>Q9H8M7_FAM188A</t>
  </si>
  <si>
    <t>Q9H8P0_SRD5A3</t>
  </si>
  <si>
    <t>Q9H8S9_MOB1A</t>
  </si>
  <si>
    <t>Q9H8U3_ZFAND3</t>
  </si>
  <si>
    <t>Q9H8W3_FAM204A</t>
  </si>
  <si>
    <t>Q9H8W4_PLEKHF2</t>
  </si>
  <si>
    <t>Q9H8Y5_ANKZF1</t>
  </si>
  <si>
    <t>Q9H8Y8_GORASP2</t>
  </si>
  <si>
    <t>Q9H900_ZWILCH</t>
  </si>
  <si>
    <t>Q9H903-1_MTHFD2L</t>
  </si>
  <si>
    <t>Q9H910-2_HN1L</t>
  </si>
  <si>
    <t>Q9H936_SLC25A22</t>
  </si>
  <si>
    <t>Q9H944_MED20</t>
  </si>
  <si>
    <t>Q9H974_QTRTD1</t>
  </si>
  <si>
    <t>Q9H977_WDR54</t>
  </si>
  <si>
    <t>Q9H981_ACTR8</t>
  </si>
  <si>
    <t>Q9H993_C6orf211</t>
  </si>
  <si>
    <t>Q9H999_PANK3</t>
  </si>
  <si>
    <t>Q9H9A5-2_CNOT10</t>
  </si>
  <si>
    <t>Q9H9A6_LRRC40</t>
  </si>
  <si>
    <t>Q9H9A7_RMI1</t>
  </si>
  <si>
    <t>Q9H9B4_SFXN1</t>
  </si>
  <si>
    <t>Q9H9F9_ACTR5</t>
  </si>
  <si>
    <t>Q9H9G7_AGO3</t>
  </si>
  <si>
    <t>Q9H9H4_VPS37B</t>
  </si>
  <si>
    <t>Q9H9P8_L2HGDH</t>
  </si>
  <si>
    <t>Q9H9Q4_NHEJ1</t>
  </si>
  <si>
    <t>Q9H9S5_FKRP</t>
  </si>
  <si>
    <t>Q9H9T3-2_ELP3</t>
  </si>
  <si>
    <t>Q9H9V9-2_JMJD4</t>
  </si>
  <si>
    <t>Q9H9Y4_GPN2</t>
  </si>
  <si>
    <t>Q9H9Y6_POLR1B</t>
  </si>
  <si>
    <t>Q9HA38-2_ZMAT3</t>
  </si>
  <si>
    <t>Q9HA47-3_UCK1</t>
  </si>
  <si>
    <t>Q9HA64_FN3KRP</t>
  </si>
  <si>
    <t>Q9HA65_TBC1D17</t>
  </si>
  <si>
    <t>Q9HA77_CARS2</t>
  </si>
  <si>
    <t>Q9HA92_RSAD1</t>
  </si>
  <si>
    <t>Q9HAB8_PPCS</t>
  </si>
  <si>
    <t>Q9HAD4_WDR41</t>
  </si>
  <si>
    <t>Q9HAF1-2_MEAF6</t>
  </si>
  <si>
    <t>Q9HAJ7_SAP30L</t>
  </si>
  <si>
    <t>Q9HAN9_NMNAT1</t>
  </si>
  <si>
    <t>Q9HAT2-2_SIAE</t>
  </si>
  <si>
    <t>Q9HAT8_PELI2</t>
  </si>
  <si>
    <t>Q9HAU5_UPF2</t>
  </si>
  <si>
    <t>Q9HAV4_XPO5</t>
  </si>
  <si>
    <t>Q9HAV7_GRPEL1</t>
  </si>
  <si>
    <t>Q9HAW4_CLSPN</t>
  </si>
  <si>
    <t>Q9HB07_C12orf10</t>
  </si>
  <si>
    <t>Q9HB09_BCL2L12</t>
  </si>
  <si>
    <t>Q9HB19_PLEKHA2</t>
  </si>
  <si>
    <t>Q9HB20_PLEKHA3</t>
  </si>
  <si>
    <t>Q9HB21_PLEKHA1</t>
  </si>
  <si>
    <t>Q9HB40_SCPEP1</t>
  </si>
  <si>
    <t>Q9HB71_CACYBP</t>
  </si>
  <si>
    <t>Q9HB90_RRAGC</t>
  </si>
  <si>
    <t>Q9HBD4_SMARCA4</t>
  </si>
  <si>
    <t>Q9HBF4_ZFYVE1</t>
  </si>
  <si>
    <t>Q9HBH0_RHOF</t>
  </si>
  <si>
    <t>Q9HBH1_PDF</t>
  </si>
  <si>
    <t>Q9HBH5_RDH14</t>
  </si>
  <si>
    <t>Q9HBI0_PARVG</t>
  </si>
  <si>
    <t>Q9HBL7_PLGRKT</t>
  </si>
  <si>
    <t>Q9HBL8_NMRAL1</t>
  </si>
  <si>
    <t>Q9HBM1_SPC25</t>
  </si>
  <si>
    <t>Q9HBM6_TAF9B</t>
  </si>
  <si>
    <t>Q9HBM8_AGPAT1</t>
  </si>
  <si>
    <t>Q9HBR0_SLC38A10</t>
  </si>
  <si>
    <t>Q9HBU6_ETNK1</t>
  </si>
  <si>
    <t>Q9HC21_SLC25A19</t>
  </si>
  <si>
    <t>Q9HC35_EML4</t>
  </si>
  <si>
    <t>Q9HC36_RNMTL1</t>
  </si>
  <si>
    <t>Q9HC38-2_GLOD4</t>
  </si>
  <si>
    <t>Q9HC44_GPBP1L1</t>
  </si>
  <si>
    <t>Q9HC52_CBX8</t>
  </si>
  <si>
    <t>Q9HCC0_MCCC2</t>
  </si>
  <si>
    <t>Q9HCD5_NCOA5</t>
  </si>
  <si>
    <t>Q9HCE1_MOV10</t>
  </si>
  <si>
    <t>Q9HCE5_METTL14</t>
  </si>
  <si>
    <t>Q9HCJ0_TNRC6C</t>
  </si>
  <si>
    <t>Q9HCJ1_ANKH</t>
  </si>
  <si>
    <t>Q9HCJ3-2_RAVER2</t>
  </si>
  <si>
    <t>Q9HCK8_CHD8</t>
  </si>
  <si>
    <t>Q9HCL2_GPAM</t>
  </si>
  <si>
    <t>Q9HCL3_ZFP14</t>
  </si>
  <si>
    <t>Q9HCN3_TMEM8A</t>
  </si>
  <si>
    <t>Q9HCN4_GPN1</t>
  </si>
  <si>
    <t>Q9HCN8_SDF2L1</t>
  </si>
  <si>
    <t>Q9HCP0-2_CSNK1G1</t>
  </si>
  <si>
    <t>Q9HCU5_PREB</t>
  </si>
  <si>
    <t>Q9HD15_SRA1</t>
  </si>
  <si>
    <t>Q9HD20-2_ATP13A1</t>
  </si>
  <si>
    <t>Q9HD26_GOPC</t>
  </si>
  <si>
    <t>Q9HD34_LYRM4</t>
  </si>
  <si>
    <t>Q9HD40_SEPSECS</t>
  </si>
  <si>
    <t>Q9HD42_CHMP1A</t>
  </si>
  <si>
    <t>Q9HD45_TM9SF3</t>
  </si>
  <si>
    <t>Q9HD47_RANGRF</t>
  </si>
  <si>
    <t>Q9HD89_RETN</t>
  </si>
  <si>
    <t>Q9HDC5_JPH1</t>
  </si>
  <si>
    <t>Q9HDC9_APMAP</t>
  </si>
  <si>
    <t>Q9NP58-4_ABCB6</t>
  </si>
  <si>
    <t>Q9NP66_HMG20A</t>
  </si>
  <si>
    <t>Q9NP72_RAB18</t>
  </si>
  <si>
    <t>Q9NP73-2_ALG13</t>
  </si>
  <si>
    <t>Q9NP77_SSU72</t>
  </si>
  <si>
    <t>Q9NP79_VTA1</t>
  </si>
  <si>
    <t>Q9NP92_MRPS30</t>
  </si>
  <si>
    <t>Q9NPA0_EMC7</t>
  </si>
  <si>
    <t>Q9NPA3_MID1IP1</t>
  </si>
  <si>
    <t>Q9NPA8-2_ENY2</t>
  </si>
  <si>
    <t>Q9NPB8_GPCPD1</t>
  </si>
  <si>
    <t>Q9NPD3_EXOSC4</t>
  </si>
  <si>
    <t>Q9NPD7_NRN1</t>
  </si>
  <si>
    <t>Q9NPD8_UBE2T</t>
  </si>
  <si>
    <t>Q9NPE2_NGRN</t>
  </si>
  <si>
    <t>Q9NPE3_NOP10</t>
  </si>
  <si>
    <t>Q9NPF0_CD320</t>
  </si>
  <si>
    <t>Q9NPF4_OSGEP</t>
  </si>
  <si>
    <t>Q9NPH0_ACP6</t>
  </si>
  <si>
    <t>Q9NPH3_IL1RAP</t>
  </si>
  <si>
    <t>Q9NPI6_DCP1A</t>
  </si>
  <si>
    <t>Q9NPJ3-2_ACOT13</t>
  </si>
  <si>
    <t>Q9NPJ8-3_NXT2</t>
  </si>
  <si>
    <t>Q9NPL8_TIMMDC1</t>
  </si>
  <si>
    <t>Q9NPQ8-4_RIC8A</t>
  </si>
  <si>
    <t>Q9NPR9_GPR108</t>
  </si>
  <si>
    <t>Q9NQ29_LUC7L</t>
  </si>
  <si>
    <t>Q9NQ34_TMEM9B</t>
  </si>
  <si>
    <t>Q9NQ55-2_PPAN</t>
  </si>
  <si>
    <t>Q9NQ88_TIGAR</t>
  </si>
  <si>
    <t>Q9NQ92_COPRS</t>
  </si>
  <si>
    <t>Q9NQC3_RTN4</t>
  </si>
  <si>
    <t>Q9NQC3-5_RTN4</t>
  </si>
  <si>
    <t>Q9NQE9_HINT3</t>
  </si>
  <si>
    <t>Q9NQG1_MANBAL</t>
  </si>
  <si>
    <t>Q9NQG5_RPRD1B</t>
  </si>
  <si>
    <t>Q9NQH7-2_XPNPEP3</t>
  </si>
  <si>
    <t>Q9NQP4_PFDN4</t>
  </si>
  <si>
    <t>Q9NQR4_NIT2</t>
  </si>
  <si>
    <t>Q9NQS1_AVEN</t>
  </si>
  <si>
    <t>Q9NQT4_EXOSC5</t>
  </si>
  <si>
    <t>Q9NQT5_EXOSC3</t>
  </si>
  <si>
    <t>Q9NQT8_KIF13B</t>
  </si>
  <si>
    <t>Q9NQW6_ANLN</t>
  </si>
  <si>
    <t>Q9NQW7-3_XPNPEP1</t>
  </si>
  <si>
    <t>Q9NQX3_GPHN</t>
  </si>
  <si>
    <t>Q9NQZ2_UTP3</t>
  </si>
  <si>
    <t>Q9NQZ5_STARD7</t>
  </si>
  <si>
    <t>Q9NQZ6-3_ZC4H2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</si>
  <si>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</si>
  <si>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</si>
  <si>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</si>
  <si>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</si>
  <si>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</si>
  <si>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</si>
  <si>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</si>
  <si>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</si>
  <si>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Q9NR55_BATF3</t>
  </si>
  <si>
    <t>Q9NR77_PXMP2</t>
  </si>
  <si>
    <t>Q9NRA2_SLC17A5</t>
  </si>
  <si>
    <t>Q9NRD5_PICK1</t>
  </si>
  <si>
    <t>Q9NRF9_POLE3</t>
  </si>
  <si>
    <t>Q9NRG0_CHRAC1</t>
  </si>
  <si>
    <t>Q9NRG4_SMYD2</t>
  </si>
  <si>
    <t>Q9NRG7-2_SDR39U1</t>
  </si>
  <si>
    <t>Q9NRG9_AAAS</t>
  </si>
  <si>
    <t>Q9NRH1_YAE1D1</t>
  </si>
  <si>
    <t>Q9NRK6_ABCB10</t>
  </si>
  <si>
    <t>Q9NRL2-2_BAZ1A</t>
  </si>
  <si>
    <t>Q9NRL3_STRN4</t>
  </si>
  <si>
    <t>Q9NRN7_AASDHPPT</t>
  </si>
  <si>
    <t>Q9NRN9_METTL5</t>
  </si>
  <si>
    <t>Q9NRP0_OSTC</t>
  </si>
  <si>
    <t>Q9NRP2_CMC2</t>
  </si>
  <si>
    <t>Q9NRP4_ACN9</t>
  </si>
  <si>
    <t>Q9NRR5_UBQLN4</t>
  </si>
  <si>
    <t>Q9NRR8_CDC42SE1</t>
  </si>
  <si>
    <t>Q9NRS6_SNX15</t>
  </si>
  <si>
    <t>Q9NRV9_HEBP1</t>
  </si>
  <si>
    <t>Q9NRW1_RAB6B</t>
  </si>
  <si>
    <t>Q9NRW7_VPS45</t>
  </si>
  <si>
    <t>Q9NRX1_PNO1</t>
  </si>
  <si>
    <t>Q9NRX4_PHPT1</t>
  </si>
  <si>
    <t>Q9NRY2_INIP</t>
  </si>
  <si>
    <t>Q9NRY4_ARHGAP35</t>
  </si>
  <si>
    <t>Q9NRY5_FAM114A2</t>
  </si>
  <si>
    <t>Q9NRY6_PLSCR3</t>
  </si>
  <si>
    <t>Q9NRZ5_AGPAT4</t>
  </si>
  <si>
    <t>Q9NRZ7-2_AGPAT3</t>
  </si>
  <si>
    <t>Q9NRZ9-2_HELLS</t>
  </si>
  <si>
    <t>Q9NS69_TOMM22</t>
  </si>
  <si>
    <t>Q9NS86_LANCL2</t>
  </si>
  <si>
    <t>Q9NS87_KIF15</t>
  </si>
  <si>
    <t>Q9NS91_RAD18</t>
  </si>
  <si>
    <t>Q9NS93_TM7SF3</t>
  </si>
  <si>
    <t>Q9NSA3_CTNNBIP1</t>
  </si>
  <si>
    <t>Q9NSB8-2_HOMER2</t>
  </si>
  <si>
    <t>Q9NSC5-5_HOMER3</t>
  </si>
  <si>
    <t>Q9NSD9_FARSB</t>
  </si>
  <si>
    <t>Q9NSE4_IARS2</t>
  </si>
  <si>
    <t>Q9NSI2-2_FAM207A</t>
  </si>
  <si>
    <t>Q9NSI8-3_SAMSN1</t>
  </si>
  <si>
    <t>Q9NSK0_KLC4</t>
  </si>
  <si>
    <t>Q9NSU2-2_TREX1</t>
  </si>
  <si>
    <t>Q9NSY1_BMP2K</t>
  </si>
  <si>
    <t>Q9NT62_ATG3</t>
  </si>
  <si>
    <t>Q9NTG7_SIRT3</t>
  </si>
  <si>
    <t>Q9NTI5-2_PDS5B</t>
  </si>
  <si>
    <t>Q9NTJ3_SMC4</t>
  </si>
  <si>
    <t>Q9NTJ5_SACM1L</t>
  </si>
  <si>
    <t>Q9NTK5-2_OLA1</t>
  </si>
  <si>
    <t>Q9NTM9_CUTC</t>
  </si>
  <si>
    <t>Q9NTN3_SLC35D1</t>
  </si>
  <si>
    <t>Q9NTX5-2_ECHDC1</t>
  </si>
  <si>
    <t>Q9NTZ6_RBM12</t>
  </si>
  <si>
    <t>Q9NU19_TBC1D22B</t>
  </si>
  <si>
    <t>Q9NU22_MDN1</t>
  </si>
  <si>
    <t>Q9NU23_LYRM2</t>
  </si>
  <si>
    <t>Q9NUB1-2_ACSS1</t>
  </si>
  <si>
    <t>Q9NUD5_ZCCHC3</t>
  </si>
  <si>
    <t>Q9NUE0_ZDHHC18</t>
  </si>
  <si>
    <t>Q9NUG6_PDRG1</t>
  </si>
  <si>
    <t>Q9NUJ1_ABHD10</t>
  </si>
  <si>
    <t>Q9NUL5-3_C19orf66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</si>
  <si>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</si>
  <si>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</si>
  <si>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</si>
  <si>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</si>
  <si>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</si>
  <si>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</si>
  <si>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</si>
  <si>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</si>
  <si>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</si>
  <si>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</si>
  <si>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Q9NUS5_AP5S1</t>
  </si>
  <si>
    <t>Q9NUU7_DDX19A</t>
  </si>
  <si>
    <t>Q9NUW8_TDP1</t>
  </si>
  <si>
    <t>Q9NUX5-2_POT1</t>
  </si>
  <si>
    <t>Q9NV06_DCAF13</t>
  </si>
  <si>
    <t>Q9NV31_IMP3</t>
  </si>
  <si>
    <t>Q9NV35_NUDT15</t>
  </si>
  <si>
    <t>Q9NV56_MRGBP</t>
  </si>
  <si>
    <t>Q9NV70-2_EXOC1</t>
  </si>
  <si>
    <t>Q9NV88-3_INTS9</t>
  </si>
  <si>
    <t>Q9NV96_TMEM30A</t>
  </si>
  <si>
    <t>Q9NVA1_UQCC</t>
  </si>
  <si>
    <t>Q9NVA4_TMEM184C</t>
  </si>
  <si>
    <t>Q9NVC3_SLC38A7</t>
  </si>
  <si>
    <t>Q9NVC6_MED17</t>
  </si>
  <si>
    <t>Q9NVE7_PANK4</t>
  </si>
  <si>
    <t>Q9NVF7_FBXO28</t>
  </si>
  <si>
    <t>Q9NVG8_TBC1D13</t>
  </si>
  <si>
    <t>Q9NVH0_EXD2</t>
  </si>
  <si>
    <t>Q9NVH1_DNAJC11</t>
  </si>
  <si>
    <t>Q9NVH2-3_INTS7</t>
  </si>
  <si>
    <t>Q9NVH6-7_TMLHE</t>
  </si>
  <si>
    <t>Q9NVI1_FANCI</t>
  </si>
  <si>
    <t>Q9NVI7-2_ATAD3A</t>
  </si>
  <si>
    <t>Q9NVJ2_ARL8B</t>
  </si>
  <si>
    <t>Q9NVK5-2_FGFR1OP2</t>
  </si>
  <si>
    <t>Q9NVM4-3_PRMT7</t>
  </si>
  <si>
    <t>Q9NVM6_DNAJC17</t>
  </si>
  <si>
    <t>Q9NVM9_ASUN</t>
  </si>
  <si>
    <t>Q9NVN8_GNL3L</t>
  </si>
  <si>
    <t>Q9NVP1_DDX18</t>
  </si>
  <si>
    <t>Q9NVP2_ASF1B</t>
  </si>
  <si>
    <t>Q9NVR0_KLHL11</t>
  </si>
  <si>
    <t>Q9NVR2_INTS10</t>
  </si>
  <si>
    <t>Q9NVR5_DNAAF2</t>
  </si>
  <si>
    <t>Q9NVS9_PNPO</t>
  </si>
  <si>
    <t>Q9NVT9_ARMC1</t>
  </si>
  <si>
    <t>Q9NVU0-5_POLR3E</t>
  </si>
  <si>
    <t>Q9NVU7_SDAD1</t>
  </si>
  <si>
    <t>Q9NVV0_TMEM38B</t>
  </si>
  <si>
    <t>Q9NVV4_MTPAP</t>
  </si>
  <si>
    <t>Q9NVW2_RLIM</t>
  </si>
  <si>
    <t>Q9NVX0-2_HAUS2</t>
  </si>
  <si>
    <t>Q9NVX2_NLE1</t>
  </si>
  <si>
    <t>Q9NVX7_KBTBD4</t>
  </si>
  <si>
    <t>Q9NVZ3_NECAP2</t>
  </si>
  <si>
    <t>Q9NW08-2_POLR3B</t>
  </si>
  <si>
    <t>Q9NW64_RBM22</t>
  </si>
  <si>
    <t>Q9NW75-2_GPATCH2</t>
  </si>
  <si>
    <t>Q9NW81_ATP5SL</t>
  </si>
  <si>
    <t>Q9NW82_WDR70</t>
  </si>
  <si>
    <t>Q9NWA0_MED9</t>
  </si>
  <si>
    <t>Q9NWB6_ARGLU1</t>
  </si>
  <si>
    <t>Q9NWD8_TMEM248</t>
  </si>
  <si>
    <t>Q9NWH2_TMEM242</t>
  </si>
  <si>
    <t>Q9NWH9_SLTM</t>
  </si>
  <si>
    <t>Q9NWK9_ZNHIT6</t>
  </si>
  <si>
    <t>Q9NWM8_FKBP14</t>
  </si>
  <si>
    <t>Q9NWQ8_PAG1</t>
  </si>
  <si>
    <t>Q9NWQ9_C14orf119</t>
  </si>
  <si>
    <t>Q9NWR8_CCDC109B</t>
  </si>
  <si>
    <t>Q9NWS0_PIH1D1</t>
  </si>
  <si>
    <t>Q9NWS6_FAM118A</t>
  </si>
  <si>
    <t>Q9NWS8_RMND1</t>
  </si>
  <si>
    <t>Q9NWT1_PAK1IP1</t>
  </si>
  <si>
    <t>Q9NWT6_HIF1AN</t>
  </si>
  <si>
    <t>Q9NWU1_OXSM</t>
  </si>
  <si>
    <t>Q9NWU2_GID8</t>
  </si>
  <si>
    <t>Q9NWV4_C1orf123</t>
  </si>
  <si>
    <t>Q9NWW6_NMRK1</t>
  </si>
  <si>
    <t>Q9NWX5_ASB6</t>
  </si>
  <si>
    <t>Q9NWX6_THG1L</t>
  </si>
  <si>
    <t>Q9NWY4_C4orf27</t>
  </si>
  <si>
    <t>Q9NWZ3_IRAK4</t>
  </si>
  <si>
    <t>Q9NWZ5_UCKL1</t>
  </si>
  <si>
    <t>Q9NWZ8_GEMIN8</t>
  </si>
  <si>
    <t>Q9NX00_TMEM160</t>
  </si>
  <si>
    <t>Q9NX01_TXNL4B</t>
  </si>
  <si>
    <t>Q9NX04_C1orf109</t>
  </si>
  <si>
    <t>Q9NX07_TRNAU1AP</t>
  </si>
  <si>
    <t>Q9NX08_COMMD8</t>
  </si>
  <si>
    <t>Q9NX14-2_NDUFB11</t>
  </si>
  <si>
    <t>Q9NX20_MRPL16</t>
  </si>
  <si>
    <t>Q9NX24_NHP2</t>
  </si>
  <si>
    <t>Q9NX38_FAM206A</t>
  </si>
  <si>
    <t>Q9NX40_OCIAD1</t>
  </si>
  <si>
    <t>Q9NX46_ADPRHL2</t>
  </si>
  <si>
    <t>Q9NX47_MARCH5</t>
  </si>
  <si>
    <t>Q9NX55_HYPK</t>
  </si>
  <si>
    <t>Q9NX58_LYAR</t>
  </si>
  <si>
    <t>Q9NX62_IMPAD1</t>
  </si>
  <si>
    <t>Q9NX70_MED29</t>
  </si>
  <si>
    <t>Q9NX74_DUS2L</t>
  </si>
  <si>
    <t>Q9NX76_CMTM6</t>
  </si>
  <si>
    <t>Q9NX94_WBP1L</t>
  </si>
  <si>
    <t>Q9NXA8_SIRT5</t>
  </si>
  <si>
    <t>Q9NXC2_GFOD1</t>
  </si>
  <si>
    <t>Q9NXC5_MIOS</t>
  </si>
  <si>
    <t>Q9NXE8_CWC25</t>
  </si>
  <si>
    <t>Q9NXF7_DCAF16</t>
  </si>
  <si>
    <t>Q9NXH9_TRMT1</t>
  </si>
  <si>
    <t>Q9NXK8_FBXL12</t>
  </si>
  <si>
    <t>Q9NXN4-2_GDAP2</t>
  </si>
  <si>
    <t>Q9NXR1-2_NDE1</t>
  </si>
  <si>
    <t>Q9NXR5_ANKRD10</t>
  </si>
  <si>
    <t>Q9NXR7_BRE</t>
  </si>
  <si>
    <t>Q9NXS2_QPCTL</t>
  </si>
  <si>
    <t>Q9NXU5_ARL15</t>
  </si>
  <si>
    <t>Q9NXV2_KCTD5</t>
  </si>
  <si>
    <t>Q9NXV6_CDKN2AIP</t>
  </si>
  <si>
    <t>Q9NXW9_ALKBH4</t>
  </si>
  <si>
    <t>Q9NXX6_NSMCE4A</t>
  </si>
  <si>
    <t>Q9NY12-2_GAR1</t>
  </si>
  <si>
    <t>Q9NY27_PPP4R2</t>
  </si>
  <si>
    <t>Q9NY93-2_DDX56</t>
  </si>
  <si>
    <t>Q9NYA1_SPHK1</t>
  </si>
  <si>
    <t>Q9NYB0_TERF2IP</t>
  </si>
  <si>
    <t>Q9NYF8-2_BCLAF1</t>
  </si>
  <si>
    <t>Q9NYH9_UTP6</t>
  </si>
  <si>
    <t>Q9NYJ1_COA4</t>
  </si>
  <si>
    <t>Q9NYK5_MRPL39</t>
  </si>
  <si>
    <t>Q9NYL2_MLTK</t>
  </si>
  <si>
    <t>Q9NYL2-2_MLTK</t>
  </si>
  <si>
    <t>Q9NYL9_TMOD3</t>
  </si>
  <si>
    <t>Q9NYM9_BET1L</t>
  </si>
  <si>
    <t>Q9NYP9_MIS18A</t>
  </si>
  <si>
    <t>Q9NYS0_NKIRAS1</t>
  </si>
  <si>
    <t>Q9NYU1_UGGT2</t>
  </si>
  <si>
    <t>Q9NYU2-2_UGGT1</t>
  </si>
  <si>
    <t>Q9NYV4-2_CDK12</t>
  </si>
  <si>
    <t>Q9NYY8_FASTKD2</t>
  </si>
  <si>
    <t>Q9NYZ2_SLC25A37</t>
  </si>
  <si>
    <t>Q9NYZ3_GTSE1</t>
  </si>
  <si>
    <t>Q9NZ01_TECR</t>
  </si>
  <si>
    <t>Q9NZ08_ERAP1</t>
  </si>
  <si>
    <t>Q9NZ09_UBAP1</t>
  </si>
  <si>
    <t>Q9NZ32_ACTR10</t>
  </si>
  <si>
    <t>Q9NZ43_USE1</t>
  </si>
  <si>
    <t>Q9NZ45_CISD1</t>
  </si>
  <si>
    <t>Q9NZ52_GGA3</t>
  </si>
  <si>
    <t>Q9NZ63_C9orf78</t>
  </si>
  <si>
    <t>Q9NZA1-3_CLIC5</t>
  </si>
  <si>
    <t>Q9NZB2_FAM120A</t>
  </si>
  <si>
    <t>Q9NZB8-2_MOCS1</t>
  </si>
  <si>
    <t>Q9NZC3_GDE1</t>
  </si>
  <si>
    <t>Q9NZC7_WWOX</t>
  </si>
  <si>
    <t>Q9NZC9_SMARCAL1</t>
  </si>
  <si>
    <t>Q9NZD2_GLTP</t>
  </si>
  <si>
    <t>Q9NZD8-2_SPG21</t>
  </si>
  <si>
    <t>Q9NZG7_NINJ2</t>
  </si>
  <si>
    <t>Q9NZI7_UBP1</t>
  </si>
  <si>
    <t>Q9NZI8_IGF2BP1</t>
  </si>
  <si>
    <t>Q9NZJ6_COQ3</t>
  </si>
  <si>
    <t>Q9NZJ7-2_MTCH1</t>
  </si>
  <si>
    <t>Q9NZJ9_NUDT4</t>
  </si>
  <si>
    <t>Q9NZJ9-2_NUDT4</t>
  </si>
  <si>
    <t>Q9NZL4_HSPBP1</t>
  </si>
  <si>
    <t>Q9NZL9_MAT2B</t>
  </si>
  <si>
    <t>Q9NZL9-2_MAT2B</t>
  </si>
  <si>
    <t>Q9NZM3-2_ITSN2</t>
  </si>
  <si>
    <t>Q9NZQ3-3_NCKIPSD</t>
  </si>
  <si>
    <t>Q9NZR1_TMOD2</t>
  </si>
  <si>
    <t>Q9NZT2-2_OGFR</t>
  </si>
  <si>
    <t>Q9NZW5_MPP6</t>
  </si>
  <si>
    <t>Q9NZZ3_CHMP5</t>
  </si>
  <si>
    <t>Q9P000_COMMD9</t>
  </si>
  <si>
    <t>Q9P013_CWC15</t>
  </si>
  <si>
    <t>Q9P016_THYN1</t>
  </si>
  <si>
    <t>Q9P031_CCDC59</t>
  </si>
  <si>
    <t>Q9P032_NDUFAF4</t>
  </si>
  <si>
    <t>Q9P035_PTPLAD1</t>
  </si>
  <si>
    <t>Q9P086_MED11</t>
  </si>
  <si>
    <t>Q9P0B6_CCDC167</t>
  </si>
  <si>
    <t>Q9P0I2_EMC3</t>
  </si>
  <si>
    <t>Q9P0J1_PDP1</t>
  </si>
  <si>
    <t>Q9P0J7_KCMF1</t>
  </si>
  <si>
    <t>Q9P0L0_VAPA</t>
  </si>
  <si>
    <t>Q9P0N9-3_TBC1D7</t>
  </si>
  <si>
    <t>Q9P0P0_RNF181</t>
  </si>
  <si>
    <t>Q9P0R6_GSKIP</t>
  </si>
  <si>
    <t>Q9P0S2_COX16</t>
  </si>
  <si>
    <t>Q9P0U4_CXXC1</t>
  </si>
  <si>
    <t>Q9P1F3_ABRACL</t>
  </si>
  <si>
    <t>Q9P1U0_ZNRD1</t>
  </si>
  <si>
    <t>Q9P1U1_ACTR3B</t>
  </si>
  <si>
    <t>Q9P1W8-4_SIRPG</t>
  </si>
  <si>
    <t>Q9P1Y5_CAMSAP3</t>
  </si>
  <si>
    <t>Q9P206-2_KIAA1522</t>
  </si>
  <si>
    <t>Q9P215_POGK</t>
  </si>
  <si>
    <t>Q9P219_CCDC88C</t>
  </si>
  <si>
    <t>Q9P244_LRFN1</t>
  </si>
  <si>
    <t>Q9P253_VPS18</t>
  </si>
  <si>
    <t>Q9P258_RCC2</t>
  </si>
  <si>
    <t>Q9P260_KIAA1468</t>
  </si>
  <si>
    <t>Q9P265_DIP2B</t>
  </si>
  <si>
    <t>Q9P270_SLAIN2</t>
  </si>
  <si>
    <t>Q9P287_BCCIP</t>
  </si>
  <si>
    <t>Q9P287-2_BCCIP</t>
  </si>
  <si>
    <t>Q9P2A4-2_ABI3</t>
  </si>
  <si>
    <t>Q9P2B4_CTTNBP2NL</t>
  </si>
  <si>
    <t>Q9P2B7_KIAA1430</t>
  </si>
  <si>
    <t>Q9P2C4_TMEM181</t>
  </si>
  <si>
    <t>Q9P2D1_CHD7</t>
  </si>
  <si>
    <t>Q9P2D3-3_HEATR5B</t>
  </si>
  <si>
    <t>Q9P2E9_RRBP1</t>
  </si>
  <si>
    <t>Q9P2I0_CPSF2</t>
  </si>
  <si>
    <t>Q9P2J5_LARS</t>
  </si>
  <si>
    <t>Q9P2J9_PDP2</t>
  </si>
  <si>
    <t>Q9P2K2_TXNDC16</t>
  </si>
  <si>
    <t>Q9P2K3-4_RCOR3</t>
  </si>
  <si>
    <t>Q9P2K5_MYEF2</t>
  </si>
  <si>
    <t>Q9P2K8-2_EIF2AK4</t>
  </si>
  <si>
    <t>Q9P2M4_TBC1D14</t>
  </si>
  <si>
    <t>Q9P2M7_CGN</t>
  </si>
  <si>
    <t>Q9P2N5_RBM27</t>
  </si>
  <si>
    <t>Q9P2N6-3_KANSL3</t>
  </si>
  <si>
    <t>Q9P2R3_ANKFY1</t>
  </si>
  <si>
    <t>Q9P2R6_RERE</t>
  </si>
  <si>
    <t>Q9P2W1_PSMC3IP</t>
  </si>
  <si>
    <t>Q9P2X0_DPM3</t>
  </si>
  <si>
    <t>Q9P2Y4_ZNF219</t>
  </si>
  <si>
    <t>Q9P2Y5_UVRAG</t>
  </si>
  <si>
    <t>Q9UBB4_ATXN10</t>
  </si>
  <si>
    <t>Q9UBB5_MBD2</t>
  </si>
  <si>
    <t>Q9UBB6-2_NCDN</t>
  </si>
  <si>
    <t>Q9UBB9_TFIP11</t>
  </si>
  <si>
    <t>Q9UBC2-2_EPS15L1</t>
  </si>
  <si>
    <t>Q9UBC2-4_EPS15L1</t>
  </si>
  <si>
    <t>Q9UBC3-7_DNMT3B</t>
  </si>
  <si>
    <t>Q9UBD5-2_ORC3</t>
  </si>
  <si>
    <t>Q9UBE0_SAE1</t>
  </si>
  <si>
    <t>Q9UBF2_COPG2</t>
  </si>
  <si>
    <t>Q9UBF6_RNF7</t>
  </si>
  <si>
    <t>Q9UBF8-2_PI4KB</t>
  </si>
  <si>
    <t>Q9UBG0_MRC2</t>
  </si>
  <si>
    <t>Q9UBG3_CRNN</t>
  </si>
  <si>
    <t>Q9UBK8-2_MTRR</t>
  </si>
  <si>
    <t>Q9UBK9_UXT</t>
  </si>
  <si>
    <t>Q9UBL0_ARPP21</t>
  </si>
  <si>
    <t>Q9UBL3-3_ASH2L</t>
  </si>
  <si>
    <t>Q9UBM7_DHCR7</t>
  </si>
  <si>
    <t>Q9UBP0-3_SPAST</t>
  </si>
  <si>
    <t>Q9UBP6_METTL1</t>
  </si>
  <si>
    <t>Q9UBQ0_VPS29</t>
  </si>
  <si>
    <t>Q9UBQ7_GRHPR</t>
  </si>
  <si>
    <t>Q9UBS0_RPS6KB2</t>
  </si>
  <si>
    <t>Q9UBS4_DNAJB11</t>
  </si>
  <si>
    <t>Q9UBS8_RNF14</t>
  </si>
  <si>
    <t>Q9UBS9_SUCO</t>
  </si>
  <si>
    <t>Q9UBT2_UBA2</t>
  </si>
  <si>
    <t>Q9UBU6_FAM8A1</t>
  </si>
  <si>
    <t>Q9UBU9_NXF1</t>
  </si>
  <si>
    <t>Q9UBV2_SEL1L</t>
  </si>
  <si>
    <t>Q9UBV7_B4GALT7</t>
  </si>
  <si>
    <t>Q9UBV8_PEF1</t>
  </si>
  <si>
    <t>Q9UBW5_BIN2</t>
  </si>
  <si>
    <t>Q9UBW7_ZMYM2</t>
  </si>
  <si>
    <t>Q9UBW8_COPS7A</t>
  </si>
  <si>
    <t>Q9UBX3_SLC25A10</t>
  </si>
  <si>
    <t>Q9UDR5_AASS</t>
  </si>
  <si>
    <t>Q9UDT6-2_CLIP2</t>
  </si>
  <si>
    <t>Q9UDW1_UQCR10</t>
  </si>
  <si>
    <t>Q9UDX5_MTFP1</t>
  </si>
  <si>
    <t>Q9UDY2-6_TJP2</t>
  </si>
  <si>
    <t>Q9UDY8-2_MALT1</t>
  </si>
  <si>
    <t>Q9UEE5_STK17A</t>
  </si>
  <si>
    <t>Q9UEE9_CFDP1</t>
  </si>
  <si>
    <t>Q9UEG4_ZNF629</t>
  </si>
  <si>
    <t>Q9UEL6_MPZL1</t>
  </si>
  <si>
    <t>Q9UER7-2_DAXX</t>
  </si>
  <si>
    <t>Q9UET6-2_FTSJ1</t>
  </si>
  <si>
    <t>Q9UEU0_VTI1B</t>
  </si>
  <si>
    <t>Q9UEW8_STK39</t>
  </si>
  <si>
    <t>Q9UEY8-2_ADD3</t>
  </si>
  <si>
    <t>Q9UF56_FBXL17</t>
  </si>
  <si>
    <t>Q9UFC0_LRWD1</t>
  </si>
  <si>
    <t>Q9UFN0_NIPSNAP3A</t>
  </si>
  <si>
    <t>Q9UFW8_CGGBP1</t>
  </si>
  <si>
    <t>Q9UG63_ABCF2</t>
  </si>
  <si>
    <t>Q9UGJ1-2_TUBGCP4</t>
  </si>
  <si>
    <t>Q9UGK8_SERGEF</t>
  </si>
  <si>
    <t>Q9UGM1_CHRNA9</t>
  </si>
  <si>
    <t>Q9UGM6_WARS2</t>
  </si>
  <si>
    <t>Q9UGP4_LIMD1</t>
  </si>
  <si>
    <t>Q9UGP8_SEC63</t>
  </si>
  <si>
    <t>Q9UGQ2-2_CACFD1</t>
  </si>
  <si>
    <t>Q9UGQ3-2_SLC2A6</t>
  </si>
  <si>
    <t>Q9UGR2-2_ZC3H7B</t>
  </si>
  <si>
    <t>Q9UGU0-2_TCF20</t>
  </si>
  <si>
    <t>Q9UGV2_NDRG3</t>
  </si>
  <si>
    <t>Q9UH03-2_SEPT3</t>
  </si>
  <si>
    <t>Q9UH62_ARMCX3</t>
  </si>
  <si>
    <t>Q9UH65_SWAP70</t>
  </si>
  <si>
    <t>Q9UH99_SUN2</t>
  </si>
  <si>
    <t>Q9UHA2_SS18L2</t>
  </si>
  <si>
    <t>Q9UHA4_LAMTOR3</t>
  </si>
  <si>
    <t>Q9UHB6_LIMA1</t>
  </si>
  <si>
    <t>Q9UHB6-4_LIMA1</t>
  </si>
  <si>
    <t>Q9UHB7_AFF4</t>
  </si>
  <si>
    <t>Q9UHB9_SRP68</t>
  </si>
  <si>
    <t>Q9UHC7-4_MKRN1</t>
  </si>
  <si>
    <t>Q9UHD1_CHORDC1</t>
  </si>
  <si>
    <t>Q9UHD2_TBK1</t>
  </si>
  <si>
    <t>Q9UHD8_SEPT9</t>
  </si>
  <si>
    <t>Q9UHD9_UBQLN2</t>
  </si>
  <si>
    <t>Q9UHG3_PCYOX1</t>
  </si>
  <si>
    <t>Q9UHI6_DDX20</t>
  </si>
  <si>
    <t>Q9UHJ6_SHPK</t>
  </si>
  <si>
    <t>Q9UHL4_DPP7</t>
  </si>
  <si>
    <t>Q9UHN1_POLG2</t>
  </si>
  <si>
    <t>Q9UHN6-2_TMEM2</t>
  </si>
  <si>
    <t>Q9UHQ1_NARF</t>
  </si>
  <si>
    <t>Q9UHQ4_BCAP29</t>
  </si>
  <si>
    <t>Q9UHQ9_CYB5R1</t>
  </si>
  <si>
    <t>Q9UHR6_ZNHIT2</t>
  </si>
  <si>
    <t>Q9UHV9_PFDN2</t>
  </si>
  <si>
    <t>Q9UHW5_GPN3</t>
  </si>
  <si>
    <t>Q9UHX1_PUF60</t>
  </si>
  <si>
    <t>Q9UHX1-2_PUF60</t>
  </si>
  <si>
    <t>Q9UHY1_NRBP1</t>
  </si>
  <si>
    <t>Q9UHY7_ENOPH1</t>
  </si>
  <si>
    <t>Q9UI08-2_EVL</t>
  </si>
  <si>
    <t>Q9UI09_NDUFA12</t>
  </si>
  <si>
    <t>Q9UI10_EIF2B4</t>
  </si>
  <si>
    <t>Q9UI10-3_EIF2B4</t>
  </si>
  <si>
    <t>Q9UI12-2_ATP6V1H</t>
  </si>
  <si>
    <t>Q9UI26_IPO11</t>
  </si>
  <si>
    <t>Q9UI30_TRMT112</t>
  </si>
  <si>
    <t>Q9UI43_FTSJ2</t>
  </si>
  <si>
    <t>Q9UIB8-3_CD84</t>
  </si>
  <si>
    <t>Q9UIC8_LCMT1</t>
  </si>
  <si>
    <t>Q9UID3_VPS51</t>
  </si>
  <si>
    <t>Q9UIG0-2_BAZ1B</t>
  </si>
  <si>
    <t>Q9UII2_ATPIF1</t>
  </si>
  <si>
    <t>Q9UIJ5_ZDHHC2</t>
  </si>
  <si>
    <t>Q9UIJ7_AK3</t>
  </si>
  <si>
    <t>Q9UIL1-3_SCOC</t>
  </si>
  <si>
    <t>Q9UIM3_FKBPL</t>
  </si>
  <si>
    <t>Q9UIQ6-3_LNPEP</t>
  </si>
  <si>
    <t>Q9UIV1_CNOT7</t>
  </si>
  <si>
    <t>Q9UJ04_TSPYL4</t>
  </si>
  <si>
    <t>Q9UJ14_GGT7</t>
  </si>
  <si>
    <t>Q9UJ70_NAGK</t>
  </si>
  <si>
    <t>Q9UJA5_TRMT6</t>
  </si>
  <si>
    <t>Q9UJG1-2_MOSPD1</t>
  </si>
  <si>
    <t>Q9UJJ9_GNPTG</t>
  </si>
  <si>
    <t>Q9UJK0_TSR3</t>
  </si>
  <si>
    <t>Q9UJS0_SLC25A13</t>
  </si>
  <si>
    <t>Q9UJT0_TUBE1</t>
  </si>
  <si>
    <t>Q9UJU2_LEF1</t>
  </si>
  <si>
    <t>Q9UJU6_DBNL</t>
  </si>
  <si>
    <t>Q9UJU6-2_DBNL</t>
  </si>
  <si>
    <t>Q9UJW0_DCTN4</t>
  </si>
  <si>
    <t>Q9UJX2_CDC23</t>
  </si>
  <si>
    <t>Q9UJX3_ANAPC7</t>
  </si>
  <si>
    <t>Q9UJX5_ANAPC4</t>
  </si>
  <si>
    <t>Q9UJX6-2_ANAPC2</t>
  </si>
  <si>
    <t>Q9UJY4_GGA2</t>
  </si>
  <si>
    <t>Q9UJY5-4_GGA1</t>
  </si>
  <si>
    <t>Q9UJZ1_STOML2</t>
  </si>
  <si>
    <t>Q9UK23-2_NAGPA</t>
  </si>
  <si>
    <t>Q9UK41_VPS28</t>
  </si>
  <si>
    <t>Q9UK45_LSM7</t>
  </si>
  <si>
    <t>Q9UK53-3_ING1</t>
  </si>
  <si>
    <t>Q9UK59_DBR1</t>
  </si>
  <si>
    <t>Q9UK76_HN1</t>
  </si>
  <si>
    <t>Q9UK97-3_FBXO9</t>
  </si>
  <si>
    <t>Q9UKA4_AKAP11</t>
  </si>
  <si>
    <t>Q9UKD2_MRTO4</t>
  </si>
  <si>
    <t>Q9UKF6_CPSF3</t>
  </si>
  <si>
    <t>Q9UKG1_APPL1</t>
  </si>
  <si>
    <t>Q9UKI8-5_TLK1</t>
  </si>
  <si>
    <t>Q9UKJ3_GPATCH8</t>
  </si>
  <si>
    <t>Q9UKK6_NXT1</t>
  </si>
  <si>
    <t>Q9UKL6_PCTP</t>
  </si>
  <si>
    <t>Q9UKM9_RALY</t>
  </si>
  <si>
    <t>Q9UKN8_GTF3C4</t>
  </si>
  <si>
    <t>Q9UKR5_C14orf1</t>
  </si>
  <si>
    <t>Q9UKS6_PACSIN3</t>
  </si>
  <si>
    <t>Q9UKT4-2_FBXO5</t>
  </si>
  <si>
    <t>Q9UKT5_FBXO4</t>
  </si>
  <si>
    <t>Q9UKU7_ACAD8</t>
  </si>
  <si>
    <t>Q9UKV5_AMFR</t>
  </si>
  <si>
    <t>Q9UKV8_AGO2</t>
  </si>
  <si>
    <t>Q9UKW4_VAV3</t>
  </si>
  <si>
    <t>Q9UKX7_NUP50</t>
  </si>
  <si>
    <t>Q9UKY1_ZHX1</t>
  </si>
  <si>
    <t>Q9UKY7_CDV3</t>
  </si>
  <si>
    <t>Q9UKZ1_CNOT11</t>
  </si>
  <si>
    <t>Q9UL03-3_INTS6</t>
  </si>
  <si>
    <t>Q9UL15_BAG5</t>
  </si>
  <si>
    <t>Q9UL18_AGO1</t>
  </si>
  <si>
    <t>Q9UL25_RAB21</t>
  </si>
  <si>
    <t>Q9UL26_RAB22A</t>
  </si>
  <si>
    <t>Q9UL42_PNMA2</t>
  </si>
  <si>
    <t>Q9UL46_PSME2</t>
  </si>
  <si>
    <t>Q9UL63_MKLN1</t>
  </si>
  <si>
    <t>Q9ULC3_RAB23</t>
  </si>
  <si>
    <t>Q9ULC4_MCTS1</t>
  </si>
  <si>
    <t>Q9ULC8-2_ZDHHC8</t>
  </si>
  <si>
    <t>Q9ULD0_OGDHL</t>
  </si>
  <si>
    <t>Q9ULD2-4_MTUS1</t>
  </si>
  <si>
    <t>Q9ULE6_PALD1</t>
  </si>
  <si>
    <t>Q9ULF5_SLC39A10</t>
  </si>
  <si>
    <t>Q9ULH1_ASAP1</t>
  </si>
  <si>
    <t>Q9ULH7-4_MKL2</t>
  </si>
  <si>
    <t>Q9ULJ3-2_ZBTB21</t>
  </si>
  <si>
    <t>Q9ULJ6_ZMIZ1</t>
  </si>
  <si>
    <t>Q9ULJ7_ANKRD50</t>
  </si>
  <si>
    <t>Q9ULL5-3_PRR12</t>
  </si>
  <si>
    <t>Q9ULP9-2_TBC1D24</t>
  </si>
  <si>
    <t>Q9ULR0_ISY1</t>
  </si>
  <si>
    <t>Q9ULR3_PPM1H</t>
  </si>
  <si>
    <t>Q9ULT8_HECTD1</t>
  </si>
  <si>
    <t>Q9ULV0_MYO5B</t>
  </si>
  <si>
    <t>Q9ULV4_CORO1C</t>
  </si>
  <si>
    <t>Q9ULW0_TPX2</t>
  </si>
  <si>
    <t>Q9ULX3_NOB1</t>
  </si>
  <si>
    <t>Q9ULX6_AKAP8L</t>
  </si>
  <si>
    <t>Q9ULX9-2_MAFF</t>
  </si>
  <si>
    <t>Q9UM13_ANAPC10</t>
  </si>
  <si>
    <t>Q9UM21_MGAT4A</t>
  </si>
  <si>
    <t>Q9UM47_NOTCH3</t>
  </si>
  <si>
    <t>Q9UMS0-3_NFU1</t>
  </si>
  <si>
    <t>Q9UMS4_PRPF19</t>
  </si>
  <si>
    <t>Q9UMX0_UBQLN1</t>
  </si>
  <si>
    <t>Q9UMX1-2_SUFU</t>
  </si>
  <si>
    <t>Q9UMX5_NENF</t>
  </si>
  <si>
    <t>Q9UMY1_NOL7</t>
  </si>
  <si>
    <t>Q9UMY4-2_SNX12</t>
  </si>
  <si>
    <t>Q9UMZ2-4_SYNRG</t>
  </si>
  <si>
    <t>Q9UMZ2-5_SYNRG</t>
  </si>
  <si>
    <t>Q9UN36-2_NDRG2</t>
  </si>
  <si>
    <t>Q9UN37_VPS4A</t>
  </si>
  <si>
    <t>Q9UN86-2_G3BP2</t>
  </si>
  <si>
    <t>Q9UNA1-2_ARHGAP26</t>
  </si>
  <si>
    <t>Q9UNE7_STUB1</t>
  </si>
  <si>
    <t>Q9UNF0_PACSIN2</t>
  </si>
  <si>
    <t>Q9UNF0-2_PACSIN2</t>
  </si>
  <si>
    <t>Q9UNF1_MAGED2</t>
  </si>
  <si>
    <t>Q9UNH7_SNX6</t>
  </si>
  <si>
    <t>Q9UNI6_DUSP12</t>
  </si>
  <si>
    <t>Q9UNK0_STX8</t>
  </si>
  <si>
    <t>Q9UNL4-3_ING4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</si>
  <si>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</si>
  <si>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</si>
  <si>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</si>
  <si>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</si>
  <si>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</si>
  <si>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</si>
  <si>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</si>
  <si>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Q9UNT1-2_RABL2B</t>
  </si>
  <si>
    <t>Q9UNW1_MINPP1</t>
  </si>
  <si>
    <t>Q9UNX3_RPL26L1</t>
  </si>
  <si>
    <t>Q9UNX4_WDR3</t>
  </si>
  <si>
    <t>Q9UNY4_TTF2</t>
  </si>
  <si>
    <t>Q9UNZ2_NSFL1C</t>
  </si>
  <si>
    <t>Q9UNZ5_C19orf53</t>
  </si>
  <si>
    <t>Q9UP83_COG5</t>
  </si>
  <si>
    <t>Q9UP95-5_SLC12A4</t>
  </si>
  <si>
    <t>Q9UPN6_SCAF8</t>
  </si>
  <si>
    <t>Q9UPN7_PPP6R1</t>
  </si>
  <si>
    <t>Q9UPN9_TRIM33</t>
  </si>
  <si>
    <t>Q9UPN9-2_TRIM33</t>
  </si>
  <si>
    <t>Q9UPQ9-1_TNRC6B</t>
  </si>
  <si>
    <t>Q9UPR0_PLCL2</t>
  </si>
  <si>
    <t>Q9UPR3_SMG5</t>
  </si>
  <si>
    <t>Q9UPT5-1_EXOC7</t>
  </si>
  <si>
    <t>Q9UPT9_USP22</t>
  </si>
  <si>
    <t>Q9UPU5_USP24</t>
  </si>
  <si>
    <t>Q9UPW5_AGTPBP1</t>
  </si>
  <si>
    <t>Q9UPZ3-2_HPS5</t>
  </si>
  <si>
    <t>Q9UQ13-2_SHOC2</t>
  </si>
  <si>
    <t>Q9UQ35_SRRM2</t>
  </si>
  <si>
    <t>Q9UQ80_PA2G4</t>
  </si>
  <si>
    <t>Q9UQ90_SPG7</t>
  </si>
  <si>
    <t>Q9UQB8-3_BAIAP2</t>
  </si>
  <si>
    <t>Q9UQE7_SMC3</t>
  </si>
  <si>
    <t>Q9UQN3_CHMP2B</t>
  </si>
  <si>
    <t>Q9UQP3_TNN</t>
  </si>
  <si>
    <t>Q9UQR0_SCML2</t>
  </si>
  <si>
    <t>Q9UQR1_ZNF148</t>
  </si>
  <si>
    <t>Q9Y217_MTMR6</t>
  </si>
  <si>
    <t>Q9Y221_NIP7</t>
  </si>
  <si>
    <t>Q9Y223-3_GNE</t>
  </si>
  <si>
    <t>Q9Y224_C14orf166</t>
  </si>
  <si>
    <t>Q9Y228_TRAF3IP3</t>
  </si>
  <si>
    <t>Q9Y230_RUVBL2</t>
  </si>
  <si>
    <t>Q9Y232-2_CDYL</t>
  </si>
  <si>
    <t>Q9Y237_PIN4</t>
  </si>
  <si>
    <t>Q9Y244_POMP</t>
  </si>
  <si>
    <t>Q9Y248_GINS2</t>
  </si>
  <si>
    <t>Q9Y259_CHKB</t>
  </si>
  <si>
    <t>Q9Y263_PLAA</t>
  </si>
  <si>
    <t>Q9Y265_RUVBL1</t>
  </si>
  <si>
    <t>Q9Y266_NUDC</t>
  </si>
  <si>
    <t>Q9Y276_BCS1L</t>
  </si>
  <si>
    <t>Q9Y277_VDAC3</t>
  </si>
  <si>
    <t>Q9Y281_CFL2</t>
  </si>
  <si>
    <t>Q9Y287_ITM2B</t>
  </si>
  <si>
    <t>Q9Y289_SLC5A6</t>
  </si>
  <si>
    <t>Q9Y294_ASF1A</t>
  </si>
  <si>
    <t>Q9Y295_DRG1</t>
  </si>
  <si>
    <t>Q9Y296_TRAPPC4</t>
  </si>
  <si>
    <t>Q9Y2B0_CNPY2</t>
  </si>
  <si>
    <t>Q9Y2C2_UST</t>
  </si>
  <si>
    <t>Q9Y2C4_EXOG</t>
  </si>
  <si>
    <t>Q9Y2D4_EXOC6B</t>
  </si>
  <si>
    <t>Q9Y2D5-6_AKAP2</t>
  </si>
  <si>
    <t>Q9Y2G2-4_CARD8</t>
  </si>
  <si>
    <t>Q9Y2G3_ATP11B</t>
  </si>
  <si>
    <t>Q9Y2G5_POFUT2</t>
  </si>
  <si>
    <t>Q9Y2H0-3_DLGAP4</t>
  </si>
  <si>
    <t>Q9Y2H1_STK38L</t>
  </si>
  <si>
    <t>Q9Y2H6-2_FNDC3A</t>
  </si>
  <si>
    <t>Q9Y2I1_NISCH</t>
  </si>
  <si>
    <t>Q9Y2I7_PIKFYVE</t>
  </si>
  <si>
    <t>Q9Y2K6_USP20</t>
  </si>
  <si>
    <t>Q9Y2K7_KDM2A</t>
  </si>
  <si>
    <t>Q9Y2L1_DIS3</t>
  </si>
  <si>
    <t>Q9Y2L9-2_LRCH1</t>
  </si>
  <si>
    <t>Q9Y2P8_RCL1</t>
  </si>
  <si>
    <t>Q9Y2Q0-3_ATP8A1</t>
  </si>
  <si>
    <t>Q9Y2Q3_GSTK1</t>
  </si>
  <si>
    <t>Q9Y2Q5_LAMTOR2</t>
  </si>
  <si>
    <t>Q9Y2Q9_MRPS28</t>
  </si>
  <si>
    <t>Q9Y2R0_COA3</t>
  </si>
  <si>
    <t>Q9Y2R4_DDX52</t>
  </si>
  <si>
    <t>Q9Y2S0_POLR1D</t>
  </si>
  <si>
    <t>Q9Y2S0-2_POLR1D</t>
  </si>
  <si>
    <t>Q9Y2S2-2_CRYL1</t>
  </si>
  <si>
    <t>Q9Y2S6_TMA7</t>
  </si>
  <si>
    <t>Q9Y2S7_POLDIP2</t>
  </si>
  <si>
    <t>Q9Y2T2_AP3M1</t>
  </si>
  <si>
    <t>Q9Y2T7_YBX2</t>
  </si>
  <si>
    <t>Q9Y2U5_MAP3K2</t>
  </si>
  <si>
    <t>Q9Y2U8_LEMD3</t>
  </si>
  <si>
    <t>Q9Y2V2_CARHSP1</t>
  </si>
  <si>
    <t>Q9Y2V7-2_COG6</t>
  </si>
  <si>
    <t>Q9Y2W1_THRAP3</t>
  </si>
  <si>
    <t>Q9Y2X0-2_MED16</t>
  </si>
  <si>
    <t>Q9Y2X3_NOP58</t>
  </si>
  <si>
    <t>Q9Y2X7_GIT1</t>
  </si>
  <si>
    <t>Q9Y2Y1_POLR3K</t>
  </si>
  <si>
    <t>Q9Y2Z0_SUGT1</t>
  </si>
  <si>
    <t>Q9Y2Z0-2_SUGT1</t>
  </si>
  <si>
    <t>Q9Y2Z4_YARS2</t>
  </si>
  <si>
    <t>Q9Y2Z9-3_COQ6</t>
  </si>
  <si>
    <t>Q9Y303_AMDHD2</t>
  </si>
  <si>
    <t>Q9Y314_NOSIP</t>
  </si>
  <si>
    <t>Q9Y315_DERA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</si>
  <si>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</si>
  <si>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</si>
  <si>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</si>
  <si>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</si>
  <si>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</si>
  <si>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</si>
  <si>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</si>
  <si>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Q9Y385_UBE2J1</t>
  </si>
  <si>
    <t>Q9Y388_RBMX2</t>
  </si>
  <si>
    <t>Q9Y394-2_DHRS7</t>
  </si>
  <si>
    <t>Q9Y399_MRPS2</t>
  </si>
  <si>
    <t>Q9Y3A3-3_MOB4</t>
  </si>
  <si>
    <t>Q9Y3A4_RRP7A</t>
  </si>
  <si>
    <t>Q9Y3A5_SBDS</t>
  </si>
  <si>
    <t>Q9Y3A6_TMED5</t>
  </si>
  <si>
    <t>Q9Y3B3_TMED7</t>
  </si>
  <si>
    <t>Q9Y3B4_SF3B14</t>
  </si>
  <si>
    <t>Q9Y3B7-2_MRPL11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</si>
  <si>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</si>
  <si>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</si>
  <si>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</si>
  <si>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</si>
  <si>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</si>
  <si>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</si>
  <si>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</si>
  <si>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</si>
  <si>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Q9Y3D6_FIS1</t>
  </si>
  <si>
    <t>Q9Y3D8_TAF9</t>
  </si>
  <si>
    <t>Q9Y3D9_MRPS23</t>
  </si>
  <si>
    <t>Q9Y3E1_HDGFRP3</t>
  </si>
  <si>
    <t>Q9Y3E2_BOLA1</t>
  </si>
  <si>
    <t>Q9Y3E7-4_CHMP3</t>
  </si>
  <si>
    <t>Q9Y3F4_STRAP</t>
  </si>
  <si>
    <t>Q9Y3I0_C22orf28</t>
  </si>
  <si>
    <t>Q9Y3I1-3_FBXO7</t>
  </si>
  <si>
    <t>Q9Y3L3_SH3BP1</t>
  </si>
  <si>
    <t>Q9Y3L5_RAP2C</t>
  </si>
  <si>
    <t>Q9Y3P8_SIT1</t>
  </si>
  <si>
    <t>Q9Y3P9_RABGAP1</t>
  </si>
  <si>
    <t>Q9Y3Q3_TMED3</t>
  </si>
  <si>
    <t>Q9Y3Q8_TSC22D4</t>
  </si>
  <si>
    <t>Q9Y3R5-2_DOPEY2</t>
  </si>
  <si>
    <t>Q9Y3S2_ZNF330</t>
  </si>
  <si>
    <t>Q9Y3T9_NOC2L</t>
  </si>
  <si>
    <t>Q9Y3U8_RPL36</t>
  </si>
  <si>
    <t>Q9Y3V2-2_RWDD3</t>
  </si>
  <si>
    <t>Q9Y3X0_CCDC9</t>
  </si>
  <si>
    <t>Q9Y3Y2-4_CHTOP</t>
  </si>
  <si>
    <t>Q9Y3Z3-4_SAMHD1</t>
  </si>
  <si>
    <t>Q9Y421_FAM32A</t>
  </si>
  <si>
    <t>Q9Y448_KNSTRN</t>
  </si>
  <si>
    <t>Q9Y450_HBS1L</t>
  </si>
  <si>
    <t>Q9Y450-2_HBS1L</t>
  </si>
  <si>
    <t>Q9Y478_PRKAB1</t>
  </si>
  <si>
    <t>Q9Y487_ATP6V0A2</t>
  </si>
  <si>
    <t>Q9Y490_TLN1</t>
  </si>
  <si>
    <t>Q9Y4B4_RAD54L2</t>
  </si>
  <si>
    <t>Q9Y4B6-2_VPRBP</t>
  </si>
  <si>
    <t>Q9Y4C1_KDM3A</t>
  </si>
  <si>
    <t>Q9Y4C4_MFHAS1</t>
  </si>
  <si>
    <t>Q9Y4D1-2_DAAM1</t>
  </si>
  <si>
    <t>Q9Y4D7-2_PLXND1</t>
  </si>
  <si>
    <t>Q9Y4E1-2_FAM21C</t>
  </si>
  <si>
    <t>Q9Y4E6-2_WDR7</t>
  </si>
  <si>
    <t>Q9Y4G6_TLN2</t>
  </si>
  <si>
    <t>Q9Y4K1_AIM1</t>
  </si>
  <si>
    <t>Q9Y4K3_TRAF6</t>
  </si>
  <si>
    <t>Q9Y4K4_MAP4K5</t>
  </si>
  <si>
    <t>Q9Y4L1_HYOU1</t>
  </si>
  <si>
    <t>Q9Y4P1-6_ATG4B</t>
  </si>
  <si>
    <t>Q9Y4P8-3_WIPI2</t>
  </si>
  <si>
    <t>Q9Y4R8_TELO2</t>
  </si>
  <si>
    <t>Q9Y4W6_AFG3L2</t>
  </si>
  <si>
    <t>Q9Y4X4_KLF12</t>
  </si>
  <si>
    <t>Q9Y4X5_ARIH1</t>
  </si>
  <si>
    <t>Q9Y4Y9_LSM5</t>
  </si>
  <si>
    <t>Q9Y4Z0_LSM4</t>
  </si>
  <si>
    <t>Q9Y508_RNF114</t>
  </si>
  <si>
    <t>Q9Y512_SAMM50</t>
  </si>
  <si>
    <t>Q9Y520-5_PRRC2C</t>
  </si>
  <si>
    <t>Q9Y546_LRRC42</t>
  </si>
  <si>
    <t>Q9Y547_HSPB11</t>
  </si>
  <si>
    <t>Q9Y570_PPME1</t>
  </si>
  <si>
    <t>Q9Y584_TIMM22</t>
  </si>
  <si>
    <t>Q9Y5A6_ZSCAN21</t>
  </si>
  <si>
    <t>Q9Y5A9_YTHDF2</t>
  </si>
  <si>
    <t>Q9Y5B0_CTDP1</t>
  </si>
  <si>
    <t>Q9Y5B6_PAXBP1</t>
  </si>
  <si>
    <t>Q9Y5B8_NME7</t>
  </si>
  <si>
    <t>Q9Y5B9_SUPT16H</t>
  </si>
  <si>
    <t>Q9Y5J1_UTP18</t>
  </si>
  <si>
    <t>Q9Y5J6_TIMM10B</t>
  </si>
  <si>
    <t>Q9Y5J7_TIMM9</t>
  </si>
  <si>
    <t>Q9Y5K5-2_UCHL5</t>
  </si>
  <si>
    <t>Q9Y5K6_CD2AP</t>
  </si>
  <si>
    <t>Q9Y5K8_ATP6V1D</t>
  </si>
  <si>
    <t>Q9Y5L4_TIMM13</t>
  </si>
  <si>
    <t>Q9Y5M8_SRPRB</t>
  </si>
  <si>
    <t>Q9Y5N5_N6AMT1</t>
  </si>
  <si>
    <t>Q9Y5N6_ORC6</t>
  </si>
  <si>
    <t>Q9Y5P4-2_COL4A3BP</t>
  </si>
  <si>
    <t>Q9Y5P6_GMPPB</t>
  </si>
  <si>
    <t>Q9Y5Q9_GTF3C3</t>
  </si>
  <si>
    <t>Q9Y5R8_TRAPPC1</t>
  </si>
  <si>
    <t>Q9Y5S1_TRPV2</t>
  </si>
  <si>
    <t>Q9Y5S9_RBM8A</t>
  </si>
  <si>
    <t>Q9Y5T4_DNAJC15</t>
  </si>
  <si>
    <t>Q9Y5T5-2_USP16</t>
  </si>
  <si>
    <t>Q9Y5U2-2_TSSC4</t>
  </si>
  <si>
    <t>Q9Y5U9_IER3IP1</t>
  </si>
  <si>
    <t>Q9Y5V0_ZNF706</t>
  </si>
  <si>
    <t>Q9Y5V3_MAGED1</t>
  </si>
  <si>
    <t>Q9Y5X1_SNX9</t>
  </si>
  <si>
    <t>Q9Y5X2_SNX8</t>
  </si>
  <si>
    <t>Q9Y5X3_SNX5</t>
  </si>
  <si>
    <t>Q9Y5Y0_FLVCR1</t>
  </si>
  <si>
    <t>Q9Y5Y2_NUBP2</t>
  </si>
  <si>
    <t>Q9Y5Z4_HEBP2</t>
  </si>
  <si>
    <t>Q9Y5Z7_HCFC2</t>
  </si>
  <si>
    <t>Q9Y5Z9-2_UBIAD1</t>
  </si>
  <si>
    <t>Q9Y605_MRFAP1</t>
  </si>
  <si>
    <t>Q9Y608-4_LRRFIP2</t>
  </si>
  <si>
    <t>Q9Y617_PSAT1</t>
  </si>
  <si>
    <t>Q9Y619_SLC25A15</t>
  </si>
  <si>
    <t>Q9Y639-1_NPTN</t>
  </si>
  <si>
    <t>Q9Y657_SPIN1</t>
  </si>
  <si>
    <t>Q9Y664_KPTN</t>
  </si>
  <si>
    <t>Q9Y666_SLC12A7</t>
  </si>
  <si>
    <t>Q9Y673_ALG5</t>
  </si>
  <si>
    <t>Q9Y676_MRPS18B</t>
  </si>
  <si>
    <t>Q9Y678_COPG1</t>
  </si>
  <si>
    <t>Q9Y679-2_AUP1</t>
  </si>
  <si>
    <t>Q9Y680-2_FKBP7</t>
  </si>
  <si>
    <t>Q9Y689-2_ARL5A</t>
  </si>
  <si>
    <t>Q9Y692-2_GMEB1</t>
  </si>
  <si>
    <t>Q9Y696_CLIC4</t>
  </si>
  <si>
    <t>Q9Y697-2_NFS1</t>
  </si>
  <si>
    <t>Q9Y6A4_C16orf80</t>
  </si>
  <si>
    <t>Q9Y6A5_TACC3</t>
  </si>
  <si>
    <t>Q9Y6B6_SAR1B</t>
  </si>
  <si>
    <t>Q9Y6C9_MTCH2</t>
  </si>
  <si>
    <t>Q9Y6D5_ARFGEF2</t>
  </si>
  <si>
    <t>Q9Y6D6_ARFGEF1</t>
  </si>
  <si>
    <t>Q9Y6D9_MAD1L1</t>
  </si>
  <si>
    <t>Q9Y6E0-2_STK24</t>
  </si>
  <si>
    <t>Q9Y6G9_DYNC1LI1</t>
  </si>
  <si>
    <t>Q9Y6H1_CHCHD2</t>
  </si>
  <si>
    <t>Q9Y6H3_XRCC6BP1</t>
  </si>
  <si>
    <t>Q9Y6I3_EPN1</t>
  </si>
  <si>
    <t>Q9Y6I9_TEX264</t>
  </si>
  <si>
    <t>Q9Y6K0_CEPT1</t>
  </si>
  <si>
    <t>Q9Y6K1_DNMT3A</t>
  </si>
  <si>
    <t>Q9Y6K5_OAS3</t>
  </si>
  <si>
    <t>Q9Y6K9_IKBKG</t>
  </si>
  <si>
    <t>Q9Y6M4_CSNK1G3</t>
  </si>
  <si>
    <t>Q9Y6M5_SLC30A1</t>
  </si>
  <si>
    <t>Q9Y6M9_NDUFB9</t>
  </si>
  <si>
    <t>Q9Y6N1_COX11</t>
  </si>
  <si>
    <t>Q9Y6N5_SQRDL</t>
  </si>
  <si>
    <t>Q9Y6Q9-5_NCOA3</t>
  </si>
  <si>
    <t>Q9Y6R0_NUMBL</t>
  </si>
  <si>
    <t>Q9Y6V7_DDX49</t>
  </si>
  <si>
    <t>Q9Y6W3_CAPN7</t>
  </si>
  <si>
    <t>Q9Y6W5_WASF2</t>
  </si>
  <si>
    <t>Q9Y6X4_FAM169A</t>
  </si>
  <si>
    <t>Q9Y6X5_ENPP4</t>
  </si>
  <si>
    <t>Q9Y6X8_ZHX2</t>
  </si>
  <si>
    <t>Q9Y6X9_MORC2</t>
  </si>
  <si>
    <t>Q9Y6Y0_IVNS1ABP</t>
  </si>
  <si>
    <t>R4GMR5_PSMD8</t>
  </si>
  <si>
    <t>R4GMU1_H6PD</t>
  </si>
  <si>
    <t>R4GMX3_BMI1</t>
  </si>
  <si>
    <t>R4GMX8_RANBP10</t>
  </si>
  <si>
    <t>R4GMZ8_FBXO44</t>
  </si>
  <si>
    <t>R4GN55_YTHDF3</t>
  </si>
  <si>
    <t>R4GN89_C16orf74</t>
  </si>
  <si>
    <t>R4GNB2_DENND4C</t>
  </si>
  <si>
    <t>R4GNH3_PSMC3</t>
  </si>
  <si>
    <t>R4GNJ4_TMEM219</t>
  </si>
  <si>
    <t>Melting_Curves/meltCurve_A0AVT1_UBA6.pdf</t>
  </si>
  <si>
    <t>Melting_Curves/meltCurve_A0JNW5_UHRF1BP1L.pdf</t>
  </si>
  <si>
    <t>Melting_Curves/meltCurve_A0MZ66_4_KIAA1598.pdf</t>
  </si>
  <si>
    <t>Melting_Curves/meltCurve_A0PJW6_TMEM223.pdf</t>
  </si>
  <si>
    <t>Melting_Curves/meltCurve_A1A4S6_ARHGAP10.pdf</t>
  </si>
  <si>
    <t>Melting_Curves/meltCurve_A1L0T0_ILVBL.pdf</t>
  </si>
  <si>
    <t>Melting_Curves/meltCurve_A1L188_C17orf89.pdf</t>
  </si>
  <si>
    <t>Melting_Curves/meltCurve_A1X283_SH3PXD2B.pdf</t>
  </si>
  <si>
    <t>Melting_Curves/meltCurve_A2A274_ACO2.pdf</t>
  </si>
  <si>
    <t>Melting_Curves/meltCurve_A2A2D0_STMN1.pdf</t>
  </si>
  <si>
    <t>Melting_Curves/meltCurve_A2A2G4_ALG6.pdf</t>
  </si>
  <si>
    <t>Melting_Curves/meltCurve_A2A2Q9_AAR2.pdf</t>
  </si>
  <si>
    <t>Melting_Curves/meltCurve_A2A2V1_PRNP.pdf</t>
  </si>
  <si>
    <t>Melting_Curves/meltCurve_A2A3N6_PIPSL.pdf</t>
  </si>
  <si>
    <t>Melting_Curves/meltCurve_A2ABK1_NELFE.pdf</t>
  </si>
  <si>
    <t>Melting_Curves/meltCurve_A2RRP1_NBAS.pdf</t>
  </si>
  <si>
    <t>Melting_Curves/meltCurve_A2RU67_KIAA1467.pdf</t>
  </si>
  <si>
    <t>Melting_Curves/meltCurve_A2RUC4_TYW5.pdf</t>
  </si>
  <si>
    <t>Melting_Curves/meltCurve_A2VDF0_2_FUOM.pdf</t>
  </si>
  <si>
    <t>Melting_Curves/meltCurve_A3KMH1_3_VWA8.pdf</t>
  </si>
  <si>
    <t>Melting_Curves/meltCurve_A3KN83_3_SBNO1.pdf</t>
  </si>
  <si>
    <t>Melting_Curves/meltCurve_A4D161_2_FAM221A.pdf</t>
  </si>
  <si>
    <t>Melting_Curves/meltCurve_A4D1E9_GTPBP10.pdf</t>
  </si>
  <si>
    <t>Melting_Curves/meltCurve_A4D1U4_LCHN.pdf</t>
  </si>
  <si>
    <t>Melting_Curves/meltCurve_A4D1W8_UCC1.pdf</t>
  </si>
  <si>
    <t>Melting_Curves/meltCurve_A4D2B0_MBLAC1.pdf</t>
  </si>
  <si>
    <t>Melting_Curves/meltCurve_A5LHX3_PSMB11.pdf</t>
  </si>
  <si>
    <t>Melting_Curves/meltCurve_A5PLL7_TMEM189.pdf</t>
  </si>
  <si>
    <t>Melting_Curves/meltCurve_A5YKK6_CNOT1.pdf</t>
  </si>
  <si>
    <t>Melting_Curves/meltCurve_A6NC98_CCDC88B.pdf</t>
  </si>
  <si>
    <t>Melting_Curves/meltCurve_A6NDG6_PGP.pdf</t>
  </si>
  <si>
    <t>Melting_Curves/meltCurve_A6NDU8_C5orf51.pdf</t>
  </si>
  <si>
    <t>Melting_Curves/meltCurve_A6NED2_RCCD1.pdf</t>
  </si>
  <si>
    <t>Melting_Curves/meltCurve_A6NEM2_HCFC1.pdf</t>
  </si>
  <si>
    <t>Melting_Curves/meltCurve_A6NEM5_PIGK.pdf</t>
  </si>
  <si>
    <t>Melting_Curves/meltCurve_A6NF51_BPNT1.pdf</t>
  </si>
  <si>
    <t>Melting_Curves/meltCurve_A6NFI3_ZNF316.pdf</t>
  </si>
  <si>
    <t>Melting_Curves/meltCurve_A6NFX8_NUDT5.pdf</t>
  </si>
  <si>
    <t>Melting_Curves/meltCurve_A6NG32_CHMP1A.pdf</t>
  </si>
  <si>
    <t>Melting_Curves/meltCurve_A6NG79_PRCC.pdf</t>
  </si>
  <si>
    <t>Melting_Curves/meltCurve_A6NGP5_HN1L.pdf</t>
  </si>
  <si>
    <t>Melting_Curves/meltCurve_A6NHB5_ZMYM3.pdf</t>
  </si>
  <si>
    <t>Melting_Curves/meltCurve_A6NHL2_2_TUBAL3.pdf</t>
  </si>
  <si>
    <t>Melting_Curves/meltCurve_A6NHQ2_FBLL1.pdf</t>
  </si>
  <si>
    <t>Melting_Curves/meltCurve_A6NHR9_SMCHD1.pdf</t>
  </si>
  <si>
    <t>Melting_Curves/meltCurve_A6NHX0_GATSL2.pdf</t>
  </si>
  <si>
    <t>Melting_Curves/meltCurve_A6NIH7_UNC119B.pdf</t>
  </si>
  <si>
    <t>Melting_Curves/meltCurve_A6NIW2_DOCK11.pdf</t>
  </si>
  <si>
    <t>Melting_Curves/meltCurve_A6NIZ0_NDEL1.pdf</t>
  </si>
  <si>
    <t>Melting_Curves/meltCurve_A6NJ78_METTL15.pdf</t>
  </si>
  <si>
    <t>Melting_Curves/meltCurve_A6NJ97_C13orf23.pdf</t>
  </si>
  <si>
    <t>Melting_Curves/meltCurve_A6NK58_LIPT2.pdf</t>
  </si>
  <si>
    <t>Melting_Curves/meltCurve_A6NKD9_CCDC85C.pdf</t>
  </si>
  <si>
    <t>Melting_Curves/meltCurve_A6NKF9_GPR89C.pdf</t>
  </si>
  <si>
    <t>Melting_Curves/meltCurve_A6NLH6_CNIH4.pdf</t>
  </si>
  <si>
    <t>Melting_Curves/meltCurve_A6NMH6_SEPT8.pdf</t>
  </si>
  <si>
    <t>Melting_Curves/meltCurve_A6NML8_DIAPH2.pdf</t>
  </si>
  <si>
    <t>Melting_Curves/meltCurve_A6NMN0_PHKA1.pdf</t>
  </si>
  <si>
    <t>Melting_Curves/meltCurve_A6NMQ1_POLA1.pdf</t>
  </si>
  <si>
    <t>Melting_Curves/meltCurve_A6NMY3_ALMS1.pdf</t>
  </si>
  <si>
    <t>Melting_Curves/meltCurve_A6NN80_ANXA6.pdf</t>
  </si>
  <si>
    <t>Melting_Curves/meltCurve_A6PW57_PIP5K1A.pdf</t>
  </si>
  <si>
    <t>Melting_Curves/meltCurve_A6QL63_BTBD11.pdf</t>
  </si>
  <si>
    <t>Melting_Curves/meltCurve_A8K0B5_ZBTB8OS.pdf</t>
  </si>
  <si>
    <t>Melting_Curves/meltCurve_A8K0M9_SELK.pdf</t>
  </si>
  <si>
    <t>Melting_Curves/meltCurve_A8K186_ZNF276.pdf</t>
  </si>
  <si>
    <t>Melting_Curves/meltCurve_A8MPS7_YDJC.pdf</t>
  </si>
  <si>
    <t>Melting_Curves/meltCurve_A8MQ02_MLLT4.pdf</t>
  </si>
  <si>
    <t>Melting_Curves/meltCurve_A8MQ14_ZNF850.pdf</t>
  </si>
  <si>
    <t>Melting_Curves/meltCurve_A8MT02_SNRPB.pdf</t>
  </si>
  <si>
    <t>Melting_Curves/meltCurve_A8MTG8_ARMC8.pdf</t>
  </si>
  <si>
    <t>Melting_Curves/meltCurve_A8MTY9_DSCR3.pdf</t>
  </si>
  <si>
    <t>Melting_Curves/meltCurve_A8MTZ6_S100PBP.pdf</t>
  </si>
  <si>
    <t>Melting_Curves/meltCurve_A8MUA9_SUMO3.pdf</t>
  </si>
  <si>
    <t>Melting_Curves/meltCurve_A8MUB1_TUBA4A.pdf</t>
  </si>
  <si>
    <t>Melting_Curves/meltCurve_A8MUM1_TSSC1.pdf</t>
  </si>
  <si>
    <t>Melting_Curves/meltCurve_A8MV73_ATF7IP.pdf</t>
  </si>
  <si>
    <t>Melting_Curves/meltCurve_A8MVW0_FAM171A2.pdf</t>
  </si>
  <si>
    <t>Melting_Curves/meltCurve_A8MVZ6_BICD1.pdf</t>
  </si>
  <si>
    <t>Melting_Curves/meltCurve_A8MW61_PLRG1.pdf</t>
  </si>
  <si>
    <t>Melting_Curves/meltCurve_A8MXP9_MATR3.pdf</t>
  </si>
  <si>
    <t>Melting_Curves/meltCurve_A8MYN5_ADH1B.pdf</t>
  </si>
  <si>
    <t>Melting_Curves/meltCurve_A8MZ84_LAIR1.pdf</t>
  </si>
  <si>
    <t>Melting_Curves/meltCurve_A9UHW6_MIF4GD.pdf</t>
  </si>
  <si>
    <t>Melting_Curves/meltCurve_A9Z1X7_SRRM1.pdf</t>
  </si>
  <si>
    <t>Melting_Curves/meltCurve_B0AZU2_KIAA0930.pdf</t>
  </si>
  <si>
    <t>Melting_Curves/meltCurve_B0FLL2_PFKFB2.pdf</t>
  </si>
  <si>
    <t>Melting_Curves/meltCurve_B0I1T2_MYO1G.pdf</t>
  </si>
  <si>
    <t>Melting_Curves/meltCurve_B0QXZ8_HMGXB4.pdf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</si>
  <si>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</si>
  <si>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</si>
  <si>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</si>
  <si>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</si>
  <si>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Melting_Curves/meltCurve_B0UX83_BAG6.pdf</t>
  </si>
  <si>
    <t>Melting_Curves/meltCurve_B0UXB6_ABHD16A.pdf</t>
  </si>
  <si>
    <t>Melting_Curves/meltCurve_B0UZY3_EHMT2.pdf</t>
  </si>
  <si>
    <t>Melting_Curves/meltCurve_B0V043_VARS.pdf</t>
  </si>
  <si>
    <t>Melting_Curves/meltCurve_B0YIW2_APOC3.pdf</t>
  </si>
  <si>
    <t>Melting_Curves/meltCurve_B0YJ81_PTPLA.pdf</t>
  </si>
  <si>
    <t>Melting_Curves/meltCurve_B1AHC6_PHF21B.pdf</t>
  </si>
  <si>
    <t>Melting_Curves/meltCurve_B1AHD1_NHP2L1.pdf</t>
  </si>
  <si>
    <t>Melting_Curves/meltCurve_B1AJU2_TRAF3IP3.pdf</t>
  </si>
  <si>
    <t>Melting_Curves/meltCurve_B1AJY7_PSMD10.pdf</t>
  </si>
  <si>
    <t>Melting_Curves/meltCurve_B1AK13_HMGCL.pdf</t>
  </si>
  <si>
    <t>Melting_Curves/meltCurve_B1AK44_MAD2L2.pdf</t>
  </si>
  <si>
    <t>Melting_Curves/meltCurve_B1AKC9_EPHB2.pdf</t>
  </si>
  <si>
    <t>Melting_Curves/meltCurve_B1AKJ5_NRD1.pdf</t>
  </si>
  <si>
    <t>Melting_Curves/meltCurve_B1AKJ6_OSBPL9.pdf</t>
  </si>
  <si>
    <t>Melting_Curves/meltCurve_B1AKL4_EIF4ENIF1.pdf</t>
  </si>
  <si>
    <t>Melting_Curves/meltCurve_B1AKN7_NFIA.pdf</t>
  </si>
  <si>
    <t>Melting_Curves/meltCurve_B1AKP2_TSPAN2.pdf</t>
  </si>
  <si>
    <t>Melting_Curves/meltCurve_B1AKR6_DYNLRB1.pdf</t>
  </si>
  <si>
    <t>Melting_Curves/meltCurve_B1AKZ5_PEA15.pdf</t>
  </si>
  <si>
    <t>Melting_Curves/meltCurve_B1AL69_CDC37L1.pdf</t>
  </si>
  <si>
    <t>Melting_Curves/meltCurve_B1ALH6_PHYH.pdf</t>
  </si>
  <si>
    <t>Melting_Curves/meltCurve_B1ALK7_ARHGEF7.pdf</t>
  </si>
  <si>
    <t>Melting_Curves/meltCurve_B1ALM5_TMEM9.pdf</t>
  </si>
  <si>
    <t>Melting_Curves/meltCurve_B1AMF0_UBE2J2.pdf</t>
  </si>
  <si>
    <t>Melting_Curves/meltCurve_B1AMS2_SEPT6.pdf</t>
  </si>
  <si>
    <t>Melting_Curves/meltCurve_B1AMU7_EXOSC1.pdf</t>
  </si>
  <si>
    <t>Melting_Curves/meltCurve_B1AMW1_CD58.pdf</t>
  </si>
  <si>
    <t>Melting_Curves/meltCurve_B1AN48_SPRR3.pdf</t>
  </si>
  <si>
    <t>Melting_Curves/meltCurve_B1AN89_EIF4G3.pdf</t>
  </si>
  <si>
    <t>Melting_Curves/meltCurve_B1AN99_PRSS3.pdf</t>
  </si>
  <si>
    <t>Melting_Curves/meltCurve_B1ANH0_GUK1.pdf</t>
  </si>
  <si>
    <t>Melting_Curves/meltCurve_B1AQP1_USF1.pdf</t>
  </si>
  <si>
    <t>Melting_Curves/meltCurve_B1AZV3_TAP1.pdf</t>
  </si>
  <si>
    <t>Melting_Curves/meltCurve_B2WTI3_JMJD6.pdf</t>
  </si>
  <si>
    <t>Melting_Curves/meltCurve_B3FL70_DOCK10_2.pdf</t>
  </si>
  <si>
    <t>Melting_Curves/meltCurve_B3KNQ0_CCDC92.pdf</t>
  </si>
  <si>
    <t>Melting_Curves/meltCurve_B3KPJ4_PHC2.pdf</t>
  </si>
  <si>
    <t>Melting_Curves/meltCurve_B3KRR0_ERCC1.pdf</t>
  </si>
  <si>
    <t>Melting_Curves/meltCurve_B3KS98_EIF3S3.pdf</t>
  </si>
  <si>
    <t>Melting_Curves/meltCurve_B3KSH1_EIF3F.pdf</t>
  </si>
  <si>
    <t>Melting_Curves/meltCurve_B3KSI9_LZTFL1.pdf</t>
  </si>
  <si>
    <t>Melting_Curves/meltCurve_B3KUK2_SOD2.pdf</t>
  </si>
  <si>
    <t>Melting_Curves/meltCurve_B3KUV7_PIGA.pdf</t>
  </si>
  <si>
    <t>Melting_Curves/meltCurve_B3KVH8_PHF23.pdf</t>
  </si>
  <si>
    <t>Melting_Curves/meltCurve_B3KXW5_AP1G1.pdf</t>
  </si>
  <si>
    <t>Melting_Curves/meltCurve_B3KY83_RXRA.pdf</t>
  </si>
  <si>
    <t>Melting_Curves/meltCurve_B3KY94_CDIPT.pdf</t>
  </si>
  <si>
    <t>Melting_Curves/meltCurve_B4DDF4_CNN2.pdf</t>
  </si>
  <si>
    <t>Melting_Curves/meltCurve_B4DDY8_HARS2.pdf</t>
  </si>
  <si>
    <t>Melting_Curves/meltCurve_B4DE60_REEP2.pdf</t>
  </si>
  <si>
    <t>Melting_Curves/meltCurve_B4DEB8_TSPAN7.pdf</t>
  </si>
  <si>
    <t>Melting_Curves/meltCurve_B4DEX5_PRNPIP.pdf</t>
  </si>
  <si>
    <t>Melting_Curves/meltCurve_B4DEZ3_NDUFA13.pdf</t>
  </si>
  <si>
    <t>Melting_Curves/meltCurve_B4DF47_MSTO1.pdf</t>
  </si>
  <si>
    <t>Melting_Curves/meltCurve_B4DF64_HAUS3.pdf</t>
  </si>
  <si>
    <t>Melting_Curves/meltCurve_B4DFI9_HUS1.pdf</t>
  </si>
  <si>
    <t>Melting_Curves/meltCurve_B4DGU4_CTNNB1.pdf</t>
  </si>
  <si>
    <t>Melting_Curves/meltCurve_B4DGX2_PIP4K2A.pdf</t>
  </si>
  <si>
    <t>Melting_Curves/meltCurve_B4DH26_DCUN1D4.pdf</t>
  </si>
  <si>
    <t>Melting_Curves/meltCurve_B4DH53_MAP1S.pdf</t>
  </si>
  <si>
    <t>Melting_Curves/meltCurve_B4DH70_FBXW11.pdf</t>
  </si>
  <si>
    <t>Melting_Curves/meltCurve_B4DHJ7_BNIP3.pdf</t>
  </si>
  <si>
    <t>Melting_Curves/meltCurve_B4DHT5_ACSF2.pdf</t>
  </si>
  <si>
    <t>Melting_Curves/meltCurve_B4DJA5_RAB5A.pdf</t>
  </si>
  <si>
    <t>Melting_Curves/meltCurve_B4DJI5_ISCA1.pdf</t>
  </si>
  <si>
    <t>Melting_Curves/meltCurve_B4DJN2_SLC25A14.pdf</t>
  </si>
  <si>
    <t>Melting_Curves/meltCurve_B4DJN5_PRKCH.pdf</t>
  </si>
  <si>
    <t>Melting_Curves/meltCurve_B4DJP7_SNRPD3.pdf</t>
  </si>
  <si>
    <t>Melting_Curves/meltCurve_B4DJV2_CS.pdf</t>
  </si>
  <si>
    <t>Melting_Curves/meltCurve_B4DJZ1_SLC23A2.pdf</t>
  </si>
  <si>
    <t>Melting_Curves/meltCurve_B4DKF9_ZNF286A.pdf</t>
  </si>
  <si>
    <t>Melting_Curves/meltCurve_B4DL54_CHURC1_FNTB.pdf</t>
  </si>
  <si>
    <t>Melting_Curves/meltCurve_B4DLN1_SLC25A10.pdf</t>
  </si>
  <si>
    <t>Melting_Curves/meltCurve_B4DLT4_RPS6KB1.pdf</t>
  </si>
  <si>
    <t>Melting_Curves/meltCurve_B4DLU3_PGS1.pdf</t>
  </si>
  <si>
    <t>Melting_Curves/meltCurve_B4DLZ9_RNF220.pdf</t>
  </si>
  <si>
    <t>Melting_Curves/meltCurve_B4DMM8_B4GALT1.pdf</t>
  </si>
  <si>
    <t>Melting_Curves/meltCurve_B4DN34_MRPL48.pdf</t>
  </si>
  <si>
    <t>Melting_Curves/meltCurve_B4DNW0_ACY1.pdf</t>
  </si>
  <si>
    <t>Melting_Curves/meltCurve_B4DP21_PTGES3.pdf</t>
  </si>
  <si>
    <t>Melting_Curves/meltCurve_B4DPI2_SARDH.pdf</t>
  </si>
  <si>
    <t>Melting_Curves/meltCurve_B4DPY8_TOX4.pdf</t>
  </si>
  <si>
    <t>Melting_Curves/meltCurve_B4DQE7_HDAC8.pdf</t>
  </si>
  <si>
    <t>Melting_Curves/meltCurve_B4DQI6_TRA2A.pdf</t>
  </si>
  <si>
    <t>Melting_Curves/meltCurve_B4DQJ8_PGD.pdf</t>
  </si>
  <si>
    <t>Melting_Curves/meltCurve_B4DR12_MGRN1.pdf</t>
  </si>
  <si>
    <t>Melting_Curves/meltCurve_B4DR61_SEC61A1.pdf</t>
  </si>
  <si>
    <t>Melting_Curves/meltCurve_B4DRL9_CHM.pdf</t>
  </si>
  <si>
    <t>Melting_Curves/meltCurve_B4DRN8_ZDHHC20.pdf</t>
  </si>
  <si>
    <t>Melting_Curves/meltCurve_B4DS52_TXNDC15.pdf</t>
  </si>
  <si>
    <t>Melting_Curves/meltCurve_B4DSD4_C9orf41.pdf</t>
  </si>
  <si>
    <t>Melting_Curves/meltCurve_B4DSS8_PTBP2.pdf</t>
  </si>
  <si>
    <t>Melting_Curves/meltCurve_B4DT77_ANXA7.pdf</t>
  </si>
  <si>
    <t>Melting_Curves/meltCurve_B4DT96_NUPL2.pdf</t>
  </si>
  <si>
    <t>Melting_Curves/meltCurve_B4DTZ6_SLC9A1.pdf</t>
  </si>
  <si>
    <t>Melting_Curves/meltCurve_B4DUB9_SLC35F2.pdf</t>
  </si>
  <si>
    <t>Melting_Curves/meltCurve_B4DVE7_ANXA11.pdf</t>
  </si>
  <si>
    <t>Melting_Curves/meltCurve_B4DVN5_FHOD1.pdf</t>
  </si>
  <si>
    <t>Melting_Curves/meltCurve_B4DVY1_EIF3D.pdf</t>
  </si>
  <si>
    <t>Melting_Curves/meltCurve_B4DWF2_ZNFN1A2.pdf</t>
  </si>
  <si>
    <t>Melting_Curves/meltCurve_B4DWI1_HACL1.pdf</t>
  </si>
  <si>
    <t>Melting_Curves/meltCurve_B4DXP9_ACTR1A.pdf</t>
  </si>
  <si>
    <t>Melting_Curves/meltCurve_B4DXZ6_FXR1.pdf</t>
  </si>
  <si>
    <t>Melting_Curves/meltCurve_B4DYB4_NUP35.pdf</t>
  </si>
  <si>
    <t>Melting_Curves/meltCurve_B4DZH6_HDAC6.pdf</t>
  </si>
  <si>
    <t>Melting_Curves/meltCurve_B4E0E3_TMEM134.pdf</t>
  </si>
  <si>
    <t>Melting_Curves/meltCurve_B4E0T2_PEX5.pdf</t>
  </si>
  <si>
    <t>Melting_Curves/meltCurve_B4E0T7_LRCH3.pdf</t>
  </si>
  <si>
    <t>Melting_Curves/meltCurve_B4E0Y9_MST4.pdf</t>
  </si>
  <si>
    <t>Melting_Curves/meltCurve_B4E1G1_DERL1.pdf</t>
  </si>
  <si>
    <t>Melting_Curves/meltCurve_B4E1Q4_RIOK3.pdf</t>
  </si>
  <si>
    <t>Melting_Curves/meltCurve_B4E241_SFRS3.pdf</t>
  </si>
  <si>
    <t>Melting_Curves/meltCurve_B4E2S7_LAMP2.pdf</t>
  </si>
  <si>
    <t>Melting_Curves/meltCurve_B4E2V5_STOM.pdf</t>
  </si>
  <si>
    <t>Melting_Curves/meltCurve_B4E2X3_METTL13.pdf</t>
  </si>
  <si>
    <t>Melting_Curves/meltCurve_B4E3Q1_CLSTN1.pdf</t>
  </si>
  <si>
    <t>Melting_Curves/meltCurve_B4E3Q4_CECR1.pdf</t>
  </si>
  <si>
    <t>Melting_Curves/meltCurve_B5MBW9_CHCHD10.pdf</t>
  </si>
  <si>
    <t>Melting_Curves/meltCurve_B5MBX5_LBH.pdf</t>
  </si>
  <si>
    <t>Melting_Curves/meltCurve_B5MC51_LIMK2.pdf</t>
  </si>
  <si>
    <t>Melting_Curves/meltCurve_B5MC53_MPV17.pdf</t>
  </si>
  <si>
    <t>Melting_Curves/meltCurve_B5MCD7_SYNGR1.pdf</t>
  </si>
  <si>
    <t>Melting_Curves/meltCurve_B5MCF9_PES1.pdf</t>
  </si>
  <si>
    <t>Melting_Curves/meltCurve_B5MCN7_NCOA1.pdf</t>
  </si>
  <si>
    <t>Melting_Curves/meltCurve_B5MCT7_PPM1F.pdf</t>
  </si>
  <si>
    <t>Melting_Curves/meltCurve_B5MCT9_STXBP4.pdf</t>
  </si>
  <si>
    <t>Melting_Curves/meltCurve_B5MD23_TSPAN9.pdf</t>
  </si>
  <si>
    <t>Melting_Curves/meltCurve_B5MDB6_NLRC3.pdf</t>
  </si>
  <si>
    <t>Melting_Curves/meltCurve_B5MDE0_RFT1.pdf</t>
  </si>
  <si>
    <t>Melting_Curves/meltCurve_B5MDU6_C2orf43.pdf</t>
  </si>
  <si>
    <t>Melting_Curves/meltCurve_B7WNT5_TCF7.pdf</t>
  </si>
  <si>
    <t>Melting_Curves/meltCurve_B7WP27_CWC22.pdf</t>
  </si>
  <si>
    <t>Melting_Curves/meltCurve_B7WPE2_EML3.pdf</t>
  </si>
  <si>
    <t>Melting_Curves/meltCurve_B7Z1R5_ATP6V1A.pdf</t>
  </si>
  <si>
    <t>Melting_Curves/meltCurve_B7Z254_PDIA6.pdf</t>
  </si>
  <si>
    <t>Melting_Curves/meltCurve_B7Z2B2_MFSD8.pdf</t>
  </si>
  <si>
    <t>Melting_Curves/meltCurve_B7Z2S5_TXNRD1.pdf</t>
  </si>
  <si>
    <t>Melting_Curves/meltCurve_B7Z3I9_ALAD.pdf</t>
  </si>
  <si>
    <t>Melting_Curves/meltCurve_B7Z3K1_TMEM128.pdf</t>
  </si>
  <si>
    <t>Melting_Curves/meltCurve_B7Z3P1_TBCE.pdf</t>
  </si>
  <si>
    <t>Melting_Curves/meltCurve_B7Z3P4_FMO1.pdf</t>
  </si>
  <si>
    <t>Melting_Curves/meltCurve_B7Z463_NPEPPS.pdf</t>
  </si>
  <si>
    <t>Melting_Curves/meltCurve_B7Z4K6_DNASE2.pdf</t>
  </si>
  <si>
    <t>Melting_Curves/meltCurve_B7Z4R0_ERF.pdf</t>
  </si>
  <si>
    <t>Melting_Curves/meltCurve_B7Z4R5_P2RX4.pdf</t>
  </si>
  <si>
    <t>Melting_Curves/meltCurve_B7Z4T2_ACPL2.pdf</t>
  </si>
  <si>
    <t>Melting_Curves/meltCurve_B7Z4V9_INPP5K.pdf</t>
  </si>
  <si>
    <t>Melting_Curves/meltCurve_B7Z4W5_CCBL1.pdf</t>
  </si>
  <si>
    <t>Melting_Curves/meltCurve_B7Z5G4_STMN3.pdf</t>
  </si>
  <si>
    <t>Melting_Curves/meltCurve_B7Z5W1_F11R.pdf</t>
  </si>
  <si>
    <t>Melting_Curves/meltCurve_B7Z662_SLC27A1.pdf</t>
  </si>
  <si>
    <t>Melting_Curves/meltCurve_B7Z6B8_DECR1.pdf</t>
  </si>
  <si>
    <t>Melting_Curves/meltCurve_B7Z6M4_TNFAIP1.pdf</t>
  </si>
  <si>
    <t>Melting_Curves/meltCurve_B7Z779_TMEM106A.pdf</t>
  </si>
  <si>
    <t>Melting_Curves/meltCurve_B7Z798_ZNF558.pdf</t>
  </si>
  <si>
    <t>Melting_Curves/meltCurve_B7Z7G5_TRUB2.pdf</t>
  </si>
  <si>
    <t>Melting_Curves/meltCurve_B7Z7H3_ZKSCAN4.pdf</t>
  </si>
  <si>
    <t>Melting_Curves/meltCurve_B7Z7X8_ATL2.pdf</t>
  </si>
  <si>
    <t>Melting_Curves/meltCurve_B7Z815_USP7.pdf</t>
  </si>
  <si>
    <t>Melting_Curves/meltCurve_B7Z817_DHCR24.pdf</t>
  </si>
  <si>
    <t>Melting_Curves/meltCurve_B7Z902_EMB.pdf</t>
  </si>
  <si>
    <t>Melting_Curves/meltCurve_B7Z9I3_ATP6AP2.pdf</t>
  </si>
  <si>
    <t>Melting_Curves/meltCurve_B7Z9S8_ATP1B1.pdf</t>
  </si>
  <si>
    <t>Melting_Curves/meltCurve_B7ZAA0_PMS1.pdf</t>
  </si>
  <si>
    <t>Melting_Curves/meltCurve_B7ZC38_SH3GLB2.pdf</t>
  </si>
  <si>
    <t>Melting_Curves/meltCurve_B7ZKK9_PPP2R5E.pdf</t>
  </si>
  <si>
    <t>Melting_Curves/meltCurve_B7ZKP8_UBXN2A.pdf</t>
  </si>
  <si>
    <t>Melting_Curves/meltCurve_B7ZKQ9_SCARB1.pdf</t>
  </si>
  <si>
    <t>Melting_Curves/meltCurve_B7ZL88_COX18.pdf</t>
  </si>
  <si>
    <t>Melting_Curves/meltCurve_B7ZLM8_GCHFR.pdf</t>
  </si>
  <si>
    <t>Melting_Curves/meltCurve_B7ZLZ0_GMIP.pdf</t>
  </si>
  <si>
    <t>Melting_Curves/meltCurve_B7ZLZ2_EDEM3.pdf</t>
  </si>
  <si>
    <t>Melting_Curves/meltCurve_B8X2Z3_RLTPR.pdf</t>
  </si>
  <si>
    <t>Melting_Curves/meltCurve_B8ZZI7_CATSPERG.pdf</t>
  </si>
  <si>
    <t>Melting_Curves/meltCurve_B8ZZN6_SUMO1.pdf</t>
  </si>
  <si>
    <t>Melting_Curves/meltCurve_B8ZZQ6_PTMA.pdf</t>
  </si>
  <si>
    <t>Melting_Curves/meltCurve_B8ZZU6_ATF2.pdf</t>
  </si>
  <si>
    <t>Melting_Curves/meltCurve_B8ZZV9_COQ10B.pdf</t>
  </si>
  <si>
    <t>Melting_Curves/meltCurve_B9A008_IMP4.pdf</t>
  </si>
  <si>
    <t>Melting_Curves/meltCurve_B9A018_USP39.pdf</t>
  </si>
  <si>
    <t>Melting_Curves/meltCurve_B9A054_RHBDD1.pdf</t>
  </si>
  <si>
    <t>Melting_Curves/meltCurve_B9A057_COA5.pdf</t>
  </si>
  <si>
    <t>Melting_Curves/meltCurve_B9EGH5_PLCB2.pdf</t>
  </si>
  <si>
    <t>Melting_Curves/meltCurve_C0H5X6_PEX7.pdf</t>
  </si>
  <si>
    <t>Melting_Curves/meltCurve_C0H5Y7_BAK1.pdf</t>
  </si>
  <si>
    <t>Melting_Curves/meltCurve_C1IDX9_ATG12.pdf</t>
  </si>
  <si>
    <t>Melting_Curves/meltCurve_C4AMC7_WASH3P.pdf</t>
  </si>
  <si>
    <t>Melting_Curves/meltCurve_C7C5T7_LAT.pdf</t>
  </si>
  <si>
    <t>Melting_Curves/meltCurve_C9IZW8_NDUFB2.pdf</t>
  </si>
  <si>
    <t>Melting_Curves/meltCurve_C9J0I9_ZC3HC1.pdf</t>
  </si>
  <si>
    <t>Melting_Curves/meltCurve_C9J0J7_PFN2.pdf</t>
  </si>
  <si>
    <t>Melting_Curves/meltCurve_C9J0K6_SRI.pdf</t>
  </si>
  <si>
    <t>Melting_Curves/meltCurve_C9J191_KLHL22.pdf</t>
  </si>
  <si>
    <t>Melting_Curves/meltCurve_C9J1K8_MEGF9.pdf</t>
  </si>
  <si>
    <t>Melting_Curves/meltCurve_C9J1X0_WDR91.pdf</t>
  </si>
  <si>
    <t>Melting_Curves/meltCurve_C9J212_UBE2F.pdf</t>
  </si>
  <si>
    <t>Melting_Curves/meltCurve_C9J2P0_UBE2E1.pdf</t>
  </si>
  <si>
    <t>Melting_Curves/meltCurve_C9J2P9_CBLL1.pdf</t>
  </si>
  <si>
    <t>Melting_Curves/meltCurve_C9J2U4_TAMM41.pdf</t>
  </si>
  <si>
    <t>Melting_Curves/meltCurve_C9J2Y9_POLR2B.pdf</t>
  </si>
  <si>
    <t>Melting_Curves/meltCurve_C9J381_IMPDH1.pdf</t>
  </si>
  <si>
    <t>Melting_Curves/meltCurve_C9J384_CMSS1.pdf</t>
  </si>
  <si>
    <t>Melting_Curves/meltCurve_C9J3D7_CROT.pdf</t>
  </si>
  <si>
    <t>Melting_Curves/meltCurve_C9J3G2_CBWD2.pdf</t>
  </si>
  <si>
    <t>Melting_Curves/meltCurve_C9J4S7_SLC37A3.pdf</t>
  </si>
  <si>
    <t>Melting_Curves/meltCurve_C9J5C3_PDCD10.pdf</t>
  </si>
  <si>
    <t>Melting_Curves/meltCurve_C9J5W6_TAGLN3.pdf</t>
  </si>
  <si>
    <t>Melting_Curves/meltCurve_C9J6N5_FAM107B.pdf</t>
  </si>
  <si>
    <t>Melting_Curves/meltCurve_C9J6N9_UFD1L.pdf</t>
  </si>
  <si>
    <t>Melting_Curves/meltCurve_C9J6W2_KIF20B.pdf</t>
  </si>
  <si>
    <t>Melting_Curves/meltCurve_C9J712_PFN2.pdf</t>
  </si>
  <si>
    <t>Melting_Curves/meltCurve_C9J7E5_TNPO3.pdf</t>
  </si>
  <si>
    <t>Melting_Curves/meltCurve_C9J7K9_PLSCR1.pdf</t>
  </si>
  <si>
    <t>Melting_Curves/meltCurve_C9J8B8_HDAC10.pdf</t>
  </si>
  <si>
    <t>Melting_Curves/meltCurve_C9J929_PHF15.pdf</t>
  </si>
  <si>
    <t>Melting_Curves/meltCurve_C9J975_AGAP3.pdf</t>
  </si>
  <si>
    <t>Melting_Curves/meltCurve_C9J9K3_RPSA.pdf</t>
  </si>
  <si>
    <t>Melting_Curves/meltCurve_C9JA07_COA1.pdf</t>
  </si>
  <si>
    <t>Melting_Curves/meltCurve_C9JA08_NMD3.pdf</t>
  </si>
  <si>
    <t>Melting_Curves/meltCurve_C9JA28_SSR3.pdf</t>
  </si>
  <si>
    <t>Melting_Curves/meltCurve_C9JAB2_SRSF7.pdf</t>
  </si>
  <si>
    <t>Melting_Curves/meltCurve_C9JAX1_FXN.pdf</t>
  </si>
  <si>
    <t>Melting_Curves/meltCurve_C9JB13_BSDC1.pdf</t>
  </si>
  <si>
    <t>Melting_Curves/meltCurve_C9JBL1_SPCS1.pdf</t>
  </si>
  <si>
    <t>Melting_Curves/meltCurve_C9JBY7_MRPS33.pdf</t>
  </si>
  <si>
    <t>Melting_Curves/meltCurve_C9JCC6_DRAP1.pdf</t>
  </si>
  <si>
    <t>Melting_Curves/meltCurve_C9JCU6_MAP4K2.pdf</t>
  </si>
  <si>
    <t>Melting_Curves/meltCurve_C9JDZ2_FAIM.pdf</t>
  </si>
  <si>
    <t>Melting_Curves/meltCurve_C9JE12_TMUB1.pdf</t>
  </si>
  <si>
    <t>Melting_Curves/meltCurve_C9JE82_CACNA2D2.pdf</t>
  </si>
  <si>
    <t>Melting_Curves/meltCurve_C9JE98_NCOR2.pdf</t>
  </si>
  <si>
    <t>Melting_Curves/meltCurve_C9JEH7_RPS4Y1.pdf</t>
  </si>
  <si>
    <t>Melting_Curves/meltCurve_C9JEL3_EIF4E2.pdf</t>
  </si>
  <si>
    <t>Melting_Curves/meltCurve_C9JF58_OSCP1.pdf</t>
  </si>
  <si>
    <t>Melting_Curves/meltCurve_C9JF66_TRAT1.pdf</t>
  </si>
  <si>
    <t>Melting_Curves/meltCurve_C9JFE4_GPS1.pdf</t>
  </si>
  <si>
    <t>Melting_Curves/meltCurve_C9JFR7_CYCS.pdf</t>
  </si>
  <si>
    <t>Melting_Curves/meltCurve_C9JG41_ITM2C.pdf</t>
  </si>
  <si>
    <t>Melting_Curves/meltCurve_C9JG97_AAMP.pdf</t>
  </si>
  <si>
    <t>Melting_Curves/meltCurve_C9JIF9_APEH.pdf</t>
  </si>
  <si>
    <t>Melting_Curves/meltCurve_C9JIZ6_PSAP.pdf</t>
  </si>
  <si>
    <t>Melting_Curves/meltCurve_C9JJ19_MRPS34.pdf</t>
  </si>
  <si>
    <t>Melting_Curves/meltCurve_C9JJN9_VPS8.pdf</t>
  </si>
  <si>
    <t>Melting_Curves/meltCurve_C9JJU1_SLC38A5.pdf</t>
  </si>
  <si>
    <t>Melting_Curves/meltCurve_C9JLU1_POLR2H.pdf</t>
  </si>
  <si>
    <t>Melting_Curves/meltCurve_C9JLV4_APAF1.pdf</t>
  </si>
  <si>
    <t>Melting_Curves/meltCurve_C9JNE2_OARD1.pdf</t>
  </si>
  <si>
    <t>Melting_Curves/meltCurve_C9JP00_MBNL1.pdf</t>
  </si>
  <si>
    <t>Melting_Curves/meltCurve_C9JP16_CRTAP.pdf</t>
  </si>
  <si>
    <t>Melting_Curves/meltCurve_C9JPL0_CCNL1.pdf</t>
  </si>
  <si>
    <t>Melting_Curves/meltCurve_C9JPP2_NKIRAS2.pdf</t>
  </si>
  <si>
    <t>Melting_Curves/meltCurve_C9JPX5_STARD3NL.pdf</t>
  </si>
  <si>
    <t>Melting_Curves/meltCurve_C9JQ41_CCDC58.pdf</t>
  </si>
  <si>
    <t>Melting_Curves/meltCurve_C9JQV0_C7orf50.pdf</t>
  </si>
  <si>
    <t>Melting_Curves/meltCurve_C9JRY4_SEC22A.pdf</t>
  </si>
  <si>
    <t>Melting_Curves/meltCurve_C9JRZ6_CHCHD3.pdf</t>
  </si>
  <si>
    <t>Melting_Curves/meltCurve_C9JRZ8_2_AKR1B15.pdf</t>
  </si>
  <si>
    <t>Melting_Curves/meltCurve_C9JTB0_IKZF1.pdf</t>
  </si>
  <si>
    <t>Melting_Curves/meltCurve_C9JTC0_DGKB.pdf</t>
  </si>
  <si>
    <t>Melting_Curves/meltCurve_C9JVP0_FOXJ3.pdf</t>
  </si>
  <si>
    <t>Melting_Curves/meltCurve_C9JXA2_EPHA3.pdf</t>
  </si>
  <si>
    <t>Melting_Curves/meltCurve_C9JXB8_RPL24.pdf</t>
  </si>
  <si>
    <t>Melting_Curves/meltCurve_C9JXX7_ITGA6.pdf</t>
  </si>
  <si>
    <t>Melting_Curves/meltCurve_C9JY06_NUDT22.pdf</t>
  </si>
  <si>
    <t>Melting_Curves/meltCurve_C9JYJ0_RAD51B.pdf</t>
  </si>
  <si>
    <t>Melting_Curves/meltCurve_C9JYM0_POP7.pdf</t>
  </si>
  <si>
    <t>Melting_Curves/meltCurve_C9JYN0_SYPL1.pdf</t>
  </si>
  <si>
    <t>Melting_Curves/meltCurve_C9JYQ9_RPL22L1.pdf</t>
  </si>
  <si>
    <t>Melting_Curves/meltCurve_C9JZR4_ARFGAP3.pdf</t>
  </si>
  <si>
    <t>Melting_Curves/meltCurve_C9JZR7_ACTB.pdf</t>
  </si>
  <si>
    <t>Melting_Curves/meltCurve_C9JZY6_UBE2H.pdf</t>
  </si>
  <si>
    <t>Melting_Curves/meltCurve_C9K044_XAF1.pdf</t>
  </si>
  <si>
    <t>Melting_Curves/meltCurve_C9K0X5_SNUPN.pdf</t>
  </si>
  <si>
    <t>Melting_Curves/meltCurve_D0FY33_BTN3A3.pdf</t>
  </si>
  <si>
    <t>Melting_Curves/meltCurve_D3DPN2_SDC3.pdf</t>
  </si>
  <si>
    <t>Melting_Curves/meltCurve_D3DQV9_EIF4G2.pdf</t>
  </si>
  <si>
    <t>Melting_Curves/meltCurve_D3DWF9_XPO6.pdf</t>
  </si>
  <si>
    <t>Melting_Curves/meltCurve_D3K174_SLC4A7.pdf</t>
  </si>
  <si>
    <t>Melting_Curves/meltCurve_D3YHP0_CXADR.pdf</t>
  </si>
  <si>
    <t>Melting_Curves/meltCurve_D3YTB1_RPL32.pdf</t>
  </si>
  <si>
    <t>Melting_Curves/meltCurve_D3YTE0_KRI1.pdf</t>
  </si>
  <si>
    <t>Melting_Curves/meltCurve_D3YTE1_PHF20L1.pdf</t>
  </si>
  <si>
    <t>Melting_Curves/meltCurve_D3YTG6_NDOR1.pdf</t>
  </si>
  <si>
    <t>Melting_Curves/meltCurve_D3YTI9_TAPBP.pdf</t>
  </si>
  <si>
    <t>Melting_Curves/meltCurve_D6R992_RELB.pdf</t>
  </si>
  <si>
    <t>Melting_Curves/meltCurve_D6R9P3_HNRNPAB.pdf</t>
  </si>
  <si>
    <t>Melting_Curves/meltCurve_D6R9U7_POLR3G.pdf</t>
  </si>
  <si>
    <t>Melting_Curves/meltCurve_D6R9Z7_COX7C.pdf</t>
  </si>
  <si>
    <t>Melting_Curves/meltCurve_D6RA89_PEX10.pdf</t>
  </si>
  <si>
    <t>Melting_Curves/meltCurve_D6RAD4_CDK7.pdf</t>
  </si>
  <si>
    <t>Melting_Curves/meltCurve_D6RAR3_TMEM161B.pdf</t>
  </si>
  <si>
    <t>Melting_Curves/meltCurve_D6RAT4_CNBP.pdf</t>
  </si>
  <si>
    <t>Melting_Curves/meltCurve_D6RB34_IRF2.pdf</t>
  </si>
  <si>
    <t>Melting_Curves/meltCurve_D6RB81_AMACR.pdf</t>
  </si>
  <si>
    <t>Melting_Curves/meltCurve_D6RBW1_EIF4E.pdf</t>
  </si>
  <si>
    <t>Melting_Curves/meltCurve_D6RCD0_HSD17B11.pdf</t>
  </si>
  <si>
    <t>Melting_Curves/meltCurve_D6RCD9_TMEM175.pdf</t>
  </si>
  <si>
    <t>Melting_Curves/meltCurve_D6RCM8_TNFAIP8.pdf</t>
  </si>
  <si>
    <t>Melting_Curves/meltCurve_D6RD17_IGJ.pdf</t>
  </si>
  <si>
    <t>Melting_Curves/meltCurve_D6RD25_PRELID1.pdf</t>
  </si>
  <si>
    <t>Melting_Curves/meltCurve_D6RDV0_TUSC3.pdf</t>
  </si>
  <si>
    <t>Melting_Curves/meltCurve_D6RDY9_SLC35B1.pdf</t>
  </si>
  <si>
    <t>Melting_Curves/meltCurve_D6REA0_PET112.pdf</t>
  </si>
  <si>
    <t>Melting_Curves/meltCurve_D6REB5_IDUA.pdf</t>
  </si>
  <si>
    <t>Melting_Curves/meltCurve_D6REL0_CDC42SE2.pdf</t>
  </si>
  <si>
    <t>Melting_Curves/meltCurve_D6REL5_FAM175A.pdf</t>
  </si>
  <si>
    <t>Melting_Curves/meltCurve_D6REM4_CSNK1A1.pdf</t>
  </si>
  <si>
    <t>Melting_Curves/meltCurve_D6REX3_SEC31A.pdf</t>
  </si>
  <si>
    <t>Melting_Curves/meltCurve_D6RF48_STX18.pdf</t>
  </si>
  <si>
    <t>Melting_Curves/meltCurve_D6RFG8_DCK.pdf</t>
  </si>
  <si>
    <t>Melting_Curves/meltCurve_D6RGI3_SEPT11.pdf</t>
  </si>
  <si>
    <t>Melting_Curves/meltCurve_D6RH17_ADH6.pdf</t>
  </si>
  <si>
    <t>Melting_Curves/meltCurve_D6RHD3_CENPK.pdf</t>
  </si>
  <si>
    <t>Melting_Curves/meltCurve_D6RHG7_SERINC5.pdf</t>
  </si>
  <si>
    <t>Melting_Curves/meltCurve_D6RHI7_CCNH.pdf</t>
  </si>
  <si>
    <t>Melting_Curves/meltCurve_D6RHI9_RNASET2.pdf</t>
  </si>
  <si>
    <t>Melting_Curves/meltCurve_D6RI11_CPLX1.pdf</t>
  </si>
  <si>
    <t>Melting_Curves/meltCurve_D6RIE3_COX7A2.pdf</t>
  </si>
  <si>
    <t>Melting_Curves/meltCurve_D6RIE5_RNF150.pdf</t>
  </si>
  <si>
    <t>Melting_Curves/meltCurve_D6RIF6_SLAIN2.pdf</t>
  </si>
  <si>
    <t>Melting_Curves/meltCurve_D6RJ07_ZNF346.pdf</t>
  </si>
  <si>
    <t>Melting_Curves/meltCurve_D6RJ90_COMMD10.pdf</t>
  </si>
  <si>
    <t>Melting_Curves/meltCurve_D6W592_HNRPLL.pdf</t>
  </si>
  <si>
    <t>Melting_Curves/meltCurve_E2QRF9_GMNN.pdf</t>
  </si>
  <si>
    <t>Melting_Curves/meltCurve_E2QRH7_ELOVL5.pdf</t>
  </si>
  <si>
    <t>Melting_Curves/meltCurve_E5RFE7_CA1.pdf</t>
  </si>
  <si>
    <t>Melting_Curves/meltCurve_E5RFJ1_NSMCE2.pdf</t>
  </si>
  <si>
    <t>Melting_Curves/meltCurve_E5RFU2_EPHX2.pdf</t>
  </si>
  <si>
    <t>Melting_Curves/meltCurve_E5RFX7_PROSC.pdf</t>
  </si>
  <si>
    <t>Melting_Curves/meltCurve_E5RG04_.pdf</t>
  </si>
  <si>
    <t>Melting_Curves/meltCurve_E5RG17_TATDN1.pdf</t>
  </si>
  <si>
    <t>Melting_Curves/meltCurve_E5RG44_TRIQK.pdf</t>
  </si>
  <si>
    <t>Melting_Curves/meltCurve_E5RGQ3_RWDD1.pdf</t>
  </si>
  <si>
    <t>Melting_Curves/meltCurve_E5RGW4_NPM1.pdf</t>
  </si>
  <si>
    <t>Melting_Curves/meltCurve_E5RGX5_STMN2.pdf</t>
  </si>
  <si>
    <t>Melting_Curves/meltCurve_E5RHC1_PPP2CB.pdf</t>
  </si>
  <si>
    <t>Melting_Curves/meltCurve_E5RHG8_TCEB1.pdf</t>
  </si>
  <si>
    <t>Melting_Curves/meltCurve_E5RHG9_UQCRB.pdf</t>
  </si>
  <si>
    <t>Melting_Curves/meltCurve_E5RI52_C5orf45.pdf</t>
  </si>
  <si>
    <t>Melting_Curves/meltCurve_E5RI87_RNF130.pdf</t>
  </si>
  <si>
    <t>Melting_Curves/meltCurve_E5RIH5_TTI2.pdf</t>
  </si>
  <si>
    <t>Melting_Curves/meltCurve_E5RIP7_IMPA1.pdf</t>
  </si>
  <si>
    <t>Melting_Curves/meltCurve_E5RIY0_TMEM55A.pdf</t>
  </si>
  <si>
    <t>Melting_Curves/meltCurve_E5RJ08_CHCHD7.pdf</t>
  </si>
  <si>
    <t>Melting_Curves/meltCurve_E5RJ99_ZFAND1.pdf</t>
  </si>
  <si>
    <t>Melting_Curves/meltCurve_E5RJI7_MRPL13.pdf</t>
  </si>
  <si>
    <t>Melting_Curves/meltCurve_E5RJJ7_LY96.pdf</t>
  </si>
  <si>
    <t>Melting_Curves/meltCurve_E5RJR5_SKP1.pdf</t>
  </si>
  <si>
    <t>Melting_Curves/meltCurve_E5RK82_CETN3.pdf</t>
  </si>
  <si>
    <t>Melting_Curves/meltCurve_E7EM50_PIGG.pdf</t>
  </si>
  <si>
    <t>Melting_Curves/meltCurve_E7EM64_COPS6.pdf</t>
  </si>
  <si>
    <t>Melting_Curves/meltCurve_E7EM95_RNF5.pdf</t>
  </si>
  <si>
    <t>Melting_Curves/meltCurve_E7EMA9_ATHL1.pdf</t>
  </si>
  <si>
    <t>Melting_Curves/meltCurve_E7EMD6_AKAP10.pdf</t>
  </si>
  <si>
    <t>Melting_Curves/meltCurve_E7EMM4_ASAH1.pdf</t>
  </si>
  <si>
    <t>Melting_Curves/meltCurve_E7EMN6_PPP1R2.pdf</t>
  </si>
  <si>
    <t>Melting_Curves/meltCurve_E7EMV7_TNIP1.pdf</t>
  </si>
  <si>
    <t>Melting_Curves/meltCurve_E7EN19_MAP4K4.pdf</t>
  </si>
  <si>
    <t>Melting_Curves/meltCurve_E7EN67_COCH.pdf</t>
  </si>
  <si>
    <t>Melting_Curves/meltCurve_E7EN73_KIAA0319L.pdf</t>
  </si>
  <si>
    <t>Melting_Curves/meltCurve_E7ENA9_NCSTN.pdf</t>
  </si>
  <si>
    <t>Melting_Curves/meltCurve_E7ENK0_CALCOCO2.pdf</t>
  </si>
  <si>
    <t>Melting_Curves/meltCurve_E7ENR4_HK1.pdf</t>
  </si>
  <si>
    <t>Melting_Curves/meltCurve_E7ENU4_ADAR.pdf</t>
  </si>
  <si>
    <t>Melting_Curves/meltCurve_E7ENW2_CBLB.pdf</t>
  </si>
  <si>
    <t>Melting_Curves/meltCurve_E7ENX6_LRFN4.pdf</t>
  </si>
  <si>
    <t>Melting_Curves/meltCurve_E7EP17_DNAH9.pdf</t>
  </si>
  <si>
    <t>Melting_Curves/meltCurve_E7EP72_C19orf25.pdf</t>
  </si>
  <si>
    <t>Melting_Curves/meltCurve_E7EPB3_RPL14.pdf</t>
  </si>
  <si>
    <t>Melting_Curves/meltCurve_E7EPD0_TOM1.pdf</t>
  </si>
  <si>
    <t>Melting_Curves/meltCurve_E7EPF0_ZCCHC17.pdf</t>
  </si>
  <si>
    <t>Melting_Curves/meltCurve_E7EPL4_PDXDC1.pdf</t>
  </si>
  <si>
    <t>Melting_Curves/meltCurve_E7EPT4_NDUFV2.pdf</t>
  </si>
  <si>
    <t>Melting_Curves/meltCurve_E7EQ45_AP5M1.pdf</t>
  </si>
  <si>
    <t>Melting_Curves/meltCurve_E7EQ69_NAA50.pdf</t>
  </si>
  <si>
    <t>Melting_Curves/meltCurve_E7EQB2_LTF.pdf</t>
  </si>
  <si>
    <t>Melting_Curves/meltCurve_E7EQH1_BBS1.pdf</t>
  </si>
  <si>
    <t>Melting_Curves/meltCurve_E7EQL8_TUBGCP6.pdf</t>
  </si>
  <si>
    <t>Melting_Curves/meltCurve_E7EQN6_SENP6.pdf</t>
  </si>
  <si>
    <t>Melting_Curves/meltCurve_E7EQR8_YIPF3.pdf</t>
  </si>
  <si>
    <t>Melting_Curves/meltCurve_E7EQT4_ACIN1.pdf</t>
  </si>
  <si>
    <t>Melting_Curves/meltCurve_E7EQV9_RPL15.pdf</t>
  </si>
  <si>
    <t>Melting_Curves/meltCurve_E7EQY4_MTA3.pdf</t>
  </si>
  <si>
    <t>Melting_Curves/meltCurve_E7EQZ4_SMN1.pdf</t>
  </si>
  <si>
    <t>Melting_Curves/meltCurve_E7ER81_FAM193B.pdf</t>
  </si>
  <si>
    <t>Melting_Curves/meltCurve_E7ERC6_ATP2C1.pdf</t>
  </si>
  <si>
    <t>Melting_Curves/meltCurve_E7ERR0_KLHDC3.pdf</t>
  </si>
  <si>
    <t>Melting_Curves/meltCurve_E7ERS3_ZC3H18.pdf</t>
  </si>
  <si>
    <t>Melting_Curves/meltCurve_E7ERU0_DST.pdf</t>
  </si>
  <si>
    <t>Melting_Curves/meltCurve_E7ES43_HSPA4L.pdf</t>
  </si>
  <si>
    <t>Melting_Curves/meltCurve_E7ESC9_WDR17.pdf</t>
  </si>
  <si>
    <t>Melting_Curves/meltCurve_E7ESL0_MRPL22.pdf</t>
  </si>
  <si>
    <t>Melting_Curves/meltCurve_E7ESM9_CAST.pdf</t>
  </si>
  <si>
    <t>Melting_Curves/meltCurve_E7ESU6_SLC38A9.pdf</t>
  </si>
  <si>
    <t>Melting_Curves/meltCurve_E7ESU7_CTBP1.pdf</t>
  </si>
  <si>
    <t>Melting_Curves/meltCurve_E7ESZ7_NDUFA10.pdf</t>
  </si>
  <si>
    <t>Melting_Curves/meltCurve_E7ET15_U2SURP.pdf</t>
  </si>
  <si>
    <t>Melting_Curves/meltCurve_E7ET31_CD1E.pdf</t>
  </si>
  <si>
    <t>Melting_Curves/meltCurve_E7ETB3_DNPEP.pdf</t>
  </si>
  <si>
    <t>Melting_Curves/meltCurve_E7ETK0_RPS24.pdf</t>
  </si>
  <si>
    <t>Melting_Curves/meltCurve_E7ETM6_SYS1.pdf</t>
  </si>
  <si>
    <t>Melting_Curves/meltCurve_E7ETP9_LAMP3.pdf</t>
  </si>
  <si>
    <t>Melting_Curves/meltCurve_E7ETU5_RBMS1.pdf</t>
  </si>
  <si>
    <t>Melting_Curves/meltCurve_E7ETY4_MARK2.pdf</t>
  </si>
  <si>
    <t>Melting_Curves/meltCurve_E7ETZ4_BZW2.pdf</t>
  </si>
  <si>
    <t>Melting_Curves/meltCurve_E7ETZ8_MAP9.pdf</t>
  </si>
  <si>
    <t>Melting_Curves/meltCurve_E7EU09_FGFR1.pdf</t>
  </si>
  <si>
    <t>Melting_Curves/meltCurve_E7EU13_ARAP1.pdf</t>
  </si>
  <si>
    <t>Melting_Curves/meltCurve_E7EU23_GDI2.pdf</t>
  </si>
  <si>
    <t>Melting_Curves/meltCurve_E7EU35_PITPNC1.pdf</t>
  </si>
  <si>
    <t>Melting_Curves/meltCurve_E7EU96_CSNK2A1.pdf</t>
  </si>
  <si>
    <t>Melting_Curves/meltCurve_E7EUC7_UGP2.pdf</t>
  </si>
  <si>
    <t>Melting_Curves/meltCurve_E7EUE1_ABCD3.pdf</t>
  </si>
  <si>
    <t>Melting_Curves/meltCurve_E7EUG4_GNA12.pdf</t>
  </si>
  <si>
    <t>Melting_Curves/meltCurve_E7EUM5_NUP54.pdf</t>
  </si>
  <si>
    <t>Melting_Curves/meltCurve_E7EUY5_SSBP1.pdf</t>
  </si>
  <si>
    <t>Melting_Curves/meltCurve_E7EV01_CAPN5.pdf</t>
  </si>
  <si>
    <t>Melting_Curves/meltCurve_E7EV46_PGBD3.pdf</t>
  </si>
  <si>
    <t>Melting_Curves/meltCurve_E7EVA0_MAP4.pdf</t>
  </si>
  <si>
    <t>Melting_Curves/meltCurve_E7EVC7_ATG16L1.pdf</t>
  </si>
  <si>
    <t>Melting_Curves/meltCurve_E7EVH9_HDHD1.pdf</t>
  </si>
  <si>
    <t>Melting_Curves/meltCurve_E7EVJ5_CYFIP2.pdf</t>
  </si>
  <si>
    <t>Melting_Curves/meltCurve_E7EVK2_MTG1.pdf</t>
  </si>
  <si>
    <t>Melting_Curves/meltCurve_E7EVM2_TAL1.pdf</t>
  </si>
  <si>
    <t>Melting_Curves/meltCurve_E7EVT1_DDR1.pdf</t>
  </si>
  <si>
    <t>Melting_Curves/meltCurve_E7EVZ3_RAI1.pdf</t>
  </si>
  <si>
    <t>Melting_Curves/meltCurve_E7EW26_RNF145.pdf</t>
  </si>
  <si>
    <t>Melting_Curves/meltCurve_E7EW32_MON1B.pdf</t>
  </si>
  <si>
    <t>Melting_Curves/meltCurve_E7EW77_ABI2.pdf</t>
  </si>
  <si>
    <t>Melting_Curves/meltCurve_E7EW84_EXOC6.pdf</t>
  </si>
  <si>
    <t>Melting_Curves/meltCurve_E7EWM3_ZMIZ2.pdf</t>
  </si>
  <si>
    <t>Melting_Curves/meltCurve_E7EWW0_C16orf62.pdf</t>
  </si>
  <si>
    <t>Melting_Curves/meltCurve_E7EX01_MPP2.pdf</t>
  </si>
  <si>
    <t>Melting_Curves/meltCurve_E7EX17_EIF4B.pdf</t>
  </si>
  <si>
    <t>Melting_Curves/meltCurve_E7EX73_EIF4G1.pdf</t>
  </si>
  <si>
    <t>Melting_Curves/meltCurve_E7EX90_DCTN1.pdf</t>
  </si>
  <si>
    <t>Melting_Curves/meltCurve_E9PAU2_RAVER1.pdf</t>
  </si>
  <si>
    <t>Melting_Curves/meltCurve_E9PB28_HES4.pdf</t>
  </si>
  <si>
    <t>Melting_Curves/meltCurve_E9PB61_ALYREF.pdf</t>
  </si>
  <si>
    <t>Melting_Curves/meltCurve_E9PBJ0_MUC5B.pdf</t>
  </si>
  <si>
    <t>Melting_Curves/meltCurve_E9PBJ5_SDHA.pdf</t>
  </si>
  <si>
    <t>Melting_Curves/meltCurve_E9PC26_BUB1.pdf</t>
  </si>
  <si>
    <t>Melting_Curves/meltCurve_E9PC50_GIGYF2.pdf</t>
  </si>
  <si>
    <t>Melting_Curves/meltCurve_E9PC62_CELF2.pdf</t>
  </si>
  <si>
    <t>Melting_Curves/meltCurve_E9PC74_EIF2B5.pdf</t>
  </si>
  <si>
    <t>Melting_Curves/meltCurve_E9PC87_TMCC1.pdf</t>
  </si>
  <si>
    <t>Melting_Curves/meltCurve_E9PCH4_FNIP1.pdf</t>
  </si>
  <si>
    <t>Melting_Curves/meltCurve_E9PCQ3_USP15.pdf</t>
  </si>
  <si>
    <t>Melting_Curves/meltCurve_E9PCV0_GUSB.pdf</t>
  </si>
  <si>
    <t>Melting_Curves/meltCurve_E9PCW1_GOSR1.pdf</t>
  </si>
  <si>
    <t>Melting_Curves/meltCurve_E9PD50_SMG7.pdf</t>
  </si>
  <si>
    <t>Melting_Curves/meltCurve_E9PD55_RCAN1.pdf</t>
  </si>
  <si>
    <t>Melting_Curves/meltCurve_E9PDF6_MYO1B.pdf</t>
  </si>
  <si>
    <t>Melting_Curves/meltCurve_E9PDR0_PCCB.pdf</t>
  </si>
  <si>
    <t>Melting_Curves/meltCurve_E9PDU5_WDR6.pdf</t>
  </si>
  <si>
    <t>Melting_Curves/meltCurve_E9PEC4_CCM2.pdf</t>
  </si>
  <si>
    <t>Melting_Curves/meltCurve_E9PEE8_ITGB6.pdf</t>
  </si>
  <si>
    <t>Melting_Curves/meltCurve_E9PEL9_SYNE1.pdf</t>
  </si>
  <si>
    <t>Melting_Curves/meltCurve_E9PEN8_XPO7.pdf</t>
  </si>
  <si>
    <t>Melting_Curves/meltCurve_E9PER1_DIP2A.pdf</t>
  </si>
  <si>
    <t>Melting_Curves/meltCurve_E9PEZ3_DIAPH1.pdf</t>
  </si>
  <si>
    <t>Melting_Curves/meltCurve_E9PF18_HADH.pdf</t>
  </si>
  <si>
    <t>Melting_Curves/meltCurve_E9PF19_TBL2.pdf</t>
  </si>
  <si>
    <t>Melting_Curves/meltCurve_E9PFK9_RABGEF1.pdf</t>
  </si>
  <si>
    <t>Melting_Curves/meltCurve_E9PFP8_PCBP3.pdf</t>
  </si>
  <si>
    <t>Melting_Curves/meltCurve_E9PFR3_PPP2R5D.pdf</t>
  </si>
  <si>
    <t>Melting_Curves/meltCurve_E9PFU9_ZFAND2B.pdf</t>
  </si>
  <si>
    <t>Melting_Curves/meltCurve_E9PG19_FCHSD2.pdf</t>
  </si>
  <si>
    <t>Melting_Curves/meltCurve_E9PG22_CEP97.pdf</t>
  </si>
  <si>
    <t>Melting_Curves/meltCurve_E9PG35_MCCC1.pdf</t>
  </si>
  <si>
    <t>Melting_Curves/meltCurve_E9PGC0_RASA1.pdf</t>
  </si>
  <si>
    <t>Melting_Curves/meltCurve_E9PGC8_MAP1A.pdf</t>
  </si>
  <si>
    <t>Melting_Curves/meltCurve_E9PGE5_TBC1D23.pdf</t>
  </si>
  <si>
    <t>Melting_Curves/meltCurve_E9PGF9_MGEA5.pdf</t>
  </si>
  <si>
    <t>Melting_Curves/meltCurve_E9PGQ0_SLC25A44.pdf</t>
  </si>
  <si>
    <t>Melting_Curves/meltCurve_E9PGQ4_FNBP1.pdf</t>
  </si>
  <si>
    <t>Melting_Curves/meltCurve_E9PGT1_TSN.pdf</t>
  </si>
  <si>
    <t>Melting_Curves/meltCurve_E9PGT3_RPS6KA1.pdf</t>
  </si>
  <si>
    <t>Melting_Curves/meltCurve_E9PGT6_COPS8.pdf</t>
  </si>
  <si>
    <t>Melting_Curves/meltCurve_E9PH29_PRDX3.pdf</t>
  </si>
  <si>
    <t>Melting_Curves/meltCurve_E9PHG5_CYP20A1.pdf</t>
  </si>
  <si>
    <t>Melting_Curves/meltCurve_E9PHY5_EPB41L2.pdf</t>
  </si>
  <si>
    <t>Melting_Curves/meltCurve_E9PI30_CTSW.pdf</t>
  </si>
  <si>
    <t>Melting_Curves/meltCurve_E9PI68_SPCS2.pdf</t>
  </si>
  <si>
    <t>Melting_Curves/meltCurve_E9PIE4_MTCH2.pdf</t>
  </si>
  <si>
    <t>Melting_Curves/meltCurve_E9PIM6_THY1.pdf</t>
  </si>
  <si>
    <t>Melting_Curves/meltCurve_E9PIP3_GPSM3.pdf</t>
  </si>
  <si>
    <t>Melting_Curves/meltCurve_E9PJ24_PHRF1.pdf</t>
  </si>
  <si>
    <t>Melting_Curves/meltCurve_E9PJ55_TCP11L1.pdf</t>
  </si>
  <si>
    <t>Melting_Curves/meltCurve_E9PJ81_UBXN1.pdf</t>
  </si>
  <si>
    <t>Melting_Curves/meltCurve_E9PJB2_C11orf73.pdf</t>
  </si>
  <si>
    <t>Melting_Curves/meltCurve_E9PJD7_CYHR1.pdf</t>
  </si>
  <si>
    <t>Melting_Curves/meltCurve_E9PJK1_CD81.pdf</t>
  </si>
  <si>
    <t>Melting_Curves/meltCurve_E9PJM3_FBXO3.pdf</t>
  </si>
  <si>
    <t>Melting_Curves/meltCurve_E9PK01_EEF1D.pdf</t>
  </si>
  <si>
    <t>Melting_Curves/meltCurve_E9PK67_PARP10.pdf</t>
  </si>
  <si>
    <t>Melting_Curves/meltCurve_E9PK91_BCLAF1.pdf</t>
  </si>
  <si>
    <t>Melting_Curves/meltCurve_E9PKA7_RCE1.pdf</t>
  </si>
  <si>
    <t>Melting_Curves/meltCurve_E9PKC0_PLEKHA7.pdf</t>
  </si>
  <si>
    <t>Melting_Curves/meltCurve_E9PKE4_SLC52A2.pdf</t>
  </si>
  <si>
    <t>Melting_Curves/meltCurve_E9PKG1_PRMT1.pdf</t>
  </si>
  <si>
    <t>Melting_Curves/meltCurve_E9PKN9_TP53I11.pdf</t>
  </si>
  <si>
    <t>Melting_Curves/meltCurve_E9PKQ5_CCDC90B.pdf</t>
  </si>
  <si>
    <t>Melting_Curves/meltCurve_E9PKV2_MRPL17.pdf</t>
  </si>
  <si>
    <t>Melting_Curves/meltCurve_E9PKV8_TTC9C.pdf</t>
  </si>
  <si>
    <t>Melting_Curves/meltCurve_E9PKZ0_RPL8.pdf</t>
  </si>
  <si>
    <t>Melting_Curves/meltCurve_E9PL10_BTF3L4.pdf</t>
  </si>
  <si>
    <t>Melting_Curves/meltCurve_E9PL17_CLP1.pdf</t>
  </si>
  <si>
    <t>Melting_Curves/meltCurve_E9PL33_EI24.pdf</t>
  </si>
  <si>
    <t>Melting_Curves/meltCurve_E9PL57_NEDD8_MDP1.pdf</t>
  </si>
  <si>
    <t>Melting_Curves/meltCurve_E9PLD3_.pdf</t>
  </si>
  <si>
    <t>Melting_Curves/meltCurve_E9PLJ2_CHIA.pdf</t>
  </si>
  <si>
    <t>Melting_Curves/meltCurve_E9PLK3_NPEPPS.pdf</t>
  </si>
  <si>
    <t>Melting_Curves/meltCurve_E9PLL6_RPL27A.pdf</t>
  </si>
  <si>
    <t>Melting_Curves/meltCurve_E9PLM7_BRSK2.pdf</t>
  </si>
  <si>
    <t>Melting_Curves/meltCurve_E9PM46_USP47.pdf</t>
  </si>
  <si>
    <t>Melting_Curves/meltCurve_E9PM92_C11orf58.pdf</t>
  </si>
  <si>
    <t>Melting_Curves/meltCurve_E9PMH5_BIRC2.pdf</t>
  </si>
  <si>
    <t>Melting_Curves/meltCurve_E9PMI6_CLNS1A.pdf</t>
  </si>
  <si>
    <t>Melting_Curves/meltCurve_E9PMJ2_FAM118B.pdf</t>
  </si>
  <si>
    <t>Melting_Curves/meltCurve_E9PMM3_PEX16.pdf</t>
  </si>
  <si>
    <t>Melting_Curves/meltCurve_E9PMQ6_HSF1.pdf</t>
  </si>
  <si>
    <t>Melting_Curves/meltCurve_E9PMR4_CD151.pdf</t>
  </si>
  <si>
    <t>Melting_Curves/meltCurve_E9PMS6_LMO7.pdf</t>
  </si>
  <si>
    <t>Melting_Curves/meltCurve_E9PMU5_MANEAL.pdf</t>
  </si>
  <si>
    <t>Melting_Curves/meltCurve_E9PN39_MTFR2.pdf</t>
  </si>
  <si>
    <t>Melting_Curves/meltCurve_E9PN89_HSPA8.pdf</t>
  </si>
  <si>
    <t>Melting_Curves/meltCurve_E9PND3_EBAG9.pdf</t>
  </si>
  <si>
    <t>Melting_Curves/meltCurve_E9PNP3_AAMDC.pdf</t>
  </si>
  <si>
    <t>Melting_Curves/meltCurve_E9PNT2_ARHGAP27.pdf</t>
  </si>
  <si>
    <t>Melting_Curves/meltCurve_E9PNW4_CD59.pdf</t>
  </si>
  <si>
    <t>Melting_Curves/meltCurve_E9PP40_LRRC14.pdf</t>
  </si>
  <si>
    <t>Melting_Curves/meltCurve_E9PPU0_EPPK1.pdf</t>
  </si>
  <si>
    <t>Melting_Curves/meltCurve_E9PPZ9_GPAA1.pdf</t>
  </si>
  <si>
    <t>Melting_Curves/meltCurve_E9PQ62_VWA5B1.pdf</t>
  </si>
  <si>
    <t>Melting_Curves/meltCurve_E9PQ63_CBR1.pdf</t>
  </si>
  <si>
    <t>Melting_Curves/meltCurve_E9PQY3_ACP2.pdf</t>
  </si>
  <si>
    <t>Melting_Curves/meltCurve_E9PQZ2_ST3GAL4.pdf</t>
  </si>
  <si>
    <t>Melting_Curves/meltCurve_E9PR30_FAU.pdf</t>
  </si>
  <si>
    <t>Melting_Curves/meltCurve_E9PR46_DDX25.pdf</t>
  </si>
  <si>
    <t>Melting_Curves/meltCurve_E9PR76_MAF1.pdf</t>
  </si>
  <si>
    <t>Melting_Curves/meltCurve_E9PRK7_ARL14EP.pdf</t>
  </si>
  <si>
    <t>Melting_Curves/meltCurve_E9PRM7_SLC22A18.pdf</t>
  </si>
  <si>
    <t>Melting_Curves/meltCurve_E9PRY8_EEF1D.pdf</t>
  </si>
  <si>
    <t>Melting_Curves/meltCurve_E9PS17_SCYL1.pdf</t>
  </si>
  <si>
    <t>Melting_Curves/meltCurve_E9PS38_NEDD8_MDP1.pdf</t>
  </si>
  <si>
    <t>Melting_Curves/meltCurve_E9PS47_PTDSS2.pdf</t>
  </si>
  <si>
    <t>Melting_Curves/meltCurve_E9PS74_SLC43A3.pdf</t>
  </si>
  <si>
    <t>Melting_Curves/meltCurve_E9PSB8_SMCO4.pdf</t>
  </si>
  <si>
    <t>Melting_Curves/meltCurve_E9PSH8_CD3E.pdf</t>
  </si>
  <si>
    <t>Melting_Curves/meltCurve_E9PSI1_TM9SF1.pdf</t>
  </si>
  <si>
    <t>Melting_Curves/meltCurve_F2Z2A7_KDM1B.pdf</t>
  </si>
  <si>
    <t>Melting_Curves/meltCurve_F2Z2B9_TUBGCP2.pdf</t>
  </si>
  <si>
    <t>Melting_Curves/meltCurve_F2Z2U4_TRRAP.pdf</t>
  </si>
  <si>
    <t>Melting_Curves/meltCurve_F2Z2U8_MYH14.pdf</t>
  </si>
  <si>
    <t>Melting_Curves/meltCurve_F2Z2V1_FGGY.pdf</t>
  </si>
  <si>
    <t>Melting_Curves/meltCurve_F2Z2W7_TRMT2A.pdf</t>
  </si>
  <si>
    <t>Melting_Curves/meltCurve_F2Z2X4_XPO4.pdf</t>
  </si>
  <si>
    <t>Melting_Curves/meltCurve_F2Z3A6_VEZT.pdf</t>
  </si>
  <si>
    <t>Melting_Curves/meltCurve_F2Z3I4_ARRDC1.pdf</t>
  </si>
  <si>
    <t>Melting_Curves/meltCurve_F2Z3L0_SHANK3.pdf</t>
  </si>
  <si>
    <t>Melting_Curves/meltCurve_F5GWD3_GTF2H3.pdf</t>
  </si>
  <si>
    <t>Melting_Curves/meltCurve_F5GWH5_TMEM258.pdf</t>
  </si>
  <si>
    <t>Melting_Curves/meltCurve_F5GWI9_CCDC53.pdf</t>
  </si>
  <si>
    <t>Melting_Curves/meltCurve_F5GWJ5_ROBO3.pdf</t>
  </si>
  <si>
    <t>Melting_Curves/meltCurve_F5GWT4_WNK1.pdf</t>
  </si>
  <si>
    <t>Melting_Curves/meltCurve_F5GWU7_SMAD5.pdf</t>
  </si>
  <si>
    <t>Melting_Curves/meltCurve_F5GWX5_CHD4.pdf</t>
  </si>
  <si>
    <t>Melting_Curves/meltCurve_F5GWY5_PODXL.pdf</t>
  </si>
  <si>
    <t>Melting_Curves/meltCurve_F5GX09_FAM76B.pdf</t>
  </si>
  <si>
    <t>Melting_Curves/meltCurve_F5GX28_KDM4B.pdf</t>
  </si>
  <si>
    <t>Melting_Curves/meltCurve_F5GX68_DNMT1.pdf</t>
  </si>
  <si>
    <t>Melting_Curves/meltCurve_F5GX82_FRYL.pdf</t>
  </si>
  <si>
    <t>Melting_Curves/meltCurve_F5GXA6_HLA_C.pdf</t>
  </si>
  <si>
    <t>Melting_Curves/meltCurve_F5GXC3_TRAPPC13.pdf</t>
  </si>
  <si>
    <t>Melting_Curves/meltCurve_F5GXC8_SUCLA2.pdf</t>
  </si>
  <si>
    <t>Melting_Curves/meltCurve_F5GXE4_ATE1.pdf</t>
  </si>
  <si>
    <t>Melting_Curves/meltCurve_F5GXF9_AFF1.pdf</t>
  </si>
  <si>
    <t>Melting_Curves/meltCurve_F5GXI4_PTPRK.pdf</t>
  </si>
  <si>
    <t>Melting_Curves/meltCurve_F5GXJ4_STIM2.pdf</t>
  </si>
  <si>
    <t>Melting_Curves/meltCurve_F5GXK8_DNAJB11.pdf</t>
  </si>
  <si>
    <t>Melting_Curves/meltCurve_F5GXU7_SH2B1.pdf</t>
  </si>
  <si>
    <t>Melting_Curves/meltCurve_F5GXX5_DAD1.pdf</t>
  </si>
  <si>
    <t>Melting_Curves/meltCurve_F5GY92_GPBP1.pdf</t>
  </si>
  <si>
    <t>Melting_Curves/meltCurve_F5GY99_GALNT1.pdf</t>
  </si>
  <si>
    <t>Melting_Curves/meltCurve_F5GYC4_RPS6KA3.pdf</t>
  </si>
  <si>
    <t>Melting_Curves/meltCurve_F5GYE0_KCNK4.pdf</t>
  </si>
  <si>
    <t>Melting_Curves/meltCurve_F5GYN4_OTUB1.pdf</t>
  </si>
  <si>
    <t>Melting_Curves/meltCurve_F5GYQ1_ATP6V0D1.pdf</t>
  </si>
  <si>
    <t>Melting_Curves/meltCurve_F5GYV3_TM7SF2.pdf</t>
  </si>
  <si>
    <t>Melting_Curves/meltCurve_F5GZ78_PXN.pdf</t>
  </si>
  <si>
    <t>Melting_Curves/meltCurve_F5GZ90_DTL.pdf</t>
  </si>
  <si>
    <t>Melting_Curves/meltCurve_F5GZG6_TPK1.pdf</t>
  </si>
  <si>
    <t>Melting_Curves/meltCurve_F5GZK1_EXTL2.pdf</t>
  </si>
  <si>
    <t>Melting_Curves/meltCurve_F5GZL6_ABLIM2.pdf</t>
  </si>
  <si>
    <t>Melting_Curves/meltCurve_F5GZS0_DHX36.pdf</t>
  </si>
  <si>
    <t>Melting_Curves/meltCurve_F5GZS6_SLC3A2.pdf</t>
  </si>
  <si>
    <t>Melting_Curves/meltCurve_F5GZX9_FAM120B.pdf</t>
  </si>
  <si>
    <t>Melting_Curves/meltCurve_F5H012_TRIM21.pdf</t>
  </si>
  <si>
    <t>Melting_Curves/meltCurve_F5H029_FAM65B.pdf</t>
  </si>
  <si>
    <t>Melting_Curves/meltCurve_F5H050_DYNC1I1.pdf</t>
  </si>
  <si>
    <t>Melting_Curves/meltCurve_F5H081_SLC2A4.pdf</t>
  </si>
  <si>
    <t>Melting_Curves/meltCurve_F5H0B0_TPD52.pdf</t>
  </si>
  <si>
    <t>Melting_Curves/meltCurve_F5H0F9_ANAPC5.pdf</t>
  </si>
  <si>
    <t>Melting_Curves/meltCurve_F5H0I3_SOX5.pdf</t>
  </si>
  <si>
    <t>Melting_Curves/meltCurve_F5H0L8_SEC23IP.pdf</t>
  </si>
  <si>
    <t>Melting_Curves/meltCurve_F5H0Q6_CLASRP.pdf</t>
  </si>
  <si>
    <t>Melting_Curves/meltCurve_F5H0R1_TUT1.pdf</t>
  </si>
  <si>
    <t>Melting_Curves/meltCurve_F5H136_TCP1.pdf</t>
  </si>
  <si>
    <t>Melting_Curves/meltCurve_F5H148_RRN3.pdf</t>
  </si>
  <si>
    <t>Melting_Curves/meltCurve_F5H1B8_PLEKHB1.pdf</t>
  </si>
  <si>
    <t>Melting_Curves/meltCurve_F5H1D6_POLE.pdf</t>
  </si>
  <si>
    <t>Melting_Curves/meltCurve_F5H1F3_FBLN2.pdf</t>
  </si>
  <si>
    <t>Melting_Curves/meltCurve_F5H1G9_ABI1.pdf</t>
  </si>
  <si>
    <t>Melting_Curves/meltCurve_F5H1L4_TXNRD2.pdf</t>
  </si>
  <si>
    <t>Melting_Curves/meltCurve_F5H1N7_KIAA1211.pdf</t>
  </si>
  <si>
    <t>Melting_Curves/meltCurve_F5H1R7_FLJ22184.pdf</t>
  </si>
  <si>
    <t>Melting_Curves/meltCurve_F5H1U2_RNF4.pdf</t>
  </si>
  <si>
    <t>Melting_Curves/meltCurve_F5H1Z6_STARD10.pdf</t>
  </si>
  <si>
    <t>Melting_Curves/meltCurve_F5H254_TMEM135.pdf</t>
  </si>
  <si>
    <t>Melting_Curves/meltCurve_F5H269_DMXL1.pdf</t>
  </si>
  <si>
    <t>Melting_Curves/meltCurve_F5H2H5_ANKLE2.pdf</t>
  </si>
  <si>
    <t>Melting_Curves/meltCurve_F5H2J3_VMP1.pdf</t>
  </si>
  <si>
    <t>Melting_Curves/meltCurve_F5H2Q7_KIAA1715.pdf</t>
  </si>
  <si>
    <t>Melting_Curves/meltCurve_F5H2S7_DCTN2.pdf</t>
  </si>
  <si>
    <t>Melting_Curves/meltCurve_F5H2U2_PRPF4B.pdf</t>
  </si>
  <si>
    <t>Melting_Curves/meltCurve_F5H2X7_CIZ1.pdf</t>
  </si>
  <si>
    <t>Melting_Curves/meltCurve_F5H315_XAB2.pdf</t>
  </si>
  <si>
    <t>Melting_Curves/meltCurve_F5H365_SEC23A.pdf</t>
  </si>
  <si>
    <t>Melting_Curves/meltCurve_F5H450_FZD10.pdf</t>
  </si>
  <si>
    <t>Melting_Curves/meltCurve_F5H4G7_KPNA6.pdf</t>
  </si>
  <si>
    <t>Melting_Curves/meltCurve_F5H4S8_NFATC1.pdf</t>
  </si>
  <si>
    <t>Melting_Curves/meltCurve_F5H4V9_PDCD2.pdf</t>
  </si>
  <si>
    <t>Melting_Curves/meltCurve_F5H523_KLHL42.pdf</t>
  </si>
  <si>
    <t>Melting_Curves/meltCurve_F5H527_SSH2.pdf</t>
  </si>
  <si>
    <t>Melting_Curves/meltCurve_F5H569_ATP6V0A1.pdf</t>
  </si>
  <si>
    <t>Melting_Curves/meltCurve_F5H577_BRK1.pdf</t>
  </si>
  <si>
    <t>Melting_Curves/meltCurve_F5H5D3_TUBA1C.pdf</t>
  </si>
  <si>
    <t>Melting_Curves/meltCurve_F5H5I6_GRSF1.pdf</t>
  </si>
  <si>
    <t>Melting_Curves/meltCurve_F5H5M7_IFNGR1.pdf</t>
  </si>
  <si>
    <t>Melting_Curves/meltCurve_F5H5N0_CDC42BPA.pdf</t>
  </si>
  <si>
    <t>Melting_Curves/meltCurve_F5H5N1_NDUFS7.pdf</t>
  </si>
  <si>
    <t>Melting_Curves/meltCurve_F5H5P2_BCKDHA.pdf</t>
  </si>
  <si>
    <t>Melting_Curves/meltCurve_F5H5R8_NAT1.pdf</t>
  </si>
  <si>
    <t>Melting_Curves/meltCurve_F5H604_CLASP2.pdf</t>
  </si>
  <si>
    <t>Melting_Curves/meltCurve_F5H620_OXNAD1.pdf</t>
  </si>
  <si>
    <t>Melting_Curves/meltCurve_F5H631_CLEC2B.pdf</t>
  </si>
  <si>
    <t>Melting_Curves/meltCurve_F5H6G7_NOL10.pdf</t>
  </si>
  <si>
    <t>Melting_Curves/meltCurve_F5H6S1_KDM6A.pdf</t>
  </si>
  <si>
    <t>Melting_Curves/meltCurve_F5H6U2_FAM60A.pdf</t>
  </si>
  <si>
    <t>Melting_Curves/meltCurve_F5H715_AIDA.pdf</t>
  </si>
  <si>
    <t>Melting_Curves/meltCurve_F5H721_WBP11.pdf</t>
  </si>
  <si>
    <t>Melting_Curves/meltCurve_F5H7N9_MFGE8.pdf</t>
  </si>
  <si>
    <t>Melting_Curves/meltCurve_F5H7Z9_REEP1.pdf</t>
  </si>
  <si>
    <t>Melting_Curves/meltCurve_F5H801_OGDH.pdf</t>
  </si>
  <si>
    <t>Melting_Curves/meltCurve_F5H827_POMGNT1.pdf</t>
  </si>
  <si>
    <t>Melting_Curves/meltCurve_F5H860_INPP4A.pdf</t>
  </si>
  <si>
    <t>Melting_Curves/meltCurve_F5H874_ASCC1.pdf</t>
  </si>
  <si>
    <t>Melting_Curves/meltCurve_F5H877_SPINT1.pdf</t>
  </si>
  <si>
    <t>Melting_Curves/meltCurve_F5H897_TRAP1.pdf</t>
  </si>
  <si>
    <t>Melting_Curves/meltCurve_F5H8H2_MVK.pdf</t>
  </si>
  <si>
    <t>Melting_Curves/meltCurve_F5H8J3_CLPTM1.pdf</t>
  </si>
  <si>
    <t>Melting_Curves/meltCurve_F5H8L0_RABGAP1L.pdf</t>
  </si>
  <si>
    <t>Melting_Curves/meltCurve_F5H8L4_SIDT2.pdf</t>
  </si>
  <si>
    <t>Melting_Curves/meltCurve_F6PQP6_EPN2.pdf</t>
  </si>
  <si>
    <t>Melting_Curves/meltCurve_F6RAJ7_CDPF1.pdf</t>
  </si>
  <si>
    <t>Melting_Curves/meltCurve_F6T1Q0_PDE12.pdf</t>
  </si>
  <si>
    <t>Melting_Curves/meltCurve_F6TDL0_PIK3R3.pdf</t>
  </si>
  <si>
    <t>Melting_Curves/meltCurve_F6U1T9_PPP3R1.pdf</t>
  </si>
  <si>
    <t>Melting_Curves/meltCurve_F6VZ39_RBM38.pdf</t>
  </si>
  <si>
    <t>Melting_Curves/meltCurve_F6WCX7_MAP2K7.pdf</t>
  </si>
  <si>
    <t>Melting_Curves/meltCurve_F6XY72_NME2.pdf</t>
  </si>
  <si>
    <t>Melting_Curves/meltCurve_F8VP51_C14orf80.pdf</t>
  </si>
  <si>
    <t>Melting_Curves/meltCurve_F8VP89_EIF4B.pdf</t>
  </si>
  <si>
    <t>Melting_Curves/meltCurve_F8VPD4_CAD.pdf</t>
  </si>
  <si>
    <t>Melting_Curves/meltCurve_F8VQD4_C12orf75.pdf</t>
  </si>
  <si>
    <t>Melting_Curves/meltCurve_F8VQX6_METTL7A.pdf</t>
  </si>
  <si>
    <t>Melting_Curves/meltCurve_F8VQY2_UIMC1.pdf</t>
  </si>
  <si>
    <t>Melting_Curves/meltCurve_F8VQZ7_METAP2.pdf</t>
  </si>
  <si>
    <t>Melting_Curves/meltCurve_F8VR27_RBFOX1.pdf</t>
  </si>
  <si>
    <t>Melting_Curves/meltCurve_F8VRE8_TMEM19.pdf</t>
  </si>
  <si>
    <t>Melting_Curves/meltCurve_F8VRH9_RASAL1.pdf</t>
  </si>
  <si>
    <t>Melting_Curves/meltCurve_F8VS02_ALDH7A1.pdf</t>
  </si>
  <si>
    <t>Melting_Curves/meltCurve_F8VS47_NEK3.pdf</t>
  </si>
  <si>
    <t>Melting_Curves/meltCurve_F8VSL3_NFYB.pdf</t>
  </si>
  <si>
    <t>Melting_Curves/meltCurve_F8VSZ4_PLXNA1.pdf</t>
  </si>
  <si>
    <t>Melting_Curves/meltCurve_F8VTS6_RFPL4AL1.pdf</t>
  </si>
  <si>
    <t>Melting_Curves/meltCurve_F8VU11_PRPF40B.pdf</t>
  </si>
  <si>
    <t>Melting_Curves/meltCurve_F8VU90_FKBP11.pdf</t>
  </si>
  <si>
    <t>Melting_Curves/meltCurve_F8VUW5_DAZAP2.pdf</t>
  </si>
  <si>
    <t>Melting_Curves/meltCurve_F8VV32_LYZ.pdf</t>
  </si>
  <si>
    <t>Melting_Curves/meltCurve_F8VV52_CNOT2.pdf</t>
  </si>
  <si>
    <t>Melting_Curves/meltCurve_F8VV59_NAP1L1.pdf</t>
  </si>
  <si>
    <t>Melting_Curves/meltCurve_F8VVA7_COPZ1.pdf</t>
  </si>
  <si>
    <t>Melting_Curves/meltCurve_F8VVN7_TMEM106C.pdf</t>
  </si>
  <si>
    <t>Melting_Curves/meltCurve_F8VW96_CSRP2.pdf</t>
  </si>
  <si>
    <t>Melting_Curves/meltCurve_F8VWA6_MON2.pdf</t>
  </si>
  <si>
    <t>Melting_Curves/meltCurve_F8VWA9_ALG10B.pdf</t>
  </si>
  <si>
    <t>Melting_Curves/meltCurve_F8VWL0_TFCP2.pdf</t>
  </si>
  <si>
    <t>Melting_Curves/meltCurve_F8VX04_SLC38A1.pdf</t>
  </si>
  <si>
    <t>Melting_Curves/meltCurve_F8VX22_PACS2.pdf</t>
  </si>
  <si>
    <t>Melting_Curves/meltCurve_F8VXG7_SCAF11.pdf</t>
  </si>
  <si>
    <t>Melting_Curves/meltCurve_F8VXK3_CHST11.pdf</t>
  </si>
  <si>
    <t>Melting_Curves/meltCurve_F8VYK6_TARBP2.pdf</t>
  </si>
  <si>
    <t>Melting_Curves/meltCurve_F8VYN9_ARL1.pdf</t>
  </si>
  <si>
    <t>Melting_Curves/meltCurve_F8VZH8_UNC13A.pdf</t>
  </si>
  <si>
    <t>Melting_Curves/meltCurve_F8VZJ2_NACA.pdf</t>
  </si>
  <si>
    <t>Melting_Curves/meltCurve_F8VZY9_KRT18.pdf</t>
  </si>
  <si>
    <t>Melting_Curves/meltCurve_F8W038_C17orf49.pdf</t>
  </si>
  <si>
    <t>Melting_Curves/meltCurve_F8W052_TROAP.pdf</t>
  </si>
  <si>
    <t>Melting_Curves/meltCurve_F8W0A9_ALDH2.pdf</t>
  </si>
  <si>
    <t>Melting_Curves/meltCurve_F8W0J6_NAP1L1.pdf</t>
  </si>
  <si>
    <t>Melting_Curves/meltCurve_F8W0Q9_PPHLN1.pdf</t>
  </si>
  <si>
    <t>Melting_Curves/meltCurve_F8W0R1_ERGIC2.pdf</t>
  </si>
  <si>
    <t>Melting_Curves/meltCurve_F8W126_MCRS1.pdf</t>
  </si>
  <si>
    <t>Melting_Curves/meltCurve_F8W181_RPL6.pdf</t>
  </si>
  <si>
    <t>Melting_Curves/meltCurve_F8W689_RFX5.pdf</t>
  </si>
  <si>
    <t>Melting_Curves/meltCurve_F8W6I7_HNRNPA1.pdf</t>
  </si>
  <si>
    <t>Melting_Curves/meltCurve_F8W6N3_BAP1.pdf</t>
  </si>
  <si>
    <t>Melting_Curves/meltCurve_F8W6N8_TRIM5.pdf</t>
  </si>
  <si>
    <t>Melting_Curves/meltCurve_F8W6Q3_ZNF384.pdf</t>
  </si>
  <si>
    <t>Melting_Curves/meltCurve_F8W6T6_TLE4.pdf</t>
  </si>
  <si>
    <t>Melting_Curves/meltCurve_F8W787_CTSD.pdf</t>
  </si>
  <si>
    <t>Melting_Curves/meltCurve_F8W7D0_PBLD.pdf</t>
  </si>
  <si>
    <t>Melting_Curves/meltCurve_F8W7G7_FN1.pdf</t>
  </si>
  <si>
    <t>Melting_Curves/meltCurve_F8W7Q4_FAM162A.pdf</t>
  </si>
  <si>
    <t>Melting_Curves/meltCurve_F8W840_YTHDF1.pdf</t>
  </si>
  <si>
    <t>Melting_Curves/meltCurve_F8W872_CDK10.pdf</t>
  </si>
  <si>
    <t>Melting_Curves/meltCurve_F8W881_FAM120C.pdf</t>
  </si>
  <si>
    <t>Melting_Curves/meltCurve_F8W8D3_SLBP.pdf</t>
  </si>
  <si>
    <t>Melting_Curves/meltCurve_F8W8F9_CASC1.pdf</t>
  </si>
  <si>
    <t>Melting_Curves/meltCurve_F8W8G5_MYB.pdf</t>
  </si>
  <si>
    <t>Melting_Curves/meltCurve_F8W8I6_TIA1.pdf</t>
  </si>
  <si>
    <t>Melting_Curves/meltCurve_F8W8K9_AP1S3.pdf</t>
  </si>
  <si>
    <t>Melting_Curves/meltCurve_F8W914_RTN4.pdf</t>
  </si>
  <si>
    <t>Melting_Curves/meltCurve_F8W946_FSD1L.pdf</t>
  </si>
  <si>
    <t>Melting_Curves/meltCurve_F8W966_MEF2A.pdf</t>
  </si>
  <si>
    <t>Melting_Curves/meltCurve_F8W9A8_PPIP5K1.pdf</t>
  </si>
  <si>
    <t>Melting_Curves/meltCurve_F8W9R9_MED24.pdf</t>
  </si>
  <si>
    <t>Melting_Curves/meltCurve_F8W9X7_CCDC93.pdf</t>
  </si>
  <si>
    <t>Melting_Curves/meltCurve_F8WA11_CLASP1.pdf</t>
  </si>
  <si>
    <t>Melting_Curves/meltCurve_F8WA39_MTMR1.pdf</t>
  </si>
  <si>
    <t>Melting_Curves/meltCurve_F8WAB8_SLC25A26.pdf</t>
  </si>
  <si>
    <t>Melting_Curves/meltCurve_F8WAD8_ADAM22.pdf</t>
  </si>
  <si>
    <t>Melting_Curves/meltCurve_F8WAF5_NABP1.pdf</t>
  </si>
  <si>
    <t>Melting_Curves/meltCurve_F8WAK8_STAG2.pdf</t>
  </si>
  <si>
    <t>Melting_Curves/meltCurve_F8WBK5_MRPL40.pdf</t>
  </si>
  <si>
    <t>Melting_Curves/meltCurve_F8WC47_POLR2F.pdf</t>
  </si>
  <si>
    <t>Melting_Curves/meltCurve_F8WC89_SAC3D1.pdf</t>
  </si>
  <si>
    <t>Melting_Curves/meltCurve_F8WCD0_RNF149.pdf</t>
  </si>
  <si>
    <t>Melting_Curves/meltCurve_F8WCF6_ARPC4.pdf</t>
  </si>
  <si>
    <t>Melting_Curves/meltCurve_F8WCP0_NEB.pdf</t>
  </si>
  <si>
    <t>Melting_Curves/meltCurve_F8WD04_ATL1.pdf</t>
  </si>
  <si>
    <t>Melting_Curves/meltCurve_F8WD19_DONSON.pdf</t>
  </si>
  <si>
    <t>Melting_Curves/meltCurve_F8WE74_SLC25A17.pdf</t>
  </si>
  <si>
    <t>Melting_Curves/meltCurve_F8WE88_MYO5A.pdf</t>
  </si>
  <si>
    <t>Melting_Curves/meltCurve_F8WEC0_MMADHC.pdf</t>
  </si>
  <si>
    <t>Melting_Curves/meltCurve_F8WF93_ALG3.pdf</t>
  </si>
  <si>
    <t>Melting_Curves/meltCurve_F8WJN3_CPSF6.pdf</t>
  </si>
  <si>
    <t>Melting_Curves/meltCurve_G1K394_TRAPPC2.pdf</t>
  </si>
  <si>
    <t>Melting_Curves/meltCurve_G3V0H6_NARG2.pdf</t>
  </si>
  <si>
    <t>Melting_Curves/meltCurve_G3V0I5_NDUFV1.pdf</t>
  </si>
  <si>
    <t>Melting_Curves/meltCurve_G3V0I6_OTUD4.pdf</t>
  </si>
  <si>
    <t>Melting_Curves/meltCurve_G3V167_PARP2.pdf</t>
  </si>
  <si>
    <t>Melting_Curves/meltCurve_G3V1A6_GSDMD.pdf</t>
  </si>
  <si>
    <t>Melting_Curves/meltCurve_G3V1D3_DPP3.pdf</t>
  </si>
  <si>
    <t>Melting_Curves/meltCurve_G3V1P3_LOH12CR1.pdf</t>
  </si>
  <si>
    <t>Melting_Curves/meltCurve_G3V1Q4_SEPT7.pdf</t>
  </si>
  <si>
    <t>Melting_Curves/meltCurve_G3V1S9_ACSL6.pdf</t>
  </si>
  <si>
    <t>Melting_Curves/meltCurve_G3V1U5_GOLT1B.pdf</t>
  </si>
  <si>
    <t>Melting_Curves/meltCurve_G3V1X5_YAF2.pdf</t>
  </si>
  <si>
    <t>Melting_Curves/meltCurve_G3V203_RPL18.pdf</t>
  </si>
  <si>
    <t>Melting_Curves/meltCurve_G3V2F7_TMEM189.pdf</t>
  </si>
  <si>
    <t>Melting_Curves/meltCurve_G3V2U7_ACYP1.pdf</t>
  </si>
  <si>
    <t>Melting_Curves/meltCurve_G3V325_ATP5J2_PTCD1.pdf</t>
  </si>
  <si>
    <t>Melting_Curves/meltCurve_G3V3C1_PTGR2.pdf</t>
  </si>
  <si>
    <t>Melting_Curves/meltCurve_G3V3G9_DCAF8.pdf</t>
  </si>
  <si>
    <t>Melting_Curves/meltCurve_G3V3I4_NFKBIA.pdf</t>
  </si>
  <si>
    <t>Melting_Curves/meltCurve_G3V3J9_GNG2.pdf</t>
  </si>
  <si>
    <t>Melting_Curves/meltCurve_G3V3R7_ATXN3.pdf</t>
  </si>
  <si>
    <t>Melting_Curves/meltCurve_G3V3U6_MRPL52.pdf</t>
  </si>
  <si>
    <t>Melting_Curves/meltCurve_G3V439_SIVA1.pdf</t>
  </si>
  <si>
    <t>Melting_Curves/meltCurve_G3V4J7_DCAF5.pdf</t>
  </si>
  <si>
    <t>Melting_Curves/meltCurve_G3V4K3_VIPAS39.pdf</t>
  </si>
  <si>
    <t>Melting_Curves/meltCurve_G3V4P7_AP4S1.pdf</t>
  </si>
  <si>
    <t>Melting_Curves/meltCurve_G3V4W0_HNRNPC.pdf</t>
  </si>
  <si>
    <t>Melting_Curves/meltCurve_G3V529_DDX24.pdf</t>
  </si>
  <si>
    <t>Melting_Curves/meltCurve_G3V583_FAM177A1.pdf</t>
  </si>
  <si>
    <t>Melting_Curves/meltCurve_G3V597_ACYP1.pdf</t>
  </si>
  <si>
    <t>Melting_Curves/meltCurve_G3V599_CTAGE5.pdf</t>
  </si>
  <si>
    <t>Melting_Curves/meltCurve_G3V5T0_GSTZ1.pdf</t>
  </si>
  <si>
    <t>Melting_Curves/meltCurve_G3V5T9_CDK2.pdf</t>
  </si>
  <si>
    <t>Melting_Curves/meltCurve_G3XAA0_ARID1B.pdf</t>
  </si>
  <si>
    <t>Melting_Curves/meltCurve_G3XAC1_SLC26A6.pdf</t>
  </si>
  <si>
    <t>Melting_Curves/meltCurve_G3XAE9_FAM179B.pdf</t>
  </si>
  <si>
    <t>Melting_Curves/meltCurve_G3XAI9_FAM133B.pdf</t>
  </si>
  <si>
    <t>Melting_Curves/meltCurve_G3XAN4_TRAM1.pdf</t>
  </si>
  <si>
    <t>Melting_Curves/meltCurve_G3XAN8_TIMM8B.pdf</t>
  </si>
  <si>
    <t>Melting_Curves/meltCurve_G3XAP3_ABCB8.pdf</t>
  </si>
  <si>
    <t>Melting_Curves/meltCurve_G5E933_SBF1.pdf</t>
  </si>
  <si>
    <t>Melting_Curves/meltCurve_G5E948_MAP4K4.pdf</t>
  </si>
  <si>
    <t>Melting_Curves/meltCurve_G5E994_GPR107.pdf</t>
  </si>
  <si>
    <t>Melting_Curves/meltCurve_G5E9A6_USP11.pdf</t>
  </si>
  <si>
    <t>Melting_Curves/meltCurve_G5E9E7_TJP1.pdf</t>
  </si>
  <si>
    <t>Melting_Curves/meltCurve_G5E9F3_CABIN1.pdf</t>
  </si>
  <si>
    <t>Melting_Curves/meltCurve_G5E9L8_ECT2.pdf</t>
  </si>
  <si>
    <t>Melting_Curves/meltCurve_G5E9P1_ITPR1.pdf</t>
  </si>
  <si>
    <t>Melting_Curves/meltCurve_G5E9W9_GIMAP4.pdf</t>
  </si>
  <si>
    <t>Melting_Curves/meltCurve_G5EA07_PWWP2A.pdf</t>
  </si>
  <si>
    <t>Melting_Curves/meltCurve_G5EA25_FAT3.pdf</t>
  </si>
  <si>
    <t>Melting_Curves/meltCurve_G5EA30_CELF1.pdf</t>
  </si>
  <si>
    <t>Melting_Curves/meltCurve_G5EA36_CDC27.pdf</t>
  </si>
  <si>
    <t>Melting_Curves/meltCurve_G5EA52_PDIA3.pdf</t>
  </si>
  <si>
    <t>Melting_Curves/meltCurve_G8JL95_MAU2.pdf</t>
  </si>
  <si>
    <t>Melting_Curves/meltCurve_G8JL98_TDG.pdf</t>
  </si>
  <si>
    <t>Melting_Curves/meltCurve_G8JLA2_MYL6.pdf</t>
  </si>
  <si>
    <t>Melting_Curves/meltCurve_G8JLB3_PUS1.pdf</t>
  </si>
  <si>
    <t>Melting_Curves/meltCurve_G8JLB6_HNRNPH1.pdf</t>
  </si>
  <si>
    <t>Melting_Curves/meltCurve_G8JLD3_ERC1.pdf</t>
  </si>
  <si>
    <t>Melting_Curves/meltCurve_G8JLH2_CDC25B.pdf</t>
  </si>
  <si>
    <t>Melting_Curves/meltCurve_G8JLI5_WDR45.pdf</t>
  </si>
  <si>
    <t>Melting_Curves/meltCurve_G8JLK4_TACC1.pdf</t>
  </si>
  <si>
    <t>Melting_Curves/meltCurve_G8JLL2_PPT2.pdf</t>
  </si>
  <si>
    <t>Melting_Curves/meltCurve_G8JLL7_MVB12B.pdf</t>
  </si>
  <si>
    <t>Melting_Curves/meltCurve_H0UI80_TH1L.pdf</t>
  </si>
  <si>
    <t>Melting_Curves/meltCurve_H0Y2M0_KIAA0922.pdf</t>
  </si>
  <si>
    <t>Melting_Curves/meltCurve_H0Y2P9_PIGX.pdf</t>
  </si>
  <si>
    <t>Melting_Curves/meltCurve_H0Y322_LIN9.pdf</t>
  </si>
  <si>
    <t>Melting_Curves/meltCurve_H0Y384_ODF2.pdf</t>
  </si>
  <si>
    <t>Melting_Curves/meltCurve_H0Y3R4_SETD5.pdf</t>
  </si>
  <si>
    <t>Melting_Curves/meltCurve_H0Y412_PRRC2B.pdf</t>
  </si>
  <si>
    <t>Melting_Curves/meltCurve_H0Y494_SIK3.pdf</t>
  </si>
  <si>
    <t>Melting_Curves/meltCurve_H0Y4G9_MYD88.pdf</t>
  </si>
  <si>
    <t>Melting_Curves/meltCurve_H0Y530_PAEP.pdf</t>
  </si>
  <si>
    <t>Melting_Curves/meltCurve_H0Y547_ATP11A.pdf</t>
  </si>
  <si>
    <t>Melting_Curves/meltCurve_H0Y5C2_ATE1.pdf</t>
  </si>
  <si>
    <t>Melting_Curves/meltCurve_H0Y5J5_AAED1.pdf</t>
  </si>
  <si>
    <t>Melting_Curves/meltCurve_H0Y5Y0_PREP.pdf</t>
  </si>
  <si>
    <t>Melting_Curves/meltCurve_H0Y614_UFM1.pdf</t>
  </si>
  <si>
    <t>Melting_Curves/meltCurve_H0Y6A0_ARFGAP3.pdf</t>
  </si>
  <si>
    <t>Melting_Curves/meltCurve_H0Y6C3_PYCRL.pdf</t>
  </si>
  <si>
    <t>Melting_Curves/meltCurve_H0Y6K2_BRD2.pdf</t>
  </si>
  <si>
    <t>Melting_Curves/meltCurve_H0Y6Y6_CD1C.pdf</t>
  </si>
  <si>
    <t>Melting_Curves/meltCurve_H0Y7A7_CALM2.pdf</t>
  </si>
  <si>
    <t>Melting_Curves/meltCurve_H0Y7P7_PISD.pdf</t>
  </si>
  <si>
    <t>Melting_Curves/meltCurve_H0Y7S3_ATP2B2.pdf</t>
  </si>
  <si>
    <t>Melting_Curves/meltCurve_H0Y870_TMEM222.pdf</t>
  </si>
  <si>
    <t>Melting_Curves/meltCurve_H0Y8F2_TACC3.pdf</t>
  </si>
  <si>
    <t>Melting_Curves/meltCurve_H0Y8H1_CHIC2.pdf</t>
  </si>
  <si>
    <t>Melting_Curves/meltCurve_H0Y8W3_RGS14.pdf</t>
  </si>
  <si>
    <t>Melting_Curves/meltCurve_H0Y912_DACH2.pdf</t>
  </si>
  <si>
    <t>Melting_Curves/meltCurve_H0Y9B8_.pdf</t>
  </si>
  <si>
    <t>Melting_Curves/meltCurve_H0Y9N0_ADH4.pdf</t>
  </si>
  <si>
    <t>Melting_Curves/meltCurve_H0Y9S9_PPIP5K2.pdf</t>
  </si>
  <si>
    <t>Melting_Curves/meltCurve_H0Y9T5_DCP2.pdf</t>
  </si>
  <si>
    <t>Melting_Curves/meltCurve_H0Y9X1_TMA16.pdf</t>
  </si>
  <si>
    <t>Melting_Curves/meltCurve_H0Y9Z5_CNOT6L.pdf</t>
  </si>
  <si>
    <t>Melting_Curves/meltCurve_H0YA20_DGKQ.pdf</t>
  </si>
  <si>
    <t>Melting_Curves/meltCurve_H0YA52_PCBD2.pdf</t>
  </si>
  <si>
    <t>Melting_Curves/meltCurve_H0YA68_MAN2B2.pdf</t>
  </si>
  <si>
    <t>Melting_Curves/meltCurve_H0YAS8_CLU.pdf</t>
  </si>
  <si>
    <t>Melting_Curves/meltCurve_H0YAV1_RRM2B.pdf</t>
  </si>
  <si>
    <t>Melting_Curves/meltCurve_H0YBC7_BNIP3L.pdf</t>
  </si>
  <si>
    <t>Melting_Curves/meltCurve_H0YBI6_TXNRD3.pdf</t>
  </si>
  <si>
    <t>Melting_Curves/meltCurve_H0YBP1_PTK2.pdf</t>
  </si>
  <si>
    <t>Melting_Curves/meltCurve_H0YBZ4_MTFR1.pdf</t>
  </si>
  <si>
    <t>Melting_Curves/meltCurve_H0YC40_CD47.pdf</t>
  </si>
  <si>
    <t>Melting_Curves/meltCurve_H0YCP7_TSTA3.pdf</t>
  </si>
  <si>
    <t>Melting_Curves/meltCurve_H0YCY3_WDR67.pdf</t>
  </si>
  <si>
    <t>Melting_Curves/meltCurve_H0YDD3_ALG8.pdf</t>
  </si>
  <si>
    <t>Melting_Curves/meltCurve_H0YDS0_UBQLN1.pdf</t>
  </si>
  <si>
    <t>Melting_Curves/meltCurve_H0YDU8_PPP5C.pdf</t>
  </si>
  <si>
    <t>Melting_Curves/meltCurve_H0YE91_CHI3L2.pdf</t>
  </si>
  <si>
    <t>Melting_Curves/meltCurve_H0YEB6_SSSCA1.pdf</t>
  </si>
  <si>
    <t>Melting_Curves/meltCurve_H0YEF3_RNASEH2C.pdf</t>
  </si>
  <si>
    <t>Melting_Curves/meltCurve_H0YF29_C8orf82.pdf</t>
  </si>
  <si>
    <t>Melting_Curves/meltCurve_H0YFN7_KIAA1432.pdf</t>
  </si>
  <si>
    <t>Melting_Curves/meltCurve_H0YGR4_REXO2.pdf</t>
  </si>
  <si>
    <t>Melting_Curves/meltCurve_H0YGT9_JOSD1.pdf</t>
  </si>
  <si>
    <t>Melting_Curves/meltCurve_H0YH80_HNRNPA1.pdf</t>
  </si>
  <si>
    <t>Melting_Curves/meltCurve_H0YH87_ATXN2.pdf</t>
  </si>
  <si>
    <t>Melting_Curves/meltCurve_H0YHG0_.pdf</t>
  </si>
  <si>
    <t>Melting_Curves/meltCurve_H0YIV9_.pdf</t>
  </si>
  <si>
    <t>Melting_Curves/meltCurve_H0YJB9_C14orf166.pdf</t>
  </si>
  <si>
    <t>Melting_Curves/meltCurve_H0YJF7_VRK1.pdf</t>
  </si>
  <si>
    <t>Melting_Curves/meltCurve_H0YK48_TPM1.pdf</t>
  </si>
  <si>
    <t>Melting_Curves/meltCurve_H0YK61_EMC4.pdf</t>
  </si>
  <si>
    <t>Melting_Curves/meltCurve_H0YKJ9_TSPAN3.pdf</t>
  </si>
  <si>
    <t>Melting_Curves/meltCurve_H0YL70_TLE3.pdf</t>
  </si>
  <si>
    <t>Melting_Curves/meltCurve_H0YLA4_SORD.pdf</t>
  </si>
  <si>
    <t>Melting_Curves/meltCurve_H0YLB5_POU2F1.pdf</t>
  </si>
  <si>
    <t>Melting_Curves/meltCurve_H0YLF2_HMBOX1.pdf</t>
  </si>
  <si>
    <t>Melting_Curves/meltCurve_H0YLW6_SHF.pdf</t>
  </si>
  <si>
    <t>Melting_Curves/meltCurve_H0YLX2_RFX7.pdf</t>
  </si>
  <si>
    <t>Melting_Curves/meltCurve_H0YMB3_GMPR2.pdf</t>
  </si>
  <si>
    <t>Melting_Curves/meltCurve_H0YMJ0_MORF4L1.pdf</t>
  </si>
  <si>
    <t>Melting_Curves/meltCurve_H0YMM4_ISG20.pdf</t>
  </si>
  <si>
    <t>Melting_Curves/meltCurve_H0YN33_CINP.pdf</t>
  </si>
  <si>
    <t>Melting_Curves/meltCurve_H0YNG3_SEC11A.pdf</t>
  </si>
  <si>
    <t>Melting_Curves/meltCurve_H0YNH6_EMC9.pdf</t>
  </si>
  <si>
    <t>Melting_Curves/meltCurve_H0YNU5_BLM.pdf</t>
  </si>
  <si>
    <t>Melting_Curves/meltCurve_H3BLU2_LSAMP.pdf</t>
  </si>
  <si>
    <t>Melting_Curves/meltCurve_H3BLU9_TTC24.pdf</t>
  </si>
  <si>
    <t>Melting_Curves/meltCurve_H3BLV0_CD55.pdf</t>
  </si>
  <si>
    <t>Melting_Curves/meltCurve_H3BLW6_TMEM63B.pdf</t>
  </si>
  <si>
    <t>Melting_Curves/meltCurve_H3BLZ8_DDX17.pdf</t>
  </si>
  <si>
    <t>Melting_Curves/meltCurve_H3BM14_NUB1.pdf</t>
  </si>
  <si>
    <t>Melting_Curves/meltCurve_H3BM67_NOL3.pdf</t>
  </si>
  <si>
    <t>Melting_Curves/meltCurve_H3BM84_TM6SF1.pdf</t>
  </si>
  <si>
    <t>Melting_Curves/meltCurve_H3BMM3_GANC.pdf</t>
  </si>
  <si>
    <t>Melting_Curves/meltCurve_H3BMM5_.pdf</t>
  </si>
  <si>
    <t>Melting_Curves/meltCurve_H3BMQ0_TSC2.pdf</t>
  </si>
  <si>
    <t>Melting_Curves/meltCurve_H3BN98_.pdf</t>
  </si>
  <si>
    <t>Melting_Curves/meltCurve_H3BNE3_BLOC1S6.pdf</t>
  </si>
  <si>
    <t>Melting_Curves/meltCurve_H3BNF1_CLN6.pdf</t>
  </si>
  <si>
    <t>Melting_Curves/meltCurve_H3BNT4_MPHOSPH6.pdf</t>
  </si>
  <si>
    <t>Melting_Curves/meltCurve_H3BNU9_CARHSP1.pdf</t>
  </si>
  <si>
    <t>Melting_Curves/meltCurve_H3BP13_TRAPPC2L.pdf</t>
  </si>
  <si>
    <t>Melting_Curves/meltCurve_H3BP20_HEXA.pdf</t>
  </si>
  <si>
    <t>Melting_Curves/meltCurve_H3BP28_COQ7.pdf</t>
  </si>
  <si>
    <t>Melting_Curves/meltCurve_H3BP77_TK2.pdf</t>
  </si>
  <si>
    <t>Melting_Curves/meltCurve_H3BPB8_MPI.pdf</t>
  </si>
  <si>
    <t>Melting_Curves/meltCurve_H3BPC4_UBE2I.pdf</t>
  </si>
  <si>
    <t>Melting_Curves/meltCurve_H3BPE1_MACF1.pdf</t>
  </si>
  <si>
    <t>Melting_Curves/meltCurve_H3BPZ0_FBXL19.pdf</t>
  </si>
  <si>
    <t>Melting_Curves/meltCurve_H3BQA0_SNAPC5.pdf</t>
  </si>
  <si>
    <t>Melting_Curves/meltCurve_H3BQM0_PAPD5.pdf</t>
  </si>
  <si>
    <t>Melting_Curves/meltCurve_H3BQV3_COG8.pdf</t>
  </si>
  <si>
    <t>Melting_Curves/meltCurve_H3BR82_SPNS1.pdf</t>
  </si>
  <si>
    <t>Melting_Curves/meltCurve_H3BRF9_ZFYVE19.pdf</t>
  </si>
  <si>
    <t>Melting_Curves/meltCurve_H3BRL3_UBFD1.pdf</t>
  </si>
  <si>
    <t>Melting_Curves/meltCurve_H3BRN4_ABAT.pdf</t>
  </si>
  <si>
    <t>Melting_Curves/meltCurve_H3BRS1_NFATC3.pdf</t>
  </si>
  <si>
    <t>Melting_Curves/meltCurve_H3BRV0_EIF3C.pdf</t>
  </si>
  <si>
    <t>Melting_Curves/meltCurve_H3BRY6_VWA9.pdf</t>
  </si>
  <si>
    <t>Melting_Curves/meltCurve_H3BS01_C15orf41.pdf</t>
  </si>
  <si>
    <t>Melting_Curves/meltCurve_H3BS06_CCDC154.pdf</t>
  </si>
  <si>
    <t>Melting_Curves/meltCurve_H3BSM7_C16orf58.pdf</t>
  </si>
  <si>
    <t>Melting_Curves/meltCurve_H3BSW6_CTU2.pdf</t>
  </si>
  <si>
    <t>Melting_Curves/meltCurve_H3BT91_CCNDBP1.pdf</t>
  </si>
  <si>
    <t>Melting_Curves/meltCurve_H3BTB7_EARS2.pdf</t>
  </si>
  <si>
    <t>Melting_Curves/meltCurve_H3BTL1_MAP1LC3B.pdf</t>
  </si>
  <si>
    <t>Melting_Curves/meltCurve_H3BTN5_PKM.pdf</t>
  </si>
  <si>
    <t>Melting_Curves/meltCurve_H3BTR4_CENPT.pdf</t>
  </si>
  <si>
    <t>Melting_Curves/meltCurve_H3BTX0_.pdf</t>
  </si>
  <si>
    <t>Melting_Curves/meltCurve_H3BTX7_RNF166.pdf</t>
  </si>
  <si>
    <t>Melting_Curves/meltCurve_H3BU23_CDR2.pdf</t>
  </si>
  <si>
    <t>Melting_Curves/meltCurve_H3BU49_ARL2BP.pdf</t>
  </si>
  <si>
    <t>Melting_Curves/meltCurve_H3BV80_RNPS1.pdf</t>
  </si>
  <si>
    <t>Melting_Curves/meltCurve_H6UMI1_GABARAP.pdf</t>
  </si>
  <si>
    <t>Melting_Curves/meltCurve_H7BXD5_GCA.pdf</t>
  </si>
  <si>
    <t>Melting_Curves/meltCurve_H7BXF4_SMPD4.pdf</t>
  </si>
  <si>
    <t>Melting_Curves/meltCurve_H7BXF5_SAP130.pdf</t>
  </si>
  <si>
    <t>Melting_Curves/meltCurve_H7BXH2_PPP6R3.pdf</t>
  </si>
  <si>
    <t>Melting_Curves/meltCurve_H7BXH9_METTL21A.pdf</t>
  </si>
  <si>
    <t>Melting_Curves/meltCurve_H7BXI1_ESYT2.pdf</t>
  </si>
  <si>
    <t>Melting_Curves/meltCurve_H7BXI5_ERGIC3.pdf</t>
  </si>
  <si>
    <t>Melting_Curves/meltCurve_H7BXL1_TMEM41A.pdf</t>
  </si>
  <si>
    <t>Melting_Curves/meltCurve_H7BXR8_ARHGAP19.pdf</t>
  </si>
  <si>
    <t>Melting_Curves/meltCurve_H7BXW7_MPC1.pdf</t>
  </si>
  <si>
    <t>Melting_Curves/meltCurve_H7BXY3_DHX30.pdf</t>
  </si>
  <si>
    <t>Melting_Curves/meltCurve_H7BY22_ZBTB44.pdf</t>
  </si>
  <si>
    <t>Melting_Curves/meltCurve_H7BY58_PCMT1.pdf</t>
  </si>
  <si>
    <t>Melting_Curves/meltCurve_H7BY84_GTF3C5.pdf</t>
  </si>
  <si>
    <t>Melting_Curves/meltCurve_H7BYE5_WRB.pdf</t>
  </si>
  <si>
    <t>Melting_Curves/meltCurve_H7BYP4_SP140L.pdf</t>
  </si>
  <si>
    <t>Melting_Curves/meltCurve_H7BYY1_TPM1.pdf</t>
  </si>
  <si>
    <t>Melting_Curves/meltCurve_H7BZ11_.pdf</t>
  </si>
  <si>
    <t>Melting_Curves/meltCurve_H7BZJ3_PDIA3.pdf</t>
  </si>
  <si>
    <t>Melting_Curves/meltCurve_H7BZT4_.pdf</t>
  </si>
  <si>
    <t>Melting_Curves/meltCurve_H7C0S3_CDKN3.pdf</t>
  </si>
  <si>
    <t>Melting_Curves/meltCurve_H7C0V4_RTN4R.pdf</t>
  </si>
  <si>
    <t>Melting_Curves/meltCurve_H7C128_BRD8.pdf</t>
  </si>
  <si>
    <t>Melting_Curves/meltCurve_H7C155_RAF1.pdf</t>
  </si>
  <si>
    <t>Melting_Curves/meltCurve_H7C173_MZT2B.pdf</t>
  </si>
  <si>
    <t>Melting_Curves/meltCurve_H7C1F9_RALGAPA2.pdf</t>
  </si>
  <si>
    <t>Melting_Curves/meltCurve_H7C1I0_SLC35E1.pdf</t>
  </si>
  <si>
    <t>Melting_Curves/meltCurve_H7C1Q1_.pdf</t>
  </si>
  <si>
    <t>Melting_Curves/meltCurve_H7C1U3_CC2D1B.pdf</t>
  </si>
  <si>
    <t>Melting_Curves/meltCurve_H7C1U8_APOO.pdf</t>
  </si>
  <si>
    <t>Melting_Curves/meltCurve_H7C285_TSPAN15.pdf</t>
  </si>
  <si>
    <t>Melting_Curves/meltCurve_H7C3A6_C1orf86.pdf</t>
  </si>
  <si>
    <t>Melting_Curves/meltCurve_H7C3D5_FAM134A.pdf</t>
  </si>
  <si>
    <t>Melting_Curves/meltCurve_H7C3D8_CMC1.pdf</t>
  </si>
  <si>
    <t>Melting_Curves/meltCurve_H7C3P4_GNS.pdf</t>
  </si>
  <si>
    <t>Melting_Curves/meltCurve_H7C3T2_ATG2A.pdf</t>
  </si>
  <si>
    <t>Melting_Curves/meltCurve_H7C417_.pdf</t>
  </si>
  <si>
    <t>Melting_Curves/meltCurve_H7C484_ARV1.pdf</t>
  </si>
  <si>
    <t>Melting_Curves/meltCurve_H7C494_DNAJB14.pdf</t>
  </si>
  <si>
    <t>Melting_Curves/meltCurve_H7C4X9_ZMYND8.pdf</t>
  </si>
  <si>
    <t>Melting_Curves/meltCurve_H7C560_BRAF.pdf</t>
  </si>
  <si>
    <t>Melting_Curves/meltCurve_H7C561_SF1.pdf</t>
  </si>
  <si>
    <t>Melting_Curves/meltCurve_H7C5F7_NDFIP2.pdf</t>
  </si>
  <si>
    <t>Melting_Curves/meltCurve_H7C5G1_IAH1.pdf</t>
  </si>
  <si>
    <t>Melting_Curves/meltCurve_H7C5R8_PARP14.pdf</t>
  </si>
  <si>
    <t>Melting_Curves/meltCurve_H9KV44_EFR3A.pdf</t>
  </si>
  <si>
    <t>Melting_Curves/meltCurve_H9KV59_PRC1.pdf</t>
  </si>
  <si>
    <t>Melting_Curves/meltCurve_H9KVB8_MICU1.pdf</t>
  </si>
  <si>
    <t>Melting_Curves/meltCurve_I3L097_.pdf</t>
  </si>
  <si>
    <t>Melting_Curves/meltCurve_I3L0B8_SLC25A52.pdf</t>
  </si>
  <si>
    <t>Melting_Curves/meltCurve_I3L0C1_SMG1.pdf</t>
  </si>
  <si>
    <t>Melting_Curves/meltCurve_I3L0K1_GOSR2.pdf</t>
  </si>
  <si>
    <t>Melting_Curves/meltCurve_I3L0L6_RNF167.pdf</t>
  </si>
  <si>
    <t>Melting_Curves/meltCurve_I3L0N3_NSF.pdf</t>
  </si>
  <si>
    <t>Melting_Curves/meltCurve_I3L0U5_CCDC137.pdf</t>
  </si>
  <si>
    <t>Melting_Curves/meltCurve_I3L112_DGKE.pdf</t>
  </si>
  <si>
    <t>Melting_Curves/meltCurve_I3L1B5_RPGRIP1L.pdf</t>
  </si>
  <si>
    <t>Melting_Curves/meltCurve_I3L1H5_DPH1.pdf</t>
  </si>
  <si>
    <t>Melting_Curves/meltCurve_I3L1K6_MYL4.pdf</t>
  </si>
  <si>
    <t>Melting_Curves/meltCurve_I3L1L3_MYBBP1A.pdf</t>
  </si>
  <si>
    <t>Melting_Curves/meltCurve_I3L1P8_SLC25A11.pdf</t>
  </si>
  <si>
    <t>Melting_Curves/meltCurve_I3L1Q3_ELP5.pdf</t>
  </si>
  <si>
    <t>Melting_Curves/meltCurve_I3L232_B3GNTL1.pdf</t>
  </si>
  <si>
    <t>Melting_Curves/meltCurve_I3L2B0_CLUH.pdf</t>
  </si>
  <si>
    <t>Melting_Curves/meltCurve_I3L2C7_GEMIN4.pdf</t>
  </si>
  <si>
    <t>Melting_Curves/meltCurve_I3L2J0_CIC.pdf</t>
  </si>
  <si>
    <t>Melting_Curves/meltCurve_I3L2J8_AZI1.pdf</t>
  </si>
  <si>
    <t>Melting_Curves/meltCurve_I3L2L5_FAM195B.pdf</t>
  </si>
  <si>
    <t>Melting_Curves/meltCurve_I3L3A8_PELP1.pdf</t>
  </si>
  <si>
    <t>Melting_Curves/meltCurve_I3L3B4_.pdf</t>
  </si>
  <si>
    <t>Melting_Curves/meltCurve_I3L413_CCNE1.pdf</t>
  </si>
  <si>
    <t>Melting_Curves/meltCurve_I3L448_ATPAF1.pdf</t>
  </si>
  <si>
    <t>Melting_Curves/meltCurve_I3L4C3_SPAG7.pdf</t>
  </si>
  <si>
    <t>Melting_Curves/meltCurve_I3L4J3_KANSL1.pdf</t>
  </si>
  <si>
    <t>Melting_Curves/meltCurve_I3L4X3_NFKBIB.pdf</t>
  </si>
  <si>
    <t>Melting_Curves/meltCurve_I3L4X7_GPS2.pdf</t>
  </si>
  <si>
    <t>Melting_Curves/meltCurve_J3KMW4_CENPI.pdf</t>
  </si>
  <si>
    <t>Melting_Curves/meltCurve_J3KMW8_CACTIN.pdf</t>
  </si>
  <si>
    <t>Melting_Curves/meltCurve_J3KMX2_SMARCD2.pdf</t>
  </si>
  <si>
    <t>Melting_Curves/meltCurve_J3KMY5_NPC2.pdf</t>
  </si>
  <si>
    <t>Melting_Curves/meltCurve_J3KMZ7_INTS2.pdf</t>
  </si>
  <si>
    <t>Melting_Curves/meltCurve_J3KMZ9_LDLR.pdf</t>
  </si>
  <si>
    <t>Melting_Curves/meltCurve_J3KN16_KIAA0368.pdf</t>
  </si>
  <si>
    <t>Melting_Curves/meltCurve_J3KN27_FBRSL1.pdf</t>
  </si>
  <si>
    <t>Melting_Curves/meltCurve_J3KN29_PSMD9.pdf</t>
  </si>
  <si>
    <t>Melting_Curves/meltCurve_J3KN32_RCOR1.pdf</t>
  </si>
  <si>
    <t>Melting_Curves/meltCurve_J3KN47_TF.pdf</t>
  </si>
  <si>
    <t>Melting_Curves/meltCurve_J3KN59_BNIP2.pdf</t>
  </si>
  <si>
    <t>Melting_Curves/meltCurve_J3KN66_TOR1AIP1.pdf</t>
  </si>
  <si>
    <t>Melting_Curves/meltCurve_J3KN67_TPM3.pdf</t>
  </si>
  <si>
    <t>Melting_Curves/meltCurve_J3KN69_NCEH1.pdf</t>
  </si>
  <si>
    <t>Melting_Curves/meltCurve_J3KNA0_OXA1L.pdf</t>
  </si>
  <si>
    <t>Melting_Curves/meltCurve_J3KNB8_MAP3K4.pdf</t>
  </si>
  <si>
    <t>Melting_Curves/meltCurve_J3KNF4_CCS.pdf</t>
  </si>
  <si>
    <t>Melting_Curves/meltCurve_J3KNF5_CEP290.pdf</t>
  </si>
  <si>
    <t>Melting_Curves/meltCurve_J3KNF8_CYB5B.pdf</t>
  </si>
  <si>
    <t>Melting_Curves/meltCurve_J3KNG8_FNIP1.pdf</t>
  </si>
  <si>
    <t>Melting_Curves/meltCurve_J3KNI1_COG4.pdf</t>
  </si>
  <si>
    <t>Melting_Curves/meltCurve_J3KNL2_SEPT1.pdf</t>
  </si>
  <si>
    <t>Melting_Curves/meltCurve_J3KNL3_CHID1.pdf</t>
  </si>
  <si>
    <t>Melting_Curves/meltCurve_J3KNL6_SEC16A.pdf</t>
  </si>
  <si>
    <t>Melting_Curves/meltCurve_J3KNN3_PHKG2.pdf</t>
  </si>
  <si>
    <t>Melting_Curves/meltCurve_J3KNN5_DDX41.pdf</t>
  </si>
  <si>
    <t>Melting_Curves/meltCurve_J3KNN7_BRAP.pdf</t>
  </si>
  <si>
    <t>Melting_Curves/meltCurve_J3KNP4_SEMA4B.pdf</t>
  </si>
  <si>
    <t>Melting_Curves/meltCurve_J3KNR0_MARK3.pdf</t>
  </si>
  <si>
    <t>Melting_Curves/meltCurve_J3KNV1_ZNF292.pdf</t>
  </si>
  <si>
    <t>Melting_Curves/meltCurve_J3KNW4_FHL2.pdf</t>
  </si>
  <si>
    <t>Melting_Curves/meltCurve_J3KNZ9_FBRS.pdf</t>
  </si>
  <si>
    <t>Melting_Curves/meltCurve_J3KP15_SRSF2.pdf</t>
  </si>
  <si>
    <t>Melting_Curves/meltCurve_J3KP19_SIPA1L1.pdf</t>
  </si>
  <si>
    <t>Melting_Curves/meltCurve_J3KP22_PTPRA.pdf</t>
  </si>
  <si>
    <t>Melting_Curves/meltCurve_J3KP26_ANKRD46.pdf</t>
  </si>
  <si>
    <t>Melting_Curves/meltCurve_J3KP75_PHACTR2.pdf</t>
  </si>
  <si>
    <t>Melting_Curves/meltCurve_J3KPC5_RAP1GAP.pdf</t>
  </si>
  <si>
    <t>Melting_Curves/meltCurve_J3KPD3_RBM7.pdf</t>
  </si>
  <si>
    <t>Melting_Curves/meltCurve_J3KPF9_KIF3A.pdf</t>
  </si>
  <si>
    <t>Melting_Curves/meltCurve_J3KPG6_PSTPIP1.pdf</t>
  </si>
  <si>
    <t>Melting_Curves/meltCurve_J3KPK1_SYNJ1.pdf</t>
  </si>
  <si>
    <t>Melting_Curves/meltCurve_J3KPL1_PNPLA8.pdf</t>
  </si>
  <si>
    <t>Melting_Curves/meltCurve_J3KPN1_TESC.pdf</t>
  </si>
  <si>
    <t>Melting_Curves/meltCurve_J3KPP7_ARRB1.pdf</t>
  </si>
  <si>
    <t>Melting_Curves/meltCurve_J3KPQ4_ARHGAP9.pdf</t>
  </si>
  <si>
    <t>Melting_Curves/meltCurve_J3KPS0_DNAJB12.pdf</t>
  </si>
  <si>
    <t>Melting_Curves/meltCurve_J3KPT4_TRABD.pdf</t>
  </si>
  <si>
    <t>Melting_Curves/meltCurve_J3KPW7_HDAC2.pdf</t>
  </si>
  <si>
    <t>Melting_Curves/meltCurve_J3KPY9_ANTXR2.pdf</t>
  </si>
  <si>
    <t>Melting_Curves/meltCurve_J3KPZ4_C1D.pdf</t>
  </si>
  <si>
    <t>Melting_Curves/meltCurve_J3KPZ8_RFXANK.pdf</t>
  </si>
  <si>
    <t>Melting_Curves/meltCurve_J3KQ32_OLA1.pdf</t>
  </si>
  <si>
    <t>Melting_Curves/meltCurve_J3KQ34_COPS7B.pdf</t>
  </si>
  <si>
    <t>Melting_Curves/meltCurve_J3KQ45_TGOLN2.pdf</t>
  </si>
  <si>
    <t>Melting_Curves/meltCurve_J3KQ48_PTRH2.pdf</t>
  </si>
  <si>
    <t>Melting_Curves/meltCurve_J3KQ72_FBXO6.pdf</t>
  </si>
  <si>
    <t>Melting_Curves/meltCurve_J3KQ88_C6orf203.pdf</t>
  </si>
  <si>
    <t>Melting_Curves/meltCurve_J3KQ97_C6orf120.pdf</t>
  </si>
  <si>
    <t>Melting_Curves/meltCurve_J3KQA4_SLC25A36.pdf</t>
  </si>
  <si>
    <t>Melting_Curves/meltCurve_J3KQB0_THUMPD1.pdf</t>
  </si>
  <si>
    <t>Melting_Curves/meltCurve_J3KQD0_FAM213B.pdf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</si>
  <si>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</si>
  <si>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</si>
  <si>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</si>
  <si>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</si>
  <si>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Melting_Curves/meltCurve_J3KQS6_BABAM1.pdf</t>
  </si>
  <si>
    <t>Melting_Curves/meltCurve_J3KR15_NAPEPLD.pdf</t>
  </si>
  <si>
    <t>Melting_Curves/meltCurve_J3KR33_MED19.pdf</t>
  </si>
  <si>
    <t>Melting_Curves/meltCurve_J3KR35_CCDC12.pdf</t>
  </si>
  <si>
    <t>Melting_Curves/meltCurve_J3KR72_TAF6.pdf</t>
  </si>
  <si>
    <t>Melting_Curves/meltCurve_J3KR97_TBCD.pdf</t>
  </si>
  <si>
    <t>Melting_Curves/meltCurve_J3KRC8_C16orf55.pdf</t>
  </si>
  <si>
    <t>Melting_Curves/meltCurve_J3KRP6_SS18.pdf</t>
  </si>
  <si>
    <t>Melting_Curves/meltCurve_J3KS05_CBX1.pdf</t>
  </si>
  <si>
    <t>Melting_Curves/meltCurve_J3KS15_ICT1.pdf</t>
  </si>
  <si>
    <t>Melting_Curves/meltCurve_J3KS81_TMEM199.pdf</t>
  </si>
  <si>
    <t>Melting_Curves/meltCurve_J3KTA1_FBXL20.pdf</t>
  </si>
  <si>
    <t>Melting_Curves/meltCurve_J3KTL1_ZNF207.pdf</t>
  </si>
  <si>
    <t>Melting_Curves/meltCurve_J3KTL2_SRSF1.pdf</t>
  </si>
  <si>
    <t>Melting_Curves/meltCurve_J3QK89_CHERP.pdf</t>
  </si>
  <si>
    <t>Melting_Curves/meltCurve_J3QL56_SCO1.pdf</t>
  </si>
  <si>
    <t>Melting_Curves/meltCurve_J3QL71_SCRN2.pdf</t>
  </si>
  <si>
    <t>Melting_Curves/meltCurve_J3QLC9_HP.pdf</t>
  </si>
  <si>
    <t>Melting_Curves/meltCurve_J3QLM1_STARD3.pdf</t>
  </si>
  <si>
    <t>Melting_Curves/meltCurve_J3QLS3_MRPS7.pdf</t>
  </si>
  <si>
    <t>Melting_Curves/meltCurve_J3QLV8_SNX11.pdf</t>
  </si>
  <si>
    <t>Melting_Curves/meltCurve_J3QQJ0_SAP30BP.pdf</t>
  </si>
  <si>
    <t>Melting_Curves/meltCurve_J3QQJ5_TRAPPC8.pdf</t>
  </si>
  <si>
    <t>Melting_Curves/meltCurve_J3QQK6_MBP.pdf</t>
  </si>
  <si>
    <t>Melting_Curves/meltCurve_J3QQT2_RPL17.pdf</t>
  </si>
  <si>
    <t>Melting_Curves/meltCurve_J3QQX3_FDXR.pdf</t>
  </si>
  <si>
    <t>Melting_Curves/meltCurve_J3QQY0_MSL1.pdf</t>
  </si>
  <si>
    <t>Melting_Curves/meltCurve_J3QR01_STRA13.pdf</t>
  </si>
  <si>
    <t>Melting_Curves/meltCurve_J3QR07_YTHDC1.pdf</t>
  </si>
  <si>
    <t>Melting_Curves/meltCurve_J3QR09_RPL19.pdf</t>
  </si>
  <si>
    <t>Melting_Curves/meltCurve_J3QR77_CD226.pdf</t>
  </si>
  <si>
    <t>Melting_Curves/meltCurve_J3QRD1_ALDH3A2.pdf</t>
  </si>
  <si>
    <t>Melting_Curves/meltCurve_J3QRM9_ORMDL3.pdf</t>
  </si>
  <si>
    <t>Melting_Curves/meltCurve_J3QRS3_MYL12A.pdf</t>
  </si>
  <si>
    <t>Melting_Curves/meltCurve_J3QRS9_ZNF207.pdf</t>
  </si>
  <si>
    <t>Melting_Curves/meltCurve_J3QRU4_VAMP2.pdf</t>
  </si>
  <si>
    <t>Melting_Curves/meltCurve_J3QSH4_VEZF1.pdf</t>
  </si>
  <si>
    <t>Melting_Curves/meltCurve_J3QT56_HYPK.pdf</t>
  </si>
  <si>
    <t>Melting_Curves/meltCurve_J3QT87_CRBN.pdf</t>
  </si>
  <si>
    <t>Melting_Curves/meltCurve_J3QTA2_BAG1.pdf</t>
  </si>
  <si>
    <t>Melting_Curves/meltCurve_J3QTA6_CHCHD6.pdf</t>
  </si>
  <si>
    <t>Melting_Curves/meltCurve_J3QTL0_TTC40.pdf</t>
  </si>
  <si>
    <t>Melting_Curves/meltCurve_J3QTV4_RGPD2.pdf</t>
  </si>
  <si>
    <t>Melting_Curves/meltCurve_J9JIC5_C17orf75.pdf</t>
  </si>
  <si>
    <t>Melting_Curves/meltCurve_J9JID7_LMNB2.pdf</t>
  </si>
  <si>
    <t>Melting_Curves/meltCurve_J9JIE6_TMCO1.pdf</t>
  </si>
  <si>
    <t>Melting_Curves/meltCurve_K4DI92_RWDD4.pdf</t>
  </si>
  <si>
    <t>Melting_Curves/meltCurve_K4DI93_CUL4B.pdf</t>
  </si>
  <si>
    <t>Melting_Curves/meltCurve_K7EID0_MLX.pdf</t>
  </si>
  <si>
    <t>Melting_Curves/meltCurve_K7EIG1_CLUH.pdf</t>
  </si>
  <si>
    <t>Melting_Curves/meltCurve_K7EIJ0_WBP2.pdf</t>
  </si>
  <si>
    <t>Melting_Curves/meltCurve_K7EIN2_NUDT16L1.pdf</t>
  </si>
  <si>
    <t>Melting_Curves/meltCurve_K7EIU8_SMAD4.pdf</t>
  </si>
  <si>
    <t>Melting_Curves/meltCurve_K7EIX2_HEATR6.pdf</t>
  </si>
  <si>
    <t>Melting_Curves/meltCurve_K7EIY4_STX10.pdf</t>
  </si>
  <si>
    <t>Melting_Curves/meltCurve_K7EJ78_RPS15.pdf</t>
  </si>
  <si>
    <t>Melting_Curves/meltCurve_K7EJB9_CALR.pdf</t>
  </si>
  <si>
    <t>Melting_Curves/meltCurve_K7EJH0_SPC24.pdf</t>
  </si>
  <si>
    <t>Melting_Curves/meltCurve_K7EJQ7_SEC11C.pdf</t>
  </si>
  <si>
    <t>Melting_Curves/meltCurve_K7EK00_FAM210A.pdf</t>
  </si>
  <si>
    <t>Melting_Curves/meltCurve_K7EK07_H3F3B.pdf</t>
  </si>
  <si>
    <t>Melting_Curves/meltCurve_K7EK99_LIN37.pdf</t>
  </si>
  <si>
    <t>Melting_Curves/meltCurve_K7EKE6_LONP1.pdf</t>
  </si>
  <si>
    <t>Melting_Curves/meltCurve_K7EKI0_EVPL.pdf</t>
  </si>
  <si>
    <t>Melting_Curves/meltCurve_K7EKI8_PPL.pdf</t>
  </si>
  <si>
    <t>Melting_Curves/meltCurve_K7EKQ4_C19orf40.pdf</t>
  </si>
  <si>
    <t>Melting_Curves/meltCurve_K7EKW3_TMUB2.pdf</t>
  </si>
  <si>
    <t>Melting_Curves/meltCurve_K7EL68_CDC37.pdf</t>
  </si>
  <si>
    <t>Melting_Curves/meltCurve_K7EL81_PPP1R12C.pdf</t>
  </si>
  <si>
    <t>Melting_Curves/meltCurve_K7ELL7_PRKCSH.pdf</t>
  </si>
  <si>
    <t>Melting_Curves/meltCurve_K7EM02_KATNAL2.pdf</t>
  </si>
  <si>
    <t>Melting_Curves/meltCurve_K7EM09_TMEM205.pdf</t>
  </si>
  <si>
    <t>Melting_Curves/meltCurve_K7EM38_ACTG1.pdf</t>
  </si>
  <si>
    <t>Melting_Curves/meltCurve_K7EMK7_TLE2.pdf</t>
  </si>
  <si>
    <t>Melting_Curves/meltCurve_K7EMM8_GLYR1.pdf</t>
  </si>
  <si>
    <t>Melting_Curves/meltCurve_K7EMV5_ZNF444.pdf</t>
  </si>
  <si>
    <t>Melting_Curves/meltCurve_K7EN05_ELOF1.pdf</t>
  </si>
  <si>
    <t>Melting_Curves/meltCurve_K7EN88_hCG_2039718.pdf</t>
  </si>
  <si>
    <t>Melting_Curves/meltCurve_K7ENF0_NARS.pdf</t>
  </si>
  <si>
    <t>Melting_Curves/meltCurve_K7ENL9_C18orf8.pdf</t>
  </si>
  <si>
    <t>Melting_Curves/meltCurve_K7ENR6_PSMG2.pdf</t>
  </si>
  <si>
    <t>Melting_Curves/meltCurve_K7ENV7_ISOC2.pdf</t>
  </si>
  <si>
    <t>Melting_Curves/meltCurve_K7EP90_RBM42.pdf</t>
  </si>
  <si>
    <t>Melting_Curves/meltCurve_K7EQE7_TMEM161A.pdf</t>
  </si>
  <si>
    <t>Melting_Curves/meltCurve_K7EQR1_UBN1.pdf</t>
  </si>
  <si>
    <t>Melting_Curves/meltCurve_K7EQU4_SAFB2.pdf</t>
  </si>
  <si>
    <t>Melting_Curves/meltCurve_K7EQW8_TPM4.pdf</t>
  </si>
  <si>
    <t>Melting_Curves/meltCurve_K7ER00_FARSA.pdf</t>
  </si>
  <si>
    <t>Melting_Curves/meltCurve_K7ER95_MAP4K1.pdf</t>
  </si>
  <si>
    <t>Melting_Curves/meltCurve_K7ERF1_EIF3K.pdf</t>
  </si>
  <si>
    <t>Melting_Curves/meltCurve_K7ERH3_GJC1.pdf</t>
  </si>
  <si>
    <t>Melting_Curves/meltCurve_K7ERQ0_YIF1B.pdf</t>
  </si>
  <si>
    <t>Melting_Curves/meltCurve_K7ERU0_ZNF580.pdf</t>
  </si>
  <si>
    <t>Melting_Curves/meltCurve_K7ERV4_PQLC1.pdf</t>
  </si>
  <si>
    <t>Melting_Curves/meltCurve_K7ES11_UBE2O.pdf</t>
  </si>
  <si>
    <t>Melting_Curves/meltCurve_K7ES84_FAM86A.pdf</t>
  </si>
  <si>
    <t>Melting_Curves/meltCurve_K7ESE3_RAD23A.pdf</t>
  </si>
  <si>
    <t>Melting_Curves/meltCurve_K7ESG9_NFIX.pdf</t>
  </si>
  <si>
    <t>Melting_Curves/meltCurve_K7ESI9_DNM2.pdf</t>
  </si>
  <si>
    <t>Melting_Curves/meltCurve_K7ESP4_DCAKD.pdf</t>
  </si>
  <si>
    <t>Melting_Curves/meltCurve_M0QWZ7_SARS2.pdf</t>
  </si>
  <si>
    <t>Melting_Curves/meltCurve_M0QX35_PAF1.pdf</t>
  </si>
  <si>
    <t>Melting_Curves/meltCurve_M0QX57_KLK3.pdf</t>
  </si>
  <si>
    <t>Melting_Curves/meltCurve_M0QXA7_WIZ.pdf</t>
  </si>
  <si>
    <t>Melting_Curves/meltCurve_M0QXZ5_ZNF428.pdf</t>
  </si>
  <si>
    <t>Melting_Curves/meltCurve_M0QY97_ZC3H4.pdf</t>
  </si>
  <si>
    <t>Melting_Curves/meltCurve_M0QYD2_ANO8.pdf</t>
  </si>
  <si>
    <t>Melting_Curves/meltCurve_M0QYM7_TUBB4A.pdf</t>
  </si>
  <si>
    <t>Melting_Curves/meltCurve_M0QYS1_RPL13A.pdf</t>
  </si>
  <si>
    <t>Melting_Curves/meltCurve_M0QZ12_GRAMD1A.pdf</t>
  </si>
  <si>
    <t>Melting_Curves/meltCurve_M0QZ22_SAMD4B.pdf</t>
  </si>
  <si>
    <t>Melting_Curves/meltCurve_M0QZI3_FCHO1.pdf</t>
  </si>
  <si>
    <t>Melting_Curves/meltCurve_M0QZL8_JOSD2.pdf</t>
  </si>
  <si>
    <t>Melting_Curves/meltCurve_M0QZM1_HNRNPM.pdf</t>
  </si>
  <si>
    <t>Melting_Curves/meltCurve_M0QZP6_CD37.pdf</t>
  </si>
  <si>
    <t>Melting_Curves/meltCurve_M0QZR4_ARHGEF1.pdf</t>
  </si>
  <si>
    <t>Melting_Curves/meltCurve_M0QZW1_PRKD2.pdf</t>
  </si>
  <si>
    <t>Melting_Curves/meltCurve_M0R042_TUBB4A.pdf</t>
  </si>
  <si>
    <t>Melting_Curves/meltCurve_M0R087_ZNF575.pdf</t>
  </si>
  <si>
    <t>Melting_Curves/meltCurve_M0R0B4_KXD1.pdf</t>
  </si>
  <si>
    <t>Melting_Curves/meltCurve_M0R0F0_RPS5.pdf</t>
  </si>
  <si>
    <t>Melting_Curves/meltCurve_M0R0N4_AP2S1.pdf</t>
  </si>
  <si>
    <t>Melting_Curves/meltCurve_M0R150_.pdf</t>
  </si>
  <si>
    <t>Melting_Curves/meltCurve_M0R226_MRPL34.pdf</t>
  </si>
  <si>
    <t>Melting_Curves/meltCurve_M0R2A0_EMC10.pdf</t>
  </si>
  <si>
    <t>Melting_Curves/meltCurve_M0R2B7_POLD1.pdf</t>
  </si>
  <si>
    <t>Melting_Curves/meltCurve_M0R2P6_SHKBP1.pdf</t>
  </si>
  <si>
    <t>Melting_Curves/meltCurve_M0R300_MYO9B.pdf</t>
  </si>
  <si>
    <t>Melting_Curves/meltCurve_M0R3D4_RABAC1.pdf</t>
  </si>
  <si>
    <t>Melting_Curves/meltCurve_O00116_AGPS.pdf</t>
  </si>
  <si>
    <t>Melting_Curves/meltCurve_O00124_3_UBXN8.pdf</t>
  </si>
  <si>
    <t>Melting_Curves/meltCurve_O00139_KIF2A.pdf</t>
  </si>
  <si>
    <t>Melting_Curves/meltCurve_O00148_DDX39A.pdf</t>
  </si>
  <si>
    <t>Melting_Curves/meltCurve_O00151_PDLIM1.pdf</t>
  </si>
  <si>
    <t>Melting_Curves/meltCurve_O00154_4_ACOT7.pdf</t>
  </si>
  <si>
    <t>Melting_Curves/meltCurve_O00161_SNAP23.pdf</t>
  </si>
  <si>
    <t>Melting_Curves/meltCurve_O00165_HAX1.pdf</t>
  </si>
  <si>
    <t>Melting_Curves/meltCurve_O00170_AIP.pdf</t>
  </si>
  <si>
    <t>Melting_Curves/meltCurve_O00178_GTPBP1.pdf</t>
  </si>
  <si>
    <t>Melting_Curves/meltCurve_O00180_KCNK1.pdf</t>
  </si>
  <si>
    <t>Melting_Curves/meltCurve_O00186_STXBP3.pdf</t>
  </si>
  <si>
    <t>Melting_Curves/meltCurve_O00214_LGALS8.pdf</t>
  </si>
  <si>
    <t>Melting_Curves/meltCurve_O00217_NDUFS8.pdf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</si>
  <si>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</si>
  <si>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</si>
  <si>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</si>
  <si>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</si>
  <si>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Melting_Curves/meltCurve_O00255_2_MEN1.pdf</t>
  </si>
  <si>
    <t>Melting_Curves/meltCurve_O00257_CBX4.pdf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</si>
  <si>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</si>
  <si>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</si>
  <si>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</si>
  <si>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</si>
  <si>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Melting_Curves/meltCurve_O00287_RFXAP.pdf</t>
  </si>
  <si>
    <t>Melting_Curves/meltCurve_O00291_HIP1.pdf</t>
  </si>
  <si>
    <t>Melting_Curves/meltCurve_O00299_CLIC1.pdf</t>
  </si>
  <si>
    <t>Melting_Curves/meltCurve_O00308_WWP2.pdf</t>
  </si>
  <si>
    <t>Melting_Curves/meltCurve_O00329_PIK3CD.pdf</t>
  </si>
  <si>
    <t>Melting_Curves/meltCurve_O00330_PDHX.pdf</t>
  </si>
  <si>
    <t>Melting_Curves/meltCurve_O00391_QSOX1.pdf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</si>
  <si>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</si>
  <si>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</si>
  <si>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</si>
  <si>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</si>
  <si>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</si>
  <si>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Melting_Curves/meltCurve_O00422_SAP18.pdf</t>
  </si>
  <si>
    <t>Melting_Curves/meltCurve_O00425_IGF2BP3.pdf</t>
  </si>
  <si>
    <t>Melting_Curves/meltCurve_O00429_DNM1L.pdf</t>
  </si>
  <si>
    <t>Melting_Curves/meltCurve_O00429_2_DNM1L.pdf</t>
  </si>
  <si>
    <t>Melting_Curves/meltCurve_O00429_3_DNM1L.pdf</t>
  </si>
  <si>
    <t>Melting_Curves/meltCurve_O00429_4_DNM1L.pdf</t>
  </si>
  <si>
    <t>Melting_Curves/meltCurve_O00442_RTCA.pdf</t>
  </si>
  <si>
    <t>Melting_Curves/meltCurve_O00459_PIK3R2.pdf</t>
  </si>
  <si>
    <t>Melting_Curves/meltCurve_O00462_MANBA.pdf</t>
  </si>
  <si>
    <t>Melting_Curves/meltCurve_O00463_TRAF5.pdf</t>
  </si>
  <si>
    <t>Melting_Curves/meltCurve_O00471_EXOC5.pdf</t>
  </si>
  <si>
    <t>Melting_Curves/meltCurve_O00479_HMGN4.pdf</t>
  </si>
  <si>
    <t>Melting_Curves/meltCurve_O00481_BTN3A1.pdf</t>
  </si>
  <si>
    <t>Melting_Curves/meltCurve_O00483_NDUFA4.pdf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</si>
  <si>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</si>
  <si>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</si>
  <si>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</si>
  <si>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</si>
  <si>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</si>
  <si>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</si>
  <si>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Melting_Curves/meltCurve_O00534_VWA5A.pdf</t>
  </si>
  <si>
    <t>Melting_Curves/meltCurve_O00560_SDCBP.pdf</t>
  </si>
  <si>
    <t>Melting_Curves/meltCurve_O00566_MPHOSPH10.pdf</t>
  </si>
  <si>
    <t>Melting_Curves/meltCurve_O00567_NOP56.pdf</t>
  </si>
  <si>
    <t>Melting_Curves/meltCurve_O00571_DDX3X.pdf</t>
  </si>
  <si>
    <t>Melting_Curves/meltCurve_O00623_PEX12.pdf</t>
  </si>
  <si>
    <t>Melting_Curves/meltCurve_O00629_KPNA4.pdf</t>
  </si>
  <si>
    <t>Melting_Curves/meltCurve_O00716_2_E2F3.pdf</t>
  </si>
  <si>
    <t>Melting_Curves/meltCurve_O00743_PPP6C.pdf</t>
  </si>
  <si>
    <t>Melting_Curves/meltCurve_O00754_2_MAN2B1.pdf</t>
  </si>
  <si>
    <t>Melting_Curves/meltCurve_O00762_2_UBE2C.pdf</t>
  </si>
  <si>
    <t>Melting_Curves/meltCurve_O00764_PDXK.pdf</t>
  </si>
  <si>
    <t>Melting_Curves/meltCurve_O00767_SCD.pdf</t>
  </si>
  <si>
    <t>Melting_Curves/meltCurve_O14497_ARID1A.pdf</t>
  </si>
  <si>
    <t>Melting_Curves/meltCurve_O14519_2_CDK2AP1.pdf</t>
  </si>
  <si>
    <t>Melting_Curves/meltCurve_O14523_C2CD2L.pdf</t>
  </si>
  <si>
    <t>Melting_Curves/meltCurve_O14524_2_TMEM194A.pdf</t>
  </si>
  <si>
    <t>Melting_Curves/meltCurve_O14530_TXNDC9.pdf</t>
  </si>
  <si>
    <t>Melting_Curves/meltCurve_O14545_TRAFD1.pdf</t>
  </si>
  <si>
    <t>Melting_Curves/meltCurve_O14548_COX7A2L.pdf</t>
  </si>
  <si>
    <t>Melting_Curves/meltCurve_O14561_NDUFAB1.pdf</t>
  </si>
  <si>
    <t>Melting_Curves/meltCurve_O14569_CYB561D2.pdf</t>
  </si>
  <si>
    <t>Melting_Curves/meltCurve_O14578_4_CIT.pdf</t>
  </si>
  <si>
    <t>Melting_Curves/meltCurve_O14579_COPE.pdf</t>
  </si>
  <si>
    <t>Melting_Curves/meltCurve_O14602_EIF1AY.pdf</t>
  </si>
  <si>
    <t>Melting_Curves/meltCurve_O14617_4_AP3D1.pdf</t>
  </si>
  <si>
    <t>Melting_Curves/meltCurve_O14656_TOR1A.pdf</t>
  </si>
  <si>
    <t>Melting_Curves/meltCurve_O14657_TOR1B.pdf</t>
  </si>
  <si>
    <t>Melting_Curves/meltCurve_O14662_2_STX16.pdf</t>
  </si>
  <si>
    <t>Melting_Curves/meltCurve_O14672_ADAM10.pdf</t>
  </si>
  <si>
    <t>Melting_Curves/meltCurve_O14686_MLL2.pdf</t>
  </si>
  <si>
    <t>Melting_Curves/meltCurve_O14732_2_IMPA2.pdf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</si>
  <si>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</si>
  <si>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</si>
  <si>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</si>
  <si>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</si>
  <si>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</si>
  <si>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</si>
  <si>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</si>
  <si>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Melting_Curves/meltCurve_O14773_2_TPP1.pdf</t>
  </si>
  <si>
    <t>Melting_Curves/meltCurve_O14775_3_GNB5.pdf</t>
  </si>
  <si>
    <t>Melting_Curves/meltCurve_O14776_2_TCERG1.pdf</t>
  </si>
  <si>
    <t>Melting_Curves/meltCurve_O14777_NDC80.pdf</t>
  </si>
  <si>
    <t>Melting_Curves/meltCurve_O14787_2_TNPO2.pdf</t>
  </si>
  <si>
    <t>Melting_Curves/meltCurve_O14802_POLR3A.pdf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</si>
  <si>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</si>
  <si>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</si>
  <si>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</si>
  <si>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</si>
  <si>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Melting_Curves/meltCurve_O14893_2_GEMIN2.pdf</t>
  </si>
  <si>
    <t>Melting_Curves/meltCurve_O14907_TAX1BP3.pdf</t>
  </si>
  <si>
    <t>Melting_Curves/meltCurve_O14908_GIPC1.pdf</t>
  </si>
  <si>
    <t>Melting_Curves/meltCurve_O14920_IKBKB.pdf</t>
  </si>
  <si>
    <t>Melting_Curves/meltCurve_O14925_TIMM23.pdf</t>
  </si>
  <si>
    <t>Melting_Curves/meltCurve_O14929_HAT1.pdf</t>
  </si>
  <si>
    <t>Melting_Curves/meltCurve_O14933_UBE2L6.pdf</t>
  </si>
  <si>
    <t>Melting_Curves/meltCurve_O14949_UQCRQ.pdf</t>
  </si>
  <si>
    <t>Melting_Curves/meltCurve_O14964_HGS.pdf</t>
  </si>
  <si>
    <t>Melting_Curves/meltCurve_O14965_AURKA.pdf</t>
  </si>
  <si>
    <t>Melting_Curves/meltCurve_O14966_RAB7L1.pdf</t>
  </si>
  <si>
    <t>Melting_Curves/meltCurve_O14967_CLGN.pdf</t>
  </si>
  <si>
    <t>Melting_Curves/meltCurve_O14974_4_PPP1R12A.pdf</t>
  </si>
  <si>
    <t>Melting_Curves/meltCurve_O14975_2_SLC27A2.pdf</t>
  </si>
  <si>
    <t>Melting_Curves/meltCurve_O14976_GAK.pdf</t>
  </si>
  <si>
    <t>Melting_Curves/meltCurve_O14979_HNRPDL.pdf</t>
  </si>
  <si>
    <t>Melting_Curves/meltCurve_O14980_XPO1.pdf</t>
  </si>
  <si>
    <t>Melting_Curves/meltCurve_O14981_BTAF1.pdf</t>
  </si>
  <si>
    <t>Melting_Curves/meltCurve_O15014_ZNF609.pdf</t>
  </si>
  <si>
    <t>Melting_Curves/meltCurve_O15015_ZNF646.pdf</t>
  </si>
  <si>
    <t>Melting_Curves/meltCurve_O15020_2_SPTBN2.pdf</t>
  </si>
  <si>
    <t>Melting_Curves/meltCurve_O15040_TECPR2.pdf</t>
  </si>
  <si>
    <t>Melting_Curves/meltCurve_O15047_SETD1A.pdf</t>
  </si>
  <si>
    <t>Melting_Curves/meltCurve_O15056_SYNJ2.pdf</t>
  </si>
  <si>
    <t>Melting_Curves/meltCurve_O15066_KIF3B.pdf</t>
  </si>
  <si>
    <t>Melting_Curves/meltCurve_O15067_PFAS.pdf</t>
  </si>
  <si>
    <t>Melting_Curves/meltCurve_O15084_ANKRD28.pdf</t>
  </si>
  <si>
    <t>Melting_Curves/meltCurve_O15085_ARHGEF11.pdf</t>
  </si>
  <si>
    <t>Melting_Curves/meltCurve_O15111_CHUK.pdf</t>
  </si>
  <si>
    <t>Melting_Curves/meltCurve_O15116_LSM1.pdf</t>
  </si>
  <si>
    <t>Melting_Curves/meltCurve_O15117_FYB.pdf</t>
  </si>
  <si>
    <t>Melting_Curves/meltCurve_O15118_NPC1.pdf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</si>
  <si>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</si>
  <si>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</si>
  <si>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</si>
  <si>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</si>
  <si>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</si>
  <si>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</si>
  <si>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Melting_Curves/meltCurve_O15155_BET1.pdf</t>
  </si>
  <si>
    <t>Melting_Curves/meltCurve_O15160_POLR1C.pdf</t>
  </si>
  <si>
    <t>Melting_Curves/meltCurve_O15165_5_LDLRAD4.pdf</t>
  </si>
  <si>
    <t>Melting_Curves/meltCurve_O15173_PGRMC2.pdf</t>
  </si>
  <si>
    <t>Melting_Curves/meltCurve_O15197_3_EPHB6.pdf</t>
  </si>
  <si>
    <t>Melting_Curves/meltCurve_O15212_PFDN6.pdf</t>
  </si>
  <si>
    <t>Melting_Curves/meltCurve_O15213_WDR46.pdf</t>
  </si>
  <si>
    <t>Melting_Curves/meltCurve_O15228_GNPAT.pdf</t>
  </si>
  <si>
    <t>Melting_Curves/meltCurve_O15234_CASC3.pdf</t>
  </si>
  <si>
    <t>Melting_Curves/meltCurve_O15235_MRPS12.pdf</t>
  </si>
  <si>
    <t>Melting_Curves/meltCurve_O15254_ACOX3.pdf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</si>
  <si>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</si>
  <si>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</si>
  <si>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</si>
  <si>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</si>
  <si>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</si>
  <si>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Melting_Curves/meltCurve_O15344_MID1.pdf</t>
  </si>
  <si>
    <t>Melting_Curves/meltCurve_O15347_HMGB3.pdf</t>
  </si>
  <si>
    <t>Melting_Curves/meltCurve_O15355_PPM1G.pdf</t>
  </si>
  <si>
    <t>Melting_Curves/meltCurve_O15379_HDAC3.pdf</t>
  </si>
  <si>
    <t>Melting_Curves/meltCurve_O15381_NVL.pdf</t>
  </si>
  <si>
    <t>Melting_Curves/meltCurve_O15382_BCAT2.pdf</t>
  </si>
  <si>
    <t>Melting_Curves/meltCurve_O15392_4_BIRC5.pdf</t>
  </si>
  <si>
    <t>Melting_Curves/meltCurve_O15397_IPO8.pdf</t>
  </si>
  <si>
    <t>Melting_Curves/meltCurve_O15400_2_STX7.pdf</t>
  </si>
  <si>
    <t>Melting_Curves/meltCurve_O15427_SLC16A3.pdf</t>
  </si>
  <si>
    <t>Melting_Curves/meltCurve_O15431_SLC31A1.pdf</t>
  </si>
  <si>
    <t>Melting_Curves/meltCurve_O15439_2_ABCC4.pdf</t>
  </si>
  <si>
    <t>Melting_Curves/meltCurve_O15446_CD3EAP.pdf</t>
  </si>
  <si>
    <t>Melting_Curves/meltCurve_O15498_YKT6.pdf</t>
  </si>
  <si>
    <t>Melting_Curves/meltCurve_O15503_INSIG1.pdf</t>
  </si>
  <si>
    <t>Melting_Curves/meltCurve_O15511_ARPC5.pdf</t>
  </si>
  <si>
    <t>Melting_Curves/meltCurve_O15514_POLR2D.pdf</t>
  </si>
  <si>
    <t>Melting_Curves/meltCurve_O15530_PDPK1.pdf</t>
  </si>
  <si>
    <t>Melting_Curves/meltCurve_O15541_RNF113A.pdf</t>
  </si>
  <si>
    <t>Melting_Curves/meltCurve_O43143_DHX15.pdf</t>
  </si>
  <si>
    <t>Melting_Curves/meltCurve_O43148_RNMT.pdf</t>
  </si>
  <si>
    <t>Melting_Curves/meltCurve_O43149_ZZEF1.pdf</t>
  </si>
  <si>
    <t>Melting_Curves/meltCurve_O43150_2_ASAP2.pdf</t>
  </si>
  <si>
    <t>Melting_Curves/meltCurve_O43156_TTI1.pdf</t>
  </si>
  <si>
    <t>Melting_Curves/meltCurve_O43164_2_PJA2.pdf</t>
  </si>
  <si>
    <t>Melting_Curves/meltCurve_O43172_2_PRPF4.pdf</t>
  </si>
  <si>
    <t>Melting_Curves/meltCurve_O43175_PHGDH.pdf</t>
  </si>
  <si>
    <t>Melting_Curves/meltCurve_O43181_NDUFS4.pdf</t>
  </si>
  <si>
    <t>Melting_Curves/meltCurve_O43237_DYNC1LI2.pdf</t>
  </si>
  <si>
    <t>Melting_Curves/meltCurve_O43242_PSMD3.pdf</t>
  </si>
  <si>
    <t>Melting_Curves/meltCurve_O43252_PAPSS1.pdf</t>
  </si>
  <si>
    <t>Melting_Curves/meltCurve_O43264_ZW10.pdf</t>
  </si>
  <si>
    <t>Melting_Curves/meltCurve_O43286_B4GALT5.pdf</t>
  </si>
  <si>
    <t>Melting_Curves/meltCurve_O43290_SART1.pdf</t>
  </si>
  <si>
    <t>Melting_Curves/meltCurve_O43291_SPINT2.pdf</t>
  </si>
  <si>
    <t>Melting_Curves/meltCurve_O43293_DAPK3.pdf</t>
  </si>
  <si>
    <t>Melting_Curves/meltCurve_O43295_SRGAP3.pdf</t>
  </si>
  <si>
    <t>Melting_Curves/meltCurve_O43299_AP5Z1.pdf</t>
  </si>
  <si>
    <t>Melting_Curves/meltCurve_O43310_CTIF.pdf</t>
  </si>
  <si>
    <t>Melting_Curves/meltCurve_O43310_2_CTIF.pdf</t>
  </si>
  <si>
    <t>Melting_Curves/meltCurve_O43314_2_PPIP5K2.pdf</t>
  </si>
  <si>
    <t>Melting_Curves/meltCurve_O43318_2_MAP3K7.pdf</t>
  </si>
  <si>
    <t>Melting_Curves/meltCurve_O43324_EEF1E1.pdf</t>
  </si>
  <si>
    <t>Melting_Curves/meltCurve_O43390_HNRNPR.pdf</t>
  </si>
  <si>
    <t>Melting_Curves/meltCurve_O43395_PRPF3.pdf</t>
  </si>
  <si>
    <t>Melting_Curves/meltCurve_O43396_TXNL1.pdf</t>
  </si>
  <si>
    <t>Melting_Curves/meltCurve_O43399_TPD52L2.pdf</t>
  </si>
  <si>
    <t>Melting_Curves/meltCurve_O43402_EMC8.pdf</t>
  </si>
  <si>
    <t>Melting_Curves/meltCurve_O43422_PRKRIR.pdf</t>
  </si>
  <si>
    <t>Melting_Curves/meltCurve_O43427_2_FIBP.pdf</t>
  </si>
  <si>
    <t>Melting_Curves/meltCurve_O43432_EIF4G3.pdf</t>
  </si>
  <si>
    <t>Melting_Curves/meltCurve_O43447_PPIH.pdf</t>
  </si>
  <si>
    <t>Melting_Curves/meltCurve_O43448_KCNAB3.pdf</t>
  </si>
  <si>
    <t>Melting_Curves/meltCurve_O43464_3_HTRA2.pdf</t>
  </si>
  <si>
    <t>Melting_Curves/meltCurve_O43482_OIP5.pdf</t>
  </si>
  <si>
    <t>Melting_Curves/meltCurve_O43488_AKR7A2.pdf</t>
  </si>
  <si>
    <t>Melting_Curves/meltCurve_O43502_RAD51C.pdf</t>
  </si>
  <si>
    <t>Melting_Curves/meltCurve_O43504_LAMTOR5.pdf</t>
  </si>
  <si>
    <t>Melting_Curves/meltCurve_O43505_B3GNT1.pdf</t>
  </si>
  <si>
    <t>Melting_Curves/meltCurve_O43513_MED7.pdf</t>
  </si>
  <si>
    <t>Melting_Curves/meltCurve_O43516_WIPF1.pdf</t>
  </si>
  <si>
    <t>Melting_Curves/meltCurve_O43524_FOXO3.pdf</t>
  </si>
  <si>
    <t>Melting_Curves/meltCurve_O43542_XRCC3.pdf</t>
  </si>
  <si>
    <t>Melting_Curves/meltCurve_O43566_RGS14.pdf</t>
  </si>
  <si>
    <t>Melting_Curves/meltCurve_O43567_RNF13.pdf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</si>
  <si>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</si>
  <si>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</si>
  <si>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</si>
  <si>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</si>
  <si>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</si>
  <si>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</si>
  <si>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</si>
  <si>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Melting_Curves/meltCurve_O43665_2_RGS10.pdf</t>
  </si>
  <si>
    <t>Melting_Curves/meltCurve_O43674_NDUFB5.pdf</t>
  </si>
  <si>
    <t>Melting_Curves/meltCurve_O43676_NDUFB3.pdf</t>
  </si>
  <si>
    <t>Melting_Curves/meltCurve_O43678_NDUFA2.pdf</t>
  </si>
  <si>
    <t>Melting_Curves/meltCurve_O43681_ASNA1.pdf</t>
  </si>
  <si>
    <t>Melting_Curves/meltCurve_O43684_BUB3.pdf</t>
  </si>
  <si>
    <t>Melting_Curves/meltCurve_O43707_ACTN4.pdf</t>
  </si>
  <si>
    <t>Melting_Curves/meltCurve_O43708_GSTZ1.pdf</t>
  </si>
  <si>
    <t>Melting_Curves/meltCurve_O43709_WBSCR22.pdf</t>
  </si>
  <si>
    <t>Melting_Curves/meltCurve_O43715_TRIAP1.pdf</t>
  </si>
  <si>
    <t>Melting_Curves/meltCurve_O43719_HTATSF1.pdf</t>
  </si>
  <si>
    <t>Melting_Curves/meltCurve_O43736_2_ITM2A.pdf</t>
  </si>
  <si>
    <t>Melting_Curves/meltCurve_O43752_STX6.pdf</t>
  </si>
  <si>
    <t>Melting_Curves/meltCurve_O43760_SYNGR2.pdf</t>
  </si>
  <si>
    <t>Melting_Curves/meltCurve_O43765_SGTA.pdf</t>
  </si>
  <si>
    <t>Melting_Curves/meltCurve_O43766_LIAS.pdf</t>
  </si>
  <si>
    <t>Melting_Curves/meltCurve_O43768_2_ENSA.pdf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</si>
  <si>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</si>
  <si>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</si>
  <si>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</si>
  <si>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</si>
  <si>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</si>
  <si>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</si>
  <si>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</si>
  <si>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</si>
  <si>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Melting_Curves/meltCurve_O43823_AKAP8.pdf</t>
  </si>
  <si>
    <t>Melting_Curves/meltCurve_O43824_GTPBP6.pdf</t>
  </si>
  <si>
    <t>Melting_Curves/meltCurve_O43829_ZBTB14.pdf</t>
  </si>
  <si>
    <t>Melting_Curves/meltCurve_O43837_IDH3B.pdf</t>
  </si>
  <si>
    <t>Melting_Curves/meltCurve_O43852_CALU.pdf</t>
  </si>
  <si>
    <t>Melting_Curves/meltCurve_O43861_2_ATP9B.pdf</t>
  </si>
  <si>
    <t>Melting_Curves/meltCurve_O43865_AHCYL1.pdf</t>
  </si>
  <si>
    <t>Melting_Curves/meltCurve_O43909_EXTL3.pdf</t>
  </si>
  <si>
    <t>Melting_Curves/meltCurve_O43913_ORC5.pdf</t>
  </si>
  <si>
    <t>Melting_Curves/meltCurve_O43920_NDUFS5.pdf</t>
  </si>
  <si>
    <t>Melting_Curves/meltCurve_O43924_PDE6D.pdf</t>
  </si>
  <si>
    <t>Melting_Curves/meltCurve_O43933_PEX1.pdf</t>
  </si>
  <si>
    <t>Melting_Curves/meltCurve_O60216_RAD21.pdf</t>
  </si>
  <si>
    <t>Melting_Curves/meltCurve_O60218_AKR1B10.pdf</t>
  </si>
  <si>
    <t>Melting_Curves/meltCurve_O60220_TIMM8A.pdf</t>
  </si>
  <si>
    <t>Melting_Curves/meltCurve_O60231_DHX16.pdf</t>
  </si>
  <si>
    <t>Melting_Curves/meltCurve_O60234_GMFG.pdf</t>
  </si>
  <si>
    <t>Melting_Curves/meltCurve_O60239_SH3BP5.pdf</t>
  </si>
  <si>
    <t>Melting_Curves/meltCurve_O60244_MED14.pdf</t>
  </si>
  <si>
    <t>Melting_Curves/meltCurve_O60256_PRPSAP2.pdf</t>
  </si>
  <si>
    <t>Melting_Curves/meltCurve_O60262_GNG7.pdf</t>
  </si>
  <si>
    <t>Melting_Curves/meltCurve_O60264_SMARCA5.pdf</t>
  </si>
  <si>
    <t>Melting_Curves/meltCurve_O60271_4_SPAG9.pdf</t>
  </si>
  <si>
    <t>Melting_Curves/meltCurve_O60287_URB1.pdf</t>
  </si>
  <si>
    <t>Melting_Curves/meltCurve_O60294_LCMT2.pdf</t>
  </si>
  <si>
    <t>Melting_Curves/meltCurve_O60306_AQR.pdf</t>
  </si>
  <si>
    <t>Melting_Curves/meltCurve_O60307_MAST3.pdf</t>
  </si>
  <si>
    <t>Melting_Curves/meltCurve_O60313_2_OPA1.pdf</t>
  </si>
  <si>
    <t>Melting_Curves/meltCurve_O60331_4_PIP5K1C.pdf</t>
  </si>
  <si>
    <t>Melting_Curves/meltCurve_O60333_2_KIF1B.pdf</t>
  </si>
  <si>
    <t>Melting_Curves/meltCurve_O60337_5_MARCH6.pdf</t>
  </si>
  <si>
    <t>Melting_Curves/meltCurve_O60341_KDM1A.pdf</t>
  </si>
  <si>
    <t>Melting_Curves/meltCurve_O60343_2_TBC1D4.pdf</t>
  </si>
  <si>
    <t>Melting_Curves/meltCurve_O60344_4_ECE2.pdf</t>
  </si>
  <si>
    <t>Melting_Curves/meltCurve_O60353_2_FZD6.pdf</t>
  </si>
  <si>
    <t>Melting_Curves/meltCurve_O60427_FADS1.pdf</t>
  </si>
  <si>
    <t>Melting_Curves/meltCurve_O60443_DFNA5.pdf</t>
  </si>
  <si>
    <t>Melting_Curves/meltCurve_O60476_MAN1A2.pdf</t>
  </si>
  <si>
    <t>Melting_Curves/meltCurve_O60488_2_ACSL4.pdf</t>
  </si>
  <si>
    <t>Melting_Curves/meltCurve_O60493_SNX3.pdf</t>
  </si>
  <si>
    <t>Melting_Curves/meltCurve_O60496_DOK2.pdf</t>
  </si>
  <si>
    <t>Melting_Curves/meltCurve_O60504_2_SORBS3.pdf</t>
  </si>
  <si>
    <t>Melting_Curves/meltCurve_O60506_3_SYNCRIP.pdf</t>
  </si>
  <si>
    <t>Melting_Curves/meltCurve_O60508_CDC40.pdf</t>
  </si>
  <si>
    <t>Melting_Curves/meltCurve_O60518_RANBP6.pdf</t>
  </si>
  <si>
    <t>Melting_Curves/meltCurve_O60524_4_NEMF.pdf</t>
  </si>
  <si>
    <t>Melting_Curves/meltCurve_O60547_GMDS.pdf</t>
  </si>
  <si>
    <t>Melting_Curves/meltCurve_O60551_NMT2.pdf</t>
  </si>
  <si>
    <t>Melting_Curves/meltCurve_O60563_CCNT1.pdf</t>
  </si>
  <si>
    <t>Melting_Curves/meltCurve_O60566_BUB1B.pdf</t>
  </si>
  <si>
    <t>Melting_Curves/meltCurve_O60568_PLOD3.pdf</t>
  </si>
  <si>
    <t>Melting_Curves/meltCurve_O60583_2_CCNT2.pdf</t>
  </si>
  <si>
    <t>Melting_Curves/meltCurve_O60613_SEP15.pdf</t>
  </si>
  <si>
    <t>Melting_Curves/meltCurve_O60645_3_EXOC3.pdf</t>
  </si>
  <si>
    <t>Melting_Curves/meltCurve_O60664_PLIN3.pdf</t>
  </si>
  <si>
    <t>Melting_Curves/meltCurve_O60664_3_PLIN3.pdf</t>
  </si>
  <si>
    <t>Melting_Curves/meltCurve_O60671_RAD1.pdf</t>
  </si>
  <si>
    <t>Melting_Curves/meltCurve_O60675_MAFK.pdf</t>
  </si>
  <si>
    <t>Melting_Curves/meltCurve_O60678_PRMT3.pdf</t>
  </si>
  <si>
    <t>Melting_Curves/meltCurve_O60701_UGDH.pdf</t>
  </si>
  <si>
    <t>Melting_Curves/meltCurve_O60704_TPST2.pdf</t>
  </si>
  <si>
    <t>Melting_Curves/meltCurve_O60711_LPXN.pdf</t>
  </si>
  <si>
    <t>Melting_Curves/meltCurve_O60725_ICMT.pdf</t>
  </si>
  <si>
    <t>Melting_Curves/meltCurve_O60739_EIF1B.pdf</t>
  </si>
  <si>
    <t>Melting_Curves/meltCurve_O60749_SNX2.pdf</t>
  </si>
  <si>
    <t>Melting_Curves/meltCurve_O60763_USO1.pdf</t>
  </si>
  <si>
    <t>Melting_Curves/meltCurve_O60783_MRPS14.pdf</t>
  </si>
  <si>
    <t>Melting_Curves/meltCurve_O60826_CCDC22.pdf</t>
  </si>
  <si>
    <t>Melting_Curves/meltCurve_O60828_PQBP1.pdf</t>
  </si>
  <si>
    <t>Melting_Curves/meltCurve_O60830_TIMM17B.pdf</t>
  </si>
  <si>
    <t>Melting_Curves/meltCurve_O60831_PRAF2.pdf</t>
  </si>
  <si>
    <t>Melting_Curves/meltCurve_O60832_DKC1.pdf</t>
  </si>
  <si>
    <t>Melting_Curves/meltCurve_O60841_EIF5B.pdf</t>
  </si>
  <si>
    <t>Melting_Curves/meltCurve_O60861_GAS7.pdf</t>
  </si>
  <si>
    <t>Melting_Curves/meltCurve_O60869_EDF1.pdf</t>
  </si>
  <si>
    <t>Melting_Curves/meltCurve_O60870_KIN.pdf</t>
  </si>
  <si>
    <t>Melting_Curves/meltCurve_O60880_SH2D1A.pdf</t>
  </si>
  <si>
    <t>Melting_Curves/meltCurve_O60880_4_SH2D1A.pdf</t>
  </si>
  <si>
    <t>Melting_Curves/meltCurve_O60884_DNAJA2.pdf</t>
  </si>
  <si>
    <t>Melting_Curves/meltCurve_O60885_BRD4.pdf</t>
  </si>
  <si>
    <t>Melting_Curves/meltCurve_O60888_3_CUTA.pdf</t>
  </si>
  <si>
    <t>Melting_Curves/meltCurve_O60906_SMPD2.pdf</t>
  </si>
  <si>
    <t>Melting_Curves/meltCurve_O60925_PFDN1.pdf</t>
  </si>
  <si>
    <t>Melting_Curves/meltCurve_O60927_PPP1R11.pdf</t>
  </si>
  <si>
    <t>Melting_Curves/meltCurve_O60930_RNASEH1.pdf</t>
  </si>
  <si>
    <t>Melting_Curves/meltCurve_O60934_NBN.pdf</t>
  </si>
  <si>
    <t>Melting_Curves/meltCurve_O60942_RNGTT.pdf</t>
  </si>
  <si>
    <t>Melting_Curves/meltCurve_O75027_ABCB7.pdf</t>
  </si>
  <si>
    <t>Melting_Curves/meltCurve_O75044_SRGAP2.pdf</t>
  </si>
  <si>
    <t>Melting_Curves/meltCurve_O75054_IGSF3.pdf</t>
  </si>
  <si>
    <t>Melting_Curves/meltCurve_O75061_3_DNAJC6.pdf</t>
  </si>
  <si>
    <t>Melting_Curves/meltCurve_O75063_FAM20B.pdf</t>
  </si>
  <si>
    <t>Melting_Curves/meltCurve_O75071_EFCAB14.pdf</t>
  </si>
  <si>
    <t>Melting_Curves/meltCurve_O75083_WDR1.pdf</t>
  </si>
  <si>
    <t>Melting_Curves/meltCurve_O75113_N4BP1.pdf</t>
  </si>
  <si>
    <t>Melting_Curves/meltCurve_O75116_ROCK2.pdf</t>
  </si>
  <si>
    <t>Melting_Curves/meltCurve_O75131_CPNE3.pdf</t>
  </si>
  <si>
    <t>Melting_Curves/meltCurve_O75143_2_ATG13.pdf</t>
  </si>
  <si>
    <t>Melting_Curves/meltCurve_O75145_2_PPFIA3.pdf</t>
  </si>
  <si>
    <t>Melting_Curves/meltCurve_O75146_HIP1R.pdf</t>
  </si>
  <si>
    <t>Melting_Curves/meltCurve_O75150_RNF40.pdf</t>
  </si>
  <si>
    <t>Melting_Curves/meltCurve_O75151_PHF2.pdf</t>
  </si>
  <si>
    <t>Melting_Curves/meltCurve_O75152_ZC3H11A.pdf</t>
  </si>
  <si>
    <t>Melting_Curves/meltCurve_O75155_CAND2.pdf</t>
  </si>
  <si>
    <t>Melting_Curves/meltCurve_O75157_2_TSC22D2.pdf</t>
  </si>
  <si>
    <t>Melting_Curves/meltCurve_O75164_KDM4A.pdf</t>
  </si>
  <si>
    <t>Melting_Curves/meltCurve_O75165_DNAJC13.pdf</t>
  </si>
  <si>
    <t>Melting_Curves/meltCurve_O75170_4_PPP6R2.pdf</t>
  </si>
  <si>
    <t>Melting_Curves/meltCurve_O75175_CNOT3.pdf</t>
  </si>
  <si>
    <t>Melting_Curves/meltCurve_O75177_SS18L1.pdf</t>
  </si>
  <si>
    <t>Melting_Curves/meltCurve_O75179_2_ANKRD17.pdf</t>
  </si>
  <si>
    <t>Melting_Curves/meltCurve_O75190_DNAJB6.pdf</t>
  </si>
  <si>
    <t>Melting_Curves/meltCurve_O75191_XYLB.pdf</t>
  </si>
  <si>
    <t>Melting_Curves/meltCurve_O75208_COQ9.pdf</t>
  </si>
  <si>
    <t>Melting_Curves/meltCurve_O75223_GGCT.pdf</t>
  </si>
  <si>
    <t>Melting_Curves/meltCurve_O75264_C19orf77.pdf</t>
  </si>
  <si>
    <t>Melting_Curves/meltCurve_O75306_NDUFS2.pdf</t>
  </si>
  <si>
    <t>Melting_Curves/meltCurve_O75312_ZNF259.pdf</t>
  </si>
  <si>
    <t>Melting_Curves/meltCurve_O75317_USP12.pdf</t>
  </si>
  <si>
    <t>Melting_Curves/meltCurve_O75323_GBAS.pdf</t>
  </si>
  <si>
    <t>Melting_Curves/meltCurve_O75326_SEMA7A.pdf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</si>
  <si>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</si>
  <si>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</si>
  <si>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</si>
  <si>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</si>
  <si>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</si>
  <si>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Melting_Curves/meltCurve_O75356_ENTPD5.pdf</t>
  </si>
  <si>
    <t>Melting_Curves/meltCurve_O75362_ZNF217.pdf</t>
  </si>
  <si>
    <t>Melting_Curves/meltCurve_O75367_2_H2AFY.pdf</t>
  </si>
  <si>
    <t>Melting_Curves/meltCurve_O75368_SH3BGRL.pdf</t>
  </si>
  <si>
    <t>Melting_Curves/meltCurve_O75369_8_FLNB.pdf</t>
  </si>
  <si>
    <t>Melting_Curves/meltCurve_O75376_NCOR1.pdf</t>
  </si>
  <si>
    <t>Melting_Curves/meltCurve_O75379_2_VAMP4.pdf</t>
  </si>
  <si>
    <t>Melting_Curves/meltCurve_O75380_NDUFS6.pdf</t>
  </si>
  <si>
    <t>Melting_Curves/meltCurve_O75381_2_PEX14.pdf</t>
  </si>
  <si>
    <t>Melting_Curves/meltCurve_O75382_2_TRIM3.pdf</t>
  </si>
  <si>
    <t>Melting_Curves/meltCurve_O75386_TULP3.pdf</t>
  </si>
  <si>
    <t>Melting_Curves/meltCurve_O75387_SLC43A1.pdf</t>
  </si>
  <si>
    <t>Melting_Curves/meltCurve_O75391_SPAG7.pdf</t>
  </si>
  <si>
    <t>Melting_Curves/meltCurve_O75394_MRPL33.pdf</t>
  </si>
  <si>
    <t>Melting_Curves/meltCurve_O75396_SEC22B.pdf</t>
  </si>
  <si>
    <t>Melting_Curves/meltCurve_O75400_PRPF40A.pdf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</si>
  <si>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</si>
  <si>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</si>
  <si>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</si>
  <si>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</si>
  <si>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</si>
  <si>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</si>
  <si>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Melting_Curves/meltCurve_O75446_SAP30.pdf</t>
  </si>
  <si>
    <t>Melting_Curves/meltCurve_O75449_KATNA1.pdf</t>
  </si>
  <si>
    <t>Melting_Curves/meltCurve_O75475_PSIP1.pdf</t>
  </si>
  <si>
    <t>Melting_Curves/meltCurve_O75477_ERLIN1.pdf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</si>
  <si>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</si>
  <si>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</si>
  <si>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</si>
  <si>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</si>
  <si>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Melting_Curves/meltCurve_O75525_KHDRBS3.pdf</t>
  </si>
  <si>
    <t>Melting_Curves/meltCurve_O75528_TADA3.pdf</t>
  </si>
  <si>
    <t>Melting_Curves/meltCurve_O75530_EED.pdf</t>
  </si>
  <si>
    <t>Melting_Curves/meltCurve_O75531_BANF1.pdf</t>
  </si>
  <si>
    <t>Melting_Curves/meltCurve_O75533_SF3B1.pdf</t>
  </si>
  <si>
    <t>Melting_Curves/meltCurve_O75534_CSDE1.pdf</t>
  </si>
  <si>
    <t>Melting_Curves/meltCurve_O75554_WBP4.pdf</t>
  </si>
  <si>
    <t>Melting_Curves/meltCurve_O75570_MTRF1.pdf</t>
  </si>
  <si>
    <t>Melting_Curves/meltCurve_O75582_RPS6KA5.pdf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</si>
  <si>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</si>
  <si>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</si>
  <si>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</si>
  <si>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</si>
  <si>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Melting_Curves/meltCurve_O75643_SNRNP200.pdf</t>
  </si>
  <si>
    <t>Melting_Curves/meltCurve_O75648_TRMU.pdf</t>
  </si>
  <si>
    <t>Melting_Curves/meltCurve_O75663_TIPRL.pdf</t>
  </si>
  <si>
    <t>Melting_Curves/meltCurve_O75688_PPM1B.pdf</t>
  </si>
  <si>
    <t>Melting_Curves/meltCurve_O75691_UTP20.pdf</t>
  </si>
  <si>
    <t>Melting_Curves/meltCurve_O75694_2_NUP155.pdf</t>
  </si>
  <si>
    <t>Melting_Curves/meltCurve_O75695_RP2.pdf</t>
  </si>
  <si>
    <t>Melting_Curves/meltCurve_O75717_WDHD1.pdf</t>
  </si>
  <si>
    <t>Melting_Curves/meltCurve_O75746_SLC25A12.pdf</t>
  </si>
  <si>
    <t>Melting_Curves/meltCurve_O75781_PALM.pdf</t>
  </si>
  <si>
    <t>Melting_Curves/meltCurve_O75791_GRAP2.pdf</t>
  </si>
  <si>
    <t>Melting_Curves/meltCurve_O75792_RNASEH2A.pdf</t>
  </si>
  <si>
    <t>Melting_Curves/meltCurve_O75794_CDC123.pdf</t>
  </si>
  <si>
    <t>Melting_Curves/meltCurve_O75808_SOLH.pdf</t>
  </si>
  <si>
    <t>Melting_Curves/meltCurve_O75818_RPP40.pdf</t>
  </si>
  <si>
    <t>Melting_Curves/meltCurve_O75821_EIF3G.pdf</t>
  </si>
  <si>
    <t>Melting_Curves/meltCurve_O75822_EIF3J.pdf</t>
  </si>
  <si>
    <t>Melting_Curves/meltCurve_O75828_CBR3.pdf</t>
  </si>
  <si>
    <t>Melting_Curves/meltCurve_O75843_AP1G2.pdf</t>
  </si>
  <si>
    <t>Melting_Curves/meltCurve_O75844_ZMPSTE24.pdf</t>
  </si>
  <si>
    <t>Melting_Curves/meltCurve_O75865_TRAPPC6A.pdf</t>
  </si>
  <si>
    <t>Melting_Curves/meltCurve_O75874_IDH1.pdf</t>
  </si>
  <si>
    <t>Melting_Curves/meltCurve_O75882_ATRN.pdf</t>
  </si>
  <si>
    <t>Melting_Curves/meltCurve_O75884_RBBP9.pdf</t>
  </si>
  <si>
    <t>Melting_Curves/meltCurve_O75886_STAM2.pdf</t>
  </si>
  <si>
    <t>Melting_Curves/meltCurve_O75896_TUSC2.pdf</t>
  </si>
  <si>
    <t>Melting_Curves/meltCurve_O75909_CCNK.pdf</t>
  </si>
  <si>
    <t>Melting_Curves/meltCurve_O75915_ARL6IP5.pdf</t>
  </si>
  <si>
    <t>Melting_Curves/meltCurve_O75925_PIAS1.pdf</t>
  </si>
  <si>
    <t>Melting_Curves/meltCurve_O75928_2_PIAS2.pdf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</si>
  <si>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</si>
  <si>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</si>
  <si>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</si>
  <si>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</si>
  <si>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Melting_Curves/meltCurve_O75943_4_RAD17.pdf</t>
  </si>
  <si>
    <t>Melting_Curves/meltCurve_O75947_ATP5H.pdf</t>
  </si>
  <si>
    <t>Melting_Curves/meltCurve_O75955_FLOT1.pdf</t>
  </si>
  <si>
    <t>Melting_Curves/meltCurve_O75962_2_TRIO.pdf</t>
  </si>
  <si>
    <t>Melting_Curves/meltCurve_O75964_ATP5L.pdf</t>
  </si>
  <si>
    <t>Melting_Curves/meltCurve_O75973_C1QL1.pdf</t>
  </si>
  <si>
    <t>Melting_Curves/meltCurve_O75976_CPD.pdf</t>
  </si>
  <si>
    <t>Melting_Curves/meltCurve_O75995_SASH3.pdf</t>
  </si>
  <si>
    <t>Melting_Curves/meltCurve_O76003_GLRX3.pdf</t>
  </si>
  <si>
    <t>Melting_Curves/meltCurve_O76024_WFS1.pdf</t>
  </si>
  <si>
    <t>Melting_Curves/meltCurve_O76031_CLPX.pdf</t>
  </si>
  <si>
    <t>Melting_Curves/meltCurve_O76054_4_SEC14L2.pdf</t>
  </si>
  <si>
    <t>Melting_Curves/meltCurve_O76071_CIAO1.pdf</t>
  </si>
  <si>
    <t>Melting_Curves/meltCurve_O76080_ZFAND5.pdf</t>
  </si>
  <si>
    <t>Melting_Curves/meltCurve_O76094_SRP72.pdf</t>
  </si>
  <si>
    <t>Melting_Curves/meltCurve_O76095_2_JTB.pdf</t>
  </si>
  <si>
    <t>Melting_Curves/meltCurve_O76096_CST7.pdf</t>
  </si>
  <si>
    <t>Melting_Curves/meltCurve_O94762_RECQL5.pdf</t>
  </si>
  <si>
    <t>Melting_Curves/meltCurve_O94763_URI1.pdf</t>
  </si>
  <si>
    <t>Melting_Curves/meltCurve_O94766_B3GAT3.pdf</t>
  </si>
  <si>
    <t>Melting_Curves/meltCurve_O94768_STK17B.pdf</t>
  </si>
  <si>
    <t>Melting_Curves/meltCurve_O94776_MTA2.pdf</t>
  </si>
  <si>
    <t>Melting_Curves/meltCurve_O94782_USP1.pdf</t>
  </si>
  <si>
    <t>Melting_Curves/meltCurve_O94804_STK10.pdf</t>
  </si>
  <si>
    <t>Melting_Curves/meltCurve_O94819_KBTBD11.pdf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</si>
  <si>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</si>
  <si>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</si>
  <si>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</si>
  <si>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</si>
  <si>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Melting_Curves/meltCurve_O94855_SEC24D.pdf</t>
  </si>
  <si>
    <t>Melting_Curves/meltCurve_O94864_2_SUPT7L.pdf</t>
  </si>
  <si>
    <t>Melting_Curves/meltCurve_O94874_UFL1.pdf</t>
  </si>
  <si>
    <t>Melting_Curves/meltCurve_O94880_PHF14.pdf</t>
  </si>
  <si>
    <t>Melting_Curves/meltCurve_O94886_TMEM63A.pdf</t>
  </si>
  <si>
    <t>Melting_Curves/meltCurve_O94888_UBXN7.pdf</t>
  </si>
  <si>
    <t>Melting_Curves/meltCurve_O94889_KLHL18.pdf</t>
  </si>
  <si>
    <t>Melting_Curves/meltCurve_O94900_TOX.pdf</t>
  </si>
  <si>
    <t>Melting_Curves/meltCurve_O94903_PROSC.pdf</t>
  </si>
  <si>
    <t>Melting_Curves/meltCurve_O94905_ERLIN2.pdf</t>
  </si>
  <si>
    <t>Melting_Curves/meltCurve_O94906_PRPF6.pdf</t>
  </si>
  <si>
    <t>Melting_Curves/meltCurve_O94913_PCF11.pdf</t>
  </si>
  <si>
    <t>Melting_Curves/meltCurve_O94919_ENDOD1.pdf</t>
  </si>
  <si>
    <t>Melting_Curves/meltCurve_O94925_GLS.pdf</t>
  </si>
  <si>
    <t>Melting_Curves/meltCurve_O94925_3_GLS.pdf</t>
  </si>
  <si>
    <t>Melting_Curves/meltCurve_O94927_HAUS5.pdf</t>
  </si>
  <si>
    <t>Melting_Curves/meltCurve_O94952_1_FBXO21.pdf</t>
  </si>
  <si>
    <t>Melting_Curves/meltCurve_O94966_7_USP19.pdf</t>
  </si>
  <si>
    <t>Melting_Curves/meltCurve_O94967_2_WDR47.pdf</t>
  </si>
  <si>
    <t>Melting_Curves/meltCurve_O94973_AP2A2.pdf</t>
  </si>
  <si>
    <t>Melting_Curves/meltCurve_O94973_2_AP2A2.pdf</t>
  </si>
  <si>
    <t>Melting_Curves/meltCurve_O94992_HEXIM1.pdf</t>
  </si>
  <si>
    <t>Melting_Curves/meltCurve_O95059_RPP14.pdf</t>
  </si>
  <si>
    <t>Melting_Curves/meltCurve_O95067_CCNB2.pdf</t>
  </si>
  <si>
    <t>Melting_Curves/meltCurve_O95081_AGFG2.pdf</t>
  </si>
  <si>
    <t>Melting_Curves/meltCurve_O95104_SCAF4.pdf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</si>
  <si>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</si>
  <si>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</si>
  <si>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</si>
  <si>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</si>
  <si>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Melting_Curves/meltCurve_O95163_IKBKAP.pdf</t>
  </si>
  <si>
    <t>Melting_Curves/meltCurve_O95167_NDUFA3.pdf</t>
  </si>
  <si>
    <t>Melting_Curves/meltCurve_O95168_NDUFB4.pdf</t>
  </si>
  <si>
    <t>Melting_Curves/meltCurve_O95182_NDUFA7.pdf</t>
  </si>
  <si>
    <t>Melting_Curves/meltCurve_O95183_VAMP5.pdf</t>
  </si>
  <si>
    <t>Melting_Curves/meltCurve_O95197_2_RTN3.pdf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</si>
  <si>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</si>
  <si>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</si>
  <si>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</si>
  <si>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</si>
  <si>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</si>
  <si>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</si>
  <si>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Melting_Curves/meltCurve_O95235_KIF20A.pdf</t>
  </si>
  <si>
    <t>Melting_Curves/meltCurve_O95239_KIF4A.pdf</t>
  </si>
  <si>
    <t>Melting_Curves/meltCurve_O95251_4_KAT7.pdf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</si>
  <si>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</si>
  <si>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</si>
  <si>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</si>
  <si>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</si>
  <si>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</si>
  <si>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</si>
  <si>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</si>
  <si>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</si>
  <si>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</si>
  <si>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</si>
  <si>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</si>
  <si>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</si>
  <si>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Melting_Curves/meltCurve_O95391_SLU7.pdf</t>
  </si>
  <si>
    <t>Melting_Curves/meltCurve_O95394_PGM3.pdf</t>
  </si>
  <si>
    <t>Melting_Curves/meltCurve_O95396_MOCS3.pdf</t>
  </si>
  <si>
    <t>Melting_Curves/meltCurve_O95400_CD2BP2.pdf</t>
  </si>
  <si>
    <t>Melting_Curves/meltCurve_O95402_MED26.pdf</t>
  </si>
  <si>
    <t>Melting_Curves/meltCurve_O95405_ZFYVE9.pdf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</si>
  <si>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</si>
  <si>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</si>
  <si>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</si>
  <si>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</si>
  <si>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Melting_Curves/meltCurve_O95466_2_FMNL1.pdf</t>
  </si>
  <si>
    <t>Melting_Curves/meltCurve_O95470_SGPL1.pdf</t>
  </si>
  <si>
    <t>Melting_Curves/meltCurve_O95475_SIX6.pdf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</si>
  <si>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</si>
  <si>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</si>
  <si>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</si>
  <si>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</si>
  <si>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Melting_Curves/meltCurve_O95568_METTL18.pdf</t>
  </si>
  <si>
    <t>Melting_Curves/meltCurve_O95571_ETHE1.pdf</t>
  </si>
  <si>
    <t>Melting_Curves/meltCurve_O95573_ACSL3.pdf</t>
  </si>
  <si>
    <t>Melting_Curves/meltCurve_O95602_POLR1A.pdf</t>
  </si>
  <si>
    <t>Melting_Curves/meltCurve_O95619_YEATS4.pdf</t>
  </si>
  <si>
    <t>Melting_Curves/meltCurve_O95620_DUS4L.pdf</t>
  </si>
  <si>
    <t>Melting_Curves/meltCurve_O95628_3_CNOT4.pdf</t>
  </si>
  <si>
    <t>Melting_Curves/meltCurve_O95630_STAMBP.pdf</t>
  </si>
  <si>
    <t>Melting_Curves/meltCurve_O95639_3_CPSF4.pdf</t>
  </si>
  <si>
    <t>Melting_Curves/meltCurve_O95671_2_ASMTL.pdf</t>
  </si>
  <si>
    <t>Melting_Curves/meltCurve_O95674_CDS2.pdf</t>
  </si>
  <si>
    <t>Melting_Curves/meltCurve_O95684_FGFR1OP.pdf</t>
  </si>
  <si>
    <t>Melting_Curves/meltCurve_O95685_PPP1R3D.pdf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</si>
  <si>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</si>
  <si>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</si>
  <si>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</si>
  <si>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</si>
  <si>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Melting_Curves/meltCurve_O95758_1_PTBP3.pdf</t>
  </si>
  <si>
    <t>Melting_Curves/meltCurve_O95777_NAA38.pdf</t>
  </si>
  <si>
    <t>Melting_Curves/meltCurve_O95782_2_AP2A1.pdf</t>
  </si>
  <si>
    <t>Melting_Curves/meltCurve_O95786_DDX58.pdf</t>
  </si>
  <si>
    <t>Melting_Curves/meltCurve_O95801_TTC4.pdf</t>
  </si>
  <si>
    <t>Melting_Curves/meltCurve_O95807_TMEM50A.pdf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</si>
  <si>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</si>
  <si>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</si>
  <si>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</si>
  <si>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</si>
  <si>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</si>
  <si>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Melting_Curves/meltCurve_O95834_2_EML2.pdf</t>
  </si>
  <si>
    <t>Melting_Curves/meltCurve_O95837_GNA14.pdf</t>
  </si>
  <si>
    <t>Melting_Curves/meltCurve_O95848_NUDT14.pdf</t>
  </si>
  <si>
    <t>Melting_Curves/meltCurve_O95857_TSPAN13.pdf</t>
  </si>
  <si>
    <t>Melting_Curves/meltCurve_O95861_BPNT1.pdf</t>
  </si>
  <si>
    <t>Melting_Curves/meltCurve_O95864_FADS2.pdf</t>
  </si>
  <si>
    <t>Melting_Curves/meltCurve_O95865_DDAH2.pdf</t>
  </si>
  <si>
    <t>Melting_Curves/meltCurve_O95873_C6orf47.pdf</t>
  </si>
  <si>
    <t>Melting_Curves/meltCurve_O95881_TXNDC12.pdf</t>
  </si>
  <si>
    <t>Melting_Curves/meltCurve_O95905_2_ECD.pdf</t>
  </si>
  <si>
    <t>Melting_Curves/meltCurve_O95926_SYF2.pdf</t>
  </si>
  <si>
    <t>Melting_Curves/meltCurve_O95980_RECK.pdf</t>
  </si>
  <si>
    <t>Melting_Curves/meltCurve_O95983_2_MBD3.pdf</t>
  </si>
  <si>
    <t>Melting_Curves/meltCurve_O95985_3_TOP3B.pdf</t>
  </si>
  <si>
    <t>Melting_Curves/meltCurve_O95989_NUDT3.pdf</t>
  </si>
  <si>
    <t>Melting_Curves/meltCurve_O95997_PTTG1.pdf</t>
  </si>
  <si>
    <t>Melting_Curves/meltCurve_O95999_BCL10.pdf</t>
  </si>
  <si>
    <t>Melting_Curves/meltCurve_O96000_NDUFB10.pdf</t>
  </si>
  <si>
    <t>Melting_Curves/meltCurve_O96006_ZBED1.pdf</t>
  </si>
  <si>
    <t>Melting_Curves/meltCurve_O96007_MOCS2.pdf</t>
  </si>
  <si>
    <t>Melting_Curves/meltCurve_O96008_TOMM40.pdf</t>
  </si>
  <si>
    <t>Melting_Curves/meltCurve_O96011_PEX11B.pdf</t>
  </si>
  <si>
    <t>Melting_Curves/meltCurve_O96013_PAK4.pdf</t>
  </si>
  <si>
    <t>Melting_Curves/meltCurve_O96017_CHEK2.pdf</t>
  </si>
  <si>
    <t>Melting_Curves/meltCurve_O96018_APBA3.pdf</t>
  </si>
  <si>
    <t>Melting_Curves/meltCurve_O96019_ACTL6A.pdf</t>
  </si>
  <si>
    <t>Melting_Curves/meltCurve_O96028_5_WHSC1.pdf</t>
  </si>
  <si>
    <t>Melting_Curves/meltCurve_O96033_MOCS2.pdf</t>
  </si>
  <si>
    <t>Melting_Curves/meltCurve_P00167_2_CYB5A.pdf</t>
  </si>
  <si>
    <t>Melting_Curves/meltCurve_P00326_ADH1C.pdf</t>
  </si>
  <si>
    <t>Melting_Curves/meltCurve_P00338_LDHA.pdf</t>
  </si>
  <si>
    <t>Melting_Curves/meltCurve_P00352_ALDH1A1.pdf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</si>
  <si>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</si>
  <si>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</si>
  <si>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</si>
  <si>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</si>
  <si>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</si>
  <si>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</si>
  <si>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</si>
  <si>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</si>
  <si>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</si>
  <si>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</si>
  <si>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Melting_Curves/meltCurve_P00558_PGK1.pdf</t>
  </si>
  <si>
    <t>Melting_Curves/meltCurve_P00813_ADA.pdf</t>
  </si>
  <si>
    <t>Melting_Curves/meltCurve_P00846_MT_ATP6.pdf</t>
  </si>
  <si>
    <t>Melting_Curves/meltCurve_P00966_ASS1.pdf</t>
  </si>
  <si>
    <t>Melting_Curves/meltCurve_P01009_2_SERPINA1.pdf</t>
  </si>
  <si>
    <t>Melting_Curves/meltCurve_P01023_A2M.pdf</t>
  </si>
  <si>
    <t>Melting_Curves/meltCurve_P01024_C3.pdf</t>
  </si>
  <si>
    <t>Melting_Curves/meltCurve_P01034_CST3.pdf</t>
  </si>
  <si>
    <t>Melting_Curves/meltCurve_P01037_CST1.pdf</t>
  </si>
  <si>
    <t>Melting_Curves/meltCurve_P01111_NRAS.pdf</t>
  </si>
  <si>
    <t>Melting_Curves/meltCurve_P01112_HRAS.pdf</t>
  </si>
  <si>
    <t>Melting_Curves/meltCurve_P01116_2_KRAS.pdf</t>
  </si>
  <si>
    <t>Melting_Curves/meltCurve_P01137_TGFB1.pdf</t>
  </si>
  <si>
    <t>Melting_Curves/meltCurve_P01344_IGF2.pdf</t>
  </si>
  <si>
    <t>Melting_Curves/meltCurve_P01730_CD4.pdf</t>
  </si>
  <si>
    <t>Melting_Curves/meltCurve_P01733_TRBV12_3.pdf</t>
  </si>
  <si>
    <t>Melting_Curves/meltCurve_P01737_.pdf</t>
  </si>
  <si>
    <t>Melting_Curves/meltCurve_P01777_.pdf</t>
  </si>
  <si>
    <t>Melting_Curves/meltCurve_P01833_PIGR.pdf</t>
  </si>
  <si>
    <t>Melting_Curves/meltCurve_P01834_IGKC.pdf</t>
  </si>
  <si>
    <t>Melting_Curves/meltCurve_P01848_TRAC.pdf</t>
  </si>
  <si>
    <t>Melting_Curves/meltCurve_P01850_TRBC1.pdf</t>
  </si>
  <si>
    <t>Melting_Curves/meltCurve_P01857_IGHG1.pdf</t>
  </si>
  <si>
    <t>Melting_Curves/meltCurve_P01876_IGHA1.pdf</t>
  </si>
  <si>
    <t>Melting_Curves/meltCurve_P01889_HLA_B.pdf</t>
  </si>
  <si>
    <t>Melting_Curves/meltCurve_P02008_HBZ.pdf</t>
  </si>
  <si>
    <t>Melting_Curves/meltCurve_P02545_LMNA.pdf</t>
  </si>
  <si>
    <t>Melting_Curves/meltCurve_P02763_ORM1.pdf</t>
  </si>
  <si>
    <t>Melting_Curves/meltCurve_P02766_TTR.pdf</t>
  </si>
  <si>
    <t>Melting_Curves/meltCurve_P02786_TFRC.pdf</t>
  </si>
  <si>
    <t>Melting_Curves/meltCurve_P02792_FTL.pdf</t>
  </si>
  <si>
    <t>Melting_Curves/meltCurve_P02794_FTH1.pdf</t>
  </si>
  <si>
    <t>Melting_Curves/meltCurve_P02795_MT2A.pdf</t>
  </si>
  <si>
    <t>Melting_Curves/meltCurve_P02814_SMR3B.pdf</t>
  </si>
  <si>
    <t>Melting_Curves/meltCurve_P03897_MT_ND3.pdf</t>
  </si>
  <si>
    <t>Melting_Curves/meltCurve_P03928_MT_ATP8.pdf</t>
  </si>
  <si>
    <t>Melting_Curves/meltCurve_P03971_AMH.pdf</t>
  </si>
  <si>
    <t>Melting_Curves/meltCurve_P03973_SLPI.pdf</t>
  </si>
  <si>
    <t>Melting_Curves/meltCurve_P04040_CAT.pdf</t>
  </si>
  <si>
    <t>Melting_Curves/meltCurve_P04053_2_DNTT.pdf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</si>
  <si>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</si>
  <si>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</si>
  <si>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</si>
  <si>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</si>
  <si>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Melting_Curves/meltCurve_P04114_APOB.pdf</t>
  </si>
  <si>
    <t>Melting_Curves/meltCurve_P04150_7_NR3C1.pdf</t>
  </si>
  <si>
    <t>Melting_Curves/meltCurve_P04181_OAT.pdf</t>
  </si>
  <si>
    <t>Melting_Curves/meltCurve_P04183_TK1.pdf</t>
  </si>
  <si>
    <t>Melting_Curves/meltCurve_P04234_CD3D.pdf</t>
  </si>
  <si>
    <t>Melting_Curves/meltCurve_P04264_KRT1.pdf</t>
  </si>
  <si>
    <t>Melting_Curves/meltCurve_P04275_VWF.pdf</t>
  </si>
  <si>
    <t>Melting_Curves/meltCurve_P04350_TUBB4A.pdf</t>
  </si>
  <si>
    <t>Melting_Curves/meltCurve_P04406_GAPDH.pdf</t>
  </si>
  <si>
    <t>Melting_Curves/meltCurve_P04406_2_GAPDH.pdf</t>
  </si>
  <si>
    <t>Melting_Curves/meltCurve_P04424_ASL.pdf</t>
  </si>
  <si>
    <t>Melting_Curves/meltCurve_P04632_CAPNS1.pdf</t>
  </si>
  <si>
    <t>Melting_Curves/meltCurve_P04745_AMY1A.pdf</t>
  </si>
  <si>
    <t>Melting_Curves/meltCurve_P04792_HSPB1.pdf</t>
  </si>
  <si>
    <t>Melting_Curves/meltCurve_P04818_TYMS.pdf</t>
  </si>
  <si>
    <t>Melting_Curves/meltCurve_P04843_RPN1.pdf</t>
  </si>
  <si>
    <t>Melting_Curves/meltCurve_P04844_RPN2.pdf</t>
  </si>
  <si>
    <t>Melting_Curves/meltCurve_P04899_GNAI2.pdf</t>
  </si>
  <si>
    <t>Melting_Curves/meltCurve_P04920_2_SLC4A2.pdf</t>
  </si>
  <si>
    <t>Melting_Curves/meltCurve_P04921_2_GYPC.pdf</t>
  </si>
  <si>
    <t>Melting_Curves/meltCurve_P05023_4_ATP1A1.pdf</t>
  </si>
  <si>
    <t>Melting_Curves/meltCurve_P05062_ALDOB.pdf</t>
  </si>
  <si>
    <t>Melting_Curves/meltCurve_P05089_3_ARG1.pdf</t>
  </si>
  <si>
    <t>Melting_Curves/meltCurve_P05106_ITGB3.pdf</t>
  </si>
  <si>
    <t>Melting_Curves/meltCurve_P05107_ITGB2.pdf</t>
  </si>
  <si>
    <t>Melting_Curves/meltCurve_P05109_S100A8.pdf</t>
  </si>
  <si>
    <t>Melting_Curves/meltCurve_P05114_HMGN1.pdf</t>
  </si>
  <si>
    <t>Melting_Curves/meltCurve_P05120_SERPINB2.pdf</t>
  </si>
  <si>
    <t>Melting_Curves/meltCurve_P05141_SLC25A5.pdf</t>
  </si>
  <si>
    <t>Melting_Curves/meltCurve_P05161_ISG15.pdf</t>
  </si>
  <si>
    <t>Melting_Curves/meltCurve_P05165_2_PCCA.pdf</t>
  </si>
  <si>
    <t>Melting_Curves/meltCurve_P05198_EIF2S1.pdf</t>
  </si>
  <si>
    <t>Melting_Curves/meltCurve_P05204_HMGN2.pdf</t>
  </si>
  <si>
    <t>Melting_Curves/meltCurve_P05362_ICAM1.pdf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</si>
  <si>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</si>
  <si>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</si>
  <si>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</si>
  <si>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</si>
  <si>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Melting_Curves/meltCurve_P05455_SSB.pdf</t>
  </si>
  <si>
    <t>Melting_Curves/meltCurve_P05556_ITGB1.pdf</t>
  </si>
  <si>
    <t>Melting_Curves/meltCurve_P05771_2_PRKCB.pdf</t>
  </si>
  <si>
    <t>Melting_Curves/meltCurve_P06126_CD1A.pdf</t>
  </si>
  <si>
    <t>Melting_Curves/meltCurve_P06127_CD5.pdf</t>
  </si>
  <si>
    <t>Melting_Curves/meltCurve_P06132_UROD.pdf</t>
  </si>
  <si>
    <t>Melting_Curves/meltCurve_P06213_2_INSR.pdf</t>
  </si>
  <si>
    <t>Melting_Curves/meltCurve_P06239_LCK.pdf</t>
  </si>
  <si>
    <t>Melting_Curves/meltCurve_P06241_2_FYN.pdf</t>
  </si>
  <si>
    <t>Melting_Curves/meltCurve_P06280_GLA.pdf</t>
  </si>
  <si>
    <t>Melting_Curves/meltCurve_P06396_2_GSN.pdf</t>
  </si>
  <si>
    <t>Melting_Curves/meltCurve_P06400_RB1.pdf</t>
  </si>
  <si>
    <t>Melting_Curves/meltCurve_P06493_CDK1.pdf</t>
  </si>
  <si>
    <t>Melting_Curves/meltCurve_P06576_ATP5B.pdf</t>
  </si>
  <si>
    <t>Melting_Curves/meltCurve_P06702_S100A9.pdf</t>
  </si>
  <si>
    <t>Melting_Curves/meltCurve_P06729_CD2.pdf</t>
  </si>
  <si>
    <t>Melting_Curves/meltCurve_P06733_ENO1.pdf</t>
  </si>
  <si>
    <t>Melting_Curves/meltCurve_P06733_2_ENO1.pdf</t>
  </si>
  <si>
    <t>Melting_Curves/meltCurve_P06744_GPI.pdf</t>
  </si>
  <si>
    <t>Melting_Curves/meltCurve_P06746_POLB.pdf</t>
  </si>
  <si>
    <t>Melting_Curves/meltCurve_P06748_NPM1.pdf</t>
  </si>
  <si>
    <t>Melting_Curves/meltCurve_P06748_3_NPM1.pdf</t>
  </si>
  <si>
    <t>Melting_Curves/meltCurve_P06753_2_TPM3.pdf</t>
  </si>
  <si>
    <t>Melting_Curves/meltCurve_P06753_3_TPM3.pdf</t>
  </si>
  <si>
    <t>Melting_Curves/meltCurve_P06753_5_TPM3.pdf</t>
  </si>
  <si>
    <t>Melting_Curves/meltCurve_P06756_3_ITGAV.pdf</t>
  </si>
  <si>
    <t>Melting_Curves/meltCurve_P06899_HIST1H2BJ.pdf</t>
  </si>
  <si>
    <t>Melting_Curves/meltCurve_P07099_EPHX1.pdf</t>
  </si>
  <si>
    <t>Melting_Curves/meltCurve_P07108_DBI.pdf</t>
  </si>
  <si>
    <t>Melting_Curves/meltCurve_P07195_LDHB.pdf</t>
  </si>
  <si>
    <t>Melting_Curves/meltCurve_P07203_GPX1.pdf</t>
  </si>
  <si>
    <t>Melting_Curves/meltCurve_P07205_PGK2.pdf</t>
  </si>
  <si>
    <t>Melting_Curves/meltCurve_P07237_P4HB.pdf</t>
  </si>
  <si>
    <t>Melting_Curves/meltCurve_P07305_2_H1F0.pdf</t>
  </si>
  <si>
    <t>Melting_Curves/meltCurve_P07339_CTSD.pdf</t>
  </si>
  <si>
    <t>Melting_Curves/meltCurve_P07355_ANXA2.pdf</t>
  </si>
  <si>
    <t>Melting_Curves/meltCurve_P07384_CAPN1.pdf</t>
  </si>
  <si>
    <t>Melting_Curves/meltCurve_P07686_HEXB.pdf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</si>
  <si>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</si>
  <si>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</si>
  <si>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</si>
  <si>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</si>
  <si>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</si>
  <si>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</si>
  <si>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</si>
  <si>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</si>
  <si>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Melting_Curves/meltCurve_P07954_2_FH.pdf</t>
  </si>
  <si>
    <t>Melting_Curves/meltCurve_P08047_SP1.pdf</t>
  </si>
  <si>
    <t>Melting_Curves/meltCurve_P08107_HSPA1A.pdf</t>
  </si>
  <si>
    <t>Melting_Curves/meltCurve_P08133_ANXA6.pdf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</si>
  <si>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</si>
  <si>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</si>
  <si>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</si>
  <si>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</si>
  <si>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</si>
  <si>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Melting_Curves/meltCurve_P08559_PDHA1.pdf</t>
  </si>
  <si>
    <t>Melting_Curves/meltCurve_P08567_PLEK.pdf</t>
  </si>
  <si>
    <t>Melting_Curves/meltCurve_P08574_CYC1.pdf</t>
  </si>
  <si>
    <t>Melting_Curves/meltCurve_P08575_PTPRC.pdf</t>
  </si>
  <si>
    <t>Melting_Curves/meltCurve_P08579_SNRPB2.pdf</t>
  </si>
  <si>
    <t>Melting_Curves/meltCurve_P08582_MFI2.pdf</t>
  </si>
  <si>
    <t>Melting_Curves/meltCurve_P08590_MYL3.pdf</t>
  </si>
  <si>
    <t>Melting_Curves/meltCurve_P08621_2_SNRNP70.pdf</t>
  </si>
  <si>
    <t>Melting_Curves/meltCurve_P08648_ITGA5.pdf</t>
  </si>
  <si>
    <t>Melting_Curves/meltCurve_P08651_4_NFIC.pdf</t>
  </si>
  <si>
    <t>Melting_Curves/meltCurve_P08670_VIM.pdf</t>
  </si>
  <si>
    <t>Melting_Curves/meltCurve_P08754_GNAI3.pdf</t>
  </si>
  <si>
    <t>Melting_Curves/meltCurve_P08758_ANXA5.pdf</t>
  </si>
  <si>
    <t>Melting_Curves/meltCurve_P09012_SNRPA.pdf</t>
  </si>
  <si>
    <t>Melting_Curves/meltCurve_P09104_ENO2.pdf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</si>
  <si>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</si>
  <si>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</si>
  <si>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</si>
  <si>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</si>
  <si>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Melting_Curves/meltCurve_P09326_CD48.pdf</t>
  </si>
  <si>
    <t>Melting_Curves/meltCurve_P09382_LGALS1.pdf</t>
  </si>
  <si>
    <t>Melting_Curves/meltCurve_P09417_QDPR.pdf</t>
  </si>
  <si>
    <t>Melting_Curves/meltCurve_P09429_HMGB1.pdf</t>
  </si>
  <si>
    <t>Melting_Curves/meltCurve_P09471_2_GNAO1.pdf</t>
  </si>
  <si>
    <t>Melting_Curves/meltCurve_P09486_SPARC.pdf</t>
  </si>
  <si>
    <t>Melting_Curves/meltCurve_P09488_GSTM1.pdf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</si>
  <si>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</si>
  <si>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</si>
  <si>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</si>
  <si>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</si>
  <si>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Melting_Curves/meltCurve_P09564_CD7.pdf</t>
  </si>
  <si>
    <t>Melting_Curves/meltCurve_P09622_DLD.pdf</t>
  </si>
  <si>
    <t>Melting_Curves/meltCurve_P09661_SNRPA1.pdf</t>
  </si>
  <si>
    <t>Melting_Curves/meltCurve_P09668_CTSH.pdf</t>
  </si>
  <si>
    <t>Melting_Curves/meltCurve_P09669_COX6C.pdf</t>
  </si>
  <si>
    <t>Melting_Curves/meltCurve_P09693_CD3G.pdf</t>
  </si>
  <si>
    <t>Melting_Curves/meltCurve_P09874_PARP1.pdf</t>
  </si>
  <si>
    <t>Melting_Curves/meltCurve_P09960_LTA4H.pdf</t>
  </si>
  <si>
    <t>Melting_Curves/meltCurve_P09972_ALDOC.pdf</t>
  </si>
  <si>
    <t>Melting_Curves/meltCurve_P0C7P0_CISD3.pdf</t>
  </si>
  <si>
    <t>Melting_Curves/meltCurve_P0C7P4_UQCRFS1P1.pdf</t>
  </si>
  <si>
    <t>Melting_Curves/meltCurve_P0C7T5_ATXN1L.pdf</t>
  </si>
  <si>
    <t>Melting_Curves/meltCurve_P0C7V0_LINC00271.pdf</t>
  </si>
  <si>
    <t>Melting_Curves/meltCurve_P0CAP2_POLR2M.pdf</t>
  </si>
  <si>
    <t>Melting_Curves/meltCurve_P0CG06_IGLC3.pdf</t>
  </si>
  <si>
    <t>Melting_Curves/meltCurve_P0CG12_CHTF8.pdf</t>
  </si>
  <si>
    <t>Melting_Curves/meltCurve_P0CG13_CHTF8.pdf</t>
  </si>
  <si>
    <t>Melting_Curves/meltCurve_P0CW22_RPS17L.pdf</t>
  </si>
  <si>
    <t>Melting_Curves/meltCurve_P0DJ93_SMIM13.pdf</t>
  </si>
  <si>
    <t>Melting_Curves/meltCurve_P10109_FDX1.pdf</t>
  </si>
  <si>
    <t>Melting_Curves/meltCurve_P10155_TROVE2.pdf</t>
  </si>
  <si>
    <t>Melting_Curves/meltCurve_P10176_COX8A.pdf</t>
  </si>
  <si>
    <t>Melting_Curves/meltCurve_P10253_GAA.pdf</t>
  </si>
  <si>
    <t>Melting_Curves/meltCurve_P10301_RRAS.pdf</t>
  </si>
  <si>
    <t>Melting_Curves/meltCurve_P10316_HLA_A.pdf</t>
  </si>
  <si>
    <t>Melting_Curves/meltCurve_P10398_ARAF.pdf</t>
  </si>
  <si>
    <t>Melting_Curves/meltCurve_P10412_HIST1H1E.pdf</t>
  </si>
  <si>
    <t>Melting_Curves/meltCurve_P10515_DLAT.pdf</t>
  </si>
  <si>
    <t>Melting_Curves/meltCurve_P10586_2_PTPRF.pdf</t>
  </si>
  <si>
    <t>Melting_Curves/meltCurve_P10599_TXN.pdf</t>
  </si>
  <si>
    <t>Melting_Curves/meltCurve_P10606_COX5B.pdf</t>
  </si>
  <si>
    <t>Melting_Curves/meltCurve_P10619_CTSA.pdf</t>
  </si>
  <si>
    <t>Melting_Curves/meltCurve_P10636_4_MAPT.pdf</t>
  </si>
  <si>
    <t>Melting_Curves/meltCurve_P10644_PRKAR1A.pdf</t>
  </si>
  <si>
    <t>Melting_Curves/meltCurve_P10721_2_KIT.pdf</t>
  </si>
  <si>
    <t>Melting_Curves/meltCurve_P10746_UROS.pdf</t>
  </si>
  <si>
    <t>Melting_Curves/meltCurve_P10747_CD28.pdf</t>
  </si>
  <si>
    <t>Melting_Curves/meltCurve_P10768_ESD.pdf</t>
  </si>
  <si>
    <t>Melting_Curves/meltCurve_P10809_HSPD1.pdf</t>
  </si>
  <si>
    <t>Melting_Curves/meltCurve_P11021_HSPA5.pdf</t>
  </si>
  <si>
    <t>Melting_Curves/meltCurve_P11047_LAMC1.pdf</t>
  </si>
  <si>
    <t>Melting_Curves/meltCurve_P11142_HSPA8.pdf</t>
  </si>
  <si>
    <t>Melting_Curves/meltCurve_P11166_SLC2A1.pdf</t>
  </si>
  <si>
    <t>Melting_Curves/meltCurve_P11169_SLC2A3.pdf</t>
  </si>
  <si>
    <t>Melting_Curves/meltCurve_P11171_2_EPB41.pdf</t>
  </si>
  <si>
    <t>Melting_Curves/meltCurve_P11171_4_EPB41.pdf</t>
  </si>
  <si>
    <t>Melting_Curves/meltCurve_P11172_UMPS.pdf</t>
  </si>
  <si>
    <t>Melting_Curves/meltCurve_P11177_2_PDHB.pdf</t>
  </si>
  <si>
    <t>Melting_Curves/meltCurve_P11182_DBT.pdf</t>
  </si>
  <si>
    <t>Melting_Curves/meltCurve_P11216_PYGB.pdf</t>
  </si>
  <si>
    <t>Melting_Curves/meltCurve_P11233_RALA.pdf</t>
  </si>
  <si>
    <t>Melting_Curves/meltCurve_P11234_RALB.pdf</t>
  </si>
  <si>
    <t>Melting_Curves/meltCurve_P11274_BCR.pdf</t>
  </si>
  <si>
    <t>Melting_Curves/meltCurve_P11279_LAMP1.pdf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</si>
  <si>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</si>
  <si>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</si>
  <si>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</si>
  <si>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</si>
  <si>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</si>
  <si>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</si>
  <si>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</si>
  <si>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</si>
  <si>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</si>
  <si>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Melting_Curves/meltCurve_P11831_SRF.pdf</t>
  </si>
  <si>
    <t>Melting_Curves/meltCurve_P11908_2_PRPS2.pdf</t>
  </si>
  <si>
    <t>Melting_Curves/meltCurve_P11926_ODC1.pdf</t>
  </si>
  <si>
    <t>Melting_Curves/meltCurve_P11940_PABPC1.pdf</t>
  </si>
  <si>
    <t>Melting_Curves/meltCurve_P12004_PCNA.pdf</t>
  </si>
  <si>
    <t>Melting_Curves/meltCurve_P12081_HARS.pdf</t>
  </si>
  <si>
    <t>Melting_Curves/meltCurve_P12235_SLC25A4.pdf</t>
  </si>
  <si>
    <t>Melting_Curves/meltCurve_P12236_SLC25A6.pdf</t>
  </si>
  <si>
    <t>Melting_Curves/meltCurve_P12268_IMPDH2.pdf</t>
  </si>
  <si>
    <t>Melting_Curves/meltCurve_P12270_TPR.pdf</t>
  </si>
  <si>
    <t>Melting_Curves/meltCurve_P12273_PIP.pdf</t>
  </si>
  <si>
    <t>Melting_Curves/meltCurve_P12277_CKB.pdf</t>
  </si>
  <si>
    <t>Melting_Curves/meltCurve_P12429_ANXA3.pdf</t>
  </si>
  <si>
    <t>Melting_Curves/meltCurve_P12532_CKMT1A.pdf</t>
  </si>
  <si>
    <t>Melting_Curves/meltCurve_P12544_2_GZMA.pdf</t>
  </si>
  <si>
    <t>Melting_Curves/meltCurve_P12755_SKI.pdf</t>
  </si>
  <si>
    <t>Melting_Curves/meltCurve_P12814_ACTN1.pdf</t>
  </si>
  <si>
    <t>Melting_Curves/meltCurve_P12882_MYH1.pdf</t>
  </si>
  <si>
    <t>Melting_Curves/meltCurve_P12931_SRC.pdf</t>
  </si>
  <si>
    <t>Melting_Curves/meltCurve_P12955_PEPD.pdf</t>
  </si>
  <si>
    <t>Melting_Curves/meltCurve_P12956_XRCC6.pdf</t>
  </si>
  <si>
    <t>Melting_Curves/meltCurve_P13010_XRCC5.pdf</t>
  </si>
  <si>
    <t>Melting_Curves/meltCurve_P13051_UNG.pdf</t>
  </si>
  <si>
    <t>Melting_Curves/meltCurve_P13056_NR2C1.pdf</t>
  </si>
  <si>
    <t>Melting_Curves/meltCurve_P13073_COX4I1.pdf</t>
  </si>
  <si>
    <t>Melting_Curves/meltCurve_P13284_IFI30.pdf</t>
  </si>
  <si>
    <t>Melting_Curves/meltCurve_P13489_RNH1.pdf</t>
  </si>
  <si>
    <t>Melting_Curves/meltCurve_P13498_CYBA.pdf</t>
  </si>
  <si>
    <t>Melting_Curves/meltCurve_P13598_ICAM2.pdf</t>
  </si>
  <si>
    <t>Melting_Curves/meltCurve_P13612_ITGA4.pdf</t>
  </si>
  <si>
    <t>Melting_Curves/meltCurve_P13637_ATP1A3.pdf</t>
  </si>
  <si>
    <t>Melting_Curves/meltCurve_P13639_EEF2.pdf</t>
  </si>
  <si>
    <t>Melting_Curves/meltCurve_P13667_PDIA4.pdf</t>
  </si>
  <si>
    <t>Melting_Curves/meltCurve_P13674_2_P4HA1.pdf</t>
  </si>
  <si>
    <t>Melting_Curves/meltCurve_P13693_TPT1.pdf</t>
  </si>
  <si>
    <t>Melting_Curves/meltCurve_P13796_LCP1.pdf</t>
  </si>
  <si>
    <t>Melting_Curves/meltCurve_P13804_ETFA.pdf</t>
  </si>
  <si>
    <t>Melting_Curves/meltCurve_P13807_2_GYS1.pdf</t>
  </si>
  <si>
    <t>Melting_Curves/meltCurve_P13861_PRKAR2A.pdf</t>
  </si>
  <si>
    <t>Melting_Curves/meltCurve_P13929_2_ENO3.pdf</t>
  </si>
  <si>
    <t>Melting_Curves/meltCurve_P13984_GTF2F2.pdf</t>
  </si>
  <si>
    <t>Melting_Curves/meltCurve_P13994_CCDC130.pdf</t>
  </si>
  <si>
    <t>Melting_Curves/meltCurve_P13995_MTHFD2.pdf</t>
  </si>
  <si>
    <t>Melting_Curves/meltCurve_P14136_3_GFAP.pdf</t>
  </si>
  <si>
    <t>Melting_Curves/meltCurve_P14151_SELL.pdf</t>
  </si>
  <si>
    <t>Melting_Curves/meltCurve_P14174_MIF.pdf</t>
  </si>
  <si>
    <t>Melting_Curves/meltCurve_P14209_3_CD99.pdf</t>
  </si>
  <si>
    <t>Melting_Curves/meltCurve_P14317_HCLS1.pdf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</si>
  <si>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</si>
  <si>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</si>
  <si>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</si>
  <si>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</si>
  <si>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Melting_Curves/meltCurve_P14621_ACYP2.pdf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</si>
  <si>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</si>
  <si>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</si>
  <si>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</si>
  <si>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</si>
  <si>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</si>
  <si>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</si>
  <si>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</si>
  <si>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</si>
  <si>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Melting_Curves/meltCurve_P14921_ETS1.pdf</t>
  </si>
  <si>
    <t>Melting_Curves/meltCurve_P14923_JUP.pdf</t>
  </si>
  <si>
    <t>Melting_Curves/meltCurve_P14927_UQCRB.pdf</t>
  </si>
  <si>
    <t>Melting_Curves/meltCurve_P15056_BRAF.pdf</t>
  </si>
  <si>
    <t>Melting_Curves/meltCurve_P15090_FABP4.pdf</t>
  </si>
  <si>
    <t>Melting_Curves/meltCurve_P15104_GLUL.pdf</t>
  </si>
  <si>
    <t>Melting_Curves/meltCurve_P15121_AKR1B1.pdf</t>
  </si>
  <si>
    <t>Melting_Curves/meltCurve_P15151_3_PVR.pdf</t>
  </si>
  <si>
    <t>Melting_Curves/meltCurve_P15153_RAC2.pdf</t>
  </si>
  <si>
    <t>Melting_Curves/meltCurve_P15170_2_GSPT1.pdf</t>
  </si>
  <si>
    <t>Melting_Curves/meltCurve_P15289_ARSA.pdf</t>
  </si>
  <si>
    <t>Melting_Curves/meltCurve_P15311_EZR.pdf</t>
  </si>
  <si>
    <t>Melting_Curves/meltCurve_P15374_UCHL3.pdf</t>
  </si>
  <si>
    <t>Melting_Curves/meltCurve_P15428_HPGD.pdf</t>
  </si>
  <si>
    <t>Melting_Curves/meltCurve_P15498_VAV1.pdf</t>
  </si>
  <si>
    <t>Melting_Curves/meltCurve_P15529_16_CD46.pdf</t>
  </si>
  <si>
    <t>Melting_Curves/meltCurve_P15531_NME1.pdf</t>
  </si>
  <si>
    <t>Melting_Curves/meltCurve_P15813_CD1D.pdf</t>
  </si>
  <si>
    <t>Melting_Curves/meltCurve_P15848_ARSB.pdf</t>
  </si>
  <si>
    <t>Melting_Curves/meltCurve_P15880_RPS2.pdf</t>
  </si>
  <si>
    <t>Melting_Curves/meltCurve_P15882_CHN1.pdf</t>
  </si>
  <si>
    <t>Melting_Curves/meltCurve_P15907_ST6GAL1.pdf</t>
  </si>
  <si>
    <t>Melting_Curves/meltCurve_P15923_2_TCF3.pdf</t>
  </si>
  <si>
    <t>Melting_Curves/meltCurve_P15924_DSP.pdf</t>
  </si>
  <si>
    <t>Melting_Curves/meltCurve_P15927_RPA2.pdf</t>
  </si>
  <si>
    <t>Melting_Curves/meltCurve_P16035_TIMP2.pdf</t>
  </si>
  <si>
    <t>Melting_Curves/meltCurve_P16150_SPN.pdf</t>
  </si>
  <si>
    <t>Melting_Curves/meltCurve_P16219_ACADS.pdf</t>
  </si>
  <si>
    <t>Melting_Curves/meltCurve_P16220_CREB1.pdf</t>
  </si>
  <si>
    <t>Melting_Curves/meltCurve_P16278_3_GLB1.pdf</t>
  </si>
  <si>
    <t>Melting_Curves/meltCurve_P16284_3_PECAM1.pdf</t>
  </si>
  <si>
    <t>Melting_Curves/meltCurve_P16298_PPP3CB.pdf</t>
  </si>
  <si>
    <t>Melting_Curves/meltCurve_P16333_NCK1.pdf</t>
  </si>
  <si>
    <t>Melting_Curves/meltCurve_P16383_GCFC2.pdf</t>
  </si>
  <si>
    <t>Melting_Curves/meltCurve_P16389_2_KCNA2.pdf</t>
  </si>
  <si>
    <t>Melting_Curves/meltCurve_P16401_HIST1H1B.pdf</t>
  </si>
  <si>
    <t>Melting_Curves/meltCurve_P16435_POR.pdf</t>
  </si>
  <si>
    <t>Melting_Curves/meltCurve_P16455_MGMT.pdf</t>
  </si>
  <si>
    <t>Melting_Curves/meltCurve_P16591_3_FER.pdf</t>
  </si>
  <si>
    <t>Melting_Curves/meltCurve_P16615_ATP2A2.pdf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</si>
  <si>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</si>
  <si>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</si>
  <si>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</si>
  <si>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</si>
  <si>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Melting_Curves/meltCurve_P17026_ZNF22.pdf</t>
  </si>
  <si>
    <t>Melting_Curves/meltCurve_P17028_ZNF24.pdf</t>
  </si>
  <si>
    <t>Melting_Curves/meltCurve_P17050_NAGA.pdf</t>
  </si>
  <si>
    <t>Melting_Curves/meltCurve_P17066_HSPA6.pdf</t>
  </si>
  <si>
    <t>Melting_Curves/meltCurve_P17096_HMGA1.pdf</t>
  </si>
  <si>
    <t>Melting_Curves/meltCurve_P17098_ZNF8.pdf</t>
  </si>
  <si>
    <t>Melting_Curves/meltCurve_P17152_TMEM11.pdf</t>
  </si>
  <si>
    <t>Melting_Curves/meltCurve_P17174_GOT1.pdf</t>
  </si>
  <si>
    <t>Melting_Curves/meltCurve_P17181_IFNAR1.pdf</t>
  </si>
  <si>
    <t>Melting_Curves/meltCurve_P17252_PRKCA.pdf</t>
  </si>
  <si>
    <t>Melting_Curves/meltCurve_P17275_JUNB.pdf</t>
  </si>
  <si>
    <t>Melting_Curves/meltCurve_P17480_UBTF.pdf</t>
  </si>
  <si>
    <t>Melting_Curves/meltCurve_P17483_HOXB4.pdf</t>
  </si>
  <si>
    <t>Melting_Curves/meltCurve_P17535_JUND.pdf</t>
  </si>
  <si>
    <t>Melting_Curves/meltCurve_P17542_3_TAL1.pdf</t>
  </si>
  <si>
    <t>Melting_Curves/meltCurve_P17544_4_ATF7.pdf</t>
  </si>
  <si>
    <t>Melting_Curves/meltCurve_P17568_NDUFB7.pdf</t>
  </si>
  <si>
    <t>Melting_Curves/meltCurve_P17600_2_SYN1.pdf</t>
  </si>
  <si>
    <t>Melting_Curves/meltCurve_P17612_PRKACA.pdf</t>
  </si>
  <si>
    <t>Melting_Curves/meltCurve_P17706_2_PTPN2.pdf</t>
  </si>
  <si>
    <t>Melting_Curves/meltCurve_P17707_AMD1.pdf</t>
  </si>
  <si>
    <t>Melting_Curves/meltCurve_P17812_CTPS1.pdf</t>
  </si>
  <si>
    <t>Melting_Curves/meltCurve_P17844_DDX5.pdf</t>
  </si>
  <si>
    <t>Melting_Curves/meltCurve_P17858_PFKL.pdf</t>
  </si>
  <si>
    <t>Melting_Curves/meltCurve_P17900_GM2A.pdf</t>
  </si>
  <si>
    <t>Melting_Curves/meltCurve_P17987_TCP1.pdf</t>
  </si>
  <si>
    <t>Melting_Curves/meltCurve_P18031_PTPN1.pdf</t>
  </si>
  <si>
    <t>Melting_Curves/meltCurve_P18065_IGFBP2.pdf</t>
  </si>
  <si>
    <t>Melting_Curves/meltCurve_P18074_ERCC2.pdf</t>
  </si>
  <si>
    <t>Melting_Curves/meltCurve_P18077_RPL35A.pdf</t>
  </si>
  <si>
    <t>Melting_Curves/meltCurve_P18084_ITGB5.pdf</t>
  </si>
  <si>
    <t>Melting_Curves/meltCurve_P18085_ARF4.pdf</t>
  </si>
  <si>
    <t>Melting_Curves/meltCurve_P18124_RPL7.pdf</t>
  </si>
  <si>
    <t>Melting_Curves/meltCurve_P18146_EGR1.pdf</t>
  </si>
  <si>
    <t>Melting_Curves/meltCurve_P18206_2_VCL.pdf</t>
  </si>
  <si>
    <t>Melting_Curves/meltCurve_P18583_2_SON.pdf</t>
  </si>
  <si>
    <t>Melting_Curves/meltCurve_P18615_NELFE.pdf</t>
  </si>
  <si>
    <t>Melting_Curves/meltCurve_P18669_PGAM1.pdf</t>
  </si>
  <si>
    <t>Melting_Curves/meltCurve_P18754_2_RCC1.pdf</t>
  </si>
  <si>
    <t>Melting_Curves/meltCurve_P18846_ATF1.pdf</t>
  </si>
  <si>
    <t>Melting_Curves/meltCurve_P18858_LIG1.pdf</t>
  </si>
  <si>
    <t>Melting_Curves/meltCurve_P18859_ATP5J.pdf</t>
  </si>
  <si>
    <t>Melting_Curves/meltCurve_P18887_XRCC1.pdf</t>
  </si>
  <si>
    <t>Melting_Curves/meltCurve_P19022_CDH2.pdf</t>
  </si>
  <si>
    <t>Melting_Curves/meltCurve_P19174_PLCG1.pdf</t>
  </si>
  <si>
    <t>Melting_Curves/meltCurve_P19338_NCL.pdf</t>
  </si>
  <si>
    <t>Melting_Curves/meltCurve_P19387_POLR2C.pdf</t>
  </si>
  <si>
    <t>Melting_Curves/meltCurve_P19388_POLR2E.pdf</t>
  </si>
  <si>
    <t>Melting_Curves/meltCurve_P19397_CD53.pdf</t>
  </si>
  <si>
    <t>Melting_Curves/meltCurve_P19447_ERCC3.pdf</t>
  </si>
  <si>
    <t>Melting_Curves/meltCurve_P19525_EIF2AK2.pdf</t>
  </si>
  <si>
    <t>Melting_Curves/meltCurve_P19532_TFE3.pdf</t>
  </si>
  <si>
    <t>Melting_Curves/meltCurve_P19623_SRM.pdf</t>
  </si>
  <si>
    <t>Melting_Curves/meltCurve_P19784_CSNK2A2.pdf</t>
  </si>
  <si>
    <t>Melting_Curves/meltCurve_P19835_CEL.pdf</t>
  </si>
  <si>
    <t>Melting_Curves/meltCurve_P19838_NFKB1.pdf</t>
  </si>
  <si>
    <t>Melting_Curves/meltCurve_P20020_5_ATP2B1.pdf</t>
  </si>
  <si>
    <t>Melting_Curves/meltCurve_P20042_EIF2S2.pdf</t>
  </si>
  <si>
    <t>Melting_Curves/meltCurve_P20061_TCN1.pdf</t>
  </si>
  <si>
    <t>Melting_Curves/meltCurve_P20248_CCNA2.pdf</t>
  </si>
  <si>
    <t>Melting_Curves/meltCurve_P20290_BTF3.pdf</t>
  </si>
  <si>
    <t>Melting_Curves/meltCurve_P20290_2_BTF3.pdf</t>
  </si>
  <si>
    <t>Melting_Curves/meltCurve_P20336_RAB3A.pdf</t>
  </si>
  <si>
    <t>Melting_Curves/meltCurve_P20337_RAB3B.pdf</t>
  </si>
  <si>
    <t>Melting_Curves/meltCurve_P20338_RAB4A.pdf</t>
  </si>
  <si>
    <t>Melting_Curves/meltCurve_P20340_RAB6A.pdf</t>
  </si>
  <si>
    <t>Melting_Curves/meltCurve_P20340_2_RAB6A.pdf</t>
  </si>
  <si>
    <t>Melting_Curves/meltCurve_P20618_PSMB1.pdf</t>
  </si>
  <si>
    <t>Melting_Curves/meltCurve_P20645_M6PR.pdf</t>
  </si>
  <si>
    <t>Melting_Curves/meltCurve_P20671_HIST1H2AD.pdf</t>
  </si>
  <si>
    <t>Melting_Curves/meltCurve_P20674_COX5A.pdf</t>
  </si>
  <si>
    <t>Melting_Curves/meltCurve_P20700_LMNB1.pdf</t>
  </si>
  <si>
    <t>Melting_Curves/meltCurve_P20701_ITGAL.pdf</t>
  </si>
  <si>
    <t>Melting_Curves/meltCurve_P20774_OGN.pdf</t>
  </si>
  <si>
    <t>Melting_Curves/meltCurve_P20962_PTMS.pdf</t>
  </si>
  <si>
    <t>Melting_Curves/meltCurve_P20963_CD247.pdf</t>
  </si>
  <si>
    <t>Melting_Curves/meltCurve_P21127_8_CDK11B.pdf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</si>
  <si>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</si>
  <si>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</si>
  <si>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</si>
  <si>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</si>
  <si>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</si>
  <si>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Melting_Curves/meltCurve_P21399_ACO1.pdf</t>
  </si>
  <si>
    <t>Melting_Curves/meltCurve_P21549_AGXT.pdf</t>
  </si>
  <si>
    <t>Melting_Curves/meltCurve_P21580_TNFAIP3.pdf</t>
  </si>
  <si>
    <t>Melting_Curves/meltCurve_P21796_VDAC1.pdf</t>
  </si>
  <si>
    <t>Melting_Curves/meltCurve_P21912_SDHB.pdf</t>
  </si>
  <si>
    <t>Melting_Curves/meltCurve_P21953_BCKDHB.pdf</t>
  </si>
  <si>
    <t>Melting_Curves/meltCurve_P21964_2_COMT.pdf</t>
  </si>
  <si>
    <t>Melting_Curves/meltCurve_P22033_MUT.pdf</t>
  </si>
  <si>
    <t>Melting_Curves/meltCurve_P22059_OSBP.pdf</t>
  </si>
  <si>
    <t>Melting_Curves/meltCurve_P22087_FBL.pdf</t>
  </si>
  <si>
    <t>Melting_Curves/meltCurve_P22102_GART.pdf</t>
  </si>
  <si>
    <t>Melting_Curves/meltCurve_P22234_PAICS.pdf</t>
  </si>
  <si>
    <t>Melting_Curves/meltCurve_P22307_SCP2.pdf</t>
  </si>
  <si>
    <t>Melting_Curves/meltCurve_P22314_UBA1.pdf</t>
  </si>
  <si>
    <t>Melting_Curves/meltCurve_P22570_5_FDXR.pdf</t>
  </si>
  <si>
    <t>Melting_Curves/meltCurve_P22626_HNRNPA2B1.pdf</t>
  </si>
  <si>
    <t>Melting_Curves/meltCurve_P22670_RFX1.pdf</t>
  </si>
  <si>
    <t>Melting_Curves/meltCurve_P22681_CBL.pdf</t>
  </si>
  <si>
    <t>Melting_Curves/meltCurve_P22694_4_PRKACB.pdf</t>
  </si>
  <si>
    <t>Melting_Curves/meltCurve_P22695_UQCRC2.pdf</t>
  </si>
  <si>
    <t>Melting_Curves/meltCurve_P22830_FECH.pdf</t>
  </si>
  <si>
    <t>Melting_Curves/meltCurve_P23025_XPA.pdf</t>
  </si>
  <si>
    <t>Melting_Curves/meltCurve_P23109_2_AMPD1.pdf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</si>
  <si>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</si>
  <si>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</si>
  <si>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</si>
  <si>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</si>
  <si>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</si>
  <si>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Melting_Curves/meltCurve_P23378_GLDC.pdf</t>
  </si>
  <si>
    <t>Melting_Curves/meltCurve_P23381_WARS.pdf</t>
  </si>
  <si>
    <t>Melting_Curves/meltCurve_P23396_RPS3.pdf</t>
  </si>
  <si>
    <t>Melting_Curves/meltCurve_P23434_GCSH.pdf</t>
  </si>
  <si>
    <t>Melting_Curves/meltCurve_P23458_JAK1.pdf</t>
  </si>
  <si>
    <t>Melting_Curves/meltCurve_P23469_3_PTPRE.pdf</t>
  </si>
  <si>
    <t>Melting_Curves/meltCurve_P23497_SP100.pdf</t>
  </si>
  <si>
    <t>Melting_Curves/meltCurve_P23511_2_NFYA.pdf</t>
  </si>
  <si>
    <t>Melting_Curves/meltCurve_P23526_AHCY.pdf</t>
  </si>
  <si>
    <t>Melting_Curves/meltCurve_P23527_HIST1H2BO.pdf</t>
  </si>
  <si>
    <t>Melting_Curves/meltCurve_P23528_CFL1.pdf</t>
  </si>
  <si>
    <t>Melting_Curves/meltCurve_P23610_F8A1.pdf</t>
  </si>
  <si>
    <t>Melting_Curves/meltCurve_P23634_7_ATP2B4.pdf</t>
  </si>
  <si>
    <t>Melting_Curves/meltCurve_P23743_DGKA.pdf</t>
  </si>
  <si>
    <t>Melting_Curves/meltCurve_P23771_GATA3.pdf</t>
  </si>
  <si>
    <t>Melting_Curves/meltCurve_P23786_CPT2.pdf</t>
  </si>
  <si>
    <t>Melting_Curves/meltCurve_P23919_DTYMK.pdf</t>
  </si>
  <si>
    <t>Melting_Curves/meltCurve_P23921_RRM1.pdf</t>
  </si>
  <si>
    <t>Melting_Curves/meltCurve_P24001_2_IL32.pdf</t>
  </si>
  <si>
    <t>Melting_Curves/meltCurve_P24298_GPT.pdf</t>
  </si>
  <si>
    <t>Melting_Curves/meltCurve_P24311_COX7B.pdf</t>
  </si>
  <si>
    <t>Melting_Curves/meltCurve_P24534_EEF1B2.pdf</t>
  </si>
  <si>
    <t>Melting_Curves/meltCurve_P24588_AKAP5.pdf</t>
  </si>
  <si>
    <t>Melting_Curves/meltCurve_P24666_ACP1.pdf</t>
  </si>
  <si>
    <t>Melting_Curves/meltCurve_P24666_2_ACP1.pdf</t>
  </si>
  <si>
    <t>Melting_Curves/meltCurve_P24752_ACAT1.pdf</t>
  </si>
  <si>
    <t>Melting_Curves/meltCurve_P24928_POLR2A.pdf</t>
  </si>
  <si>
    <t>Melting_Curves/meltCurve_P25054_2_APC.pdf</t>
  </si>
  <si>
    <t>Melting_Curves/meltCurve_P25098_ADRBK1.pdf</t>
  </si>
  <si>
    <t>Melting_Curves/meltCurve_P25116_F2R.pdf</t>
  </si>
  <si>
    <t>Melting_Curves/meltCurve_P25205_MCM3.pdf</t>
  </si>
  <si>
    <t>Melting_Curves/meltCurve_P25325_MPST.pdf</t>
  </si>
  <si>
    <t>Melting_Curves/meltCurve_P25398_RPS12.pdf</t>
  </si>
  <si>
    <t>Melting_Curves/meltCurve_P25445_6_FAS.pdf</t>
  </si>
  <si>
    <t>Melting_Curves/meltCurve_P25490_YY1.pdf</t>
  </si>
  <si>
    <t>Melting_Curves/meltCurve_P25685_DNAJB1.pdf</t>
  </si>
  <si>
    <t>Melting_Curves/meltCurve_P25686_DNAJB2.pdf</t>
  </si>
  <si>
    <t>Melting_Curves/meltCurve_P25705_ATP5A1.pdf</t>
  </si>
  <si>
    <t>Melting_Curves/meltCurve_P25705_2_ATP5A1.pdf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</si>
  <si>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</si>
  <si>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</si>
  <si>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</si>
  <si>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</si>
  <si>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</si>
  <si>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</si>
  <si>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Melting_Curves/meltCurve_P26006_ITGA3.pdf</t>
  </si>
  <si>
    <t>Melting_Curves/meltCurve_P26038_MSN.pdf</t>
  </si>
  <si>
    <t>Melting_Curves/meltCurve_P26196_DDX6.pdf</t>
  </si>
  <si>
    <t>Melting_Curves/meltCurve_P26358_DNMT1.pdf</t>
  </si>
  <si>
    <t>Melting_Curves/meltCurve_P26368_2_U2AF2.pdf</t>
  </si>
  <si>
    <t>Melting_Curves/meltCurve_P26373_RPL13.pdf</t>
  </si>
  <si>
    <t>Melting_Curves/meltCurve_P26374_CHML.pdf</t>
  </si>
  <si>
    <t>Melting_Curves/meltCurve_P26440_IVD.pdf</t>
  </si>
  <si>
    <t>Melting_Curves/meltCurve_P26447_S100A4.pdf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</si>
  <si>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</si>
  <si>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</si>
  <si>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</si>
  <si>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</si>
  <si>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</si>
  <si>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</si>
  <si>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</si>
  <si>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</si>
  <si>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</si>
  <si>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Melting_Curves/meltCurve_P27449_ATP6V0C.pdf</t>
  </si>
  <si>
    <t>Melting_Curves/meltCurve_P27540_2_ARNT.pdf</t>
  </si>
  <si>
    <t>Melting_Curves/meltCurve_P27544_2_CERS1.pdf</t>
  </si>
  <si>
    <t>Melting_Curves/meltCurve_P27635_RPL10.pdf</t>
  </si>
  <si>
    <t>Melting_Curves/meltCurve_P27694_RPA1.pdf</t>
  </si>
  <si>
    <t>Melting_Curves/meltCurve_P27695_APEX1.pdf</t>
  </si>
  <si>
    <t>Melting_Curves/meltCurve_P27701_CD82.pdf</t>
  </si>
  <si>
    <t>Melting_Curves/meltCurve_P27797_CALR.pdf</t>
  </si>
  <si>
    <t>Melting_Curves/meltCurve_P27815_PDE4A.pdf</t>
  </si>
  <si>
    <t>Melting_Curves/meltCurve_P27816_5_MAP4.pdf</t>
  </si>
  <si>
    <t>Melting_Curves/meltCurve_P27824_CANX.pdf</t>
  </si>
  <si>
    <t>Melting_Curves/meltCurve_P27986_PIK3R1.pdf</t>
  </si>
  <si>
    <t>Melting_Curves/meltCurve_P28062_PSMB8.pdf</t>
  </si>
  <si>
    <t>Melting_Curves/meltCurve_P28065_PSMB9.pdf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</si>
  <si>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</si>
  <si>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</si>
  <si>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</si>
  <si>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</si>
  <si>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Melting_Curves/meltCurve_P28161_GSTM2.pdf</t>
  </si>
  <si>
    <t>Melting_Curves/meltCurve_P28331_4_NDUFS1.pdf</t>
  </si>
  <si>
    <t>Melting_Curves/meltCurve_P28482_MAPK1.pdf</t>
  </si>
  <si>
    <t>Melting_Curves/meltCurve_P28702_RXRB.pdf</t>
  </si>
  <si>
    <t>Melting_Curves/meltCurve_P28715_ERCC5.pdf</t>
  </si>
  <si>
    <t>Melting_Curves/meltCurve_P28749_RBL1.pdf</t>
  </si>
  <si>
    <t>Melting_Curves/meltCurve_P28799_GRN.pdf</t>
  </si>
  <si>
    <t>Melting_Curves/meltCurve_P28838_LAP3.pdf</t>
  </si>
  <si>
    <t>Melting_Curves/meltCurve_P28907_CD38.pdf</t>
  </si>
  <si>
    <t>Melting_Curves/meltCurve_P28908_TNFRSF8.pdf</t>
  </si>
  <si>
    <t>Melting_Curves/meltCurve_P29016_CD1B.pdf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</si>
  <si>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</si>
  <si>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</si>
  <si>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</si>
  <si>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</si>
  <si>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Melting_Curves/meltCurve_P29350_PTPN6.pdf</t>
  </si>
  <si>
    <t>Melting_Curves/meltCurve_P29353_7_SHC1.pdf</t>
  </si>
  <si>
    <t>Melting_Curves/meltCurve_P29372_5_MPG.pdf</t>
  </si>
  <si>
    <t>Melting_Curves/meltCurve_P29374_3_ARID4A.pdf</t>
  </si>
  <si>
    <t>Melting_Curves/meltCurve_P29401_TKT.pdf</t>
  </si>
  <si>
    <t>Melting_Curves/meltCurve_P29590_PML.pdf</t>
  </si>
  <si>
    <t>Melting_Curves/meltCurve_P29692_3_EEF1D.pdf</t>
  </si>
  <si>
    <t>Melting_Curves/meltCurve_P29728_2_OAS2.pdf</t>
  </si>
  <si>
    <t>Melting_Curves/meltCurve_P29965_CD40LG.pdf</t>
  </si>
  <si>
    <t>Melting_Curves/meltCurve_P29966_MARCKS.pdf</t>
  </si>
  <si>
    <t>Melting_Curves/meltCurve_P29992_GNA11.pdf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</si>
  <si>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</si>
  <si>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</si>
  <si>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</si>
  <si>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</si>
  <si>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</si>
  <si>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</si>
  <si>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</si>
  <si>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</si>
  <si>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</si>
  <si>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</si>
  <si>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</si>
  <si>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</si>
  <si>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</si>
  <si>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</si>
  <si>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Melting_Curves/meltCurve_P30203_5_CD6.pdf</t>
  </si>
  <si>
    <t>Melting_Curves/meltCurve_P30260_CDC27.pdf</t>
  </si>
  <si>
    <t>Melting_Curves/meltCurve_P30281_CCND3.pdf</t>
  </si>
  <si>
    <t>Melting_Curves/meltCurve_P30291_WEE1.pdf</t>
  </si>
  <si>
    <t>Melting_Curves/meltCurve_P30405_PPIF.pdf</t>
  </si>
  <si>
    <t>Melting_Curves/meltCurve_P30419_NMT1.pdf</t>
  </si>
  <si>
    <t>Melting_Curves/meltCurve_P30493_HLA_B.pdf</t>
  </si>
  <si>
    <t>Melting_Curves/meltCurve_P30495_HLA_B.pdf</t>
  </si>
  <si>
    <t>Melting_Curves/meltCurve_P30504_HLA_C.pdf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</si>
  <si>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</si>
  <si>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</si>
  <si>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</si>
  <si>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</si>
  <si>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Melting_Curves/meltCurve_P30613_2_PKLR.pdf</t>
  </si>
  <si>
    <t>Melting_Curves/meltCurve_P30622_2_CLIP1.pdf</t>
  </si>
  <si>
    <t>Melting_Curves/meltCurve_P30679_GNA15.pdf</t>
  </si>
  <si>
    <t>Melting_Curves/meltCurve_P30685_HLA_B.pdf</t>
  </si>
  <si>
    <t>Melting_Curves/meltCurve_P30740_SERPINB1.pdf</t>
  </si>
  <si>
    <t>Melting_Curves/meltCurve_P30793_GCH1.pdf</t>
  </si>
  <si>
    <t>Melting_Curves/meltCurve_P30825_SLC7A1.pdf</t>
  </si>
  <si>
    <t>Melting_Curves/meltCurve_P31146_CORO1A.pdf</t>
  </si>
  <si>
    <t>Melting_Curves/meltCurve_P31150_GDI1.pdf</t>
  </si>
  <si>
    <t>Melting_Curves/meltCurve_P31151_S100A7.pdf</t>
  </si>
  <si>
    <t>Melting_Curves/meltCurve_P31153_MAT2A.pdf</t>
  </si>
  <si>
    <t>Melting_Curves/meltCurve_P31321_PRKAR1B.pdf</t>
  </si>
  <si>
    <t>Melting_Curves/meltCurve_P31323_PRKAR2B.pdf</t>
  </si>
  <si>
    <t>Melting_Curves/meltCurve_P31327_CPS1.pdf</t>
  </si>
  <si>
    <t>Melting_Curves/meltCurve_P31350_RRM2.pdf</t>
  </si>
  <si>
    <t>Melting_Curves/meltCurve_P31641_SLC6A6.pdf</t>
  </si>
  <si>
    <t>Melting_Curves/meltCurve_P31689_DNAJA1.pdf</t>
  </si>
  <si>
    <t>Melting_Curves/meltCurve_P31749_AKT1.pdf</t>
  </si>
  <si>
    <t>Melting_Curves/meltCurve_P31751_AKT2.pdf</t>
  </si>
  <si>
    <t>Melting_Curves/meltCurve_P31785_IL2RG.pdf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</si>
  <si>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</si>
  <si>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</si>
  <si>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</si>
  <si>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</si>
  <si>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Melting_Curves/meltCurve_P31946_2_YWHAB.pdf</t>
  </si>
  <si>
    <t>Melting_Curves/meltCurve_P31947_2_SFN.pdf</t>
  </si>
  <si>
    <t>Melting_Curves/meltCurve_P31948_STIP1.pdf</t>
  </si>
  <si>
    <t>Melting_Curves/meltCurve_P31949_S100A11.pdf</t>
  </si>
  <si>
    <t>Melting_Curves/meltCurve_P32019_3_INPP5B.pdf</t>
  </si>
  <si>
    <t>Melting_Curves/meltCurve_P32119_PRDX2.pdf</t>
  </si>
  <si>
    <t>Melting_Curves/meltCurve_P32121_ARRB2.pdf</t>
  </si>
  <si>
    <t>Melting_Curves/meltCurve_P32189_1_GK.pdf</t>
  </si>
  <si>
    <t>Melting_Curves/meltCurve_P32321_2_DCTD.pdf</t>
  </si>
  <si>
    <t>Melting_Curves/meltCurve_P32322_PYCR1.pdf</t>
  </si>
  <si>
    <t>Melting_Curves/meltCurve_P32455_GBP1.pdf</t>
  </si>
  <si>
    <t>Melting_Curves/meltCurve_P32519_2_ELF1.pdf</t>
  </si>
  <si>
    <t>Melting_Curves/meltCurve_P32780_GTF2H1.pdf</t>
  </si>
  <si>
    <t>Melting_Curves/meltCurve_P32856_3_STX2.pdf</t>
  </si>
  <si>
    <t>Melting_Curves/meltCurve_P32929_CTH.pdf</t>
  </si>
  <si>
    <t>Melting_Curves/meltCurve_P32942_ICAM3.pdf</t>
  </si>
  <si>
    <t>Melting_Curves/meltCurve_P32969_RPL9.pdf</t>
  </si>
  <si>
    <t>Melting_Curves/meltCurve_P33121_ACSL1.pdf</t>
  </si>
  <si>
    <t>Melting_Curves/meltCurve_P33176_KIF5B.pdf</t>
  </si>
  <si>
    <t>Melting_Curves/meltCurve_P33240_2_CSTF2.pdf</t>
  </si>
  <si>
    <t>Melting_Curves/meltCurve_P33241_LSP1.pdf</t>
  </si>
  <si>
    <t>Melting_Curves/meltCurve_P33316_DUT.pdf</t>
  </si>
  <si>
    <t>Melting_Curves/meltCurve_P33316_2_DUT.pdf</t>
  </si>
  <si>
    <t>Melting_Curves/meltCurve_P33527_ABCC1.pdf</t>
  </si>
  <si>
    <t>Melting_Curves/meltCurve_P33552_CKS2.pdf</t>
  </si>
  <si>
    <t>Melting_Curves/meltCurve_P33897_ABCD1.pdf</t>
  </si>
  <si>
    <t>Melting_Curves/meltCurve_P33908_MAN1A1.pdf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</si>
  <si>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</si>
  <si>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</si>
  <si>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</si>
  <si>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</si>
  <si>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</si>
  <si>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</si>
  <si>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</si>
  <si>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Melting_Curves/meltCurve_P34932_HSPA4.pdf</t>
  </si>
  <si>
    <t>Melting_Curves/meltCurve_P34947_GRK5.pdf</t>
  </si>
  <si>
    <t>Melting_Curves/meltCurve_P34972_CNR2.pdf</t>
  </si>
  <si>
    <t>Melting_Curves/meltCurve_P35219_CA8.pdf</t>
  </si>
  <si>
    <t>Melting_Curves/meltCurve_P35221_CTNNA1.pdf</t>
  </si>
  <si>
    <t>Melting_Curves/meltCurve_P35227_PCGF2.pdf</t>
  </si>
  <si>
    <t>Melting_Curves/meltCurve_P35232_PHB.pdf</t>
  </si>
  <si>
    <t>Melting_Curves/meltCurve_P35236_2_PTPN7.pdf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</si>
  <si>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</si>
  <si>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</si>
  <si>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</si>
  <si>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</si>
  <si>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</si>
  <si>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</si>
  <si>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</si>
  <si>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</si>
  <si>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</si>
  <si>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</si>
  <si>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Melting_Curves/meltCurve_P35321_SPRR1A.pdf</t>
  </si>
  <si>
    <t>Melting_Curves/meltCurve_P35408_PTGER4.pdf</t>
  </si>
  <si>
    <t>Melting_Curves/meltCurve_P35520_CBS.pdf</t>
  </si>
  <si>
    <t>Melting_Curves/meltCurve_P35573_AGL.pdf</t>
  </si>
  <si>
    <t>Melting_Curves/meltCurve_P35579_MYH9.pdf</t>
  </si>
  <si>
    <t>Melting_Curves/meltCurve_P35580_MYH10.pdf</t>
  </si>
  <si>
    <t>Melting_Curves/meltCurve_P35606_COPB2.pdf</t>
  </si>
  <si>
    <t>Melting_Curves/meltCurve_P35610_SOAT1.pdf</t>
  </si>
  <si>
    <t>Melting_Curves/meltCurve_P35611_ADD1.pdf</t>
  </si>
  <si>
    <t>Melting_Curves/meltCurve_P35612_ADD2.pdf</t>
  </si>
  <si>
    <t>Melting_Curves/meltCurve_P35613_2_BSG.pdf</t>
  </si>
  <si>
    <t>Melting_Curves/meltCurve_P35626_ADRBK2.pdf</t>
  </si>
  <si>
    <t>Melting_Curves/meltCurve_P35637_2_FUS.pdf</t>
  </si>
  <si>
    <t>Melting_Curves/meltCurve_P35658_2_NUP214.pdf</t>
  </si>
  <si>
    <t>Melting_Curves/meltCurve_P35659_DEK.pdf</t>
  </si>
  <si>
    <t>Melting_Curves/meltCurve_P35754_GLRX.pdf</t>
  </si>
  <si>
    <t>Melting_Curves/meltCurve_P35790_CHKA.pdf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</si>
  <si>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</si>
  <si>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</si>
  <si>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</si>
  <si>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</si>
  <si>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Melting_Curves/meltCurve_P36406_3_TRIM23.pdf</t>
  </si>
  <si>
    <t>Melting_Curves/meltCurve_P36507_MAP2K2.pdf</t>
  </si>
  <si>
    <t>Melting_Curves/meltCurve_P36542_ATP5C1.pdf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</si>
  <si>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</si>
  <si>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</si>
  <si>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</si>
  <si>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</si>
  <si>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</si>
  <si>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Melting_Curves/meltCurve_P36873_2_PPP1CC.pdf</t>
  </si>
  <si>
    <t>Melting_Curves/meltCurve_P36915_GNL1.pdf</t>
  </si>
  <si>
    <t>Melting_Curves/meltCurve_P36954_POLR2I.pdf</t>
  </si>
  <si>
    <t>Melting_Curves/meltCurve_P36957_DLST.pdf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</si>
  <si>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</si>
  <si>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</si>
  <si>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</si>
  <si>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</si>
  <si>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Melting_Curves/meltCurve_P37268_FDFT1.pdf</t>
  </si>
  <si>
    <t>Melting_Curves/meltCurve_P37275_3_ZEB1.pdf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</si>
  <si>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</si>
  <si>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</si>
  <si>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</si>
  <si>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</si>
  <si>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Melting_Curves/meltCurve_P38159_2_RBMX.pdf</t>
  </si>
  <si>
    <t>Melting_Curves/meltCurve_P38571_2_LIPA.pdf</t>
  </si>
  <si>
    <t>Melting_Curves/meltCurve_P38646_HSPA9.pdf</t>
  </si>
  <si>
    <t>Melting_Curves/meltCurve_P38919_EIF4A3.pdf</t>
  </si>
  <si>
    <t>Melting_Curves/meltCurve_P38935_IGHMBP2.pdf</t>
  </si>
  <si>
    <t>Melting_Curves/meltCurve_P39019_RPS19.pdf</t>
  </si>
  <si>
    <t>Melting_Curves/meltCurve_P39023_RPL3.pdf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</si>
  <si>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</si>
  <si>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</si>
  <si>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</si>
  <si>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</si>
  <si>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Melting_Curves/meltCurve_P40121_CAPG.pdf</t>
  </si>
  <si>
    <t>Melting_Curves/meltCurve_P40222_TXLNA.pdf</t>
  </si>
  <si>
    <t>Melting_Curves/meltCurve_P40227_CCT6A.pdf</t>
  </si>
  <si>
    <t>Melting_Curves/meltCurve_P40306_PSMB10.pdf</t>
  </si>
  <si>
    <t>Melting_Curves/meltCurve_P40337_3_VHL.pdf</t>
  </si>
  <si>
    <t>Melting_Curves/meltCurve_P40425_PBX2.pdf</t>
  </si>
  <si>
    <t>Melting_Curves/meltCurve_P40692_MLH1.pdf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</si>
  <si>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</si>
  <si>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</si>
  <si>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</si>
  <si>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</si>
  <si>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</si>
  <si>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</si>
  <si>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</si>
  <si>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</si>
  <si>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Melting_Curves/meltCurve_P41134_ID1.pdf</t>
  </si>
  <si>
    <t>Melting_Curves/meltCurve_P41208_CETN2.pdf</t>
  </si>
  <si>
    <t>Melting_Curves/meltCurve_P41212_ETV6.pdf</t>
  </si>
  <si>
    <t>Melting_Curves/meltCurve_P41214_EIF2D.pdf</t>
  </si>
  <si>
    <t>Melting_Curves/meltCurve_P41223_BUD31.pdf</t>
  </si>
  <si>
    <t>Melting_Curves/meltCurve_P41227_NAA10.pdf</t>
  </si>
  <si>
    <t>Melting_Curves/meltCurve_P41229_3_KDM5C.pdf</t>
  </si>
  <si>
    <t>Melting_Curves/meltCurve_P41240_CSK.pdf</t>
  </si>
  <si>
    <t>Melting_Curves/meltCurve_P41250_GARS.pdf</t>
  </si>
  <si>
    <t>Melting_Curves/meltCurve_P41252_IARS.pdf</t>
  </si>
  <si>
    <t>Melting_Curves/meltCurve_P41440_SLC19A1.pdf</t>
  </si>
  <si>
    <t>Melting_Curves/meltCurve_P41567_EIF1.pdf</t>
  </si>
  <si>
    <t>Melting_Curves/meltCurve_P41743_PRKCI.pdf</t>
  </si>
  <si>
    <t>Melting_Curves/meltCurve_P42025_ACTR1B.pdf</t>
  </si>
  <si>
    <t>Melting_Curves/meltCurve_P42166_TMPO.pdf</t>
  </si>
  <si>
    <t>Melting_Curves/meltCurve_P42167_TMPO.pdf</t>
  </si>
  <si>
    <t>Melting_Curves/meltCurve_P42167_2_TMPO.pdf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</si>
  <si>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</si>
  <si>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</si>
  <si>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</si>
  <si>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</si>
  <si>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Melting_Curves/meltCurve_P42331_5_ARHGAP25.pdf</t>
  </si>
  <si>
    <t>Melting_Curves/meltCurve_P42336_PIK3CA.pdf</t>
  </si>
  <si>
    <t>Melting_Curves/meltCurve_P42338_PIK3CB.pdf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</si>
  <si>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</si>
  <si>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</si>
  <si>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</si>
  <si>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</si>
  <si>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</si>
  <si>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Melting_Curves/meltCurve_P42684_6_ABL2.pdf</t>
  </si>
  <si>
    <t>Melting_Curves/meltCurve_P42695_NCAPD3.pdf</t>
  </si>
  <si>
    <t>Melting_Curves/meltCurve_P42704_LRPPRC.pdf</t>
  </si>
  <si>
    <t>Melting_Curves/meltCurve_P42765_ACAA2.pdf</t>
  </si>
  <si>
    <t>Melting_Curves/meltCurve_P42766_RPL35.pdf</t>
  </si>
  <si>
    <t>Melting_Curves/meltCurve_P42768_WAS.pdf</t>
  </si>
  <si>
    <t>Melting_Curves/meltCurve_P42773_CDKN2C.pdf</t>
  </si>
  <si>
    <t>Melting_Curves/meltCurve_P42785_PRCP.pdf</t>
  </si>
  <si>
    <t>Melting_Curves/meltCurve_P42858_HTT.pdf</t>
  </si>
  <si>
    <t>Melting_Curves/meltCurve_P42892_3_ECE1.pdf</t>
  </si>
  <si>
    <t>Melting_Curves/meltCurve_P42898_MTHFR.pdf</t>
  </si>
  <si>
    <t>Melting_Curves/meltCurve_P43003_2_SLC1A3.pdf</t>
  </si>
  <si>
    <t>Melting_Curves/meltCurve_P43007_SLC1A4.pdf</t>
  </si>
  <si>
    <t>Melting_Curves/meltCurve_P43034_PAFAH1B1.pdf</t>
  </si>
  <si>
    <t>Melting_Curves/meltCurve_P43155_2_CRAT.pdf</t>
  </si>
  <si>
    <t>Melting_Curves/meltCurve_P43250_2_GRK6.pdf</t>
  </si>
  <si>
    <t>Melting_Curves/meltCurve_P43307_SSR1.pdf</t>
  </si>
  <si>
    <t>Melting_Curves/meltCurve_P43378_PTPN9.pdf</t>
  </si>
  <si>
    <t>Melting_Curves/meltCurve_P43403_ZAP70.pdf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</si>
  <si>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</si>
  <si>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</si>
  <si>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</si>
  <si>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</si>
  <si>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</si>
  <si>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</si>
  <si>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</si>
  <si>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</si>
  <si>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</si>
  <si>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</si>
  <si>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</si>
  <si>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Melting_Curves/meltCurve_P46013_MKI67.pdf</t>
  </si>
  <si>
    <t>Melting_Curves/meltCurve_P46060_RANGAP1.pdf</t>
  </si>
  <si>
    <t>Melting_Curves/meltCurve_P46063_RECQL.pdf</t>
  </si>
  <si>
    <t>Melting_Curves/meltCurve_P46087_NOP2.pdf</t>
  </si>
  <si>
    <t>Melting_Curves/meltCurve_P46100_4_ATRX.pdf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</si>
  <si>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</si>
  <si>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</si>
  <si>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</si>
  <si>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</si>
  <si>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Melting_Curves/meltCurve_P46531_NOTCH1.pdf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</si>
  <si>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</si>
  <si>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</si>
  <si>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</si>
  <si>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</si>
  <si>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Melting_Curves/meltCurve_P46779_RPL28.pdf</t>
  </si>
  <si>
    <t>Melting_Curves/meltCurve_P46781_RPS9.pdf</t>
  </si>
  <si>
    <t>Melting_Curves/meltCurve_P46783_RPS10.pdf</t>
  </si>
  <si>
    <t>Melting_Curves/meltCurve_P46926_GNPDA1.pdf</t>
  </si>
  <si>
    <t>Melting_Curves/meltCurve_P46934_4_NEDD4.pdf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</si>
  <si>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</si>
  <si>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</si>
  <si>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</si>
  <si>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</si>
  <si>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</si>
  <si>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Melting_Curves/meltCurve_P47755_CAPZA2.pdf</t>
  </si>
  <si>
    <t>Melting_Curves/meltCurve_P47756_2_CAPZB.pdf</t>
  </si>
  <si>
    <t>Melting_Curves/meltCurve_P47813_EIF1AX.pdf</t>
  </si>
  <si>
    <t>Melting_Curves/meltCurve_P47897_QARS.pdf</t>
  </si>
  <si>
    <t>Melting_Curves/meltCurve_P47914_RPL29.pdf</t>
  </si>
  <si>
    <t>Melting_Curves/meltCurve_P47974_ZFP36L2.pdf</t>
  </si>
  <si>
    <t>Melting_Curves/meltCurve_P47985_UQCRFS1.pdf</t>
  </si>
  <si>
    <t>Melting_Curves/meltCurve_P48029_3_SLC6A8.pdf</t>
  </si>
  <si>
    <t>Melting_Curves/meltCurve_P48047_ATP5O.pdf</t>
  </si>
  <si>
    <t>Melting_Curves/meltCurve_P48059_5_LIMS1.pdf</t>
  </si>
  <si>
    <t>Melting_Curves/meltCurve_P48147_PREP.pdf</t>
  </si>
  <si>
    <t>Melting_Curves/meltCurve_P48200_IREB2.pdf</t>
  </si>
  <si>
    <t>Melting_Curves/meltCurve_P48380_3_RFX3.pdf</t>
  </si>
  <si>
    <t>Melting_Curves/meltCurve_P48444_ARCN1.pdf</t>
  </si>
  <si>
    <t>Melting_Curves/meltCurve_P48449_LSS.pdf</t>
  </si>
  <si>
    <t>Melting_Curves/meltCurve_P48454_PPP3CC.pdf</t>
  </si>
  <si>
    <t>Melting_Curves/meltCurve_P48506_GCLC.pdf</t>
  </si>
  <si>
    <t>Melting_Curves/meltCurve_P48507_GCLM.pdf</t>
  </si>
  <si>
    <t>Melting_Curves/meltCurve_P48553_TRAPPC10.pdf</t>
  </si>
  <si>
    <t>Melting_Curves/meltCurve_P48634_PRRC2A.pdf</t>
  </si>
  <si>
    <t>Melting_Curves/meltCurve_P48637_GSS.pdf</t>
  </si>
  <si>
    <t>Melting_Curves/meltCurve_P48643_CCT5.pdf</t>
  </si>
  <si>
    <t>Melting_Curves/meltCurve_P48651_PTDSS1.pdf</t>
  </si>
  <si>
    <t>Melting_Curves/meltCurve_P48723_HSPA13.pdf</t>
  </si>
  <si>
    <t>Melting_Curves/meltCurve_P48729_CSNK1A1.pdf</t>
  </si>
  <si>
    <t>Melting_Curves/meltCurve_P48730_2_CSNK1D.pdf</t>
  </si>
  <si>
    <t>Melting_Curves/meltCurve_P48735_IDH2.pdf</t>
  </si>
  <si>
    <t>Melting_Curves/meltCurve_P48736_PIK3CG.pdf</t>
  </si>
  <si>
    <t>Melting_Curves/meltCurve_P48739_PITPNB.pdf</t>
  </si>
  <si>
    <t>Melting_Curves/meltCurve_P48960_2_CD97.pdf</t>
  </si>
  <si>
    <t>Melting_Curves/meltCurve_P49005_POLD2.pdf</t>
  </si>
  <si>
    <t>Melting_Curves/meltCurve_P49006_MARCKSL1.pdf</t>
  </si>
  <si>
    <t>Melting_Curves/meltCurve_P49069_CAMLG.pdf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</si>
  <si>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</si>
  <si>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</si>
  <si>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</si>
  <si>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</si>
  <si>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</si>
  <si>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</si>
  <si>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Melting_Curves/meltCurve_P49281_2_SLC11A2.pdf</t>
  </si>
  <si>
    <t>Melting_Curves/meltCurve_P49321_NASP.pdf</t>
  </si>
  <si>
    <t>Melting_Curves/meltCurve_P49327_FASN.pdf</t>
  </si>
  <si>
    <t>Melting_Curves/meltCurve_P49336_2_CDK8.pdf</t>
  </si>
  <si>
    <t>Melting_Curves/meltCurve_P49354_FNTA.pdf</t>
  </si>
  <si>
    <t>Melting_Curves/meltCurve_P49356_FNTB.pdf</t>
  </si>
  <si>
    <t>Melting_Curves/meltCurve_P49366_DHPS.pdf</t>
  </si>
  <si>
    <t>Melting_Curves/meltCurve_P49368_CCT3.pdf</t>
  </si>
  <si>
    <t>Melting_Curves/meltCurve_P49406_MRPL19.pdf</t>
  </si>
  <si>
    <t>Melting_Curves/meltCurve_P49411_TUFM.pdf</t>
  </si>
  <si>
    <t>Melting_Curves/meltCurve_P49427_CDC34.pdf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</si>
  <si>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</si>
  <si>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</si>
  <si>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</si>
  <si>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</si>
  <si>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</si>
  <si>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</si>
  <si>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</si>
  <si>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Melting_Curves/meltCurve_P49642_PRIM1.pdf</t>
  </si>
  <si>
    <t>Melting_Curves/meltCurve_P49643_PRIM2.pdf</t>
  </si>
  <si>
    <t>Melting_Curves/meltCurve_P49674_CSNK1E.pdf</t>
  </si>
  <si>
    <t>Melting_Curves/meltCurve_P49711_CTCF.pdf</t>
  </si>
  <si>
    <t>Melting_Curves/meltCurve_P49720_PSMB3.pdf</t>
  </si>
  <si>
    <t>Melting_Curves/meltCurve_P49721_PSMB2.pdf</t>
  </si>
  <si>
    <t>Melting_Curves/meltCurve_P49736_MCM2.pdf</t>
  </si>
  <si>
    <t>Melting_Curves/meltCurve_P49748_ACADVL.pdf</t>
  </si>
  <si>
    <t>Melting_Curves/meltCurve_P49750_4_YLPM1.pdf</t>
  </si>
  <si>
    <t>Melting_Curves/meltCurve_P49755_TMED10.pdf</t>
  </si>
  <si>
    <t>Melting_Curves/meltCurve_P49756_RBM25.pdf</t>
  </si>
  <si>
    <t>Melting_Curves/meltCurve_P49757_4_NUMB.pdf</t>
  </si>
  <si>
    <t>Melting_Curves/meltCurve_P49768_2_PSEN1.pdf</t>
  </si>
  <si>
    <t>Melting_Curves/meltCurve_P49770_EIF2B2.pdf</t>
  </si>
  <si>
    <t>Melting_Curves/meltCurve_P49773_HINT1.pdf</t>
  </si>
  <si>
    <t>Melting_Curves/meltCurve_P49789_FHIT.pdf</t>
  </si>
  <si>
    <t>Melting_Curves/meltCurve_P49790_NUP153.pdf</t>
  </si>
  <si>
    <t>Melting_Curves/meltCurve_P49792_RANBP2.pdf</t>
  </si>
  <si>
    <t>Melting_Curves/meltCurve_P49795_RGS19.pdf</t>
  </si>
  <si>
    <t>Melting_Curves/meltCurve_P49840_GSK3A.pdf</t>
  </si>
  <si>
    <t>Melting_Curves/meltCurve_P49841_GSK3B.pdf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</si>
  <si>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</si>
  <si>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</si>
  <si>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</si>
  <si>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</si>
  <si>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</si>
  <si>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Melting_Curves/meltCurve_P49917_LIG4.pdf</t>
  </si>
  <si>
    <t>Melting_Curves/meltCurve_P49959_MRE11A.pdf</t>
  </si>
  <si>
    <t>Melting_Curves/meltCurve_P50053_KHK.pdf</t>
  </si>
  <si>
    <t>Melting_Curves/meltCurve_P50148_GNAQ.pdf</t>
  </si>
  <si>
    <t>Melting_Curves/meltCurve_P50150_GNG4.pdf</t>
  </si>
  <si>
    <t>Melting_Curves/meltCurve_P50151_GNG10.pdf</t>
  </si>
  <si>
    <t>Melting_Curves/meltCurve_P50213_IDH3A.pdf</t>
  </si>
  <si>
    <t>Melting_Curves/meltCurve_P50219_MNX1.pdf</t>
  </si>
  <si>
    <t>Melting_Curves/meltCurve_P50238_CRIP1.pdf</t>
  </si>
  <si>
    <t>Melting_Curves/meltCurve_P50336_PPOX.pdf</t>
  </si>
  <si>
    <t>Melting_Curves/meltCurve_P50402_EMD.pdf</t>
  </si>
  <si>
    <t>Melting_Curves/meltCurve_P50416_CPT1A.pdf</t>
  </si>
  <si>
    <t>Melting_Curves/meltCurve_P50440_3_GATM.pdf</t>
  </si>
  <si>
    <t>Melting_Curves/meltCurve_P50443_SLC26A2.pdf</t>
  </si>
  <si>
    <t>Melting_Curves/meltCurve_P50452_SERPINB8.pdf</t>
  </si>
  <si>
    <t>Melting_Curves/meltCurve_P50454_SERPINH1.pdf</t>
  </si>
  <si>
    <t>Melting_Curves/meltCurve_P50502_ST13.pdf</t>
  </si>
  <si>
    <t>Melting_Curves/meltCurve_P50552_VASP.pdf</t>
  </si>
  <si>
    <t>Melting_Curves/meltCurve_P50570_4_DNM2.pdf</t>
  </si>
  <si>
    <t>Melting_Curves/meltCurve_P50579_METAP2.pdf</t>
  </si>
  <si>
    <t>Melting_Curves/meltCurve_P50583_NUDT2.pdf</t>
  </si>
  <si>
    <t>Melting_Curves/meltCurve_P50747_HLCS.pdf</t>
  </si>
  <si>
    <t>Melting_Curves/meltCurve_P50748_KNTC1.pdf</t>
  </si>
  <si>
    <t>Melting_Curves/meltCurve_P50749_RASSF2.pdf</t>
  </si>
  <si>
    <t>Melting_Curves/meltCurve_P50750_CDK9.pdf</t>
  </si>
  <si>
    <t>Melting_Curves/meltCurve_P50851_LRBA.pdf</t>
  </si>
  <si>
    <t>Melting_Curves/meltCurve_P50895_BCAM.pdf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</si>
  <si>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</si>
  <si>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</si>
  <si>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</si>
  <si>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</si>
  <si>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</si>
  <si>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</si>
  <si>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</si>
  <si>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</si>
  <si>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Melting_Curves/meltCurve_P51157_RAB28.pdf</t>
  </si>
  <si>
    <t>Melting_Curves/meltCurve_P51159_RAB27A.pdf</t>
  </si>
  <si>
    <t>Melting_Curves/meltCurve_P51398_2_DAP3.pdf</t>
  </si>
  <si>
    <t>Melting_Curves/meltCurve_P51452_DUSP3.pdf</t>
  </si>
  <si>
    <t>Melting_Curves/meltCurve_P51513_5_NOVA1.pdf</t>
  </si>
  <si>
    <t>Melting_Curves/meltCurve_P51531_SMARCA2.pdf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</si>
  <si>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</si>
  <si>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</si>
  <si>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</si>
  <si>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</si>
  <si>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</si>
  <si>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Melting_Curves/meltCurve_P51608_MECP2.pdf</t>
  </si>
  <si>
    <t>Melting_Curves/meltCurve_P51610_2_HCFC1.pdf</t>
  </si>
  <si>
    <t>Melting_Curves/meltCurve_P51649_ALDH5A1.pdf</t>
  </si>
  <si>
    <t>Melting_Curves/meltCurve_P51659_HSD17B4.pdf</t>
  </si>
  <si>
    <t>Melting_Curves/meltCurve_P51665_PSMD7.pdf</t>
  </si>
  <si>
    <t>Melting_Curves/meltCurve_P51668_UBE2D1.pdf</t>
  </si>
  <si>
    <t>Melting_Curves/meltCurve_P51688_SGSH.pdf</t>
  </si>
  <si>
    <t>Melting_Curves/meltCurve_P51692_STAT5B.pdf</t>
  </si>
  <si>
    <t>Melting_Curves/meltCurve_P51790_4_CLCN3.pdf</t>
  </si>
  <si>
    <t>Melting_Curves/meltCurve_P51795_CLCN5.pdf</t>
  </si>
  <si>
    <t>Melting_Curves/meltCurve_P51797_CLCN6.pdf</t>
  </si>
  <si>
    <t>Melting_Curves/meltCurve_P51798_2_CLCN7.pdf</t>
  </si>
  <si>
    <t>Melting_Curves/meltCurve_P51809_VAMP7.pdf</t>
  </si>
  <si>
    <t>Melting_Curves/meltCurve_P51828_ADCY7.pdf</t>
  </si>
  <si>
    <t>Melting_Curves/meltCurve_P51858_HDGF.pdf</t>
  </si>
  <si>
    <t>Melting_Curves/meltCurve_P51948_2_MNAT1.pdf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</si>
  <si>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</si>
  <si>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</si>
  <si>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</si>
  <si>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</si>
  <si>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</si>
  <si>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</si>
  <si>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</si>
  <si>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Melting_Curves/meltCurve_P52306_4_RAP1GDS1.pdf</t>
  </si>
  <si>
    <t>Melting_Curves/meltCurve_P52435_POLR2J.pdf</t>
  </si>
  <si>
    <t>Melting_Curves/meltCurve_P52564_MAP2K6.pdf</t>
  </si>
  <si>
    <t>Melting_Curves/meltCurve_P52565_ARHGDIA.pdf</t>
  </si>
  <si>
    <t>Melting_Curves/meltCurve_P52566_ARHGDIB.pdf</t>
  </si>
  <si>
    <t>Melting_Curves/meltCurve_P52594_2_AGFG1.pdf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</si>
  <si>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</si>
  <si>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</si>
  <si>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</si>
  <si>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</si>
  <si>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Melting_Curves/meltCurve_P52732_KIF11.pdf</t>
  </si>
  <si>
    <t>Melting_Curves/meltCurve_P52735_3_VAV2.pdf</t>
  </si>
  <si>
    <t>Melting_Curves/meltCurve_P52756_RBM5.pdf</t>
  </si>
  <si>
    <t>Melting_Curves/meltCurve_P52758_HRSP12.pdf</t>
  </si>
  <si>
    <t>Melting_Curves/meltCurve_P52788_SMS.pdf</t>
  </si>
  <si>
    <t>Melting_Curves/meltCurve_P52789_HK2.pdf</t>
  </si>
  <si>
    <t>Melting_Curves/meltCurve_P52798_2_EFNA4.pdf</t>
  </si>
  <si>
    <t>Melting_Curves/meltCurve_P52815_MRPL12.pdf</t>
  </si>
  <si>
    <t>Melting_Curves/meltCurve_P52888_THOP1.pdf</t>
  </si>
  <si>
    <t>Melting_Curves/meltCurve_P52907_CAPZA1.pdf</t>
  </si>
  <si>
    <t>Melting_Curves/meltCurve_P52943_CRIP2.pdf</t>
  </si>
  <si>
    <t>Melting_Curves/meltCurve_P52948_5_NUP98.pdf</t>
  </si>
  <si>
    <t>Melting_Curves/meltCurve_P53004_BLVRA.pdf</t>
  </si>
  <si>
    <t>Melting_Curves/meltCurve_P53007_SLC25A1.pdf</t>
  </si>
  <si>
    <t>Melting_Curves/meltCurve_P53350_PLK1.pdf</t>
  </si>
  <si>
    <t>Melting_Curves/meltCurve_P53365_ARFIP2.pdf</t>
  </si>
  <si>
    <t>Melting_Curves/meltCurve_P53367_2_ARFIP1.pdf</t>
  </si>
  <si>
    <t>Melting_Curves/meltCurve_P53384_2_NUBP1.pdf</t>
  </si>
  <si>
    <t>Melting_Curves/meltCurve_P53396_ACLY.pdf</t>
  </si>
  <si>
    <t>Melting_Curves/meltCurve_P53567_CEBPG.pdf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</si>
  <si>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</si>
  <si>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</si>
  <si>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</si>
  <si>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</si>
  <si>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</si>
  <si>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</si>
  <si>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</si>
  <si>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</si>
  <si>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Melting_Curves/meltCurve_P53675_2_CLTCL1.pdf</t>
  </si>
  <si>
    <t>Melting_Curves/meltCurve_P53701_HCCS.pdf</t>
  </si>
  <si>
    <t>Melting_Curves/meltCurve_P53778_MAPK12.pdf</t>
  </si>
  <si>
    <t>Melting_Curves/meltCurve_P53794_SLC5A3.pdf</t>
  </si>
  <si>
    <t>Melting_Curves/meltCurve_P53801_PTTG1IP.pdf</t>
  </si>
  <si>
    <t>Melting_Curves/meltCurve_P53803_POLR2K.pdf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</si>
  <si>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</si>
  <si>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</si>
  <si>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</si>
  <si>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</si>
  <si>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</si>
  <si>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Melting_Curves/meltCurve_P54098_POLG.pdf</t>
  </si>
  <si>
    <t>Melting_Curves/meltCurve_P54136_RARS.pdf</t>
  </si>
  <si>
    <t>Melting_Curves/meltCurve_P54136_2_RARS.pdf</t>
  </si>
  <si>
    <t>Melting_Curves/meltCurve_P54259_ATN1.pdf</t>
  </si>
  <si>
    <t>Melting_Curves/meltCurve_P54278_PMS2.pdf</t>
  </si>
  <si>
    <t>Melting_Curves/meltCurve_P54284_3_CACNB3.pdf</t>
  </si>
  <si>
    <t>Melting_Curves/meltCurve_P54577_YARS.pdf</t>
  </si>
  <si>
    <t>Melting_Curves/meltCurve_P54578_USP14.pdf</t>
  </si>
  <si>
    <t>Melting_Curves/meltCurve_P54619_2_PRKAG1.pdf</t>
  </si>
  <si>
    <t>Melting_Curves/meltCurve_P54652_HSPA2.pdf</t>
  </si>
  <si>
    <t>Melting_Curves/meltCurve_P54687_BCAT1.pdf</t>
  </si>
  <si>
    <t>Melting_Curves/meltCurve_P54709_ATP1B3.pdf</t>
  </si>
  <si>
    <t>Melting_Curves/meltCurve_P54710_2_FXYD2.pdf</t>
  </si>
  <si>
    <t>Melting_Curves/meltCurve_P54727_RAD23B.pdf</t>
  </si>
  <si>
    <t>Melting_Curves/meltCurve_P54819_AK2.pdf</t>
  </si>
  <si>
    <t>Melting_Curves/meltCurve_P54868_HMGCS2.pdf</t>
  </si>
  <si>
    <t>Melting_Curves/meltCurve_P54886_ALDH18A1.pdf</t>
  </si>
  <si>
    <t>Melting_Curves/meltCurve_P54920_NAPA.pdf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</si>
  <si>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</si>
  <si>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</si>
  <si>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</si>
  <si>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</si>
  <si>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</si>
  <si>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</si>
  <si>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</si>
  <si>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Melting_Curves/meltCurve_P55084_HADHB.pdf</t>
  </si>
  <si>
    <t>Melting_Curves/meltCurve_P55145_MANF.pdf</t>
  </si>
  <si>
    <t>Melting_Curves/meltCurve_P55160_NCKAP1L.pdf</t>
  </si>
  <si>
    <t>Melting_Curves/meltCurve_P55199_ELL.pdf</t>
  </si>
  <si>
    <t>Melting_Curves/meltCurve_P55210_CASP7.pdf</t>
  </si>
  <si>
    <t>Melting_Curves/meltCurve_P55211_CASP9.pdf</t>
  </si>
  <si>
    <t>Melting_Curves/meltCurve_P55212_CASP6.pdf</t>
  </si>
  <si>
    <t>Melting_Curves/meltCurve_P55263_ADK.pdf</t>
  </si>
  <si>
    <t>Melting_Curves/meltCurve_P55273_CDKN2D.pdf</t>
  </si>
  <si>
    <t>Melting_Curves/meltCurve_P55283_CDH4.pdf</t>
  </si>
  <si>
    <t>Melting_Curves/meltCurve_P55327_2_TPD52.pdf</t>
  </si>
  <si>
    <t>Melting_Curves/meltCurve_P55735_SEC13.pdf</t>
  </si>
  <si>
    <t>Melting_Curves/meltCurve_P55771_PAX9.pdf</t>
  </si>
  <si>
    <t>Melting_Curves/meltCurve_P55789_GFER.pdf</t>
  </si>
  <si>
    <t>Melting_Curves/meltCurve_P55795_HNRNPH2.pdf</t>
  </si>
  <si>
    <t>Melting_Curves/meltCurve_P55809_OXCT1.pdf</t>
  </si>
  <si>
    <t>Melting_Curves/meltCurve_P55884_EIF3B.pdf</t>
  </si>
  <si>
    <t>Melting_Curves/meltCurve_P55899_FCGRT.pdf</t>
  </si>
  <si>
    <t>Melting_Curves/meltCurve_P55957_BID.pdf</t>
  </si>
  <si>
    <t>Melting_Curves/meltCurve_P56134_3_ATP5J2.pdf</t>
  </si>
  <si>
    <t>Melting_Curves/meltCurve_P56159_2_GFRA1.pdf</t>
  </si>
  <si>
    <t>Melting_Curves/meltCurve_P56181_NDUFV3.pdf</t>
  </si>
  <si>
    <t>Melting_Curves/meltCurve_P56181_2_NDUFV3.pdf</t>
  </si>
  <si>
    <t>Melting_Curves/meltCurve_P56182_RRP1.pdf</t>
  </si>
  <si>
    <t>Melting_Curves/meltCurve_P56192_MARS.pdf</t>
  </si>
  <si>
    <t>Melting_Curves/meltCurve_P56199_ITGA1.pdf</t>
  </si>
  <si>
    <t>Melting_Curves/meltCurve_P56211_ARPP19.pdf</t>
  </si>
  <si>
    <t>Melting_Curves/meltCurve_P56270_2_MAZ.pdf</t>
  </si>
  <si>
    <t>Melting_Curves/meltCurve_P56277_CMC4.pdf</t>
  </si>
  <si>
    <t>Melting_Curves/meltCurve_P56282_POLE2.pdf</t>
  </si>
  <si>
    <t>Melting_Curves/meltCurve_P56377_AP1S2.pdf</t>
  </si>
  <si>
    <t>Melting_Curves/meltCurve_P56378_MP68.pdf</t>
  </si>
  <si>
    <t>Melting_Curves/meltCurve_P56381_ATP5E.pdf</t>
  </si>
  <si>
    <t>Melting_Curves/meltCurve_P56385_ATP5I.pdf</t>
  </si>
  <si>
    <t>Melting_Curves/meltCurve_P56524_HDAC4.pdf</t>
  </si>
  <si>
    <t>Melting_Curves/meltCurve_P56537_EIF6.pdf</t>
  </si>
  <si>
    <t>Melting_Curves/meltCurve_P56556_NDUFA6.pdf</t>
  </si>
  <si>
    <t>Melting_Curves/meltCurve_P56559_ARL4C.pdf</t>
  </si>
  <si>
    <t>Melting_Curves/meltCurve_P56589_PEX3.pdf</t>
  </si>
  <si>
    <t>Melting_Curves/meltCurve_P56937_3_HSD17B7.pdf</t>
  </si>
  <si>
    <t>Melting_Curves/meltCurve_P56962_STX17.pdf</t>
  </si>
  <si>
    <t>Melting_Curves/meltCurve_P57060_RWDD2B.pdf</t>
  </si>
  <si>
    <t>Melting_Curves/meltCurve_P57075_2_UBASH3A.pdf</t>
  </si>
  <si>
    <t>Melting_Curves/meltCurve_P57076_C21orf59.pdf</t>
  </si>
  <si>
    <t>Melting_Curves/meltCurve_P57081_2_WDR4.pdf</t>
  </si>
  <si>
    <t>Melting_Curves/meltCurve_P57088_TMEM33.pdf</t>
  </si>
  <si>
    <t>Melting_Curves/meltCurve_P57105_SYNJ2BP.pdf</t>
  </si>
  <si>
    <t>Melting_Curves/meltCurve_P57737_3_CORO7.pdf</t>
  </si>
  <si>
    <t>Melting_Curves/meltCurve_P57740_NUP107.pdf</t>
  </si>
  <si>
    <t>Melting_Curves/meltCurve_P57768_SNX16.pdf</t>
  </si>
  <si>
    <t>Melting_Curves/meltCurve_P57772_EEFSEC.pdf</t>
  </si>
  <si>
    <t>Melting_Curves/meltCurve_P58004_SESN2.pdf</t>
  </si>
  <si>
    <t>Melting_Curves/meltCurve_P58546_MTPN.pdf</t>
  </si>
  <si>
    <t>Melting_Curves/meltCurve_P58557_2_YBEY.pdf</t>
  </si>
  <si>
    <t>Melting_Curves/meltCurve_P58876_HIST1H2BD.pdf</t>
  </si>
  <si>
    <t>Melting_Curves/meltCurve_P59190_RAB15.pdf</t>
  </si>
  <si>
    <t>Melting_Curves/meltCurve_P59666_DEFA3.pdf</t>
  </si>
  <si>
    <t>Melting_Curves/meltCurve_P60059_SEC61G.pdf</t>
  </si>
  <si>
    <t>Melting_Curves/meltCurve_P60174_TPI1.pdf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</si>
  <si>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</si>
  <si>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</si>
  <si>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</si>
  <si>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</si>
  <si>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Melting_Curves/meltCurve_P60602_ROMO1.pdf</t>
  </si>
  <si>
    <t>Melting_Curves/meltCurve_P60604_2_UBE2G2.pdf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</si>
  <si>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</si>
  <si>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</si>
  <si>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</si>
  <si>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</si>
  <si>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</si>
  <si>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Melting_Curves/meltCurve_P60896_SHFM1.pdf</t>
  </si>
  <si>
    <t>Melting_Curves/meltCurve_P60900_PSMA6.pdf</t>
  </si>
  <si>
    <t>Melting_Curves/meltCurve_P60903_S100A10.pdf</t>
  </si>
  <si>
    <t>Melting_Curves/meltCurve_P60953_CDC42.pdf</t>
  </si>
  <si>
    <t>Melting_Curves/meltCurve_P60953_1_CDC42.pdf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</si>
  <si>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</si>
  <si>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</si>
  <si>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</si>
  <si>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</si>
  <si>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</si>
  <si>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Melting_Curves/meltCurve_P61018_RAB4B.pdf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</si>
  <si>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</si>
  <si>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</si>
  <si>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</si>
  <si>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</si>
  <si>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</si>
  <si>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</si>
  <si>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</si>
  <si>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</si>
  <si>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</si>
  <si>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Melting_Curves/meltCurve_P61129_ZC3H6.pdf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</si>
  <si>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</si>
  <si>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</si>
  <si>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</si>
  <si>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</si>
  <si>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Melting_Curves/meltCurve_P61204_ARF3.pdf</t>
  </si>
  <si>
    <t>Melting_Curves/meltCurve_P61221_ABCE1.pdf</t>
  </si>
  <si>
    <t>Melting_Curves/meltCurve_P61224_RAP1B.pdf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</si>
  <si>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</si>
  <si>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</si>
  <si>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</si>
  <si>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</si>
  <si>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</si>
  <si>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Melting_Curves/meltCurve_P61353_RPL27.pdf</t>
  </si>
  <si>
    <t>Melting_Curves/meltCurve_P61457_PCBD1.pdf</t>
  </si>
  <si>
    <t>Melting_Curves/meltCurve_P61513_RPL37A.pdf</t>
  </si>
  <si>
    <t>Melting_Curves/meltCurve_P61586_RHOA.pdf</t>
  </si>
  <si>
    <t>Melting_Curves/meltCurve_P61599_NAA20.pdf</t>
  </si>
  <si>
    <t>Melting_Curves/meltCurve_P61604_HSPE1.pdf</t>
  </si>
  <si>
    <t>Melting_Curves/meltCurve_P61758_VBP1.pdf</t>
  </si>
  <si>
    <t>Melting_Curves/meltCurve_P61764_STXBP1.pdf</t>
  </si>
  <si>
    <t>Melting_Curves/meltCurve_P61769_B2M.pdf</t>
  </si>
  <si>
    <t>Melting_Curves/meltCurve_P61925_PKIA.pdf</t>
  </si>
  <si>
    <t>Melting_Curves/meltCurve_P61927_RPL37.pdf</t>
  </si>
  <si>
    <t>Melting_Curves/meltCurve_P61962_DCAF7.pdf</t>
  </si>
  <si>
    <t>Melting_Curves/meltCurve_P61964_WDR5.pdf</t>
  </si>
  <si>
    <t>Melting_Curves/meltCurve_P61966_AP1S1.pdf</t>
  </si>
  <si>
    <t>Melting_Curves/meltCurve_P61968_LMO4.pdf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</si>
  <si>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</si>
  <si>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</si>
  <si>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</si>
  <si>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</si>
  <si>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</si>
  <si>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</si>
  <si>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</si>
  <si>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</si>
  <si>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</si>
  <si>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</si>
  <si>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</si>
  <si>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</si>
  <si>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Melting_Curves/meltCurve_P62244_RPS15A.pdf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</si>
  <si>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</si>
  <si>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</si>
  <si>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</si>
  <si>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</si>
  <si>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</si>
  <si>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</si>
  <si>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</si>
  <si>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</si>
  <si>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</si>
  <si>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</si>
  <si>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</si>
  <si>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</si>
  <si>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</si>
  <si>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</si>
  <si>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</si>
  <si>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</si>
  <si>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</si>
  <si>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</si>
  <si>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</si>
  <si>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Melting_Curves/meltCurve_P62341_SELT.pdf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</si>
  <si>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</si>
  <si>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</si>
  <si>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</si>
  <si>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</si>
  <si>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</si>
  <si>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Melting_Curves/meltCurve_P62633_3_CNBP.pdf</t>
  </si>
  <si>
    <t>Melting_Curves/meltCurve_P62633_4_CNBP.pdf</t>
  </si>
  <si>
    <t>Melting_Curves/meltCurve_P62633_5_CNBP.pdf</t>
  </si>
  <si>
    <t>Melting_Curves/meltCurve_P62699_YPEL5.pdf</t>
  </si>
  <si>
    <t>Melting_Curves/meltCurve_P62701_RPS4X.pdf</t>
  </si>
  <si>
    <t>Melting_Curves/meltCurve_P62714_PPP2CB.pdf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</si>
  <si>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</si>
  <si>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</si>
  <si>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</si>
  <si>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</si>
  <si>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Melting_Curves/meltCurve_P62829_RPL23.pdf</t>
  </si>
  <si>
    <t>Melting_Curves/meltCurve_P62834_RAP1A.pdf</t>
  </si>
  <si>
    <t>Melting_Curves/meltCurve_P62837_UBE2D2.pdf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</si>
  <si>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</si>
  <si>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</si>
  <si>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</si>
  <si>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</si>
  <si>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Melting_Curves/meltCurve_P62875_POLR2L.pdf</t>
  </si>
  <si>
    <t>Melting_Curves/meltCurve_P62877_RBX1.pdf</t>
  </si>
  <si>
    <t>Melting_Curves/meltCurve_P62879_GNB2.pdf</t>
  </si>
  <si>
    <t>Melting_Curves/meltCurve_P62888_RPL30.pdf</t>
  </si>
  <si>
    <t>Melting_Curves/meltCurve_P62899_RPL31.pdf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</si>
  <si>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</si>
  <si>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</si>
  <si>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</si>
  <si>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</si>
  <si>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</si>
  <si>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</si>
  <si>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</si>
  <si>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</si>
  <si>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</si>
  <si>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</si>
  <si>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Melting_Curves/meltCurve_P63092_GNAS.pdf</t>
  </si>
  <si>
    <t>Melting_Curves/meltCurve_P63092_3_GNAS.pdf</t>
  </si>
  <si>
    <t>Melting_Curves/meltCurve_P63104_YWHAZ.pdf</t>
  </si>
  <si>
    <t>Melting_Curves/meltCurve_P63146_UBE2B.pdf</t>
  </si>
  <si>
    <t>Melting_Curves/meltCurve_P63151_PPP2R2A.pdf</t>
  </si>
  <si>
    <t>Melting_Curves/meltCurve_P63167_DYNLL1.pdf</t>
  </si>
  <si>
    <t>Melting_Curves/meltCurve_P63172_DYNLT1.pdf</t>
  </si>
  <si>
    <t>Melting_Curves/meltCurve_P63173_RPL38.pdf</t>
  </si>
  <si>
    <t>Melting_Curves/meltCurve_P63218_GNG5.pdf</t>
  </si>
  <si>
    <t>Melting_Curves/meltCurve_P63220_RPS21.pdf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</si>
  <si>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</si>
  <si>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</si>
  <si>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</si>
  <si>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</si>
  <si>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Melting_Curves/meltCurve_P67775_PPP2CA.pdf</t>
  </si>
  <si>
    <t>Melting_Curves/meltCurve_P67809_YBX1.pdf</t>
  </si>
  <si>
    <t>Melting_Curves/meltCurve_P67936_TPM4.pdf</t>
  </si>
  <si>
    <t>Melting_Curves/meltCurve_P68036_UBE2L3.pdf</t>
  </si>
  <si>
    <t>Melting_Curves/meltCurve_P68104_EEF1A1.pdf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</si>
  <si>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</si>
  <si>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</si>
  <si>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</si>
  <si>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</si>
  <si>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Melting_Curves/meltCurve_P68871_HBB.pdf</t>
  </si>
  <si>
    <t>Melting_Curves/meltCurve_P69905_HBA1.pdf</t>
  </si>
  <si>
    <t>Melting_Curves/meltCurve_P78316_NOP14.pdf</t>
  </si>
  <si>
    <t>Melting_Curves/meltCurve_P78318_IGBP1.pdf</t>
  </si>
  <si>
    <t>Melting_Curves/meltCurve_P78330_PSPH.pdf</t>
  </si>
  <si>
    <t>Melting_Curves/meltCurve_P78332_RBM6.pdf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</si>
  <si>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</si>
  <si>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</si>
  <si>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</si>
  <si>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</si>
  <si>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Melting_Curves/meltCurve_P78362_SRPK2.pdf</t>
  </si>
  <si>
    <t>Melting_Curves/meltCurve_P78371_CCT2.pdf</t>
  </si>
  <si>
    <t>Melting_Curves/meltCurve_P78382_2_SLC35A1.pdf</t>
  </si>
  <si>
    <t>Melting_Curves/meltCurve_P78406_RAE1.pdf</t>
  </si>
  <si>
    <t>Melting_Curves/meltCurve_P78410_3_BTN3A2.pdf</t>
  </si>
  <si>
    <t>Melting_Curves/meltCurve_P78417_GSTO1.pdf</t>
  </si>
  <si>
    <t>Melting_Curves/meltCurve_P78527_PRKDC.pdf</t>
  </si>
  <si>
    <t>Melting_Curves/meltCurve_P78536_ADAM17.pdf</t>
  </si>
  <si>
    <t>Melting_Curves/meltCurve_P78537_2_BLOC1S1.pdf</t>
  </si>
  <si>
    <t>Melting_Curves/meltCurve_P78540_ARG2.pdf</t>
  </si>
  <si>
    <t>Melting_Curves/meltCurve_P78549_NTHL1.pdf</t>
  </si>
  <si>
    <t>Melting_Curves/meltCurve_P79522_2_PRR3.pdf</t>
  </si>
  <si>
    <t>Melting_Curves/meltCurve_P80217_IFI35.pdf</t>
  </si>
  <si>
    <t>Melting_Curves/meltCurve_P80297_MT1X.pdf</t>
  </si>
  <si>
    <t>Melting_Curves/meltCurve_P80303_NUCB2.pdf</t>
  </si>
  <si>
    <t>Melting_Curves/meltCurve_P81605_DCD.pdf</t>
  </si>
  <si>
    <t>Melting_Curves/meltCurve_P82094_TMF1.pdf</t>
  </si>
  <si>
    <t>Melting_Curves/meltCurve_P82664_MRPS10.pdf</t>
  </si>
  <si>
    <t>Melting_Curves/meltCurve_P82673_MRPS35.pdf</t>
  </si>
  <si>
    <t>Melting_Curves/meltCurve_P82909_MRPS36.pdf</t>
  </si>
  <si>
    <t>Melting_Curves/meltCurve_P82912_2_MRPS11.pdf</t>
  </si>
  <si>
    <t>Melting_Curves/meltCurve_P82921_MRPS21.pdf</t>
  </si>
  <si>
    <t>Melting_Curves/meltCurve_P82932_MRPS6.pdf</t>
  </si>
  <si>
    <t>Melting_Curves/meltCurve_P82933_MRPS9.pdf</t>
  </si>
  <si>
    <t>Melting_Curves/meltCurve_P82979_SARNP.pdf</t>
  </si>
  <si>
    <t>Melting_Curves/meltCurve_P83111_LACTB.pdf</t>
  </si>
  <si>
    <t>Melting_Curves/meltCurve_P83436_COG7.pdf</t>
  </si>
  <si>
    <t>Melting_Curves/meltCurve_P83876_TXNL4A.pdf</t>
  </si>
  <si>
    <t>Melting_Curves/meltCurve_P84022_SMAD3.pdf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</si>
  <si>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</si>
  <si>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</si>
  <si>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</si>
  <si>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</si>
  <si>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Melting_Curves/meltCurve_P84157_MXRA7.pdf</t>
  </si>
  <si>
    <t>Melting_Curves/meltCurve_P84157_2_MXRA7.pdf</t>
  </si>
  <si>
    <t>Melting_Curves/meltCurve_P85037_FOXK1.pdf</t>
  </si>
  <si>
    <t>Melting_Curves/meltCurve_P86791_CCZ1.pdf</t>
  </si>
  <si>
    <t>Melting_Curves/meltCurve_P98155_2_VLDLR.pdf</t>
  </si>
  <si>
    <t>Melting_Curves/meltCurve_P98170_XIAP.pdf</t>
  </si>
  <si>
    <t>Melting_Curves/meltCurve_P98172_EFNB1.pdf</t>
  </si>
  <si>
    <t>Melting_Curves/meltCurve_P98173_3_FAM3A.pdf</t>
  </si>
  <si>
    <t>Melting_Curves/meltCurve_P98175_2_RBM10.pdf</t>
  </si>
  <si>
    <t>Melting_Curves/meltCurve_P98179_RBM3.pdf</t>
  </si>
  <si>
    <t>Melting_Curves/meltCurve_Q00013_2_MPP1.pdf</t>
  </si>
  <si>
    <t>Melting_Curves/meltCurve_Q00059_TFAM.pdf</t>
  </si>
  <si>
    <t>Melting_Curves/meltCurve_Q00169_PITPNA.pdf</t>
  </si>
  <si>
    <t>Melting_Curves/meltCurve_Q00266_MAT1A.pdf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</si>
  <si>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</si>
  <si>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</si>
  <si>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</si>
  <si>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</si>
  <si>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</si>
  <si>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</si>
  <si>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</si>
  <si>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</si>
  <si>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</si>
  <si>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</si>
  <si>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</si>
  <si>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</si>
  <si>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</si>
  <si>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Melting_Curves/meltCurve_Q01081_U2AF1.pdf</t>
  </si>
  <si>
    <t>Melting_Curves/meltCurve_Q01082_SPTBN1.pdf</t>
  </si>
  <si>
    <t>Melting_Curves/meltCurve_Q01082_3_SPTBN1.pdf</t>
  </si>
  <si>
    <t>Melting_Curves/meltCurve_Q01085_2_TIAL1.pdf</t>
  </si>
  <si>
    <t>Melting_Curves/meltCurve_Q01105_2_SET.pdf</t>
  </si>
  <si>
    <t>Melting_Curves/meltCurve_Q01151_CD83.pdf</t>
  </si>
  <si>
    <t>Melting_Curves/meltCurve_Q01167_FOXK2.pdf</t>
  </si>
  <si>
    <t>Melting_Curves/meltCurve_Q01196_RUNX1.pdf</t>
  </si>
  <si>
    <t>Melting_Curves/meltCurve_Q01415_GALK2.pdf</t>
  </si>
  <si>
    <t>Melting_Curves/meltCurve_Q01432_AMPD3.pdf</t>
  </si>
  <si>
    <t>Melting_Curves/meltCurve_Q01433_AMPD2.pdf</t>
  </si>
  <si>
    <t>Melting_Curves/meltCurve_Q01459_CTBS.pdf</t>
  </si>
  <si>
    <t>Melting_Curves/meltCurve_Q01469_FABP5.pdf</t>
  </si>
  <si>
    <t>Melting_Curves/meltCurve_Q01518_2_CAP1.pdf</t>
  </si>
  <si>
    <t>Melting_Curves/meltCurve_Q01543_FLI1.pdf</t>
  </si>
  <si>
    <t>Melting_Curves/meltCurve_Q01546_KRT76.pdf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</si>
  <si>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</si>
  <si>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</si>
  <si>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</si>
  <si>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</si>
  <si>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</si>
  <si>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Melting_Curves/meltCurve_Q01813_PFKP.pdf</t>
  </si>
  <si>
    <t>Melting_Curves/meltCurve_Q01826_SATB1.pdf</t>
  </si>
  <si>
    <t>Melting_Curves/meltCurve_Q01968_OCRL.pdf</t>
  </si>
  <si>
    <t>Melting_Curves/meltCurve_Q01970_PLCB3.pdf</t>
  </si>
  <si>
    <t>Melting_Curves/meltCurve_Q02040_AKAP17A.pdf</t>
  </si>
  <si>
    <t>Melting_Curves/meltCurve_Q02083_2_NAAA.pdf</t>
  </si>
  <si>
    <t>Melting_Curves/meltCurve_Q02127_DHODH.pdf</t>
  </si>
  <si>
    <t>Melting_Curves/meltCurve_Q02224_3_CENPE.pdf</t>
  </si>
  <si>
    <t>Melting_Curves/meltCurve_Q02241_KIF23.pdf</t>
  </si>
  <si>
    <t>Melting_Curves/meltCurve_Q02252_ALDH6A1.pdf</t>
  </si>
  <si>
    <t>Melting_Curves/meltCurve_Q02338_BDH1.pdf</t>
  </si>
  <si>
    <t>Melting_Curves/meltCurve_Q02383_SEMG2.pdf</t>
  </si>
  <si>
    <t>Melting_Curves/meltCurve_Q02410_APBA1.pdf</t>
  </si>
  <si>
    <t>Melting_Curves/meltCurve_Q02446_SP4.pdf</t>
  </si>
  <si>
    <t>Melting_Curves/meltCurve_Q02447_3_SP3.pdf</t>
  </si>
  <si>
    <t>Melting_Curves/meltCurve_Q02535_ID3.pdf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</si>
  <si>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</si>
  <si>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</si>
  <si>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</si>
  <si>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</si>
  <si>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</si>
  <si>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</si>
  <si>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Melting_Curves/meltCurve_Q02880_2_TOP2B.pdf</t>
  </si>
  <si>
    <t>Melting_Curves/meltCurve_Q03013_GSTM4.pdf</t>
  </si>
  <si>
    <t>Melting_Curves/meltCurve_Q03111_MLLT1.pdf</t>
  </si>
  <si>
    <t>Melting_Curves/meltCurve_Q03164_2_MLL.pdf</t>
  </si>
  <si>
    <t>Melting_Curves/meltCurve_Q03405_PLAUR.pdf</t>
  </si>
  <si>
    <t>Melting_Curves/meltCurve_Q03519_TAP2.pdf</t>
  </si>
  <si>
    <t>Melting_Curves/meltCurve_Q04446_GBE1.pdf</t>
  </si>
  <si>
    <t>Melting_Curves/meltCurve_Q04656_5_ATP7A.pdf</t>
  </si>
  <si>
    <t>Melting_Curves/meltCurve_Q04721_NOTCH2.pdf</t>
  </si>
  <si>
    <t>Melting_Curves/meltCurve_Q04726_3_TLE3.pdf</t>
  </si>
  <si>
    <t>Melting_Curves/meltCurve_Q04759_PRKCQ.pdf</t>
  </si>
  <si>
    <t>Melting_Curves/meltCurve_Q04760_2_GLO1.pdf</t>
  </si>
  <si>
    <t>Melting_Curves/meltCurve_Q04837_SSBP1.pdf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</si>
  <si>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</si>
  <si>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</si>
  <si>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</si>
  <si>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</si>
  <si>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Melting_Curves/meltCurve_Q05193_3_DNM1.pdf</t>
  </si>
  <si>
    <t>Melting_Curves/meltCurve_Q05519_2_SRSF11.pdf</t>
  </si>
  <si>
    <t>Melting_Curves/meltCurve_Q05639_EEF1A2.pdf</t>
  </si>
  <si>
    <t>Melting_Curves/meltCurve_Q05655_PRKCD.pdf</t>
  </si>
  <si>
    <t>Melting_Curves/meltCurve_Q05932_3_FPGS.pdf</t>
  </si>
  <si>
    <t>Melting_Curves/meltCurve_Q05D32_CTDSPL2.pdf</t>
  </si>
  <si>
    <t>Melting_Curves/meltCurve_Q06124_PTPN11.pdf</t>
  </si>
  <si>
    <t>Melting_Curves/meltCurve_Q06136_KDSR.pdf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</si>
  <si>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</si>
  <si>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</si>
  <si>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</si>
  <si>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</si>
  <si>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Melting_Curves/meltCurve_Q06330_4_RBPJ.pdf</t>
  </si>
  <si>
    <t>Melting_Curves/meltCurve_Q06481_APLP2.pdf</t>
  </si>
  <si>
    <t>Melting_Curves/meltCurve_Q06546_GABPA.pdf</t>
  </si>
  <si>
    <t>Melting_Curves/meltCurve_Q06547_2_GABPB1.pdf</t>
  </si>
  <si>
    <t>Melting_Curves/meltCurve_Q06587_RING1.pdf</t>
  </si>
  <si>
    <t>Melting_Curves/meltCurve_Q06609_RAD51.pdf</t>
  </si>
  <si>
    <t>Melting_Curves/meltCurve_Q06787_6_FMR1.pdf</t>
  </si>
  <si>
    <t>Melting_Curves/meltCurve_Q06830_PRDX1.pdf</t>
  </si>
  <si>
    <t>Melting_Curves/meltCurve_Q06945_SOX4.pdf</t>
  </si>
  <si>
    <t>Melting_Curves/meltCurve_Q07021_C1QBP.pdf</t>
  </si>
  <si>
    <t>Melting_Curves/meltCurve_Q07065_CKAP4.pdf</t>
  </si>
  <si>
    <t>Melting_Curves/meltCurve_Q07108_CD69.pdf</t>
  </si>
  <si>
    <t>Melting_Curves/meltCurve_Q07666_KHDRBS1.pdf</t>
  </si>
  <si>
    <t>Melting_Curves/meltCurve_Q07820_2_MCL1.pdf</t>
  </si>
  <si>
    <t>Melting_Curves/meltCurve_Q07866_3_KLC1.pdf</t>
  </si>
  <si>
    <t>Melting_Curves/meltCurve_Q07866_6_KLC1.pdf</t>
  </si>
  <si>
    <t>Melting_Curves/meltCurve_Q07960_ARHGAP1.pdf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</si>
  <si>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</si>
  <si>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</si>
  <si>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</si>
  <si>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</si>
  <si>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Melting_Curves/meltCurve_Q08357_SLC20A2.pdf</t>
  </si>
  <si>
    <t>Melting_Curves/meltCurve_Q08378_GOLGA3.pdf</t>
  </si>
  <si>
    <t>Melting_Curves/meltCurve_Q08379_GOLGA2.pdf</t>
  </si>
  <si>
    <t>Melting_Curves/meltCurve_Q08380_LGALS3BP.pdf</t>
  </si>
  <si>
    <t>Melting_Curves/meltCurve_Q08426_2_EHHADH.pdf</t>
  </si>
  <si>
    <t>Melting_Curves/meltCurve_Q08722_CD47.pdf</t>
  </si>
  <si>
    <t>Melting_Curves/meltCurve_Q08752_PPID.pdf</t>
  </si>
  <si>
    <t>Melting_Curves/meltCurve_Q08881_ITK.pdf</t>
  </si>
  <si>
    <t>Melting_Curves/meltCurve_Q08945_SSRP1.pdf</t>
  </si>
  <si>
    <t>Melting_Curves/meltCurve_Q08AD1_2_CAMSAP2.pdf</t>
  </si>
  <si>
    <t>Melting_Curves/meltCurve_Q08AF3_SLFN5.pdf</t>
  </si>
  <si>
    <t>Melting_Curves/meltCurve_Q08AG7_MZT1.pdf</t>
  </si>
  <si>
    <t>Melting_Curves/meltCurve_Q08AM6_VAC14.pdf</t>
  </si>
  <si>
    <t>Melting_Curves/meltCurve_Q08E86_KIAA0100.pdf</t>
  </si>
  <si>
    <t>Melting_Curves/meltCurve_Q08J23_NSUN2.pdf</t>
  </si>
  <si>
    <t>Melting_Curves/meltCurve_Q09028_3_RBBP4.pdf</t>
  </si>
  <si>
    <t>Melting_Curves/meltCurve_Q09161_NCBP1.pdf</t>
  </si>
  <si>
    <t>Melting_Curves/meltCurve_Q09328_MGAT5.pdf</t>
  </si>
  <si>
    <t>Melting_Curves/meltCurve_Q09472_EP300.pdf</t>
  </si>
  <si>
    <t>Melting_Curves/meltCurve_Q09666_AHNAK.pdf</t>
  </si>
  <si>
    <t>Melting_Curves/meltCurve_Q0GE19_SLC10A7.pdf</t>
  </si>
  <si>
    <t>Melting_Curves/meltCurve_Q0PNE2_ELP6.pdf</t>
  </si>
  <si>
    <t>Melting_Curves/meltCurve_Q0VD83_APOBR.pdf</t>
  </si>
  <si>
    <t>Melting_Curves/meltCurve_Q0VDF9_HSPA14.pdf</t>
  </si>
  <si>
    <t>Melting_Curves/meltCurve_Q0VDG4_SCRN3.pdf</t>
  </si>
  <si>
    <t>Melting_Curves/meltCurve_Q0VGL1_LAMTOR4.pdf</t>
  </si>
  <si>
    <t>Melting_Curves/meltCurve_Q10469_MGAT2.pdf</t>
  </si>
  <si>
    <t>Melting_Curves/meltCurve_Q10471_GALNT2.pdf</t>
  </si>
  <si>
    <t>Melting_Curves/meltCurve_Q10567_2_AP1B1.pdf</t>
  </si>
  <si>
    <t>Melting_Curves/meltCurve_Q10567_3_AP1B1.pdf</t>
  </si>
  <si>
    <t>Melting_Curves/meltCurve_Q10570_CPSF1.pdf</t>
  </si>
  <si>
    <t>Melting_Curves/meltCurve_Q10589_BST2.pdf</t>
  </si>
  <si>
    <t>Melting_Curves/meltCurve_Q10713_PMPCA.pdf</t>
  </si>
  <si>
    <t>Melting_Curves/meltCurve_Q12765_SCRN1.pdf</t>
  </si>
  <si>
    <t>Melting_Curves/meltCurve_Q12768_KIAA0196.pdf</t>
  </si>
  <si>
    <t>Melting_Curves/meltCurve_Q12769_NUP160.pdf</t>
  </si>
  <si>
    <t>Melting_Curves/meltCurve_Q12770_SCAP.pdf</t>
  </si>
  <si>
    <t>Melting_Curves/meltCurve_Q12788_TBL3.pdf</t>
  </si>
  <si>
    <t>Melting_Curves/meltCurve_Q12789_3_GTF3C1.pdf</t>
  </si>
  <si>
    <t>Melting_Curves/meltCurve_Q12792_TWF1.pdf</t>
  </si>
  <si>
    <t>Melting_Curves/meltCurve_Q12797_10_ASPH.pdf</t>
  </si>
  <si>
    <t>Melting_Curves/meltCurve_Q12802_4_AKAP13.pdf</t>
  </si>
  <si>
    <t>Melting_Curves/meltCurve_Q12824_2_SMARCB1.pdf</t>
  </si>
  <si>
    <t>Melting_Curves/meltCurve_Q12830_4_BPTF.pdf</t>
  </si>
  <si>
    <t>Melting_Curves/meltCurve_Q12834_CDC20.pdf</t>
  </si>
  <si>
    <t>Melting_Curves/meltCurve_Q12846_STX4.pdf</t>
  </si>
  <si>
    <t>Melting_Curves/meltCurve_Q12872_SFSWAP.pdf</t>
  </si>
  <si>
    <t>Melting_Curves/meltCurve_Q12874_SF3A3.pdf</t>
  </si>
  <si>
    <t>Melting_Curves/meltCurve_Q12882_DPYD.pdf</t>
  </si>
  <si>
    <t>Melting_Curves/meltCurve_Q12888_TP53BP1.pdf</t>
  </si>
  <si>
    <t>Melting_Curves/meltCurve_Q12893_TMEM115.pdf</t>
  </si>
  <si>
    <t>Melting_Curves/meltCurve_Q12894_IFRD2.pdf</t>
  </si>
  <si>
    <t>Melting_Curves/meltCurve_Q12899_TRIM26.pdf</t>
  </si>
  <si>
    <t>Melting_Curves/meltCurve_Q12904_AIMP1.pdf</t>
  </si>
  <si>
    <t>Melting_Curves/meltCurve_Q12905_ILF2.pdf</t>
  </si>
  <si>
    <t>Melting_Curves/meltCurve_Q12906_7_ILF3.pdf</t>
  </si>
  <si>
    <t>Melting_Curves/meltCurve_Q12907_LMAN2.pdf</t>
  </si>
  <si>
    <t>Melting_Curves/meltCurve_Q12912_2_LRMP.pdf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</si>
  <si>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</si>
  <si>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</si>
  <si>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</si>
  <si>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</si>
  <si>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</si>
  <si>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</si>
  <si>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</si>
  <si>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</si>
  <si>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Melting_Curves/meltCurve_Q12986_NFX1.pdf</t>
  </si>
  <si>
    <t>Melting_Curves/meltCurve_Q12996_CSTF3.pdf</t>
  </si>
  <si>
    <t>Melting_Curves/meltCurve_Q13011_ECH1.pdf</t>
  </si>
  <si>
    <t>Melting_Curves/meltCurve_Q13015_MLLT11.pdf</t>
  </si>
  <si>
    <t>Melting_Curves/meltCurve_Q13017_2_ARHGAP5.pdf</t>
  </si>
  <si>
    <t>Melting_Curves/meltCurve_Q13033_STRN3.pdf</t>
  </si>
  <si>
    <t>Melting_Curves/meltCurve_Q13033_2_STRN3.pdf</t>
  </si>
  <si>
    <t>Melting_Curves/meltCurve_Q13042_3_CDC16.pdf</t>
  </si>
  <si>
    <t>Melting_Curves/meltCurve_Q13043_STK4.pdf</t>
  </si>
  <si>
    <t>Melting_Curves/meltCurve_Q13045_FLII.pdf</t>
  </si>
  <si>
    <t>Melting_Curves/meltCurve_Q13045_2_FLII.pdf</t>
  </si>
  <si>
    <t>Melting_Curves/meltCurve_Q13049_TRIM32.pdf</t>
  </si>
  <si>
    <t>Melting_Curves/meltCurve_Q13057_COASY.pdf</t>
  </si>
  <si>
    <t>Melting_Curves/meltCurve_Q13085_ACACA.pdf</t>
  </si>
  <si>
    <t>Melting_Curves/meltCurve_Q13094_LCP2.pdf</t>
  </si>
  <si>
    <t>Melting_Curves/meltCurve_Q13107_2_USP4.pdf</t>
  </si>
  <si>
    <t>Melting_Curves/meltCurve_Q13111_CHAF1A.pdf</t>
  </si>
  <si>
    <t>Melting_Curves/meltCurve_Q13112_CHAF1B.pdf</t>
  </si>
  <si>
    <t>Melting_Curves/meltCurve_Q13123_IK.pdf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</si>
  <si>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</si>
  <si>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</si>
  <si>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</si>
  <si>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</si>
  <si>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</si>
  <si>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</si>
  <si>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</si>
  <si>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</si>
  <si>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Melting_Curves/meltCurve_Q13163_4_MAP2K5.pdf</t>
  </si>
  <si>
    <t>Melting_Curves/meltCurve_Q13164_2_MAPK7.pdf</t>
  </si>
  <si>
    <t>Melting_Curves/meltCurve_Q13177_PAK2.pdf</t>
  </si>
  <si>
    <t>Melting_Curves/meltCurve_Q13185_CBX3.pdf</t>
  </si>
  <si>
    <t>Melting_Curves/meltCurve_Q13188_STK3.pdf</t>
  </si>
  <si>
    <t>Melting_Curves/meltCurve_Q13190_2_STX5.pdf</t>
  </si>
  <si>
    <t>Melting_Curves/meltCurve_Q13200_PSMD2.pdf</t>
  </si>
  <si>
    <t>Melting_Curves/meltCurve_Q13216_ERCC8.pdf</t>
  </si>
  <si>
    <t>Melting_Curves/meltCurve_Q13217_DNAJC3.pdf</t>
  </si>
  <si>
    <t>Melting_Curves/meltCurve_Q13228_2_SELENBP1.pdf</t>
  </si>
  <si>
    <t>Melting_Curves/meltCurve_Q13242_SRSF9.pdf</t>
  </si>
  <si>
    <t>Melting_Curves/meltCurve_Q13243_SRSF5.pdf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</si>
  <si>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</si>
  <si>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</si>
  <si>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</si>
  <si>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</si>
  <si>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</si>
  <si>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</si>
  <si>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Melting_Curves/meltCurve_Q13303_KCNAB2.pdf</t>
  </si>
  <si>
    <t>Melting_Curves/meltCurve_Q13303_2_KCNAB2.pdf</t>
  </si>
  <si>
    <t>Melting_Curves/meltCurve_Q13308_PTK7.pdf</t>
  </si>
  <si>
    <t>Melting_Curves/meltCurve_Q13309_SKP2.pdf</t>
  </si>
  <si>
    <t>Melting_Curves/meltCurve_Q13310_3_PABPC4.pdf</t>
  </si>
  <si>
    <t>Melting_Curves/meltCurve_Q13325_IFIT5.pdf</t>
  </si>
  <si>
    <t>Melting_Curves/meltCurve_Q13330_3_MTA1.pdf</t>
  </si>
  <si>
    <t>Melting_Curves/meltCurve_Q13332_6_PTPRS.pdf</t>
  </si>
  <si>
    <t>Melting_Curves/meltCurve_Q13347_EIF3I.pdf</t>
  </si>
  <si>
    <t>Melting_Curves/meltCurve_Q13356_PPIL2.pdf</t>
  </si>
  <si>
    <t>Melting_Curves/meltCurve_Q13362_2_PPP2R5C.pdf</t>
  </si>
  <si>
    <t>Melting_Curves/meltCurve_Q13362_3_PPP2R5C.pdf</t>
  </si>
  <si>
    <t>Melting_Curves/meltCurve_Q13362_4_PPP2R5C.pdf</t>
  </si>
  <si>
    <t>Melting_Curves/meltCurve_Q13363_CTBP1.pdf</t>
  </si>
  <si>
    <t>Melting_Curves/meltCurve_Q13371_PDCL.pdf</t>
  </si>
  <si>
    <t>Melting_Curves/meltCurve_Q13395_TARBP1.pdf</t>
  </si>
  <si>
    <t>Melting_Curves/meltCurve_Q13405_MRPL49.pdf</t>
  </si>
  <si>
    <t>Melting_Curves/meltCurve_Q13409_3_DYNC1I2.pdf</t>
  </si>
  <si>
    <t>Melting_Curves/meltCurve_Q13416_ORC2.pdf</t>
  </si>
  <si>
    <t>Melting_Curves/meltCurve_Q13418_ILK.pdf</t>
  </si>
  <si>
    <t>Melting_Curves/meltCurve_Q13422_IKZF1.pdf</t>
  </si>
  <si>
    <t>Melting_Curves/meltCurve_Q13422_2_IKZF1.pdf</t>
  </si>
  <si>
    <t>Melting_Curves/meltCurve_Q13423_NNT.pdf</t>
  </si>
  <si>
    <t>Melting_Curves/meltCurve_Q13426_XRCC4.pdf</t>
  </si>
  <si>
    <t>Melting_Curves/meltCurve_Q13426_2_XRCC4.pdf</t>
  </si>
  <si>
    <t>Melting_Curves/meltCurve_Q13427_PPIG.pdf</t>
  </si>
  <si>
    <t>Melting_Curves/meltCurve_Q13428_3_TCOF1.pdf</t>
  </si>
  <si>
    <t>Melting_Curves/meltCurve_Q13432_2_UNC119.pdf</t>
  </si>
  <si>
    <t>Melting_Curves/meltCurve_Q13433_SLC39A6.pdf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</si>
  <si>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</si>
  <si>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</si>
  <si>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</si>
  <si>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</si>
  <si>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Melting_Curves/meltCurve_Q13445_TMED1.pdf</t>
  </si>
  <si>
    <t>Melting_Curves/meltCurve_Q13451_FKBP5.pdf</t>
  </si>
  <si>
    <t>Melting_Curves/meltCurve_Q13464_ROCK1.pdf</t>
  </si>
  <si>
    <t>Melting_Curves/meltCurve_Q13469_3_NFATC2.pdf</t>
  </si>
  <si>
    <t>Melting_Curves/meltCurve_Q13472_2_TOP3A.pdf</t>
  </si>
  <si>
    <t>Melting_Curves/meltCurve_Q13492_2_PICALM.pdf</t>
  </si>
  <si>
    <t>Melting_Curves/meltCurve_Q13496_MTM1.pdf</t>
  </si>
  <si>
    <t>Melting_Curves/meltCurve_Q13501_SQSTM1.pdf</t>
  </si>
  <si>
    <t>Melting_Curves/meltCurve_Q13503_MED21.pdf</t>
  </si>
  <si>
    <t>Melting_Curves/meltCurve_Q13505_3_MTX1.pdf</t>
  </si>
  <si>
    <t>Melting_Curves/meltCurve_Q13509_TUBB3.pdf</t>
  </si>
  <si>
    <t>Melting_Curves/meltCurve_Q13526_PIN1.pdf</t>
  </si>
  <si>
    <t>Melting_Curves/meltCurve_Q13535_2_ATR.pdf</t>
  </si>
  <si>
    <t>Melting_Curves/meltCurve_Q13541_EIF4EBP1.pdf</t>
  </si>
  <si>
    <t>Melting_Curves/meltCurve_Q13542_EIF4EBP2.pdf</t>
  </si>
  <si>
    <t>Melting_Curves/meltCurve_Q13546_RIPK1.pdf</t>
  </si>
  <si>
    <t>Melting_Curves/meltCurve_Q13547_HDAC1.pdf</t>
  </si>
  <si>
    <t>Melting_Curves/meltCurve_Q13564_NAE1.pdf</t>
  </si>
  <si>
    <t>Melting_Curves/meltCurve_Q13572_ITPK1.pdf</t>
  </si>
  <si>
    <t>Melting_Curves/meltCurve_Q13573_SNW1.pdf</t>
  </si>
  <si>
    <t>Melting_Curves/meltCurve_Q13574_DGKZ.pdf</t>
  </si>
  <si>
    <t>Melting_Curves/meltCurve_Q13576_IQGAP2.pdf</t>
  </si>
  <si>
    <t>Melting_Curves/meltCurve_Q13586_STIM1.pdf</t>
  </si>
  <si>
    <t>Melting_Curves/meltCurve_Q13588_GRAP.pdf</t>
  </si>
  <si>
    <t>Melting_Curves/meltCurve_Q13596_SNX1.pdf</t>
  </si>
  <si>
    <t>Melting_Curves/meltCurve_Q13608_PEX6.pdf</t>
  </si>
  <si>
    <t>Melting_Curves/meltCurve_Q13610_PWP1.pdf</t>
  </si>
  <si>
    <t>Melting_Curves/meltCurve_Q13614_MTMR2.pdf</t>
  </si>
  <si>
    <t>Melting_Curves/meltCurve_Q13615_3_MTMR3.pdf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</si>
  <si>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</si>
  <si>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</si>
  <si>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</si>
  <si>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</si>
  <si>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Melting_Curves/meltCurve_Q13625_2_TP53BP2.pdf</t>
  </si>
  <si>
    <t>Melting_Curves/meltCurve_Q13627_2_DYRK1A.pdf</t>
  </si>
  <si>
    <t>Melting_Curves/meltCurve_Q13630_TSTA3.pdf</t>
  </si>
  <si>
    <t>Melting_Curves/meltCurve_Q13642_1_FHL1.pdf</t>
  </si>
  <si>
    <t>Melting_Curves/meltCurve_Q13643_FHL3.pdf</t>
  </si>
  <si>
    <t>Melting_Curves/meltCurve_Q13686_ALKBH1.pdf</t>
  </si>
  <si>
    <t>Melting_Curves/meltCurve_Q13724_MOGS.pdf</t>
  </si>
  <si>
    <t>Melting_Curves/meltCurve_Q13740_2_ALCAM.pdf</t>
  </si>
  <si>
    <t>Melting_Curves/meltCurve_Q13769_THOC5.pdf</t>
  </si>
  <si>
    <t>Melting_Curves/meltCurve_Q13795_ARFRP1.pdf</t>
  </si>
  <si>
    <t>Melting_Curves/meltCurve_Q13813_SPTAN1.pdf</t>
  </si>
  <si>
    <t>Melting_Curves/meltCurve_Q13813_2_SPTAN1.pdf</t>
  </si>
  <si>
    <t>Melting_Curves/meltCurve_Q13825_AUH.pdf</t>
  </si>
  <si>
    <t>Melting_Curves/meltCurve_Q13838_DDX39B.pdf</t>
  </si>
  <si>
    <t>Melting_Curves/meltCurve_Q13867_BLMH.pdf</t>
  </si>
  <si>
    <t>Melting_Curves/meltCurve_Q13868_EXOSC2.pdf</t>
  </si>
  <si>
    <t>Melting_Curves/meltCurve_Q13884_SNTB1.pdf</t>
  </si>
  <si>
    <t>Melting_Curves/meltCurve_Q13885_TUBB2A.pdf</t>
  </si>
  <si>
    <t>Melting_Curves/meltCurve_Q13895_BYSL.pdf</t>
  </si>
  <si>
    <t>Melting_Curves/meltCurve_Q13905_RAPGEF1.pdf</t>
  </si>
  <si>
    <t>Melting_Curves/meltCurve_Q13907_IDI1.pdf</t>
  </si>
  <si>
    <t>Melting_Curves/meltCurve_Q13948_CUX1.pdf</t>
  </si>
  <si>
    <t>Melting_Curves/meltCurve_Q13951_CBFB.pdf</t>
  </si>
  <si>
    <t>Melting_Curves/meltCurve_Q13951_2_CBFB.pdf</t>
  </si>
  <si>
    <t>Melting_Curves/meltCurve_Q13952_3_NFYC.pdf</t>
  </si>
  <si>
    <t>Melting_Curves/meltCurve_Q14004_2_CDK13.pdf</t>
  </si>
  <si>
    <t>Melting_Curves/meltCurve_Q14005_3_IL16.pdf</t>
  </si>
  <si>
    <t>Melting_Curves/meltCurve_Q14008_2_CKAP5.pdf</t>
  </si>
  <si>
    <t>Melting_Curves/meltCurve_Q14011_CIRBP.pdf</t>
  </si>
  <si>
    <t>Melting_Curves/meltCurve_Q14019_COTL1.pdf</t>
  </si>
  <si>
    <t>Melting_Curves/meltCurve_Q14061_COX17.pdf</t>
  </si>
  <si>
    <t>Melting_Curves/meltCurve_Q14088_RAB33A.pdf</t>
  </si>
  <si>
    <t>Melting_Curves/meltCurve_Q14103_3_HNRNPD.pdf</t>
  </si>
  <si>
    <t>Melting_Curves/meltCurve_Q14103_4_HNRNPD.pdf</t>
  </si>
  <si>
    <t>Melting_Curves/meltCurve_Q14108_SCARB2.pdf</t>
  </si>
  <si>
    <t>Melting_Curves/meltCurve_Q14114_LRP8.pdf</t>
  </si>
  <si>
    <t>Melting_Curves/meltCurve_Q14117_DPYS.pdf</t>
  </si>
  <si>
    <t>Melting_Curves/meltCurve_Q14118_DAG1.pdf</t>
  </si>
  <si>
    <t>Melting_Curves/meltCurve_Q14126_DSG2.pdf</t>
  </si>
  <si>
    <t>Melting_Curves/meltCurve_Q14135_VGLL4.pdf</t>
  </si>
  <si>
    <t>Melting_Curves/meltCurve_Q14137_BOP1.pdf</t>
  </si>
  <si>
    <t>Melting_Curves/meltCurve_Q14139_UBE4A.pdf</t>
  </si>
  <si>
    <t>Melting_Curves/meltCurve_Q14145_KEAP1.pdf</t>
  </si>
  <si>
    <t>Melting_Curves/meltCurve_Q14146_URB2.pdf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</si>
  <si>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</si>
  <si>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</si>
  <si>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</si>
  <si>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</si>
  <si>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Melting_Curves/meltCurve_Q14153_FAM53B.pdf</t>
  </si>
  <si>
    <t>Melting_Curves/meltCurve_Q14157_1_UBAP2L.pdf</t>
  </si>
  <si>
    <t>Melting_Curves/meltCurve_Q14157_3_UBAP2L.pdf</t>
  </si>
  <si>
    <t>Melting_Curves/meltCurve_Q14160_SCRIB.pdf</t>
  </si>
  <si>
    <t>Melting_Curves/meltCurve_Q14161_GIT2.pdf</t>
  </si>
  <si>
    <t>Melting_Curves/meltCurve_Q14165_MLEC.pdf</t>
  </si>
  <si>
    <t>Melting_Curves/meltCurve_Q14166_TTLL12.pdf</t>
  </si>
  <si>
    <t>Melting_Curves/meltCurve_Q14181_POLA2.pdf</t>
  </si>
  <si>
    <t>Melting_Curves/meltCurve_Q14183_DOC2A.pdf</t>
  </si>
  <si>
    <t>Melting_Curves/meltCurve_Q14188_TFDP2.pdf</t>
  </si>
  <si>
    <t>Melting_Curves/meltCurve_Q14204_DYNC1H1.pdf</t>
  </si>
  <si>
    <t>Melting_Curves/meltCurve_Q14232_EIF2B1.pdf</t>
  </si>
  <si>
    <t>Melting_Curves/meltCurve_Q14240_EIF4A2.pdf</t>
  </si>
  <si>
    <t>Melting_Curves/meltCurve_Q14241_TCEB3.pdf</t>
  </si>
  <si>
    <t>Melting_Curves/meltCurve_Q14242_SELPLG.pdf</t>
  </si>
  <si>
    <t>Melting_Curves/meltCurve_Q14247_CTTN.pdf</t>
  </si>
  <si>
    <t>Melting_Curves/meltCurve_Q14249_ENDOG.pdf</t>
  </si>
  <si>
    <t>Melting_Curves/meltCurve_Q14254_FLOT2.pdf</t>
  </si>
  <si>
    <t>Melting_Curves/meltCurve_Q14257_RCN2.pdf</t>
  </si>
  <si>
    <t>Melting_Curves/meltCurve_Q14258_TRIM25.pdf</t>
  </si>
  <si>
    <t>Melting_Curves/meltCurve_Q14289_2_PTK2B.pdf</t>
  </si>
  <si>
    <t>Melting_Curves/meltCurve_Q14315_2_FLNC.pdf</t>
  </si>
  <si>
    <t>Melting_Curves/meltCurve_Q14318_2_FKBP8.pdf</t>
  </si>
  <si>
    <t>Melting_Curves/meltCurve_Q14320_FAM50A.pdf</t>
  </si>
  <si>
    <t>Melting_Curves/meltCurve_Q14331_FRG1.pdf</t>
  </si>
  <si>
    <t>Melting_Curves/meltCurve_Q14332_FZD2.pdf</t>
  </si>
  <si>
    <t>Melting_Curves/meltCurve_Q14344_GNA13.pdf</t>
  </si>
  <si>
    <t>Melting_Curves/meltCurve_Q14353_GAMT.pdf</t>
  </si>
  <si>
    <t>Melting_Curves/meltCurve_Q14376_GALE.pdf</t>
  </si>
  <si>
    <t>Melting_Curves/meltCurve_Q14444_CAPRIN1.pdf</t>
  </si>
  <si>
    <t>Melting_Curves/meltCurve_Q14457_BECN1.pdf</t>
  </si>
  <si>
    <t>Melting_Curves/meltCurve_Q14469_HES1.pdf</t>
  </si>
  <si>
    <t>Melting_Curves/meltCurve_Q14493_2_SLBP.pdf</t>
  </si>
  <si>
    <t>Melting_Curves/meltCurve_Q14498_2_RBM39.pdf</t>
  </si>
  <si>
    <t>Melting_Curves/meltCurve_Q14517_FAT1.pdf</t>
  </si>
  <si>
    <t>Melting_Curves/meltCurve_Q14520_2_HABP2.pdf</t>
  </si>
  <si>
    <t>Melting_Curves/meltCurve_Q14527_HLTF.pdf</t>
  </si>
  <si>
    <t>Melting_Curves/meltCurve_Q14534_SQLE.pdf</t>
  </si>
  <si>
    <t>Melting_Curves/meltCurve_Q14554_PDIA5.pdf</t>
  </si>
  <si>
    <t>Melting_Curves/meltCurve_Q14558_2_PRPSAP1.pdf</t>
  </si>
  <si>
    <t>Melting_Curves/meltCurve_Q14562_DHX8.pdf</t>
  </si>
  <si>
    <t>Melting_Curves/meltCurve_Q14566_MCM6.pdf</t>
  </si>
  <si>
    <t>Melting_Curves/meltCurve_Q14644_RASA3.pdf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</si>
  <si>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</si>
  <si>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</si>
  <si>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</si>
  <si>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</si>
  <si>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Melting_Curves/meltCurve_Q14671_PUM1.pdf</t>
  </si>
  <si>
    <t>Melting_Curves/meltCurve_Q14676_MDC1.pdf</t>
  </si>
  <si>
    <t>Melting_Curves/meltCurve_Q14677_CLINT1.pdf</t>
  </si>
  <si>
    <t>Melting_Curves/meltCurve_Q14677_3_CLINT1.pdf</t>
  </si>
  <si>
    <t>Melting_Curves/meltCurve_Q14680_5_MELK.pdf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</si>
  <si>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</si>
  <si>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</si>
  <si>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</si>
  <si>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</si>
  <si>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Melting_Curves/meltCurve_Q14690_PDCD11.pdf</t>
  </si>
  <si>
    <t>Melting_Curves/meltCurve_Q14691_GINS1.pdf</t>
  </si>
  <si>
    <t>Melting_Curves/meltCurve_Q14692_BMS1.pdf</t>
  </si>
  <si>
    <t>Melting_Curves/meltCurve_Q14694_USP10.pdf</t>
  </si>
  <si>
    <t>Melting_Curves/meltCurve_Q14696_MESDC2.pdf</t>
  </si>
  <si>
    <t>Melting_Curves/meltCurve_Q14697_GANAB.pdf</t>
  </si>
  <si>
    <t>Melting_Curves/meltCurve_Q14697_2_GANAB.pdf</t>
  </si>
  <si>
    <t>Melting_Curves/meltCurve_Q14699_RFTN1.pdf</t>
  </si>
  <si>
    <t>Melting_Curves/meltCurve_Q14739_LBR.pdf</t>
  </si>
  <si>
    <t>Melting_Curves/meltCurve_Q14746_2_COG2.pdf</t>
  </si>
  <si>
    <t>Melting_Curves/meltCurve_Q14761_PTPRCAP.pdf</t>
  </si>
  <si>
    <t>Melting_Curves/meltCurve_Q14789_GOLGB1.pdf</t>
  </si>
  <si>
    <t>Melting_Curves/meltCurve_Q14790_2_CASP8.pdf</t>
  </si>
  <si>
    <t>Melting_Curves/meltCurve_Q147X3_NAA30.pdf</t>
  </si>
  <si>
    <t>Melting_Curves/meltCurve_Q14807_KIF22.pdf</t>
  </si>
  <si>
    <t>Melting_Curves/meltCurve_Q14814_4_MEF2D.pdf</t>
  </si>
  <si>
    <t>Melting_Curves/meltCurve_Q14847_LASP1.pdf</t>
  </si>
  <si>
    <t>Melting_Curves/meltCurve_Q14894_CRYM.pdf</t>
  </si>
  <si>
    <t>Melting_Curves/meltCurve_Q14964_RAB39A.pdf</t>
  </si>
  <si>
    <t>Melting_Curves/meltCurve_Q14966_ZNF638.pdf</t>
  </si>
  <si>
    <t>Melting_Curves/meltCurve_Q14974_KPNB1.pdf</t>
  </si>
  <si>
    <t>Melting_Curves/meltCurve_Q14978_2_NOLC1.pdf</t>
  </si>
  <si>
    <t>Melting_Curves/meltCurve_Q14980_2_NUMA1.pdf</t>
  </si>
  <si>
    <t>Melting_Curves/meltCurve_Q14990_ODF1.pdf</t>
  </si>
  <si>
    <t>Melting_Curves/meltCurve_Q14997_PSME4.pdf</t>
  </si>
  <si>
    <t>Melting_Curves/meltCurve_Q14BN4_2_SLMAP.pdf</t>
  </si>
  <si>
    <t>Melting_Curves/meltCurve_Q14C86_5_GAPVD1.pdf</t>
  </si>
  <si>
    <t>Melting_Curves/meltCurve_Q14CX7_NAA25.pdf</t>
  </si>
  <si>
    <t>Melting_Curves/meltCurve_Q15003_NCAPH.pdf</t>
  </si>
  <si>
    <t>Melting_Curves/meltCurve_Q15004_KIAA0101.pdf</t>
  </si>
  <si>
    <t>Melting_Curves/meltCurve_Q15006_EMC2.pdf</t>
  </si>
  <si>
    <t>Melting_Curves/meltCurve_Q15007_WTAP.pdf</t>
  </si>
  <si>
    <t>Melting_Curves/meltCurve_Q15008_PSMD6.pdf</t>
  </si>
  <si>
    <t>Melting_Curves/meltCurve_Q15011_3_HERPUD1.pdf</t>
  </si>
  <si>
    <t>Melting_Curves/meltCurve_Q15013_MAD2L1BP.pdf</t>
  </si>
  <si>
    <t>Melting_Curves/meltCurve_Q15014_MORF4L2.pdf</t>
  </si>
  <si>
    <t>Melting_Curves/meltCurve_Q15018_FAM175B.pdf</t>
  </si>
  <si>
    <t>Melting_Curves/meltCurve_Q15019_2_SEPT2.pdf</t>
  </si>
  <si>
    <t>Melting_Curves/meltCurve_Q15020_SART3.pdf</t>
  </si>
  <si>
    <t>Melting_Curves/meltCurve_Q15021_NCAPD2.pdf</t>
  </si>
  <si>
    <t>Melting_Curves/meltCurve_Q15022_SUZ12.pdf</t>
  </si>
  <si>
    <t>Melting_Curves/meltCurve_Q15024_EXOSC7.pdf</t>
  </si>
  <si>
    <t>Melting_Curves/meltCurve_Q15027_ACAP1.pdf</t>
  </si>
  <si>
    <t>Melting_Curves/meltCurve_Q15029_2_EFTUD2.pdf</t>
  </si>
  <si>
    <t>Melting_Curves/meltCurve_Q15031_LARS2.pdf</t>
  </si>
  <si>
    <t>Melting_Curves/meltCurve_Q15032_2_R3HDM1.pdf</t>
  </si>
  <si>
    <t>Melting_Curves/meltCurve_Q15036_2_SNX17.pdf</t>
  </si>
  <si>
    <t>Melting_Curves/meltCurve_Q15042_RAB3GAP1.pdf</t>
  </si>
  <si>
    <t>Melting_Curves/meltCurve_Q15043_2_SLC39A14.pdf</t>
  </si>
  <si>
    <t>Melting_Curves/meltCurve_Q15046_KARS.pdf</t>
  </si>
  <si>
    <t>Melting_Curves/meltCurve_Q15050_RRS1.pdf</t>
  </si>
  <si>
    <t>Melting_Curves/meltCurve_Q15052_ARHGEF6.pdf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</si>
  <si>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</si>
  <si>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</si>
  <si>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</si>
  <si>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</si>
  <si>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</si>
  <si>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</si>
  <si>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Melting_Curves/meltCurve_Q15067_2_ACOX1.pdf</t>
  </si>
  <si>
    <t>Melting_Curves/meltCurve_Q15072_ZNF146.pdf</t>
  </si>
  <si>
    <t>Melting_Curves/meltCurve_Q15075_EEA1.pdf</t>
  </si>
  <si>
    <t>Melting_Curves/meltCurve_Q15102_PAFAH1B3.pdf</t>
  </si>
  <si>
    <t>Melting_Curves/meltCurve_Q15118_PDK1.pdf</t>
  </si>
  <si>
    <t>Melting_Curves/meltCurve_Q15119_PDK2.pdf</t>
  </si>
  <si>
    <t>Melting_Curves/meltCurve_Q15120_PDK3.pdf</t>
  </si>
  <si>
    <t>Melting_Curves/meltCurve_Q15125_EBP.pdf</t>
  </si>
  <si>
    <t>Melting_Curves/meltCurve_Q15126_PMVK.pdf</t>
  </si>
  <si>
    <t>Melting_Curves/meltCurve_Q15149_PLEC.pdf</t>
  </si>
  <si>
    <t>Melting_Curves/meltCurve_Q15149_3_PLEC.pdf</t>
  </si>
  <si>
    <t>Melting_Curves/meltCurve_Q15154_2_PCM1.pdf</t>
  </si>
  <si>
    <t>Melting_Curves/meltCurve_Q15155_NOMO1.pdf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</si>
  <si>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</si>
  <si>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</si>
  <si>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</si>
  <si>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</si>
  <si>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</si>
  <si>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Melting_Curves/meltCurve_Q15223_PVRL1.pdf</t>
  </si>
  <si>
    <t>Melting_Curves/meltCurve_Q15233_NONO.pdf</t>
  </si>
  <si>
    <t>Melting_Curves/meltCurve_Q15257_PPP2R4.pdf</t>
  </si>
  <si>
    <t>Melting_Curves/meltCurve_Q15269_PWP2.pdf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</si>
  <si>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</si>
  <si>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</si>
  <si>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</si>
  <si>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</si>
  <si>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</si>
  <si>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</si>
  <si>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</si>
  <si>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</si>
  <si>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Melting_Curves/meltCurve_Q15345_LRRC41.pdf</t>
  </si>
  <si>
    <t>Melting_Curves/meltCurve_Q15363_TMED2.pdf</t>
  </si>
  <si>
    <t>Melting_Curves/meltCurve_Q15365_PCBP1.pdf</t>
  </si>
  <si>
    <t>Melting_Curves/meltCurve_Q15366_2_PCBP2.pdf</t>
  </si>
  <si>
    <t>Melting_Curves/meltCurve_Q15366_3_PCBP2.pdf</t>
  </si>
  <si>
    <t>Melting_Curves/meltCurve_Q15370_TCEB2.pdf</t>
  </si>
  <si>
    <t>Melting_Curves/meltCurve_Q15382_RHEB.pdf</t>
  </si>
  <si>
    <t>Melting_Curves/meltCurve_Q15386_UBE3C.pdf</t>
  </si>
  <si>
    <t>Melting_Curves/meltCurve_Q15388_TOMM20.pdf</t>
  </si>
  <si>
    <t>Melting_Curves/meltCurve_Q15393_SF3B3.pdf</t>
  </si>
  <si>
    <t>Melting_Curves/meltCurve_Q15398_3_DLGAP5.pdf</t>
  </si>
  <si>
    <t>Melting_Curves/meltCurve_Q15404_RSU1.pdf</t>
  </si>
  <si>
    <t>Melting_Curves/meltCurve_Q15417_CNN3.pdf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</si>
  <si>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</si>
  <si>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</si>
  <si>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</si>
  <si>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</si>
  <si>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</si>
  <si>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</si>
  <si>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</si>
  <si>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Melting_Curves/meltCurve_Q15477_SKIV2L.pdf</t>
  </si>
  <si>
    <t>Melting_Curves/meltCurve_Q15506_SPA17.pdf</t>
  </si>
  <si>
    <t>Melting_Curves/meltCurve_Q15526_2_SURF1.pdf</t>
  </si>
  <si>
    <t>Melting_Curves/meltCurve_Q15527_SURF2.pdf</t>
  </si>
  <si>
    <t>Melting_Curves/meltCurve_Q15542_TAF5.pdf</t>
  </si>
  <si>
    <t>Melting_Curves/meltCurve_Q15544_TAF11.pdf</t>
  </si>
  <si>
    <t>Melting_Curves/meltCurve_Q15545_TAF7.pdf</t>
  </si>
  <si>
    <t>Melting_Curves/meltCurve_Q15554_TERF2.pdf</t>
  </si>
  <si>
    <t>Melting_Curves/meltCurve_Q15555_4_MAPRE2.pdf</t>
  </si>
  <si>
    <t>Melting_Curves/meltCurve_Q15560_2_TCEA2.pdf</t>
  </si>
  <si>
    <t>Melting_Curves/meltCurve_Q15596_NCOA2.pdf</t>
  </si>
  <si>
    <t>Melting_Curves/meltCurve_Q15599_SLC9A3R2.pdf</t>
  </si>
  <si>
    <t>Melting_Curves/meltCurve_Q15628_TRADD.pdf</t>
  </si>
  <si>
    <t>Melting_Curves/meltCurve_Q15637_5_SF1.pdf</t>
  </si>
  <si>
    <t>Melting_Curves/meltCurve_Q15637_6_SF1.pdf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</si>
  <si>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</si>
  <si>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</si>
  <si>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</si>
  <si>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</si>
  <si>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</si>
  <si>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</si>
  <si>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Melting_Curves/meltCurve_Q15652_3_JMJD1C.pdf</t>
  </si>
  <si>
    <t>Melting_Curves/meltCurve_Q15691_MAPRE1.pdf</t>
  </si>
  <si>
    <t>Melting_Curves/meltCurve_Q15714_TSC22D1.pdf</t>
  </si>
  <si>
    <t>Melting_Curves/meltCurve_Q15717_ELAVL1.pdf</t>
  </si>
  <si>
    <t>Melting_Curves/meltCurve_Q15738_NSDHL.pdf</t>
  </si>
  <si>
    <t>Melting_Curves/meltCurve_Q15743_GPR68.pdf</t>
  </si>
  <si>
    <t>Melting_Curves/meltCurve_Q15746_4_MYLK.pdf</t>
  </si>
  <si>
    <t>Melting_Curves/meltCurve_Q15750_2_TAB1.pdf</t>
  </si>
  <si>
    <t>Melting_Curves/meltCurve_Q15751_HERC1.pdf</t>
  </si>
  <si>
    <t>Melting_Curves/meltCurve_Q15758_SLC1A5.pdf</t>
  </si>
  <si>
    <t>Melting_Curves/meltCurve_Q15759_MAPK11.pdf</t>
  </si>
  <si>
    <t>Melting_Curves/meltCurve_Q15771_RAB30.pdf</t>
  </si>
  <si>
    <t>Melting_Curves/meltCurve_Q15773_MLF2.pdf</t>
  </si>
  <si>
    <t>Melting_Curves/meltCurve_Q15777_2_MPPED2.pdf</t>
  </si>
  <si>
    <t>Melting_Curves/meltCurve_Q15785_TOMM34.pdf</t>
  </si>
  <si>
    <t>Melting_Curves/meltCurve_Q15796_2_SMAD2.pdf</t>
  </si>
  <si>
    <t>Melting_Curves/meltCurve_Q15800_MSMO1.pdf</t>
  </si>
  <si>
    <t>Melting_Curves/meltCurve_Q15813_TBCE.pdf</t>
  </si>
  <si>
    <t>Melting_Curves/meltCurve_Q15814_TBCC.pdf</t>
  </si>
  <si>
    <t>Melting_Curves/meltCurve_Q15819_UBE2V2.pdf</t>
  </si>
  <si>
    <t>Melting_Curves/meltCurve_Q15831_2_STK11.pdf</t>
  </si>
  <si>
    <t>Melting_Curves/meltCurve_Q15833_STXBP2.pdf</t>
  </si>
  <si>
    <t>Melting_Curves/meltCurve_Q15836_VAMP3.pdf</t>
  </si>
  <si>
    <t>Melting_Curves/meltCurve_Q15853_2_USF2.pdf</t>
  </si>
  <si>
    <t>Melting_Curves/meltCurve_Q15904_ATP6AP1.pdf</t>
  </si>
  <si>
    <t>Melting_Curves/meltCurve_Q15906_VPS72.pdf</t>
  </si>
  <si>
    <t>Melting_Curves/meltCurve_Q15907_RAB11B.pdf</t>
  </si>
  <si>
    <t>Melting_Curves/meltCurve_Q15910_EZH2.pdf</t>
  </si>
  <si>
    <t>Melting_Curves/meltCurve_Q15942_ZYX.pdf</t>
  </si>
  <si>
    <t>Melting_Curves/meltCurve_Q15973_4_ZNF124.pdf</t>
  </si>
  <si>
    <t>Melting_Curves/meltCurve_Q16134_ETFDH.pdf</t>
  </si>
  <si>
    <t>Melting_Curves/meltCurve_Q16143_SNCB.pdf</t>
  </si>
  <si>
    <t>Melting_Curves/meltCurve_Q16181_SEPT7.pdf</t>
  </si>
  <si>
    <t>Melting_Curves/meltCurve_Q16181_2_SEPT7.pdf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</si>
  <si>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</si>
  <si>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</si>
  <si>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</si>
  <si>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</si>
  <si>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Melting_Curves/meltCurve_Q16401_2_PSMD5.pdf</t>
  </si>
  <si>
    <t>Melting_Curves/meltCurve_Q16512_PKN1.pdf</t>
  </si>
  <si>
    <t>Melting_Curves/meltCurve_Q16513_2_PKN2.pdf</t>
  </si>
  <si>
    <t>Melting_Curves/meltCurve_Q16514_2_TAF12.pdf</t>
  </si>
  <si>
    <t>Melting_Curves/meltCurve_Q16526_CRY1.pdf</t>
  </si>
  <si>
    <t>Melting_Curves/meltCurve_Q16531_DDB1.pdf</t>
  </si>
  <si>
    <t>Melting_Curves/meltCurve_Q16539_MAPK14.pdf</t>
  </si>
  <si>
    <t>Melting_Curves/meltCurve_Q16543_CDC37.pdf</t>
  </si>
  <si>
    <t>Melting_Curves/meltCurve_Q16555_DPYSL2.pdf</t>
  </si>
  <si>
    <t>Melting_Curves/meltCurve_Q16566_CAMK4.pdf</t>
  </si>
  <si>
    <t>Melting_Curves/meltCurve_Q16576_RBBP7.pdf</t>
  </si>
  <si>
    <t>Melting_Curves/meltCurve_Q16576_2_RBBP7.pdf</t>
  </si>
  <si>
    <t>Melting_Curves/meltCurve_Q16587_5_ZNF74.pdf</t>
  </si>
  <si>
    <t>Melting_Curves/meltCurve_Q16594_TAF9.pdf</t>
  </si>
  <si>
    <t>Melting_Curves/meltCurve_Q16625_4_OCLN.pdf</t>
  </si>
  <si>
    <t>Melting_Curves/meltCurve_Q16626_MEA1.pdf</t>
  </si>
  <si>
    <t>Melting_Curves/meltCurve_Q16643_DBN1.pdf</t>
  </si>
  <si>
    <t>Melting_Curves/meltCurve_Q16644_MAPKAPK3.pdf</t>
  </si>
  <si>
    <t>Melting_Curves/meltCurve_Q16656_2_NRF1.pdf</t>
  </si>
  <si>
    <t>Melting_Curves/meltCurve_Q16658_FSCN1.pdf</t>
  </si>
  <si>
    <t>Melting_Curves/meltCurve_Q16666_2_IFI16.pdf</t>
  </si>
  <si>
    <t>Melting_Curves/meltCurve_Q16670_2_ZSCAN26.pdf</t>
  </si>
  <si>
    <t>Melting_Curves/meltCurve_Q16706_MAN2A1.pdf</t>
  </si>
  <si>
    <t>Melting_Curves/meltCurve_Q16718_NDUFA5.pdf</t>
  </si>
  <si>
    <t>Melting_Curves/meltCurve_Q16740_CLPP.pdf</t>
  </si>
  <si>
    <t>Melting_Curves/meltCurve_Q16762_TST.pdf</t>
  </si>
  <si>
    <t>Melting_Curves/meltCurve_Q16763_UBE2S.pdf</t>
  </si>
  <si>
    <t>Melting_Curves/meltCurve_Q16775_HAGH.pdf</t>
  </si>
  <si>
    <t>Melting_Curves/meltCurve_Q16778_HIST2H2BE.pdf</t>
  </si>
  <si>
    <t>Melting_Curves/meltCurve_Q16795_NDUFA9.pdf</t>
  </si>
  <si>
    <t>Melting_Curves/meltCurve_Q16822_PCK2.pdf</t>
  </si>
  <si>
    <t>Melting_Curves/meltCurve_Q16854_DGUOK.pdf</t>
  </si>
  <si>
    <t>Melting_Curves/meltCurve_Q16864_ATP6V1F.pdf</t>
  </si>
  <si>
    <t>Melting_Curves/meltCurve_Q16891_2_IMMT.pdf</t>
  </si>
  <si>
    <t>Melting_Curves/meltCurve_Q17R31_2_TATDN3.pdf</t>
  </si>
  <si>
    <t>Melting_Curves/meltCurve_Q17RN3_FAM98C.pdf</t>
  </si>
  <si>
    <t>Melting_Curves/meltCurve_Q17RU2_REL.pdf</t>
  </si>
  <si>
    <t>Melting_Curves/meltCurve_Q1ED39_KNOP1.pdf</t>
  </si>
  <si>
    <t>Melting_Curves/meltCurve_Q1KMD3_HNRNPUL2.pdf</t>
  </si>
  <si>
    <t>Melting_Curves/meltCurve_Q1MSJ5_1_CSPP1.pdf</t>
  </si>
  <si>
    <t>Melting_Curves/meltCurve_Q1W6H9_FAM110C.pdf</t>
  </si>
  <si>
    <t>Melting_Curves/meltCurve_Q27J81_2_INF2.pdf</t>
  </si>
  <si>
    <t>Melting_Curves/meltCurve_Q29718_HLA_B.pdf</t>
  </si>
  <si>
    <t>Melting_Curves/meltCurve_Q29940_HLA_B.pdf</t>
  </si>
  <si>
    <t>Melting_Curves/meltCurve_Q29963_HLA_C.pdf</t>
  </si>
  <si>
    <t>Melting_Curves/meltCurve_Q29RF7_PDS5A.pdf</t>
  </si>
  <si>
    <t>Melting_Curves/meltCurve_Q2KHT3_CLEC16A.pdf</t>
  </si>
  <si>
    <t>Melting_Curves/meltCurve_Q2M296_2_MTHFSD.pdf</t>
  </si>
  <si>
    <t>Melting_Curves/meltCurve_Q2M296_4_MTHFSD.pdf</t>
  </si>
  <si>
    <t>Melting_Curves/meltCurve_Q2M2I8_2_AAK1.pdf</t>
  </si>
  <si>
    <t>Melting_Curves/meltCurve_Q2M389_KIAA1033.pdf</t>
  </si>
  <si>
    <t>Melting_Curves/meltCurve_Q2NKX8_ERCC6L.pdf</t>
  </si>
  <si>
    <t>Melting_Curves/meltCurve_Q2NL82_TSR1.pdf</t>
  </si>
  <si>
    <t>Melting_Curves/meltCurve_Q2NL98_VMAC.pdf</t>
  </si>
  <si>
    <t>Melting_Curves/meltCurve_Q2T9J0_TYSND1.pdf</t>
  </si>
  <si>
    <t>Melting_Curves/meltCurve_Q2TAA5_ALG11.pdf</t>
  </si>
  <si>
    <t>Melting_Curves/meltCurve_Q2TAL8_QRICH1.pdf</t>
  </si>
  <si>
    <t>Melting_Curves/meltCurve_Q2TAM5_RELA.pdf</t>
  </si>
  <si>
    <t>Melting_Curves/meltCurve_Q2TAY7_SMU1.pdf</t>
  </si>
  <si>
    <t>Melting_Curves/meltCurve_Q2TBE0_CWF19L2.pdf</t>
  </si>
  <si>
    <t>Melting_Curves/meltCurve_Q2VPB7_AP5B1.pdf</t>
  </si>
  <si>
    <t>Melting_Curves/meltCurve_Q2VPS2_STX1B.pdf</t>
  </si>
  <si>
    <t>Melting_Curves/meltCurve_Q32MZ4_2_LRRFIP1.pdf</t>
  </si>
  <si>
    <t>Melting_Curves/meltCurve_Q32MZ4_3_LRRFIP1.pdf</t>
  </si>
  <si>
    <t>Melting_Curves/meltCurve_Q32MZ4_4_LRRFIP1.pdf</t>
  </si>
  <si>
    <t>Melting_Curves/meltCurve_Q32MZ9_POLD3.pdf</t>
  </si>
  <si>
    <t>Melting_Curves/meltCurve_Q32P28_LEPRE1.pdf</t>
  </si>
  <si>
    <t>Melting_Curves/meltCurve_Q32P41_TRMT5.pdf</t>
  </si>
  <si>
    <t>Melting_Curves/meltCurve_Q32Q12_NME1_NME2.pdf</t>
  </si>
  <si>
    <t>Melting_Curves/meltCurve_Q3B726_TWISTNB.pdf</t>
  </si>
  <si>
    <t>Melting_Curves/meltCurve_Q3B7J2_GFOD2.pdf</t>
  </si>
  <si>
    <t>Melting_Curves/meltCurve_Q3B7T1_5_EDRF1.pdf</t>
  </si>
  <si>
    <t>Melting_Curves/meltCurve_Q3KQU3_4_MAP7D1.pdf</t>
  </si>
  <si>
    <t>Melting_Curves/meltCurve_Q3KQV9_UAP1L1.pdf</t>
  </si>
  <si>
    <t>Melting_Curves/meltCurve_Q3KRA6_C2orf76.pdf</t>
  </si>
  <si>
    <t>Melting_Curves/meltCurve_Q3KRA9_ALKBH6.pdf</t>
  </si>
  <si>
    <t>Melting_Curves/meltCurve_Q3LIE5_ADPRM.pdf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</si>
  <si>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</si>
  <si>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</si>
  <si>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</si>
  <si>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</si>
  <si>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Melting_Curves/meltCurve_Q3SXM5_HSDL1.pdf</t>
  </si>
  <si>
    <t>Melting_Curves/meltCurve_Q3SXY8_ARL13B.pdf</t>
  </si>
  <si>
    <t>Melting_Curves/meltCurve_Q3T906_GNPTAB.pdf</t>
  </si>
  <si>
    <t>Melting_Curves/meltCurve_Q3V6T2_2_CCDC88A.pdf</t>
  </si>
  <si>
    <t>Melting_Curves/meltCurve_Q3YEC7_RABL6.pdf</t>
  </si>
  <si>
    <t>Melting_Curves/meltCurve_Q3ZAQ7_VMA21.pdf</t>
  </si>
  <si>
    <t>Melting_Curves/meltCurve_Q3ZCM7_TUBB8.pdf</t>
  </si>
  <si>
    <t>Melting_Curves/meltCurve_Q3ZCQ3_FAM174B.pdf</t>
  </si>
  <si>
    <t>Melting_Curves/meltCurve_Q3ZCQ8_TIMM50.pdf</t>
  </si>
  <si>
    <t>Melting_Curves/meltCurve_Q3ZCV1_USP38.pdf</t>
  </si>
  <si>
    <t>Melting_Curves/meltCurve_Q3ZCW2_LGALSL.pdf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</si>
  <si>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</si>
  <si>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</si>
  <si>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</si>
  <si>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</si>
  <si>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Melting_Curves/meltCurve_Q4G0J3_LARP7.pdf</t>
  </si>
  <si>
    <t>Melting_Curves/meltCurve_Q4G0N4_NADKD1.pdf</t>
  </si>
  <si>
    <t>Melting_Curves/meltCurve_Q4G0W3_COL14A1.pdf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</si>
  <si>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</si>
  <si>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</si>
  <si>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</si>
  <si>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</si>
  <si>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</si>
  <si>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Melting_Curves/meltCurve_Q4KWH8_3_PLCH1.pdf</t>
  </si>
  <si>
    <t>Melting_Curves/meltCurve_Q4LDG9_DNAL1.pdf</t>
  </si>
  <si>
    <t>Melting_Curves/meltCurve_Q4LE39_3_ARID4B.pdf</t>
  </si>
  <si>
    <t>Melting_Curves/meltCurve_Q4TT34_NME4.pdf</t>
  </si>
  <si>
    <t>Melting_Curves/meltCurve_Q4V328_GRIPAP1.pdf</t>
  </si>
  <si>
    <t>Melting_Curves/meltCurve_Q4VC05_BCL7A.pdf</t>
  </si>
  <si>
    <t>Melting_Curves/meltCurve_Q4VC05_2_BCL7A.pdf</t>
  </si>
  <si>
    <t>Melting_Curves/meltCurve_Q4VXZ8_DECR2.pdf</t>
  </si>
  <si>
    <t>Melting_Curves/meltCurve_Q4ZIN3_2_TMEM259.pdf</t>
  </si>
  <si>
    <t>Melting_Curves/meltCurve_Q504Q3_2_PAN2.pdf</t>
  </si>
  <si>
    <t>Melting_Curves/meltCurve_Q504U0_C4orf46.pdf</t>
  </si>
  <si>
    <t>Melting_Curves/meltCurve_Q52LA3_LIN52.pdf</t>
  </si>
  <si>
    <t>Melting_Curves/meltCurve_Q52LJ0_2_FAM98B.pdf</t>
  </si>
  <si>
    <t>Melting_Curves/meltCurve_Q53EL6_2_PDCD4.pdf</t>
  </si>
  <si>
    <t>Melting_Curves/meltCurve_Q53ET0_CRTC2.pdf</t>
  </si>
  <si>
    <t>Melting_Curves/meltCurve_Q53EZ4_CEP55.pdf</t>
  </si>
  <si>
    <t>Melting_Curves/meltCurve_Q53F19_C17orf85.pdf</t>
  </si>
  <si>
    <t>Melting_Curves/meltCurve_Q53FA7_TP53I3.pdf</t>
  </si>
  <si>
    <t>Melting_Curves/meltCurve_Q53GQ0_HSD17B12.pdf</t>
  </si>
  <si>
    <t>Melting_Curves/meltCurve_Q53GS7_2_GLE1.pdf</t>
  </si>
  <si>
    <t>Melting_Curves/meltCurve_Q53H12_AGK.pdf</t>
  </si>
  <si>
    <t>Melting_Curves/meltCurve_Q53H47_SETMAR.pdf</t>
  </si>
  <si>
    <t>Melting_Curves/meltCurve_Q53H80_AKIRIN2.pdf</t>
  </si>
  <si>
    <t>Melting_Curves/meltCurve_Q53H82_LACTB2.pdf</t>
  </si>
  <si>
    <t>Melting_Curves/meltCurve_Q53H96_PYCRL.pdf</t>
  </si>
  <si>
    <t>Melting_Curves/meltCurve_Q53HL2_CDCA8.pdf</t>
  </si>
  <si>
    <t>Melting_Curves/meltCurve_Q53QZ3_ARHGAP15.pdf</t>
  </si>
  <si>
    <t>Melting_Curves/meltCurve_Q53S33_BOLA3.pdf</t>
  </si>
  <si>
    <t>Melting_Curves/meltCurve_Q53T59_HS1BP3.pdf</t>
  </si>
  <si>
    <t>Melting_Curves/meltCurve_Q53TN4_3_CYBRD1.pdf</t>
  </si>
  <si>
    <t>Melting_Curves/meltCurve_Q562F6_2_SGOL2.pdf</t>
  </si>
  <si>
    <t>Melting_Curves/meltCurve_Q562R1_ACTBL2.pdf</t>
  </si>
  <si>
    <t>Melting_Curves/meltCurve_Q567Q0_PPIA.pdf</t>
  </si>
  <si>
    <t>Melting_Curves/meltCurve_Q567V2_2_MPV17L2.pdf</t>
  </si>
  <si>
    <t>Melting_Curves/meltCurve_Q56VL3_OCIAD2.pdf</t>
  </si>
  <si>
    <t>Melting_Curves/meltCurve_Q587I9_SFT2D3.pdf</t>
  </si>
  <si>
    <t>Melting_Curves/meltCurve_Q587J8_KHDC3L.pdf</t>
  </si>
  <si>
    <t>Melting_Curves/meltCurve_Q58A45_PAN3.pdf</t>
  </si>
  <si>
    <t>Melting_Curves/meltCurve_Q58FF8_HSP90AB2P.pdf</t>
  </si>
  <si>
    <t>Melting_Curves/meltCurve_Q58FG1_HSP90AA4P.pdf</t>
  </si>
  <si>
    <t>Melting_Curves/meltCurve_Q59GN2_RPL39P5.pdf</t>
  </si>
  <si>
    <t>Melting_Curves/meltCurve_Q5BJF2_TMEM97.pdf</t>
  </si>
  <si>
    <t>Melting_Curves/meltCurve_Q5BKU9_OXLD1.pdf</t>
  </si>
  <si>
    <t>Melting_Curves/meltCurve_Q5BKX5_C19orf54.pdf</t>
  </si>
  <si>
    <t>Melting_Curves/meltCurve_Q5BKZ1_ZNF326.pdf</t>
  </si>
  <si>
    <t>Melting_Curves/meltCurve_Q5CZ79_ANKRD20A8P.pdf</t>
  </si>
  <si>
    <t>Melting_Curves/meltCurve_Q5D1E8_ZC3H12A.pdf</t>
  </si>
  <si>
    <t>Melting_Curves/meltCurve_Q5EBL8_PDZD11.pdf</t>
  </si>
  <si>
    <t>Melting_Curves/meltCurve_Q5EBM0_CMPK2.pdf</t>
  </si>
  <si>
    <t>Melting_Curves/meltCurve_Q5F1R6_DNAJC21.pdf</t>
  </si>
  <si>
    <t>Melting_Curves/meltCurve_Q5FBB7_5_SGOL1.pdf</t>
  </si>
  <si>
    <t>Melting_Curves/meltCurve_Q5FWF5_2_ESCO1.pdf</t>
  </si>
  <si>
    <t>Melting_Curves/meltCurve_Q5GLZ8_3_HERC4.pdf</t>
  </si>
  <si>
    <t>Melting_Curves/meltCurve_Q5H8X8_UTS2.pdf</t>
  </si>
  <si>
    <t>Melting_Curves/meltCurve_Q5H937_PKIG.pdf</t>
  </si>
  <si>
    <t>Melting_Curves/meltCurve_Q5HY62_CXorf40B.pdf</t>
  </si>
  <si>
    <t>Melting_Curves/meltCurve_Q5HYA8_3_TMEM67.pdf</t>
  </si>
  <si>
    <t>Melting_Curves/meltCurve_Q5HYI8_RABL3.pdf</t>
  </si>
  <si>
    <t>Melting_Curves/meltCurve_Q5HYK3_COQ5.pdf</t>
  </si>
  <si>
    <t>Melting_Curves/meltCurve_Q5JP53_TUBB.pdf</t>
  </si>
  <si>
    <t>Melting_Curves/meltCurve_Q5JPE7_2_NOMO2.pdf</t>
  </si>
  <si>
    <t>Melting_Curves/meltCurve_Q5JPI3_2_C3orf38.pdf</t>
  </si>
  <si>
    <t>Melting_Curves/meltCurve_Q5JPI9_METTL10.pdf</t>
  </si>
  <si>
    <t>Melting_Curves/meltCurve_Q5JR08_RHOC.pdf</t>
  </si>
  <si>
    <t>Melting_Curves/meltCurve_Q5JRA6_MIA3.pdf</t>
  </si>
  <si>
    <t>Melting_Curves/meltCurve_Q5JRI1_SRSF10.pdf</t>
  </si>
  <si>
    <t>Melting_Curves/meltCurve_Q5JRX3_PITRM1.pdf</t>
  </si>
  <si>
    <t>Melting_Curves/meltCurve_Q5JS37_2_NHLRC3.pdf</t>
  </si>
  <si>
    <t>Melting_Curves/meltCurve_Q5JS54_PSMG4.pdf</t>
  </si>
  <si>
    <t>Melting_Curves/meltCurve_Q5JSH3_2_WDR44.pdf</t>
  </si>
  <si>
    <t>Melting_Curves/meltCurve_Q5JSL0_HMGN5.pdf</t>
  </si>
  <si>
    <t>Melting_Curves/meltCurve_Q5JSP0_FGD3.pdf</t>
  </si>
  <si>
    <t>Melting_Curves/meltCurve_Q5JSZ5_PRRC2B.pdf</t>
  </si>
  <si>
    <t>Melting_Curves/meltCurve_Q5JTD0_2_TJAP1.pdf</t>
  </si>
  <si>
    <t>Melting_Curves/meltCurve_Q5JTH9_2_RRP12.pdf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</si>
  <si>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</si>
  <si>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</si>
  <si>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</si>
  <si>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</si>
  <si>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Melting_Curves/meltCurve_Q5JU69_TOR2A.pdf</t>
  </si>
  <si>
    <t>Melting_Curves/meltCurve_Q5JUL1_PAGE5.pdf</t>
  </si>
  <si>
    <t>Melting_Curves/meltCurve_Q5JUR7_TEX30.pdf</t>
  </si>
  <si>
    <t>Melting_Curves/meltCurve_Q5JUW8_DLG3.pdf</t>
  </si>
  <si>
    <t>Melting_Curves/meltCurve_Q5JVF3_3_PCID2.pdf</t>
  </si>
  <si>
    <t>Melting_Curves/meltCurve_Q5JVP3_PTGR1.pdf</t>
  </si>
  <si>
    <t>Melting_Curves/meltCurve_Q5JVS0_HABP4.pdf</t>
  </si>
  <si>
    <t>Melting_Curves/meltCurve_Q5JVZ5_ELMO2.pdf</t>
  </si>
  <si>
    <t>Melting_Curves/meltCurve_Q5JW02_SLC35C2.pdf</t>
  </si>
  <si>
    <t>Melting_Curves/meltCurve_Q5JW30_STAU1.pdf</t>
  </si>
  <si>
    <t>Melting_Curves/meltCurve_Q5JWB9_TMEM230.pdf</t>
  </si>
  <si>
    <t>Melting_Curves/meltCurve_Q5JWT2_MED23.pdf</t>
  </si>
  <si>
    <t>Melting_Curves/meltCurve_Q5JY65_CRNKL1.pdf</t>
  </si>
  <si>
    <t>Melting_Curves/meltCurve_Q5K651_SAMD9.pdf</t>
  </si>
  <si>
    <t>Melting_Curves/meltCurve_Q5M775_5_SPECC1.pdf</t>
  </si>
  <si>
    <t>Melting_Curves/meltCurve_Q5MIZ7_3_SMEK2.pdf</t>
  </si>
  <si>
    <t>Melting_Curves/meltCurve_Q5MNZ6_WDR45B.pdf</t>
  </si>
  <si>
    <t>Melting_Curves/meltCurve_Q5QJ74_TBCEL.pdf</t>
  </si>
  <si>
    <t>Melting_Curves/meltCurve_Q5QJE6_DNTTIP2.pdf</t>
  </si>
  <si>
    <t>Melting_Curves/meltCurve_Q5QNY5_PEX19.pdf</t>
  </si>
  <si>
    <t>Melting_Curves/meltCurve_Q5QNZ2_ATP5F1.pdf</t>
  </si>
  <si>
    <t>Melting_Curves/meltCurve_Q5QP56_BCL2L1.pdf</t>
  </si>
  <si>
    <t>Melting_Curves/meltCurve_Q5QP82_2_DCAF10.pdf</t>
  </si>
  <si>
    <t>Melting_Curves/meltCurve_Q5QPK2_DPM1.pdf</t>
  </si>
  <si>
    <t>Melting_Curves/meltCurve_Q5QPM7_PSMF1.pdf</t>
  </si>
  <si>
    <t>Melting_Curves/meltCurve_Q5R372_4_RABGAP1L.pdf</t>
  </si>
  <si>
    <t>Melting_Curves/meltCurve_Q5R3B4_MPC2.pdf</t>
  </si>
  <si>
    <t>Melting_Curves/meltCurve_Q5RI15_COX20.pdf</t>
  </si>
  <si>
    <t>Melting_Curves/meltCurve_Q5RJ85_HLA_G.pdf</t>
  </si>
  <si>
    <t>Melting_Curves/meltCurve_Q5RKV6_EXOSC6.pdf</t>
  </si>
  <si>
    <t>Melting_Curves/meltCurve_Q5RL73_RBM48.pdf</t>
  </si>
  <si>
    <t>Melting_Curves/meltCurve_Q5SGD2_PPM1L.pdf</t>
  </si>
  <si>
    <t>Melting_Curves/meltCurve_Q5SQI0_5_ATAT1.pdf</t>
  </si>
  <si>
    <t>Melting_Curves/meltCurve_Q5SR47_CR2.pdf</t>
  </si>
  <si>
    <t>Melting_Curves/meltCurve_Q5SR56_HIATL1.pdf</t>
  </si>
  <si>
    <t>Melting_Curves/meltCurve_Q5SRE5_NUP188.pdf</t>
  </si>
  <si>
    <t>Melting_Curves/meltCurve_Q5SRI9_MANEA.pdf</t>
  </si>
  <si>
    <t>Melting_Curves/meltCurve_Q5SRN5_HLA_A.pdf</t>
  </si>
  <si>
    <t>Melting_Curves/meltCurve_Q5SRQ6_CSNK2B.pdf</t>
  </si>
  <si>
    <t>Melting_Curves/meltCurve_Q5SSJ5_HP1BP3.pdf</t>
  </si>
  <si>
    <t>Melting_Curves/meltCurve_Q5ST30_VARS2.pdf</t>
  </si>
  <si>
    <t>Melting_Curves/meltCurve_Q5STX8_AIF1.pdf</t>
  </si>
  <si>
    <t>Melting_Curves/meltCurve_Q5SVK8_DNMBP.pdf</t>
  </si>
  <si>
    <t>Melting_Curves/meltCurve_Q5SW79_CEP170.pdf</t>
  </si>
  <si>
    <t>Melting_Curves/meltCurve_Q5SW96_LDLRAP1.pdf</t>
  </si>
  <si>
    <t>Melting_Curves/meltCurve_Q5SWX3_CAMK2G.pdf</t>
  </si>
  <si>
    <t>Melting_Curves/meltCurve_Q5SWX8_3_ODR4.pdf</t>
  </si>
  <si>
    <t>Melting_Curves/meltCurve_Q5SXM2_SNAPC4.pdf</t>
  </si>
  <si>
    <t>Melting_Curves/meltCurve_Q5SXM8_DNLZ.pdf</t>
  </si>
  <si>
    <t>Melting_Curves/meltCurve_Q5SZE3_CERS2.pdf</t>
  </si>
  <si>
    <t>Melting_Curves/meltCurve_Q5SZR4_TDRKH.pdf</t>
  </si>
  <si>
    <t>Melting_Curves/meltCurve_Q5T0D9_TPRG1L.pdf</t>
  </si>
  <si>
    <t>Melting_Curves/meltCurve_Q5T0N5_3_FNBP1L.pdf</t>
  </si>
  <si>
    <t>Melting_Curves/meltCurve_Q5T0Q6_DPYSL4.pdf</t>
  </si>
  <si>
    <t>Melting_Curves/meltCurve_Q5T0V0_SLIT1.pdf</t>
  </si>
  <si>
    <t>Melting_Curves/meltCurve_Q5T114_C9orf156.pdf</t>
  </si>
  <si>
    <t>Melting_Curves/meltCurve_Q5T123_SH3BGRL3.pdf</t>
  </si>
  <si>
    <t>Melting_Curves/meltCurve_Q5T160_RARS2.pdf</t>
  </si>
  <si>
    <t>Melting_Curves/meltCurve_Q5T171_PYGO2.pdf</t>
  </si>
  <si>
    <t>Melting_Curves/meltCurve_Q5T1M5_FKBP15.pdf</t>
  </si>
  <si>
    <t>Melting_Curves/meltCurve_Q5T1V6_DDX59.pdf</t>
  </si>
  <si>
    <t>Melting_Curves/meltCurve_Q5T1Z4_PUM1.pdf</t>
  </si>
  <si>
    <t>Melting_Curves/meltCurve_Q5T200_ZC3H13.pdf</t>
  </si>
  <si>
    <t>Melting_Curves/meltCurve_Q5T266_ZDHHC12.pdf</t>
  </si>
  <si>
    <t>Melting_Curves/meltCurve_Q5T280_C9orf114.pdf</t>
  </si>
  <si>
    <t>Melting_Curves/meltCurve_Q5T2E6_C10orf76.pdf</t>
  </si>
  <si>
    <t>Melting_Curves/meltCurve_Q5T2R2_3_PDSS1.pdf</t>
  </si>
  <si>
    <t>Melting_Curves/meltCurve_Q5T321_NBEA.pdf</t>
  </si>
  <si>
    <t>Melting_Curves/meltCurve_Q5T3I0_GPATCH4.pdf</t>
  </si>
  <si>
    <t>Melting_Curves/meltCurve_Q5T3J3_2_LRIF1.pdf</t>
  </si>
  <si>
    <t>Melting_Curves/meltCurve_Q5T427_ZNF438.pdf</t>
  </si>
  <si>
    <t>Melting_Curves/meltCurve_Q5T440_IBA57.pdf</t>
  </si>
  <si>
    <t>Melting_Curves/meltCurve_Q5T447_HECTD3.pdf</t>
  </si>
  <si>
    <t>Melting_Curves/meltCurve_Q5T4F4_7_ZFYVE27.pdf</t>
  </si>
  <si>
    <t>Melting_Curves/meltCurve_Q5T4S7_3_UBR4.pdf</t>
  </si>
  <si>
    <t>Melting_Curves/meltCurve_Q5T4U5_ACADM.pdf</t>
  </si>
  <si>
    <t>Melting_Curves/meltCurve_Q5T593_FAM219A.pdf</t>
  </si>
  <si>
    <t>Melting_Curves/meltCurve_Q5T5C0_3_STXBP5.pdf</t>
  </si>
  <si>
    <t>Melting_Curves/meltCurve_Q5T5Y3_CAMSAP1.pdf</t>
  </si>
  <si>
    <t>Melting_Curves/meltCurve_Q5T670_MCM10.pdf</t>
  </si>
  <si>
    <t>Melting_Curves/meltCurve_Q5T6F2_UBAP2.pdf</t>
  </si>
  <si>
    <t>Melting_Curves/meltCurve_Q5T6J7_IDNK.pdf</t>
  </si>
  <si>
    <t>Melting_Curves/meltCurve_Q5T6N4_ABLIM1.pdf</t>
  </si>
  <si>
    <t>Melting_Curves/meltCurve_Q5T6V5_C9orf64.pdf</t>
  </si>
  <si>
    <t>Melting_Curves/meltCurve_Q5T7A4_ADCK3.pdf</t>
  </si>
  <si>
    <t>Melting_Curves/meltCurve_Q5T7M9_FAM69A.pdf</t>
  </si>
  <si>
    <t>Melting_Curves/meltCurve_Q5T7V8_GORAB.pdf</t>
  </si>
  <si>
    <t>Melting_Curves/meltCurve_Q5T7W0_2_ZNF618.pdf</t>
  </si>
  <si>
    <t>Melting_Curves/meltCurve_Q5T8D3_2_ACBD5.pdf</t>
  </si>
  <si>
    <t>Melting_Curves/meltCurve_Q5T8I0_COX6A1P2.pdf</t>
  </si>
  <si>
    <t>Melting_Curves/meltCurve_Q5T8P6_3_RBM26.pdf</t>
  </si>
  <si>
    <t>Melting_Curves/meltCurve_Q5T8T7_MED22.pdf</t>
  </si>
  <si>
    <t>Melting_Curves/meltCurve_Q5T8U5_SURF4.pdf</t>
  </si>
  <si>
    <t>Melting_Curves/meltCurve_Q5T911_MED4.pdf</t>
  </si>
  <si>
    <t>Melting_Curves/meltCurve_Q5T9C2_2_FAM102A.pdf</t>
  </si>
  <si>
    <t>Melting_Curves/meltCurve_Q5TA02_GSTO1.pdf</t>
  </si>
  <si>
    <t>Melting_Curves/meltCurve_Q5TA45_3_CPSF3L.pdf</t>
  </si>
  <si>
    <t>Melting_Curves/meltCurve_Q5TA50_GLTPD1.pdf</t>
  </si>
  <si>
    <t>Melting_Curves/meltCurve_Q5TAL2_SNRPC.pdf</t>
  </si>
  <si>
    <t>Melting_Curves/meltCurve_Q5TAX3_ZCCHC11.pdf</t>
  </si>
  <si>
    <t>Melting_Curves/meltCurve_Q5TBB1_RNASEH2B.pdf</t>
  </si>
  <si>
    <t>Melting_Curves/meltCurve_Q5TBP5_TAF4.pdf</t>
  </si>
  <si>
    <t>Melting_Curves/meltCurve_Q5TCJ5_SEMA4A.pdf</t>
  </si>
  <si>
    <t>Melting_Curves/meltCurve_Q5TD07_NQO2.pdf</t>
  </si>
  <si>
    <t>Melting_Curves/meltCurve_Q5TDG9_DNAJC16.pdf</t>
  </si>
  <si>
    <t>Melting_Curves/meltCurve_Q5TDH0_DDI2.pdf</t>
  </si>
  <si>
    <t>Melting_Curves/meltCurve_Q5TEU4_NDUFAF5.pdf</t>
  </si>
  <si>
    <t>Melting_Curves/meltCurve_Q5TF39_NAGLT1.pdf</t>
  </si>
  <si>
    <t>Melting_Curves/meltCurve_Q5TFE4_NT5DC1.pdf</t>
  </si>
  <si>
    <t>Melting_Curves/meltCurve_Q5THK1_3_PRR14L.pdf</t>
  </si>
  <si>
    <t>Melting_Curves/meltCurve_Q5THR1_DHX35.pdf</t>
  </si>
  <si>
    <t>Melting_Curves/meltCurve_Q5TIE1_SLC19A2.pdf</t>
  </si>
  <si>
    <t>Melting_Curves/meltCurve_Q5TIH2_SFT2D2.pdf</t>
  </si>
  <si>
    <t>Melting_Curves/meltCurve_Q5TZA2_CROCC.pdf</t>
  </si>
  <si>
    <t>Melting_Curves/meltCurve_Q5U5Q3_MEX3C.pdf</t>
  </si>
  <si>
    <t>Melting_Curves/meltCurve_Q5U5X0_LYRM7.pdf</t>
  </si>
  <si>
    <t>Melting_Curves/meltCurve_Q5UIP0_2_RIF1.pdf</t>
  </si>
  <si>
    <t>Melting_Curves/meltCurve_Q5VIR6_4_VPS53.pdf</t>
  </si>
  <si>
    <t>Melting_Curves/meltCurve_Q5VSL9_STRIP1.pdf</t>
  </si>
  <si>
    <t>Melting_Curves/meltCurve_Q5VST6_ABHD17B.pdf</t>
  </si>
  <si>
    <t>Melting_Curves/meltCurve_Q5VSY0_2_GKAP1.pdf</t>
  </si>
  <si>
    <t>Melting_Curves/meltCurve_Q5VT06_CEP350.pdf</t>
  </si>
  <si>
    <t>Melting_Curves/meltCurve_Q5VT52_RPRD2.pdf</t>
  </si>
  <si>
    <t>Melting_Curves/meltCurve_Q5VT94_GHITM.pdf</t>
  </si>
  <si>
    <t>Melting_Curves/meltCurve_Q5VTL8_PRPF38B.pdf</t>
  </si>
  <si>
    <t>Melting_Curves/meltCurve_Q5VTR2_RNF20.pdf</t>
  </si>
  <si>
    <t>Melting_Curves/meltCurve_Q5VU58_TPM3.pdf</t>
  </si>
  <si>
    <t>Melting_Curves/meltCurve_Q5VU97_CACHD1.pdf</t>
  </si>
  <si>
    <t>Melting_Curves/meltCurve_Q5VUE5_C1orf53.pdf</t>
  </si>
  <si>
    <t>Melting_Curves/meltCurve_Q5VUM1_C6orf57.pdf</t>
  </si>
  <si>
    <t>Melting_Curves/meltCurve_Q5VV42_CDKAL1.pdf</t>
  </si>
  <si>
    <t>Melting_Curves/meltCurve_Q5VV50_ZNF691.pdf</t>
  </si>
  <si>
    <t>Melting_Curves/meltCurve_Q5VV89_MGST3.pdf</t>
  </si>
  <si>
    <t>Melting_Curves/meltCurve_Q5VVD7_PLEKHM2.pdf</t>
  </si>
  <si>
    <t>Melting_Curves/meltCurve_Q5VVJ2_MYSM1.pdf</t>
  </si>
  <si>
    <t>Melting_Curves/meltCurve_Q5VVQ6_2_YOD1.pdf</t>
  </si>
  <si>
    <t>Melting_Curves/meltCurve_Q5VVW5_SLC2A8.pdf</t>
  </si>
  <si>
    <t>Melting_Curves/meltCurve_Q5VW32_BROX.pdf</t>
  </si>
  <si>
    <t>Melting_Curves/meltCurve_Q5VW36_FOCAD.pdf</t>
  </si>
  <si>
    <t>Melting_Curves/meltCurve_Q5VWC4_PSMD4.pdf</t>
  </si>
  <si>
    <t>Melting_Curves/meltCurve_Q5VWG9_TAF3.pdf</t>
  </si>
  <si>
    <t>Melting_Curves/meltCurve_Q5VWJ9_SNX30.pdf</t>
  </si>
  <si>
    <t>Melting_Curves/meltCurve_Q5VWP2_FAM46C.pdf</t>
  </si>
  <si>
    <t>Melting_Curves/meltCurve_Q5VWQ0_RSBN1.pdf</t>
  </si>
  <si>
    <t>Melting_Curves/meltCurve_Q5VWZ2_LYPLAL1.pdf</t>
  </si>
  <si>
    <t>Melting_Curves/meltCurve_Q5VY93_ARHGEF2.pdf</t>
  </si>
  <si>
    <t>Melting_Curves/meltCurve_Q5VYB9_LRP11.pdf</t>
  </si>
  <si>
    <t>Melting_Curves/meltCurve_Q5VYH8_LY9.pdf</t>
  </si>
  <si>
    <t>Melting_Curves/meltCurve_Q5VYS8_6_ZCCHC6.pdf</t>
  </si>
  <si>
    <t>Melting_Curves/meltCurve_Q5VZE5_NAA35.pdf</t>
  </si>
  <si>
    <t>Melting_Curves/meltCurve_Q5VZI3_2_C9orf91.pdf</t>
  </si>
  <si>
    <t>Melting_Curves/meltCurve_Q5W015_PFKFB3.pdf</t>
  </si>
  <si>
    <t>Melting_Curves/meltCurve_Q5W0B1_RNF219.pdf</t>
  </si>
  <si>
    <t>Melting_Curves/meltCurve_Q5W0V3_FAM160B1.pdf</t>
  </si>
  <si>
    <t>Melting_Curves/meltCurve_Q5W0Z9_3_ZDHHC20.pdf</t>
  </si>
  <si>
    <t>Melting_Curves/meltCurve_Q5W111_2_SPRYD7.pdf</t>
  </si>
  <si>
    <t>Melting_Curves/meltCurve_Q5W145_NDUFB8.pdf</t>
  </si>
  <si>
    <t>Melting_Curves/meltCurve_Q5XKP0_QIL1.pdf</t>
  </si>
  <si>
    <t>Melting_Curves/meltCurve_Q5XPI4_RNF123.pdf</t>
  </si>
  <si>
    <t>Melting_Curves/meltCurve_Q5XUX1_3_FBXW9.pdf</t>
  </si>
  <si>
    <t>Melting_Curves/meltCurve_Q63HN8_RNF213.pdf</t>
  </si>
  <si>
    <t>Melting_Curves/meltCurve_Q63HQ0_AP1AR.pdf</t>
  </si>
  <si>
    <t>Melting_Curves/meltCurve_Q641Q2_FAM21A.pdf</t>
  </si>
  <si>
    <t>Melting_Curves/meltCurve_Q643R3_LPCAT4.pdf</t>
  </si>
  <si>
    <t>Melting_Curves/meltCurve_Q658Y4_FAM91A1.pdf</t>
  </si>
  <si>
    <t>Melting_Curves/meltCurve_Q659C4_LARP1B.pdf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</si>
  <si>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</si>
  <si>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</si>
  <si>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</si>
  <si>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</si>
  <si>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</si>
  <si>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Melting_Curves/meltCurve_Q66S35_PFKFB4.pdf</t>
  </si>
  <si>
    <t>Melting_Curves/meltCurve_Q674X7_3_KAZN.pdf</t>
  </si>
  <si>
    <t>Melting_Curves/meltCurve_Q684P5_3_RAP1GAP2.pdf</t>
  </si>
  <si>
    <t>Melting_Curves/meltCurve_Q68CP9_3_ARID2.pdf</t>
  </si>
  <si>
    <t>Melting_Curves/meltCurve_Q68CQ4_DIEXF.pdf</t>
  </si>
  <si>
    <t>Melting_Curves/meltCurve_Q68D10_2_SPTY2D1.pdf</t>
  </si>
  <si>
    <t>Melting_Curves/meltCurve_Q68D20_PMS2CL.pdf</t>
  </si>
  <si>
    <t>Melting_Curves/meltCurve_Q68D85_NCR3LG1.pdf</t>
  </si>
  <si>
    <t>Melting_Curves/meltCurve_Q68D91_MBLAC2.pdf</t>
  </si>
  <si>
    <t>Melting_Curves/meltCurve_Q68DH5_LMBRD2.pdf</t>
  </si>
  <si>
    <t>Melting_Curves/meltCurve_Q68E01_2_INTS3.pdf</t>
  </si>
  <si>
    <t>Melting_Curves/meltCurve_Q68EM7_ARHGAP17.pdf</t>
  </si>
  <si>
    <t>Melting_Curves/meltCurve_Q69YH5_CDCA2.pdf</t>
  </si>
  <si>
    <t>Melting_Curves/meltCurve_Q69YL0_.pdf</t>
  </si>
  <si>
    <t>Melting_Curves/meltCurve_Q69YN2_CWF19L1.pdf</t>
  </si>
  <si>
    <t>Melting_Curves/meltCurve_Q69YN4_KIAA1429.pdf</t>
  </si>
  <si>
    <t>Melting_Curves/meltCurve_Q69YQ0_2_SPECC1L.pdf</t>
  </si>
  <si>
    <t>Melting_Curves/meltCurve_Q69YU5_C12orf73.pdf</t>
  </si>
  <si>
    <t>Melting_Curves/meltCurve_Q6BDS2_UHRF1BP1.pdf</t>
  </si>
  <si>
    <t>Melting_Curves/meltCurve_Q6DD87_ZNF787.pdf</t>
  </si>
  <si>
    <t>Melting_Curves/meltCurve_Q6DD88_ATL3.pdf</t>
  </si>
  <si>
    <t>Melting_Curves/meltCurve_Q6DHV7_ADAL.pdf</t>
  </si>
  <si>
    <t>Melting_Curves/meltCurve_Q6DKJ4_NXN.pdf</t>
  </si>
  <si>
    <t>Melting_Curves/meltCurve_Q6DKK2_TTC19.pdf</t>
  </si>
  <si>
    <t>Melting_Curves/meltCurve_Q6DU44_HLA_E.pdf</t>
  </si>
  <si>
    <t>Melting_Curves/meltCurve_Q6EEV4_2_POLR2M.pdf</t>
  </si>
  <si>
    <t>Melting_Curves/meltCurve_Q6FI81_CIAPIN1.pdf</t>
  </si>
  <si>
    <t>Melting_Curves/meltCurve_Q6FIF0_2_ZFAND6.pdf</t>
  </si>
  <si>
    <t>Melting_Curves/meltCurve_Q6GMV2_SMYD5.pdf</t>
  </si>
  <si>
    <t>Melting_Curves/meltCurve_Q6GMV3_PTRHD1.pdf</t>
  </si>
  <si>
    <t>Melting_Curves/meltCurve_Q6GQQ9_2_OTUD7B.pdf</t>
  </si>
  <si>
    <t>Melting_Curves/meltCurve_Q6GYA4_SELS.pdf</t>
  </si>
  <si>
    <t>Melting_Curves/meltCurve_Q6GYQ0_4_RALGAPA1.pdf</t>
  </si>
  <si>
    <t>Melting_Curves/meltCurve_Q6I9Y2_THOC7.pdf</t>
  </si>
  <si>
    <t>Melting_Curves/meltCurve_Q6IA17_SIGIRR.pdf</t>
  </si>
  <si>
    <t>Melting_Curves/meltCurve_Q6IA69_NADSYN1.pdf</t>
  </si>
  <si>
    <t>Melting_Curves/meltCurve_Q6IA86_3_ELP2.pdf</t>
  </si>
  <si>
    <t>Melting_Curves/meltCurve_Q6IAA8_LAMTOR1.pdf</t>
  </si>
  <si>
    <t>Melting_Curves/meltCurve_Q6IAN0_DHRS7B.pdf</t>
  </si>
  <si>
    <t>Melting_Curves/meltCurve_Q6IBS0_TWF2.pdf</t>
  </si>
  <si>
    <t>Melting_Curves/meltCurve_Q6IBW4_2_NCAPH2.pdf</t>
  </si>
  <si>
    <t>Melting_Curves/meltCurve_Q6IC98_GRAMD4.pdf</t>
  </si>
  <si>
    <t>Melting_Curves/meltCurve_Q6ICB0_DESI1.pdf</t>
  </si>
  <si>
    <t>Melting_Curves/meltCurve_Q6ICH7_ASPHD2.pdf</t>
  </si>
  <si>
    <t>Melting_Curves/meltCurve_Q6IN85_SMEK1.pdf</t>
  </si>
  <si>
    <t>Melting_Curves/meltCurve_Q6IPR3_TYW3.pdf</t>
  </si>
  <si>
    <t>Melting_Curves/meltCurve_Q6IPU0_CENPP.pdf</t>
  </si>
  <si>
    <t>Melting_Curves/meltCurve_Q6IQ19_CCSAP.pdf</t>
  </si>
  <si>
    <t>Melting_Curves/meltCurve_Q6IQ22_RAB12.pdf</t>
  </si>
  <si>
    <t>Melting_Curves/meltCurve_Q6IQ49_2_SDE2.pdf</t>
  </si>
  <si>
    <t>Melting_Curves/meltCurve_Q6J164_GRM5.pdf</t>
  </si>
  <si>
    <t>Melting_Curves/meltCurve_Q6JBY9_RCSD1.pdf</t>
  </si>
  <si>
    <t>Melting_Curves/meltCurve_Q6JHV3_USP3.pdf</t>
  </si>
  <si>
    <t>Melting_Curves/meltCurve_Q6JQN1_ACAD10.pdf</t>
  </si>
  <si>
    <t>Melting_Curves/meltCurve_Q6KC79_2_NIPBL.pdf</t>
  </si>
  <si>
    <t>Melting_Curves/meltCurve_Q6KCM7_2_SLC25A25.pdf</t>
  </si>
  <si>
    <t>Melting_Curves/meltCurve_Q6MZP7_LIN54.pdf</t>
  </si>
  <si>
    <t>Melting_Curves/meltCurve_Q6N043_2_ZNF280D.pdf</t>
  </si>
  <si>
    <t>Melting_Curves/meltCurve_Q6N063_OGFOD2.pdf</t>
  </si>
  <si>
    <t>Melting_Curves/meltCurve_Q6N069_NAA16.pdf</t>
  </si>
  <si>
    <t>Melting_Curves/meltCurve_Q6NS38_ALKBH2.pdf</t>
  </si>
  <si>
    <t>Melting_Curves/meltCurve_Q6NSJ5_LRRC8E.pdf</t>
  </si>
  <si>
    <t>Melting_Curves/meltCurve_Q6NT16_SLC18B1.pdf</t>
  </si>
  <si>
    <t>Melting_Curves/meltCurve_Q6NUK1_SLC25A24.pdf</t>
  </si>
  <si>
    <t>Melting_Curves/meltCurve_Q6NUK4_REEP3.pdf</t>
  </si>
  <si>
    <t>Melting_Curves/meltCurve_Q6NUM9_RETSAT.pdf</t>
  </si>
  <si>
    <t>Melting_Curves/meltCurve_Q6NUQ1_RINT1.pdf</t>
  </si>
  <si>
    <t>Melting_Curves/meltCurve_Q6NUQ4_2_TMEM214.pdf</t>
  </si>
  <si>
    <t>Melting_Curves/meltCurve_Q6NUS6_TCTN3.pdf</t>
  </si>
  <si>
    <t>Melting_Curves/meltCurve_Q6NVY1_HIBCH.pdf</t>
  </si>
  <si>
    <t>Melting_Curves/meltCurve_Q6NXE6_2_ARMC6.pdf</t>
  </si>
  <si>
    <t>Melting_Curves/meltCurve_Q6NXT1_ANKRD54.pdf</t>
  </si>
  <si>
    <t>Melting_Curves/meltCurve_Q6NXT6_TAPT1.pdf</t>
  </si>
  <si>
    <t>Melting_Curves/meltCurve_Q6NYC8_PPP1R18.pdf</t>
  </si>
  <si>
    <t>Melting_Curves/meltCurve_Q6NZY4_ZCCHC8.pdf</t>
  </si>
  <si>
    <t>Melting_Curves/meltCurve_Q6P087_2_RPUSD3.pdf</t>
  </si>
  <si>
    <t>Melting_Curves/meltCurve_Q6P161_MRPL54.pdf</t>
  </si>
  <si>
    <t>Melting_Curves/meltCurve_Q6P179_ERAP2.pdf</t>
  </si>
  <si>
    <t>Melting_Curves/meltCurve_Q6P1J9_CDC73.pdf</t>
  </si>
  <si>
    <t>Melting_Curves/meltCurve_Q6P1K2_4_PMF1.pdf</t>
  </si>
  <si>
    <t>Melting_Curves/meltCurve_Q6P1K8_GTF2H2C.pdf</t>
  </si>
  <si>
    <t>Melting_Curves/meltCurve_Q6P1L5_FAM117B.pdf</t>
  </si>
  <si>
    <t>Melting_Curves/meltCurve_Q6P1L8_MRPL14.pdf</t>
  </si>
  <si>
    <t>Melting_Curves/meltCurve_Q6P1M0_SLC27A4.pdf</t>
  </si>
  <si>
    <t>Melting_Curves/meltCurve_Q6P1N0_2_CC2D1A.pdf</t>
  </si>
  <si>
    <t>Melting_Curves/meltCurve_Q6P1Q9_METTL2B.pdf</t>
  </si>
  <si>
    <t>Melting_Curves/meltCurve_Q6P1R3_3_MSANTD2.pdf</t>
  </si>
  <si>
    <t>Melting_Curves/meltCurve_Q6P1R4_DUS1L.pdf</t>
  </si>
  <si>
    <t>Melting_Curves/meltCurve_Q6P1X5_TAF2.pdf</t>
  </si>
  <si>
    <t>Melting_Curves/meltCurve_Q6P275_STAG1.pdf</t>
  </si>
  <si>
    <t>Melting_Curves/meltCurve_Q6P2C8_MED27.pdf</t>
  </si>
  <si>
    <t>Melting_Curves/meltCurve_Q6P2E9_EDC4.pdf</t>
  </si>
  <si>
    <t>Melting_Curves/meltCurve_Q6P2H3_2_CEP85.pdf</t>
  </si>
  <si>
    <t>Melting_Curves/meltCurve_Q6P2I3_FAHD2B.pdf</t>
  </si>
  <si>
    <t>Melting_Curves/meltCurve_Q6P2P2_PRMT10.pdf</t>
  </si>
  <si>
    <t>Melting_Curves/meltCurve_Q6P2Q9_PRPF8.pdf</t>
  </si>
  <si>
    <t>Melting_Curves/meltCurve_Q6P3S1_5_DENND1B.pdf</t>
  </si>
  <si>
    <t>Melting_Curves/meltCurve_Q6P3S6_FBXO42.pdf</t>
  </si>
  <si>
    <t>Melting_Curves/meltCurve_Q6P3W7_SCYL2.pdf</t>
  </si>
  <si>
    <t>Melting_Curves/meltCurve_Q6P3X3_TTC27.pdf</t>
  </si>
  <si>
    <t>Melting_Curves/meltCurve_Q6P499_2_NIPAL3.pdf</t>
  </si>
  <si>
    <t>Melting_Curves/meltCurve_Q6P4A7_SFXN4.pdf</t>
  </si>
  <si>
    <t>Melting_Curves/meltCurve_Q6P4E1_2_CASC4.pdf</t>
  </si>
  <si>
    <t>Melting_Curves/meltCurve_Q6P4F2_FDX1L.pdf</t>
  </si>
  <si>
    <t>Melting_Curves/meltCurve_Q6P4I2_WDR73.pdf</t>
  </si>
  <si>
    <t>Melting_Curves/meltCurve_Q6P4Q7_CNNM4.pdf</t>
  </si>
  <si>
    <t>Melting_Curves/meltCurve_Q6P4R8_3_NFRKB.pdf</t>
  </si>
  <si>
    <t>Melting_Curves/meltCurve_Q6P582_MZT2A.pdf</t>
  </si>
  <si>
    <t>Melting_Curves/meltCurve_Q6P587_FAHD1.pdf</t>
  </si>
  <si>
    <t>Melting_Curves/meltCurve_Q6P5X5_C22orf39.pdf</t>
  </si>
  <si>
    <t>Melting_Curves/meltCurve_Q6P6B1_C8orf47.pdf</t>
  </si>
  <si>
    <t>Melting_Curves/meltCurve_Q6P6B7_2_ANKRD16.pdf</t>
  </si>
  <si>
    <t>Melting_Curves/meltCurve_Q6P6C2_3_ALKBH5.pdf</t>
  </si>
  <si>
    <t>Melting_Curves/meltCurve_Q6P9B6_KIAA1609.pdf</t>
  </si>
  <si>
    <t>Melting_Curves/meltCurve_Q6P9B9_INTS5.pdf</t>
  </si>
  <si>
    <t>Melting_Curves/meltCurve_Q6P9H5_GIMAP6.pdf</t>
  </si>
  <si>
    <t>Melting_Curves/meltCurve_Q6PCB0_2_VWA1.pdf</t>
  </si>
  <si>
    <t>Melting_Curves/meltCurve_Q6PCB5_RSBN1L.pdf</t>
  </si>
  <si>
    <t>Melting_Curves/meltCurve_Q6PCD5_RFWD3.pdf</t>
  </si>
  <si>
    <t>Melting_Curves/meltCurve_Q6PCE3_PGM2L1.pdf</t>
  </si>
  <si>
    <t>Melting_Curves/meltCurve_Q6PD62_CTR9.pdf</t>
  </si>
  <si>
    <t>Melting_Curves/meltCurve_Q6PD74_AAGAB.pdf</t>
  </si>
  <si>
    <t>Melting_Curves/meltCurve_Q6PGN9_2_PSRC1.pdf</t>
  </si>
  <si>
    <t>Melting_Curves/meltCurve_Q6PGP7_TTC37.pdf</t>
  </si>
  <si>
    <t>Melting_Curves/meltCurve_Q6PH81_C16orf87.pdf</t>
  </si>
  <si>
    <t>Melting_Curves/meltCurve_Q6PHR2_ULK3.pdf</t>
  </si>
  <si>
    <t>Melting_Curves/meltCurve_Q6PI48_DARS2.pdf</t>
  </si>
  <si>
    <t>Melting_Curves/meltCurve_Q6PI78_TMEM65.pdf</t>
  </si>
  <si>
    <t>Melting_Curves/meltCurve_Q6PI98_INO80C.pdf</t>
  </si>
  <si>
    <t>Melting_Curves/meltCurve_Q6PID6_TTC33.pdf</t>
  </si>
  <si>
    <t>Melting_Curves/meltCurve_Q6PII3_CCDC174.pdf</t>
  </si>
  <si>
    <t>Melting_Curves/meltCurve_Q6PIJ6_2_FBXO38.pdf</t>
  </si>
  <si>
    <t>Melting_Curves/meltCurve_Q6PIR0_CENPC1.pdf</t>
  </si>
  <si>
    <t>Melting_Curves/meltCurve_Q6PIW4_2_FIGNL1.pdf</t>
  </si>
  <si>
    <t>Melting_Curves/meltCurve_Q6PJ61_FBXO46.pdf</t>
  </si>
  <si>
    <t>Melting_Curves/meltCurve_Q6PJ69_TRIM65.pdf</t>
  </si>
  <si>
    <t>Melting_Curves/meltCurve_Q6PJG2_ELMSAN1.pdf</t>
  </si>
  <si>
    <t>Melting_Curves/meltCurve_Q6PJG6_BRAT1.pdf</t>
  </si>
  <si>
    <t>Melting_Curves/meltCurve_Q6PJI9_WDR59.pdf</t>
  </si>
  <si>
    <t>Melting_Curves/meltCurve_Q6PJT7_3_ZC3H14.pdf</t>
  </si>
  <si>
    <t>Melting_Curves/meltCurve_Q6PJT7_9_ZC3H14.pdf</t>
  </si>
  <si>
    <t>Melting_Curves/meltCurve_Q6PJW8_CNST.pdf</t>
  </si>
  <si>
    <t>Melting_Curves/meltCurve_Q6PK18_OGFOD3.pdf</t>
  </si>
  <si>
    <t>Melting_Curves/meltCurve_Q6PKG0_LARP1.pdf</t>
  </si>
  <si>
    <t>Melting_Curves/meltCurve_Q6PL24_TMED8.pdf</t>
  </si>
  <si>
    <t>Melting_Curves/meltCurve_Q6PML9_SLC30A9.pdf</t>
  </si>
  <si>
    <t>Melting_Curves/meltCurve_Q6QNY0_BLOC1S3.pdf</t>
  </si>
  <si>
    <t>Melting_Curves/meltCurve_Q6QNY1_BLOC1S2.pdf</t>
  </si>
  <si>
    <t>Melting_Curves/meltCurve_Q6R327_RICTOR.pdf</t>
  </si>
  <si>
    <t>Melting_Curves/meltCurve_Q6RFH5_WDR74.pdf</t>
  </si>
  <si>
    <t>Melting_Curves/meltCurve_Q6RW13_2_AGTRAP.pdf</t>
  </si>
  <si>
    <t>Melting_Curves/meltCurve_Q6S8J3_POTEE.pdf</t>
  </si>
  <si>
    <t>Melting_Curves/meltCurve_Q6SJ93_2_FAM111B.pdf</t>
  </si>
  <si>
    <t>Melting_Curves/meltCurve_Q6STE5_2_SMARCD3.pdf</t>
  </si>
  <si>
    <t>Melting_Curves/meltCurve_Q6UB35_MTHFD1L.pdf</t>
  </si>
  <si>
    <t>Melting_Curves/meltCurve_Q6UB99_ANKRD11.pdf</t>
  </si>
  <si>
    <t>Melting_Curves/meltCurve_Q6ULP2_5_AFTPH.pdf</t>
  </si>
  <si>
    <t>Melting_Curves/meltCurve_Q6UN15_FIP1L1.pdf</t>
  </si>
  <si>
    <t>Melting_Curves/meltCurve_Q6UUV7_3_CRTC3.pdf</t>
  </si>
  <si>
    <t>Melting_Curves/meltCurve_Q6UUV9_3_CRTC1.pdf</t>
  </si>
  <si>
    <t>Melting_Curves/meltCurve_Q6UVJ0_SASS6.pdf</t>
  </si>
  <si>
    <t>Melting_Curves/meltCurve_Q6UW56_ATRAID.pdf</t>
  </si>
  <si>
    <t>Melting_Curves/meltCurve_Q6UW63_KDELC1.pdf</t>
  </si>
  <si>
    <t>Melting_Curves/meltCurve_Q6UWE0_LRSAM1.pdf</t>
  </si>
  <si>
    <t>Melting_Curves/meltCurve_Q6UWI4_SHISA2.pdf</t>
  </si>
  <si>
    <t>Melting_Curves/meltCurve_Q6UWP2_DHRS11.pdf</t>
  </si>
  <si>
    <t>Melting_Curves/meltCurve_Q6UWP7_3_LCLAT1.pdf</t>
  </si>
  <si>
    <t>Melting_Curves/meltCurve_Q6UWS5_PET117.pdf</t>
  </si>
  <si>
    <t>Melting_Curves/meltCurve_Q6UWU4_C6orf89.pdf</t>
  </si>
  <si>
    <t>Melting_Curves/meltCurve_Q6UX04_CWC27.pdf</t>
  </si>
  <si>
    <t>Melting_Curves/meltCurve_Q6UX07_DHRS13.pdf</t>
  </si>
  <si>
    <t>Melting_Curves/meltCurve_Q6UXB8_2_PI16.pdf</t>
  </si>
  <si>
    <t>Melting_Curves/meltCurve_Q6UXD5_3_SEZ6L2.pdf</t>
  </si>
  <si>
    <t>Melting_Curves/meltCurve_Q6UXH1_4_CRELD2.pdf</t>
  </si>
  <si>
    <t>Melting_Curves/meltCurve_Q6UXN9_WDR82.pdf</t>
  </si>
  <si>
    <t>Melting_Curves/meltCurve_Q6UXV4_APOOL.pdf</t>
  </si>
  <si>
    <t>Melting_Curves/meltCurve_Q6V1X1_3_DPP8.pdf</t>
  </si>
  <si>
    <t>Melting_Curves/meltCurve_Q6VY07_PACS1.pdf</t>
  </si>
  <si>
    <t>Melting_Curves/meltCurve_Q6W2J9_4_BCOR.pdf</t>
  </si>
  <si>
    <t>Melting_Curves/meltCurve_Q6WCQ1_2_MPRIP.pdf</t>
  </si>
  <si>
    <t>Melting_Curves/meltCurve_Q6WKZ4_RAB11FIP1.pdf</t>
  </si>
  <si>
    <t>Melting_Curves/meltCurve_Q6XQN6_NAPRT1.pdf</t>
  </si>
  <si>
    <t>Melting_Curves/meltCurve_Q6Y1H2_PTPLB.pdf</t>
  </si>
  <si>
    <t>Melting_Curves/meltCurve_Q6Y288_B3GALTL.pdf</t>
  </si>
  <si>
    <t>Melting_Curves/meltCurve_Q6Y2X3_DNAJC14.pdf</t>
  </si>
  <si>
    <t>Melting_Curves/meltCurve_Q6Y7W6_4_GIGYF2.pdf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</si>
  <si>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</si>
  <si>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</si>
  <si>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</si>
  <si>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</si>
  <si>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Melting_Curves/meltCurve_Q6ZMI0_PPP1R21.pdf</t>
  </si>
  <si>
    <t>Melting_Curves/meltCurve_Q6ZN04_MEX3B.pdf</t>
  </si>
  <si>
    <t>Melting_Curves/meltCurve_Q6ZN18_2_AEBP2.pdf</t>
  </si>
  <si>
    <t>Melting_Curves/meltCurve_Q6ZN50_OSBP2.pdf</t>
  </si>
  <si>
    <t>Melting_Curves/meltCurve_Q6ZNA5_FRRS1.pdf</t>
  </si>
  <si>
    <t>Melting_Curves/meltCurve_Q6ZNB6_NFXL1.pdf</t>
  </si>
  <si>
    <t>Melting_Curves/meltCurve_Q6ZNW5_GDPGP1.pdf</t>
  </si>
  <si>
    <t>Melting_Curves/meltCurve_Q6ZPD9_DPY19L3.pdf</t>
  </si>
  <si>
    <t>Melting_Curves/meltCurve_Q6ZRI6_2_C15orf39.pdf</t>
  </si>
  <si>
    <t>Melting_Curves/meltCurve_Q6ZRP7_QSOX2.pdf</t>
  </si>
  <si>
    <t>Melting_Curves/meltCurve_Q6ZRS2_3_SRCAP.pdf</t>
  </si>
  <si>
    <t>Melting_Curves/meltCurve_Q6ZS86_GK5.pdf</t>
  </si>
  <si>
    <t>Melting_Curves/meltCurve_Q6ZSJ8_C1orf122.pdf</t>
  </si>
  <si>
    <t>Melting_Curves/meltCurve_Q6ZSS7_MFSD6.pdf</t>
  </si>
  <si>
    <t>Melting_Curves/meltCurve_Q6ZT21_2_TMPPE.pdf</t>
  </si>
  <si>
    <t>Melting_Curves/meltCurve_Q6ZT62_SH3BP1.pdf</t>
  </si>
  <si>
    <t>Melting_Curves/meltCurve_Q6ZUT1_C11orf57.pdf</t>
  </si>
  <si>
    <t>Melting_Curves/meltCurve_Q6ZVK8_NUDT18.pdf</t>
  </si>
  <si>
    <t>Melting_Curves/meltCurve_Q6ZVM7_TOM1L2.pdf</t>
  </si>
  <si>
    <t>Melting_Curves/meltCurve_Q6ZW49_4_PAXIP1.pdf</t>
  </si>
  <si>
    <t>Melting_Curves/meltCurve_Q6ZWL3_2_CYP4V2.pdf</t>
  </si>
  <si>
    <t>Melting_Curves/meltCurve_Q6ZWT7_MBOAT2.pdf</t>
  </si>
  <si>
    <t>Melting_Curves/meltCurve_Q6ZXV5_2_TMTC3.pdf</t>
  </si>
  <si>
    <t>Melting_Curves/meltCurve_Q6ZYL4_GTF2H5.pdf</t>
  </si>
  <si>
    <t>Melting_Curves/meltCurve_Q709C8_3_VPS13C.pdf</t>
  </si>
  <si>
    <t>Melting_Curves/meltCurve_Q70IA6_MOB2.pdf</t>
  </si>
  <si>
    <t>Melting_Curves/meltCurve_Q70J99_UNC13D.pdf</t>
  </si>
  <si>
    <t>Melting_Curves/meltCurve_Q70UQ0_IKBIP.pdf</t>
  </si>
  <si>
    <t>Melting_Curves/meltCurve_Q70UQ0_4_IKBIP.pdf</t>
  </si>
  <si>
    <t>Melting_Curves/meltCurve_Q70Z53_2_FRA10AC1.pdf</t>
  </si>
  <si>
    <t>Melting_Curves/meltCurve_Q712K3_UBE2R2.pdf</t>
  </si>
  <si>
    <t>Melting_Curves/meltCurve_Q71F23_MLF1IP.pdf</t>
  </si>
  <si>
    <t>Melting_Curves/meltCurve_Q71RC2_6_LARP4.pdf</t>
  </si>
  <si>
    <t>Melting_Curves/meltCurve_Q71SY5_2_MED25.pdf</t>
  </si>
  <si>
    <t>Melting_Curves/meltCurve_Q71U36_2_TUBA1A.pdf</t>
  </si>
  <si>
    <t>Melting_Curves/meltCurve_Q71UI9_H2AFV.pdf</t>
  </si>
  <si>
    <t>Melting_Curves/meltCurve_Q75QN2_INTS8.pdf</t>
  </si>
  <si>
    <t>Melting_Curves/meltCurve_Q765P7_MTSS1L.pdf</t>
  </si>
  <si>
    <t>Melting_Curves/meltCurve_Q76FK4_4_NOL8.pdf</t>
  </si>
  <si>
    <t>Melting_Curves/meltCurve_Q7KYR7_BTN2A1.pdf</t>
  </si>
  <si>
    <t>Melting_Curves/meltCurve_Q7KZ85_SUPT6H.pdf</t>
  </si>
  <si>
    <t>Melting_Curves/meltCurve_Q7KZF4_SND1.pdf</t>
  </si>
  <si>
    <t>Melting_Curves/meltCurve_Q7KZN9_2_COX15.pdf</t>
  </si>
  <si>
    <t>Melting_Curves/meltCurve_Q7L014_DDX46.pdf</t>
  </si>
  <si>
    <t>Melting_Curves/meltCurve_Q7L099_2_RUFY3.pdf</t>
  </si>
  <si>
    <t>Melting_Curves/meltCurve_Q7L099_4_RUFY3.pdf</t>
  </si>
  <si>
    <t>Melting_Curves/meltCurve_Q7L0J3_2_SV2A.pdf</t>
  </si>
  <si>
    <t>Melting_Curves/meltCurve_Q7L0Y3_TRMT10C.pdf</t>
  </si>
  <si>
    <t>Melting_Curves/meltCurve_Q7L1Q6_BZW1.pdf</t>
  </si>
  <si>
    <t>Melting_Curves/meltCurve_Q7L1T6_CYB5R4.pdf</t>
  </si>
  <si>
    <t>Melting_Curves/meltCurve_Q7L211_ABHD13.pdf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</si>
  <si>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</si>
  <si>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</si>
  <si>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</si>
  <si>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</si>
  <si>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Melting_Curves/meltCurve_Q7L2Z9_CENPQ.pdf</t>
  </si>
  <si>
    <t>Melting_Curves/meltCurve_Q7L3S4_ZNF771.pdf</t>
  </si>
  <si>
    <t>Melting_Curves/meltCurve_Q7L3T8_PARS2.pdf</t>
  </si>
  <si>
    <t>Melting_Curves/meltCurve_Q7L4I2_RSRC2.pdf</t>
  </si>
  <si>
    <t>Melting_Curves/meltCurve_Q7L4P6_2_BEND5.pdf</t>
  </si>
  <si>
    <t>Melting_Curves/meltCurve_Q7L523_RRAGA.pdf</t>
  </si>
  <si>
    <t>Melting_Curves/meltCurve_Q7L576_CYFIP1.pdf</t>
  </si>
  <si>
    <t>Melting_Curves/meltCurve_Q7L5D6_GET4.pdf</t>
  </si>
  <si>
    <t>Melting_Curves/meltCurve_Q7L5N7_LPCAT2.pdf</t>
  </si>
  <si>
    <t>Melting_Curves/meltCurve_Q7L5Y1_ENOSF1.pdf</t>
  </si>
  <si>
    <t>Melting_Curves/meltCurve_Q7L5Y9_MAEA.pdf</t>
  </si>
  <si>
    <t>Melting_Curves/meltCurve_Q7L775_EPM2AIP1.pdf</t>
  </si>
  <si>
    <t>Melting_Curves/meltCurve_Q7L7L0_HIST3H2A.pdf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</si>
  <si>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</si>
  <si>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</si>
  <si>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</si>
  <si>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</si>
  <si>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Melting_Curves/meltCurve_Q7L9B9_EEPD1.pdf</t>
  </si>
  <si>
    <t>Melting_Curves/meltCurve_Q7LBC6_KDM3B.pdf</t>
  </si>
  <si>
    <t>Melting_Curves/meltCurve_Q7LBR1_CHMP1B.pdf</t>
  </si>
  <si>
    <t>Melting_Curves/meltCurve_Q7LGA3_HS2ST1.pdf</t>
  </si>
  <si>
    <t>Melting_Curves/meltCurve_Q7RTN6_6_STRADA.pdf</t>
  </si>
  <si>
    <t>Melting_Curves/meltCurve_Q7RTP0_NIPA1.pdf</t>
  </si>
  <si>
    <t>Melting_Curves/meltCurve_Q7RTP6_MICAL3.pdf</t>
  </si>
  <si>
    <t>Melting_Curves/meltCurve_Q7RTS9_DYM.pdf</t>
  </si>
  <si>
    <t>Melting_Curves/meltCurve_Q7RTV0_PHF5A.pdf</t>
  </si>
  <si>
    <t>Melting_Curves/meltCurve_Q7Z2E3_7_APTX.pdf</t>
  </si>
  <si>
    <t>Melting_Curves/meltCurve_Q7Z2K6_ERMP1.pdf</t>
  </si>
  <si>
    <t>Melting_Curves/meltCurve_Q7Z2K8_GPRIN1.pdf</t>
  </si>
  <si>
    <t>Melting_Curves/meltCurve_Q7Z2T5_TRMT1L.pdf</t>
  </si>
  <si>
    <t>Melting_Curves/meltCurve_Q7Z2W4_ZC3HAV1.pdf</t>
  </si>
  <si>
    <t>Melting_Curves/meltCurve_Q7Z2Z2_EFTUD1.pdf</t>
  </si>
  <si>
    <t>Melting_Curves/meltCurve_Q7Z309_FAM122B.pdf</t>
  </si>
  <si>
    <t>Melting_Curves/meltCurve_Q7Z392_TRAPPC11.pdf</t>
  </si>
  <si>
    <t>Melting_Curves/meltCurve_Q7Z3C6_2_ATG9A.pdf</t>
  </si>
  <si>
    <t>Melting_Curves/meltCurve_Q7Z3D4_LYSMD3.pdf</t>
  </si>
  <si>
    <t>Melting_Curves/meltCurve_Q7Z3D6_2_C14orf159.pdf</t>
  </si>
  <si>
    <t>Melting_Curves/meltCurve_Q7Z3E2_C10orf118.pdf</t>
  </si>
  <si>
    <t>Melting_Curves/meltCurve_Q7Z3K3_5_POGZ.pdf</t>
  </si>
  <si>
    <t>Melting_Curves/meltCurve_Q7Z3T8_ZFYVE16.pdf</t>
  </si>
  <si>
    <t>Melting_Curves/meltCurve_Q7Z3Z2_RD3.pdf</t>
  </si>
  <si>
    <t>Melting_Curves/meltCurve_Q7Z417_NUFIP2.pdf</t>
  </si>
  <si>
    <t>Melting_Curves/meltCurve_Q7Z422_2_SZRD1.pdf</t>
  </si>
  <si>
    <t>Melting_Curves/meltCurve_Q7Z434_MAVS.pdf</t>
  </si>
  <si>
    <t>Melting_Curves/meltCurve_Q7Z449_CYP2U1.pdf</t>
  </si>
  <si>
    <t>Melting_Curves/meltCurve_Q7Z478_DHX29.pdf</t>
  </si>
  <si>
    <t>Melting_Curves/meltCurve_Q7Z4G1_COMMD6.pdf</t>
  </si>
  <si>
    <t>Melting_Curves/meltCurve_Q7Z4G4_2_TRMT11.pdf</t>
  </si>
  <si>
    <t>Melting_Curves/meltCurve_Q7Z4H3_HDDC2.pdf</t>
  </si>
  <si>
    <t>Melting_Curves/meltCurve_Q7Z4H7_3_HAUS6.pdf</t>
  </si>
  <si>
    <t>Melting_Curves/meltCurve_Q7Z4Q2_HEATR3.pdf</t>
  </si>
  <si>
    <t>Melting_Curves/meltCurve_Q7Z4V5_HDGFRP2.pdf</t>
  </si>
  <si>
    <t>Melting_Curves/meltCurve_Q7Z4V5_2_HDGFRP2.pdf</t>
  </si>
  <si>
    <t>Melting_Curves/meltCurve_Q7Z4W1_DCXR.pdf</t>
  </si>
  <si>
    <t>Melting_Curves/meltCurve_Q7Z5G4_GOLGA7.pdf</t>
  </si>
  <si>
    <t>Melting_Curves/meltCurve_Q7Z5K2_WAPAL.pdf</t>
  </si>
  <si>
    <t>Melting_Curves/meltCurve_Q7Z5L9_2_IRF2BP2.pdf</t>
  </si>
  <si>
    <t>Melting_Curves/meltCurve_Q7Z5R6_APBB1IP.pdf</t>
  </si>
  <si>
    <t>Melting_Curves/meltCurve_Q7Z5U6_WDR53.pdf</t>
  </si>
  <si>
    <t>Melting_Curves/meltCurve_Q7Z5W3_BCDIN3D.pdf</t>
  </si>
  <si>
    <t>Melting_Curves/meltCurve_Q7Z6B0_2_CCDC91.pdf</t>
  </si>
  <si>
    <t>Melting_Curves/meltCurve_Q7Z6E9_RBBP6.pdf</t>
  </si>
  <si>
    <t>Melting_Curves/meltCurve_Q7Z6I6_ARHGAP30.pdf</t>
  </si>
  <si>
    <t>Melting_Curves/meltCurve_Q7Z6I8_C5orf24.pdf</t>
  </si>
  <si>
    <t>Melting_Curves/meltCurve_Q7Z6J8_UBE3D.pdf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</si>
  <si>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</si>
  <si>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</si>
  <si>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</si>
  <si>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</si>
  <si>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Melting_Curves/meltCurve_Q7Z6M2_FBXO33.pdf</t>
  </si>
  <si>
    <t>Melting_Curves/meltCurve_Q7Z6M4_MTERFD2.pdf</t>
  </si>
  <si>
    <t>Melting_Curves/meltCurve_Q7Z6P3_RAB44.pdf</t>
  </si>
  <si>
    <t>Melting_Curves/meltCurve_Q7Z6V5_ADAT2.pdf</t>
  </si>
  <si>
    <t>Melting_Curves/meltCurve_Q7Z6Z7_2_HUWE1.pdf</t>
  </si>
  <si>
    <t>Melting_Curves/meltCurve_Q7Z7A3_CTU1.pdf</t>
  </si>
  <si>
    <t>Melting_Curves/meltCurve_Q7Z7A4_2_PXK.pdf</t>
  </si>
  <si>
    <t>Melting_Curves/meltCurve_Q7Z7C8_TAF8.pdf</t>
  </si>
  <si>
    <t>Melting_Curves/meltCurve_Q7Z7E8_UBE2Q1.pdf</t>
  </si>
  <si>
    <t>Melting_Curves/meltCurve_Q7Z7F0_KIAA0907.pdf</t>
  </si>
  <si>
    <t>Melting_Curves/meltCurve_Q7Z7F7_MRPL55.pdf</t>
  </si>
  <si>
    <t>Melting_Curves/meltCurve_Q7Z7G8_2_VPS13B.pdf</t>
  </si>
  <si>
    <t>Melting_Curves/meltCurve_Q7Z7H5_3_TMED4.pdf</t>
  </si>
  <si>
    <t>Melting_Curves/meltCurve_Q7Z7H8_MRPL10.pdf</t>
  </si>
  <si>
    <t>Melting_Curves/meltCurve_Q7Z7K6_3_CENPV.pdf</t>
  </si>
  <si>
    <t>Melting_Curves/meltCurve_Q7Z7L1_SLFN11.pdf</t>
  </si>
  <si>
    <t>Melting_Curves/meltCurve_Q7Z7L7_ZER1.pdf</t>
  </si>
  <si>
    <t>Melting_Curves/meltCurve_Q7Z7L8_C11orf96.pdf</t>
  </si>
  <si>
    <t>Melting_Curves/meltCurve_Q7Z7L9_ZSCAN2.pdf</t>
  </si>
  <si>
    <t>Melting_Curves/meltCurve_Q7Z7N9_TMEM179B.pdf</t>
  </si>
  <si>
    <t>Melting_Curves/meltCurve_Q86SF2_GALNT7.pdf</t>
  </si>
  <si>
    <t>Melting_Curves/meltCurve_Q86SK9_2_SCD5.pdf</t>
  </si>
  <si>
    <t>Melting_Curves/meltCurve_Q86SQ9_3_DHDDS.pdf</t>
  </si>
  <si>
    <t>Melting_Curves/meltCurve_Q86SX6_GLRX5.pdf</t>
  </si>
  <si>
    <t>Melting_Curves/meltCurve_Q86SZ2_TRAPPC6B.pdf</t>
  </si>
  <si>
    <t>Melting_Curves/meltCurve_Q86T03_TMEM55B.pdf</t>
  </si>
  <si>
    <t>Melting_Curves/meltCurve_Q86T13_CLEC14A.pdf</t>
  </si>
  <si>
    <t>Melting_Curves/meltCurve_Q86TB9_4_PATL1.pdf</t>
  </si>
  <si>
    <t>Melting_Curves/meltCurve_Q86TI0_2_TBC1D1.pdf</t>
  </si>
  <si>
    <t>Melting_Curves/meltCurve_Q86TI2_2_DPP9.pdf</t>
  </si>
  <si>
    <t>Melting_Curves/meltCurve_Q86TM6_2_SYVN1.pdf</t>
  </si>
  <si>
    <t>Melting_Curves/meltCurve_Q86TN4_TRPT1.pdf</t>
  </si>
  <si>
    <t>Melting_Curves/meltCurve_Q86TP1_PRUNE.pdf</t>
  </si>
  <si>
    <t>Melting_Curves/meltCurve_Q86TU7_SETD3.pdf</t>
  </si>
  <si>
    <t>Melting_Curves/meltCurve_Q86TV2_LGMN.pdf</t>
  </si>
  <si>
    <t>Melting_Curves/meltCurve_Q86U06_4_RBM23.pdf</t>
  </si>
  <si>
    <t>Melting_Curves/meltCurve_Q86U28_ISCA2.pdf</t>
  </si>
  <si>
    <t>Melting_Curves/meltCurve_Q86U38_NOP9.pdf</t>
  </si>
  <si>
    <t>Melting_Curves/meltCurve_Q86U44_METTL3.pdf</t>
  </si>
  <si>
    <t>Melting_Curves/meltCurve_Q86U70_3_LDB1.pdf</t>
  </si>
  <si>
    <t>Melting_Curves/meltCurve_Q86U86_5_PBRM1.pdf</t>
  </si>
  <si>
    <t>Melting_Curves/meltCurve_Q86U90_YRDC.pdf</t>
  </si>
  <si>
    <t>Melting_Curves/meltCurve_Q86UA1_PRPF39.pdf</t>
  </si>
  <si>
    <t>Melting_Curves/meltCurve_Q86UA6_3_RPAIN.pdf</t>
  </si>
  <si>
    <t>Melting_Curves/meltCurve_Q86UD0_SAPCD2.pdf</t>
  </si>
  <si>
    <t>Melting_Curves/meltCurve_Q86UE4_MTDH.pdf</t>
  </si>
  <si>
    <t>Melting_Curves/meltCurve_Q86UE8_2_TLK2.pdf</t>
  </si>
  <si>
    <t>Melting_Curves/meltCurve_Q86UF1_TSPAN33.pdf</t>
  </si>
  <si>
    <t>Melting_Curves/meltCurve_Q86UK7_2_ZNF598.pdf</t>
  </si>
  <si>
    <t>Melting_Curves/meltCurve_Q86UL3_AGPAT6.pdf</t>
  </si>
  <si>
    <t>Melting_Curves/meltCurve_Q86UN3_RTN4RL2.pdf</t>
  </si>
  <si>
    <t>Melting_Curves/meltCurve_Q86UP2_KTN1.pdf</t>
  </si>
  <si>
    <t>Melting_Curves/meltCurve_Q86US8_SMG6.pdf</t>
  </si>
  <si>
    <t>Melting_Curves/meltCurve_Q86UT8_CCDC84.pdf</t>
  </si>
  <si>
    <t>Melting_Curves/meltCurve_Q86UU0_4_BCL9L.pdf</t>
  </si>
  <si>
    <t>Melting_Curves/meltCurve_Q86UV5_USP48.pdf</t>
  </si>
  <si>
    <t>Melting_Curves/meltCurve_Q86UX3_ABCC5.pdf</t>
  </si>
  <si>
    <t>Melting_Curves/meltCurve_Q86UX7_2_FERMT3.pdf</t>
  </si>
  <si>
    <t>Melting_Curves/meltCurve_Q86UY0_TXNDC5.pdf</t>
  </si>
  <si>
    <t>Melting_Curves/meltCurve_Q86UY6_NAA40.pdf</t>
  </si>
  <si>
    <t>Melting_Curves/meltCurve_Q86UY8_2_NT5DC3.pdf</t>
  </si>
  <si>
    <t>Melting_Curves/meltCurve_Q86V21_AACS.pdf</t>
  </si>
  <si>
    <t>Melting_Curves/meltCurve_Q86V42_FAM124A.pdf</t>
  </si>
  <si>
    <t>Melting_Curves/meltCurve_Q86V48_2_LUZP1.pdf</t>
  </si>
  <si>
    <t>Melting_Curves/meltCurve_Q86V59_2_PNMAL1.pdf</t>
  </si>
  <si>
    <t>Melting_Curves/meltCurve_Q86V85_GPR180.pdf</t>
  </si>
  <si>
    <t>Melting_Curves/meltCurve_Q86V87_FAM160B2.pdf</t>
  </si>
  <si>
    <t>Melting_Curves/meltCurve_Q86V88_MDP1.pdf</t>
  </si>
  <si>
    <t>Melting_Curves/meltCurve_Q86VD7_SLC25A42.pdf</t>
  </si>
  <si>
    <t>Melting_Curves/meltCurve_Q86VN1_2_VPS36.pdf</t>
  </si>
  <si>
    <t>Melting_Curves/meltCurve_Q86VP1_2_TAX1BP1.pdf</t>
  </si>
  <si>
    <t>Melting_Curves/meltCurve_Q86VP6_CAND1.pdf</t>
  </si>
  <si>
    <t>Melting_Curves/meltCurve_Q86VQ1_GLCCI1.pdf</t>
  </si>
  <si>
    <t>Melting_Curves/meltCurve_Q86VQ2_WASF3.pdf</t>
  </si>
  <si>
    <t>Melting_Curves/meltCurve_Q86VR2_FAM134C.pdf</t>
  </si>
  <si>
    <t>Melting_Curves/meltCurve_Q86VS8_HOOK3.pdf</t>
  </si>
  <si>
    <t>Melting_Curves/meltCurve_Q86VU5_COMTD1.pdf</t>
  </si>
  <si>
    <t>Melting_Curves/meltCurve_Q86VW0_SESTD1.pdf</t>
  </si>
  <si>
    <t>Melting_Curves/meltCurve_Q86VX2_2_COMMD7.pdf</t>
  </si>
  <si>
    <t>Melting_Curves/meltCurve_Q86VX9_MON1A.pdf</t>
  </si>
  <si>
    <t>Melting_Curves/meltCurve_Q86VY4_TSPYL5.pdf</t>
  </si>
  <si>
    <t>Melting_Curves/meltCurve_Q86VZ1_P2RY8.pdf</t>
  </si>
  <si>
    <t>Melting_Curves/meltCurve_Q86W33_TPRA1.pdf</t>
  </si>
  <si>
    <t>Melting_Curves/meltCurve_Q86W42_THOC6.pdf</t>
  </si>
  <si>
    <t>Melting_Curves/meltCurve_Q86W50_METTL16.pdf</t>
  </si>
  <si>
    <t>Melting_Curves/meltCurve_Q86W56_PARG.pdf</t>
  </si>
  <si>
    <t>Melting_Curves/meltCurve_Q86W92_4_PPFIBP1.pdf</t>
  </si>
  <si>
    <t>Melting_Curves/meltCurve_Q86WA6_2_BPHL.pdf</t>
  </si>
  <si>
    <t>Melting_Curves/meltCurve_Q86WA8_LONP2.pdf</t>
  </si>
  <si>
    <t>Melting_Curves/meltCurve_Q86WC4_OSTM1.pdf</t>
  </si>
  <si>
    <t>Melting_Curves/meltCurve_Q86WJ1_CHD1L.pdf</t>
  </si>
  <si>
    <t>Melting_Curves/meltCurve_Q86WQ0_NR2C2AP.pdf</t>
  </si>
  <si>
    <t>Melting_Curves/meltCurve_Q86WR0_CCDC25.pdf</t>
  </si>
  <si>
    <t>Melting_Curves/meltCurve_Q86WV1_2_SKAP1.pdf</t>
  </si>
  <si>
    <t>Melting_Curves/meltCurve_Q86WV6_TMEM173.pdf</t>
  </si>
  <si>
    <t>Melting_Curves/meltCurve_Q86WV7_CCDC43.pdf</t>
  </si>
  <si>
    <t>Melting_Curves/meltCurve_Q86WX3_RPS19BP1.pdf</t>
  </si>
  <si>
    <t>Melting_Curves/meltCurve_Q86X02_CDR2L.pdf</t>
  </si>
  <si>
    <t>Melting_Curves/meltCurve_Q86X10_RALGAPB.pdf</t>
  </si>
  <si>
    <t>Melting_Curves/meltCurve_Q86X27_RALGPS2.pdf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</si>
  <si>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</si>
  <si>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</si>
  <si>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</si>
  <si>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</si>
  <si>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Melting_Curves/meltCurve_Q86X95_CIR1.pdf</t>
  </si>
  <si>
    <t>Melting_Curves/meltCurve_Q86XI2_NCAPG2.pdf</t>
  </si>
  <si>
    <t>Melting_Curves/meltCurve_Q86XK3_3_SFR1.pdf</t>
  </si>
  <si>
    <t>Melting_Curves/meltCurve_Q86XP1_DGKH.pdf</t>
  </si>
  <si>
    <t>Melting_Curves/meltCurve_Q86XP3_DDX42.pdf</t>
  </si>
  <si>
    <t>Melting_Curves/meltCurve_Q86XZ4_SPATS2.pdf</t>
  </si>
  <si>
    <t>Melting_Curves/meltCurve_Q86Y01_DTX1.pdf</t>
  </si>
  <si>
    <t>Melting_Curves/meltCurve_Q86Y07_4_VRK2.pdf</t>
  </si>
  <si>
    <t>Melting_Curves/meltCurve_Q86Y37_CACUL1.pdf</t>
  </si>
  <si>
    <t>Melting_Curves/meltCurve_Q86Y39_NDUFA11.pdf</t>
  </si>
  <si>
    <t>Melting_Curves/meltCurve_Q86Y56_HEATR2.pdf</t>
  </si>
  <si>
    <t>Melting_Curves/meltCurve_Q86Y79_PTRH1.pdf</t>
  </si>
  <si>
    <t>Melting_Curves/meltCurve_Q86Y82_STX12.pdf</t>
  </si>
  <si>
    <t>Melting_Curves/meltCurve_Q86YH6_PDSS2.pdf</t>
  </si>
  <si>
    <t>Melting_Curves/meltCurve_Q86YM7_HOMER1.pdf</t>
  </si>
  <si>
    <t>Melting_Curves/meltCurve_Q86YN1_2_DOLPP1.pdf</t>
  </si>
  <si>
    <t>Melting_Curves/meltCurve_Q86YP4_GATAD2A.pdf</t>
  </si>
  <si>
    <t>Melting_Curves/meltCurve_Q86YR5_4_GPSM1.pdf</t>
  </si>
  <si>
    <t>Melting_Curves/meltCurve_Q86YS3_RAB11FIP4.pdf</t>
  </si>
  <si>
    <t>Melting_Curves/meltCurve_Q86YS6_RAB43.pdf</t>
  </si>
  <si>
    <t>Melting_Curves/meltCurve_Q86YS7_C2CD5.pdf</t>
  </si>
  <si>
    <t>Melting_Curves/meltCurve_Q86YT6_MIB1.pdf</t>
  </si>
  <si>
    <t>Melting_Curves/meltCurve_Q86YV0_RASAL3.pdf</t>
  </si>
  <si>
    <t>Melting_Curves/meltCurve_Q8IU81_IRF2BP1.pdf</t>
  </si>
  <si>
    <t>Melting_Curves/meltCurve_Q8IU85_2_CAMK1D.pdf</t>
  </si>
  <si>
    <t>Melting_Curves/meltCurve_Q8IUE6_HIST2H2AB.pdf</t>
  </si>
  <si>
    <t>Melting_Curves/meltCurve_Q8IUF8_MINA.pdf</t>
  </si>
  <si>
    <t>Melting_Curves/meltCurve_Q8IUH3_3_RBM45.pdf</t>
  </si>
  <si>
    <t>Melting_Curves/meltCurve_Q8IUH4_ZDHHC13.pdf</t>
  </si>
  <si>
    <t>Melting_Curves/meltCurve_Q8IUH5_ZDHHC17.pdf</t>
  </si>
  <si>
    <t>Melting_Curves/meltCurve_Q8IUI8_CRLF3.pdf</t>
  </si>
  <si>
    <t>Melting_Curves/meltCurve_Q8IUQ4_SIAH1.pdf</t>
  </si>
  <si>
    <t>Melting_Curves/meltCurve_Q8IUR0_TRAPPC5.pdf</t>
  </si>
  <si>
    <t>Melting_Curves/meltCurve_Q8IUW5_RELL1.pdf</t>
  </si>
  <si>
    <t>Melting_Curves/meltCurve_Q8IUX1_4_TMEM126B.pdf</t>
  </si>
  <si>
    <t>Melting_Curves/meltCurve_Q8IUX7_AEBP1.pdf</t>
  </si>
  <si>
    <t>Melting_Curves/meltCurve_Q8IUZ5_AGXT2L2.pdf</t>
  </si>
  <si>
    <t>Melting_Curves/meltCurve_Q8IV04_TBC1D10C.pdf</t>
  </si>
  <si>
    <t>Melting_Curves/meltCurve_Q8IV08_PLD3.pdf</t>
  </si>
  <si>
    <t>Melting_Curves/meltCurve_Q8IV36_2_HID1.pdf</t>
  </si>
  <si>
    <t>Melting_Curves/meltCurve_Q8IV38_ANKMY2.pdf</t>
  </si>
  <si>
    <t>Melting_Curves/meltCurve_Q8IV48_ERI1.pdf</t>
  </si>
  <si>
    <t>Melting_Curves/meltCurve_Q8IV50_LYSMD2.pdf</t>
  </si>
  <si>
    <t>Melting_Curves/meltCurve_Q8IV53_2_DENND1C.pdf</t>
  </si>
  <si>
    <t>Melting_Curves/meltCurve_Q8IV63_3_VRK3.pdf</t>
  </si>
  <si>
    <t>Melting_Curves/meltCurve_Q8IVB5_LIX1L.pdf</t>
  </si>
  <si>
    <t>Melting_Curves/meltCurve_Q8IVD9_NUDCD3.pdf</t>
  </si>
  <si>
    <t>Melting_Curves/meltCurve_Q8IVF2_3_AHNAK2.pdf</t>
  </si>
  <si>
    <t>Melting_Curves/meltCurve_Q8IVH4_MMAA.pdf</t>
  </si>
  <si>
    <t>Melting_Curves/meltCurve_Q8IVR6_PPM1D.pdf</t>
  </si>
  <si>
    <t>Melting_Curves/meltCurve_Q8IVS2_MCAT.pdf</t>
  </si>
  <si>
    <t>Melting_Curves/meltCurve_Q8IVV7_GID4.pdf</t>
  </si>
  <si>
    <t>Melting_Curves/meltCurve_Q8IW19_APLF.pdf</t>
  </si>
  <si>
    <t>Melting_Curves/meltCurve_Q8IW41_2_MAPKAPK5.pdf</t>
  </si>
  <si>
    <t>Melting_Curves/meltCurve_Q8IW45_CARKD.pdf</t>
  </si>
  <si>
    <t>Melting_Curves/meltCurve_Q8IWA0_WDR75.pdf</t>
  </si>
  <si>
    <t>Melting_Curves/meltCurve_Q8IWA4_MFN1.pdf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</si>
  <si>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</si>
  <si>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</si>
  <si>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</si>
  <si>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</si>
  <si>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Melting_Curves/meltCurve_Q8IWD4_CCDC117.pdf</t>
  </si>
  <si>
    <t>Melting_Curves/meltCurve_Q8IWE4_DCUN1D3.pdf</t>
  </si>
  <si>
    <t>Melting_Curves/meltCurve_Q8IWF6_DENND6A.pdf</t>
  </si>
  <si>
    <t>Melting_Curves/meltCurve_Q8IWJ2_GCC2.pdf</t>
  </si>
  <si>
    <t>Melting_Curves/meltCurve_Q8IWS0_PHF6.pdf</t>
  </si>
  <si>
    <t>Melting_Curves/meltCurve_Q8IWT6_LRRC8A.pdf</t>
  </si>
  <si>
    <t>Melting_Curves/meltCurve_Q8IWV7_UBR1.pdf</t>
  </si>
  <si>
    <t>Melting_Curves/meltCurve_Q8IWV8_UBR2.pdf</t>
  </si>
  <si>
    <t>Melting_Curves/meltCurve_Q8IWY9_CDAN1.pdf</t>
  </si>
  <si>
    <t>Melting_Curves/meltCurve_Q8IWZ3_6_ANKHD1.pdf</t>
  </si>
  <si>
    <t>Melting_Curves/meltCurve_Q8IWZ8_SUGP1.pdf</t>
  </si>
  <si>
    <t>Melting_Curves/meltCurve_Q8IX12_2_CCAR1.pdf</t>
  </si>
  <si>
    <t>Melting_Curves/meltCurve_Q8IX18_3_DHX40.pdf</t>
  </si>
  <si>
    <t>Melting_Curves/meltCurve_Q8IX90_SKA3.pdf</t>
  </si>
  <si>
    <t>Melting_Curves/meltCurve_Q8IXB1_DNAJC10.pdf</t>
  </si>
  <si>
    <t>Melting_Curves/meltCurve_Q8IXI1_RHOT2.pdf</t>
  </si>
  <si>
    <t>Melting_Curves/meltCurve_Q8IXI2_2_RHOT1.pdf</t>
  </si>
  <si>
    <t>Melting_Curves/meltCurve_Q8IXJ6_2_SIRT2.pdf</t>
  </si>
  <si>
    <t>Melting_Curves/meltCurve_Q8IXK2_GALNT12.pdf</t>
  </si>
  <si>
    <t>Melting_Curves/meltCurve_Q8IXM6_NRM.pdf</t>
  </si>
  <si>
    <t>Melting_Curves/meltCurve_Q8IXN7_RIMKLA.pdf</t>
  </si>
  <si>
    <t>Melting_Curves/meltCurve_Q8IXQ3_C9orf40.pdf</t>
  </si>
  <si>
    <t>Melting_Curves/meltCurve_Q8IXQ4_KIAA1704.pdf</t>
  </si>
  <si>
    <t>Melting_Curves/meltCurve_Q8IXQ5_2_KLHL7.pdf</t>
  </si>
  <si>
    <t>Melting_Curves/meltCurve_Q8IXT5_RBM12B.pdf</t>
  </si>
  <si>
    <t>Melting_Curves/meltCurve_Q8IY17_2_PNPLA6.pdf</t>
  </si>
  <si>
    <t>Melting_Curves/meltCurve_Q8IY18_SMC5.pdf</t>
  </si>
  <si>
    <t>Melting_Curves/meltCurve_Q8IY21_DDX60.pdf</t>
  </si>
  <si>
    <t>Melting_Curves/meltCurve_Q8IY22_CMIP.pdf</t>
  </si>
  <si>
    <t>Melting_Curves/meltCurve_Q8IY37_DHX37.pdf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</si>
  <si>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</si>
  <si>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</si>
  <si>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</si>
  <si>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</si>
  <si>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</si>
  <si>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</si>
  <si>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Melting_Curves/meltCurve_Q8IYH5_4_ZZZ3.pdf</t>
  </si>
  <si>
    <t>Melting_Curves/meltCurve_Q8IYI6_EXOC8.pdf</t>
  </si>
  <si>
    <t>Melting_Curves/meltCurve_Q8IYJ3_SYTL1.pdf</t>
  </si>
  <si>
    <t>Melting_Curves/meltCurve_Q8IYL3_C1orf174.pdf</t>
  </si>
  <si>
    <t>Melting_Curves/meltCurve_Q8IYN2_TCEAL8.pdf</t>
  </si>
  <si>
    <t>Melting_Curves/meltCurve_Q8IYQ7_THNSL1.pdf</t>
  </si>
  <si>
    <t>Melting_Curves/meltCurve_Q8IYS1_PM20D2.pdf</t>
  </si>
  <si>
    <t>Melting_Curves/meltCurve_Q8IYS2_KIAA2013.pdf</t>
  </si>
  <si>
    <t>Melting_Curves/meltCurve_Q8IYT2_FTSJD1.pdf</t>
  </si>
  <si>
    <t>Melting_Curves/meltCurve_Q8IYU8_MICU2.pdf</t>
  </si>
  <si>
    <t>Melting_Curves/meltCurve_Q8IYW5_RNF168.pdf</t>
  </si>
  <si>
    <t>Melting_Curves/meltCurve_Q8IZ07_ANKRD13A.pdf</t>
  </si>
  <si>
    <t>Melting_Curves/meltCurve_Q8IZ21_3_PHACTR4.pdf</t>
  </si>
  <si>
    <t>Melting_Curves/meltCurve_Q8IZ40_RCOR2.pdf</t>
  </si>
  <si>
    <t>Melting_Curves/meltCurve_Q8IZ68_MTX2.pdf</t>
  </si>
  <si>
    <t>Melting_Curves/meltCurve_Q8IZ73_RPUSD2.pdf</t>
  </si>
  <si>
    <t>Melting_Curves/meltCurve_Q8IZ81_ELMOD2.pdf</t>
  </si>
  <si>
    <t>Melting_Curves/meltCurve_Q8IZ83_ALDH16A1.pdf</t>
  </si>
  <si>
    <t>Melting_Curves/meltCurve_Q8IZD4_DCP1B.pdf</t>
  </si>
  <si>
    <t>Melting_Curves/meltCurve_Q8IZE3_2_SCYL3.pdf</t>
  </si>
  <si>
    <t>Melting_Curves/meltCurve_Q8IZH2_2_XRN1.pdf</t>
  </si>
  <si>
    <t>Melting_Curves/meltCurve_Q8IZM8_ZNF654.pdf</t>
  </si>
  <si>
    <t>Melting_Curves/meltCurve_Q8IZQ5_SELH.pdf</t>
  </si>
  <si>
    <t>Melting_Curves/meltCurve_Q8IZR5_3_CMTM4.pdf</t>
  </si>
  <si>
    <t>Melting_Curves/meltCurve_Q8N0T1_C8orf59.pdf</t>
  </si>
  <si>
    <t>Melting_Curves/meltCurve_Q8N0U4_FAM185A.pdf</t>
  </si>
  <si>
    <t>Melting_Curves/meltCurve_Q8N0U8_VKORC1L1.pdf</t>
  </si>
  <si>
    <t>Melting_Curves/meltCurve_Q8N0V3_RBFA.pdf</t>
  </si>
  <si>
    <t>Melting_Curves/meltCurve_Q8N0W3_FUK.pdf</t>
  </si>
  <si>
    <t>Melting_Curves/meltCurve_Q8N0X4_CLYBL.pdf</t>
  </si>
  <si>
    <t>Melting_Curves/meltCurve_Q8N0X7_SPG20.pdf</t>
  </si>
  <si>
    <t>Melting_Curves/meltCurve_Q8N0Z6_TTC5.pdf</t>
  </si>
  <si>
    <t>Melting_Curves/meltCurve_Q8N108_17_MIER1.pdf</t>
  </si>
  <si>
    <t>Melting_Curves/meltCurve_Q8N122_RPTOR.pdf</t>
  </si>
  <si>
    <t>Melting_Curves/meltCurve_Q8N129_CNPY4.pdf</t>
  </si>
  <si>
    <t>Melting_Curves/meltCurve_Q8N142_ADSSL1.pdf</t>
  </si>
  <si>
    <t>Melting_Curves/meltCurve_Q8N163_KIAA1967.pdf</t>
  </si>
  <si>
    <t>Melting_Curves/meltCurve_Q8N183_NDUFAF2.pdf</t>
  </si>
  <si>
    <t>Melting_Curves/meltCurve_Q8N1B4_VPS52.pdf</t>
  </si>
  <si>
    <t>Melting_Curves/meltCurve_Q8N1F7_NUP93.pdf</t>
  </si>
  <si>
    <t>Melting_Curves/meltCurve_Q8N1G1_REXO1.pdf</t>
  </si>
  <si>
    <t>Melting_Curves/meltCurve_Q8N1G2_FTSJD2.pdf</t>
  </si>
  <si>
    <t>Melting_Curves/meltCurve_Q8N1G4_LRRC47.pdf</t>
  </si>
  <si>
    <t>Melting_Curves/meltCurve_Q8N1K5_THEMIS.pdf</t>
  </si>
  <si>
    <t>Melting_Curves/meltCurve_Q8N1S5_2_SLC39A11.pdf</t>
  </si>
  <si>
    <t>Melting_Curves/meltCurve_Q8N201_INTS1.pdf</t>
  </si>
  <si>
    <t>Melting_Curves/meltCurve_Q8N257_HIST3H2BB.pdf</t>
  </si>
  <si>
    <t>Melting_Curves/meltCurve_Q8N2F6_3_ARMC10.pdf</t>
  </si>
  <si>
    <t>Melting_Curves/meltCurve_Q8N2G8_3_GHDC.pdf</t>
  </si>
  <si>
    <t>Melting_Curves/meltCurve_Q8N2K0_ABHD12.pdf</t>
  </si>
  <si>
    <t>Melting_Curves/meltCurve_Q8N2W9_PIAS4.pdf</t>
  </si>
  <si>
    <t>Melting_Curves/meltCurve_Q8N2Z9_APITD1.pdf</t>
  </si>
  <si>
    <t>Melting_Curves/meltCurve_Q8N300_CCDC23.pdf</t>
  </si>
  <si>
    <t>Melting_Curves/meltCurve_Q8N302_AGGF1.pdf</t>
  </si>
  <si>
    <t>Melting_Curves/meltCurve_Q8N335_GPD1L.pdf</t>
  </si>
  <si>
    <t>Melting_Curves/meltCurve_Q8N344_MIER2.pdf</t>
  </si>
  <si>
    <t>Melting_Curves/meltCurve_Q8N357_SLC35F6.pdf</t>
  </si>
  <si>
    <t>Melting_Curves/meltCurve_Q8N371_KDM8.pdf</t>
  </si>
  <si>
    <t>Melting_Curves/meltCurve_Q8N3C0_ASCC3.pdf</t>
  </si>
  <si>
    <t>Melting_Curves/meltCurve_Q8N3D4_EHBP1L1.pdf</t>
  </si>
  <si>
    <t>Melting_Curves/meltCurve_Q8N3F8_MICALL1.pdf</t>
  </si>
  <si>
    <t>Melting_Curves/meltCurve_Q8N3X1_FNBP4.pdf</t>
  </si>
  <si>
    <t>Melting_Curves/meltCurve_Q8N3Z3_GTPBP8.pdf</t>
  </si>
  <si>
    <t>Melting_Curves/meltCurve_Q8N442_GUF1.pdf</t>
  </si>
  <si>
    <t>Melting_Curves/meltCurve_Q8N465_D2HGDH.pdf</t>
  </si>
  <si>
    <t>Melting_Curves/meltCurve_Q8N488_RYBP.pdf</t>
  </si>
  <si>
    <t>Melting_Curves/meltCurve_Q8N490_PNKD.pdf</t>
  </si>
  <si>
    <t>Melting_Curves/meltCurve_Q8N490_2_PNKD.pdf</t>
  </si>
  <si>
    <t>Melting_Curves/meltCurve_Q8N4C8_5_MINK1.pdf</t>
  </si>
  <si>
    <t>Melting_Curves/meltCurve_Q8N4H5_TOMM5.pdf</t>
  </si>
  <si>
    <t>Melting_Curves/meltCurve_Q8N4P3_HDDC3.pdf</t>
  </si>
  <si>
    <t>Melting_Curves/meltCurve_Q8N4Q0_ZADH2.pdf</t>
  </si>
  <si>
    <t>Melting_Curves/meltCurve_Q8N4Q1_CHCHD4.pdf</t>
  </si>
  <si>
    <t>Melting_Curves/meltCurve_Q8N4S0_CCDC82.pdf</t>
  </si>
  <si>
    <t>Melting_Curves/meltCurve_Q8N4T8_CBR4.pdf</t>
  </si>
  <si>
    <t>Melting_Curves/meltCurve_Q8N4V1_MMGT1.pdf</t>
  </si>
  <si>
    <t>Melting_Curves/meltCurve_Q8N543_OGFOD1.pdf</t>
  </si>
  <si>
    <t>Melting_Curves/meltCurve_Q8N567_ZCCHC9.pdf</t>
  </si>
  <si>
    <t>Melting_Curves/meltCurve_Q8N573_2_OXR1.pdf</t>
  </si>
  <si>
    <t>Melting_Curves/meltCurve_Q8N584_2_TTC39C.pdf</t>
  </si>
  <si>
    <t>Melting_Curves/meltCurve_Q8N5A5_2_ZGPAT.pdf</t>
  </si>
  <si>
    <t>Melting_Curves/meltCurve_Q8N5C6_SRBD1.pdf</t>
  </si>
  <si>
    <t>Melting_Curves/meltCurve_Q8N5C7_DTWD1.pdf</t>
  </si>
  <si>
    <t>Melting_Curves/meltCurve_Q8N5F7_NKAP.pdf</t>
  </si>
  <si>
    <t>Melting_Curves/meltCurve_Q8N5G0_2_SMIM20.pdf</t>
  </si>
  <si>
    <t>Melting_Curves/meltCurve_Q8N5G2_TMEM57.pdf</t>
  </si>
  <si>
    <t>Melting_Curves/meltCurve_Q8N5I4_DHRSX.pdf</t>
  </si>
  <si>
    <t>Melting_Curves/meltCurve_Q8N5I9_C12orf45.pdf</t>
  </si>
  <si>
    <t>Melting_Curves/meltCurve_Q8N5K1_CISD2.pdf</t>
  </si>
  <si>
    <t>Melting_Curves/meltCurve_Q8N5L8_RPP25L.pdf</t>
  </si>
  <si>
    <t>Melting_Curves/meltCurve_Q8N5M1_ATPAF2.pdf</t>
  </si>
  <si>
    <t>Melting_Curves/meltCurve_Q8N5M9_JAGN1.pdf</t>
  </si>
  <si>
    <t>Melting_Curves/meltCurve_Q8N5N7_MRPL50.pdf</t>
  </si>
  <si>
    <t>Melting_Curves/meltCurve_Q8N5P1_ZC3H8.pdf</t>
  </si>
  <si>
    <t>Melting_Curves/meltCurve_Q8N5Y8_PARP16.pdf</t>
  </si>
  <si>
    <t>Melting_Curves/meltCurve_Q8N5Z5_2_KCTD17.pdf</t>
  </si>
  <si>
    <t>Melting_Curves/meltCurve_Q8N608_4_DPP10.pdf</t>
  </si>
  <si>
    <t>Melting_Curves/meltCurve_Q8N655_C10orf12.pdf</t>
  </si>
  <si>
    <t>Melting_Curves/meltCurve_Q8N668_COMMD1.pdf</t>
  </si>
  <si>
    <t>Melting_Curves/meltCurve_Q8N684_CPSF7.pdf</t>
  </si>
  <si>
    <t>Melting_Curves/meltCurve_Q8N697_SLC15A4.pdf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</si>
  <si>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</si>
  <si>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</si>
  <si>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</si>
  <si>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</si>
  <si>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Melting_Curves/meltCurve_Q8N6Q8_METTL25.pdf</t>
  </si>
  <si>
    <t>Melting_Curves/meltCurve_Q8N6S5_ARL6IP6.pdf</t>
  </si>
  <si>
    <t>Melting_Curves/meltCurve_Q8N6T3_ARFGAP1.pdf</t>
  </si>
  <si>
    <t>Melting_Curves/meltCurve_Q8N6T7_SIRT6.pdf</t>
  </si>
  <si>
    <t>Melting_Curves/meltCurve_Q8N766_3_EMC1.pdf</t>
  </si>
  <si>
    <t>Melting_Curves/meltCurve_Q8N806_UBR7.pdf</t>
  </si>
  <si>
    <t>Melting_Curves/meltCurve_Q8N8A6_DDX51.pdf</t>
  </si>
  <si>
    <t>Melting_Curves/meltCurve_Q8N8R3_SLC25A29.pdf</t>
  </si>
  <si>
    <t>Melting_Curves/meltCurve_Q8N8R5_C2orf69.pdf</t>
  </si>
  <si>
    <t>Melting_Curves/meltCurve_Q8N8S7_2_ENAH.pdf</t>
  </si>
  <si>
    <t>Melting_Curves/meltCurve_Q8N8Y2_ATP6V0D2.pdf</t>
  </si>
  <si>
    <t>Melting_Curves/meltCurve_Q8N8Z6_2_DCBLD1.pdf</t>
  </si>
  <si>
    <t>Melting_Curves/meltCurve_Q8N954_GPATCH11.pdf</t>
  </si>
  <si>
    <t>Melting_Curves/meltCurve_Q8N960_CEP120.pdf</t>
  </si>
  <si>
    <t>Melting_Curves/meltCurve_Q8N983_4_MRPL43.pdf</t>
  </si>
  <si>
    <t>Melting_Curves/meltCurve_Q8N999_C12orf29.pdf</t>
  </si>
  <si>
    <t>Melting_Curves/meltCurve_Q8N9A8_2_CNEP1R1.pdf</t>
  </si>
  <si>
    <t>Melting_Curves/meltCurve_Q8N9F7_GDPD1.pdf</t>
  </si>
  <si>
    <t>Melting_Curves/meltCurve_Q8N9M1_C19orf47.pdf</t>
  </si>
  <si>
    <t>Melting_Curves/meltCurve_Q8N9M5_TMEM102.pdf</t>
  </si>
  <si>
    <t>Melting_Curves/meltCurve_Q8N9N7_LRRC57.pdf</t>
  </si>
  <si>
    <t>Melting_Curves/meltCurve_Q8N9N8_EIF1AD.pdf</t>
  </si>
  <si>
    <t>Melting_Curves/meltCurve_Q8N9Q2_SREK1IP1.pdf</t>
  </si>
  <si>
    <t>Melting_Curves/meltCurve_Q8N9R8_SCAI.pdf</t>
  </si>
  <si>
    <t>Melting_Curves/meltCurve_Q8N9V3_2_WDSUB1.pdf</t>
  </si>
  <si>
    <t>Melting_Curves/meltCurve_Q8NAF0_ZNF579.pdf</t>
  </si>
  <si>
    <t>Melting_Curves/meltCurve_Q8NAT1_GTDC2.pdf</t>
  </si>
  <si>
    <t>Melting_Curves/meltCurve_Q8NAV1_PRPF38A.pdf</t>
  </si>
  <si>
    <t>Melting_Curves/meltCurve_Q8NB15_2_ZNF511.pdf</t>
  </si>
  <si>
    <t>Melting_Curves/meltCurve_Q8NB16_MLKL.pdf</t>
  </si>
  <si>
    <t>Melting_Curves/meltCurve_Q8NB37_PDDC1.pdf</t>
  </si>
  <si>
    <t>Melting_Curves/meltCurve_Q8NB42_2_ZNF527.pdf</t>
  </si>
  <si>
    <t>Melting_Curves/meltCurve_Q8NB46_ANKRD52.pdf</t>
  </si>
  <si>
    <t>Melting_Curves/meltCurve_Q8NB49_3_ATP11C.pdf</t>
  </si>
  <si>
    <t>Melting_Curves/meltCurve_Q8NB90_SPATA5.pdf</t>
  </si>
  <si>
    <t>Melting_Curves/meltCurve_Q8NBA8_DTWD2.pdf</t>
  </si>
  <si>
    <t>Melting_Curves/meltCurve_Q8NBF2_NHLRC2.pdf</t>
  </si>
  <si>
    <t>Melting_Curves/meltCurve_Q8NBF6_AVL9.pdf</t>
  </si>
  <si>
    <t>Melting_Curves/meltCurve_Q8NBI6_XXYLT1.pdf</t>
  </si>
  <si>
    <t>Melting_Curves/meltCurve_Q8NBJ4_2_GOLM1.pdf</t>
  </si>
  <si>
    <t>Melting_Curves/meltCurve_Q8NBJ5_COLGALT1.pdf</t>
  </si>
  <si>
    <t>Melting_Curves/meltCurve_Q8NBK3_4_SUMF1.pdf</t>
  </si>
  <si>
    <t>Melting_Curves/meltCurve_Q8NBL1_POGLUT1.pdf</t>
  </si>
  <si>
    <t>Melting_Curves/meltCurve_Q8NBM4_4_UBAC2.pdf</t>
  </si>
  <si>
    <t>Melting_Curves/meltCurve_Q8NBM8_PCYOX1L.pdf</t>
  </si>
  <si>
    <t>Melting_Curves/meltCurve_Q8NBN3_TMEM87A.pdf</t>
  </si>
  <si>
    <t>Melting_Curves/meltCurve_Q8NBP0_TTC13.pdf</t>
  </si>
  <si>
    <t>Melting_Curves/meltCurve_Q8NBU5_ATAD1.pdf</t>
  </si>
  <si>
    <t>Melting_Curves/meltCurve_Q8NBX0_SCCPDH.pdf</t>
  </si>
  <si>
    <t>Melting_Curves/meltCurve_Q8NBZ0_INO80E.pdf</t>
  </si>
  <si>
    <t>Melting_Curves/meltCurve_Q8NBZ7_UXS1.pdf</t>
  </si>
  <si>
    <t>Melting_Curves/meltCurve_Q8NC51_SERBP1.pdf</t>
  </si>
  <si>
    <t>Melting_Curves/meltCurve_Q8NC51_2_SERBP1.pdf</t>
  </si>
  <si>
    <t>Melting_Curves/meltCurve_Q8NC54_KCT2.pdf</t>
  </si>
  <si>
    <t>Melting_Curves/meltCurve_Q8NC56_LEMD2.pdf</t>
  </si>
  <si>
    <t>Melting_Curves/meltCurve_Q8NC60_NOA1.pdf</t>
  </si>
  <si>
    <t>Melting_Curves/meltCurve_Q8NC96_NECAP1.pdf</t>
  </si>
  <si>
    <t>Melting_Curves/meltCurve_Q8NCA5_2_FAM98A.pdf</t>
  </si>
  <si>
    <t>Melting_Curves/meltCurve_Q8NCC3_PLA2G15.pdf</t>
  </si>
  <si>
    <t>Melting_Curves/meltCurve_Q8NCE0_2_TSEN2.pdf</t>
  </si>
  <si>
    <t>Melting_Curves/meltCurve_Q8NCE2_2_MTMR14.pdf</t>
  </si>
  <si>
    <t>Melting_Curves/meltCurve_Q8NCF5_NFATC2IP.pdf</t>
  </si>
  <si>
    <t>Melting_Curves/meltCurve_Q8NCG7_4_DAGLB.pdf</t>
  </si>
  <si>
    <t>Melting_Curves/meltCurve_Q8NCN4_RNF169.pdf</t>
  </si>
  <si>
    <t>Melting_Curves/meltCurve_Q8NCN5_PDPR.pdf</t>
  </si>
  <si>
    <t>Melting_Curves/meltCurve_Q8NCR0_B3GALNT2.pdf</t>
  </si>
  <si>
    <t>Melting_Curves/meltCurve_Q8NCW5_APOA1BP.pdf</t>
  </si>
  <si>
    <t>Melting_Curves/meltCurve_Q8ND04_SMG8.pdf</t>
  </si>
  <si>
    <t>Melting_Curves/meltCurve_Q8ND24_RNF214.pdf</t>
  </si>
  <si>
    <t>Melting_Curves/meltCurve_Q8ND25_ZNRF1.pdf</t>
  </si>
  <si>
    <t>Melting_Curves/meltCurve_Q8ND56_2_LSM14A.pdf</t>
  </si>
  <si>
    <t>Melting_Curves/meltCurve_Q8ND76_3_CCNY.pdf</t>
  </si>
  <si>
    <t>Melting_Curves/meltCurve_Q8ND83_SLAIN1.pdf</t>
  </si>
  <si>
    <t>Melting_Curves/meltCurve_Q8NDC0_MAPK1IP1L.pdf</t>
  </si>
  <si>
    <t>Melting_Curves/meltCurve_Q8NDD1_2_C1orf131.pdf</t>
  </si>
  <si>
    <t>Melting_Curves/meltCurve_Q8NDD1_3_C1orf131.pdf</t>
  </si>
  <si>
    <t>Melting_Curves/meltCurve_Q8NDI1_3_EHBP1.pdf</t>
  </si>
  <si>
    <t>Melting_Curves/meltCurve_Q8NDT2_RBM15B.pdf</t>
  </si>
  <si>
    <t>Melting_Curves/meltCurve_Q8NDV3_2_SMC1B.pdf</t>
  </si>
  <si>
    <t>Melting_Curves/meltCurve_Q8NDZ4_C3orf58.pdf</t>
  </si>
  <si>
    <t>Melting_Curves/meltCurve_Q8NE00_TMEM104.pdf</t>
  </si>
  <si>
    <t>Melting_Curves/meltCurve_Q8NE01_CNNM3.pdf</t>
  </si>
  <si>
    <t>Melting_Curves/meltCurve_Q8NE71_ABCF1.pdf</t>
  </si>
  <si>
    <t>Melting_Curves/meltCurve_Q8NE86_3_MCU.pdf</t>
  </si>
  <si>
    <t>Melting_Curves/meltCurve_Q8NEB9_PIK3C3.pdf</t>
  </si>
  <si>
    <t>Melting_Curves/meltCurve_Q8NEC7_GSTCD.pdf</t>
  </si>
  <si>
    <t>Melting_Curves/meltCurve_Q8NEF9_SRFBP1.pdf</t>
  </si>
  <si>
    <t>Melting_Curves/meltCurve_Q8NEL9_2_DDHD1.pdf</t>
  </si>
  <si>
    <t>Melting_Curves/meltCurve_Q8NEM2_SHCBP1.pdf</t>
  </si>
  <si>
    <t>Melting_Curves/meltCurve_Q8NEN9_PDZD8.pdf</t>
  </si>
  <si>
    <t>Melting_Curves/meltCurve_Q8NEZ2_2_VPS37A.pdf</t>
  </si>
  <si>
    <t>Melting_Curves/meltCurve_Q8NEZ5_FBXO22.pdf</t>
  </si>
  <si>
    <t>Melting_Curves/meltCurve_Q8NF37_LPCAT1.pdf</t>
  </si>
  <si>
    <t>Melting_Curves/meltCurve_Q8NFC6_BOD1L1.pdf</t>
  </si>
  <si>
    <t>Melting_Curves/meltCurve_Q8NFF5_2_FLAD1.pdf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</si>
  <si>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</si>
  <si>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</si>
  <si>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</si>
  <si>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</si>
  <si>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Melting_Curves/meltCurve_Q8NFU3_TSTD1.pdf</t>
  </si>
  <si>
    <t>Melting_Curves/meltCurve_Q8NFU5_IPMK.pdf</t>
  </si>
  <si>
    <t>Melting_Curves/meltCurve_Q8NFV4_4_ABHD11.pdf</t>
  </si>
  <si>
    <t>Melting_Curves/meltCurve_Q8NFW8_CMAS.pdf</t>
  </si>
  <si>
    <t>Melting_Curves/meltCurve_Q8NFY9_KBTBD8.pdf</t>
  </si>
  <si>
    <t>Melting_Curves/meltCurve_Q8NFZ8_CADM4.pdf</t>
  </si>
  <si>
    <t>Melting_Curves/meltCurve_Q8NG11_2_TSPAN14.pdf</t>
  </si>
  <si>
    <t>Melting_Curves/meltCurve_Q8NG68_TTL.pdf</t>
  </si>
  <si>
    <t>Melting_Curves/meltCurve_Q8NHG7_SVIP.pdf</t>
  </si>
  <si>
    <t>Melting_Curves/meltCurve_Q8NHG8_ZNRF2.pdf</t>
  </si>
  <si>
    <t>Melting_Curves/meltCurve_Q8NHP6_MOSPD2.pdf</t>
  </si>
  <si>
    <t>Melting_Curves/meltCurve_Q8NHP8_PLBD2.pdf</t>
  </si>
  <si>
    <t>Melting_Curves/meltCurve_Q8NHQ9_DDX55.pdf</t>
  </si>
  <si>
    <t>Melting_Curves/meltCurve_Q8NHU6_TDRD7.pdf</t>
  </si>
  <si>
    <t>Melting_Curves/meltCurve_Q8NHV1_GIMAP7.pdf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</si>
  <si>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</si>
  <si>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</si>
  <si>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</si>
  <si>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</si>
  <si>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Melting_Curves/meltCurve_Q8NI27_THOC2.pdf</t>
  </si>
  <si>
    <t>Melting_Curves/meltCurve_Q8NI36_WDR36.pdf</t>
  </si>
  <si>
    <t>Melting_Curves/meltCurve_Q8NI37_PPTC7.pdf</t>
  </si>
  <si>
    <t>Melting_Curves/meltCurve_Q8TA86_RP9.pdf</t>
  </si>
  <si>
    <t>Melting_Curves/meltCurve_Q8TAA3_5_PSMA8.pdf</t>
  </si>
  <si>
    <t>Melting_Curves/meltCurve_Q8TAA5_GRPEL2.pdf</t>
  </si>
  <si>
    <t>Melting_Curves/meltCurve_Q8TAA9_2_VANGL1.pdf</t>
  </si>
  <si>
    <t>Melting_Curves/meltCurve_Q8TAC1_RFESD.pdf</t>
  </si>
  <si>
    <t>Melting_Curves/meltCurve_Q8TAD8_SNIP1.pdf</t>
  </si>
  <si>
    <t>Melting_Curves/meltCurve_Q8TAE8_GADD45GIP1.pdf</t>
  </si>
  <si>
    <t>Melting_Curves/meltCurve_Q8TAF3_WDR48.pdf</t>
  </si>
  <si>
    <t>Melting_Curves/meltCurve_Q8TAP6_CEP76.pdf</t>
  </si>
  <si>
    <t>Melting_Curves/meltCurve_Q8TAP8_PPP1R35.pdf</t>
  </si>
  <si>
    <t>Melting_Curves/meltCurve_Q8TAP9_MPLKIP.pdf</t>
  </si>
  <si>
    <t>Melting_Curves/meltCurve_Q8TAQ2_SMARCC2.pdf</t>
  </si>
  <si>
    <t>Melting_Curves/meltCurve_Q8TAT6_NPLOC4.pdf</t>
  </si>
  <si>
    <t>Melting_Curves/meltCurve_Q8TAV0_FAM76A.pdf</t>
  </si>
  <si>
    <t>Melting_Curves/meltCurve_Q8TAY7_FAM110D.pdf</t>
  </si>
  <si>
    <t>Melting_Curves/meltCurve_Q8TB03_CXorf38.pdf</t>
  </si>
  <si>
    <t>Melting_Curves/meltCurve_Q8TB22_3_SPATA20.pdf</t>
  </si>
  <si>
    <t>Melting_Curves/meltCurve_Q8TB36_GDAP1.pdf</t>
  </si>
  <si>
    <t>Melting_Curves/meltCurve_Q8TB37_NUBPL.pdf</t>
  </si>
  <si>
    <t>Melting_Curves/meltCurve_Q8TB52_FBXO30.pdf</t>
  </si>
  <si>
    <t>Melting_Curves/meltCurve_Q8TB61_3_SLC35B2.pdf</t>
  </si>
  <si>
    <t>Melting_Curves/meltCurve_Q8TB72_3_PUM2.pdf</t>
  </si>
  <si>
    <t>Melting_Curves/meltCurve_Q8TB96_ITFG1.pdf</t>
  </si>
  <si>
    <t>Melting_Curves/meltCurve_Q8TBA6_2_GOLGA5.pdf</t>
  </si>
  <si>
    <t>Melting_Curves/meltCurve_Q8TBB5_3_KLHDC4.pdf</t>
  </si>
  <si>
    <t>Melting_Curves/meltCurve_Q8TBC4_UBA3.pdf</t>
  </si>
  <si>
    <t>Melting_Curves/meltCurve_Q8TBE9_NANP.pdf</t>
  </si>
  <si>
    <t>Melting_Curves/meltCurve_Q8TBF4_ZCRB1.pdf</t>
  </si>
  <si>
    <t>Melting_Curves/meltCurve_Q8TBM8_DNAJB14.pdf</t>
  </si>
  <si>
    <t>Melting_Curves/meltCurve_Q8TBN0_RAB3IL1.pdf</t>
  </si>
  <si>
    <t>Melting_Curves/meltCurve_Q8TBP6_SLC25A40.pdf</t>
  </si>
  <si>
    <t>Melting_Curves/meltCurve_Q8TBQ9_TMEM167A.pdf</t>
  </si>
  <si>
    <t>Melting_Curves/meltCurve_Q8TBX8_PIP4K2C.pdf</t>
  </si>
  <si>
    <t>Melting_Curves/meltCurve_Q8TBZ3_WDR20.pdf</t>
  </si>
  <si>
    <t>Melting_Curves/meltCurve_Q8TBZ6_TRMT10A.pdf</t>
  </si>
  <si>
    <t>Melting_Curves/meltCurve_Q8TC07_2_TBC1D15.pdf</t>
  </si>
  <si>
    <t>Melting_Curves/meltCurve_Q8TC12_RDH11.pdf</t>
  </si>
  <si>
    <t>Melting_Curves/meltCurve_Q8TC24_SEC61A2.pdf</t>
  </si>
  <si>
    <t>Melting_Curves/meltCurve_Q8TCA0_LRRC20.pdf</t>
  </si>
  <si>
    <t>Melting_Curves/meltCurve_Q8TCD1_C18orf32.pdf</t>
  </si>
  <si>
    <t>Melting_Curves/meltCurve_Q8TCD5_NT5C.pdf</t>
  </si>
  <si>
    <t>Melting_Curves/meltCurve_Q8TCE6_2_FAM45A.pdf</t>
  </si>
  <si>
    <t>Melting_Curves/meltCurve_Q8TCG1_KIAA1524.pdf</t>
  </si>
  <si>
    <t>Melting_Curves/meltCurve_Q8TCG2_PI4K2B.pdf</t>
  </si>
  <si>
    <t>Melting_Curves/meltCurve_Q8TCJ2_STT3B.pdf</t>
  </si>
  <si>
    <t>Melting_Curves/meltCurve_Q8TCS8_PNPT1.pdf</t>
  </si>
  <si>
    <t>Melting_Curves/meltCurve_Q8TCT6_3_SPPL3.pdf</t>
  </si>
  <si>
    <t>Melting_Curves/meltCurve_Q8TCT8_SPPL2A.pdf</t>
  </si>
  <si>
    <t>Melting_Curves/meltCurve_Q8TCT9_5_HM13.pdf</t>
  </si>
  <si>
    <t>Melting_Curves/meltCurve_Q8TCY9_URGCP.pdf</t>
  </si>
  <si>
    <t>Melting_Curves/meltCurve_Q8TCZ2_6_CD99L2.pdf</t>
  </si>
  <si>
    <t>Melting_Curves/meltCurve_Q8TD08_2_MAPK15.pdf</t>
  </si>
  <si>
    <t>Melting_Curves/meltCurve_Q8TD16_2_BICD2.pdf</t>
  </si>
  <si>
    <t>Melting_Curves/meltCurve_Q8TD19_NEK9.pdf</t>
  </si>
  <si>
    <t>Melting_Curves/meltCurve_Q8TD30_GPT2.pdf</t>
  </si>
  <si>
    <t>Melting_Curves/meltCurve_Q8TD55_2_PLEKHO2.pdf</t>
  </si>
  <si>
    <t>Melting_Curves/meltCurve_Q8TDB6_DTX3L.pdf</t>
  </si>
  <si>
    <t>Melting_Curves/meltCurve_Q8TDC3_BRSK1.pdf</t>
  </si>
  <si>
    <t>Melting_Curves/meltCurve_Q8TDD1_DDX54.pdf</t>
  </si>
  <si>
    <t>Melting_Curves/meltCurve_Q8TDH9_BLOC1S5.pdf</t>
  </si>
  <si>
    <t>Melting_Curves/meltCurve_Q8TDI0_CHD5.pdf</t>
  </si>
  <si>
    <t>Melting_Curves/meltCurve_Q8TDJ6_DMXL2.pdf</t>
  </si>
  <si>
    <t>Melting_Curves/meltCurve_Q8TDQ7_GNPDA2.pdf</t>
  </si>
  <si>
    <t>Melting_Curves/meltCurve_Q8TDW0_LRRC8C.pdf</t>
  </si>
  <si>
    <t>Melting_Curves/meltCurve_Q8TDX7_NEK7.pdf</t>
  </si>
  <si>
    <t>Melting_Curves/meltCurve_Q8TDY2_2_RB1CC1.pdf</t>
  </si>
  <si>
    <t>Melting_Curves/meltCurve_Q8TDZ2_MICAL1.pdf</t>
  </si>
  <si>
    <t>Melting_Curves/meltCurve_Q8TE04_2_PANK1.pdf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</si>
  <si>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</si>
  <si>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</si>
  <si>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</si>
  <si>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</si>
  <si>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Melting_Curves/meltCurve_Q8TED0_UTP15.pdf</t>
  </si>
  <si>
    <t>Melting_Curves/meltCurve_Q8TEH3_DENND1A.pdf</t>
  </si>
  <si>
    <t>Melting_Curves/meltCurve_Q8TEM1_NUP210.pdf</t>
  </si>
  <si>
    <t>Melting_Curves/meltCurve_Q8TEQ0_2_SNX29.pdf</t>
  </si>
  <si>
    <t>Melting_Curves/meltCurve_Q8TEQ6_GEMIN5.pdf</t>
  </si>
  <si>
    <t>Melting_Curves/meltCurve_Q8TEQ8_PIGO.pdf</t>
  </si>
  <si>
    <t>Melting_Curves/meltCurve_Q8TEW0_7_PARD3.pdf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</si>
  <si>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</si>
  <si>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</si>
  <si>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</si>
  <si>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</si>
  <si>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Melting_Curves/meltCurve_Q8TF44_C2CD4C.pdf</t>
  </si>
  <si>
    <t>Melting_Curves/meltCurve_Q8TF71_SLC16A10.pdf</t>
  </si>
  <si>
    <t>Melting_Curves/meltCurve_Q8TF74_WIPF2.pdf</t>
  </si>
  <si>
    <t>Melting_Curves/meltCurve_Q8WTS1_ABHD5.pdf</t>
  </si>
  <si>
    <t>Melting_Curves/meltCurve_Q8WTS6_SETD7.pdf</t>
  </si>
  <si>
    <t>Melting_Curves/meltCurve_Q8WTW3_COG1.pdf</t>
  </si>
  <si>
    <t>Melting_Curves/meltCurve_Q8WU10_PYROXD1.pdf</t>
  </si>
  <si>
    <t>Melting_Curves/meltCurve_Q8WU39_MZB1.pdf</t>
  </si>
  <si>
    <t>Melting_Curves/meltCurve_Q8WU76_2_SCFD2.pdf</t>
  </si>
  <si>
    <t>Melting_Curves/meltCurve_Q8WU79_SMAP2.pdf</t>
  </si>
  <si>
    <t>Melting_Curves/meltCurve_Q8WU90_ZC3H15.pdf</t>
  </si>
  <si>
    <t>Melting_Curves/meltCurve_Q8WUA2_PPIL4.pdf</t>
  </si>
  <si>
    <t>Melting_Curves/meltCurve_Q8WUA8_TSKU.pdf</t>
  </si>
  <si>
    <t>Melting_Curves/meltCurve_Q8WUB8_3_PHF10.pdf</t>
  </si>
  <si>
    <t>Melting_Curves/meltCurve_Q8WUD1_RAB2B.pdf</t>
  </si>
  <si>
    <t>Melting_Curves/meltCurve_Q8WUF5_PPP1R13L.pdf</t>
  </si>
  <si>
    <t>Melting_Curves/meltCurve_Q8WUF8_3_FAM172A.pdf</t>
  </si>
  <si>
    <t>Melting_Curves/meltCurve_Q8WUH1_CHURC1.pdf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</si>
  <si>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</si>
  <si>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</si>
  <si>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</si>
  <si>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</si>
  <si>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Melting_Curves/meltCurve_Q8WUM0_NUP133.pdf</t>
  </si>
  <si>
    <t>Melting_Curves/meltCurve_Q8WUM4_PDCD6IP.pdf</t>
  </si>
  <si>
    <t>Melting_Curves/meltCurve_Q8WUM9_SLC20A1.pdf</t>
  </si>
  <si>
    <t>Melting_Curves/meltCurve_Q8WUN7_UBTD2.pdf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</si>
  <si>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</si>
  <si>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</si>
  <si>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</si>
  <si>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</si>
  <si>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Melting_Curves/meltCurve_Q8WUY8_NAT14.pdf</t>
  </si>
  <si>
    <t>Melting_Curves/meltCurve_Q8WV22_NSMCE1.pdf</t>
  </si>
  <si>
    <t>Melting_Curves/meltCurve_Q8WV24_PHLDA1.pdf</t>
  </si>
  <si>
    <t>Melting_Curves/meltCurve_Q8WV74_NUDT8.pdf</t>
  </si>
  <si>
    <t>Melting_Curves/meltCurve_Q8WV92_MITD1.pdf</t>
  </si>
  <si>
    <t>Melting_Curves/meltCurve_Q8WVB6_CHTF18.pdf</t>
  </si>
  <si>
    <t>Melting_Curves/meltCurve_Q8WVC0_LEO1.pdf</t>
  </si>
  <si>
    <t>Melting_Curves/meltCurve_Q8WVD3_RNF138.pdf</t>
  </si>
  <si>
    <t>Melting_Curves/meltCurve_Q8WVD5_RNF141.pdf</t>
  </si>
  <si>
    <t>Melting_Curves/meltCurve_Q8WVE0_N6AMT2.pdf</t>
  </si>
  <si>
    <t>Melting_Curves/meltCurve_Q8WVJ2_NUDCD2.pdf</t>
  </si>
  <si>
    <t>Melting_Curves/meltCurve_Q8WVK2_SNRNP27.pdf</t>
  </si>
  <si>
    <t>Melting_Curves/meltCurve_Q8WVK7_SKA2.pdf</t>
  </si>
  <si>
    <t>Melting_Curves/meltCurve_Q8WVL7_ANKRD49.pdf</t>
  </si>
  <si>
    <t>Melting_Curves/meltCurve_Q8WVM0_TFB1M.pdf</t>
  </si>
  <si>
    <t>Melting_Curves/meltCurve_Q8WVM8_SCFD1.pdf</t>
  </si>
  <si>
    <t>Melting_Curves/meltCurve_Q8WVQ1_CANT1.pdf</t>
  </si>
  <si>
    <t>Melting_Curves/meltCurve_Q8WVT3_TRAPPC12.pdf</t>
  </si>
  <si>
    <t>Melting_Curves/meltCurve_Q8WVX9_FAR1.pdf</t>
  </si>
  <si>
    <t>Melting_Curves/meltCurve_Q8WVY7_UBLCP1.pdf</t>
  </si>
  <si>
    <t>Melting_Curves/meltCurve_Q8WVZ9_KBTBD7.pdf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</si>
  <si>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</si>
  <si>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</si>
  <si>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</si>
  <si>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</si>
  <si>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Melting_Curves/meltCurve_Q8WWC4_C2orf47.pdf</t>
  </si>
  <si>
    <t>Melting_Curves/meltCurve_Q8WWH5_TRUB1.pdf</t>
  </si>
  <si>
    <t>Melting_Curves/meltCurve_Q8WWI5_SLC44A1.pdf</t>
  </si>
  <si>
    <t>Melting_Curves/meltCurve_Q8WWK9_5_CKAP2.pdf</t>
  </si>
  <si>
    <t>Melting_Curves/meltCurve_Q8WWL7_CCNB3.pdf</t>
  </si>
  <si>
    <t>Melting_Curves/meltCurve_Q8WWM7_ATXN2L.pdf</t>
  </si>
  <si>
    <t>Melting_Curves/meltCurve_Q8WWP7_GIMAP1.pdf</t>
  </si>
  <si>
    <t>Melting_Curves/meltCurve_Q8WWV3_RTN4IP1.pdf</t>
  </si>
  <si>
    <t>Melting_Curves/meltCurve_Q8WWW0_2_RASSF5.pdf</t>
  </si>
  <si>
    <t>Melting_Curves/meltCurve_Q8WWX9_SELM.pdf</t>
  </si>
  <si>
    <t>Melting_Curves/meltCurve_Q8WWY3_PRPF31.pdf</t>
  </si>
  <si>
    <t>Melting_Curves/meltCurve_Q8WX92_NELFB.pdf</t>
  </si>
  <si>
    <t>Melting_Curves/meltCurve_Q8WX93_3_PALLD.pdf</t>
  </si>
  <si>
    <t>Melting_Curves/meltCurve_Q8WXA9_2_SREK1.pdf</t>
  </si>
  <si>
    <t>Melting_Curves/meltCurve_Q8WXD5_GEMIN6.pdf</t>
  </si>
  <si>
    <t>Melting_Curves/meltCurve_Q8WXE0_CASKIN2.pdf</t>
  </si>
  <si>
    <t>Melting_Curves/meltCurve_Q8WXE1_5_ATRIP.pdf</t>
  </si>
  <si>
    <t>Melting_Curves/meltCurve_Q8WXF1_PSPC1.pdf</t>
  </si>
  <si>
    <t>Melting_Curves/meltCurve_Q8WXG6_7_MADD.pdf</t>
  </si>
  <si>
    <t>Melting_Curves/meltCurve_Q8WXH0_SYNE2.pdf</t>
  </si>
  <si>
    <t>Melting_Curves/meltCurve_Q8WXI9_GATAD2B.pdf</t>
  </si>
  <si>
    <t>Melting_Curves/meltCurve_Q8WXX0_DNAH7.pdf</t>
  </si>
  <si>
    <t>Melting_Curves/meltCurve_Q8WXX5_DNAJC9.pdf</t>
  </si>
  <si>
    <t>Melting_Curves/meltCurve_Q8WY22_BRI3BP.pdf</t>
  </si>
  <si>
    <t>Melting_Curves/meltCurve_Q8WY54_2_PPM1E.pdf</t>
  </si>
  <si>
    <t>Melting_Curves/meltCurve_Q8WYA6_CTNNBL1.pdf</t>
  </si>
  <si>
    <t>Melting_Curves/meltCurve_Q8WYH8_ING5.pdf</t>
  </si>
  <si>
    <t>Melting_Curves/meltCurve_Q8WYN0_3_ATG4A.pdf</t>
  </si>
  <si>
    <t>Melting_Curves/meltCurve_Q8WYP5_AHCTF1.pdf</t>
  </si>
  <si>
    <t>Melting_Curves/meltCurve_Q8WYQ5_3_DGCR8.pdf</t>
  </si>
  <si>
    <t>Melting_Curves/meltCurve_Q8WYQ7_LGALS9.pdf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</si>
  <si>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</si>
  <si>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</si>
  <si>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</si>
  <si>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</si>
  <si>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Melting_Curves/meltCurve_Q92482_2_AQP3.pdf</t>
  </si>
  <si>
    <t>Melting_Curves/meltCurve_Q92499_DDX1.pdf</t>
  </si>
  <si>
    <t>Melting_Curves/meltCurve_Q92503_3_SEC14L1.pdf</t>
  </si>
  <si>
    <t>Melting_Curves/meltCurve_Q92504_SLC39A7.pdf</t>
  </si>
  <si>
    <t>Melting_Curves/meltCurve_Q92506_HSD17B8.pdf</t>
  </si>
  <si>
    <t>Melting_Curves/meltCurve_Q92508_PIEZO1.pdf</t>
  </si>
  <si>
    <t>Melting_Curves/meltCurve_Q92520_FAM3C.pdf</t>
  </si>
  <si>
    <t>Melting_Curves/meltCurve_Q92522_H1FX.pdf</t>
  </si>
  <si>
    <t>Melting_Curves/meltCurve_Q92526_CCT6B.pdf</t>
  </si>
  <si>
    <t>Melting_Curves/meltCurve_Q92536_SLC7A6.pdf</t>
  </si>
  <si>
    <t>Melting_Curves/meltCurve_Q92537_KIAA0247.pdf</t>
  </si>
  <si>
    <t>Melting_Curves/meltCurve_Q92538_GBF1.pdf</t>
  </si>
  <si>
    <t>Melting_Curves/meltCurve_Q92541_RTF1.pdf</t>
  </si>
  <si>
    <t>Melting_Curves/meltCurve_Q92544_TM9SF4.pdf</t>
  </si>
  <si>
    <t>Melting_Curves/meltCurve_Q92546_RGP1.pdf</t>
  </si>
  <si>
    <t>Melting_Curves/meltCurve_Q92547_TOPBP1.pdf</t>
  </si>
  <si>
    <t>Melting_Curves/meltCurve_Q92551_IP6K1.pdf</t>
  </si>
  <si>
    <t>Melting_Curves/meltCurve_Q92552_MRPS27.pdf</t>
  </si>
  <si>
    <t>Melting_Curves/meltCurve_Q92556_ELMO1.pdf</t>
  </si>
  <si>
    <t>Melting_Curves/meltCurve_Q92558_WASF1.pdf</t>
  </si>
  <si>
    <t>Melting_Curves/meltCurve_Q92567_2_FAM168A.pdf</t>
  </si>
  <si>
    <t>Melting_Curves/meltCurve_Q92572_AP3S1.pdf</t>
  </si>
  <si>
    <t>Melting_Curves/meltCurve_Q92575_UBXN4.pdf</t>
  </si>
  <si>
    <t>Melting_Curves/meltCurve_Q92576_2_PHF3.pdf</t>
  </si>
  <si>
    <t>Melting_Curves/meltCurve_Q92581_2_SLC9A6.pdf</t>
  </si>
  <si>
    <t>Melting_Curves/meltCurve_Q92585_MAML1.pdf</t>
  </si>
  <si>
    <t>Melting_Curves/meltCurve_Q92597_NDRG1.pdf</t>
  </si>
  <si>
    <t>Melting_Curves/meltCurve_Q92598_2_HSPH1.pdf</t>
  </si>
  <si>
    <t>Melting_Curves/meltCurve_Q92600_RQCD1.pdf</t>
  </si>
  <si>
    <t>Melting_Curves/meltCurve_Q92608_DOCK2.pdf</t>
  </si>
  <si>
    <t>Melting_Curves/meltCurve_Q92609_TBC1D5.pdf</t>
  </si>
  <si>
    <t>Melting_Curves/meltCurve_Q92611_EDEM1.pdf</t>
  </si>
  <si>
    <t>Melting_Curves/meltCurve_Q92613_PHF16.pdf</t>
  </si>
  <si>
    <t>Melting_Curves/meltCurve_Q92614_2_MYO18A.pdf</t>
  </si>
  <si>
    <t>Melting_Curves/meltCurve_Q92615_LARP4B.pdf</t>
  </si>
  <si>
    <t>Melting_Curves/meltCurve_Q92616_GCN1L1.pdf</t>
  </si>
  <si>
    <t>Melting_Curves/meltCurve_Q92619_HMHA1.pdf</t>
  </si>
  <si>
    <t>Melting_Curves/meltCurve_Q92620_DHX38.pdf</t>
  </si>
  <si>
    <t>Melting_Curves/meltCurve_Q92621_NUP205.pdf</t>
  </si>
  <si>
    <t>Melting_Curves/meltCurve_Q92623_TTC9.pdf</t>
  </si>
  <si>
    <t>Melting_Curves/meltCurve_Q92626_PXDN.pdf</t>
  </si>
  <si>
    <t>Melting_Curves/meltCurve_Q92636_NSMAF.pdf</t>
  </si>
  <si>
    <t>Melting_Curves/meltCurve_Q92665_MRPS31.pdf</t>
  </si>
  <si>
    <t>Melting_Curves/meltCurve_Q92667_AKAP1.pdf</t>
  </si>
  <si>
    <t>Melting_Curves/meltCurve_Q92673_SORL1.pdf</t>
  </si>
  <si>
    <t>Melting_Curves/meltCurve_Q92686_NRGN.pdf</t>
  </si>
  <si>
    <t>Melting_Curves/meltCurve_Q92688_2_ANP32B.pdf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</si>
  <si>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</si>
  <si>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</si>
  <si>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</si>
  <si>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</si>
  <si>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</si>
  <si>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</si>
  <si>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Melting_Curves/meltCurve_Q92759_GTF2H4.pdf</t>
  </si>
  <si>
    <t>Melting_Curves/meltCurve_Q92766_RREB1.pdf</t>
  </si>
  <si>
    <t>Melting_Curves/meltCurve_Q92771_DDX12P.pdf</t>
  </si>
  <si>
    <t>Melting_Curves/meltCurve_Q92783_2_STAM.pdf</t>
  </si>
  <si>
    <t>Melting_Curves/meltCurve_Q92784_DPF3.pdf</t>
  </si>
  <si>
    <t>Melting_Curves/meltCurve_Q92785_DPF2.pdf</t>
  </si>
  <si>
    <t>Melting_Curves/meltCurve_Q92793_CREBBP.pdf</t>
  </si>
  <si>
    <t>Melting_Curves/meltCurve_Q92797_SYMPK.pdf</t>
  </si>
  <si>
    <t>Melting_Curves/meltCurve_Q92804_2_TAF15.pdf</t>
  </si>
  <si>
    <t>Melting_Curves/meltCurve_Q92820_GGH.pdf</t>
  </si>
  <si>
    <t>Melting_Curves/meltCurve_Q92828_CORO2A.pdf</t>
  </si>
  <si>
    <t>Melting_Curves/meltCurve_Q92834_4_RPGR.pdf</t>
  </si>
  <si>
    <t>Melting_Curves/meltCurve_Q92843_2_BCL2L2.pdf</t>
  </si>
  <si>
    <t>Melting_Curves/meltCurve_Q92844_TANK.pdf</t>
  </si>
  <si>
    <t>Melting_Curves/meltCurve_Q92851_4_CASP10.pdf</t>
  </si>
  <si>
    <t>Melting_Curves/meltCurve_Q92854_SEMA4D.pdf</t>
  </si>
  <si>
    <t>Melting_Curves/meltCurve_Q92859_3_NEO1.pdf</t>
  </si>
  <si>
    <t>Melting_Curves/meltCurve_Q92871_PMM1.pdf</t>
  </si>
  <si>
    <t>Melting_Curves/meltCurve_Q92878_RAD50.pdf</t>
  </si>
  <si>
    <t>Melting_Curves/meltCurve_Q92882_OSTF1.pdf</t>
  </si>
  <si>
    <t>Melting_Curves/meltCurve_Q92889_ERCC4.pdf</t>
  </si>
  <si>
    <t>Melting_Curves/meltCurve_Q92890_UFD1L.pdf</t>
  </si>
  <si>
    <t>Melting_Curves/meltCurve_Q92896_GLG1.pdf</t>
  </si>
  <si>
    <t>Melting_Curves/meltCurve_Q92900_UPF1.pdf</t>
  </si>
  <si>
    <t>Melting_Curves/meltCurve_Q92905_COPS5.pdf</t>
  </si>
  <si>
    <t>Melting_Curves/meltCurve_Q92917_GPKOW.pdf</t>
  </si>
  <si>
    <t>Melting_Curves/meltCurve_Q92922_SMARCC1.pdf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</si>
  <si>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</si>
  <si>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</si>
  <si>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</si>
  <si>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</si>
  <si>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Melting_Curves/meltCurve_Q92968_PEX13.pdf</t>
  </si>
  <si>
    <t>Melting_Curves/meltCurve_Q92973_2_TNPO1.pdf</t>
  </si>
  <si>
    <t>Melting_Curves/meltCurve_Q92979_EMG1.pdf</t>
  </si>
  <si>
    <t>Melting_Curves/meltCurve_Q92990_GLMN.pdf</t>
  </si>
  <si>
    <t>Melting_Curves/meltCurve_Q92994_5_BRF1.pdf</t>
  </si>
  <si>
    <t>Melting_Curves/meltCurve_Q92995_USP13.pdf</t>
  </si>
  <si>
    <t>Melting_Curves/meltCurve_Q93008_1_USP9X.pdf</t>
  </si>
  <si>
    <t>Melting_Curves/meltCurve_Q93015_NAT6.pdf</t>
  </si>
  <si>
    <t>Melting_Curves/meltCurve_Q93034_CUL5.pdf</t>
  </si>
  <si>
    <t>Melting_Curves/meltCurve_Q93052_LPP.pdf</t>
  </si>
  <si>
    <t>Melting_Curves/meltCurve_Q93063_EXT2.pdf</t>
  </si>
  <si>
    <t>Melting_Curves/meltCurve_Q93075_TATDN2.pdf</t>
  </si>
  <si>
    <t>Melting_Curves/meltCurve_Q93084_2_ATP2A3.pdf</t>
  </si>
  <si>
    <t>Melting_Curves/meltCurve_Q93096_PTP4A1.pdf</t>
  </si>
  <si>
    <t>Melting_Curves/meltCurve_Q93100_4_PHKB.pdf</t>
  </si>
  <si>
    <t>Melting_Curves/meltCurve_Q969E2_2_SCAMP4.pdf</t>
  </si>
  <si>
    <t>Melting_Curves/meltCurve_Q969E4_TCEAL3.pdf</t>
  </si>
  <si>
    <t>Melting_Curves/meltCurve_Q969E8_TSR2.pdf</t>
  </si>
  <si>
    <t>Melting_Curves/meltCurve_Q969F2_NKD2.pdf</t>
  </si>
  <si>
    <t>Melting_Curves/meltCurve_Q969G3_2_SMARCE1.pdf</t>
  </si>
  <si>
    <t>Melting_Curves/meltCurve_Q969G6_RFK.pdf</t>
  </si>
  <si>
    <t>Melting_Curves/meltCurve_Q969H6_POP5.pdf</t>
  </si>
  <si>
    <t>Melting_Curves/meltCurve_Q969H8_C19orf10.pdf</t>
  </si>
  <si>
    <t>Melting_Curves/meltCurve_Q969M1_TOMM40L.pdf</t>
  </si>
  <si>
    <t>Melting_Curves/meltCurve_Q969M3_YIPF5.pdf</t>
  </si>
  <si>
    <t>Melting_Curves/meltCurve_Q969N2_5_PIGT.pdf</t>
  </si>
  <si>
    <t>Melting_Curves/meltCurve_Q969P0_3_IGSF8.pdf</t>
  </si>
  <si>
    <t>Melting_Curves/meltCurve_Q969Q0_RPL36AL.pdf</t>
  </si>
  <si>
    <t>Melting_Curves/meltCurve_Q969Q5_RAB24.pdf</t>
  </si>
  <si>
    <t>Melting_Curves/meltCurve_Q969R5_L3MBTL2.pdf</t>
  </si>
  <si>
    <t>Melting_Curves/meltCurve_Q969R8_ITFG2.pdf</t>
  </si>
  <si>
    <t>Melting_Curves/meltCurve_Q969S3_ZNF622.pdf</t>
  </si>
  <si>
    <t>Melting_Curves/meltCurve_Q969S9_2_GFM2.pdf</t>
  </si>
  <si>
    <t>Melting_Curves/meltCurve_Q969T7_2_NT5C3B.pdf</t>
  </si>
  <si>
    <t>Melting_Curves/meltCurve_Q969V3_2_NCLN.pdf</t>
  </si>
  <si>
    <t>Melting_Curves/meltCurve_Q969V5_MUL1.pdf</t>
  </si>
  <si>
    <t>Melting_Curves/meltCurve_Q969X0_RILPL2.pdf</t>
  </si>
  <si>
    <t>Melting_Curves/meltCurve_Q969X5_2_ERGIC1.pdf</t>
  </si>
  <si>
    <t>Melting_Curves/meltCurve_Q969X6_CIRH1A.pdf</t>
  </si>
  <si>
    <t>Melting_Curves/meltCurve_Q969Y2_3_GTPBP3.pdf</t>
  </si>
  <si>
    <t>Melting_Curves/meltCurve_Q969Z0_TBRG4.pdf</t>
  </si>
  <si>
    <t>Melting_Curves/meltCurve_Q96A19_CCDC102A.pdf</t>
  </si>
  <si>
    <t>Melting_Curves/meltCurve_Q96A29_2_SLC35C1.pdf</t>
  </si>
  <si>
    <t>Melting_Curves/meltCurve_Q96A33_CCDC47.pdf</t>
  </si>
  <si>
    <t>Melting_Curves/meltCurve_Q96A47_ISL2.pdf</t>
  </si>
  <si>
    <t>Melting_Curves/meltCurve_Q96A49_SYAP1.pdf</t>
  </si>
  <si>
    <t>Melting_Curves/meltCurve_Q96A65_EXOC4.pdf</t>
  </si>
  <si>
    <t>Melting_Curves/meltCurve_Q96A73_KIAA1191.pdf</t>
  </si>
  <si>
    <t>Melting_Curves/meltCurve_Q96AB6_NTAN1.pdf</t>
  </si>
  <si>
    <t>Melting_Curves/meltCurve_Q96AC1_FERMT2.pdf</t>
  </si>
  <si>
    <t>Melting_Curves/meltCurve_Q96AE4_FUBP1.pdf</t>
  </si>
  <si>
    <t>Melting_Curves/meltCurve_Q96AE4_2_FUBP1.pdf</t>
  </si>
  <si>
    <t>Melting_Curves/meltCurve_Q96AG3_SLC25A46.pdf</t>
  </si>
  <si>
    <t>Melting_Curves/meltCurve_Q96AG4_LRRC59.pdf</t>
  </si>
  <si>
    <t>Melting_Curves/meltCurve_Q96AJ9_1_VTI1A.pdf</t>
  </si>
  <si>
    <t>Melting_Curves/meltCurve_Q96AP0_2_ACD.pdf</t>
  </si>
  <si>
    <t>Melting_Curves/meltCurve_Q96AQ6_2_PBXIP1.pdf</t>
  </si>
  <si>
    <t>Melting_Curves/meltCurve_Q96AQ8_MCUR1.pdf</t>
  </si>
  <si>
    <t>Melting_Curves/meltCurve_Q96AT1_KIAA1143.pdf</t>
  </si>
  <si>
    <t>Melting_Curves/meltCurve_Q96AT9_RPE.pdf</t>
  </si>
  <si>
    <t>Melting_Curves/meltCurve_Q96AX2_4_RAB37.pdf</t>
  </si>
  <si>
    <t>Melting_Curves/meltCurve_Q96B01_RAD51AP1.pdf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</si>
  <si>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</si>
  <si>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</si>
  <si>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</si>
  <si>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</si>
  <si>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</si>
  <si>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Melting_Curves/meltCurve_Q96B70_LENG9.pdf</t>
  </si>
  <si>
    <t>Melting_Curves/meltCurve_Q96B97_SH3KBP1.pdf</t>
  </si>
  <si>
    <t>Melting_Curves/meltCurve_Q96BH1_RNF25.pdf</t>
  </si>
  <si>
    <t>Melting_Curves/meltCurve_Q96BI3_APH1A.pdf</t>
  </si>
  <si>
    <t>Melting_Curves/meltCurve_Q96BK5_PINX1.pdf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</si>
  <si>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</si>
  <si>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</si>
  <si>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</si>
  <si>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</si>
  <si>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</si>
  <si>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Melting_Curves/meltCurve_Q96BT7_ALKBH8.pdf</t>
  </si>
  <si>
    <t>Melting_Curves/meltCurve_Q96BW1_UPRT.pdf</t>
  </si>
  <si>
    <t>Melting_Curves/meltCurve_Q96BW5_2_PTER.pdf</t>
  </si>
  <si>
    <t>Melting_Curves/meltCurve_Q96BX8_MOB3A.pdf</t>
  </si>
  <si>
    <t>Melting_Curves/meltCurve_Q96BY7_ATG2B.pdf</t>
  </si>
  <si>
    <t>Melting_Curves/meltCurve_Q96BZ8_LENG1.pdf</t>
  </si>
  <si>
    <t>Melting_Curves/meltCurve_Q96BZ9_TBC1D20.pdf</t>
  </si>
  <si>
    <t>Melting_Curves/meltCurve_Q96C01_FAM136A.pdf</t>
  </si>
  <si>
    <t>Melting_Curves/meltCurve_Q96C19_EFHD2.pdf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</si>
  <si>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</si>
  <si>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</si>
  <si>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</si>
  <si>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</si>
  <si>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Melting_Curves/meltCurve_Q96CB8_INTS12.pdf</t>
  </si>
  <si>
    <t>Melting_Curves/meltCurve_Q96CB9_NSUN4.pdf</t>
  </si>
  <si>
    <t>Melting_Curves/meltCurve_Q96CD0_FBXL8.pdf</t>
  </si>
  <si>
    <t>Melting_Curves/meltCurve_Q96CD2_PPCDC.pdf</t>
  </si>
  <si>
    <t>Melting_Curves/meltCurve_Q96CG3_TIFA.pdf</t>
  </si>
  <si>
    <t>Melting_Curves/meltCurve_Q96CN4_2_EVI5L.pdf</t>
  </si>
  <si>
    <t>Melting_Curves/meltCurve_Q96CN7_ISOC1.pdf</t>
  </si>
  <si>
    <t>Melting_Curves/meltCurve_Q96CN9_GCC1.pdf</t>
  </si>
  <si>
    <t>Melting_Curves/meltCurve_Q96CP2_FLYWCH2.pdf</t>
  </si>
  <si>
    <t>Melting_Curves/meltCurve_Q96CS2_HAUS1.pdf</t>
  </si>
  <si>
    <t>Melting_Curves/meltCurve_Q96CS3_FAF2.pdf</t>
  </si>
  <si>
    <t>Melting_Curves/meltCurve_Q96CT7_CCDC124.pdf</t>
  </si>
  <si>
    <t>Melting_Curves/meltCurve_Q96CU9_FOXRED1.pdf</t>
  </si>
  <si>
    <t>Melting_Curves/meltCurve_Q96CV9_3_OPTN.pdf</t>
  </si>
  <si>
    <t>Melting_Curves/meltCurve_Q96CW1_2_AP2M1.pdf</t>
  </si>
  <si>
    <t>Melting_Curves/meltCurve_Q96CW5_TUBGCP3.pdf</t>
  </si>
  <si>
    <t>Melting_Curves/meltCurve_Q96CW6_SLC7A6OS.pdf</t>
  </si>
  <si>
    <t>Melting_Curves/meltCurve_Q96CX2_KCTD12.pdf</t>
  </si>
  <si>
    <t>Melting_Curves/meltCurve_Q96CX6_LRRC58.pdf</t>
  </si>
  <si>
    <t>Melting_Curves/meltCurve_Q96D05_C10orf35.pdf</t>
  </si>
  <si>
    <t>Melting_Curves/meltCurve_Q96D31_2_ORAI1.pdf</t>
  </si>
  <si>
    <t>Melting_Curves/meltCurve_Q96D53_ADCK4.pdf</t>
  </si>
  <si>
    <t>Melting_Curves/meltCurve_Q96D71_3_REPS1.pdf</t>
  </si>
  <si>
    <t>Melting_Curves/meltCurve_Q96D96_4_HVCN1.pdf</t>
  </si>
  <si>
    <t>Melting_Curves/meltCurve_Q96DA2_RAB39B.pdf</t>
  </si>
  <si>
    <t>Melting_Curves/meltCurve_Q96DA6_DNAJC19.pdf</t>
  </si>
  <si>
    <t>Melting_Curves/meltCurve_Q96DB5_RMDN1.pdf</t>
  </si>
  <si>
    <t>Melting_Curves/meltCurve_Q96DC9_OTUB2.pdf</t>
  </si>
  <si>
    <t>Melting_Curves/meltCurve_Q96DE5_ANAPC16.pdf</t>
  </si>
  <si>
    <t>Melting_Curves/meltCurve_Q96DF8_DGCR14.pdf</t>
  </si>
  <si>
    <t>Melting_Curves/meltCurve_Q96DH6_2_MSI2.pdf</t>
  </si>
  <si>
    <t>Melting_Curves/meltCurve_Q96DI7_SNRNP40.pdf</t>
  </si>
  <si>
    <t>Melting_Curves/meltCurve_Q96DR7_ARHGEF26.pdf</t>
  </si>
  <si>
    <t>Melting_Curves/meltCurve_Q96DT6_ATG4C.pdf</t>
  </si>
  <si>
    <t>Melting_Curves/meltCurve_Q96DU3_2_SLAMF6.pdf</t>
  </si>
  <si>
    <t>Melting_Curves/meltCurve_Q96DV4_MRPL38.pdf</t>
  </si>
  <si>
    <t>Melting_Curves/meltCurve_Q96DX4_RSPRY1.pdf</t>
  </si>
  <si>
    <t>Melting_Curves/meltCurve_Q96DX7_TRIM44.pdf</t>
  </si>
  <si>
    <t>Melting_Curves/meltCurve_Q96DZ1_ERLEC1.pdf</t>
  </si>
  <si>
    <t>Melting_Curves/meltCurve_Q96E09_FAM122A.pdf</t>
  </si>
  <si>
    <t>Melting_Curves/meltCurve_Q96E11_3_MRRF.pdf</t>
  </si>
  <si>
    <t>Melting_Curves/meltCurve_Q96E14_RMI2.pdf</t>
  </si>
  <si>
    <t>Melting_Curves/meltCurve_Q96E22_NUS1.pdf</t>
  </si>
  <si>
    <t>Melting_Curves/meltCurve_Q96E40_2_C9orf9.pdf</t>
  </si>
  <si>
    <t>Melting_Curves/meltCurve_Q96E52_OMA1.pdf</t>
  </si>
  <si>
    <t>Melting_Curves/meltCurve_Q96EA4_SPDL1.pdf</t>
  </si>
  <si>
    <t>Melting_Curves/meltCurve_Q96EB1_ELP4.pdf</t>
  </si>
  <si>
    <t>Melting_Curves/meltCurve_Q96EB6_SIRT1.pdf</t>
  </si>
  <si>
    <t>Melting_Curves/meltCurve_Q96EC8_YIPF6.pdf</t>
  </si>
  <si>
    <t>Melting_Curves/meltCurve_Q96EE3_SEH1L.pdf</t>
  </si>
  <si>
    <t>Melting_Curves/meltCurve_Q96EH3_MALSU1.pdf</t>
  </si>
  <si>
    <t>Melting_Curves/meltCurve_Q96EK4_THAP11.pdf</t>
  </si>
  <si>
    <t>Melting_Curves/meltCurve_Q96EK5_KIAA1279.pdf</t>
  </si>
  <si>
    <t>Melting_Curves/meltCurve_Q96EK6_GNPNAT1.pdf</t>
  </si>
  <si>
    <t>Melting_Curves/meltCurve_Q96EK9_KTI12.pdf</t>
  </si>
  <si>
    <t>Melting_Curves/meltCurve_Q96EL2_MRPS24.pdf</t>
  </si>
  <si>
    <t>Melting_Curves/meltCurve_Q96EL3_MRPL53.pdf</t>
  </si>
  <si>
    <t>Melting_Curves/meltCurve_Q96EM0_L3HYPDH.pdf</t>
  </si>
  <si>
    <t>Melting_Curves/meltCurve_Q96EP0_RNF31.pdf</t>
  </si>
  <si>
    <t>Melting_Curves/meltCurve_Q96EP5_DAZAP1.pdf</t>
  </si>
  <si>
    <t>Melting_Curves/meltCurve_Q96EQ0_SGTB.pdf</t>
  </si>
  <si>
    <t>Melting_Curves/meltCurve_Q96ER3_SAAL1.pdf</t>
  </si>
  <si>
    <t>Melting_Curves/meltCurve_Q96ER9_CCDC51.pdf</t>
  </si>
  <si>
    <t>Melting_Curves/meltCurve_Q96ES7_CCDC101.pdf</t>
  </si>
  <si>
    <t>Melting_Curves/meltCurve_Q96EU6_2_RRP36.pdf</t>
  </si>
  <si>
    <t>Melting_Curves/meltCurve_Q96EV2_RBM33.pdf</t>
  </si>
  <si>
    <t>Melting_Curves/meltCurve_Q96EV8_2_DTNBP1.pdf</t>
  </si>
  <si>
    <t>Melting_Curves/meltCurve_Q96EW2_HSPBAP1.pdf</t>
  </si>
  <si>
    <t>Melting_Curves/meltCurve_Q96EX1_SMIM12.pdf</t>
  </si>
  <si>
    <t>Melting_Curves/meltCurve_Q96EX3_WDR34.pdf</t>
  </si>
  <si>
    <t>Melting_Curves/meltCurve_Q96EY1_DNAJA3.pdf</t>
  </si>
  <si>
    <t>Melting_Curves/meltCurve_Q96EY5_MVB12A.pdf</t>
  </si>
  <si>
    <t>Melting_Curves/meltCurve_Q96EY7_PTCD3.pdf</t>
  </si>
  <si>
    <t>Melting_Curves/meltCurve_Q96EY8_MMAB.pdf</t>
  </si>
  <si>
    <t>Melting_Curves/meltCurve_Q96EY9_ADAT3.pdf</t>
  </si>
  <si>
    <t>Melting_Curves/meltCurve_Q96F15_GIMAP5.pdf</t>
  </si>
  <si>
    <t>Melting_Curves/meltCurve_Q96F24_2_NRBF2.pdf</t>
  </si>
  <si>
    <t>Melting_Curves/meltCurve_Q96F44_3_TRIM11.pdf</t>
  </si>
  <si>
    <t>Melting_Curves/meltCurve_Q96F46_IL17RA.pdf</t>
  </si>
  <si>
    <t>Melting_Curves/meltCurve_Q96F63_CCDC97.pdf</t>
  </si>
  <si>
    <t>Melting_Curves/meltCurve_Q96F86_EDC3.pdf</t>
  </si>
  <si>
    <t>Melting_Curves/meltCurve_Q96FC9_3_DDX11.pdf</t>
  </si>
  <si>
    <t>Melting_Curves/meltCurve_Q96FF9_CDCA5.pdf</t>
  </si>
  <si>
    <t>Melting_Curves/meltCurve_Q96FH0_MEF2BNB.pdf</t>
  </si>
  <si>
    <t>Melting_Curves/meltCurve_Q96FJ0_STAMBPL1.pdf</t>
  </si>
  <si>
    <t>Melting_Curves/meltCurve_Q96FJ2_DYNLL2.pdf</t>
  </si>
  <si>
    <t>Melting_Curves/meltCurve_Q96FK6_WDR89.pdf</t>
  </si>
  <si>
    <t>Melting_Curves/meltCurve_Q96FN4_CPNE2.pdf</t>
  </si>
  <si>
    <t>Melting_Curves/meltCurve_Q96FN9_DTD2.pdf</t>
  </si>
  <si>
    <t>Melting_Curves/meltCurve_Q96FS4_SIPA1.pdf</t>
  </si>
  <si>
    <t>Melting_Curves/meltCurve_Q96FV9_THOC1.pdf</t>
  </si>
  <si>
    <t>Melting_Curves/meltCurve_Q96FX2_DPH3.pdf</t>
  </si>
  <si>
    <t>Melting_Curves/meltCurve_Q96FX7_TRMT61A.pdf</t>
  </si>
  <si>
    <t>Melting_Curves/meltCurve_Q96FZ2_C3orf37.pdf</t>
  </si>
  <si>
    <t>Melting_Curves/meltCurve_Q96FZ7_CHMP6.pdf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</si>
  <si>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</si>
  <si>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</si>
  <si>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</si>
  <si>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</si>
  <si>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</si>
  <si>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Melting_Curves/meltCurve_Q96G74_3_OTUD5.pdf</t>
  </si>
  <si>
    <t>Melting_Curves/meltCurve_Q96GA3_LTV1.pdf</t>
  </si>
  <si>
    <t>Melting_Curves/meltCurve_Q96GD0_PDXP.pdf</t>
  </si>
  <si>
    <t>Melting_Curves/meltCurve_Q96GD4_AURKB.pdf</t>
  </si>
  <si>
    <t>Melting_Curves/meltCurve_Q96GF1_RNF185.pdf</t>
  </si>
  <si>
    <t>Melting_Curves/meltCurve_Q96GG9_DCUN1D1.pdf</t>
  </si>
  <si>
    <t>Melting_Curves/meltCurve_Q96GK7_FAHD2A.pdf</t>
  </si>
  <si>
    <t>Melting_Curves/meltCurve_Q96GM5_SMARCD1.pdf</t>
  </si>
  <si>
    <t>Melting_Curves/meltCurve_Q96GM8_TOE1.pdf</t>
  </si>
  <si>
    <t>Melting_Curves/meltCurve_Q96GQ7_DDX27.pdf</t>
  </si>
  <si>
    <t>Melting_Curves/meltCurve_Q96GS4_C17orf59.pdf</t>
  </si>
  <si>
    <t>Melting_Curves/meltCurve_Q96GS6_ABHD17A.pdf</t>
  </si>
  <si>
    <t>Melting_Curves/meltCurve_Q96GW9_MARS2.pdf</t>
  </si>
  <si>
    <t>Melting_Curves/meltCurve_Q96GX2_ATXN7L3B.pdf</t>
  </si>
  <si>
    <t>Melting_Curves/meltCurve_Q96GX5_2_MASTL.pdf</t>
  </si>
  <si>
    <t>Melting_Curves/meltCurve_Q96GX9_APIP.pdf</t>
  </si>
  <si>
    <t>Melting_Curves/meltCurve_Q96GX9_3_APIP.pdf</t>
  </si>
  <si>
    <t>Melting_Curves/meltCurve_Q96GY0_ZC2HC1A.pdf</t>
  </si>
  <si>
    <t>Melting_Curves/meltCurve_Q96H20_SNF8.pdf</t>
  </si>
  <si>
    <t>Melting_Curves/meltCurve_Q96H22_4_CENPN.pdf</t>
  </si>
  <si>
    <t>Melting_Curves/meltCurve_Q96H79_ZC3HAV1L.pdf</t>
  </si>
  <si>
    <t>Melting_Curves/meltCurve_Q96H86_2_ZNF764.pdf</t>
  </si>
  <si>
    <t>Melting_Curves/meltCurve_Q96HA4_4_C1orf159.pdf</t>
  </si>
  <si>
    <t>Melting_Curves/meltCurve_Q96HC4_PDLIM5.pdf</t>
  </si>
  <si>
    <t>Melting_Curves/meltCurve_Q96HD9_ACY3.pdf</t>
  </si>
  <si>
    <t>Melting_Curves/meltCurve_Q96HE7_ERO1L.pdf</t>
  </si>
  <si>
    <t>Melting_Curves/meltCurve_Q96HJ9_C7orf55.pdf</t>
  </si>
  <si>
    <t>Melting_Curves/meltCurve_Q96HJ9_2_C7orf55.pdf</t>
  </si>
  <si>
    <t>Melting_Curves/meltCurve_Q96HN2_AHCYL2.pdf</t>
  </si>
  <si>
    <t>Melting_Curves/meltCurve_Q96HQ2_CDKN2AIPNL.pdf</t>
  </si>
  <si>
    <t>Melting_Curves/meltCurve_Q96HR3_MED30.pdf</t>
  </si>
  <si>
    <t>Melting_Curves/meltCurve_Q96HR8_2_NAF1.pdf</t>
  </si>
  <si>
    <t>Melting_Curves/meltCurve_Q96HR9_REEP6.pdf</t>
  </si>
  <si>
    <t>Melting_Curves/meltCurve_Q96HS1_PGAM5.pdf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</si>
  <si>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</si>
  <si>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</si>
  <si>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</si>
  <si>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</si>
  <si>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Melting_Curves/meltCurve_Q96I24_FUBP3.pdf</t>
  </si>
  <si>
    <t>Melting_Curves/meltCurve_Q96I25_RBM17.pdf</t>
  </si>
  <si>
    <t>Melting_Curves/meltCurve_Q96I36_COX14.pdf</t>
  </si>
  <si>
    <t>Melting_Curves/meltCurve_Q96I59_NARS2.pdf</t>
  </si>
  <si>
    <t>Melting_Curves/meltCurve_Q96I99_SUCLG2.pdf</t>
  </si>
  <si>
    <t>Melting_Curves/meltCurve_Q96IF1_AJUBA.pdf</t>
  </si>
  <si>
    <t>Melting_Curves/meltCurve_Q96IJ6_GMPPA.pdf</t>
  </si>
  <si>
    <t>Melting_Curves/meltCurve_Q96IK1_BOD1.pdf</t>
  </si>
  <si>
    <t>Melting_Curves/meltCurve_Q96IQ9_2_ZNF414.pdf</t>
  </si>
  <si>
    <t>Melting_Curves/meltCurve_Q96IR2_ZNF845.pdf</t>
  </si>
  <si>
    <t>Melting_Curves/meltCurve_Q96IU2_ZBED3.pdf</t>
  </si>
  <si>
    <t>Melting_Curves/meltCurve_Q96IU4_ABHD14B.pdf</t>
  </si>
  <si>
    <t>Melting_Curves/meltCurve_Q96IV0_5_NGLY1.pdf</t>
  </si>
  <si>
    <t>Melting_Curves/meltCurve_Q96IX5_USMG5.pdf</t>
  </si>
  <si>
    <t>Melting_Curves/meltCurve_Q96IY1_NSL1.pdf</t>
  </si>
  <si>
    <t>Melting_Curves/meltCurve_Q96IZ0_PAWR.pdf</t>
  </si>
  <si>
    <t>Melting_Curves/meltCurve_Q96IZ7_2_RSRC1.pdf</t>
  </si>
  <si>
    <t>Melting_Curves/meltCurve_Q96J01_THOC3.pdf</t>
  </si>
  <si>
    <t>Melting_Curves/meltCurve_Q96J02_2_ITCH.pdf</t>
  </si>
  <si>
    <t>Melting_Curves/meltCurve_Q96J84_2_KIRREL.pdf</t>
  </si>
  <si>
    <t>Melting_Curves/meltCurve_Q96J88_2_EPSTI1.pdf</t>
  </si>
  <si>
    <t>Melting_Curves/meltCurve_Q96JB2_COG3.pdf</t>
  </si>
  <si>
    <t>Melting_Curves/meltCurve_Q96JB5_CDK5RAP3.pdf</t>
  </si>
  <si>
    <t>Melting_Curves/meltCurve_Q96JC1_2_VPS39.pdf</t>
  </si>
  <si>
    <t>Melting_Curves/meltCurve_Q96JC9_EAF1.pdf</t>
  </si>
  <si>
    <t>Melting_Curves/meltCurve_Q96JG6_CCDC132.pdf</t>
  </si>
  <si>
    <t>Melting_Curves/meltCurve_Q96JH7_VCPIP1.pdf</t>
  </si>
  <si>
    <t>Melting_Curves/meltCurve_Q96JJ7_TMX3.pdf</t>
  </si>
  <si>
    <t>Melting_Curves/meltCurve_Q96JM3_CHAMP1.pdf</t>
  </si>
  <si>
    <t>Melting_Curves/meltCurve_Q96JP5_ZFP91.pdf</t>
  </si>
  <si>
    <t>Melting_Curves/meltCurve_Q96JQ2_CLMN.pdf</t>
  </si>
  <si>
    <t>Melting_Curves/meltCurve_Q96JY6_PDLIM2.pdf</t>
  </si>
  <si>
    <t>Melting_Curves/meltCurve_Q96K19_2_RNF170.pdf</t>
  </si>
  <si>
    <t>Melting_Curves/meltCurve_Q96K31_C8orf76.pdf</t>
  </si>
  <si>
    <t>Melting_Curves/meltCurve_Q96K80_ZC3H10.pdf</t>
  </si>
  <si>
    <t>Melting_Curves/meltCurve_Q96KA5_2_CLPTM1L.pdf</t>
  </si>
  <si>
    <t>Melting_Curves/meltCurve_Q96KB5_PBK.pdf</t>
  </si>
  <si>
    <t>Melting_Curves/meltCurve_Q96KC8_DNAJC1.pdf</t>
  </si>
  <si>
    <t>Melting_Curves/meltCurve_Q96KM6_ZNF512B.pdf</t>
  </si>
  <si>
    <t>Melting_Curves/meltCurve_Q96KP1_EXOC2.pdf</t>
  </si>
  <si>
    <t>Melting_Curves/meltCurve_Q96KP4_CNDP2.pdf</t>
  </si>
  <si>
    <t>Melting_Curves/meltCurve_Q96KQ4_PPP1R13B.pdf</t>
  </si>
  <si>
    <t>Melting_Curves/meltCurve_Q96KR1_ZFR.pdf</t>
  </si>
  <si>
    <t>Melting_Curves/meltCurve_Q96L50_LRR1.pdf</t>
  </si>
  <si>
    <t>Melting_Curves/meltCurve_Q96L91_4_EP400.pdf</t>
  </si>
  <si>
    <t>Melting_Curves/meltCurve_Q96L92_3_SNX27.pdf</t>
  </si>
  <si>
    <t>Melting_Curves/meltCurve_Q96L93_6_KIF16B.pdf</t>
  </si>
  <si>
    <t>Melting_Curves/meltCurve_Q96LA8_PRMT6.pdf</t>
  </si>
  <si>
    <t>Melting_Curves/meltCurve_Q96LJ7_DHRS1.pdf</t>
  </si>
  <si>
    <t>Melting_Curves/meltCurve_Q96LR5_UBE2E2.pdf</t>
  </si>
  <si>
    <t>Melting_Curves/meltCurve_Q96LT7_C9orf72.pdf</t>
  </si>
  <si>
    <t>Melting_Curves/meltCurve_Q96LU5_IMMP1L.pdf</t>
  </si>
  <si>
    <t>Melting_Curves/meltCurve_Q96LW7_2_C9orf89.pdf</t>
  </si>
  <si>
    <t>Melting_Curves/meltCurve_Q96M20_2_CNBD2.pdf</t>
  </si>
  <si>
    <t>Melting_Curves/meltCurve_Q96M27_PRRC1.pdf</t>
  </si>
  <si>
    <t>Melting_Curves/meltCurve_Q96MC6_HIAT1.pdf</t>
  </si>
  <si>
    <t>Melting_Curves/meltCurve_Q96MD7_1_C9orf85.pdf</t>
  </si>
  <si>
    <t>Melting_Curves/meltCurve_Q96ME1_4_FBXL18.pdf</t>
  </si>
  <si>
    <t>Melting_Curves/meltCurve_Q96MG7_NDNL2.pdf</t>
  </si>
  <si>
    <t>Melting_Curves/meltCurve_Q96MG8_PCMTD1.pdf</t>
  </si>
  <si>
    <t>Melting_Curves/meltCurve_Q96MH2_HEXIM2.pdf</t>
  </si>
  <si>
    <t>Melting_Curves/meltCurve_Q96MH6_TMEM68.pdf</t>
  </si>
  <si>
    <t>Melting_Curves/meltCurve_Q96MX3_ZNF48.pdf</t>
  </si>
  <si>
    <t>Melting_Curves/meltCurve_Q96MX6_WDR92.pdf</t>
  </si>
  <si>
    <t>Melting_Curves/meltCurve_Q96MY1_C20orf112.pdf</t>
  </si>
  <si>
    <t>Melting_Curves/meltCurve_Q96N11_2_C7orf26.pdf</t>
  </si>
  <si>
    <t>Melting_Curves/meltCurve_Q96N16_JAKMIP1.pdf</t>
  </si>
  <si>
    <t>Melting_Curves/meltCurve_Q96N46_TTC14.pdf</t>
  </si>
  <si>
    <t>Melting_Curves/meltCurve_Q96N66_2_MBOAT7.pdf</t>
  </si>
  <si>
    <t>Melting_Curves/meltCurve_Q96N67_4_DOCK7.pdf</t>
  </si>
  <si>
    <t>Melting_Curves/meltCurve_Q96NB1_FOPNL.pdf</t>
  </si>
  <si>
    <t>Melting_Curves/meltCurve_Q96NB2_SFXN2.pdf</t>
  </si>
  <si>
    <t>Melting_Curves/meltCurve_Q96NB3_ZNF830.pdf</t>
  </si>
  <si>
    <t>Melting_Curves/meltCurve_Q96NC0_ZMAT2.pdf</t>
  </si>
  <si>
    <t>Melting_Curves/meltCurve_Q96NJ6_ZFP3.pdf</t>
  </si>
  <si>
    <t>Melting_Curves/meltCurve_Q96NL8_C8orf37.pdf</t>
  </si>
  <si>
    <t>Melting_Curves/meltCurve_Q96NT0_CCDC115.pdf</t>
  </si>
  <si>
    <t>Melting_Curves/meltCurve_Q96NT1_NAP1L5.pdf</t>
  </si>
  <si>
    <t>Melting_Curves/meltCurve_Q96P11_2_NSUN5.pdf</t>
  </si>
  <si>
    <t>Melting_Curves/meltCurve_Q96P16_RPRD1A.pdf</t>
  </si>
  <si>
    <t>Melting_Curves/meltCurve_Q96P70_IPO9.pdf</t>
  </si>
  <si>
    <t>Melting_Curves/meltCurve_Q96PD2_DCBLD2.pdf</t>
  </si>
  <si>
    <t>Melting_Curves/meltCurve_Q96PE7_MCEE.pdf</t>
  </si>
  <si>
    <t>Melting_Curves/meltCurve_Q96PK6_RBM14.pdf</t>
  </si>
  <si>
    <t>Melting_Curves/meltCurve_Q96PM5_RCHY1.pdf</t>
  </si>
  <si>
    <t>Melting_Curves/meltCurve_Q96PU4_UHRF2.pdf</t>
  </si>
  <si>
    <t>Melting_Curves/meltCurve_Q96PU5_2_NEDD4L.pdf</t>
  </si>
  <si>
    <t>Melting_Curves/meltCurve_Q96PU8_9_QKI.pdf</t>
  </si>
  <si>
    <t>Melting_Curves/meltCurve_Q96PV6_2_LENG8.pdf</t>
  </si>
  <si>
    <t>Melting_Curves/meltCurve_Q96PY6_2_NEK1.pdf</t>
  </si>
  <si>
    <t>Melting_Curves/meltCurve_Q96PZ0_PUS7.pdf</t>
  </si>
  <si>
    <t>Melting_Curves/meltCurve_Q96PZ2_FAM111A.pdf</t>
  </si>
  <si>
    <t>Melting_Curves/meltCurve_Q96Q05_3_TRAPPC9.pdf</t>
  </si>
  <si>
    <t>Melting_Curves/meltCurve_Q96Q11_2_TRNT1.pdf</t>
  </si>
  <si>
    <t>Melting_Curves/meltCurve_Q96Q45_2_TMEM237.pdf</t>
  </si>
  <si>
    <t>Melting_Curves/meltCurve_Q96Q83_ALKBH3.pdf</t>
  </si>
  <si>
    <t>Melting_Curves/meltCurve_Q96QC0_PPP1R10.pdf</t>
  </si>
  <si>
    <t>Melting_Curves/meltCurve_Q96QD8_SLC38A2.pdf</t>
  </si>
  <si>
    <t>Melting_Curves/meltCurve_Q96QE2_SLC2A13.pdf</t>
  </si>
  <si>
    <t>Melting_Curves/meltCurve_Q96QF0_2_RAB3IP.pdf</t>
  </si>
  <si>
    <t>Melting_Curves/meltCurve_Q96QK1_VPS35.pdf</t>
  </si>
  <si>
    <t>Melting_Curves/meltCurve_Q96QR8_PURB.pdf</t>
  </si>
  <si>
    <t>Melting_Curves/meltCurve_Q96QV1_HHIP.pdf</t>
  </si>
  <si>
    <t>Melting_Curves/meltCurve_Q96QZ7_6_MAGI1.pdf</t>
  </si>
  <si>
    <t>Melting_Curves/meltCurve_Q96R06_SPAG5.pdf</t>
  </si>
  <si>
    <t>Melting_Curves/meltCurve_Q96RD7_2_PANX1.pdf</t>
  </si>
  <si>
    <t>Melting_Curves/meltCurve_Q96RE7_NACC1.pdf</t>
  </si>
  <si>
    <t>Melting_Curves/meltCurve_Q96RG2_PASK.pdf</t>
  </si>
  <si>
    <t>Melting_Curves/meltCurve_Q96RL7_4_VPS13A.pdf</t>
  </si>
  <si>
    <t>Melting_Curves/meltCurve_Q96RN5_3_MED15.pdf</t>
  </si>
  <si>
    <t>Melting_Curves/meltCurve_Q96RP9_GFM1.pdf</t>
  </si>
  <si>
    <t>Melting_Curves/meltCurve_Q96RR1_PEO1.pdf</t>
  </si>
  <si>
    <t>Melting_Curves/meltCurve_Q96RR4_2_CAMKK2.pdf</t>
  </si>
  <si>
    <t>Melting_Curves/meltCurve_Q96RS0_TGS1.pdf</t>
  </si>
  <si>
    <t>Melting_Curves/meltCurve_Q96RS6_NUDCD1.pdf</t>
  </si>
  <si>
    <t>Melting_Curves/meltCurve_Q96RT1_7_ERBB2IP.pdf</t>
  </si>
  <si>
    <t>Melting_Curves/meltCurve_Q96S19_C16orf13.pdf</t>
  </si>
  <si>
    <t>Melting_Curves/meltCurve_Q96S44_TP53RK.pdf</t>
  </si>
  <si>
    <t>Melting_Curves/meltCurve_Q96S52_PIGS.pdf</t>
  </si>
  <si>
    <t>Melting_Curves/meltCurve_Q96S55_2_WRNIP1.pdf</t>
  </si>
  <si>
    <t>Melting_Curves/meltCurve_Q96S59_RANBP9.pdf</t>
  </si>
  <si>
    <t>Melting_Curves/meltCurve_Q96S66_CLCC1.pdf</t>
  </si>
  <si>
    <t>Melting_Curves/meltCurve_Q96S82_UBL7.pdf</t>
  </si>
  <si>
    <t>Melting_Curves/meltCurve_Q96S90_LYSMD1.pdf</t>
  </si>
  <si>
    <t>Melting_Curves/meltCurve_Q96S94_CCNL2.pdf</t>
  </si>
  <si>
    <t>Melting_Curves/meltCurve_Q96S97_MYADM.pdf</t>
  </si>
  <si>
    <t>Melting_Curves/meltCurve_Q96S99_PLEKHF1.pdf</t>
  </si>
  <si>
    <t>Melting_Curves/meltCurve_Q96SB3_PPP1R9B.pdf</t>
  </si>
  <si>
    <t>Melting_Curves/meltCurve_Q96SB4_SRPK1.pdf</t>
  </si>
  <si>
    <t>Melting_Curves/meltCurve_Q96SB8_SMC6.pdf</t>
  </si>
  <si>
    <t>Melting_Curves/meltCurve_Q96SI1_KCTD15.pdf</t>
  </si>
  <si>
    <t>Melting_Curves/meltCurve_Q96SK2_2_TMEM209.pdf</t>
  </si>
  <si>
    <t>Melting_Curves/meltCurve_Q96SL8_FIZ1.pdf</t>
  </si>
  <si>
    <t>Melting_Curves/meltCurve_Q96SN7_ORAI2.pdf</t>
  </si>
  <si>
    <t>Melting_Curves/meltCurve_Q96ST2_IWS1.pdf</t>
  </si>
  <si>
    <t>Melting_Curves/meltCurve_Q96ST3_SIN3A.pdf</t>
  </si>
  <si>
    <t>Melting_Curves/meltCurve_Q96SZ5_ADO.pdf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</si>
  <si>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</si>
  <si>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</si>
  <si>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</si>
  <si>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</si>
  <si>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</si>
  <si>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Melting_Curves/meltCurve_Q96T83_SLC9A7.pdf</t>
  </si>
  <si>
    <t>Melting_Curves/meltCurve_Q96T88_UHRF1.pdf</t>
  </si>
  <si>
    <t>Melting_Curves/meltCurve_Q96TA1_2_FAM129B.pdf</t>
  </si>
  <si>
    <t>Melting_Curves/meltCurve_Q96TA2_3_YME1L1.pdf</t>
  </si>
  <si>
    <t>Melting_Curves/meltCurve_Q96TC7_RMDN3.pdf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</si>
  <si>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</si>
  <si>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</si>
  <si>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</si>
  <si>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</si>
  <si>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Melting_Curves/meltCurve_Q99442_SEC62.pdf</t>
  </si>
  <si>
    <t>Melting_Curves/meltCurve_Q99447_PCYT2.pdf</t>
  </si>
  <si>
    <t>Melting_Curves/meltCurve_Q99459_CDC5L.pdf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</si>
  <si>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</si>
  <si>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</si>
  <si>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</si>
  <si>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</si>
  <si>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Melting_Curves/meltCurve_Q99490_2_AGAP2.pdf</t>
  </si>
  <si>
    <t>Melting_Curves/meltCurve_Q99496_RNF2.pdf</t>
  </si>
  <si>
    <t>Melting_Curves/meltCurve_Q99497_PARK7.pdf</t>
  </si>
  <si>
    <t>Melting_Curves/meltCurve_Q99501_GAS2L1.pdf</t>
  </si>
  <si>
    <t>Melting_Curves/meltCurve_Q99504_2_EYA3.pdf</t>
  </si>
  <si>
    <t>Melting_Curves/meltCurve_Q99519_NEU1.pdf</t>
  </si>
  <si>
    <t>Melting_Curves/meltCurve_Q99523_SORT1.pdf</t>
  </si>
  <si>
    <t>Melting_Curves/meltCurve_Q99536_VAT1.pdf</t>
  </si>
  <si>
    <t>Melting_Curves/meltCurve_Q99543_DNAJC2.pdf</t>
  </si>
  <si>
    <t>Melting_Curves/meltCurve_Q99549_MPHOSPH8.pdf</t>
  </si>
  <si>
    <t>Melting_Curves/meltCurve_Q99567_NUP88.pdf</t>
  </si>
  <si>
    <t>Melting_Curves/meltCurve_Q99570_PIK3R4.pdf</t>
  </si>
  <si>
    <t>Melting_Curves/meltCurve_Q99575_POP1.pdf</t>
  </si>
  <si>
    <t>Melting_Curves/meltCurve_Q99583_MNT.pdf</t>
  </si>
  <si>
    <t>Melting_Curves/meltCurve_Q99595_TIMM17A.pdf</t>
  </si>
  <si>
    <t>Melting_Curves/meltCurve_Q99598_TSNAX.pdf</t>
  </si>
  <si>
    <t>Melting_Curves/meltCurve_Q99608_NDN.pdf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</si>
  <si>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</si>
  <si>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</si>
  <si>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</si>
  <si>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</si>
  <si>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</si>
  <si>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Melting_Curves/meltCurve_Q99623_PHB2.pdf</t>
  </si>
  <si>
    <t>Melting_Curves/meltCurve_Q99633_PRPF18.pdf</t>
  </si>
  <si>
    <t>Melting_Curves/meltCurve_Q99638_RAD9A.pdf</t>
  </si>
  <si>
    <t>Melting_Curves/meltCurve_Q99653_CHP1.pdf</t>
  </si>
  <si>
    <t>Melting_Curves/meltCurve_Q99661_KIF2C.pdf</t>
  </si>
  <si>
    <t>Melting_Curves/meltCurve_Q99674_CGREF1.pdf</t>
  </si>
  <si>
    <t>Melting_Curves/meltCurve_Q99704_DOK1.pdf</t>
  </si>
  <si>
    <t>Melting_Curves/meltCurve_Q99707_MTR.pdf</t>
  </si>
  <si>
    <t>Melting_Curves/meltCurve_Q99714_HSD17B10.pdf</t>
  </si>
  <si>
    <t>Melting_Curves/meltCurve_Q99719_SEPT5.pdf</t>
  </si>
  <si>
    <t>Melting_Curves/meltCurve_Q99720_4_SIGMAR1.pdf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</si>
  <si>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</si>
  <si>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</si>
  <si>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</si>
  <si>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</si>
  <si>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Melting_Curves/meltCurve_Q99795_GPA33.pdf</t>
  </si>
  <si>
    <t>Melting_Curves/meltCurve_Q99797_MIPEP.pdf</t>
  </si>
  <si>
    <t>Melting_Curves/meltCurve_Q99805_TM9SF2.pdf</t>
  </si>
  <si>
    <t>Melting_Curves/meltCurve_Q99808_SLC29A1.pdf</t>
  </si>
  <si>
    <t>Melting_Curves/meltCurve_Q99816_TSG101.pdf</t>
  </si>
  <si>
    <t>Melting_Curves/meltCurve_Q99829_CPNE1.pdf</t>
  </si>
  <si>
    <t>Melting_Curves/meltCurve_Q99832_CCT7.pdf</t>
  </si>
  <si>
    <t>Melting_Curves/meltCurve_Q99856_ARID3A.pdf</t>
  </si>
  <si>
    <t>Melting_Curves/meltCurve_Q99879_HIST1H2BM.pdf</t>
  </si>
  <si>
    <t>Melting_Curves/meltCurve_Q99952_2_PTPN18.pdf</t>
  </si>
  <si>
    <t>Melting_Curves/meltCurve_Q99956_DUSP9.pdf</t>
  </si>
  <si>
    <t>Melting_Curves/meltCurve_Q99961_SH3GL1.pdf</t>
  </si>
  <si>
    <t>Melting_Curves/meltCurve_Q99963_4_SH3GL3.pdf</t>
  </si>
  <si>
    <t>Melting_Curves/meltCurve_Q99986_VRK1.pdf</t>
  </si>
  <si>
    <t>Melting_Curves/meltCurve_Q99996_5_AKAP9.pdf</t>
  </si>
  <si>
    <t>Melting_Curves/meltCurve_Q9BPW8_NIPSNAP1.pdf</t>
  </si>
  <si>
    <t>Melting_Curves/meltCurve_Q9BPX3_NCAPG.pdf</t>
  </si>
  <si>
    <t>Melting_Curves/meltCurve_Q9BPX5_ARPC5L.pdf</t>
  </si>
  <si>
    <t>Melting_Curves/meltCurve_Q9BPX7_C7orf25.pdf</t>
  </si>
  <si>
    <t>Melting_Curves/meltCurve_Q9BPZ3_PAIP2.pdf</t>
  </si>
  <si>
    <t>Melting_Curves/meltCurve_Q9BQ04_RBM4B.pdf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</si>
  <si>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</si>
  <si>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</si>
  <si>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</si>
  <si>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</si>
  <si>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</si>
  <si>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</si>
  <si>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Melting_Curves/meltCurve_Q9BQ95_ECSIT.pdf</t>
  </si>
  <si>
    <t>Melting_Curves/meltCurve_Q9BQA1_WDR77.pdf</t>
  </si>
  <si>
    <t>Melting_Curves/meltCurve_Q9BQA9_2_C17orf62.pdf</t>
  </si>
  <si>
    <t>Melting_Curves/meltCurve_Q9BQC3_DPH2.pdf</t>
  </si>
  <si>
    <t>Melting_Curves/meltCurve_Q9BQE9_4_BCL7B.pdf</t>
  </si>
  <si>
    <t>Melting_Curves/meltCurve_Q9BQF6_5_SENP7.pdf</t>
  </si>
  <si>
    <t>Melting_Curves/meltCurve_Q9BQI0_AIF1L.pdf</t>
  </si>
  <si>
    <t>Melting_Curves/meltCurve_Q9BQI3_2_EIF2AK1.pdf</t>
  </si>
  <si>
    <t>Melting_Curves/meltCurve_Q9BQP7_MGME1.pdf</t>
  </si>
  <si>
    <t>Melting_Curves/meltCurve_Q9BR61_ACBD6.pdf</t>
  </si>
  <si>
    <t>Melting_Curves/meltCurve_Q9BR76_CORO1B.pdf</t>
  </si>
  <si>
    <t>Melting_Curves/meltCurve_Q9BRA0_2_LSMD1.pdf</t>
  </si>
  <si>
    <t>Melting_Curves/meltCurve_Q9BRA2_TXNDC17.pdf</t>
  </si>
  <si>
    <t>Melting_Curves/meltCurve_Q9BRB3_2_PIGQ.pdf</t>
  </si>
  <si>
    <t>Melting_Curves/meltCurve_Q9BRD0_BUD13.pdf</t>
  </si>
  <si>
    <t>Melting_Curves/meltCurve_Q9BRF8_CPPED1.pdf</t>
  </si>
  <si>
    <t>Melting_Curves/meltCurve_Q9BRG1_VPS25.pdf</t>
  </si>
  <si>
    <t>Melting_Curves/meltCurve_Q9BRJ2_MRPL45.pdf</t>
  </si>
  <si>
    <t>Melting_Curves/meltCurve_Q9BRK5_SDF4.pdf</t>
  </si>
  <si>
    <t>Melting_Curves/meltCurve_Q9BRL6_2_SRSF8.pdf</t>
  </si>
  <si>
    <t>Melting_Curves/meltCurve_Q9BRP1_PDCD2L.pdf</t>
  </si>
  <si>
    <t>Melting_Curves/meltCurve_Q9BRP4_PAAF1.pdf</t>
  </si>
  <si>
    <t>Melting_Curves/meltCurve_Q9BRP8_2_WIBG.pdf</t>
  </si>
  <si>
    <t>Melting_Curves/meltCurve_Q9BRR0_2_ZKSCAN3.pdf</t>
  </si>
  <si>
    <t>Melting_Curves/meltCurve_Q9BRR6_2_ADPGK.pdf</t>
  </si>
  <si>
    <t>Melting_Curves/meltCurve_Q9BRR8_GPATCH1.pdf</t>
  </si>
  <si>
    <t>Melting_Curves/meltCurve_Q9BRS2_RIOK1.pdf</t>
  </si>
  <si>
    <t>Melting_Curves/meltCurve_Q9BRT2_MNF1.pdf</t>
  </si>
  <si>
    <t>Melting_Curves/meltCurve_Q9BRT3_MIEN1.pdf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</si>
  <si>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</si>
  <si>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</si>
  <si>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</si>
  <si>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</si>
  <si>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Melting_Curves/meltCurve_Q9BRX8_2_FAM213A.pdf</t>
  </si>
  <si>
    <t>Melting_Curves/meltCurve_Q9BRX9_WDR83.pdf</t>
  </si>
  <si>
    <t>Melting_Curves/meltCurve_Q9BRZ2_TRIM56.pdf</t>
  </si>
  <si>
    <t>Melting_Curves/meltCurve_Q9BS26_ERP44.pdf</t>
  </si>
  <si>
    <t>Melting_Curves/meltCurve_Q9BSB4_ATG101.pdf</t>
  </si>
  <si>
    <t>Melting_Curves/meltCurve_Q9BSD7_NTPCR.pdf</t>
  </si>
  <si>
    <t>Melting_Curves/meltCurve_Q9BSE4_HERPUD2.pdf</t>
  </si>
  <si>
    <t>Melting_Curves/meltCurve_Q9BSF4_C19orf52.pdf</t>
  </si>
  <si>
    <t>Melting_Curves/meltCurve_Q9BSH4_TACO1.pdf</t>
  </si>
  <si>
    <t>Melting_Curves/meltCurve_Q9BSH5_HDHD3.pdf</t>
  </si>
  <si>
    <t>Melting_Curves/meltCurve_Q9BSI4_2_TINF2.pdf</t>
  </si>
  <si>
    <t>Melting_Curves/meltCurve_Q9BSJ5_3_C17orf80.pdf</t>
  </si>
  <si>
    <t>Melting_Curves/meltCurve_Q9BSJ8_ESYT1.pdf</t>
  </si>
  <si>
    <t>Melting_Curves/meltCurve_Q9BSK2_SLC25A33.pdf</t>
  </si>
  <si>
    <t>Melting_Curves/meltCurve_Q9BSL1_UBAC1.pdf</t>
  </si>
  <si>
    <t>Melting_Curves/meltCurve_Q9BSR8_YIPF4.pdf</t>
  </si>
  <si>
    <t>Melting_Curves/meltCurve_Q9BSU1_C16orf70.pdf</t>
  </si>
  <si>
    <t>Melting_Curves/meltCurve_Q9BSV6_TSEN34.pdf</t>
  </si>
  <si>
    <t>Melting_Curves/meltCurve_Q9BSW2_2_EFCAB4B.pdf</t>
  </si>
  <si>
    <t>Melting_Curves/meltCurve_Q9BSY9_2_DESI2.pdf</t>
  </si>
  <si>
    <t>Melting_Curves/meltCurve_Q9BT09_CNPY3.pdf</t>
  </si>
  <si>
    <t>Melting_Curves/meltCurve_Q9BT22_ALG1.pdf</t>
  </si>
  <si>
    <t>Melting_Curves/meltCurve_Q9BT23_LIMD2.pdf</t>
  </si>
  <si>
    <t>Melting_Curves/meltCurve_Q9BT25_2_HAUS8.pdf</t>
  </si>
  <si>
    <t>Melting_Curves/meltCurve_Q9BT30_ALKBH7.pdf</t>
  </si>
  <si>
    <t>Melting_Curves/meltCurve_Q9BT73_PSMG3.pdf</t>
  </si>
  <si>
    <t>Melting_Curves/meltCurve_Q9BT78_COPS4.pdf</t>
  </si>
  <si>
    <t>Melting_Curves/meltCurve_Q9BT92_TCHP.pdf</t>
  </si>
  <si>
    <t>Melting_Curves/meltCurve_Q9BTA9_WAC.pdf</t>
  </si>
  <si>
    <t>Melting_Curves/meltCurve_Q9BTA9_5_WAC.pdf</t>
  </si>
  <si>
    <t>Melting_Curves/meltCurve_Q9BTC0_DIDO1.pdf</t>
  </si>
  <si>
    <t>Melting_Curves/meltCurve_Q9BTE1_DCTN5.pdf</t>
  </si>
  <si>
    <t>Melting_Curves/meltCurve_Q9BTE3_2_MCMBP.pdf</t>
  </si>
  <si>
    <t>Melting_Curves/meltCurve_Q9BTE6_AARSD1.pdf</t>
  </si>
  <si>
    <t>Melting_Curves/meltCurve_Q9BTE7_DCUN1D5.pdf</t>
  </si>
  <si>
    <t>Melting_Curves/meltCurve_Q9BTL3_FAM103A1.pdf</t>
  </si>
  <si>
    <t>Melting_Curves/meltCurve_Q9BTN0_LRFN3.pdf</t>
  </si>
  <si>
    <t>Melting_Curves/meltCurve_Q9BTT0_ANP32E.pdf</t>
  </si>
  <si>
    <t>Melting_Curves/meltCurve_Q9BTT4_MED10.pdf</t>
  </si>
  <si>
    <t>Melting_Curves/meltCurve_Q9BTT6_LRRC1.pdf</t>
  </si>
  <si>
    <t>Melting_Curves/meltCurve_Q9BTU6_PI4K2A.pdf</t>
  </si>
  <si>
    <t>Melting_Curves/meltCurve_Q9BTV4_TMEM43.pdf</t>
  </si>
  <si>
    <t>Melting_Curves/meltCurve_Q9BTV5_FSD1.pdf</t>
  </si>
  <si>
    <t>Melting_Curves/meltCurve_Q9BTV6_WDR85.pdf</t>
  </si>
  <si>
    <t>Melting_Curves/meltCurve_Q9BTV7_CABLES2.pdf</t>
  </si>
  <si>
    <t>Melting_Curves/meltCurve_Q9BTX1_4_TMEM48.pdf</t>
  </si>
  <si>
    <t>Melting_Curves/meltCurve_Q9BTX7_TTPAL.pdf</t>
  </si>
  <si>
    <t>Melting_Curves/meltCurve_Q9BTY7_FAM203A.pdf</t>
  </si>
  <si>
    <t>Melting_Curves/meltCurve_Q9BTZ2_DHRS4.pdf</t>
  </si>
  <si>
    <t>Melting_Curves/meltCurve_Q9BU02_THTPA.pdf</t>
  </si>
  <si>
    <t>Melting_Curves/meltCurve_Q9BU23_2_LMF2.pdf</t>
  </si>
  <si>
    <t>Melting_Curves/meltCurve_Q9BU61_NDUFAF3.pdf</t>
  </si>
  <si>
    <t>Melting_Curves/meltCurve_Q9BU64_CENPO.pdf</t>
  </si>
  <si>
    <t>Melting_Curves/meltCurve_Q9BU76_3_MMTAG2.pdf</t>
  </si>
  <si>
    <t>Melting_Curves/meltCurve_Q9BU89_DOHH.pdf</t>
  </si>
  <si>
    <t>Melting_Curves/meltCurve_Q9BUA3_C11orf84.pdf</t>
  </si>
  <si>
    <t>Melting_Curves/meltCurve_Q9BUB5_2_MKNK1.pdf</t>
  </si>
  <si>
    <t>Melting_Curves/meltCurve_Q9BUB7_TMEM70.pdf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</si>
  <si>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</si>
  <si>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</si>
  <si>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</si>
  <si>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</si>
  <si>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</si>
  <si>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Melting_Curves/meltCurve_Q9BUL9_RPP25.pdf</t>
  </si>
  <si>
    <t>Melting_Curves/meltCurve_Q9BUN5_CCDC28B.pdf</t>
  </si>
  <si>
    <t>Melting_Curves/meltCurve_Q9BUP0_EFHD1.pdf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</si>
  <si>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</si>
  <si>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</si>
  <si>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</si>
  <si>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</si>
  <si>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</si>
  <si>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Melting_Curves/meltCurve_Q9BV10_ALG12.pdf</t>
  </si>
  <si>
    <t>Melting_Curves/meltCurve_Q9BV19_C1orf50.pdf</t>
  </si>
  <si>
    <t>Melting_Curves/meltCurve_Q9BV20_MRI1.pdf</t>
  </si>
  <si>
    <t>Melting_Curves/meltCurve_Q9BV23_ABHD6.pdf</t>
  </si>
  <si>
    <t>Melting_Curves/meltCurve_Q9BV38_WDR18.pdf</t>
  </si>
  <si>
    <t>Melting_Curves/meltCurve_Q9BV44_THUMPD3.pdf</t>
  </si>
  <si>
    <t>Melting_Curves/meltCurve_Q9BV57_ADI1.pdf</t>
  </si>
  <si>
    <t>Melting_Curves/meltCurve_Q9BV68_2_RNF126.pdf</t>
  </si>
  <si>
    <t>Melting_Curves/meltCurve_Q9BV79_MECR.pdf</t>
  </si>
  <si>
    <t>Melting_Curves/meltCurve_Q9BV81_EMC6.pdf</t>
  </si>
  <si>
    <t>Melting_Curves/meltCurve_Q9BV86_NTMT1.pdf</t>
  </si>
  <si>
    <t>Melting_Curves/meltCurve_Q9BVA0_KATNB1.pdf</t>
  </si>
  <si>
    <t>Melting_Curves/meltCurve_Q9BVC3_DSCC1.pdf</t>
  </si>
  <si>
    <t>Melting_Curves/meltCurve_Q9BVC4_MLST8.pdf</t>
  </si>
  <si>
    <t>Melting_Curves/meltCurve_Q9BVC5_C2orf49.pdf</t>
  </si>
  <si>
    <t>Melting_Curves/meltCurve_Q9BVC6_TMEM109.pdf</t>
  </si>
  <si>
    <t>Melting_Curves/meltCurve_Q9BVI0_PHF20.pdf</t>
  </si>
  <si>
    <t>Melting_Curves/meltCurve_Q9BVI4_NOC4L.pdf</t>
  </si>
  <si>
    <t>Melting_Curves/meltCurve_Q9BVJ6_UTP14A.pdf</t>
  </si>
  <si>
    <t>Melting_Curves/meltCurve_Q9BVK6_TMED9.pdf</t>
  </si>
  <si>
    <t>Melting_Curves/meltCurve_Q9BVL2_3_NUPL1.pdf</t>
  </si>
  <si>
    <t>Melting_Curves/meltCurve_Q9BVL4_SELO.pdf</t>
  </si>
  <si>
    <t>Melting_Curves/meltCurve_Q9BVM4_GGACT.pdf</t>
  </si>
  <si>
    <t>Melting_Curves/meltCurve_Q9BVP2_2_GNL3.pdf</t>
  </si>
  <si>
    <t>Melting_Curves/meltCurve_Q9BVQ7_SPATA5L1.pdf</t>
  </si>
  <si>
    <t>Melting_Curves/meltCurve_Q9BVS4_RIOK2.pdf</t>
  </si>
  <si>
    <t>Melting_Curves/meltCurve_Q9BVS5_TRMT61B.pdf</t>
  </si>
  <si>
    <t>Melting_Curves/meltCurve_Q9BVV7_TIMM21.pdf</t>
  </si>
  <si>
    <t>Melting_Curves/meltCurve_Q9BVW5_TIPIN.pdf</t>
  </si>
  <si>
    <t>Melting_Curves/meltCurve_Q9BW19_KIFC1.pdf</t>
  </si>
  <si>
    <t>Melting_Curves/meltCurve_Q9BW27_NUP85.pdf</t>
  </si>
  <si>
    <t>Melting_Curves/meltCurve_Q9BW60_ELOVL1.pdf</t>
  </si>
  <si>
    <t>Melting_Curves/meltCurve_Q9BW61_DDA1.pdf</t>
  </si>
  <si>
    <t>Melting_Curves/meltCurve_Q9BW62_KATNAL1.pdf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</si>
  <si>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</si>
  <si>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</si>
  <si>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</si>
  <si>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</si>
  <si>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</si>
  <si>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</si>
  <si>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Melting_Curves/meltCurve_Q9BWE0_REPIN1.pdf</t>
  </si>
  <si>
    <t>Melting_Curves/meltCurve_Q9BWF3_RBM4.pdf</t>
  </si>
  <si>
    <t>Melting_Curves/meltCurve_Q9BWG6_SCNM1.pdf</t>
  </si>
  <si>
    <t>Melting_Curves/meltCurve_Q9BWH2_FUNDC2.pdf</t>
  </si>
  <si>
    <t>Melting_Curves/meltCurve_Q9BWH6_RPAP1.pdf</t>
  </si>
  <si>
    <t>Melting_Curves/meltCurve_Q9BWJ5_SF3B5.pdf</t>
  </si>
  <si>
    <t>Melting_Curves/meltCurve_Q9BWK5_MRI.pdf</t>
  </si>
  <si>
    <t>Melting_Curves/meltCurve_Q9BWM7_SFXN3.pdf</t>
  </si>
  <si>
    <t>Melting_Curves/meltCurve_Q9BWT3_PAPOLG.pdf</t>
  </si>
  <si>
    <t>Melting_Curves/meltCurve_Q9BWT6_MND1.pdf</t>
  </si>
  <si>
    <t>Melting_Curves/meltCurve_Q9BWU0_SLC4A1AP.pdf</t>
  </si>
  <si>
    <t>Melting_Curves/meltCurve_Q9BWW4_2_SSBP3.pdf</t>
  </si>
  <si>
    <t>Melting_Curves/meltCurve_Q9BX40_LSM14B.pdf</t>
  </si>
  <si>
    <t>Melting_Curves/meltCurve_Q9BX63_BRIP1.pdf</t>
  </si>
  <si>
    <t>Melting_Curves/meltCurve_Q9BX66_9_SORBS1.pdf</t>
  </si>
  <si>
    <t>Melting_Curves/meltCurve_Q9BX67_JAM3.pdf</t>
  </si>
  <si>
    <t>Melting_Curves/meltCurve_Q9BX68_HINT2.pdf</t>
  </si>
  <si>
    <t>Melting_Curves/meltCurve_Q9BX95_SGPP1.pdf</t>
  </si>
  <si>
    <t>Melting_Curves/meltCurve_Q9BXB4_OSBPL11.pdf</t>
  </si>
  <si>
    <t>Melting_Curves/meltCurve_Q9BXF6_RAB11FIP5.pdf</t>
  </si>
  <si>
    <t>Melting_Curves/meltCurve_Q9BXH1_2_BBC3.pdf</t>
  </si>
  <si>
    <t>Melting_Curves/meltCurve_Q9BXI6_TBC1D10A.pdf</t>
  </si>
  <si>
    <t>Melting_Curves/meltCurve_Q9BXJ9_NAA15.pdf</t>
  </si>
  <si>
    <t>Melting_Curves/meltCurve_Q9BXK1_KLF16.pdf</t>
  </si>
  <si>
    <t>Melting_Curves/meltCurve_Q9BXK5_BCL2L13.pdf</t>
  </si>
  <si>
    <t>Melting_Curves/meltCurve_Q9BXL5_HEMGN.pdf</t>
  </si>
  <si>
    <t>Melting_Curves/meltCurve_Q9BXL7_CARD11.pdf</t>
  </si>
  <si>
    <t>Melting_Curves/meltCurve_Q9BXP2_SLC12A9.pdf</t>
  </si>
  <si>
    <t>Melting_Curves/meltCurve_Q9BXP5_4_SRRT.pdf</t>
  </si>
  <si>
    <t>Melting_Curves/meltCurve_Q9BXR0_QTRT1.pdf</t>
  </si>
  <si>
    <t>Melting_Curves/meltCurve_Q9BXS5_AP1M1.pdf</t>
  </si>
  <si>
    <t>Melting_Curves/meltCurve_Q9BXS6_2_NUSAP1.pdf</t>
  </si>
  <si>
    <t>Melting_Curves/meltCurve_Q9BXV9_C14orf142.pdf</t>
  </si>
  <si>
    <t>Melting_Curves/meltCurve_Q9BXW6_OSBPL1A.pdf</t>
  </si>
  <si>
    <t>Melting_Curves/meltCurve_Q9BXW7_2_CECR5.pdf</t>
  </si>
  <si>
    <t>Melting_Curves/meltCurve_Q9BXW9_2_FANCD2.pdf</t>
  </si>
  <si>
    <t>Melting_Curves/meltCurve_Q9BXY0_MAK16.pdf</t>
  </si>
  <si>
    <t>Melting_Curves/meltCurve_Q9BY27_DGCR6L.pdf</t>
  </si>
  <si>
    <t>Melting_Curves/meltCurve_Q9BY32_ITPA.pdf</t>
  </si>
  <si>
    <t>Melting_Curves/meltCurve_Q9BY42_RTFDC1.pdf</t>
  </si>
  <si>
    <t>Melting_Curves/meltCurve_Q9BY43_CHMP4A.pdf</t>
  </si>
  <si>
    <t>Melting_Curves/meltCurve_Q9BY44_EIF2A.pdf</t>
  </si>
  <si>
    <t>Melting_Curves/meltCurve_Q9BY49_PECR.pdf</t>
  </si>
  <si>
    <t>Melting_Curves/meltCurve_Q9BY77_POLDIP3.pdf</t>
  </si>
  <si>
    <t>Melting_Curves/meltCurve_Q9BYB4_GNB1L.pdf</t>
  </si>
  <si>
    <t>Melting_Curves/meltCurve_Q9BYC5_FUT8.pdf</t>
  </si>
  <si>
    <t>Melting_Curves/meltCurve_Q9BYC8_MRPL32.pdf</t>
  </si>
  <si>
    <t>Melting_Curves/meltCurve_Q9BYD6_MRPL1.pdf</t>
  </si>
  <si>
    <t>Melting_Curves/meltCurve_Q9BYG5_PARD6B.pdf</t>
  </si>
  <si>
    <t>Melting_Curves/meltCurve_Q9BYM8_RBCK1.pdf</t>
  </si>
  <si>
    <t>Melting_Curves/meltCurve_Q9BYN0_SRXN1.pdf</t>
  </si>
  <si>
    <t>Melting_Curves/meltCurve_Q9BYN8_MRPS26.pdf</t>
  </si>
  <si>
    <t>Melting_Curves/meltCurve_Q9BYT3_STK33.pdf</t>
  </si>
  <si>
    <t>Melting_Curves/meltCurve_Q9BYT8_NLN.pdf</t>
  </si>
  <si>
    <t>Melting_Curves/meltCurve_Q9BYV8_CEP41.pdf</t>
  </si>
  <si>
    <t>Melting_Curves/meltCurve_Q9BYW2_SETD2.pdf</t>
  </si>
  <si>
    <t>Melting_Curves/meltCurve_Q9BYX2_3_TBC1D2.pdf</t>
  </si>
  <si>
    <t>Melting_Curves/meltCurve_Q9BZ23_3_PANK2.pdf</t>
  </si>
  <si>
    <t>Melting_Curves/meltCurve_Q9BZ67_2_FRMD8.pdf</t>
  </si>
  <si>
    <t>Melting_Curves/meltCurve_Q9BZ95_3_WHSC1L1.pdf</t>
  </si>
  <si>
    <t>Melting_Curves/meltCurve_Q9BZA5_TXLNG2P.pdf</t>
  </si>
  <si>
    <t>Melting_Curves/meltCurve_Q9BZD2_SLC29A3.pdf</t>
  </si>
  <si>
    <t>Melting_Curves/meltCurve_Q9BZD4_NUF2.pdf</t>
  </si>
  <si>
    <t>Melting_Curves/meltCurve_Q9BZE1_MRPL37.pdf</t>
  </si>
  <si>
    <t>Melting_Curves/meltCurve_Q9BZE2_PUS3.pdf</t>
  </si>
  <si>
    <t>Melting_Curves/meltCurve_Q9BZE4_GTPBP4.pdf</t>
  </si>
  <si>
    <t>Melting_Curves/meltCurve_Q9BZE9_ASPSCR1.pdf</t>
  </si>
  <si>
    <t>Melting_Curves/meltCurve_Q9BZF1_3_OSBPL8.pdf</t>
  </si>
  <si>
    <t>Melting_Curves/meltCurve_Q9BZH6_WDR11.pdf</t>
  </si>
  <si>
    <t>Melting_Curves/meltCurve_Q9BZI7_2_UPF3B.pdf</t>
  </si>
  <si>
    <t>Melting_Curves/meltCurve_Q9BZK7_TBL1XR1.pdf</t>
  </si>
  <si>
    <t>Melting_Curves/meltCurve_Q9BZL1_UBL5.pdf</t>
  </si>
  <si>
    <t>Melting_Curves/meltCurve_Q9BZM1_PLA2G12A.pdf</t>
  </si>
  <si>
    <t>Melting_Curves/meltCurve_Q9BZM5_ULBP2.pdf</t>
  </si>
  <si>
    <t>Melting_Curves/meltCurve_Q9BZX2_UCK2.pdf</t>
  </si>
  <si>
    <t>Melting_Curves/meltCurve_Q9BZZ5_API5.pdf</t>
  </si>
  <si>
    <t>Melting_Curves/meltCurve_Q9BZZ5_2_API5.pdf</t>
  </si>
  <si>
    <t>Melting_Curves/meltCurve_Q9C005_DPY30.pdf</t>
  </si>
  <si>
    <t>Melting_Curves/meltCurve_Q9C026_TRIM9.pdf</t>
  </si>
  <si>
    <t>Melting_Curves/meltCurve_Q9C037_2_TRIM4.pdf</t>
  </si>
  <si>
    <t>Melting_Curves/meltCurve_Q9C073_FAM117A.pdf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</si>
  <si>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</si>
  <si>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</si>
  <si>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</si>
  <si>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</si>
  <si>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</si>
  <si>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Melting_Curves/meltCurve_Q9C0C4_SEMA4C.pdf</t>
  </si>
  <si>
    <t>Melting_Curves/meltCurve_Q9C0C9_UBE2O.pdf</t>
  </si>
  <si>
    <t>Melting_Curves/meltCurve_Q9C0D3_ZYG11B.pdf</t>
  </si>
  <si>
    <t>Melting_Curves/meltCurve_Q9C0D5_2_TANC1.pdf</t>
  </si>
  <si>
    <t>Melting_Curves/meltCurve_Q9C0F1_CEP44.pdf</t>
  </si>
  <si>
    <t>Melting_Curves/meltCurve_Q9C0H2_2_TTYH3.pdf</t>
  </si>
  <si>
    <t>Melting_Curves/meltCurve_Q9C0I1_MTMR12.pdf</t>
  </si>
  <si>
    <t>Melting_Curves/meltCurve_Q9C0J8_WDR33.pdf</t>
  </si>
  <si>
    <t>Melting_Curves/meltCurve_Q9C0K0_2_BCL11B.pdf</t>
  </si>
  <si>
    <t>Melting_Curves/meltCurve_Q9C0K1_2_SLC39A8.pdf</t>
  </si>
  <si>
    <t>Melting_Curves/meltCurve_Q9C0K7_2_STRADB.pdf</t>
  </si>
  <si>
    <t>Melting_Curves/meltCurve_Q9GZL7_WDR12.pdf</t>
  </si>
  <si>
    <t>Melting_Curves/meltCurve_Q9GZN1_ACTR6.pdf</t>
  </si>
  <si>
    <t>Melting_Curves/meltCurve_Q9GZN8_C20orf27.pdf</t>
  </si>
  <si>
    <t>Melting_Curves/meltCurve_Q9GZP4_PITHD1.pdf</t>
  </si>
  <si>
    <t>Melting_Curves/meltCurve_Q9GZP9_DERL2.pdf</t>
  </si>
  <si>
    <t>Melting_Curves/meltCurve_Q9GZQ3_COMMD5.pdf</t>
  </si>
  <si>
    <t>Melting_Curves/meltCurve_Q9GZS1_2_POLR1E.pdf</t>
  </si>
  <si>
    <t>Melting_Curves/meltCurve_Q9GZS3_WDR61.pdf</t>
  </si>
  <si>
    <t>Melting_Curves/meltCurve_Q9GZT3_2_SLIRP.pdf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</si>
  <si>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</si>
  <si>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</si>
  <si>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</si>
  <si>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</si>
  <si>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</si>
  <si>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Melting_Curves/meltCurve_Q9GZY8_2_MFF.pdf</t>
  </si>
  <si>
    <t>Melting_Curves/meltCurve_Q9GZY8_4_MFF.pdf</t>
  </si>
  <si>
    <t>Melting_Curves/meltCurve_Q9GZZ9_UBA5.pdf</t>
  </si>
  <si>
    <t>Melting_Curves/meltCurve_Q9H008_LHPP.pdf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</si>
  <si>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</si>
  <si>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</si>
  <si>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</si>
  <si>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</si>
  <si>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Melting_Curves/meltCurve_Q9H081_MIS12.pdf</t>
  </si>
  <si>
    <t>Melting_Curves/meltCurve_Q9H082_RAB33B.pdf</t>
  </si>
  <si>
    <t>Melting_Curves/meltCurve_Q9H089_LSG1.pdf</t>
  </si>
  <si>
    <t>Melting_Curves/meltCurve_Q9H0A0_NAT10.pdf</t>
  </si>
  <si>
    <t>Melting_Curves/meltCurve_Q9H0A8_COMMD4.pdf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</si>
  <si>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</si>
  <si>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</si>
  <si>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</si>
  <si>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</si>
  <si>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Melting_Curves/meltCurve_Q9H0F6_2_SHARPIN.pdf</t>
  </si>
  <si>
    <t>Melting_Curves/meltCurve_Q9H0F7_ARL6.pdf</t>
  </si>
  <si>
    <t>Melting_Curves/meltCurve_Q9H0G5_NSRP1.pdf</t>
  </si>
  <si>
    <t>Melting_Curves/meltCurve_Q9H0H5_RACGAP1.pdf</t>
  </si>
  <si>
    <t>Melting_Curves/meltCurve_Q9H0J9_PARP12.pdf</t>
  </si>
  <si>
    <t>Melting_Curves/meltCurve_Q9H0K6_PUS7L.pdf</t>
  </si>
  <si>
    <t>Melting_Curves/meltCurve_Q9H0L4_CSTF2T.pdf</t>
  </si>
  <si>
    <t>Melting_Curves/meltCurve_Q9H0P0_NT5C3A.pdf</t>
  </si>
  <si>
    <t>Melting_Curves/meltCurve_Q9H0R4_HDHD2.pdf</t>
  </si>
  <si>
    <t>Melting_Curves/meltCurve_Q9H0R6_QRSL1.pdf</t>
  </si>
  <si>
    <t>Melting_Curves/meltCurve_Q9H0S4_2_DDX47.pdf</t>
  </si>
  <si>
    <t>Melting_Curves/meltCurve_Q9H0U3_MAGT1.pdf</t>
  </si>
  <si>
    <t>Melting_Curves/meltCurve_Q9H0U4_RAB1B.pdf</t>
  </si>
  <si>
    <t>Melting_Curves/meltCurve_Q9H0U9_TSPYL1.pdf</t>
  </si>
  <si>
    <t>Melting_Curves/meltCurve_Q9H0V9_LMAN2L.pdf</t>
  </si>
  <si>
    <t>Melting_Curves/meltCurve_Q9H0W8_SMG9.pdf</t>
  </si>
  <si>
    <t>Melting_Curves/meltCurve_Q9H0W9_C11orf54.pdf</t>
  </si>
  <si>
    <t>Melting_Curves/meltCurve_Q9H0X4_ITFG3.pdf</t>
  </si>
  <si>
    <t>Melting_Curves/meltCurve_Q9H115_NAPB.pdf</t>
  </si>
  <si>
    <t>Melting_Curves/meltCurve_Q9H147_DNTTIP1.pdf</t>
  </si>
  <si>
    <t>Melting_Curves/meltCurve_Q9H173_SIL1.pdf</t>
  </si>
  <si>
    <t>Melting_Curves/meltCurve_Q9H1A3_2_METTL9.pdf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</si>
  <si>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</si>
  <si>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</si>
  <si>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</si>
  <si>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</si>
  <si>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Melting_Curves/meltCurve_Q9H1E5_TMX4.pdf</t>
  </si>
  <si>
    <t>Melting_Curves/meltCurve_Q9H1I8_3_ASCC2.pdf</t>
  </si>
  <si>
    <t>Melting_Curves/meltCurve_Q9H1J1_2_UPF3A.pdf</t>
  </si>
  <si>
    <t>Melting_Curves/meltCurve_Q9H1K0_ZFYVE20.pdf</t>
  </si>
  <si>
    <t>Melting_Curves/meltCurve_Q9H1K1_ISCU.pdf</t>
  </si>
  <si>
    <t>Melting_Curves/meltCurve_Q9H1Y0_ATG5.pdf</t>
  </si>
  <si>
    <t>Melting_Curves/meltCurve_Q9H1Z4_WDR13.pdf</t>
  </si>
  <si>
    <t>Melting_Curves/meltCurve_Q9H204_MED28.pdf</t>
  </si>
  <si>
    <t>Melting_Curves/meltCurve_Q9H223_EHD4.pdf</t>
  </si>
  <si>
    <t>Melting_Curves/meltCurve_Q9H246_C1orf21.pdf</t>
  </si>
  <si>
    <t>Melting_Curves/meltCurve_Q9H254_4_SPTBN4.pdf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</si>
  <si>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</si>
  <si>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</si>
  <si>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</si>
  <si>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</si>
  <si>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Melting_Curves/meltCurve_Q9H2D1_SLC25A32.pdf</t>
  </si>
  <si>
    <t>Melting_Curves/meltCurve_Q9H2D6_5_TRIOBP.pdf</t>
  </si>
  <si>
    <t>Melting_Curves/meltCurve_Q9H2G2_2_SLK.pdf</t>
  </si>
  <si>
    <t>Melting_Curves/meltCurve_Q9H2H8_PPIL3.pdf</t>
  </si>
  <si>
    <t>Melting_Curves/meltCurve_Q9H2J4_PDCL3.pdf</t>
  </si>
  <si>
    <t>Melting_Curves/meltCurve_Q9H2K0_MTIF3.pdf</t>
  </si>
  <si>
    <t>Melting_Curves/meltCurve_Q9H2K8_TAOK3.pdf</t>
  </si>
  <si>
    <t>Melting_Curves/meltCurve_Q9H2M9_RAB3GAP2.pdf</t>
  </si>
  <si>
    <t>Melting_Curves/meltCurve_Q9H2P0_ADNP.pdf</t>
  </si>
  <si>
    <t>Melting_Curves/meltCurve_Q9H2P9_DPH5.pdf</t>
  </si>
  <si>
    <t>Melting_Curves/meltCurve_Q9H2U2_PPA2.pdf</t>
  </si>
  <si>
    <t>Melting_Curves/meltCurve_Q9H2W2_MIXL1.pdf</t>
  </si>
  <si>
    <t>Melting_Curves/meltCurve_Q9H2W6_MRPL46.pdf</t>
  </si>
  <si>
    <t>Melting_Curves/meltCurve_Q9H2Y7_ZNF106.pdf</t>
  </si>
  <si>
    <t>Melting_Curves/meltCurve_Q9H300_PARL.pdf</t>
  </si>
  <si>
    <t>Melting_Curves/meltCurve_Q9H307_PNN.pdf</t>
  </si>
  <si>
    <t>Melting_Curves/meltCurve_Q9H330_2_TMEM245.pdf</t>
  </si>
  <si>
    <t>Melting_Curves/meltCurve_Q9H3C7_GGNBP2.pdf</t>
  </si>
  <si>
    <t>Melting_Curves/meltCurve_Q9H3F6_KCTD10.pdf</t>
  </si>
  <si>
    <t>Melting_Curves/meltCurve_Q9H3G5_CPVL.pdf</t>
  </si>
  <si>
    <t>Melting_Curves/meltCurve_Q9H3H1_TRIT1.pdf</t>
  </si>
  <si>
    <t>Melting_Curves/meltCurve_Q9H3H3_2_C11orf68.pdf</t>
  </si>
  <si>
    <t>Melting_Curves/meltCurve_Q9H3H5_2_DPAGT1.pdf</t>
  </si>
  <si>
    <t>Melting_Curves/meltCurve_Q9H3K6_BOLA2.pdf</t>
  </si>
  <si>
    <t>Melting_Curves/meltCurve_Q9H3N1_TMX1.pdf</t>
  </si>
  <si>
    <t>Melting_Curves/meltCurve_Q9H3P2_NELFA.pdf</t>
  </si>
  <si>
    <t>Melting_Curves/meltCurve_Q9H3P7_ACBD3.pdf</t>
  </si>
  <si>
    <t>Melting_Curves/meltCurve_Q9H3R5_CENPH.pdf</t>
  </si>
  <si>
    <t>Melting_Curves/meltCurve_Q9H3S7_PTPN23.pdf</t>
  </si>
  <si>
    <t>Melting_Curves/meltCurve_Q9H3U1_2_UNC45A.pdf</t>
  </si>
  <si>
    <t>Melting_Curves/meltCurve_Q9H3U5_3_MFSD1.pdf</t>
  </si>
  <si>
    <t>Melting_Curves/meltCurve_Q9H3Z4_2_DNAJC5.pdf</t>
  </si>
  <si>
    <t>Melting_Curves/meltCurve_Q9H400_LIME1.pdf</t>
  </si>
  <si>
    <t>Melting_Curves/meltCurve_Q9H410_DSN1.pdf</t>
  </si>
  <si>
    <t>Melting_Curves/meltCurve_Q9H425_C1orf198.pdf</t>
  </si>
  <si>
    <t>Melting_Curves/meltCurve_Q9H444_CHMP4B.pdf</t>
  </si>
  <si>
    <t>Melting_Curves/meltCurve_Q9H467_CUEDC2.pdf</t>
  </si>
  <si>
    <t>Melting_Curves/meltCurve_Q9H477_RBKS.pdf</t>
  </si>
  <si>
    <t>Melting_Curves/meltCurve_Q9H488_POFUT1.pdf</t>
  </si>
  <si>
    <t>Melting_Curves/meltCurve_Q9H490_2_PIGU.pdf</t>
  </si>
  <si>
    <t>Melting_Curves/meltCurve_Q9H496_IFRG15.pdf</t>
  </si>
  <si>
    <t>Melting_Curves/meltCurve_Q9H497_TOR3A.pdf</t>
  </si>
  <si>
    <t>Melting_Curves/meltCurve_Q9H4A4_RNPEP.pdf</t>
  </si>
  <si>
    <t>Melting_Curves/meltCurve_Q9H4A5_GOLPH3L.pdf</t>
  </si>
  <si>
    <t>Melting_Curves/meltCurve_Q9H4A6_GOLPH3.pdf</t>
  </si>
  <si>
    <t>Melting_Curves/meltCurve_Q9H4B0_OSGEPL1.pdf</t>
  </si>
  <si>
    <t>Melting_Curves/meltCurve_Q9H4E7_DEF6.pdf</t>
  </si>
  <si>
    <t>Melting_Curves/meltCurve_Q9H4G4_GLIPR2.pdf</t>
  </si>
  <si>
    <t>Melting_Curves/meltCurve_Q9H4H8_2_FAM83D.pdf</t>
  </si>
  <si>
    <t>Melting_Curves/meltCurve_Q9H4I2_ZHX3.pdf</t>
  </si>
  <si>
    <t>Melting_Curves/meltCurve_Q9H4L5_2_OSBPL3.pdf</t>
  </si>
  <si>
    <t>Melting_Curves/meltCurve_Q9H4L7_2_SMARCAD1.pdf</t>
  </si>
  <si>
    <t>Melting_Curves/meltCurve_Q9H4M9_EHD1.pdf</t>
  </si>
  <si>
    <t>Melting_Curves/meltCurve_Q9H4P4_2_RNF41.pdf</t>
  </si>
  <si>
    <t>Melting_Curves/meltCurve_Q9H4X1_2_RGCC.pdf</t>
  </si>
  <si>
    <t>Melting_Curves/meltCurve_Q9H4Z3_PCIF1.pdf</t>
  </si>
  <si>
    <t>Melting_Curves/meltCurve_Q9H501_ESF1.pdf</t>
  </si>
  <si>
    <t>Melting_Curves/meltCurve_Q9H553_ALG2.pdf</t>
  </si>
  <si>
    <t>Melting_Curves/meltCurve_Q9H583_HEATR1.pdf</t>
  </si>
  <si>
    <t>Melting_Curves/meltCurve_Q9H5K3_SGK196.pdf</t>
  </si>
  <si>
    <t>Melting_Curves/meltCurve_Q9H5N1_RABEP2.pdf</t>
  </si>
  <si>
    <t>Melting_Curves/meltCurve_Q9H5Q4_TFB2M.pdf</t>
  </si>
  <si>
    <t>Melting_Curves/meltCurve_Q9H5V9_3_CXorf56.pdf</t>
  </si>
  <si>
    <t>Melting_Curves/meltCurve_Q9H5X1_FAM96A.pdf</t>
  </si>
  <si>
    <t>Melting_Curves/meltCurve_Q9H6D7_HAUS4.pdf</t>
  </si>
  <si>
    <t>Melting_Curves/meltCurve_Q9H6E4_CCDC134.pdf</t>
  </si>
  <si>
    <t>Melting_Curves/meltCurve_Q9H6F5_CCDC86.pdf</t>
  </si>
  <si>
    <t>Melting_Curves/meltCurve_Q9H6H4_REEP4.pdf</t>
  </si>
  <si>
    <t>Melting_Curves/meltCurve_Q9H6K1_C6orf106.pdf</t>
  </si>
  <si>
    <t>Melting_Curves/meltCurve_Q9H6K4_OPA3.pdf</t>
  </si>
  <si>
    <t>Melting_Curves/meltCurve_Q9H6L2_TMEM231.pdf</t>
  </si>
  <si>
    <t>Melting_Curves/meltCurve_Q9H6L5_FAM134B.pdf</t>
  </si>
  <si>
    <t>Melting_Curves/meltCurve_Q9H6P5_TASP1.pdf</t>
  </si>
  <si>
    <t>Melting_Curves/meltCurve_Q9H6Q4_NARFL.pdf</t>
  </si>
  <si>
    <t>Melting_Curves/meltCurve_Q9H6R0_DHX33.pdf</t>
  </si>
  <si>
    <t>Melting_Curves/meltCurve_Q9H6R4_4_NOL6.pdf</t>
  </si>
  <si>
    <t>Melting_Curves/meltCurve_Q9H6R6_2_ZDHHC6.pdf</t>
  </si>
  <si>
    <t>Melting_Curves/meltCurve_Q9H6S0_YTHDC2.pdf</t>
  </si>
  <si>
    <t>Melting_Curves/meltCurve_Q9H6T3_RPAP3.pdf</t>
  </si>
  <si>
    <t>Melting_Curves/meltCurve_Q9H6U6_2_BCAS3.pdf</t>
  </si>
  <si>
    <t>Melting_Curves/meltCurve_Q9H6U8_ALG9.pdf</t>
  </si>
  <si>
    <t>Melting_Curves/meltCurve_Q9H6W3_NO66.pdf</t>
  </si>
  <si>
    <t>Melting_Curves/meltCurve_Q9H6X2_ANTXR1.pdf</t>
  </si>
  <si>
    <t>Melting_Curves/meltCurve_Q9H6Y2_WDR55.pdf</t>
  </si>
  <si>
    <t>Melting_Curves/meltCurve_Q9H6Z4_3_RANBP3.pdf</t>
  </si>
  <si>
    <t>Melting_Curves/meltCurve_Q9H773_DCTPP1.pdf</t>
  </si>
  <si>
    <t>Melting_Curves/meltCurve_Q9H777_ELAC1.pdf</t>
  </si>
  <si>
    <t>Melting_Curves/meltCurve_Q9H7B4_SMYD3.pdf</t>
  </si>
  <si>
    <t>Melting_Curves/meltCurve_Q9H7D7_2_WDR26.pdf</t>
  </si>
  <si>
    <t>Melting_Curves/meltCurve_Q9H7E2_3_TDRD3.pdf</t>
  </si>
  <si>
    <t>Melting_Curves/meltCurve_Q9H7E9_C8orf33.pdf</t>
  </si>
  <si>
    <t>Melting_Curves/meltCurve_Q9H7F0_ATP13A3.pdf</t>
  </si>
  <si>
    <t>Melting_Curves/meltCurve_Q9H7F4_TMEM185B.pdf</t>
  </si>
  <si>
    <t>Melting_Curves/meltCurve_Q9H7H0_3_METTL17.pdf</t>
  </si>
  <si>
    <t>Melting_Curves/meltCurve_Q9H7J1_PPP1R3E.pdf</t>
  </si>
  <si>
    <t>Melting_Curves/meltCurve_Q9H7L9_SUDS3.pdf</t>
  </si>
  <si>
    <t>Melting_Curves/meltCurve_Q9H7M9_C10orf54.pdf</t>
  </si>
  <si>
    <t>Melting_Curves/meltCurve_Q9H7N4_SCAF1.pdf</t>
  </si>
  <si>
    <t>Melting_Curves/meltCurve_Q9H7U1_3_CCSER2.pdf</t>
  </si>
  <si>
    <t>Melting_Curves/meltCurve_Q9H7X3_ZNF696.pdf</t>
  </si>
  <si>
    <t>Melting_Curves/meltCurve_Q9H7Z3_NRDE2.pdf</t>
  </si>
  <si>
    <t>Melting_Curves/meltCurve_Q9H7Z6_KAT8.pdf</t>
  </si>
  <si>
    <t>Melting_Curves/meltCurve_Q9H7Z7_PTGES2.pdf</t>
  </si>
  <si>
    <t>Melting_Curves/meltCurve_Q9H813_TMEM206.pdf</t>
  </si>
  <si>
    <t>Melting_Curves/meltCurve_Q9H814_PHAX.pdf</t>
  </si>
  <si>
    <t>Melting_Curves/meltCurve_Q9H832_UBE2Z.pdf</t>
  </si>
  <si>
    <t>Melting_Curves/meltCurve_Q9H845_ACAD9.pdf</t>
  </si>
  <si>
    <t>Melting_Curves/meltCurve_Q9H857_2_NT5DC2.pdf</t>
  </si>
  <si>
    <t>Melting_Curves/meltCurve_Q9H867_2_METTL21D.pdf</t>
  </si>
  <si>
    <t>Melting_Curves/meltCurve_Q9H871_RMND5A.pdf</t>
  </si>
  <si>
    <t>Melting_Curves/meltCurve_Q9H875_PRKRIP1.pdf</t>
  </si>
  <si>
    <t>Melting_Curves/meltCurve_Q9H8G2_CAAP1.pdf</t>
  </si>
  <si>
    <t>Melting_Curves/meltCurve_Q9H8H0_NOL11.pdf</t>
  </si>
  <si>
    <t>Melting_Curves/meltCurve_Q9H8M2_2_BRD9.pdf</t>
  </si>
  <si>
    <t>Melting_Curves/meltCurve_Q9H8M5_3_CNNM2.pdf</t>
  </si>
  <si>
    <t>Melting_Curves/meltCurve_Q9H8M7_FAM188A.pdf</t>
  </si>
  <si>
    <t>Melting_Curves/meltCurve_Q9H8P0_SRD5A3.pdf</t>
  </si>
  <si>
    <t>Melting_Curves/meltCurve_Q9H8S9_MOB1A.pdf</t>
  </si>
  <si>
    <t>Melting_Curves/meltCurve_Q9H8U3_ZFAND3.pdf</t>
  </si>
  <si>
    <t>Melting_Curves/meltCurve_Q9H8W3_FAM204A.pdf</t>
  </si>
  <si>
    <t>Melting_Curves/meltCurve_Q9H8W4_PLEKHF2.pdf</t>
  </si>
  <si>
    <t>Melting_Curves/meltCurve_Q9H8Y5_ANKZF1.pdf</t>
  </si>
  <si>
    <t>Melting_Curves/meltCurve_Q9H8Y8_GORASP2.pdf</t>
  </si>
  <si>
    <t>Melting_Curves/meltCurve_Q9H900_ZWILCH.pdf</t>
  </si>
  <si>
    <t>Melting_Curves/meltCurve_Q9H903_1_MTHFD2L.pdf</t>
  </si>
  <si>
    <t>Melting_Curves/meltCurve_Q9H910_2_HN1L.pdf</t>
  </si>
  <si>
    <t>Melting_Curves/meltCurve_Q9H936_SLC25A22.pdf</t>
  </si>
  <si>
    <t>Melting_Curves/meltCurve_Q9H944_MED20.pdf</t>
  </si>
  <si>
    <t>Melting_Curves/meltCurve_Q9H974_QTRTD1.pdf</t>
  </si>
  <si>
    <t>Melting_Curves/meltCurve_Q9H977_WDR54.pdf</t>
  </si>
  <si>
    <t>Melting_Curves/meltCurve_Q9H981_ACTR8.pdf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</si>
  <si>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</si>
  <si>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</si>
  <si>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</si>
  <si>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</si>
  <si>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Melting_Curves/meltCurve_Q9H9A7_RMI1.pdf</t>
  </si>
  <si>
    <t>Melting_Curves/meltCurve_Q9H9B4_SFXN1.pdf</t>
  </si>
  <si>
    <t>Melting_Curves/meltCurve_Q9H9F9_ACTR5.pdf</t>
  </si>
  <si>
    <t>Melting_Curves/meltCurve_Q9H9G7_AGO3.pdf</t>
  </si>
  <si>
    <t>Melting_Curves/meltCurve_Q9H9H4_VPS37B.pdf</t>
  </si>
  <si>
    <t>Melting_Curves/meltCurve_Q9H9P8_L2HGDH.pdf</t>
  </si>
  <si>
    <t>Melting_Curves/meltCurve_Q9H9Q4_NHEJ1.pdf</t>
  </si>
  <si>
    <t>Melting_Curves/meltCurve_Q9H9S5_FKRP.pdf</t>
  </si>
  <si>
    <t>Melting_Curves/meltCurve_Q9H9T3_2_ELP3.pdf</t>
  </si>
  <si>
    <t>Melting_Curves/meltCurve_Q9H9V9_2_JMJD4.pdf</t>
  </si>
  <si>
    <t>Melting_Curves/meltCurve_Q9H9Y4_GPN2.pdf</t>
  </si>
  <si>
    <t>Melting_Curves/meltCurve_Q9H9Y6_POLR1B.pdf</t>
  </si>
  <si>
    <t>Melting_Curves/meltCurve_Q9HA38_2_ZMAT3.pdf</t>
  </si>
  <si>
    <t>Melting_Curves/meltCurve_Q9HA47_3_UCK1.pdf</t>
  </si>
  <si>
    <t>Melting_Curves/meltCurve_Q9HA64_FN3KRP.pdf</t>
  </si>
  <si>
    <t>Melting_Curves/meltCurve_Q9HA65_TBC1D17.pdf</t>
  </si>
  <si>
    <t>Melting_Curves/meltCurve_Q9HA77_CARS2.pdf</t>
  </si>
  <si>
    <t>Melting_Curves/meltCurve_Q9HA92_RSAD1.pdf</t>
  </si>
  <si>
    <t>Melting_Curves/meltCurve_Q9HAB8_PPCS.pdf</t>
  </si>
  <si>
    <t>Melting_Curves/meltCurve_Q9HAD4_WDR41.pdf</t>
  </si>
  <si>
    <t>Melting_Curves/meltCurve_Q9HAF1_2_MEAF6.pdf</t>
  </si>
  <si>
    <t>Melting_Curves/meltCurve_Q9HAJ7_SAP30L.pdf</t>
  </si>
  <si>
    <t>Melting_Curves/meltCurve_Q9HAN9_NMNAT1.pdf</t>
  </si>
  <si>
    <t>Melting_Curves/meltCurve_Q9HAT2_2_SIAE.pdf</t>
  </si>
  <si>
    <t>Melting_Curves/meltCurve_Q9HAT8_PELI2.pdf</t>
  </si>
  <si>
    <t>Melting_Curves/meltCurve_Q9HAU5_UPF2.pdf</t>
  </si>
  <si>
    <t>Melting_Curves/meltCurve_Q9HAV4_XPO5.pdf</t>
  </si>
  <si>
    <t>Melting_Curves/meltCurve_Q9HAV7_GRPEL1.pdf</t>
  </si>
  <si>
    <t>Melting_Curves/meltCurve_Q9HAW4_CLSPN.pdf</t>
  </si>
  <si>
    <t>Melting_Curves/meltCurve_Q9HB07_C12orf10.pdf</t>
  </si>
  <si>
    <t>Melting_Curves/meltCurve_Q9HB09_BCL2L12.pdf</t>
  </si>
  <si>
    <t>Melting_Curves/meltCurve_Q9HB19_PLEKHA2.pdf</t>
  </si>
  <si>
    <t>Melting_Curves/meltCurve_Q9HB20_PLEKHA3.pdf</t>
  </si>
  <si>
    <t>Melting_Curves/meltCurve_Q9HB21_PLEKHA1.pdf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</si>
  <si>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</si>
  <si>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</si>
  <si>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</si>
  <si>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</si>
  <si>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Melting_Curves/meltCurve_Q9HBF4_ZFYVE1.pdf</t>
  </si>
  <si>
    <t>Melting_Curves/meltCurve_Q9HBH0_RHOF.pdf</t>
  </si>
  <si>
    <t>Melting_Curves/meltCurve_Q9HBH1_PDF.pdf</t>
  </si>
  <si>
    <t>Melting_Curves/meltCurve_Q9HBH5_RDH14.pdf</t>
  </si>
  <si>
    <t>Melting_Curves/meltCurve_Q9HBI0_PARVG.pdf</t>
  </si>
  <si>
    <t>Melting_Curves/meltCurve_Q9HBL7_PLGRKT.pdf</t>
  </si>
  <si>
    <t>Melting_Curves/meltCurve_Q9HBL8_NMRAL1.pdf</t>
  </si>
  <si>
    <t>Melting_Curves/meltCurve_Q9HBM1_SPC25.pdf</t>
  </si>
  <si>
    <t>Melting_Curves/meltCurve_Q9HBM6_TAF9B.pdf</t>
  </si>
  <si>
    <t>Melting_Curves/meltCurve_Q9HBM8_AGPAT1.pdf</t>
  </si>
  <si>
    <t>Melting_Curves/meltCurve_Q9HBR0_SLC38A10.pdf</t>
  </si>
  <si>
    <t>Melting_Curves/meltCurve_Q9HBU6_ETNK1.pdf</t>
  </si>
  <si>
    <t>Melting_Curves/meltCurve_Q9HC21_SLC25A19.pdf</t>
  </si>
  <si>
    <t>Melting_Curves/meltCurve_Q9HC35_EML4.pdf</t>
  </si>
  <si>
    <t>Melting_Curves/meltCurve_Q9HC36_RNMTL1.pdf</t>
  </si>
  <si>
    <t>Melting_Curves/meltCurve_Q9HC38_2_GLOD4.pdf</t>
  </si>
  <si>
    <t>Melting_Curves/meltCurve_Q9HC44_GPBP1L1.pdf</t>
  </si>
  <si>
    <t>Melting_Curves/meltCurve_Q9HC52_CBX8.pdf</t>
  </si>
  <si>
    <t>Melting_Curves/meltCurve_Q9HCC0_MCCC2.pdf</t>
  </si>
  <si>
    <t>Melting_Curves/meltCurve_Q9HCD5_NCOA5.pdf</t>
  </si>
  <si>
    <t>Melting_Curves/meltCurve_Q9HCE1_MOV10.pdf</t>
  </si>
  <si>
    <t>Melting_Curves/meltCurve_Q9HCE5_METTL14.pdf</t>
  </si>
  <si>
    <t>Melting_Curves/meltCurve_Q9HCJ0_TNRC6C.pdf</t>
  </si>
  <si>
    <t>Melting_Curves/meltCurve_Q9HCJ1_ANKH.pdf</t>
  </si>
  <si>
    <t>Melting_Curves/meltCurve_Q9HCJ3_2_RAVER2.pdf</t>
  </si>
  <si>
    <t>Melting_Curves/meltCurve_Q9HCK8_CHD8.pdf</t>
  </si>
  <si>
    <t>Melting_Curves/meltCurve_Q9HCL2_GPAM.pdf</t>
  </si>
  <si>
    <t>Melting_Curves/meltCurve_Q9HCL3_ZFP14.pdf</t>
  </si>
  <si>
    <t>Melting_Curves/meltCurve_Q9HCN3_TMEM8A.pdf</t>
  </si>
  <si>
    <t>Melting_Curves/meltCurve_Q9HCN4_GPN1.pdf</t>
  </si>
  <si>
    <t>Melting_Curves/meltCurve_Q9HCN8_SDF2L1.pdf</t>
  </si>
  <si>
    <t>Melting_Curves/meltCurve_Q9HCP0_2_CSNK1G1.pdf</t>
  </si>
  <si>
    <t>Melting_Curves/meltCurve_Q9HCU5_PREB.pdf</t>
  </si>
  <si>
    <t>Melting_Curves/meltCurve_Q9HD15_SRA1.pdf</t>
  </si>
  <si>
    <t>Melting_Curves/meltCurve_Q9HD20_2_ATP13A1.pdf</t>
  </si>
  <si>
    <t>Melting_Curves/meltCurve_Q9HD26_GOPC.pdf</t>
  </si>
  <si>
    <t>Melting_Curves/meltCurve_Q9HD34_LYRM4.pdf</t>
  </si>
  <si>
    <t>Melting_Curves/meltCurve_Q9HD40_SEPSECS.pdf</t>
  </si>
  <si>
    <t>Melting_Curves/meltCurve_Q9HD42_CHMP1A.pdf</t>
  </si>
  <si>
    <t>Melting_Curves/meltCurve_Q9HD45_TM9SF3.pdf</t>
  </si>
  <si>
    <t>Melting_Curves/meltCurve_Q9HD47_RANGRF.pdf</t>
  </si>
  <si>
    <t>Melting_Curves/meltCurve_Q9HD89_RETN.pdf</t>
  </si>
  <si>
    <t>Melting_Curves/meltCurve_Q9HDC5_JPH1.pdf</t>
  </si>
  <si>
    <t>Melting_Curves/meltCurve_Q9HDC9_APMAP.pdf</t>
  </si>
  <si>
    <t>Melting_Curves/meltCurve_Q9NP58_4_ABCB6.pdf</t>
  </si>
  <si>
    <t>Melting_Curves/meltCurve_Q9NP66_HMG20A.pdf</t>
  </si>
  <si>
    <t>Melting_Curves/meltCurve_Q9NP72_RAB18.pdf</t>
  </si>
  <si>
    <t>Melting_Curves/meltCurve_Q9NP73_2_ALG13.pdf</t>
  </si>
  <si>
    <t>Melting_Curves/meltCurve_Q9NP77_SSU72.pdf</t>
  </si>
  <si>
    <t>Melting_Curves/meltCurve_Q9NP79_VTA1.pdf</t>
  </si>
  <si>
    <t>Melting_Curves/meltCurve_Q9NP92_MRPS30.pdf</t>
  </si>
  <si>
    <t>Melting_Curves/meltCurve_Q9NPA0_EMC7.pdf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</si>
  <si>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</si>
  <si>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</si>
  <si>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</si>
  <si>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</si>
  <si>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Melting_Curves/meltCurve_Q9NPD7_NRN1.pdf</t>
  </si>
  <si>
    <t>Melting_Curves/meltCurve_Q9NPD8_UBE2T.pdf</t>
  </si>
  <si>
    <t>Melting_Curves/meltCurve_Q9NPE2_NGRN.pdf</t>
  </si>
  <si>
    <t>Melting_Curves/meltCurve_Q9NPE3_NOP10.pdf</t>
  </si>
  <si>
    <t>Melting_Curves/meltCurve_Q9NPF0_CD320.pdf</t>
  </si>
  <si>
    <t>Melting_Curves/meltCurve_Q9NPF4_OSGEP.pdf</t>
  </si>
  <si>
    <t>Melting_Curves/meltCurve_Q9NPH0_ACP6.pdf</t>
  </si>
  <si>
    <t>Melting_Curves/meltCurve_Q9NPH3_IL1RAP.pdf</t>
  </si>
  <si>
    <t>Melting_Curves/meltCurve_Q9NPI6_DCP1A.pdf</t>
  </si>
  <si>
    <t>Melting_Curves/meltCurve_Q9NPJ3_2_ACOT13.pdf</t>
  </si>
  <si>
    <t>Melting_Curves/meltCurve_Q9NPJ8_3_NXT2.pdf</t>
  </si>
  <si>
    <t>Melting_Curves/meltCurve_Q9NPL8_TIMMDC1.pdf</t>
  </si>
  <si>
    <t>Melting_Curves/meltCurve_Q9NPQ8_4_RIC8A.pdf</t>
  </si>
  <si>
    <t>Melting_Curves/meltCurve_Q9NPR9_GPR108.pdf</t>
  </si>
  <si>
    <t>Melting_Curves/meltCurve_Q9NQ29_LUC7L.pdf</t>
  </si>
  <si>
    <t>Melting_Curves/meltCurve_Q9NQ34_TMEM9B.pdf</t>
  </si>
  <si>
    <t>Melting_Curves/meltCurve_Q9NQ55_2_PPAN.pdf</t>
  </si>
  <si>
    <t>Melting_Curves/meltCurve_Q9NQ88_TIGAR.pdf</t>
  </si>
  <si>
    <t>Melting_Curves/meltCurve_Q9NQ92_COPRS.pdf</t>
  </si>
  <si>
    <t>Melting_Curves/meltCurve_Q9NQC3_RTN4.pdf</t>
  </si>
  <si>
    <t>Melting_Curves/meltCurve_Q9NQC3_5_RTN4.pdf</t>
  </si>
  <si>
    <t>Melting_Curves/meltCurve_Q9NQE9_HINT3.pdf</t>
  </si>
  <si>
    <t>Melting_Curves/meltCurve_Q9NQG1_MANBAL.pdf</t>
  </si>
  <si>
    <t>Melting_Curves/meltCurve_Q9NQG5_RPRD1B.pdf</t>
  </si>
  <si>
    <t>Melting_Curves/meltCurve_Q9NQH7_2_XPNPEP3.pdf</t>
  </si>
  <si>
    <t>Melting_Curves/meltCurve_Q9NQP4_PFDN4.pdf</t>
  </si>
  <si>
    <t>Melting_Curves/meltCurve_Q9NQR4_NIT2.pdf</t>
  </si>
  <si>
    <t>Melting_Curves/meltCurve_Q9NQS1_AVEN.pdf</t>
  </si>
  <si>
    <t>Melting_Curves/meltCurve_Q9NQT4_EXOSC5.pdf</t>
  </si>
  <si>
    <t>Melting_Curves/meltCurve_Q9NQT5_EXOSC3.pdf</t>
  </si>
  <si>
    <t>Melting_Curves/meltCurve_Q9NQT8_KIF13B.pdf</t>
  </si>
  <si>
    <t>Melting_Curves/meltCurve_Q9NQW6_ANLN.pdf</t>
  </si>
  <si>
    <t>Melting_Curves/meltCurve_Q9NQW7_3_XPNPEP1.pdf</t>
  </si>
  <si>
    <t>Melting_Curves/meltCurve_Q9NQX3_GPHN.pdf</t>
  </si>
  <si>
    <t>Melting_Curves/meltCurve_Q9NQZ2_UTP3.pdf</t>
  </si>
  <si>
    <t>Melting_Curves/meltCurve_Q9NQZ5_STARD7.pdf</t>
  </si>
  <si>
    <t>Melting_Curves/meltCurve_Q9NQZ6_3_ZC4H2.pdf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</si>
  <si>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</si>
  <si>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</si>
  <si>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</si>
  <si>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</si>
  <si>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</si>
  <si>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</si>
  <si>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</si>
  <si>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Melting_Curves/meltCurve_Q9NR50_EIF2B3.pdf</t>
  </si>
  <si>
    <t>Melting_Curves/meltCurve_Q9NR55_BATF3.pdf</t>
  </si>
  <si>
    <t>Melting_Curves/meltCurve_Q9NR77_PXMP2.pdf</t>
  </si>
  <si>
    <t>Melting_Curves/meltCurve_Q9NRA2_SLC17A5.pdf</t>
  </si>
  <si>
    <t>Melting_Curves/meltCurve_Q9NRD5_PICK1.pdf</t>
  </si>
  <si>
    <t>Melting_Curves/meltCurve_Q9NRF9_POLE3.pdf</t>
  </si>
  <si>
    <t>Melting_Curves/meltCurve_Q9NRG0_CHRAC1.pdf</t>
  </si>
  <si>
    <t>Melting_Curves/meltCurve_Q9NRG4_SMYD2.pdf</t>
  </si>
  <si>
    <t>Melting_Curves/meltCurve_Q9NRG7_2_SDR39U1.pdf</t>
  </si>
  <si>
    <t>Melting_Curves/meltCurve_Q9NRG9_AAAS.pdf</t>
  </si>
  <si>
    <t>Melting_Curves/meltCurve_Q9NRH1_YAE1D1.pdf</t>
  </si>
  <si>
    <t>Melting_Curves/meltCurve_Q9NRK6_ABCB10.pdf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</si>
  <si>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</si>
  <si>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</si>
  <si>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</si>
  <si>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</si>
  <si>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Melting_Curves/meltCurve_Q9NRP0_OSTC.pdf</t>
  </si>
  <si>
    <t>Melting_Curves/meltCurve_Q9NRP2_CMC2.pdf</t>
  </si>
  <si>
    <t>Melting_Curves/meltCurve_Q9NRP4_ACN9.pdf</t>
  </si>
  <si>
    <t>Melting_Curves/meltCurve_Q9NRR5_UBQLN4.pdf</t>
  </si>
  <si>
    <t>Melting_Curves/meltCurve_Q9NRR8_CDC42SE1.pdf</t>
  </si>
  <si>
    <t>Melting_Curves/meltCurve_Q9NRS6_SNX15.pdf</t>
  </si>
  <si>
    <t>Melting_Curves/meltCurve_Q9NRV9_HEBP1.pdf</t>
  </si>
  <si>
    <t>Melting_Curves/meltCurve_Q9NRW1_RAB6B.pdf</t>
  </si>
  <si>
    <t>Melting_Curves/meltCurve_Q9NRW7_VPS45.pdf</t>
  </si>
  <si>
    <t>Melting_Curves/meltCurve_Q9NRX1_PNO1.pdf</t>
  </si>
  <si>
    <t>Melting_Curves/meltCurve_Q9NRX4_PHPT1.pdf</t>
  </si>
  <si>
    <t>Melting_Curves/meltCurve_Q9NRY2_INIP.pdf</t>
  </si>
  <si>
    <t>Melting_Curves/meltCurve_Q9NRY4_ARHGAP35.pdf</t>
  </si>
  <si>
    <t>Melting_Curves/meltCurve_Q9NRY5_FAM114A2.pdf</t>
  </si>
  <si>
    <t>Melting_Curves/meltCurve_Q9NRY6_PLSCR3.pdf</t>
  </si>
  <si>
    <t>Melting_Curves/meltCurve_Q9NRZ5_AGPAT4.pdf</t>
  </si>
  <si>
    <t>Melting_Curves/meltCurve_Q9NRZ7_2_AGPAT3.pdf</t>
  </si>
  <si>
    <t>Melting_Curves/meltCurve_Q9NRZ9_2_HELLS.pdf</t>
  </si>
  <si>
    <t>Melting_Curves/meltCurve_Q9NS69_TOMM22.pdf</t>
  </si>
  <si>
    <t>Melting_Curves/meltCurve_Q9NS86_LANCL2.pdf</t>
  </si>
  <si>
    <t>Melting_Curves/meltCurve_Q9NS87_KIF15.pdf</t>
  </si>
  <si>
    <t>Melting_Curves/meltCurve_Q9NS91_RAD18.pdf</t>
  </si>
  <si>
    <t>Melting_Curves/meltCurve_Q9NS93_TM7SF3.pdf</t>
  </si>
  <si>
    <t>Melting_Curves/meltCurve_Q9NSA3_CTNNBIP1.pdf</t>
  </si>
  <si>
    <t>Melting_Curves/meltCurve_Q9NSB8_2_HOMER2.pdf</t>
  </si>
  <si>
    <t>Melting_Curves/meltCurve_Q9NSC5_5_HOMER3.pdf</t>
  </si>
  <si>
    <t>Melting_Curves/meltCurve_Q9NSD9_FARSB.pdf</t>
  </si>
  <si>
    <t>Melting_Curves/meltCurve_Q9NSE4_IARS2.pdf</t>
  </si>
  <si>
    <t>Melting_Curves/meltCurve_Q9NSI2_2_FAM207A.pdf</t>
  </si>
  <si>
    <t>Melting_Curves/meltCurve_Q9NSI8_3_SAMSN1.pdf</t>
  </si>
  <si>
    <t>Melting_Curves/meltCurve_Q9NSK0_KLC4.pdf</t>
  </si>
  <si>
    <t>Melting_Curves/meltCurve_Q9NSU2_2_TREX1.pdf</t>
  </si>
  <si>
    <t>Melting_Curves/meltCurve_Q9NSY1_BMP2K.pdf</t>
  </si>
  <si>
    <t>Melting_Curves/meltCurve_Q9NT62_ATG3.pdf</t>
  </si>
  <si>
    <t>Melting_Curves/meltCurve_Q9NTG7_SIRT3.pdf</t>
  </si>
  <si>
    <t>Melting_Curves/meltCurve_Q9NTI5_2_PDS5B.pdf</t>
  </si>
  <si>
    <t>Melting_Curves/meltCurve_Q9NTJ3_SMC4.pdf</t>
  </si>
  <si>
    <t>Melting_Curves/meltCurve_Q9NTJ5_SACM1L.pdf</t>
  </si>
  <si>
    <t>Melting_Curves/meltCurve_Q9NTK5_2_OLA1.pdf</t>
  </si>
  <si>
    <t>Melting_Curves/meltCurve_Q9NTM9_CUTC.pdf</t>
  </si>
  <si>
    <t>Melting_Curves/meltCurve_Q9NTN3_SLC35D1.pdf</t>
  </si>
  <si>
    <t>Melting_Curves/meltCurve_Q9NTX5_2_ECHDC1.pdf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</si>
  <si>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</si>
  <si>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</si>
  <si>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</si>
  <si>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</si>
  <si>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Melting_Curves/meltCurve_Q9NUB1_2_ACSS1.pdf</t>
  </si>
  <si>
    <t>Melting_Curves/meltCurve_Q9NUD5_ZCCHC3.pdf</t>
  </si>
  <si>
    <t>Melting_Curves/meltCurve_Q9NUE0_ZDHHC18.pdf</t>
  </si>
  <si>
    <t>Melting_Curves/meltCurve_Q9NUG6_PDRG1.pdf</t>
  </si>
  <si>
    <t>Melting_Curves/meltCurve_Q9NUJ1_ABHD10.pdf</t>
  </si>
  <si>
    <t>Melting_Curves/meltCurve_Q9NUL5_3_C19orf66.pdf</t>
  </si>
  <si>
    <t>Melting_Curves/meltCurve_Q9NUM4_TMEM106B.pdf</t>
  </si>
  <si>
    <t>Melting_Curves/meltCurve_Q9NUN5_3_LMBRD1.pdf</t>
  </si>
  <si>
    <t>Melting_Curves/meltCurve_Q9NUP1_BLOC1S4.pdf</t>
  </si>
  <si>
    <t>Melting_Curves/meltCurve_Q9NUP7_TRMT13.pdf</t>
  </si>
  <si>
    <t>Melting_Curves/meltCurve_Q9NUP9_LIN7C.pdf</t>
  </si>
  <si>
    <t>Melting_Curves/meltCurve_Q9NUQ2_AGPAT5.pdf</t>
  </si>
  <si>
    <t>Melting_Curves/meltCurve_Q9NUQ3_TXLNG.pdf</t>
  </si>
  <si>
    <t>Melting_Curves/meltCurve_Q9NUQ7_UFSP2.pdf</t>
  </si>
  <si>
    <t>Melting_Curves/meltCurve_Q9NUQ8_ABCF3.pdf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</si>
  <si>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</si>
  <si>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</si>
  <si>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</si>
  <si>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</si>
  <si>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Melting_Curves/meltCurve_Q9NUX5_2_POT1.pdf</t>
  </si>
  <si>
    <t>Melting_Curves/meltCurve_Q9NV06_DCAF13.pdf</t>
  </si>
  <si>
    <t>Melting_Curves/meltCurve_Q9NV31_IMP3.pdf</t>
  </si>
  <si>
    <t>Melting_Curves/meltCurve_Q9NV35_NUDT15.pdf</t>
  </si>
  <si>
    <t>Melting_Curves/meltCurve_Q9NV56_MRGBP.pdf</t>
  </si>
  <si>
    <t>Melting_Curves/meltCurve_Q9NV70_2_EXOC1.pdf</t>
  </si>
  <si>
    <t>Melting_Curves/meltCurve_Q9NV88_3_INTS9.pdf</t>
  </si>
  <si>
    <t>Melting_Curves/meltCurve_Q9NV96_TMEM30A.pdf</t>
  </si>
  <si>
    <t>Melting_Curves/meltCurve_Q9NVA1_UQCC.pdf</t>
  </si>
  <si>
    <t>Melting_Curves/meltCurve_Q9NVA4_TMEM184C.pdf</t>
  </si>
  <si>
    <t>Melting_Curves/meltCurve_Q9NVC3_SLC38A7.pdf</t>
  </si>
  <si>
    <t>Melting_Curves/meltCurve_Q9NVC6_MED17.pdf</t>
  </si>
  <si>
    <t>Melting_Curves/meltCurve_Q9NVE7_PANK4.pdf</t>
  </si>
  <si>
    <t>Melting_Curves/meltCurve_Q9NVF7_FBXO28.pdf</t>
  </si>
  <si>
    <t>Melting_Curves/meltCurve_Q9NVG8_TBC1D13.pdf</t>
  </si>
  <si>
    <t>Melting_Curves/meltCurve_Q9NVH0_EXD2.pdf</t>
  </si>
  <si>
    <t>Melting_Curves/meltCurve_Q9NVH1_DNAJC11.pdf</t>
  </si>
  <si>
    <t>Melting_Curves/meltCurve_Q9NVH2_3_INTS7.pdf</t>
  </si>
  <si>
    <t>Melting_Curves/meltCurve_Q9NVH6_7_TMLHE.pdf</t>
  </si>
  <si>
    <t>Melting_Curves/meltCurve_Q9NVI1_FANCI.pdf</t>
  </si>
  <si>
    <t>Melting_Curves/meltCurve_Q9NVI7_2_ATAD3A.pdf</t>
  </si>
  <si>
    <t>Melting_Curves/meltCurve_Q9NVJ2_ARL8B.pdf</t>
  </si>
  <si>
    <t>Melting_Curves/meltCurve_Q9NVK5_2_FGFR1OP2.pdf</t>
  </si>
  <si>
    <t>Melting_Curves/meltCurve_Q9NVM4_3_PRMT7.pdf</t>
  </si>
  <si>
    <t>Melting_Curves/meltCurve_Q9NVM6_DNAJC17.pdf</t>
  </si>
  <si>
    <t>Melting_Curves/meltCurve_Q9NVM9_ASUN.pdf</t>
  </si>
  <si>
    <t>Melting_Curves/meltCurve_Q9NVN8_GNL3L.pdf</t>
  </si>
  <si>
    <t>Melting_Curves/meltCurve_Q9NVP1_DDX18.pdf</t>
  </si>
  <si>
    <t>Melting_Curves/meltCurve_Q9NVP2_ASF1B.pdf</t>
  </si>
  <si>
    <t>Melting_Curves/meltCurve_Q9NVR0_KLHL11.pdf</t>
  </si>
  <si>
    <t>Melting_Curves/meltCurve_Q9NVR2_INTS10.pdf</t>
  </si>
  <si>
    <t>Melting_Curves/meltCurve_Q9NVR5_DNAAF2.pdf</t>
  </si>
  <si>
    <t>Melting_Curves/meltCurve_Q9NVS9_PNPO.pdf</t>
  </si>
  <si>
    <t>Melting_Curves/meltCurve_Q9NVT9_ARMC1.pdf</t>
  </si>
  <si>
    <t>Melting_Curves/meltCurve_Q9NVU0_5_POLR3E.pdf</t>
  </si>
  <si>
    <t>Melting_Curves/meltCurve_Q9NVU7_SDAD1.pdf</t>
  </si>
  <si>
    <t>Melting_Curves/meltCurve_Q9NVV0_TMEM38B.pdf</t>
  </si>
  <si>
    <t>Melting_Curves/meltCurve_Q9NVV4_MTPAP.pdf</t>
  </si>
  <si>
    <t>Melting_Curves/meltCurve_Q9NVW2_RLIM.pdf</t>
  </si>
  <si>
    <t>Melting_Curves/meltCurve_Q9NVX0_2_HAUS2.pdf</t>
  </si>
  <si>
    <t>Melting_Curves/meltCurve_Q9NVX2_NLE1.pdf</t>
  </si>
  <si>
    <t>Melting_Curves/meltCurve_Q9NVX7_KBTBD4.pdf</t>
  </si>
  <si>
    <t>Melting_Curves/meltCurve_Q9NVZ3_NECAP2.pdf</t>
  </si>
  <si>
    <t>Melting_Curves/meltCurve_Q9NW08_2_POLR3B.pdf</t>
  </si>
  <si>
    <t>Melting_Curves/meltCurve_Q9NW64_RBM22.pdf</t>
  </si>
  <si>
    <t>Melting_Curves/meltCurve_Q9NW75_2_GPATCH2.pdf</t>
  </si>
  <si>
    <t>Melting_Curves/meltCurve_Q9NW81_ATP5SL.pdf</t>
  </si>
  <si>
    <t>Melting_Curves/meltCurve_Q9NW82_WDR70.pdf</t>
  </si>
  <si>
    <t>Melting_Curves/meltCurve_Q9NWA0_MED9.pdf</t>
  </si>
  <si>
    <t>Melting_Curves/meltCurve_Q9NWB6_ARGLU1.pdf</t>
  </si>
  <si>
    <t>Melting_Curves/meltCurve_Q9NWD8_TMEM248.pdf</t>
  </si>
  <si>
    <t>Melting_Curves/meltCurve_Q9NWH2_TMEM242.pdf</t>
  </si>
  <si>
    <t>Melting_Curves/meltCurve_Q9NWH9_SLTM.pdf</t>
  </si>
  <si>
    <t>Melting_Curves/meltCurve_Q9NWK9_ZNHIT6.pdf</t>
  </si>
  <si>
    <t>Melting_Curves/meltCurve_Q9NWM8_FKBP14.pdf</t>
  </si>
  <si>
    <t>Melting_Curves/meltCurve_Q9NWQ8_PAG1.pdf</t>
  </si>
  <si>
    <t>Melting_Curves/meltCurve_Q9NWQ9_C14orf119.pdf</t>
  </si>
  <si>
    <t>Melting_Curves/meltCurve_Q9NWR8_CCDC109B.pdf</t>
  </si>
  <si>
    <t>Melting_Curves/meltCurve_Q9NWS0_PIH1D1.pdf</t>
  </si>
  <si>
    <t>Melting_Curves/meltCurve_Q9NWS6_FAM118A.pdf</t>
  </si>
  <si>
    <t>Melting_Curves/meltCurve_Q9NWS8_RMND1.pdf</t>
  </si>
  <si>
    <t>Melting_Curves/meltCurve_Q9NWT1_PAK1IP1.pdf</t>
  </si>
  <si>
    <t>Melting_Curves/meltCurve_Q9NWT6_HIF1AN.pdf</t>
  </si>
  <si>
    <t>Melting_Curves/meltCurve_Q9NWU1_OXSM.pdf</t>
  </si>
  <si>
    <t>Melting_Curves/meltCurve_Q9NWU2_GID8.pdf</t>
  </si>
  <si>
    <t>Melting_Curves/meltCurve_Q9NWV4_C1orf123.pdf</t>
  </si>
  <si>
    <t>Melting_Curves/meltCurve_Q9NWW6_NMRK1.pdf</t>
  </si>
  <si>
    <t>Melting_Curves/meltCurve_Q9NWX5_ASB6.pdf</t>
  </si>
  <si>
    <t>Melting_Curves/meltCurve_Q9NWX6_THG1L.pdf</t>
  </si>
  <si>
    <t>Melting_Curves/meltCurve_Q9NWY4_C4orf27.pdf</t>
  </si>
  <si>
    <t>Melting_Curves/meltCurve_Q9NWZ3_IRAK4.pdf</t>
  </si>
  <si>
    <t>Melting_Curves/meltCurve_Q9NWZ5_UCKL1.pdf</t>
  </si>
  <si>
    <t>Melting_Curves/meltCurve_Q9NWZ8_GEMIN8.pdf</t>
  </si>
  <si>
    <t>Melting_Curves/meltCurve_Q9NX00_TMEM160.pdf</t>
  </si>
  <si>
    <t>Melting_Curves/meltCurve_Q9NX01_TXNL4B.pdf</t>
  </si>
  <si>
    <t>Melting_Curves/meltCurve_Q9NX04_C1orf109.pdf</t>
  </si>
  <si>
    <t>Melting_Curves/meltCurve_Q9NX07_TRNAU1AP.pdf</t>
  </si>
  <si>
    <t>Melting_Curves/meltCurve_Q9NX08_COMMD8.pdf</t>
  </si>
  <si>
    <t>Melting_Curves/meltCurve_Q9NX14_2_NDUFB11.pdf</t>
  </si>
  <si>
    <t>Melting_Curves/meltCurve_Q9NX20_MRPL16.pdf</t>
  </si>
  <si>
    <t>Melting_Curves/meltCurve_Q9NX24_NHP2.pdf</t>
  </si>
  <si>
    <t>Melting_Curves/meltCurve_Q9NX38_FAM206A.pdf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</si>
  <si>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</si>
  <si>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</si>
  <si>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</si>
  <si>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</si>
  <si>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Melting_Curves/meltCurve_Q9NX58_LYAR.pdf</t>
  </si>
  <si>
    <t>Melting_Curves/meltCurve_Q9NX62_IMPAD1.pdf</t>
  </si>
  <si>
    <t>Melting_Curves/meltCurve_Q9NX70_MED29.pdf</t>
  </si>
  <si>
    <t>Melting_Curves/meltCurve_Q9NX74_DUS2L.pdf</t>
  </si>
  <si>
    <t>Melting_Curves/meltCurve_Q9NX76_CMTM6.pdf</t>
  </si>
  <si>
    <t>Melting_Curves/meltCurve_Q9NX94_WBP1L.pdf</t>
  </si>
  <si>
    <t>Melting_Curves/meltCurve_Q9NXA8_SIRT5.pdf</t>
  </si>
  <si>
    <t>Melting_Curves/meltCurve_Q9NXC2_GFOD1.pdf</t>
  </si>
  <si>
    <t>Melting_Curves/meltCurve_Q9NXC5_MIOS.pdf</t>
  </si>
  <si>
    <t>Melting_Curves/meltCurve_Q9NXE8_CWC25.pdf</t>
  </si>
  <si>
    <t>Melting_Curves/meltCurve_Q9NXF7_DCAF16.pdf</t>
  </si>
  <si>
    <t>Melting_Curves/meltCurve_Q9NXH9_TRMT1.pdf</t>
  </si>
  <si>
    <t>Melting_Curves/meltCurve_Q9NXK8_FBXL12.pdf</t>
  </si>
  <si>
    <t>Melting_Curves/meltCurve_Q9NXN4_2_GDAP2.pdf</t>
  </si>
  <si>
    <t>Melting_Curves/meltCurve_Q9NXR1_2_NDE1.pdf</t>
  </si>
  <si>
    <t>Melting_Curves/meltCurve_Q9NXR5_ANKRD10.pdf</t>
  </si>
  <si>
    <t>Melting_Curves/meltCurve_Q9NXR7_BRE.pdf</t>
  </si>
  <si>
    <t>Melting_Curves/meltCurve_Q9NXS2_QPCTL.pdf</t>
  </si>
  <si>
    <t>Melting_Curves/meltCurve_Q9NXU5_ARL15.pdf</t>
  </si>
  <si>
    <t>Melting_Curves/meltCurve_Q9NXV2_KCTD5.pdf</t>
  </si>
  <si>
    <t>Melting_Curves/meltCurve_Q9NXV6_CDKN2AIP.pdf</t>
  </si>
  <si>
    <t>Melting_Curves/meltCurve_Q9NXW9_ALKBH4.pdf</t>
  </si>
  <si>
    <t>Melting_Curves/meltCurve_Q9NXX6_NSMCE4A.pdf</t>
  </si>
  <si>
    <t>Melting_Curves/meltCurve_Q9NY12_2_GAR1.pdf</t>
  </si>
  <si>
    <t>Melting_Curves/meltCurve_Q9NY27_PPP4R2.pdf</t>
  </si>
  <si>
    <t>Melting_Curves/meltCurve_Q9NY93_2_DDX56.pdf</t>
  </si>
  <si>
    <t>Melting_Curves/meltCurve_Q9NYA1_SPHK1.pdf</t>
  </si>
  <si>
    <t>Melting_Curves/meltCurve_Q9NYB0_TERF2IP.pdf</t>
  </si>
  <si>
    <t>Melting_Curves/meltCurve_Q9NYF8_2_BCLAF1.pdf</t>
  </si>
  <si>
    <t>Melting_Curves/meltCurve_Q9NYH9_UTP6.pdf</t>
  </si>
  <si>
    <t>Melting_Curves/meltCurve_Q9NYJ1_COA4.pdf</t>
  </si>
  <si>
    <t>Melting_Curves/meltCurve_Q9NYK5_MRPL39.pdf</t>
  </si>
  <si>
    <t>Melting_Curves/meltCurve_Q9NYL2_MLTK.pdf</t>
  </si>
  <si>
    <t>Melting_Curves/meltCurve_Q9NYL2_2_MLTK.pdf</t>
  </si>
  <si>
    <t>Melting_Curves/meltCurve_Q9NYL9_TMOD3.pdf</t>
  </si>
  <si>
    <t>Melting_Curves/meltCurve_Q9NYM9_BET1L.pdf</t>
  </si>
  <si>
    <t>Melting_Curves/meltCurve_Q9NYP9_MIS18A.pdf</t>
  </si>
  <si>
    <t>Melting_Curves/meltCurve_Q9NYS0_NKIRAS1.pdf</t>
  </si>
  <si>
    <t>Melting_Curves/meltCurve_Q9NYU1_UGGT2.pdf</t>
  </si>
  <si>
    <t>Melting_Curves/meltCurve_Q9NYU2_2_UGGT1.pdf</t>
  </si>
  <si>
    <t>Melting_Curves/meltCurve_Q9NYV4_2_CDK12.pdf</t>
  </si>
  <si>
    <t>Melting_Curves/meltCurve_Q9NYY8_FASTKD2.pdf</t>
  </si>
  <si>
    <t>Melting_Curves/meltCurve_Q9NYZ2_SLC25A37.pdf</t>
  </si>
  <si>
    <t>Melting_Curves/meltCurve_Q9NYZ3_GTSE1.pdf</t>
  </si>
  <si>
    <t>Melting_Curves/meltCurve_Q9NZ01_TECR.pdf</t>
  </si>
  <si>
    <t>Melting_Curves/meltCurve_Q9NZ08_ERAP1.pdf</t>
  </si>
  <si>
    <t>Melting_Curves/meltCurve_Q9NZ09_UBAP1.pdf</t>
  </si>
  <si>
    <t>Melting_Curves/meltCurve_Q9NZ32_ACTR10.pdf</t>
  </si>
  <si>
    <t>Melting_Curves/meltCurve_Q9NZ43_USE1.pdf</t>
  </si>
  <si>
    <t>Melting_Curves/meltCurve_Q9NZ45_CISD1.pdf</t>
  </si>
  <si>
    <t>Melting_Curves/meltCurve_Q9NZ52_GGA3.pdf</t>
  </si>
  <si>
    <t>Melting_Curves/meltCurve_Q9NZ63_C9orf78.pdf</t>
  </si>
  <si>
    <t>Melting_Curves/meltCurve_Q9NZA1_3_CLIC5.pdf</t>
  </si>
  <si>
    <t>Melting_Curves/meltCurve_Q9NZB2_FAM120A.pdf</t>
  </si>
  <si>
    <t>Melting_Curves/meltCurve_Q9NZB8_2_MOCS1.pdf</t>
  </si>
  <si>
    <t>Melting_Curves/meltCurve_Q9NZC3_GDE1.pdf</t>
  </si>
  <si>
    <t>Melting_Curves/meltCurve_Q9NZC7_WWOX.pdf</t>
  </si>
  <si>
    <t>Melting_Curves/meltCurve_Q9NZC9_SMARCAL1.pdf</t>
  </si>
  <si>
    <t>Melting_Curves/meltCurve_Q9NZD2_GLTP.pdf</t>
  </si>
  <si>
    <t>Melting_Curves/meltCurve_Q9NZD8_2_SPG21.pdf</t>
  </si>
  <si>
    <t>Melting_Curves/meltCurve_Q9NZG7_NINJ2.pdf</t>
  </si>
  <si>
    <t>Melting_Curves/meltCurve_Q9NZI7_UBP1.pdf</t>
  </si>
  <si>
    <t>Melting_Curves/meltCurve_Q9NZI8_IGF2BP1.pdf</t>
  </si>
  <si>
    <t>Melting_Curves/meltCurve_Q9NZJ6_COQ3.pdf</t>
  </si>
  <si>
    <t>Melting_Curves/meltCurve_Q9NZJ7_2_MTCH1.pdf</t>
  </si>
  <si>
    <t>Melting_Curves/meltCurve_Q9NZJ9_NUDT4.pdf</t>
  </si>
  <si>
    <t>Melting_Curves/meltCurve_Q9NZJ9_2_NUDT4.pdf</t>
  </si>
  <si>
    <t>Melting_Curves/meltCurve_Q9NZL4_HSPBP1.pdf</t>
  </si>
  <si>
    <t>Melting_Curves/meltCurve_Q9NZL9_MAT2B.pdf</t>
  </si>
  <si>
    <t>Melting_Curves/meltCurve_Q9NZL9_2_MAT2B.pdf</t>
  </si>
  <si>
    <t>Melting_Curves/meltCurve_Q9NZM3_2_ITSN2.pdf</t>
  </si>
  <si>
    <t>Melting_Curves/meltCurve_Q9NZQ3_3_NCKIPSD.pdf</t>
  </si>
  <si>
    <t>Melting_Curves/meltCurve_Q9NZR1_TMOD2.pdf</t>
  </si>
  <si>
    <t>Melting_Curves/meltCurve_Q9NZT2_2_OGFR.pdf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</si>
  <si>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</si>
  <si>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</si>
  <si>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</si>
  <si>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</si>
  <si>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</si>
  <si>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Melting_Curves/meltCurve_Q9P031_CCDC59.pdf</t>
  </si>
  <si>
    <t>Melting_Curves/meltCurve_Q9P032_NDUFAF4.pdf</t>
  </si>
  <si>
    <t>Melting_Curves/meltCurve_Q9P035_PTPLAD1.pdf</t>
  </si>
  <si>
    <t>Melting_Curves/meltCurve_Q9P086_MED11.pdf</t>
  </si>
  <si>
    <t>Melting_Curves/meltCurve_Q9P0B6_CCDC167.pdf</t>
  </si>
  <si>
    <t>Melting_Curves/meltCurve_Q9P0I2_EMC3.pdf</t>
  </si>
  <si>
    <t>Melting_Curves/meltCurve_Q9P0J1_PDP1.pdf</t>
  </si>
  <si>
    <t>Melting_Curves/meltCurve_Q9P0J7_KCMF1.pdf</t>
  </si>
  <si>
    <t>Melting_Curves/meltCurve_Q9P0L0_VAPA.pdf</t>
  </si>
  <si>
    <t>Melting_Curves/meltCurve_Q9P0N9_3_TBC1D7.pdf</t>
  </si>
  <si>
    <t>Melting_Curves/meltCurve_Q9P0P0_RNF181.pdf</t>
  </si>
  <si>
    <t>Melting_Curves/meltCurve_Q9P0R6_GSKIP.pdf</t>
  </si>
  <si>
    <t>Melting_Curves/meltCurve_Q9P0S2_COX16.pdf</t>
  </si>
  <si>
    <t>Melting_Curves/meltCurve_Q9P0U4_CXXC1.pdf</t>
  </si>
  <si>
    <t>Melting_Curves/meltCurve_Q9P1F3_ABRACL.pdf</t>
  </si>
  <si>
    <t>Melting_Curves/meltCurve_Q9P1U0_ZNRD1.pdf</t>
  </si>
  <si>
    <t>Melting_Curves/meltCurve_Q9P1U1_ACTR3B.pdf</t>
  </si>
  <si>
    <t>Melting_Curves/meltCurve_Q9P1W8_4_SIRPG.pdf</t>
  </si>
  <si>
    <t>Melting_Curves/meltCurve_Q9P1Y5_CAMSAP3.pdf</t>
  </si>
  <si>
    <t>Melting_Curves/meltCurve_Q9P206_2_KIAA1522.pdf</t>
  </si>
  <si>
    <t>Melting_Curves/meltCurve_Q9P215_POGK.pdf</t>
  </si>
  <si>
    <t>Melting_Curves/meltCurve_Q9P219_CCDC88C.pdf</t>
  </si>
  <si>
    <t>Melting_Curves/meltCurve_Q9P244_LRFN1.pdf</t>
  </si>
  <si>
    <t>Melting_Curves/meltCurve_Q9P253_VPS18.pdf</t>
  </si>
  <si>
    <t>Melting_Curves/meltCurve_Q9P258_RCC2.pdf</t>
  </si>
  <si>
    <t>Melting_Curves/meltCurve_Q9P260_KIAA1468.pdf</t>
  </si>
  <si>
    <t>Melting_Curves/meltCurve_Q9P265_DIP2B.pdf</t>
  </si>
  <si>
    <t>Melting_Curves/meltCurve_Q9P270_SLAIN2.pdf</t>
  </si>
  <si>
    <t>Melting_Curves/meltCurve_Q9P287_BCCIP.pdf</t>
  </si>
  <si>
    <t>Melting_Curves/meltCurve_Q9P287_2_BCCIP.pdf</t>
  </si>
  <si>
    <t>Melting_Curves/meltCurve_Q9P2A4_2_ABI3.pdf</t>
  </si>
  <si>
    <t>Melting_Curves/meltCurve_Q9P2B4_CTTNBP2NL.pdf</t>
  </si>
  <si>
    <t>Melting_Curves/meltCurve_Q9P2B7_KIAA1430.pdf</t>
  </si>
  <si>
    <t>Melting_Curves/meltCurve_Q9P2C4_TMEM181.pdf</t>
  </si>
  <si>
    <t>Melting_Curves/meltCurve_Q9P2D1_CHD7.pdf</t>
  </si>
  <si>
    <t>Melting_Curves/meltCurve_Q9P2D3_3_HEATR5B.pdf</t>
  </si>
  <si>
    <t>Melting_Curves/meltCurve_Q9P2E9_RRBP1.pdf</t>
  </si>
  <si>
    <t>Melting_Curves/meltCurve_Q9P2I0_CPSF2.pdf</t>
  </si>
  <si>
    <t>Melting_Curves/meltCurve_Q9P2J5_LARS.pdf</t>
  </si>
  <si>
    <t>Melting_Curves/meltCurve_Q9P2J9_PDP2.pdf</t>
  </si>
  <si>
    <t>Melting_Curves/meltCurve_Q9P2K2_TXNDC16.pdf</t>
  </si>
  <si>
    <t>Melting_Curves/meltCurve_Q9P2K3_4_RCOR3.pdf</t>
  </si>
  <si>
    <t>Melting_Curves/meltCurve_Q9P2K5_MYEF2.pdf</t>
  </si>
  <si>
    <t>Melting_Curves/meltCurve_Q9P2K8_2_EIF2AK4.pdf</t>
  </si>
  <si>
    <t>Melting_Curves/meltCurve_Q9P2M4_TBC1D14.pdf</t>
  </si>
  <si>
    <t>Melting_Curves/meltCurve_Q9P2M7_CGN.pdf</t>
  </si>
  <si>
    <t>Melting_Curves/meltCurve_Q9P2N5_RBM27.pdf</t>
  </si>
  <si>
    <t>Melting_Curves/meltCurve_Q9P2N6_3_KANSL3.pdf</t>
  </si>
  <si>
    <t>Melting_Curves/meltCurve_Q9P2R3_ANKFY1.pdf</t>
  </si>
  <si>
    <t>Melting_Curves/meltCurve_Q9P2R6_RERE.pdf</t>
  </si>
  <si>
    <t>Melting_Curves/meltCurve_Q9P2W1_PSMC3IP.pdf</t>
  </si>
  <si>
    <t>Melting_Curves/meltCurve_Q9P2X0_DPM3.pdf</t>
  </si>
  <si>
    <t>Melting_Curves/meltCurve_Q9P2Y4_ZNF219.pdf</t>
  </si>
  <si>
    <t>Melting_Curves/meltCurve_Q9P2Y5_UVRAG.pdf</t>
  </si>
  <si>
    <t>Melting_Curves/meltCurve_Q9UBB4_ATXN10.pdf</t>
  </si>
  <si>
    <t>Melting_Curves/meltCurve_Q9UBB5_MBD2.pdf</t>
  </si>
  <si>
    <t>Melting_Curves/meltCurve_Q9UBB6_2_NCDN.pdf</t>
  </si>
  <si>
    <t>Melting_Curves/meltCurve_Q9UBB9_TFIP11.pdf</t>
  </si>
  <si>
    <t>Melting_Curves/meltCurve_Q9UBC2_2_EPS15L1.pdf</t>
  </si>
  <si>
    <t>Melting_Curves/meltCurve_Q9UBC2_4_EPS15L1.pdf</t>
  </si>
  <si>
    <t>Melting_Curves/meltCurve_Q9UBC3_7_DNMT3B.pdf</t>
  </si>
  <si>
    <t>Melting_Curves/meltCurve_Q9UBD5_2_ORC3.pdf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</si>
  <si>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</si>
  <si>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</si>
  <si>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</si>
  <si>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</si>
  <si>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Melting_Curves/meltCurve_Q9UBG0_MRC2.pdf</t>
  </si>
  <si>
    <t>Melting_Curves/meltCurve_Q9UBG3_CRNN.pdf</t>
  </si>
  <si>
    <t>Melting_Curves/meltCurve_Q9UBK8_2_MTRR.pdf</t>
  </si>
  <si>
    <t>Melting_Curves/meltCurve_Q9UBK9_UXT.pdf</t>
  </si>
  <si>
    <t>Melting_Curves/meltCurve_Q9UBL0_ARPP21.pdf</t>
  </si>
  <si>
    <t>Melting_Curves/meltCurve_Q9UBL3_3_ASH2L.pdf</t>
  </si>
  <si>
    <t>Melting_Curves/meltCurve_Q9UBM7_DHCR7.pdf</t>
  </si>
  <si>
    <t>Melting_Curves/meltCurve_Q9UBP0_3_SPAST.pdf</t>
  </si>
  <si>
    <t>Melting_Curves/meltCurve_Q9UBP6_METTL1.pdf</t>
  </si>
  <si>
    <t>Melting_Curves/meltCurve_Q9UBQ0_VPS29.pdf</t>
  </si>
  <si>
    <t>Melting_Curves/meltCurve_Q9UBQ7_GRHPR.pdf</t>
  </si>
  <si>
    <t>Melting_Curves/meltCurve_Q9UBS0_RPS6KB2.pdf</t>
  </si>
  <si>
    <t>Melting_Curves/meltCurve_Q9UBS4_DNAJB11.pdf</t>
  </si>
  <si>
    <t>Melting_Curves/meltCurve_Q9UBS8_RNF14.pdf</t>
  </si>
  <si>
    <t>Melting_Curves/meltCurve_Q9UBS9_SUCO.pdf</t>
  </si>
  <si>
    <t>Melting_Curves/meltCurve_Q9UBT2_UBA2.pdf</t>
  </si>
  <si>
    <t>Melting_Curves/meltCurve_Q9UBU6_FAM8A1.pdf</t>
  </si>
  <si>
    <t>Melting_Curves/meltCurve_Q9UBU9_NXF1.pdf</t>
  </si>
  <si>
    <t>Melting_Curves/meltCurve_Q9UBV2_SEL1L.pdf</t>
  </si>
  <si>
    <t>Melting_Curves/meltCurve_Q9UBV7_B4GALT7.pdf</t>
  </si>
  <si>
    <t>Melting_Curves/meltCurve_Q9UBV8_PEF1.pdf</t>
  </si>
  <si>
    <t>Melting_Curves/meltCurve_Q9UBW5_BIN2.pdf</t>
  </si>
  <si>
    <t>Melting_Curves/meltCurve_Q9UBW7_ZMYM2.pdf</t>
  </si>
  <si>
    <t>Melting_Curves/meltCurve_Q9UBW8_COPS7A.pdf</t>
  </si>
  <si>
    <t>Melting_Curves/meltCurve_Q9UBX3_SLC25A10.pdf</t>
  </si>
  <si>
    <t>Melting_Curves/meltCurve_Q9UDR5_AASS.pdf</t>
  </si>
  <si>
    <t>Melting_Curves/meltCurve_Q9UDT6_2_CLIP2.pdf</t>
  </si>
  <si>
    <t>Melting_Curves/meltCurve_Q9UDW1_UQCR10.pdf</t>
  </si>
  <si>
    <t>Melting_Curves/meltCurve_Q9UDX5_MTFP1.pdf</t>
  </si>
  <si>
    <t>Melting_Curves/meltCurve_Q9UDY2_6_TJP2.pdf</t>
  </si>
  <si>
    <t>Melting_Curves/meltCurve_Q9UDY8_2_MALT1.pdf</t>
  </si>
  <si>
    <t>Melting_Curves/meltCurve_Q9UEE5_STK17A.pdf</t>
  </si>
  <si>
    <t>Melting_Curves/meltCurve_Q9UEE9_CFDP1.pdf</t>
  </si>
  <si>
    <t>Melting_Curves/meltCurve_Q9UEG4_ZNF629.pdf</t>
  </si>
  <si>
    <t>Melting_Curves/meltCurve_Q9UEL6_MPZL1.pdf</t>
  </si>
  <si>
    <t>Melting_Curves/meltCurve_Q9UER7_2_DAXX.pdf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</si>
  <si>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</si>
  <si>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</si>
  <si>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</si>
  <si>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</si>
  <si>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Melting_Curves/meltCurve_Q9UF56_FBXL17.pdf</t>
  </si>
  <si>
    <t>Melting_Curves/meltCurve_Q9UFC0_LRWD1.pdf</t>
  </si>
  <si>
    <t>Melting_Curves/meltCurve_Q9UFN0_NIPSNAP3A.pdf</t>
  </si>
  <si>
    <t>Melting_Curves/meltCurve_Q9UFW8_CGGBP1.pdf</t>
  </si>
  <si>
    <t>Melting_Curves/meltCurve_Q9UG63_ABCF2.pdf</t>
  </si>
  <si>
    <t>Melting_Curves/meltCurve_Q9UGJ1_2_TUBGCP4.pdf</t>
  </si>
  <si>
    <t>Melting_Curves/meltCurve_Q9UGK8_SERGEF.pdf</t>
  </si>
  <si>
    <t>Melting_Curves/meltCurve_Q9UGM1_CHRNA9.pdf</t>
  </si>
  <si>
    <t>Melting_Curves/meltCurve_Q9UGM6_WARS2.pdf</t>
  </si>
  <si>
    <t>Melting_Curves/meltCurve_Q9UGP4_LIMD1.pdf</t>
  </si>
  <si>
    <t>Melting_Curves/meltCurve_Q9UGP8_SEC63.pdf</t>
  </si>
  <si>
    <t>Melting_Curves/meltCurve_Q9UGQ2_2_CACFD1.pdf</t>
  </si>
  <si>
    <t>Melting_Curves/meltCurve_Q9UGQ3_2_SLC2A6.pdf</t>
  </si>
  <si>
    <t>Melting_Curves/meltCurve_Q9UGR2_2_ZC3H7B.pdf</t>
  </si>
  <si>
    <t>Melting_Curves/meltCurve_Q9UGU0_2_TCF20.pdf</t>
  </si>
  <si>
    <t>Melting_Curves/meltCurve_Q9UGV2_NDRG3.pdf</t>
  </si>
  <si>
    <t>Melting_Curves/meltCurve_Q9UH03_2_SEPT3.pdf</t>
  </si>
  <si>
    <t>Melting_Curves/meltCurve_Q9UH62_ARMCX3.pdf</t>
  </si>
  <si>
    <t>Melting_Curves/meltCurve_Q9UH65_SWAP70.pdf</t>
  </si>
  <si>
    <t>Melting_Curves/meltCurve_Q9UH99_SUN2.pdf</t>
  </si>
  <si>
    <t>Melting_Curves/meltCurve_Q9UHA2_SS18L2.pdf</t>
  </si>
  <si>
    <t>Melting_Curves/meltCurve_Q9UHA4_LAMTOR3.pdf</t>
  </si>
  <si>
    <t>Melting_Curves/meltCurve_Q9UHB6_LIMA1.pdf</t>
  </si>
  <si>
    <t>Melting_Curves/meltCurve_Q9UHB6_4_LIMA1.pdf</t>
  </si>
  <si>
    <t>Melting_Curves/meltCurve_Q9UHB7_AFF4.pdf</t>
  </si>
  <si>
    <t>Melting_Curves/meltCurve_Q9UHB9_SRP68.pdf</t>
  </si>
  <si>
    <t>Melting_Curves/meltCurve_Q9UHC7_4_MKRN1.pdf</t>
  </si>
  <si>
    <t>Melting_Curves/meltCurve_Q9UHD1_CHORDC1.pdf</t>
  </si>
  <si>
    <t>Melting_Curves/meltCurve_Q9UHD2_TBK1.pdf</t>
  </si>
  <si>
    <t>Melting_Curves/meltCurve_Q9UHD8_SEPT9.pdf</t>
  </si>
  <si>
    <t>Melting_Curves/meltCurve_Q9UHD9_UBQLN2.pdf</t>
  </si>
  <si>
    <t>Melting_Curves/meltCurve_Q9UHG3_PCYOX1.pdf</t>
  </si>
  <si>
    <t>Melting_Curves/meltCurve_Q9UHI6_DDX20.pdf</t>
  </si>
  <si>
    <t>Melting_Curves/meltCurve_Q9UHJ6_SHPK.pdf</t>
  </si>
  <si>
    <t>Melting_Curves/meltCurve_Q9UHL4_DPP7.pdf</t>
  </si>
  <si>
    <t>Melting_Curves/meltCurve_Q9UHN1_POLG2.pdf</t>
  </si>
  <si>
    <t>Melting_Curves/meltCurve_Q9UHN6_2_TMEM2.pdf</t>
  </si>
  <si>
    <t>Melting_Curves/meltCurve_Q9UHQ1_NARF.pdf</t>
  </si>
  <si>
    <t>Melting_Curves/meltCurve_Q9UHQ4_BCAP29.pdf</t>
  </si>
  <si>
    <t>Melting_Curves/meltCurve_Q9UHQ9_CYB5R1.pdf</t>
  </si>
  <si>
    <t>Melting_Curves/meltCurve_Q9UHR6_ZNHIT2.pdf</t>
  </si>
  <si>
    <t>Melting_Curves/meltCurve_Q9UHV9_PFDN2.pdf</t>
  </si>
  <si>
    <t>Melting_Curves/meltCurve_Q9UHW5_GPN3.pdf</t>
  </si>
  <si>
    <t>Melting_Curves/meltCurve_Q9UHX1_PUF60.pdf</t>
  </si>
  <si>
    <t>Melting_Curves/meltCurve_Q9UHX1_2_PUF60.pdf</t>
  </si>
  <si>
    <t>Melting_Curves/meltCurve_Q9UHY1_NRBP1.pdf</t>
  </si>
  <si>
    <t>Melting_Curves/meltCurve_Q9UHY7_ENOPH1.pdf</t>
  </si>
  <si>
    <t>Melting_Curves/meltCurve_Q9UI08_2_EVL.pdf</t>
  </si>
  <si>
    <t>Melting_Curves/meltCurve_Q9UI09_NDUFA12.pdf</t>
  </si>
  <si>
    <t>Melting_Curves/meltCurve_Q9UI10_EIF2B4.pdf</t>
  </si>
  <si>
    <t>Melting_Curves/meltCurve_Q9UI10_3_EIF2B4.pdf</t>
  </si>
  <si>
    <t>Melting_Curves/meltCurve_Q9UI12_2_ATP6V1H.pdf</t>
  </si>
  <si>
    <t>Melting_Curves/meltCurve_Q9UI26_IPO11.pdf</t>
  </si>
  <si>
    <t>Melting_Curves/meltCurve_Q9UI30_TRMT112.pdf</t>
  </si>
  <si>
    <t>Melting_Curves/meltCurve_Q9UI43_FTSJ2.pdf</t>
  </si>
  <si>
    <t>Melting_Curves/meltCurve_Q9UIB8_3_CD84.pdf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</si>
  <si>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</si>
  <si>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</si>
  <si>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</si>
  <si>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</si>
  <si>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Melting_Curves/meltCurve_Q9UIJ5_ZDHHC2.pdf</t>
  </si>
  <si>
    <t>Melting_Curves/meltCurve_Q9UIJ7_AK3.pdf</t>
  </si>
  <si>
    <t>Melting_Curves/meltCurve_Q9UIL1_3_SCOC.pdf</t>
  </si>
  <si>
    <t>Melting_Curves/meltCurve_Q9UIM3_FKBPL.pdf</t>
  </si>
  <si>
    <t>Melting_Curves/meltCurve_Q9UIQ6_3_LNPEP.pdf</t>
  </si>
  <si>
    <t>Melting_Curves/meltCurve_Q9UIV1_CNOT7.pdf</t>
  </si>
  <si>
    <t>Melting_Curves/meltCurve_Q9UJ04_TSPYL4.pdf</t>
  </si>
  <si>
    <t>Melting_Curves/meltCurve_Q9UJ14_GGT7.pdf</t>
  </si>
  <si>
    <t>Melting_Curves/meltCurve_Q9UJ70_NAGK.pdf</t>
  </si>
  <si>
    <t>Melting_Curves/meltCurve_Q9UJA5_TRMT6.pdf</t>
  </si>
  <si>
    <t>Melting_Curves/meltCurve_Q9UJG1_2_MOSPD1.pdf</t>
  </si>
  <si>
    <t>Melting_Curves/meltCurve_Q9UJJ9_GNPTG.pdf</t>
  </si>
  <si>
    <t>Melting_Curves/meltCurve_Q9UJK0_TSR3.pdf</t>
  </si>
  <si>
    <t>Melting_Curves/meltCurve_Q9UJS0_SLC25A13.pdf</t>
  </si>
  <si>
    <t>Melting_Curves/meltCurve_Q9UJT0_TUBE1.pdf</t>
  </si>
  <si>
    <t>Melting_Curves/meltCurve_Q9UJU2_LEF1.pdf</t>
  </si>
  <si>
    <t>Melting_Curves/meltCurve_Q9UJU6_DBNL.pdf</t>
  </si>
  <si>
    <t>Melting_Curves/meltCurve_Q9UJU6_2_DBNL.pdf</t>
  </si>
  <si>
    <t>Melting_Curves/meltCurve_Q9UJW0_DCTN4.pdf</t>
  </si>
  <si>
    <t>Melting_Curves/meltCurve_Q9UJX2_CDC23.pdf</t>
  </si>
  <si>
    <t>Melting_Curves/meltCurve_Q9UJX3_ANAPC7.pdf</t>
  </si>
  <si>
    <t>Melting_Curves/meltCurve_Q9UJX5_ANAPC4.pdf</t>
  </si>
  <si>
    <t>Melting_Curves/meltCurve_Q9UJX6_2_ANAPC2.pdf</t>
  </si>
  <si>
    <t>Melting_Curves/meltCurve_Q9UJY4_GGA2.pdf</t>
  </si>
  <si>
    <t>Melting_Curves/meltCurve_Q9UJY5_4_GGA1.pdf</t>
  </si>
  <si>
    <t>Melting_Curves/meltCurve_Q9UJZ1_STOML2.pdf</t>
  </si>
  <si>
    <t>Melting_Curves/meltCurve_Q9UK23_2_NAGPA.pdf</t>
  </si>
  <si>
    <t>Melting_Curves/meltCurve_Q9UK41_VPS28.pdf</t>
  </si>
  <si>
    <t>Melting_Curves/meltCurve_Q9UK45_LSM7.pdf</t>
  </si>
  <si>
    <t>Melting_Curves/meltCurve_Q9UK53_3_ING1.pdf</t>
  </si>
  <si>
    <t>Melting_Curves/meltCurve_Q9UK59_DBR1.pdf</t>
  </si>
  <si>
    <t>Melting_Curves/meltCurve_Q9UK76_HN1.pdf</t>
  </si>
  <si>
    <t>Melting_Curves/meltCurve_Q9UK97_3_FBXO9.pdf</t>
  </si>
  <si>
    <t>Melting_Curves/meltCurve_Q9UKA4_AKAP11.pdf</t>
  </si>
  <si>
    <t>Melting_Curves/meltCurve_Q9UKD2_MRTO4.pdf</t>
  </si>
  <si>
    <t>Melting_Curves/meltCurve_Q9UKF6_CPSF3.pdf</t>
  </si>
  <si>
    <t>Melting_Curves/meltCurve_Q9UKG1_APPL1.pdf</t>
  </si>
  <si>
    <t>Melting_Curves/meltCurve_Q9UKI8_5_TLK1.pdf</t>
  </si>
  <si>
    <t>Melting_Curves/meltCurve_Q9UKJ3_GPATCH8.pdf</t>
  </si>
  <si>
    <t>Melting_Curves/meltCurve_Q9UKK6_NXT1.pdf</t>
  </si>
  <si>
    <t>Melting_Curves/meltCurve_Q9UKL6_PCTP.pdf</t>
  </si>
  <si>
    <t>Melting_Curves/meltCurve_Q9UKM9_RALY.pdf</t>
  </si>
  <si>
    <t>Melting_Curves/meltCurve_Q9UKN8_GTF3C4.pdf</t>
  </si>
  <si>
    <t>Melting_Curves/meltCurve_Q9UKR5_C14orf1.pdf</t>
  </si>
  <si>
    <t>Melting_Curves/meltCurve_Q9UKS6_PACSIN3.pdf</t>
  </si>
  <si>
    <t>Melting_Curves/meltCurve_Q9UKT4_2_FBXO5.pdf</t>
  </si>
  <si>
    <t>Melting_Curves/meltCurve_Q9UKT5_FBXO4.pdf</t>
  </si>
  <si>
    <t>Melting_Curves/meltCurve_Q9UKU7_ACAD8.pdf</t>
  </si>
  <si>
    <t>Melting_Curves/meltCurve_Q9UKV5_AMFR.pdf</t>
  </si>
  <si>
    <t>Melting_Curves/meltCurve_Q9UKV8_AGO2.pdf</t>
  </si>
  <si>
    <t>Melting_Curves/meltCurve_Q9UKW4_VAV3.pdf</t>
  </si>
  <si>
    <t>Melting_Curves/meltCurve_Q9UKX7_NUP50.pdf</t>
  </si>
  <si>
    <t>Melting_Curves/meltCurve_Q9UKY1_ZHX1.pdf</t>
  </si>
  <si>
    <t>Melting_Curves/meltCurve_Q9UKY7_CDV3.pdf</t>
  </si>
  <si>
    <t>Melting_Curves/meltCurve_Q9UKZ1_CNOT11.pdf</t>
  </si>
  <si>
    <t>Melting_Curves/meltCurve_Q9UL03_3_INTS6.pdf</t>
  </si>
  <si>
    <t>Melting_Curves/meltCurve_Q9UL15_BAG5.pdf</t>
  </si>
  <si>
    <t>Melting_Curves/meltCurve_Q9UL18_AGO1.pdf</t>
  </si>
  <si>
    <t>Melting_Curves/meltCurve_Q9UL25_RAB21.pdf</t>
  </si>
  <si>
    <t>Melting_Curves/meltCurve_Q9UL26_RAB22A.pdf</t>
  </si>
  <si>
    <t>Melting_Curves/meltCurve_Q9UL42_PNMA2.pdf</t>
  </si>
  <si>
    <t>Melting_Curves/meltCurve_Q9UL46_PSME2.pdf</t>
  </si>
  <si>
    <t>Melting_Curves/meltCurve_Q9UL63_MKLN1.pdf</t>
  </si>
  <si>
    <t>Melting_Curves/meltCurve_Q9ULC3_RAB23.pdf</t>
  </si>
  <si>
    <t>Melting_Curves/meltCurve_Q9ULC4_MCTS1.pdf</t>
  </si>
  <si>
    <t>Melting_Curves/meltCurve_Q9ULC8_2_ZDHHC8.pdf</t>
  </si>
  <si>
    <t>Melting_Curves/meltCurve_Q9ULD0_OGDHL.pdf</t>
  </si>
  <si>
    <t>Melting_Curves/meltCurve_Q9ULD2_4_MTUS1.pdf</t>
  </si>
  <si>
    <t>Melting_Curves/meltCurve_Q9ULE6_PALD1.pdf</t>
  </si>
  <si>
    <t>Melting_Curves/meltCurve_Q9ULF5_SLC39A10.pdf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</si>
  <si>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</si>
  <si>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</si>
  <si>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</si>
  <si>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</si>
  <si>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Melting_Curves/meltCurve_Q9ULJ7_ANKRD50.pdf</t>
  </si>
  <si>
    <t>Melting_Curves/meltCurve_Q9ULL5_3_PRR12.pdf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</si>
  <si>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</si>
  <si>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</si>
  <si>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</si>
  <si>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</si>
  <si>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Melting_Curves/meltCurve_Q9ULV0_MYO5B.pdf</t>
  </si>
  <si>
    <t>Melting_Curves/meltCurve_Q9ULV4_CORO1C.pdf</t>
  </si>
  <si>
    <t>Melting_Curves/meltCurve_Q9ULW0_TPX2.pdf</t>
  </si>
  <si>
    <t>Melting_Curves/meltCurve_Q9ULX3_NOB1.pdf</t>
  </si>
  <si>
    <t>Melting_Curves/meltCurve_Q9ULX6_AKAP8L.pdf</t>
  </si>
  <si>
    <t>Melting_Curves/meltCurve_Q9ULX9_2_MAFF.pdf</t>
  </si>
  <si>
    <t>Melting_Curves/meltCurve_Q9UM13_ANAPC10.pdf</t>
  </si>
  <si>
    <t>Melting_Curves/meltCurve_Q9UM21_MGAT4A.pdf</t>
  </si>
  <si>
    <t>Melting_Curves/meltCurve_Q9UM47_NOTCH3.pdf</t>
  </si>
  <si>
    <t>Melting_Curves/meltCurve_Q9UMS0_3_NFU1.pdf</t>
  </si>
  <si>
    <t>Melting_Curves/meltCurve_Q9UMS4_PRPF19.pdf</t>
  </si>
  <si>
    <t>Melting_Curves/meltCurve_Q9UMX0_UBQLN1.pdf</t>
  </si>
  <si>
    <t>Melting_Curves/meltCurve_Q9UMX1_2_SUFU.pdf</t>
  </si>
  <si>
    <t>Melting_Curves/meltCurve_Q9UMX5_NENF.pdf</t>
  </si>
  <si>
    <t>Melting_Curves/meltCurve_Q9UMY1_NOL7.pdf</t>
  </si>
  <si>
    <t>Melting_Curves/meltCurve_Q9UMY4_2_SNX12.pdf</t>
  </si>
  <si>
    <t>Melting_Curves/meltCurve_Q9UMZ2_4_SYNRG.pdf</t>
  </si>
  <si>
    <t>Melting_Curves/meltCurve_Q9UMZ2_5_SYNRG.pdf</t>
  </si>
  <si>
    <t>Melting_Curves/meltCurve_Q9UN36_2_NDRG2.pdf</t>
  </si>
  <si>
    <t>Melting_Curves/meltCurve_Q9UN37_VPS4A.pdf</t>
  </si>
  <si>
    <t>Melting_Curves/meltCurve_Q9UN86_2_G3BP2.pdf</t>
  </si>
  <si>
    <t>Melting_Curves/meltCurve_Q9UNA1_2_ARHGAP26.pdf</t>
  </si>
  <si>
    <t>Melting_Curves/meltCurve_Q9UNE7_STUB1.pdf</t>
  </si>
  <si>
    <t>Melting_Curves/meltCurve_Q9UNF0_PACSIN2.pdf</t>
  </si>
  <si>
    <t>Melting_Curves/meltCurve_Q9UNF0_2_PACSIN2.pdf</t>
  </si>
  <si>
    <t>Melting_Curves/meltCurve_Q9UNF1_MAGED2.pdf</t>
  </si>
  <si>
    <t>Melting_Curves/meltCurve_Q9UNH7_SNX6.pdf</t>
  </si>
  <si>
    <t>Melting_Curves/meltCurve_Q9UNI6_DUSP12.pdf</t>
  </si>
  <si>
    <t>Melting_Curves/meltCurve_Q9UNK0_STX8.pdf</t>
  </si>
  <si>
    <t>Melting_Curves/meltCurve_Q9UNL4_3_ING4.pdf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</si>
  <si>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</si>
  <si>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</si>
  <si>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</si>
  <si>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</si>
  <si>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</si>
  <si>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</si>
  <si>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</si>
  <si>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Melting_Curves/meltCurve_Q9UNT1_2_RABL2B.pdf</t>
  </si>
  <si>
    <t>Melting_Curves/meltCurve_Q9UNW1_MINPP1.pdf</t>
  </si>
  <si>
    <t>Melting_Curves/meltCurve_Q9UNX3_RPL26L1.pdf</t>
  </si>
  <si>
    <t>Melting_Curves/meltCurve_Q9UNX4_WDR3.pdf</t>
  </si>
  <si>
    <t>Melting_Curves/meltCurve_Q9UNY4_TTF2.pdf</t>
  </si>
  <si>
    <t>Melting_Curves/meltCurve_Q9UNZ2_NSFL1C.pdf</t>
  </si>
  <si>
    <t>Melting_Curves/meltCurve_Q9UNZ5_C19orf53.pdf</t>
  </si>
  <si>
    <t>Melting_Curves/meltCurve_Q9UP83_COG5.pdf</t>
  </si>
  <si>
    <t>Melting_Curves/meltCurve_Q9UP95_5_SLC12A4.pdf</t>
  </si>
  <si>
    <t>Melting_Curves/meltCurve_Q9UPN6_SCAF8.pdf</t>
  </si>
  <si>
    <t>Melting_Curves/meltCurve_Q9UPN7_PPP6R1.pdf</t>
  </si>
  <si>
    <t>Melting_Curves/meltCurve_Q9UPN9_TRIM33.pdf</t>
  </si>
  <si>
    <t>Melting_Curves/meltCurve_Q9UPN9_2_TRIM33.pdf</t>
  </si>
  <si>
    <t>Melting_Curves/meltCurve_Q9UPQ9_1_TNRC6B.pdf</t>
  </si>
  <si>
    <t>Melting_Curves/meltCurve_Q9UPR0_PLCL2.pdf</t>
  </si>
  <si>
    <t>Melting_Curves/meltCurve_Q9UPR3_SMG5.pdf</t>
  </si>
  <si>
    <t>Melting_Curves/meltCurve_Q9UPT5_1_EXOC7.pdf</t>
  </si>
  <si>
    <t>Melting_Curves/meltCurve_Q9UPT9_USP22.pdf</t>
  </si>
  <si>
    <t>Melting_Curves/meltCurve_Q9UPU5_USP24.pdf</t>
  </si>
  <si>
    <t>Melting_Curves/meltCurve_Q9UPW5_AGTPBP1.pdf</t>
  </si>
  <si>
    <t>Melting_Curves/meltCurve_Q9UPZ3_2_HPS5.pdf</t>
  </si>
  <si>
    <t>Melting_Curves/meltCurve_Q9UQ13_2_SHOC2.pdf</t>
  </si>
  <si>
    <t>Melting_Curves/meltCurve_Q9UQ35_SRRM2.pdf</t>
  </si>
  <si>
    <t>Melting_Curves/meltCurve_Q9UQ80_PA2G4.pdf</t>
  </si>
  <si>
    <t>Melting_Curves/meltCurve_Q9UQ90_SPG7.pdf</t>
  </si>
  <si>
    <t>Melting_Curves/meltCurve_Q9UQB8_3_BAIAP2.pdf</t>
  </si>
  <si>
    <t>Melting_Curves/meltCurve_Q9UQE7_SMC3.pdf</t>
  </si>
  <si>
    <t>Melting_Curves/meltCurve_Q9UQN3_CHMP2B.pdf</t>
  </si>
  <si>
    <t>Melting_Curves/meltCurve_Q9UQP3_TNN.pdf</t>
  </si>
  <si>
    <t>Melting_Curves/meltCurve_Q9UQR0_SCML2.pdf</t>
  </si>
  <si>
    <t>Melting_Curves/meltCurve_Q9UQR1_ZNF148.pdf</t>
  </si>
  <si>
    <t>Melting_Curves/meltCurve_Q9Y217_MTMR6.pdf</t>
  </si>
  <si>
    <t>Melting_Curves/meltCurve_Q9Y221_NIP7.pdf</t>
  </si>
  <si>
    <t>Melting_Curves/meltCurve_Q9Y223_3_GNE.pdf</t>
  </si>
  <si>
    <t>Melting_Curves/meltCurve_Q9Y224_C14orf166.pdf</t>
  </si>
  <si>
    <t>Melting_Curves/meltCurve_Q9Y228_TRAF3IP3.pdf</t>
  </si>
  <si>
    <t>Melting_Curves/meltCurve_Q9Y230_RUVBL2.pdf</t>
  </si>
  <si>
    <t>Melting_Curves/meltCurve_Q9Y232_2_CDYL.pdf</t>
  </si>
  <si>
    <t>Melting_Curves/meltCurve_Q9Y237_PIN4.pdf</t>
  </si>
  <si>
    <t>Melting_Curves/meltCurve_Q9Y244_POMP.pdf</t>
  </si>
  <si>
    <t>Melting_Curves/meltCurve_Q9Y248_GINS2.pdf</t>
  </si>
  <si>
    <t>Melting_Curves/meltCurve_Q9Y259_CHKB.pdf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</si>
  <si>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</si>
  <si>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</si>
  <si>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</si>
  <si>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</si>
  <si>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Melting_Curves/meltCurve_Q9Y277_VDAC3.pdf</t>
  </si>
  <si>
    <t>Melting_Curves/meltCurve_Q9Y281_CFL2.pdf</t>
  </si>
  <si>
    <t>Melting_Curves/meltCurve_Q9Y287_ITM2B.pdf</t>
  </si>
  <si>
    <t>Melting_Curves/meltCurve_Q9Y289_SLC5A6.pdf</t>
  </si>
  <si>
    <t>Melting_Curves/meltCurve_Q9Y294_ASF1A.pdf</t>
  </si>
  <si>
    <t>Melting_Curves/meltCurve_Q9Y295_DRG1.pdf</t>
  </si>
  <si>
    <t>Melting_Curves/meltCurve_Q9Y296_TRAPPC4.pdf</t>
  </si>
  <si>
    <t>Melting_Curves/meltCurve_Q9Y2B0_CNPY2.pdf</t>
  </si>
  <si>
    <t>Melting_Curves/meltCurve_Q9Y2C2_UST.pdf</t>
  </si>
  <si>
    <t>Melting_Curves/meltCurve_Q9Y2C4_EXOG.pdf</t>
  </si>
  <si>
    <t>Melting_Curves/meltCurve_Q9Y2D4_EXOC6B.pdf</t>
  </si>
  <si>
    <t>Melting_Curves/meltCurve_Q9Y2D5_6_AKAP2.pdf</t>
  </si>
  <si>
    <t>Melting_Curves/meltCurve_Q9Y2G2_4_CARD8.pdf</t>
  </si>
  <si>
    <t>Melting_Curves/meltCurve_Q9Y2G3_ATP11B.pdf</t>
  </si>
  <si>
    <t>Melting_Curves/meltCurve_Q9Y2G5_POFUT2.pdf</t>
  </si>
  <si>
    <t>Melting_Curves/meltCurve_Q9Y2H0_3_DLGAP4.pdf</t>
  </si>
  <si>
    <t>Melting_Curves/meltCurve_Q9Y2H1_STK38L.pdf</t>
  </si>
  <si>
    <t>Melting_Curves/meltCurve_Q9Y2H6_2_FNDC3A.pdf</t>
  </si>
  <si>
    <t>Melting_Curves/meltCurve_Q9Y2I1_NISCH.pdf</t>
  </si>
  <si>
    <t>Melting_Curves/meltCurve_Q9Y2I7_PIKFYVE.pdf</t>
  </si>
  <si>
    <t>Melting_Curves/meltCurve_Q9Y2K6_USP20.pdf</t>
  </si>
  <si>
    <t>Melting_Curves/meltCurve_Q9Y2K7_KDM2A.pdf</t>
  </si>
  <si>
    <t>Melting_Curves/meltCurve_Q9Y2L1_DIS3.pdf</t>
  </si>
  <si>
    <t>Melting_Curves/meltCurve_Q9Y2L9_2_LRCH1.pdf</t>
  </si>
  <si>
    <t>Melting_Curves/meltCurve_Q9Y2P8_RCL1.pdf</t>
  </si>
  <si>
    <t>Melting_Curves/meltCurve_Q9Y2Q0_3_ATP8A1.pdf</t>
  </si>
  <si>
    <t>Melting_Curves/meltCurve_Q9Y2Q3_GSTK1.pdf</t>
  </si>
  <si>
    <t>Melting_Curves/meltCurve_Q9Y2Q5_LAMTOR2.pdf</t>
  </si>
  <si>
    <t>Melting_Curves/meltCurve_Q9Y2Q9_MRPS28.pdf</t>
  </si>
  <si>
    <t>Melting_Curves/meltCurve_Q9Y2R0_COA3.pdf</t>
  </si>
  <si>
    <t>Melting_Curves/meltCurve_Q9Y2R4_DDX52.pdf</t>
  </si>
  <si>
    <t>Melting_Curves/meltCurve_Q9Y2S0_POLR1D.pdf</t>
  </si>
  <si>
    <t>Melting_Curves/meltCurve_Q9Y2S0_2_POLR1D.pdf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</si>
  <si>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</si>
  <si>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</si>
  <si>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</si>
  <si>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</si>
  <si>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Melting_Curves/meltCurve_Q9Y2T7_YBX2.pdf</t>
  </si>
  <si>
    <t>Melting_Curves/meltCurve_Q9Y2U5_MAP3K2.pdf</t>
  </si>
  <si>
    <t>Melting_Curves/meltCurve_Q9Y2U8_LEMD3.pdf</t>
  </si>
  <si>
    <t>Melting_Curves/meltCurve_Q9Y2V2_CARHSP1.pdf</t>
  </si>
  <si>
    <t>Melting_Curves/meltCurve_Q9Y2V7_2_COG6.pdf</t>
  </si>
  <si>
    <t>Melting_Curves/meltCurve_Q9Y2W1_THRAP3.pdf</t>
  </si>
  <si>
    <t>Melting_Curves/meltCurve_Q9Y2X0_2_MED16.pdf</t>
  </si>
  <si>
    <t>Melting_Curves/meltCurve_Q9Y2X3_NOP58.pdf</t>
  </si>
  <si>
    <t>Melting_Curves/meltCurve_Q9Y2X7_GIT1.pdf</t>
  </si>
  <si>
    <t>Melting_Curves/meltCurve_Q9Y2Y1_POLR3K.pdf</t>
  </si>
  <si>
    <t>Melting_Curves/meltCurve_Q9Y2Z0_SUGT1.pdf</t>
  </si>
  <si>
    <t>Melting_Curves/meltCurve_Q9Y2Z0_2_SUGT1.pdf</t>
  </si>
  <si>
    <t>Melting_Curves/meltCurve_Q9Y2Z4_YARS2.pdf</t>
  </si>
  <si>
    <t>Melting_Curves/meltCurve_Q9Y2Z9_3_COQ6.pdf</t>
  </si>
  <si>
    <t>Melting_Curves/meltCurve_Q9Y303_AMDHD2.pdf</t>
  </si>
  <si>
    <t>Melting_Curves/meltCurve_Q9Y314_NOSIP.pdf</t>
  </si>
  <si>
    <t>Melting_Curves/meltCurve_Q9Y315_DERA.pdf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</si>
  <si>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</si>
  <si>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</si>
  <si>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</si>
  <si>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</si>
  <si>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</si>
  <si>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</si>
  <si>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</si>
  <si>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Melting_Curves/meltCurve_Q9Y385_UBE2J1.pdf</t>
  </si>
  <si>
    <t>Melting_Curves/meltCurve_Q9Y388_RBMX2.pdf</t>
  </si>
  <si>
    <t>Melting_Curves/meltCurve_Q9Y394_2_DHRS7.pdf</t>
  </si>
  <si>
    <t>Melting_Curves/meltCurve_Q9Y399_MRPS2.pdf</t>
  </si>
  <si>
    <t>Melting_Curves/meltCurve_Q9Y3A3_3_MOB4.pdf</t>
  </si>
  <si>
    <t>Melting_Curves/meltCurve_Q9Y3A4_RRP7A.pdf</t>
  </si>
  <si>
    <t>Melting_Curves/meltCurve_Q9Y3A5_SBDS.pdf</t>
  </si>
  <si>
    <t>Melting_Curves/meltCurve_Q9Y3A6_TMED5.pdf</t>
  </si>
  <si>
    <t>Melting_Curves/meltCurve_Q9Y3B3_TMED7.pdf</t>
  </si>
  <si>
    <t>Melting_Curves/meltCurve_Q9Y3B4_SF3B14.pdf</t>
  </si>
  <si>
    <t>Melting_Curves/meltCurve_Q9Y3B7_2_MRPL11.pdf</t>
  </si>
  <si>
    <t>Melting_Curves/meltCurve_Q9Y3B9_RRP15.pdf</t>
  </si>
  <si>
    <t>Melting_Curves/meltCurve_Q9Y3C1_NOP16.pdf</t>
  </si>
  <si>
    <t>Melting_Curves/meltCurve_Q9Y3C4_2_TPRKB.pdf</t>
  </si>
  <si>
    <t>Melting_Curves/meltCurve_Q9Y3C5_RNF11.pdf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</si>
  <si>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</si>
  <si>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</si>
  <si>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</si>
  <si>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</si>
  <si>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</si>
  <si>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</si>
  <si>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Melting_Curves/meltCurve_Q9Y3D9_MRPS23.pdf</t>
  </si>
  <si>
    <t>Melting_Curves/meltCurve_Q9Y3E1_HDGFRP3.pdf</t>
  </si>
  <si>
    <t>Melting_Curves/meltCurve_Q9Y3E2_BOLA1.pdf</t>
  </si>
  <si>
    <t>Melting_Curves/meltCurve_Q9Y3E7_4_CHMP3.pdf</t>
  </si>
  <si>
    <t>Melting_Curves/meltCurve_Q9Y3F4_STRAP.pdf</t>
  </si>
  <si>
    <t>Melting_Curves/meltCurve_Q9Y3I0_C22orf28.pdf</t>
  </si>
  <si>
    <t>Melting_Curves/meltCurve_Q9Y3I1_3_FBXO7.pdf</t>
  </si>
  <si>
    <t>Melting_Curves/meltCurve_Q9Y3L3_SH3BP1.pdf</t>
  </si>
  <si>
    <t>Melting_Curves/meltCurve_Q9Y3L5_RAP2C.pdf</t>
  </si>
  <si>
    <t>Melting_Curves/meltCurve_Q9Y3P8_SIT1.pdf</t>
  </si>
  <si>
    <t>Melting_Curves/meltCurve_Q9Y3P9_RABGAP1.pdf</t>
  </si>
  <si>
    <t>Melting_Curves/meltCurve_Q9Y3Q3_TMED3.pdf</t>
  </si>
  <si>
    <t>Melting_Curves/meltCurve_Q9Y3Q8_TSC22D4.pdf</t>
  </si>
  <si>
    <t>Melting_Curves/meltCurve_Q9Y3R5_2_DOPEY2.pdf</t>
  </si>
  <si>
    <t>Melting_Curves/meltCurve_Q9Y3S2_ZNF330.pdf</t>
  </si>
  <si>
    <t>Melting_Curves/meltCurve_Q9Y3T9_NOC2L.pdf</t>
  </si>
  <si>
    <t>Melting_Curves/meltCurve_Q9Y3U8_RPL36.pdf</t>
  </si>
  <si>
    <t>Melting_Curves/meltCurve_Q9Y3V2_2_RWDD3.pdf</t>
  </si>
  <si>
    <t>Melting_Curves/meltCurve_Q9Y3X0_CCDC9.pdf</t>
  </si>
  <si>
    <t>Melting_Curves/meltCurve_Q9Y3Y2_4_CHTOP.pdf</t>
  </si>
  <si>
    <t>Melting_Curves/meltCurve_Q9Y3Z3_4_SAMHD1.pdf</t>
  </si>
  <si>
    <t>Melting_Curves/meltCurve_Q9Y421_FAM32A.pdf</t>
  </si>
  <si>
    <t>Melting_Curves/meltCurve_Q9Y448_KNSTRN.pdf</t>
  </si>
  <si>
    <t>Melting_Curves/meltCurve_Q9Y450_HBS1L.pdf</t>
  </si>
  <si>
    <t>Melting_Curves/meltCurve_Q9Y450_2_HBS1L.pdf</t>
  </si>
  <si>
    <t>Melting_Curves/meltCurve_Q9Y478_PRKAB1.pdf</t>
  </si>
  <si>
    <t>Melting_Curves/meltCurve_Q9Y487_ATP6V0A2.pdf</t>
  </si>
  <si>
    <t>Melting_Curves/meltCurve_Q9Y490_TLN1.pdf</t>
  </si>
  <si>
    <t>Melting_Curves/meltCurve_Q9Y4B4_RAD54L2.pdf</t>
  </si>
  <si>
    <t>Melting_Curves/meltCurve_Q9Y4B6_2_VPRBP.pdf</t>
  </si>
  <si>
    <t>Melting_Curves/meltCurve_Q9Y4C1_KDM3A.pdf</t>
  </si>
  <si>
    <t>Melting_Curves/meltCurve_Q9Y4C4_MFHAS1.pdf</t>
  </si>
  <si>
    <t>Melting_Curves/meltCurve_Q9Y4D1_2_DAAM1.pdf</t>
  </si>
  <si>
    <t>Melting_Curves/meltCurve_Q9Y4D7_2_PLXND1.pdf</t>
  </si>
  <si>
    <t>Melting_Curves/meltCurve_Q9Y4E1_2_FAM21C.pdf</t>
  </si>
  <si>
    <t>Melting_Curves/meltCurve_Q9Y4E6_2_WDR7.pdf</t>
  </si>
  <si>
    <t>Melting_Curves/meltCurve_Q9Y4G6_TLN2.pdf</t>
  </si>
  <si>
    <t>Melting_Curves/meltCurve_Q9Y4K1_AIM1.pdf</t>
  </si>
  <si>
    <t>Melting_Curves/meltCurve_Q9Y4K3_TRAF6.pdf</t>
  </si>
  <si>
    <t>Melting_Curves/meltCurve_Q9Y4K4_MAP4K5.pdf</t>
  </si>
  <si>
    <t>Melting_Curves/meltCurve_Q9Y4L1_HYOU1.pdf</t>
  </si>
  <si>
    <t>Melting_Curves/meltCurve_Q9Y4P1_6_ATG4B.pdf</t>
  </si>
  <si>
    <t>Melting_Curves/meltCurve_Q9Y4P8_3_WIPI2.pdf</t>
  </si>
  <si>
    <t>Melting_Curves/meltCurve_Q9Y4R8_TELO2.pdf</t>
  </si>
  <si>
    <t>Melting_Curves/meltCurve_Q9Y4W6_AFG3L2.pdf</t>
  </si>
  <si>
    <t>Melting_Curves/meltCurve_Q9Y4X4_KLF12.pdf</t>
  </si>
  <si>
    <t>Melting_Curves/meltCurve_Q9Y4X5_ARIH1.pdf</t>
  </si>
  <si>
    <t>Melting_Curves/meltCurve_Q9Y4Y9_LSM5.pdf</t>
  </si>
  <si>
    <t>Melting_Curves/meltCurve_Q9Y4Z0_LSM4.pdf</t>
  </si>
  <si>
    <t>Melting_Curves/meltCurve_Q9Y508_RNF114.pdf</t>
  </si>
  <si>
    <t>Melting_Curves/meltCurve_Q9Y512_SAMM50.pdf</t>
  </si>
  <si>
    <t>Melting_Curves/meltCurve_Q9Y520_5_PRRC2C.pdf</t>
  </si>
  <si>
    <t>Melting_Curves/meltCurve_Q9Y546_LRRC42.pdf</t>
  </si>
  <si>
    <t>Melting_Curves/meltCurve_Q9Y547_HSPB11.pdf</t>
  </si>
  <si>
    <t>Melting_Curves/meltCurve_Q9Y570_PPME1.pdf</t>
  </si>
  <si>
    <t>Melting_Curves/meltCurve_Q9Y584_TIMM22.pdf</t>
  </si>
  <si>
    <t>Melting_Curves/meltCurve_Q9Y5A6_ZSCAN21.pdf</t>
  </si>
  <si>
    <t>Melting_Curves/meltCurve_Q9Y5A9_YTHDF2.pdf</t>
  </si>
  <si>
    <t>Melting_Curves/meltCurve_Q9Y5B0_CTDP1.pdf</t>
  </si>
  <si>
    <t>Melting_Curves/meltCurve_Q9Y5B6_PAXBP1.pdf</t>
  </si>
  <si>
    <t>Melting_Curves/meltCurve_Q9Y5B8_NME7.pdf</t>
  </si>
  <si>
    <t>Melting_Curves/meltCurve_Q9Y5B9_SUPT16H.pdf</t>
  </si>
  <si>
    <t>Melting_Curves/meltCurve_Q9Y5J1_UTP18.pdf</t>
  </si>
  <si>
    <t>Melting_Curves/meltCurve_Q9Y5J6_TIMM10B.pdf</t>
  </si>
  <si>
    <t>Melting_Curves/meltCurve_Q9Y5J7_TIMM9.pdf</t>
  </si>
  <si>
    <t>Melting_Curves/meltCurve_Q9Y5K5_2_UCHL5.pdf</t>
  </si>
  <si>
    <t>Melting_Curves/meltCurve_Q9Y5K6_CD2AP.pdf</t>
  </si>
  <si>
    <t>Melting_Curves/meltCurve_Q9Y5K8_ATP6V1D.pdf</t>
  </si>
  <si>
    <t>Melting_Curves/meltCurve_Q9Y5L4_TIMM13.pdf</t>
  </si>
  <si>
    <t>Melting_Curves/meltCurve_Q9Y5M8_SRPRB.pdf</t>
  </si>
  <si>
    <t>Melting_Curves/meltCurve_Q9Y5N5_N6AMT1.pdf</t>
  </si>
  <si>
    <t>Melting_Curves/meltCurve_Q9Y5N6_ORC6.pdf</t>
  </si>
  <si>
    <t>Melting_Curves/meltCurve_Q9Y5P4_2_COL4A3BP.pdf</t>
  </si>
  <si>
    <t>Melting_Curves/meltCurve_Q9Y5P6_GMPPB.pdf</t>
  </si>
  <si>
    <t>Melting_Curves/meltCurve_Q9Y5Q9_GTF3C3.pdf</t>
  </si>
  <si>
    <t>Melting_Curves/meltCurve_Q9Y5R8_TRAPPC1.pdf</t>
  </si>
  <si>
    <t>Melting_Curves/meltCurve_Q9Y5S1_TRPV2.pdf</t>
  </si>
  <si>
    <t>Melting_Curves/meltCurve_Q9Y5S9_RBM8A.pdf</t>
  </si>
  <si>
    <t>Melting_Curves/meltCurve_Q9Y5T4_DNAJC15.pdf</t>
  </si>
  <si>
    <t>Melting_Curves/meltCurve_Q9Y5T5_2_USP16.pdf</t>
  </si>
  <si>
    <t>Melting_Curves/meltCurve_Q9Y5U2_2_TSSC4.pdf</t>
  </si>
  <si>
    <t>Melting_Curves/meltCurve_Q9Y5U9_IER3IP1.pdf</t>
  </si>
  <si>
    <t>Melting_Curves/meltCurve_Q9Y5V0_ZNF706.pdf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</si>
  <si>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</si>
  <si>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</si>
  <si>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</si>
  <si>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</si>
  <si>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</si>
  <si>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</si>
  <si>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</si>
  <si>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Melting_Curves/meltCurve_Q9Y5Z7_HCFC2.pdf</t>
  </si>
  <si>
    <t>Melting_Curves/meltCurve_Q9Y5Z9_2_UBIAD1.pdf</t>
  </si>
  <si>
    <t>Melting_Curves/meltCurve_Q9Y605_MRFAP1.pdf</t>
  </si>
  <si>
    <t>Melting_Curves/meltCurve_Q9Y608_4_LRRFIP2.pdf</t>
  </si>
  <si>
    <t>Melting_Curves/meltCurve_Q9Y617_PSAT1.pdf</t>
  </si>
  <si>
    <t>Melting_Curves/meltCurve_Q9Y619_SLC25A15.pdf</t>
  </si>
  <si>
    <t>Melting_Curves/meltCurve_Q9Y639_1_NPTN.pdf</t>
  </si>
  <si>
    <t>Melting_Curves/meltCurve_Q9Y657_SPIN1.pdf</t>
  </si>
  <si>
    <t>Melting_Curves/meltCurve_Q9Y664_KPTN.pdf</t>
  </si>
  <si>
    <t>Melting_Curves/meltCurve_Q9Y666_SLC12A7.pdf</t>
  </si>
  <si>
    <t>Melting_Curves/meltCurve_Q9Y673_ALG5.pdf</t>
  </si>
  <si>
    <t>Melting_Curves/meltCurve_Q9Y676_MRPS18B.pdf</t>
  </si>
  <si>
    <t>Melting_Curves/meltCurve_Q9Y678_COPG1.pdf</t>
  </si>
  <si>
    <t>Melting_Curves/meltCurve_Q9Y679_2_AUP1.pdf</t>
  </si>
  <si>
    <t>Melting_Curves/meltCurve_Q9Y680_2_FKBP7.pdf</t>
  </si>
  <si>
    <t>Melting_Curves/meltCurve_Q9Y689_2_ARL5A.pdf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</si>
  <si>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</si>
  <si>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</si>
  <si>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</si>
  <si>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</si>
  <si>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</si>
  <si>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</si>
  <si>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</si>
  <si>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</si>
  <si>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</si>
  <si>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</si>
  <si>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</si>
  <si>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Melting_Curves/meltCurve_Q9Y6G9_DYNC1LI1.pdf</t>
  </si>
  <si>
    <t>Melting_Curves/meltCurve_Q9Y6H1_CHCHD2.pdf</t>
  </si>
  <si>
    <t>Melting_Curves/meltCurve_Q9Y6H3_XRCC6BP1.pdf</t>
  </si>
  <si>
    <t>Melting_Curves/meltCurve_Q9Y6I3_EPN1.pdf</t>
  </si>
  <si>
    <t>Melting_Curves/meltCurve_Q9Y6I9_TEX264.pdf</t>
  </si>
  <si>
    <t>Melting_Curves/meltCurve_Q9Y6K0_CEPT1.pdf</t>
  </si>
  <si>
    <t>Melting_Curves/meltCurve_Q9Y6K1_DNMT3A.pdf</t>
  </si>
  <si>
    <t>Melting_Curves/meltCurve_Q9Y6K5_OAS3.pdf</t>
  </si>
  <si>
    <t>Melting_Curves/meltCurve_Q9Y6K9_IKBKG.pdf</t>
  </si>
  <si>
    <t>Melting_Curves/meltCurve_Q9Y6M4_CSNK1G3.pdf</t>
  </si>
  <si>
    <t>Melting_Curves/meltCurve_Q9Y6M5_SLC30A1.pdf</t>
  </si>
  <si>
    <t>Melting_Curves/meltCurve_Q9Y6M9_NDUFB9.pdf</t>
  </si>
  <si>
    <t>Melting_Curves/meltCurve_Q9Y6N1_COX11.pdf</t>
  </si>
  <si>
    <t>Melting_Curves/meltCurve_Q9Y6N5_SQRDL.pdf</t>
  </si>
  <si>
    <t>Melting_Curves/meltCurve_Q9Y6Q9_5_NCOA3.pdf</t>
  </si>
  <si>
    <t>Melting_Curves/meltCurve_Q9Y6R0_NUMBL.pdf</t>
  </si>
  <si>
    <t>Melting_Curves/meltCurve_Q9Y6V7_DDX49.pdf</t>
  </si>
  <si>
    <t>Melting_Curves/meltCurve_Q9Y6W3_CAPN7.pdf</t>
  </si>
  <si>
    <t>Melting_Curves/meltCurve_Q9Y6W5_WASF2.pdf</t>
  </si>
  <si>
    <t>Melting_Curves/meltCurve_Q9Y6X4_FAM169A.pdf</t>
  </si>
  <si>
    <t>Melting_Curves/meltCurve_Q9Y6X5_ENPP4.pdf</t>
  </si>
  <si>
    <t>Melting_Curves/meltCurve_Q9Y6X8_ZHX2.pdf</t>
  </si>
  <si>
    <t>Melting_Curves/meltCurve_Q9Y6X9_MORC2.pdf</t>
  </si>
  <si>
    <t>Melting_Curves/meltCurve_Q9Y6Y0_IVNS1ABP.pdf</t>
  </si>
  <si>
    <t>Melting_Curves/meltCurve_R4GMR5_PSMD8.pdf</t>
  </si>
  <si>
    <t>Melting_Curves/meltCurve_R4GMU1_H6PD.pdf</t>
  </si>
  <si>
    <t>Melting_Curves/meltCurve_R4GMX3_BMI1.pdf</t>
  </si>
  <si>
    <t>Melting_Curves/meltCurve_R4GMX8_RANBP10.pdf</t>
  </si>
  <si>
    <t>Melting_Curves/meltCurve_R4GMZ8_FBXO44.pdf</t>
  </si>
  <si>
    <t>Melting_Curves/meltCurve_R4GN55_YTHDF3.pdf</t>
  </si>
  <si>
    <t>Melting_Curves/meltCurve_R4GN89_C16orf74.pdf</t>
  </si>
  <si>
    <t>Melting_Curves/meltCurve_R4GNB2_DENND4C.pdf</t>
  </si>
  <si>
    <t>Melting_Curves/meltCurve_R4GNH3_PSMC3.pdf</t>
  </si>
  <si>
    <t>Melting_Curves/meltCurve_R4GNJ4_TMEM219.pdf</t>
  </si>
  <si>
    <t>Yes</t>
  </si>
  <si>
    <t>No</t>
  </si>
  <si>
    <t>Ubiquitin-like modifier-activating enzyme 6</t>
  </si>
  <si>
    <t>UHRF1-binding protein 1-like</t>
  </si>
  <si>
    <t>Isoform 4 of Shootin-1</t>
  </si>
  <si>
    <t>Transmembrane protein 223</t>
  </si>
  <si>
    <t>Rho GTPase-activating protein 10</t>
  </si>
  <si>
    <t>Acetolactate synthase-like protein</t>
  </si>
  <si>
    <t>Uncharacterized protein C17orf89</t>
  </si>
  <si>
    <t>SH3 and PX domain-containing protein 2B</t>
  </si>
  <si>
    <t>Aconitate hydratase, mitochondrial</t>
  </si>
  <si>
    <t>Stathmin (Fragment)</t>
  </si>
  <si>
    <t>Dolichyl pyrophosphate Man9GlcNAc2 alpha-1,3-glucosyltransferase</t>
  </si>
  <si>
    <t>Protein AAR2 homolog</t>
  </si>
  <si>
    <t>Major prion protein (Fragment)</t>
  </si>
  <si>
    <t>Putative PIP5K1A and PSMD4-like protein</t>
  </si>
  <si>
    <t>Negative elongation factor E (Fragment)</t>
  </si>
  <si>
    <t>Neuroblastoma-amplified sequence</t>
  </si>
  <si>
    <t>Uncharacterized protein KIAA1467</t>
  </si>
  <si>
    <t>tRNA wybutosine-synthesizing protein 5</t>
  </si>
  <si>
    <t>Isoform 2 of Fucose mutarotase</t>
  </si>
  <si>
    <t>Isoform 3 of von Willebrand factor A domain-containing protein 8</t>
  </si>
  <si>
    <t>Isoform 3 of Protein strawberry notch homolog 1</t>
  </si>
  <si>
    <t>Isoform 2 of Protein FAM221A</t>
  </si>
  <si>
    <t>GTP-binding protein 10</t>
  </si>
  <si>
    <t>Protein LCHN</t>
  </si>
  <si>
    <t>Ependymin related protein 1 (Zebrafish), isoform CRA_b</t>
  </si>
  <si>
    <t>Metallo-beta-lactamase domain-containing protein 1</t>
  </si>
  <si>
    <t>Proteasome subunit beta type-11</t>
  </si>
  <si>
    <t>Transmembrane protein 189</t>
  </si>
  <si>
    <t>CCR4-NOT transcription complex subunit 1</t>
  </si>
  <si>
    <t>Coiled-coil domain-containing protein 88B</t>
  </si>
  <si>
    <t>Phosphoglycolate phosphatase</t>
  </si>
  <si>
    <t>UPF0600 protein C5orf51</t>
  </si>
  <si>
    <t>RCC1 domain-containing protein 1</t>
  </si>
  <si>
    <t>HCF N-terminal chain 5</t>
  </si>
  <si>
    <t>GPI-anchor transamidase</t>
  </si>
  <si>
    <t>3(2),5-bisphosphate nucleotidase 1</t>
  </si>
  <si>
    <t>Zinc finger protein 316</t>
  </si>
  <si>
    <t>ADP-sugar pyrophosphatase</t>
  </si>
  <si>
    <t>Charged multivesicular body protein 1a</t>
  </si>
  <si>
    <t>Proline-rich protein PRCC</t>
  </si>
  <si>
    <t>Hematological and neurological-expressed 1-like protein</t>
  </si>
  <si>
    <t>Zinc finger MYM-type protein 3</t>
  </si>
  <si>
    <t>Isoform 2 of Tubulin alpha chain-like 3</t>
  </si>
  <si>
    <t>rRNA/tRNA 2-O-methyltransferase fibrillarin-like protein 1</t>
  </si>
  <si>
    <t>Structural maintenance of chromosomes flexible hinge domain-containing protein 1</t>
  </si>
  <si>
    <t>GATS-like protein 2</t>
  </si>
  <si>
    <t>Protein unc-119 homolog B</t>
  </si>
  <si>
    <t>Dedicator of cytokinesis protein 11</t>
  </si>
  <si>
    <t>Nuclear distribution protein nudE-like 1</t>
  </si>
  <si>
    <t>Probable methyltransferase-like protein 15</t>
  </si>
  <si>
    <t>Chromosome 13 open reading frame 23, isoform CRA_a</t>
  </si>
  <si>
    <t>Putative lipoyltransferase 2, mitochondrial</t>
  </si>
  <si>
    <t>Coiled-coil domain-containing protein 85C</t>
  </si>
  <si>
    <t>Putative Golgi pH regulator C</t>
  </si>
  <si>
    <t>Protein cornichon homolog 4</t>
  </si>
  <si>
    <t>Septin-8</t>
  </si>
  <si>
    <t>Diaphanous homolog 2 (Drosophila), isoform CRA_c</t>
  </si>
  <si>
    <t>Phosphorylase b kinase regulatory subunit alpha, skeletal muscle isoform</t>
  </si>
  <si>
    <t>DNA polymerase</t>
  </si>
  <si>
    <t>Alstrom syndrome protein 1</t>
  </si>
  <si>
    <t>Annexin</t>
  </si>
  <si>
    <t>Phosphatidylinositol 4-phosphate 5-kinase type-1 alpha</t>
  </si>
  <si>
    <t>Ankyrin repeat and BTB/POZ domain-containing protein BTBD11</t>
  </si>
  <si>
    <t>Protein archease</t>
  </si>
  <si>
    <t>Selenoprotein K</t>
  </si>
  <si>
    <t>Zinc finger protein 276</t>
  </si>
  <si>
    <t>UPF0249 protein ydjC homolog</t>
  </si>
  <si>
    <t>Afadin</t>
  </si>
  <si>
    <t>Zinc finger protein 850</t>
  </si>
  <si>
    <t>Small nuclear ribonucleoprotein-associated proteins B and B</t>
  </si>
  <si>
    <t>Armadillo repeat-containing protein 8</t>
  </si>
  <si>
    <t>Down syndrome critical region protein 3</t>
  </si>
  <si>
    <t>S100P-binding protein</t>
  </si>
  <si>
    <t>SMT3 suppressor of mif two 3 homolog 3 (Yeast), isoform CRA_d</t>
  </si>
  <si>
    <t>Tubulin alpha-4A chain</t>
  </si>
  <si>
    <t>Protein TSSC1</t>
  </si>
  <si>
    <t>Activating transcription factor 7-interacting protein 1 (Fragment)</t>
  </si>
  <si>
    <t>Protein FAM171A2</t>
  </si>
  <si>
    <t>BICD1 protein</t>
  </si>
  <si>
    <t>Pleiotropic regulator 1</t>
  </si>
  <si>
    <t>Matrin-3</t>
  </si>
  <si>
    <t>Alcohol dehydrogenase 1B</t>
  </si>
  <si>
    <t>Leukocyte-associated immunoglobulin-like receptor 1</t>
  </si>
  <si>
    <t>MIF4G domain-containing protein</t>
  </si>
  <si>
    <t>Serine/arginine repetitive matrix protein 1</t>
  </si>
  <si>
    <t>Uncharacterized protein KIAA0930</t>
  </si>
  <si>
    <t>6-phosphofructo-2-kinase/fructose-2, 6-bisphosphatase 2 transcript variant 3</t>
  </si>
  <si>
    <t>Unconventional myosin-Ig</t>
  </si>
  <si>
    <t>HMG domain-containing protein 4 (Fragment)</t>
  </si>
  <si>
    <t>Eukaryotic translation initiation factor 3 subunit L</t>
  </si>
  <si>
    <t>Mitochondrial dynamic protein MID51</t>
  </si>
  <si>
    <t>TBC1 domain family member 22A</t>
  </si>
  <si>
    <t>RNA-binding protein EWS</t>
  </si>
  <si>
    <t>HLA-B associated transcript 3, isoform CRA_a</t>
  </si>
  <si>
    <t>Abhydrolase domain-containing protein 16A</t>
  </si>
  <si>
    <t>Histone-lysine N-methyltransferase EHMT2</t>
  </si>
  <si>
    <t>Valine--tRNA ligase</t>
  </si>
  <si>
    <t>Apolipoprotein C-III</t>
  </si>
  <si>
    <t>Very-long-chain (3R)-3-hydroxyacyl-[acyl-carrier protein] dehydratase 1</t>
  </si>
  <si>
    <t>PHD finger protein 21B (Fragment)</t>
  </si>
  <si>
    <t>NHP2-like protein 1</t>
  </si>
  <si>
    <t>TRAF3-interacting JNK-activating modulator</t>
  </si>
  <si>
    <t>26S proteasome non-ATPase regulatory subunit 10</t>
  </si>
  <si>
    <t>3-hydroxymethyl-3-methylglutaryl-Coenzyme A lyase (Hydroxymethylglutaricaciduria), isoform CRA_b</t>
  </si>
  <si>
    <t>Mitotic spindle assembly checkpoint protein MAD2B</t>
  </si>
  <si>
    <t>Ephrin type-B receptor 2</t>
  </si>
  <si>
    <t>Nardilysin</t>
  </si>
  <si>
    <t>Oxysterol-binding protein</t>
  </si>
  <si>
    <t>Eukaryotic translation initiation factor 4E transporter</t>
  </si>
  <si>
    <t>Nuclear factor 1 A-type</t>
  </si>
  <si>
    <t>Tetraspanin-2 (Fragment)</t>
  </si>
  <si>
    <t>Dynein light chain roadblock-type 1</t>
  </si>
  <si>
    <t>Astrocytic phosphoprotein PEA-15</t>
  </si>
  <si>
    <t>Hsp90 co-chaperone Cdc37-like 1</t>
  </si>
  <si>
    <t>Phytanoyl-CoA dioxygenase, peroxisomal</t>
  </si>
  <si>
    <t>Rho guanine nucleotide exchange factor 7</t>
  </si>
  <si>
    <t>Transmembrane protein 9</t>
  </si>
  <si>
    <t>Ubiquitin-conjugating enzyme E2 J2 (Fragment)</t>
  </si>
  <si>
    <t>Septin 6, isoform CRA_b</t>
  </si>
  <si>
    <t>Exosome complex component CSL4 (Fragment)</t>
  </si>
  <si>
    <t>CD58 antigen, (Lymphocyte function-associated antigen 3), isoform CRA_c</t>
  </si>
  <si>
    <t>Small proline-rich protein 3 (Fragment)</t>
  </si>
  <si>
    <t>Eukaryotic translation initiation factor 4 gamma 3</t>
  </si>
  <si>
    <t>Trypsin-3 (Fragment)</t>
  </si>
  <si>
    <t>Guanylate kinase (Fragment)</t>
  </si>
  <si>
    <t>Upstream stimulatory factor 1</t>
  </si>
  <si>
    <t>Antigen peptide transporter 1</t>
  </si>
  <si>
    <t>Bifunctional arginine demethylase and lysyl-hydroxylase JMJD6</t>
  </si>
  <si>
    <t>DOCK10.2</t>
  </si>
  <si>
    <t>Coiled-coil domain-containing protein 92</t>
  </si>
  <si>
    <t>Polyhomeotic-like protein 2</t>
  </si>
  <si>
    <t>DNA excision repair protein ERCC-1</t>
  </si>
  <si>
    <t>Eukaryotic translation initiation factor 3 subunit H</t>
  </si>
  <si>
    <t>Eukaryotic translation initiation factor 3 subunit F</t>
  </si>
  <si>
    <t>Leucine zipper transcription factor-like 1, isoform CRA_b</t>
  </si>
  <si>
    <t>Superoxide dismutase</t>
  </si>
  <si>
    <t>Phosphatidylinositol N-acetylglucosaminyltransferase subunit A</t>
  </si>
  <si>
    <t>PHD finger protein 23</t>
  </si>
  <si>
    <t>AP-1 complex subunit gamma-1</t>
  </si>
  <si>
    <t>Retinoic acid receptor RXR-alpha</t>
  </si>
  <si>
    <t>CDP-diacylglycerol--inositol 3-phosphatidyltransferase</t>
  </si>
  <si>
    <t>Calponin-2</t>
  </si>
  <si>
    <t>Histidyl-tRNA synthetase-like, isoform CRA_a</t>
  </si>
  <si>
    <t>Receptor expression-enhancing protein 2</t>
  </si>
  <si>
    <t>Tetraspanin-7</t>
  </si>
  <si>
    <t>ERI1 exoribonuclease 3</t>
  </si>
  <si>
    <t>NADH dehydrogenase [ubiquinone] 1 alpha subcomplex subunit 13</t>
  </si>
  <si>
    <t>Protein misato homolog 1</t>
  </si>
  <si>
    <t>HAUS augmin-like complex subunit 3</t>
  </si>
  <si>
    <t>Checkpoint protein HUS1</t>
  </si>
  <si>
    <t>Catenin beta-1</t>
  </si>
  <si>
    <t>Phosphatidylinositol 5-phosphate 4-kinase type-2 alpha</t>
  </si>
  <si>
    <t>DCN1-like protein 4</t>
  </si>
  <si>
    <t>MAP1S light chain</t>
  </si>
  <si>
    <t>F-box/WD repeat-containing protein 11</t>
  </si>
  <si>
    <t>BCL2/adenovirus E1B 19 kDa protein-interacting protein 3</t>
  </si>
  <si>
    <t>Acyl-CoA synthetase family member 2, mitochondrial</t>
  </si>
  <si>
    <t>Ras-related protein Rab-5A</t>
  </si>
  <si>
    <t>HESB like domain containing 2, isoform CRA_b</t>
  </si>
  <si>
    <t>Brain mitochondrial carrier protein 1</t>
  </si>
  <si>
    <t>Protein kinase C eta type</t>
  </si>
  <si>
    <t>Small nuclear ribonucleoprotein Sm D3</t>
  </si>
  <si>
    <t>Citrate synthase</t>
  </si>
  <si>
    <t>Solute carrier family 23 member 2</t>
  </si>
  <si>
    <t>Zinc finger protein 286A</t>
  </si>
  <si>
    <t>Protein CHURC1-FNTB</t>
  </si>
  <si>
    <t>Mitochondrial dicarboxylate carrier</t>
  </si>
  <si>
    <t>Ribosomal protein S6 kinase beta-1</t>
  </si>
  <si>
    <t>CDP-diacylglycerol--glycerol-3-phosphate 3-phosphatidyltransferase, mitochondrial</t>
  </si>
  <si>
    <t>E3 ubiquitin-protein ligase RNF220</t>
  </si>
  <si>
    <t>Lactose synthase A protein</t>
  </si>
  <si>
    <t>39S ribosomal protein L48, mitochondrial</t>
  </si>
  <si>
    <t>Aminoacylase-1</t>
  </si>
  <si>
    <t>Prostaglandin E synthase 3</t>
  </si>
  <si>
    <t>Sarcosine dehydrogenase, mitochondrial</t>
  </si>
  <si>
    <t>TOX high mobility group box family member 4</t>
  </si>
  <si>
    <t>Histone deacetylase 8</t>
  </si>
  <si>
    <t>Transformer-2 protein homolog alpha</t>
  </si>
  <si>
    <t>6-phosphogluconate dehydrogenase, decarboxylating</t>
  </si>
  <si>
    <t>E3 ubiquitin-protein ligase MGRN1</t>
  </si>
  <si>
    <t>Protein transport protein Sec61 subunit alpha isoform 1</t>
  </si>
  <si>
    <t>Rab proteins geranylgeranyltransferase component A 1</t>
  </si>
  <si>
    <t>Probable palmitoyltransferase ZDHHC20</t>
  </si>
  <si>
    <t>Thioredoxin domain-containing protein 15</t>
  </si>
  <si>
    <t>UPF0586 protein C9orf41</t>
  </si>
  <si>
    <t>Polypyrimidine tract-binding protein 2</t>
  </si>
  <si>
    <t>Nucleoporin-like protein 2</t>
  </si>
  <si>
    <t>Sodium/hydrogen exchanger</t>
  </si>
  <si>
    <t>Solute carrier family 35 member F2</t>
  </si>
  <si>
    <t>FH1/FH2 domain-containing protein 1</t>
  </si>
  <si>
    <t>Eukaryotic translation initiation factor 3 subunit D</t>
  </si>
  <si>
    <t>Zinc finger protein Helios</t>
  </si>
  <si>
    <t>2-hydroxyacyl-CoA lyase 1</t>
  </si>
  <si>
    <t>Alpha-centractin</t>
  </si>
  <si>
    <t>Fragile X mental retardation syndrome-related protein 1</t>
  </si>
  <si>
    <t>Nucleoporin NUP53</t>
  </si>
  <si>
    <t>Histone deacetylase 6</t>
  </si>
  <si>
    <t>Transmembrane protein 134</t>
  </si>
  <si>
    <t>Peroxisomal targeting signal 1 receptor</t>
  </si>
  <si>
    <t>Leucine-rich repeat and calponin homology domain-containing protein 3</t>
  </si>
  <si>
    <t>Serine/threonine-protein kinase MST4</t>
  </si>
  <si>
    <t>Derlin-1</t>
  </si>
  <si>
    <t>Serine/threonine-protein kinase RIO3</t>
  </si>
  <si>
    <t>Serine/arginine-rich-splicing factor 3</t>
  </si>
  <si>
    <t>Lysosome-associated membrane glycoprotein 2</t>
  </si>
  <si>
    <t>Erythrocyte band 7 integral membrane protein</t>
  </si>
  <si>
    <t>Methyltransferase-like protein 13</t>
  </si>
  <si>
    <t>Calsyntenin-1</t>
  </si>
  <si>
    <t>Adenosine deaminase CECR1</t>
  </si>
  <si>
    <t>Coiled-coil-helix-coiled-coil-helix domain-containing protein 10, mitochondrial</t>
  </si>
  <si>
    <t>Uncharacterized protein C6orf1</t>
  </si>
  <si>
    <t>LIM domain kinase 2</t>
  </si>
  <si>
    <t>MpV17 transgene, murine homolog, glomerulosclerosis, isoform CRA_f</t>
  </si>
  <si>
    <t>Synaptogyrin-1</t>
  </si>
  <si>
    <t>Pescadillo homolog</t>
  </si>
  <si>
    <t>Nuclear receptor coactivator 1</t>
  </si>
  <si>
    <t>Protein phosphatase 1F</t>
  </si>
  <si>
    <t>Syntaxin-binding protein 4</t>
  </si>
  <si>
    <t>Tetraspanin-9</t>
  </si>
  <si>
    <t>Protein NLRC3</t>
  </si>
  <si>
    <t>Protein RFT1 homolog</t>
  </si>
  <si>
    <t>UPF0554 protein C2orf43</t>
  </si>
  <si>
    <t>Transcription factor 7</t>
  </si>
  <si>
    <t>Pre-mRNA-splicing factor CWC22 homolog</t>
  </si>
  <si>
    <t>Echinoderm microtubule associated protein like 3, isoform CRA_e</t>
  </si>
  <si>
    <t>V-type proton ATPase catalytic subunit A</t>
  </si>
  <si>
    <t>Protein disulfide-isomerase A6</t>
  </si>
  <si>
    <t>Major facilitator superfamily domain-containing protein 8</t>
  </si>
  <si>
    <t>Thioredoxin reductase 1, cytoplasmic</t>
  </si>
  <si>
    <t>Delta-aminolevulinic acid dehydratase</t>
  </si>
  <si>
    <t>Transmembrane protein 128</t>
  </si>
  <si>
    <t>Tubulin-specific chaperone E</t>
  </si>
  <si>
    <t>Dimethylaniline monooxygenase [N-oxide-forming] 1</t>
  </si>
  <si>
    <t>Puromycin-sensitive aminopeptidase</t>
  </si>
  <si>
    <t>Deoxyribonuclease-2-alpha</t>
  </si>
  <si>
    <t>ETS domain-containing transcription factor ERF</t>
  </si>
  <si>
    <t>P2X purinoceptor</t>
  </si>
  <si>
    <t>Acid phosphatase-like protein 2</t>
  </si>
  <si>
    <t>Inositol polyphosphate 5-phosphatase K</t>
  </si>
  <si>
    <t>Cysteine conjugate-beta lyase cytoplasmic (Glutamine transaminase K, kyneurenine aminotransferase), isoform CRA_b</t>
  </si>
  <si>
    <t>Stathmin</t>
  </si>
  <si>
    <t>Junctional adhesion molecule A</t>
  </si>
  <si>
    <t>Long-chain fatty acid transport protein 1</t>
  </si>
  <si>
    <t>2,4-dienoyl-CoA reductase, mitochondrial</t>
  </si>
  <si>
    <t>BTB/POZ domain-containing adapter for CUL3-mediated RhoA degradation protein 2</t>
  </si>
  <si>
    <t>Transmembrane protein 106A</t>
  </si>
  <si>
    <t>Zinc finger protein 558</t>
  </si>
  <si>
    <t>Probable tRNA pseudouridine synthase 2</t>
  </si>
  <si>
    <t>Zinc finger protein with KRAB and SCAN domains 4</t>
  </si>
  <si>
    <t>Atlastin-2</t>
  </si>
  <si>
    <t>Ubiquitin carboxyl-terminal hydrolase</t>
  </si>
  <si>
    <t>Delta(24)-sterol reductase</t>
  </si>
  <si>
    <t>Embigin</t>
  </si>
  <si>
    <t>Renin receptor</t>
  </si>
  <si>
    <t>Sodium/potassium-transporting ATPase subunit beta-1</t>
  </si>
  <si>
    <t>PMS1 protein homolog 1</t>
  </si>
  <si>
    <t>Endophilin-B2</t>
  </si>
  <si>
    <t>PPP2R5E protein</t>
  </si>
  <si>
    <t>UBX domain-containing protein 2A</t>
  </si>
  <si>
    <t>SCARB1 protein</t>
  </si>
  <si>
    <t>COX18 protein</t>
  </si>
  <si>
    <t>GCHFR protein</t>
  </si>
  <si>
    <t>GEM-interacting protein</t>
  </si>
  <si>
    <t>ER degradation-enhancing alpha-mannosidase-like protein 3</t>
  </si>
  <si>
    <t>CARMIL2b</t>
  </si>
  <si>
    <t>Cation channel sperm-associated protein subunit gamma</t>
  </si>
  <si>
    <t>Small ubiquitin-related modifier 1</t>
  </si>
  <si>
    <t>Thymosin alpha-1</t>
  </si>
  <si>
    <t>Cyclic AMP-dependent transcription factor ATF-2</t>
  </si>
  <si>
    <t>Coenzyme Q-binding protein COQ10 homolog B, mitochondrial</t>
  </si>
  <si>
    <t>U3 small nucleolar ribonucleoprotein protein IMP4 (Fragment)</t>
  </si>
  <si>
    <t>U4/U6.U5 tri-snRNP-associated protein 2</t>
  </si>
  <si>
    <t>Rhomboid-related protein 4</t>
  </si>
  <si>
    <t>Cytochrome c oxidase assembly factor 5</t>
  </si>
  <si>
    <t>1-phosphatidylinositol 4,5-bisphosphate phosphodiesterase beta-2</t>
  </si>
  <si>
    <t>PEX7 protein</t>
  </si>
  <si>
    <t>BAK1 protein</t>
  </si>
  <si>
    <t>ATG12 autophagy related 12 homolog (S. cerevisiae), isoform CRA_b</t>
  </si>
  <si>
    <t>Putative WAS protein family homolog 3</t>
  </si>
  <si>
    <t>Linker for activation of T-cells family member 1</t>
  </si>
  <si>
    <t>NADH dehydrogenase [ubiquinone] 1 beta subcomplex subunit 2, mitochondrial</t>
  </si>
  <si>
    <t>Nuclear-interacting partner of ALK</t>
  </si>
  <si>
    <t>Profilin-2</t>
  </si>
  <si>
    <t>Sorcin</t>
  </si>
  <si>
    <t>Kelch-like protein 22 (Fragment)</t>
  </si>
  <si>
    <t>Multiple epidermal growth factor-like domains protein 9</t>
  </si>
  <si>
    <t>Uncharacterized protein</t>
  </si>
  <si>
    <t>NEDD8-conjugating enzyme UBE2F</t>
  </si>
  <si>
    <t>Ubiquitin-conjugating enzyme E2 E1 (Fragment)</t>
  </si>
  <si>
    <t>E3 ubiquitin-protein ligase Hakai (Fragment)</t>
  </si>
  <si>
    <t>Chromosome 3 open reading frame 31, isoform CRA_f</t>
  </si>
  <si>
    <t>DNA-directed RNA polymerase</t>
  </si>
  <si>
    <t>Inosine-5-monophosphate dehydrogenase</t>
  </si>
  <si>
    <t>Protein CMSS1 (Fragment)</t>
  </si>
  <si>
    <t>Peroxisomal carnitine O-octanoyltransferase</t>
  </si>
  <si>
    <t>COBW domain-containing protein 2</t>
  </si>
  <si>
    <t>Sugar phosphate exchanger 3 (Fragment)</t>
  </si>
  <si>
    <t>Programmed cell death protein 10 (Fragment)</t>
  </si>
  <si>
    <t>Transgelin-3</t>
  </si>
  <si>
    <t>Protein FAM107B (Fragment)</t>
  </si>
  <si>
    <t>Ubiquitin fusion degradation protein 1 homolog (Fragment)</t>
  </si>
  <si>
    <t>Kinesin-like protein KIF20B</t>
  </si>
  <si>
    <t>Transportin-3</t>
  </si>
  <si>
    <t>Phospholipid scramblase 1</t>
  </si>
  <si>
    <t>Histone deacetylase 10</t>
  </si>
  <si>
    <t>Protein Jade-2 (Fragment)</t>
  </si>
  <si>
    <t>Arf-GAP with GTPase, ANK repeat and PH domain-containing protein 3</t>
  </si>
  <si>
    <t>40S ribosomal protein SA (Fragment)</t>
  </si>
  <si>
    <t>Cytochrome c oxidase assembly protein 1 homolog (Fragment)</t>
  </si>
  <si>
    <t>60S ribosomal export protein NMD3</t>
  </si>
  <si>
    <t>Translocon-associated protein subunit gamma</t>
  </si>
  <si>
    <t>Serine/arginine-rich-splicing factor 7</t>
  </si>
  <si>
    <t>Frataxin, mitochondrial</t>
  </si>
  <si>
    <t>BSD domain-containing protein 1</t>
  </si>
  <si>
    <t>Signal peptidase complex subunit 1</t>
  </si>
  <si>
    <t>28S ribosomal protein S33, mitochondrial</t>
  </si>
  <si>
    <t>Dr1-associated corepressor</t>
  </si>
  <si>
    <t>Mitogen-activated protein kinase kinase kinase kinase 2 (Fragment)</t>
  </si>
  <si>
    <t>Fas apoptotic inhibitory molecule 1 (Fragment)</t>
  </si>
  <si>
    <t>Transmembrane and ubiquitin-like domain-containing protein 1 (Fragment)</t>
  </si>
  <si>
    <t>Voltage-dependent calcium channel subunit alpha-2/delta-2</t>
  </si>
  <si>
    <t>Nuclear receptor corepressor 2</t>
  </si>
  <si>
    <t>40S ribosomal protein S4, Y isoform 1 (Fragment)</t>
  </si>
  <si>
    <t>Eukaryotic translation initiation factor 4E type 2 (Fragment)</t>
  </si>
  <si>
    <t>Protein OSCP1</t>
  </si>
  <si>
    <t>T-cell receptor-associated transmembrane adapter 1</t>
  </si>
  <si>
    <t>COP9 signalosome complex subunit 1</t>
  </si>
  <si>
    <t>Cytochrome c (Fragment)</t>
  </si>
  <si>
    <t>Integral membrane protein 2C (Fragment)</t>
  </si>
  <si>
    <t>Angio-associated migratory cell protein</t>
  </si>
  <si>
    <t>Acylamino-acid-releasing enzyme</t>
  </si>
  <si>
    <t>Pulmonary surfactant-associated protein A2</t>
  </si>
  <si>
    <t>28S ribosomal protein S34, mitochondrial</t>
  </si>
  <si>
    <t>Vacuolar protein sorting-associated protein 8 homolog</t>
  </si>
  <si>
    <t>Sodium-coupled neutral amino acid transporter 5 (Fragment)</t>
  </si>
  <si>
    <t>DNA-directed RNA polymerases I, II, and III subunit RPABC3 (Fragment)</t>
  </si>
  <si>
    <t>Apoptotic protease-activating factor 1</t>
  </si>
  <si>
    <t>O-acetyl-ADP-ribose deacetylase 1 (Fragment)</t>
  </si>
  <si>
    <t>Muscleblind-like protein 1</t>
  </si>
  <si>
    <t>Cartilage-associated protein</t>
  </si>
  <si>
    <t>DNA replication licensing factor MCM2</t>
  </si>
  <si>
    <t>NF-kappa-B inhibitor-interacting Ras-like protein 2</t>
  </si>
  <si>
    <t>MLN64 N-terminal domain homolog (Fragment)</t>
  </si>
  <si>
    <t>Coiled-coil domain-containing protein 58</t>
  </si>
  <si>
    <t>Uncharacterized protein C7orf50 (Fragment)</t>
  </si>
  <si>
    <t>Vesicle-trafficking protein SEC22a (Fragment)</t>
  </si>
  <si>
    <t>Coiled-coil-helix-coiled-coil-helix domain-containing protein 3, mitochondrial</t>
  </si>
  <si>
    <t>Isoform 2 of Aldo-keto reductase family 1 member B15</t>
  </si>
  <si>
    <t>DNA-binding protein Ikaros</t>
  </si>
  <si>
    <t>Diacylglycerol kinase beta</t>
  </si>
  <si>
    <t>Forkhead box J3, isoform CRA_b (Fragment)</t>
  </si>
  <si>
    <t>Ephrin type-A receptor 3</t>
  </si>
  <si>
    <t>60S ribosomal protein L24</t>
  </si>
  <si>
    <t>Integrin alpha-6 heavy chain (Fragment)</t>
  </si>
  <si>
    <t>Nucleoside diphosphate-linked moiety X motif 22</t>
  </si>
  <si>
    <t>DNA repair protein RAD51 homolog 2</t>
  </si>
  <si>
    <t>Ribonuclease P protein subunit p20 (Fragment)</t>
  </si>
  <si>
    <t>Synaptophysin-like protein 1</t>
  </si>
  <si>
    <t>60S ribosomal protein L22-like 1</t>
  </si>
  <si>
    <t>ADP-ribosylation factor GTPase-activating protein 3</t>
  </si>
  <si>
    <t>Actin, cytoplasmic 2 (Fragment)</t>
  </si>
  <si>
    <t>Ubiquitin-conjugating enzyme E2 H (Fragment)</t>
  </si>
  <si>
    <t>XIAP-associated factor 1</t>
  </si>
  <si>
    <t>Snurportin-1</t>
  </si>
  <si>
    <t>Butyrophilin subfamily 3 member A3</t>
  </si>
  <si>
    <t>Syndecan</t>
  </si>
  <si>
    <t>Eukaryotic translation initiation factor 4 gamma 2 (Fragment)</t>
  </si>
  <si>
    <t>Exportin 6, isoform CRA_a</t>
  </si>
  <si>
    <t>Sodium bicarbonate cotransporter 3</t>
  </si>
  <si>
    <t>CAR4/6</t>
  </si>
  <si>
    <t>60S ribosomal protein L32 (Fragment)</t>
  </si>
  <si>
    <t>Protein KRI1 homolog</t>
  </si>
  <si>
    <t>PHD finger protein 20-like protein 1</t>
  </si>
  <si>
    <t>NADPH-dependent diflavin oxidoreductase 1</t>
  </si>
  <si>
    <t>Tapasin</t>
  </si>
  <si>
    <t>Transcription factor RelB</t>
  </si>
  <si>
    <t>Heterogeneous nuclear ribonucleoprotein A/B</t>
  </si>
  <si>
    <t>DNA-directed RNA polymerase III subunit RPC7 (Fragment)</t>
  </si>
  <si>
    <t>Cytochrome c oxidase subunit 7C, mitochondrial</t>
  </si>
  <si>
    <t>Peroxisome biogenesis factor 10</t>
  </si>
  <si>
    <t>Cyclin-dependent kinase 7</t>
  </si>
  <si>
    <t>Transmembrane protein 161B</t>
  </si>
  <si>
    <t>Cellular nucleic acid-binding protein (Fragment)</t>
  </si>
  <si>
    <t>Interferon regulatory factor 2</t>
  </si>
  <si>
    <t>Alpha-methylacyl-CoA racemase</t>
  </si>
  <si>
    <t>Eukaryotic translation initiation factor 4E</t>
  </si>
  <si>
    <t>Estradiol 17-beta-dehydrogenase 11</t>
  </si>
  <si>
    <t>Transmembrane protein 175</t>
  </si>
  <si>
    <t>Tumor necrosis factor alpha-induced protein 8</t>
  </si>
  <si>
    <t>Immunoglobulin J chain (Fragment)</t>
  </si>
  <si>
    <t>PRELI domain-containing protein 1, mitochondrial</t>
  </si>
  <si>
    <t>Tumor suppressor candidate 3</t>
  </si>
  <si>
    <t>Solute carrier family 35 member B1</t>
  </si>
  <si>
    <t>Glutamyl-tRNA(Gln) amidotransferase subunit B, mitochondrial</t>
  </si>
  <si>
    <t>Alpha-L-iduronidase</t>
  </si>
  <si>
    <t>CDC42 small effector protein 2</t>
  </si>
  <si>
    <t>BRCA1-A complex subunit Abraxas</t>
  </si>
  <si>
    <t>Casein kinase I isoform alpha</t>
  </si>
  <si>
    <t>Protein transport protein Sec31A</t>
  </si>
  <si>
    <t>Syntaxin-18</t>
  </si>
  <si>
    <t>Deoxycytidine kinase</t>
  </si>
  <si>
    <t>Septin 11, isoform CRA_b</t>
  </si>
  <si>
    <t>Alcohol dehydrogenase 6 (Fragment)</t>
  </si>
  <si>
    <t>Centromere protein K</t>
  </si>
  <si>
    <t>Serine incorporator 5</t>
  </si>
  <si>
    <t>Cyclin-H</t>
  </si>
  <si>
    <t>Ribonuclease T2 (Fragment)</t>
  </si>
  <si>
    <t>Complexin-1</t>
  </si>
  <si>
    <t>Cytochrome c oxidase subunit 7A2, mitochondrial</t>
  </si>
  <si>
    <t>RING finger protein 150 (Fragment)</t>
  </si>
  <si>
    <t>SLAIN motif-containing protein 2</t>
  </si>
  <si>
    <t>Zinc finger protein 346</t>
  </si>
  <si>
    <t>COMM domain containing 10, isoform CRA_b</t>
  </si>
  <si>
    <t>Heterogeneous nuclear ribonucleoprotein L-like</t>
  </si>
  <si>
    <t>Geminin (Fragment)</t>
  </si>
  <si>
    <t>Elongation of very long chain fatty acids protein 5</t>
  </si>
  <si>
    <t>Carbonic anhydrase 1 (Fragment)</t>
  </si>
  <si>
    <t>E3 SUMO-protein ligase NSE2</t>
  </si>
  <si>
    <t>Lipid-phosphate phosphatase</t>
  </si>
  <si>
    <t>Proline synthase co-transcribed bacterial homolog protein (Fragment)</t>
  </si>
  <si>
    <t>Putative deoxyribonuclease TATDN1 (Fragment)</t>
  </si>
  <si>
    <t>Triple QxxK/R motif-containing protein</t>
  </si>
  <si>
    <t>RWD domain-containing protein 1 (Fragment)</t>
  </si>
  <si>
    <t>Nucleophosmin (Fragment)</t>
  </si>
  <si>
    <t>Serine/threonine-protein phosphatase (Fragment)</t>
  </si>
  <si>
    <t>Transcription elongation factor B polypeptide 1 (Fragment)</t>
  </si>
  <si>
    <t>Cytochrome b-c1 complex subunit 7</t>
  </si>
  <si>
    <t>UPF0544 protein C5orf45</t>
  </si>
  <si>
    <t>E3 ubiquitin-protein ligase RNF130</t>
  </si>
  <si>
    <t>TELO2-interacting protein 2</t>
  </si>
  <si>
    <t>Inositol monophosphatase 1 (Fragment)</t>
  </si>
  <si>
    <t>Transmembrane protein 55A</t>
  </si>
  <si>
    <t>Coiled-coil-helix-coiled-coil-helix domain-containing protein 7 (Fragment)</t>
  </si>
  <si>
    <t>AN1-type zinc finger protein 1</t>
  </si>
  <si>
    <t>39S ribosomal protein L13, mitochondrial (Fragment)</t>
  </si>
  <si>
    <t>Lymphocyte antigen 96</t>
  </si>
  <si>
    <t>S-phase kinase-associated protein 1</t>
  </si>
  <si>
    <t>Centrin-3</t>
  </si>
  <si>
    <t>GPI ethanolamine phosphate transferase 2</t>
  </si>
  <si>
    <t>COP9 signalosome complex subunit 6</t>
  </si>
  <si>
    <t>E3 ubiquitin-protein ligase RNF5</t>
  </si>
  <si>
    <t>Acid trehalase-like protein 1</t>
  </si>
  <si>
    <t>A-kinase anchor protein 10, mitochondrial (Fragment)</t>
  </si>
  <si>
    <t>Acid ceramidase</t>
  </si>
  <si>
    <t>Protein phosphatase inhibitor 2 (Fragment)</t>
  </si>
  <si>
    <t>TNFAIP3-interacting protein 1</t>
  </si>
  <si>
    <t>Mitogen-activated protein kinase kinase kinase kinase 4</t>
  </si>
  <si>
    <t>Cochlin</t>
  </si>
  <si>
    <t>Dyslexia-associated protein KIAA0319-like protein (Fragment)</t>
  </si>
  <si>
    <t>Nicastrin</t>
  </si>
  <si>
    <t>Calcium-binding and coiled-coil domain-containing protein 2</t>
  </si>
  <si>
    <t>Hexokinase-1</t>
  </si>
  <si>
    <t>Double-stranded RNA-specific adenosine deaminase</t>
  </si>
  <si>
    <t>E3 ubiquitin-protein ligase CBL-B</t>
  </si>
  <si>
    <t>Leucine-rich repeat and fibronectin type-III domain-containing protein 4</t>
  </si>
  <si>
    <t>Dynein heavy chain 9, axonemal</t>
  </si>
  <si>
    <t>UPF0449 protein C19orf25</t>
  </si>
  <si>
    <t>60S ribosomal protein L14</t>
  </si>
  <si>
    <t>Target of Myb protein 1</t>
  </si>
  <si>
    <t>Nucleolar protein of 40 kDa</t>
  </si>
  <si>
    <t>Pyridoxal-dependent decarboxylase domain-containing protein 1</t>
  </si>
  <si>
    <t>NADH dehydrogenase [ubiquinone] flavoprotein 2, mitochondrial</t>
  </si>
  <si>
    <t>AP-5 complex subunit mu-1</t>
  </si>
  <si>
    <t>N-alpha-acetyltransferase 50</t>
  </si>
  <si>
    <t>Kaliocin-1 (Fragment)</t>
  </si>
  <si>
    <t>Bardet-Biedl syndrome 1 protein</t>
  </si>
  <si>
    <t>Gamma-tubulin complex component 6</t>
  </si>
  <si>
    <t>Sentrin-specific protease 6</t>
  </si>
  <si>
    <t>Protein YIPF3</t>
  </si>
  <si>
    <t>Apoptotic chromatin condensation inducer in the nucleus</t>
  </si>
  <si>
    <t>Ribosomal protein L15 (Fragment)</t>
  </si>
  <si>
    <t>Metastasis-associated protein MTA3</t>
  </si>
  <si>
    <t>Survival motor neuron protein</t>
  </si>
  <si>
    <t>Protein FAM193B</t>
  </si>
  <si>
    <t>Calcium-transporting ATPase type 2C member 1</t>
  </si>
  <si>
    <t>Kelch domain-containing protein 3</t>
  </si>
  <si>
    <t>Zinc finger CCCH domain-containing protein 18</t>
  </si>
  <si>
    <t>Dystonin</t>
  </si>
  <si>
    <t>Heat shock 70 kDa protein 4L</t>
  </si>
  <si>
    <t>WD repeat-containing protein 17</t>
  </si>
  <si>
    <t>39S ribosomal protein L22, mitochondrial</t>
  </si>
  <si>
    <t>DNA-directed RNA polymerase I subunit RPA34</t>
  </si>
  <si>
    <t>Putative sodium-coupled neutral amino acid transporter 9 (Fragment)</t>
  </si>
  <si>
    <t>C-terminal-binding protein 1 (Fragment)</t>
  </si>
  <si>
    <t>NADH dehydrogenase [ubiquinone] 1 alpha subcomplex subunit 10, mitochondrial</t>
  </si>
  <si>
    <t>U2 snRNP-associated SURP motif-containing protein</t>
  </si>
  <si>
    <t>T-cell surface glycoprotein CD1e, membrane-associated</t>
  </si>
  <si>
    <t>Aspartyl aminopeptidase</t>
  </si>
  <si>
    <t>40S ribosomal protein S24</t>
  </si>
  <si>
    <t>Protein SYS1 homolog</t>
  </si>
  <si>
    <t>Lysosome-associated membrane glycoprotein 3</t>
  </si>
  <si>
    <t>RNA-binding motif, single-stranded-interacting protein 1</t>
  </si>
  <si>
    <t>Serine/threonine-protein kinase MARK2</t>
  </si>
  <si>
    <t>Basic leucine zipper and W2 domain-containing protein 2 (Fragment)</t>
  </si>
  <si>
    <t>Microtubule-associated protein 9</t>
  </si>
  <si>
    <t>Fibroblast growth factor receptor</t>
  </si>
  <si>
    <t>Arf-GAP with Rho-GAP domain, ANK repeat and PH domain-containing protein 1</t>
  </si>
  <si>
    <t>Rab GDP dissociation inhibitor beta</t>
  </si>
  <si>
    <t>Cytoplasmic phosphatidylinositol transfer protein 1</t>
  </si>
  <si>
    <t>Casein kinase II subunit alpha</t>
  </si>
  <si>
    <t>UTP--glucose-1-phosphate uridylyltransferase</t>
  </si>
  <si>
    <t>ATP-binding cassette sub-family D member 3</t>
  </si>
  <si>
    <t>Guanine nucleotide-binding protein subunit alpha-12</t>
  </si>
  <si>
    <t>Nucleoporin p54</t>
  </si>
  <si>
    <t>Single-stranded DNA-binding protein, mitochondrial (Fragment)</t>
  </si>
  <si>
    <t>Calpain-5</t>
  </si>
  <si>
    <t>PiggyBac transposable element-derived protein 3</t>
  </si>
  <si>
    <t>Microtubule-associated protein</t>
  </si>
  <si>
    <t>Autophagy-related protein 16-1</t>
  </si>
  <si>
    <t>Pseudouridine-5-monophosphatase (Fragment)</t>
  </si>
  <si>
    <t>Cytoplasmic FMR1-interacting protein 2</t>
  </si>
  <si>
    <t>Mitochondrial GTPase 1</t>
  </si>
  <si>
    <t>T-cell acute lymphocytic leukemia protein 1</t>
  </si>
  <si>
    <t>Epithelial discoidin domain-containing receptor 1 (Fragment)</t>
  </si>
  <si>
    <t>Retinoic acid-induced protein 1</t>
  </si>
  <si>
    <t>RING finger protein 145</t>
  </si>
  <si>
    <t>Vacuolar fusion protein MON1 homolog B</t>
  </si>
  <si>
    <t>Abl interactor 2</t>
  </si>
  <si>
    <t>Exocyst complex component 6</t>
  </si>
  <si>
    <t>Zinc finger MIZ domain-containing protein 2</t>
  </si>
  <si>
    <t>UPF0505 protein C16orf62</t>
  </si>
  <si>
    <t>MAGUK p55 subfamily member 2</t>
  </si>
  <si>
    <t>Eukaryotic translation initiation factor 4B</t>
  </si>
  <si>
    <t>Eukaryotic translation initiation factor 4 gamma 1</t>
  </si>
  <si>
    <t>Dynactin subunit 1</t>
  </si>
  <si>
    <t>Ribonucleoprotein PTB-binding 1</t>
  </si>
  <si>
    <t>Transcription factor HES-4</t>
  </si>
  <si>
    <t>THO complex subunit 4</t>
  </si>
  <si>
    <t>Mucin-5B</t>
  </si>
  <si>
    <t>Succinate dehydrogenase [ubiquinone] flavoprotein subunit, mitochondrial</t>
  </si>
  <si>
    <t>Mitotic checkpoint serine/threonine-protein kinase BUB1</t>
  </si>
  <si>
    <t>PERQ amino acid-rich with GYF domain-containing protein 2</t>
  </si>
  <si>
    <t>CUGBP Elav-like family member 2</t>
  </si>
  <si>
    <t>Translation initiation factor eIF-2B subunit epsilon</t>
  </si>
  <si>
    <t>Transmembrane and coiled-coil domains protein 1</t>
  </si>
  <si>
    <t>Folliculin-interacting protein 1</t>
  </si>
  <si>
    <t>Beta-glucuronidase</t>
  </si>
  <si>
    <t>Golgi SNAP receptor complex member 1</t>
  </si>
  <si>
    <t>Protein SMG7</t>
  </si>
  <si>
    <t>Calcipressin-1</t>
  </si>
  <si>
    <t>Unconventional myosin-Ib</t>
  </si>
  <si>
    <t>Propionyl-CoA carboxylase beta chain, mitochondrial</t>
  </si>
  <si>
    <t>WD repeat-containing protein 6</t>
  </si>
  <si>
    <t>Malcavernin</t>
  </si>
  <si>
    <t>Integrin beta</t>
  </si>
  <si>
    <t>Nesprin-1</t>
  </si>
  <si>
    <t>Exportin-7</t>
  </si>
  <si>
    <t>Disco-interacting protein 2 homolog A</t>
  </si>
  <si>
    <t>Protein diaphanous homolog 1</t>
  </si>
  <si>
    <t>Hydroxyacyl-coenzyme A dehydrogenase, mitochondrial</t>
  </si>
  <si>
    <t>Transducin beta-like protein 2</t>
  </si>
  <si>
    <t>Rab5 GDP/GTP exchange factor</t>
  </si>
  <si>
    <t>Poly(rC)-binding protein 3</t>
  </si>
  <si>
    <t>Serine/threonine-protein phosphatase 2A 56 kDa regulatory subunit delta isoform</t>
  </si>
  <si>
    <t>AN1-type zinc finger protein 2B</t>
  </si>
  <si>
    <t>FCH and double SH3 domains protein 2</t>
  </si>
  <si>
    <t>Centrosomal protein of 97 kDa</t>
  </si>
  <si>
    <t>Methylcrotonoyl-CoA carboxylase subunit alpha, mitochondrial (Fragment)</t>
  </si>
  <si>
    <t>Ras GTPase-activating protein 1</t>
  </si>
  <si>
    <t>MAP1 light chain LC2</t>
  </si>
  <si>
    <t>TBC1 domain family member 23</t>
  </si>
  <si>
    <t>Bifunctional protein NCOAT</t>
  </si>
  <si>
    <t>Solute carrier family 25 member 44</t>
  </si>
  <si>
    <t>Formin-binding protein 1</t>
  </si>
  <si>
    <t>Translin</t>
  </si>
  <si>
    <t>Ribosomal protein S6 kinase</t>
  </si>
  <si>
    <t>COP9 signalosome complex subunit 8</t>
  </si>
  <si>
    <t>Thioredoxin-dependent peroxide reductase, mitochondrial</t>
  </si>
  <si>
    <t>Cytochrome P450 20A1</t>
  </si>
  <si>
    <t>Band 4.1-like protein 2</t>
  </si>
  <si>
    <t>Cathepsin W</t>
  </si>
  <si>
    <t>Signal peptidase complex subunit 2</t>
  </si>
  <si>
    <t>Mitochondrial carrier homolog 2 (Fragment)</t>
  </si>
  <si>
    <t>Thy-1 membrane glycoprotein (Fragment)</t>
  </si>
  <si>
    <t>G-protein-signaling modulator 3</t>
  </si>
  <si>
    <t>PHD and RING finger domain-containing protein 1</t>
  </si>
  <si>
    <t>T-complex protein 11-like protein 1</t>
  </si>
  <si>
    <t>UBX domain-containing protein 1 (Fragment)</t>
  </si>
  <si>
    <t>Protein Hikeshi</t>
  </si>
  <si>
    <t>Cysteine and histidine-rich protein 1</t>
  </si>
  <si>
    <t>CD81 antigen</t>
  </si>
  <si>
    <t>F-box only protein 3</t>
  </si>
  <si>
    <t>Elongation factor 1-delta (Fragment)</t>
  </si>
  <si>
    <t>Poly [ADP-ribose] polymerase 10</t>
  </si>
  <si>
    <t>Bcl-2-associated transcription factor 1</t>
  </si>
  <si>
    <t>CAAX prenyl protease 2</t>
  </si>
  <si>
    <t>Pleckstrin homology domain-containing family A member 7</t>
  </si>
  <si>
    <t>Solute carrier family 52, riboflavin transporter, member 2 (Fragment)</t>
  </si>
  <si>
    <t>Protein arginine N-methyltransferase 1</t>
  </si>
  <si>
    <t>Tumor protein p53-inducible protein 11 (Fragment)</t>
  </si>
  <si>
    <t>Coiled-coil domain-containing protein 90B, mitochondrial</t>
  </si>
  <si>
    <t>39S ribosomal protein L17, mitochondrial (Fragment)</t>
  </si>
  <si>
    <t>Tetratricopeptide repeat protein 9C (Fragment)</t>
  </si>
  <si>
    <t>60S ribosomal protein L8 (Fragment)</t>
  </si>
  <si>
    <t>Transcription factor BTF3 homolog 4</t>
  </si>
  <si>
    <t>Collectin-12</t>
  </si>
  <si>
    <t>Etoposide-induced protein 2.4 homolog (Fragment)</t>
  </si>
  <si>
    <t>Protein NEDD8-MDP1 (Fragment)</t>
  </si>
  <si>
    <t>Acidic mammalian chitinase (Fragment)</t>
  </si>
  <si>
    <t>60S ribosomal protein L27a</t>
  </si>
  <si>
    <t>Serine/threonine-protein kinase BRSK2</t>
  </si>
  <si>
    <t>Small acidic protein (Fragment)</t>
  </si>
  <si>
    <t>Baculoviral IAP repeat-containing protein 2</t>
  </si>
  <si>
    <t>Methylosome subunit pICln</t>
  </si>
  <si>
    <t>Protein FAM118B (Fragment)</t>
  </si>
  <si>
    <t>Peroxisomal membrane protein PEX16 (Fragment)</t>
  </si>
  <si>
    <t>Heat shock factor protein 1</t>
  </si>
  <si>
    <t>CD151 antigen</t>
  </si>
  <si>
    <t>LIM domain only protein 7</t>
  </si>
  <si>
    <t>Glycoprotein endo-alpha-1,2-mannosidase-like protein</t>
  </si>
  <si>
    <t>Mitochondrial fission regulator 2 (Fragment)</t>
  </si>
  <si>
    <t>Heat shock cognate 71 kDa protein (Fragment)</t>
  </si>
  <si>
    <t>Receptor-binding cancer antigen-expressed on SiSo cells</t>
  </si>
  <si>
    <t>Mth938 domain-containing protein</t>
  </si>
  <si>
    <t>Rho GTPase-activating protein 27</t>
  </si>
  <si>
    <t>CD59 glycoprotein</t>
  </si>
  <si>
    <t>Leucine-rich repeat-containing protein 14 (Fragment)</t>
  </si>
  <si>
    <t>Epiplakin</t>
  </si>
  <si>
    <t>Glycosylphosphatidylinositol anchor attachment 1 protein (Fragment)</t>
  </si>
  <si>
    <t>von Willebrand factor A domain-containing protein 5B1 (Fragment)</t>
  </si>
  <si>
    <t>Carbonyl reductase [NADPH] 1</t>
  </si>
  <si>
    <t>Lysosomal acid phosphatase</t>
  </si>
  <si>
    <t>CMP-N-acetylneuraminate-beta-galactosamide-alpha-2,3-sialyltransferase 4 (Fragment)</t>
  </si>
  <si>
    <t>40S ribosomal protein S30</t>
  </si>
  <si>
    <t>ATP-dependent RNA helicase DDX25 (Fragment)</t>
  </si>
  <si>
    <t>Repressor of RNA polymerase III transcription MAF1 homolog (Fragment)</t>
  </si>
  <si>
    <t>ARL14 effector protein (Fragment)</t>
  </si>
  <si>
    <t>Solute carrier family 22 member 18</t>
  </si>
  <si>
    <t>Elongation factor 1-delta</t>
  </si>
  <si>
    <t>N-terminal kinase-like protein</t>
  </si>
  <si>
    <t>Protein NEDD8-MDP1</t>
  </si>
  <si>
    <t>Phosphatidylserine synthase 2</t>
  </si>
  <si>
    <t>Solute carrier family 43 member 3 (Fragment)</t>
  </si>
  <si>
    <t>Protein SMCO4 (Fragment)</t>
  </si>
  <si>
    <t>T-cell surface glycoprotein CD3 epsilon chain</t>
  </si>
  <si>
    <t>Transmembrane 9 superfamily member 1</t>
  </si>
  <si>
    <t>Lysine-specific histone demethylase 1B</t>
  </si>
  <si>
    <t>Gamma-tubulin complex component 2</t>
  </si>
  <si>
    <t>Transformation/transcription domain-associated protein</t>
  </si>
  <si>
    <t>Myosin-14</t>
  </si>
  <si>
    <t>FGGY carbohydrate kinase domain-containing protein</t>
  </si>
  <si>
    <t>tRNA (uracil-5-)-methyltransferase homolog A</t>
  </si>
  <si>
    <t>Exportin-4</t>
  </si>
  <si>
    <t>Vezatin</t>
  </si>
  <si>
    <t>Arrestin domain-containing protein 1</t>
  </si>
  <si>
    <t>SH3 and multiple ankyrin repeat domains protein 3</t>
  </si>
  <si>
    <t>General transcription factor IIH subunit 3 (Fragment)</t>
  </si>
  <si>
    <t>Transmembrane protein 258</t>
  </si>
  <si>
    <t>WASH complex subunit CCDC53</t>
  </si>
  <si>
    <t>Roundabout homolog 3</t>
  </si>
  <si>
    <t>Serine/threonine-protein kinase WNK1</t>
  </si>
  <si>
    <t>Mothers against decapentaplegic homolog 5</t>
  </si>
  <si>
    <t>Chromodomain-helicase-DNA-binding protein 4</t>
  </si>
  <si>
    <t>Podocalyxin</t>
  </si>
  <si>
    <t>Protein FAM76B</t>
  </si>
  <si>
    <t>Lysine-specific demethylase 4B</t>
  </si>
  <si>
    <t>Cytosine-specific methyltransferase</t>
  </si>
  <si>
    <t>Protein furry homolog-like</t>
  </si>
  <si>
    <t>HLA class I histocompatibility antigen, Cw-14 alpha chain</t>
  </si>
  <si>
    <t>Trafficking protein particle complex subunit 13</t>
  </si>
  <si>
    <t>Succinyl-CoA ligase [ADP-forming] subunit beta, mitochondrial</t>
  </si>
  <si>
    <t>Arginyl-tRNA--protein transferase 1</t>
  </si>
  <si>
    <t>AF4/FMR2 family member 1</t>
  </si>
  <si>
    <t>Receptor-type tyrosine-protein phosphatase kappa</t>
  </si>
  <si>
    <t>Stromal interaction molecule 2</t>
  </si>
  <si>
    <t>DnaJ homolog subfamily B member 11</t>
  </si>
  <si>
    <t>SH2B adapter protein 1</t>
  </si>
  <si>
    <t>Dolichyl-diphosphooligosaccharide--protein glycosyltransferase subunit DAD1</t>
  </si>
  <si>
    <t>Vasculin</t>
  </si>
  <si>
    <t>Polypeptide N-acetylgalactosaminyltransferase 1 soluble form</t>
  </si>
  <si>
    <t>Ribosomal protein S6 kinase alpha-3</t>
  </si>
  <si>
    <t>Potassium channel subfamily K member 4</t>
  </si>
  <si>
    <t>Ubiquitin thioesterase OTUB1</t>
  </si>
  <si>
    <t>V-type proton ATPase subunit d 1</t>
  </si>
  <si>
    <t>Delta(14)-sterol reductase</t>
  </si>
  <si>
    <t>Paxillin</t>
  </si>
  <si>
    <t>Denticleless protein homolog</t>
  </si>
  <si>
    <t>Thiamin pyrophosphokinase 1</t>
  </si>
  <si>
    <t>Processed exostosin-like 2</t>
  </si>
  <si>
    <t>Actin-binding LIM protein 2</t>
  </si>
  <si>
    <t>Probable ATP-dependent RNA helicase DHX36</t>
  </si>
  <si>
    <t>4F2 cell-surface antigen heavy chain</t>
  </si>
  <si>
    <t>Constitutive coactivator of peroxisome proliferator-activated receptor gamma</t>
  </si>
  <si>
    <t>E3 ubiquitin-protein ligase TRIM21</t>
  </si>
  <si>
    <t>Protein FAM65B</t>
  </si>
  <si>
    <t>Cytoplasmic dynein 1 intermediate chain 1</t>
  </si>
  <si>
    <t>Solute carrier family 2, facilitated glucose transporter member 4</t>
  </si>
  <si>
    <t>Tumor protein D52</t>
  </si>
  <si>
    <t>Anaphase-promoting complex subunit 5</t>
  </si>
  <si>
    <t>Transcription factor SOX-5</t>
  </si>
  <si>
    <t>SEC23-interacting protein</t>
  </si>
  <si>
    <t>CLK4-associating serine/arginine-rich protein</t>
  </si>
  <si>
    <t>Speckle targeted PIP5K1A-regulated poly(A) polymerase</t>
  </si>
  <si>
    <t>T-complex protein 1 subunit alpha (Fragment)</t>
  </si>
  <si>
    <t>RNA polymerase I-specific transcription initiation factor RRN3</t>
  </si>
  <si>
    <t>Pleckstrin homology domain-containing family B member 1 (Fragment)</t>
  </si>
  <si>
    <t>Fibulin-2</t>
  </si>
  <si>
    <t>Abl interactor 1</t>
  </si>
  <si>
    <t>Thioredoxin reductase 2, mitochondrial</t>
  </si>
  <si>
    <t>Uncharacterized protein KIAA1211</t>
  </si>
  <si>
    <t>Protein FLJ22184</t>
  </si>
  <si>
    <t>E3 ubiquitin-protein ligase RNF4</t>
  </si>
  <si>
    <t>PCTP-like protein (Fragment)</t>
  </si>
  <si>
    <t>Transmembrane protein 135</t>
  </si>
  <si>
    <t>DmX-like protein 1</t>
  </si>
  <si>
    <t>Ankyrin repeat and LEM domain-containing protein 2</t>
  </si>
  <si>
    <t>Vacuole membrane protein 1</t>
  </si>
  <si>
    <t>Protein lunapark</t>
  </si>
  <si>
    <t>Dynactin subunit 2</t>
  </si>
  <si>
    <t>Serine/threonine-protein kinase PRP4 homolog</t>
  </si>
  <si>
    <t>Cip1-interacting zinc finger protein</t>
  </si>
  <si>
    <t>Pre-mRNA-splicing factor SYF1</t>
  </si>
  <si>
    <t>Protein transport protein Sec23A</t>
  </si>
  <si>
    <t>Frizzled-10</t>
  </si>
  <si>
    <t>Importin subunit alpha</t>
  </si>
  <si>
    <t>Nuclear factor of-activated T-cells, cytoplasmic 1</t>
  </si>
  <si>
    <t>Programmed cell death protein 2</t>
  </si>
  <si>
    <t>Kelch-like protein 42</t>
  </si>
  <si>
    <t>Protein phosphatase Slingshot homolog 2</t>
  </si>
  <si>
    <t>V-type proton ATPase 116 kDa subunit a isoform 1</t>
  </si>
  <si>
    <t>Protein BRICK1</t>
  </si>
  <si>
    <t>Tubulin alpha-1C chain</t>
  </si>
  <si>
    <t>G-rich sequence factor 1</t>
  </si>
  <si>
    <t>Interferon gamma receptor 1</t>
  </si>
  <si>
    <t>Serine/threonine-protein kinase MRCK alpha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</si>
  <si>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</si>
  <si>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</si>
  <si>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</si>
  <si>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CLIP-associating protein 2</t>
  </si>
  <si>
    <t>Oxidoreductase NAD-binding domain-containing protein 1</t>
  </si>
  <si>
    <t>C-type lectin domain family 2 member B</t>
  </si>
  <si>
    <t>Nucleolar protein 10</t>
  </si>
  <si>
    <t>Lysine-specific demethylase 6A</t>
  </si>
  <si>
    <t>Protein FAM60A (Fragment)</t>
  </si>
  <si>
    <t>Axin interactor, dorsalization-associated protein</t>
  </si>
  <si>
    <t>WW domain-binding protein 11</t>
  </si>
  <si>
    <t>Lactadherin short form</t>
  </si>
  <si>
    <t>Receptor expression-enhancing protein 1</t>
  </si>
  <si>
    <t>2-oxoglutarate dehydrogenase, mitochondrial</t>
  </si>
  <si>
    <t>Protein O-linked-mannose beta-1,2-N-acetylglucosaminyltransferase 1</t>
  </si>
  <si>
    <t>Type I inositol 3,4-bisphosphate 4-phosphatase</t>
  </si>
  <si>
    <t>Activating signal cointegrator 1 complex subunit 1</t>
  </si>
  <si>
    <t>Kunitz-type protease inhibitor 1</t>
  </si>
  <si>
    <t>Heat shock protein 75 kDa, mitochondrial</t>
  </si>
  <si>
    <t>Mevalonate kinase</t>
  </si>
  <si>
    <t>Cleft lip and palate transmembrane protein 1</t>
  </si>
  <si>
    <t>Rab GTPase-activating protein 1-like</t>
  </si>
  <si>
    <t>SID1 transmembrane family member 2</t>
  </si>
  <si>
    <t>Epsin-2 (Fragment)</t>
  </si>
  <si>
    <t>Cysteine-rich DPF motif domain-containing protein 1</t>
  </si>
  <si>
    <t>2,5-phosphodiesterase 12</t>
  </si>
  <si>
    <t>Phosphatidylinositol 3-kinase regulatory subunit gamma</t>
  </si>
  <si>
    <t>Calcineurin subunit B type 1</t>
  </si>
  <si>
    <t>RNA-binding protein 38</t>
  </si>
  <si>
    <t>Dual-specificity mitogen-activated protein kinase kinase 7</t>
  </si>
  <si>
    <t>Nucleoside diphosphate kinase</t>
  </si>
  <si>
    <t>Uncharacterized protein C14orf80</t>
  </si>
  <si>
    <t>Eukaryotic translation initiation factor 4B (Fragment)</t>
  </si>
  <si>
    <t>DNA fragmentation factor subunit beta</t>
  </si>
  <si>
    <t>Overexpressed in colon carcinoma 1 protein (Fragment)</t>
  </si>
  <si>
    <t>Methyltransferase-like protein 7A (Fragment)</t>
  </si>
  <si>
    <t>BRCA1-A complex subunit RAP80</t>
  </si>
  <si>
    <t>Methionine aminopeptidase</t>
  </si>
  <si>
    <t>RNA-binding protein fox-1 homolog 1 (Fragment)</t>
  </si>
  <si>
    <t>Transmembrane protein 19 (Fragment)</t>
  </si>
  <si>
    <t>RasGAP-activating-like protein 1</t>
  </si>
  <si>
    <t>Alpha-aminoadipic semialdehyde dehydrogenase</t>
  </si>
  <si>
    <t>Serine/threonine-protein kinase Nek3</t>
  </si>
  <si>
    <t>Nuclear transcription factor Y subunit beta (Fragment)</t>
  </si>
  <si>
    <t>Plexin-A1</t>
  </si>
  <si>
    <t>Ret finger protein-like 4A-like protein 1</t>
  </si>
  <si>
    <t>PRP40 pre-mRNA processing factor 40 homolog B (Yeast), isoform CRA_a</t>
  </si>
  <si>
    <t>Peptidyl-prolyl cis-trans isomerase</t>
  </si>
  <si>
    <t>DAZ-associated protein 2</t>
  </si>
  <si>
    <t>Lysozyme C</t>
  </si>
  <si>
    <t>CCR4-NOT transcription complex subunit 2 (Fragment)</t>
  </si>
  <si>
    <t>Nucleosome assembly protein 1-like 1</t>
  </si>
  <si>
    <t>Coatomer subunit zeta-1</t>
  </si>
  <si>
    <t>Transmembrane protein 106C</t>
  </si>
  <si>
    <t>Cysteine and glycine-rich protein 2</t>
  </si>
  <si>
    <t>Protein MON2 homolog</t>
  </si>
  <si>
    <t>Putative Dol-P-Glc:Glc(2)Man(9)GlcNAc(2)-PP-Dol alpha-1,2-glucosyltransferase</t>
  </si>
  <si>
    <t>Alpha-globin transcription factor CP2 (Fragment)</t>
  </si>
  <si>
    <t>Sodium-coupled neutral amino acid transporter 1</t>
  </si>
  <si>
    <t>Phosphofurin acidic cluster sorting protein 2</t>
  </si>
  <si>
    <t>Protein SCAF11</t>
  </si>
  <si>
    <t>Carbohydrate sulfotransferase 11 (Fragment)</t>
  </si>
  <si>
    <t>RISC-loading complex subunit TARBP2</t>
  </si>
  <si>
    <t>ADP-ribosylation factor-like protein 1</t>
  </si>
  <si>
    <t>Protein unc-13 homolog A</t>
  </si>
  <si>
    <t>Nascent polypeptide-associated complex subunit alpha</t>
  </si>
  <si>
    <t>Keratin, type I cytoskeletal 18</t>
  </si>
  <si>
    <t>Chromatin complexes subunit BAP18</t>
  </si>
  <si>
    <t>Tastin (Fragment)</t>
  </si>
  <si>
    <t>Aldehyde dehydrogenase, mitochondrial</t>
  </si>
  <si>
    <t>Periphilin-1</t>
  </si>
  <si>
    <t>Endoplasmic reticulum-Golgi intermediate compartment protein 2 (Fragment)</t>
  </si>
  <si>
    <t>Microspherule protein 1 (Fragment)</t>
  </si>
  <si>
    <t>60S ribosomal protein L6 (Fragment)</t>
  </si>
  <si>
    <t>DNA-binding protein RFX5 (Fragment)</t>
  </si>
  <si>
    <t>Heterogeneous nuclear ribonucleoprotein A1</t>
  </si>
  <si>
    <t>Membrane-associated guanylate kinase, WW and PDZ domain-containing protein 1</t>
  </si>
  <si>
    <t>Tripartite motif-containing protein 5</t>
  </si>
  <si>
    <t>Zinc finger protein 384</t>
  </si>
  <si>
    <t>Transducin-like enhancer protein 4</t>
  </si>
  <si>
    <t>Cathepsin D light chain (Fragment)</t>
  </si>
  <si>
    <t>Phenazine biosynthesis-like domain-containing protein</t>
  </si>
  <si>
    <t>Ugl-Y3</t>
  </si>
  <si>
    <t>Protein FAM162A</t>
  </si>
  <si>
    <t>YTH domain family protein 1</t>
  </si>
  <si>
    <t>Cyclin-dependent kinase 10</t>
  </si>
  <si>
    <t>Constitutive coactivator of PPAR-gamma-like protein 2</t>
  </si>
  <si>
    <t>Histone RNA hairpin-binding protein</t>
  </si>
  <si>
    <t>Cancer susceptibility candidate protein 1</t>
  </si>
  <si>
    <t>Transcriptional activator Myb</t>
  </si>
  <si>
    <t>Nucleolysin TIA-1 isoform p40</t>
  </si>
  <si>
    <t>AP-1 complex subunit sigma-3</t>
  </si>
  <si>
    <t>Reticulon-4</t>
  </si>
  <si>
    <t>FSD1-like protein</t>
  </si>
  <si>
    <t>Myocyte-specific enhancer factor 2A</t>
  </si>
  <si>
    <t>Inositol hexakisphosphate and diphosphoinositol-pentakisphosphate kinase 1</t>
  </si>
  <si>
    <t>Mediator of RNA polymerase II transcription subunit 24</t>
  </si>
  <si>
    <t>Coiled-coil domain-containing protein 93</t>
  </si>
  <si>
    <t>CLIP-associating protein 1</t>
  </si>
  <si>
    <t>Myotubularin-related protein 1</t>
  </si>
  <si>
    <t>S-adenosylmethionine mitochondrial carrier protein</t>
  </si>
  <si>
    <t>Disintegrin and metalloproteinase domain-containing protein 22 (Fragment)</t>
  </si>
  <si>
    <t>SOSS complex subunit B2</t>
  </si>
  <si>
    <t>Cohesin subunit SA-2</t>
  </si>
  <si>
    <t>39S ribosomal protein L40, mitochondrial</t>
  </si>
  <si>
    <t>DNA-directed RNA polymerases I, II, and III subunit RPABC2</t>
  </si>
  <si>
    <t>SAC3 domain-containing protein 1</t>
  </si>
  <si>
    <t>E3 ubiquitin-protein ligase RNF149</t>
  </si>
  <si>
    <t>Actin-related protein 2/3 complex subunit 4</t>
  </si>
  <si>
    <t>Nebulin</t>
  </si>
  <si>
    <t>Atlastin-1</t>
  </si>
  <si>
    <t>Protein downstream neighbor of Son</t>
  </si>
  <si>
    <t>Peroxisomal membrane protein PMP34</t>
  </si>
  <si>
    <t>Unconventional myosin-Va</t>
  </si>
  <si>
    <t>Methylmalonic aciduria and homocystinuria type D protein, mitochondrial</t>
  </si>
  <si>
    <t>Dol-P-Man:Man(5)GlcNAc(2)-PP-Dol alpha-1,3-mannosyltransferase</t>
  </si>
  <si>
    <t>Cleavage and polyadenylation-specificity factor subunit 6</t>
  </si>
  <si>
    <t>Trafficking protein particle complex subunit 2</t>
  </si>
  <si>
    <t>NMDA receptor regulated 2, isoform CRA_a</t>
  </si>
  <si>
    <t>NADH dehydrogenase (Ubiquinone) flavoprotein 1, 51kDa, isoform CRA_c</t>
  </si>
  <si>
    <t>OTU domain containing 4, isoform CRA_f</t>
  </si>
  <si>
    <t>Poly (ADP-ribose) polymerase family, member 2, isoform CRA_a</t>
  </si>
  <si>
    <t>Gasdermin domain containing 1, isoform CRA_d</t>
  </si>
  <si>
    <t>Dipeptidyl peptidase 3</t>
  </si>
  <si>
    <t>Loss of heterozygosity 12 chromosomal region 1 protein</t>
  </si>
  <si>
    <t>Septin 7, isoform CRA_a</t>
  </si>
  <si>
    <t>Acyl-CoA synthetase long-chain family member 6, isoform CRA_c</t>
  </si>
  <si>
    <t>Golgi transport 1 homolog B (S. cerevisiae), isoform CRA_c</t>
  </si>
  <si>
    <t>YY1 associated factor 2, isoform CRA_g</t>
  </si>
  <si>
    <t>60S ribosomal protein L18</t>
  </si>
  <si>
    <t>HCG2044781</t>
  </si>
  <si>
    <t>Acylphosphatase</t>
  </si>
  <si>
    <t>Pentatricopeptide repeat-containing protein 1, mitochondrial</t>
  </si>
  <si>
    <t>Prostaglandin reductase 2</t>
  </si>
  <si>
    <t>DDB1- and CUL4-associated factor 8</t>
  </si>
  <si>
    <t>NF-kappa-B inhibitor alpha</t>
  </si>
  <si>
    <t>Guanine nucleotide-binding protein subunit gamma</t>
  </si>
  <si>
    <t>Ataxin-3 (Fragment)</t>
  </si>
  <si>
    <t>39S ribosomal protein L52, mitochondrial</t>
  </si>
  <si>
    <t>Apoptosis regulatory protein Siva (Fragment)</t>
  </si>
  <si>
    <t>DDB1- and CUL4-associated factor 5</t>
  </si>
  <si>
    <t>Spermatogenesis-defective protein 39 homolog</t>
  </si>
  <si>
    <t>AP-4 complex subunit sigma-1 (Fragment)</t>
  </si>
  <si>
    <t>Heterogeneous nuclear ribonucleoproteins C1/C2 (Fragment)</t>
  </si>
  <si>
    <t>ATP-dependent RNA helicase DDX24</t>
  </si>
  <si>
    <t>Protein FAM177A1 (Fragment)</t>
  </si>
  <si>
    <t>Acylphosphatase-1</t>
  </si>
  <si>
    <t>cTAGE family member 5</t>
  </si>
  <si>
    <t>Maleylacetoacetate isomerase</t>
  </si>
  <si>
    <t>Cyclin-dependent kinase 2</t>
  </si>
  <si>
    <t>AT rich interactive domain 1B (SWI1-like), isoform CRA_a</t>
  </si>
  <si>
    <t>Solute carrier family 26 member 6</t>
  </si>
  <si>
    <t>KIAA0423, isoform CRA_a</t>
  </si>
  <si>
    <t>Protein FAM133B</t>
  </si>
  <si>
    <t>Nuclear receptor coactivator 3</t>
  </si>
  <si>
    <t>Mitochondrial import inner membrane translocase subunit Tim8 B</t>
  </si>
  <si>
    <t>ATP-binding cassette sub-family B member 8, mitochondrial</t>
  </si>
  <si>
    <t>Myotubularin-related protein 5</t>
  </si>
  <si>
    <t>G protein-coupled receptor 107, isoform CRA_c</t>
  </si>
  <si>
    <t>Tight junction protein 1 (Zona occludens 1), isoform CRA_e</t>
  </si>
  <si>
    <t>Calcineurin binding protein 1, isoform CRA_b</t>
  </si>
  <si>
    <t>Epithelial cell transforming sequence 2 oncogene, isoform CRA_b</t>
  </si>
  <si>
    <t>Inositol 1,4,5-triphosphate receptor, type 1, isoform CRA_d</t>
  </si>
  <si>
    <t>GTPase IMAP family member 4</t>
  </si>
  <si>
    <t>HCG1647660, isoform CRA_a</t>
  </si>
  <si>
    <t>HCG21202, isoform CRA_a</t>
  </si>
  <si>
    <t>CUG triplet repeat, RNA binding protein 1, isoform CRA_c</t>
  </si>
  <si>
    <t>Cell division cycle 27, isoform CRA_c</t>
  </si>
  <si>
    <t>Protein disulfide isomerase family A, member 3, isoform CRA_b</t>
  </si>
  <si>
    <t>MAU2 chromatid cohesion factor homolog</t>
  </si>
  <si>
    <t>G/T mismatch-specific thymine DNA glycosylase</t>
  </si>
  <si>
    <t>Myosin light polypeptide 6</t>
  </si>
  <si>
    <t>tRNA pseudouridine synthase (Fragment)</t>
  </si>
  <si>
    <t>Heterogeneous nuclear ribonucleoprotein H</t>
  </si>
  <si>
    <t>ELKS/Rab6-interacting/CAST family member 1</t>
  </si>
  <si>
    <t>M-phase inducer phosphatase 2</t>
  </si>
  <si>
    <t>WD repeat domain phosphoinositide-interacting protein 4</t>
  </si>
  <si>
    <t>Transforming acidic coiled-coil-containing protein 1</t>
  </si>
  <si>
    <t>Lysosomal thioesterase PPT2 (Fragment)</t>
  </si>
  <si>
    <t>Multivesicular body subunit 12B</t>
  </si>
  <si>
    <t>Negative elongation factor C/D</t>
  </si>
  <si>
    <t>Transmembrane protein 131-like (Fragment)</t>
  </si>
  <si>
    <t>Phosphatidylinositol-glycan biosynthesis class X protein</t>
  </si>
  <si>
    <t>Protein lin-9 homolog (Fragment)</t>
  </si>
  <si>
    <t>Outer dense fiber protein 2 (Fragment)</t>
  </si>
  <si>
    <t>SET domain-containing protein 5 (Fragment)</t>
  </si>
  <si>
    <t>Protein PRRC2B (Fragment)</t>
  </si>
  <si>
    <t>Serine/threonine-protein kinase SIK3</t>
  </si>
  <si>
    <t>Myeloid differentiation primary response protein MyD88 (Fragment)</t>
  </si>
  <si>
    <t>Glycodelin (Fragment)</t>
  </si>
  <si>
    <t>Probable phospholipid-transporting ATPase IH (Fragment)</t>
  </si>
  <si>
    <t>Arginyl-tRNA--protein transferase 1 (Fragment)</t>
  </si>
  <si>
    <t>Thioredoxin-like protein AAED1 (Fragment)</t>
  </si>
  <si>
    <t>Prolyl endopeptidase (Fragment)</t>
  </si>
  <si>
    <t>Ubiquitin-fold modifier 1 (Fragment)</t>
  </si>
  <si>
    <t>ADP-ribosylation factor GTPase-activating protein 3 (Fragment)</t>
  </si>
  <si>
    <t>Pyrroline-5-carboxylate reductase 3 (Fragment)</t>
  </si>
  <si>
    <t>Bromodomain-containing protein 2 (Fragment)</t>
  </si>
  <si>
    <t>T-cell surface glycoprotein CD1c (Fragment)</t>
  </si>
  <si>
    <t>Calmodulin (Fragment)</t>
  </si>
  <si>
    <t>Phosphatidylserine decarboxylase alpha chain (Fragment)</t>
  </si>
  <si>
    <t>Plasma membrane calcium-transporting ATPase 4 (Fragment)</t>
  </si>
  <si>
    <t>Transmembrane protein 222 (Fragment)</t>
  </si>
  <si>
    <t>Transforming acidic coiled-coil-containing protein 3 (Fragment)</t>
  </si>
  <si>
    <t>Cysteine-rich hydrophobic domain 2 protein (Fragment)</t>
  </si>
  <si>
    <t>Regulator of G-protein-signaling 14 (Fragment)</t>
  </si>
  <si>
    <t>Dachshund homolog 2 (Fragment)</t>
  </si>
  <si>
    <t>Uncharacterized protein (Fragment)</t>
  </si>
  <si>
    <t>Alcohol dehydrogenase 4 (Fragment)</t>
  </si>
  <si>
    <t>Inositol hexakisphosphate and diphosphoinositol-pentakisphosphate kinase 2 (Fragment)</t>
  </si>
  <si>
    <t>m7GpppN-mRNA hydrolase (Fragment)</t>
  </si>
  <si>
    <t>Translation machinery-associated protein 16 (Fragment)</t>
  </si>
  <si>
    <t>CCR4-NOT transcription complex subunit 6-like (Fragment)</t>
  </si>
  <si>
    <t>Diacylglycerol kinase theta (Fragment)</t>
  </si>
  <si>
    <t>Pterin-4-alpha-carbinolamine dehydratase 2 (Fragment)</t>
  </si>
  <si>
    <t>Epididymis-specific alpha-mannosidase (Fragment)</t>
  </si>
  <si>
    <t>Clusterin beta chain (Fragment)</t>
  </si>
  <si>
    <t>Ribonucleoside-diphosphate reductase subunit M2 B (Fragment)</t>
  </si>
  <si>
    <t>BCL2/adenovirus E1B 19 kDa protein-interacting protein 3-like (Fragment)</t>
  </si>
  <si>
    <t>Thioredoxin reductase 3 (Fragment)</t>
  </si>
  <si>
    <t>Focal adhesion kinase 1 (Fragment)</t>
  </si>
  <si>
    <t>Mitochondrial fission regulator 1 (Fragment)</t>
  </si>
  <si>
    <t>Leukocyte surface antigen CD47 (Fragment)</t>
  </si>
  <si>
    <t>GDP-L-fucose synthase (Fragment)</t>
  </si>
  <si>
    <t>WD repeat-containing protein 67 (Fragment)</t>
  </si>
  <si>
    <t>Probable dolichyl pyrophosphate Glc1Man9GlcNAc2 alpha-1,3-glucosyltransferase (Fragment)</t>
  </si>
  <si>
    <t>Ubiquilin-1 (Fragment)</t>
  </si>
  <si>
    <t>Chitinase-3-like protein 2 (Fragment)</t>
  </si>
  <si>
    <t>Sjoegren syndrome/scleroderma autoantigen 1 (Fragment)</t>
  </si>
  <si>
    <t>Ribonuclease H2 subunit C (Fragment)</t>
  </si>
  <si>
    <t>UPF0598 protein C8orf82 (Fragment)</t>
  </si>
  <si>
    <t>Protein RIC1 homolog (Fragment)</t>
  </si>
  <si>
    <t>Oligoribonuclease, mitochondrial (Fragment)</t>
  </si>
  <si>
    <t>Josephin-1 (Fragment)</t>
  </si>
  <si>
    <t>Heterogeneous nuclear ribonucleoprotein A1 (Fragment)</t>
  </si>
  <si>
    <t>Ataxin-2 (Fragment)</t>
  </si>
  <si>
    <t>UPF0568 protein C14orf166 (Fragment)</t>
  </si>
  <si>
    <t>Serine/threonine-protein kinase VRK1 (Fragment)</t>
  </si>
  <si>
    <t>Tropomyosin alpha-1 chain</t>
  </si>
  <si>
    <t>ER membrane protein complex subunit 4</t>
  </si>
  <si>
    <t>Tetraspanin-3</t>
  </si>
  <si>
    <t>Transducin-like enhancer protein 3</t>
  </si>
  <si>
    <t>Sorbitol dehydrogenase</t>
  </si>
  <si>
    <t>POU domain, class 2, transcription factor 1</t>
  </si>
  <si>
    <t>Homeobox-containing protein 1 (Fragment)</t>
  </si>
  <si>
    <t>SH2 domain-containing adapter protein F</t>
  </si>
  <si>
    <t>DNA-binding protein RFX7</t>
  </si>
  <si>
    <t>GMP reductase 2</t>
  </si>
  <si>
    <t>Mortality factor 4-like protein 1 (Fragment)</t>
  </si>
  <si>
    <t>Interferon-stimulated gene 20 kDa protein (Fragment)</t>
  </si>
  <si>
    <t>Cyclin-dependent kinase 2-interacting protein (Fragment)</t>
  </si>
  <si>
    <t>Signal peptidase complex catalytic subunit SEC11A</t>
  </si>
  <si>
    <t>ER membrane protein complex subunit 9</t>
  </si>
  <si>
    <t>Bloom syndrome protein</t>
  </si>
  <si>
    <t>Limbic system-associated membrane protein (Fragment)</t>
  </si>
  <si>
    <t>Tetratricopeptide repeat protein 24 (Fragment)</t>
  </si>
  <si>
    <t>Complement decay-accelerating factor (Fragment)</t>
  </si>
  <si>
    <t>Transmembrane protein 63B (Fragment)</t>
  </si>
  <si>
    <t>Probable ATP-dependent RNA helicase DDX17</t>
  </si>
  <si>
    <t>NEDD8 ultimate buster 1</t>
  </si>
  <si>
    <t>Nucleolar protein 3 (Fragment)</t>
  </si>
  <si>
    <t>Transmembrane 6 superfamily member 1 (Fragment)</t>
  </si>
  <si>
    <t>Neutral alpha-glucosidase C (Fragment)</t>
  </si>
  <si>
    <t>Tuberin</t>
  </si>
  <si>
    <t>Biogenesis of lysosome-related organelles complex 1 subunit 6 (Fragment)</t>
  </si>
  <si>
    <t>Ceroid-lipofuscinosis neuronal protein 6</t>
  </si>
  <si>
    <t>M-phase phosphoprotein 6</t>
  </si>
  <si>
    <t>Calcium-regulated heat stable protein 1 (Fragment)</t>
  </si>
  <si>
    <t>Trafficking protein particle complex subunit 2-like protein</t>
  </si>
  <si>
    <t>Beta-hexosaminidase</t>
  </si>
  <si>
    <t>Ubiquinone biosynthesis protein COQ7 homolog</t>
  </si>
  <si>
    <t>Thymidine kinase 2, mitochondrial</t>
  </si>
  <si>
    <t>Mannose-6-phosphate isomerase</t>
  </si>
  <si>
    <t>SUMO-conjugating enzyme UBC9 (Fragment)</t>
  </si>
  <si>
    <t>Microtubule-actin cross-linking factor 1, isoforms 1/2/3/5</t>
  </si>
  <si>
    <t>F-box/LRR-repeat protein 19</t>
  </si>
  <si>
    <t>snRNA-activating protein complex subunit 5</t>
  </si>
  <si>
    <t>PAP-associated domain-containing protein 5</t>
  </si>
  <si>
    <t>Conserved oligomeric Golgi complex subunit 8</t>
  </si>
  <si>
    <t>Protein spinster homolog 1 (Fragment)</t>
  </si>
  <si>
    <t>Zinc finger FYVE domain-containing protein 19</t>
  </si>
  <si>
    <t>Ubiquitin domain-containing protein UBFD1</t>
  </si>
  <si>
    <t>4-aminobutyrate aminotransferase, mitochondrial</t>
  </si>
  <si>
    <t>Nuclear factor of-activated T-cells, cytoplasmic 3 (Fragment)</t>
  </si>
  <si>
    <t>Eukaryotic translation initiation factor 3 subunit C</t>
  </si>
  <si>
    <t>von Willebrand factor A domain-containing protein 9</t>
  </si>
  <si>
    <t>Uncharacterized protein C15orf41</t>
  </si>
  <si>
    <t>Coiled-coil domain-containing protein 154 (Fragment)</t>
  </si>
  <si>
    <t>UPF0420 protein C16orf58</t>
  </si>
  <si>
    <t>Cytoplasmic tRNA 2-thiolation protein 2</t>
  </si>
  <si>
    <t>Cyclin-D1-binding protein 1</t>
  </si>
  <si>
    <t>Probable glutamate--tRNA ligase, mitochondrial</t>
  </si>
  <si>
    <t>Microtubule-associated protein 1 light chain 3 beta, isoform CRA_f</t>
  </si>
  <si>
    <t>Pyruvate kinase (Fragment)</t>
  </si>
  <si>
    <t>Centromere protein T</t>
  </si>
  <si>
    <t>RING finger protein 166</t>
  </si>
  <si>
    <t>Cerebellar degeneration-related protein 2 (Fragment)</t>
  </si>
  <si>
    <t>ADP-ribosylation factor-like protein 2-binding protein</t>
  </si>
  <si>
    <t>RNA-binding protein with serine-rich domain 1</t>
  </si>
  <si>
    <t>GABARAP-a</t>
  </si>
  <si>
    <t>Grancalcin</t>
  </si>
  <si>
    <t>Sphingomyelin phosphodiesterase 4</t>
  </si>
  <si>
    <t>Histone deacetylase complex subunit SAP130</t>
  </si>
  <si>
    <t>Serine/threonine-protein phosphatase 6 regulatory subunit 3</t>
  </si>
  <si>
    <t>Protein-lysine methyltransferase METTL21A</t>
  </si>
  <si>
    <t>Extended synaptotagmin-2 (Fragment)</t>
  </si>
  <si>
    <t>Endoplasmic reticulum-Golgi intermediate compartment protein 3</t>
  </si>
  <si>
    <t>Transmembrane protein 41A</t>
  </si>
  <si>
    <t>Rho GTPase-activating protein 19</t>
  </si>
  <si>
    <t>Mitochondrial pyruvate carrier 1</t>
  </si>
  <si>
    <t>Putative ATP-dependent RNA helicase DHX30</t>
  </si>
  <si>
    <t>Zinc finger and BTB domain-containing protein 44</t>
  </si>
  <si>
    <t>Protein-L-isoaspartate O-methyltransferase</t>
  </si>
  <si>
    <t>General transcription factor 3C polypeptide 5</t>
  </si>
  <si>
    <t>Tail-anchored protein insertion receptor WRB (Fragment)</t>
  </si>
  <si>
    <t>Nuclear body protein SP140-like protein</t>
  </si>
  <si>
    <t>Tropomyosin 1 (Alpha), isoform CRA_m</t>
  </si>
  <si>
    <t>Thioredoxin (Fragment)</t>
  </si>
  <si>
    <t>Cyclin-dependent kinase inhibitor 3</t>
  </si>
  <si>
    <t>Reticulon-4 receptor (Fragment)</t>
  </si>
  <si>
    <t>Bromodomain-containing protein 8 (Fragment)</t>
  </si>
  <si>
    <t>RAF proto-oncogene serine/threonine-protein kinase (Fragment)</t>
  </si>
  <si>
    <t>Mitotic-spindle organizing protein 2B (Fragment)</t>
  </si>
  <si>
    <t>Ral GTPase-activating protein subunit alpha-2 (Fragment)</t>
  </si>
  <si>
    <t>Solute carrier family 35 member E1 (Fragment)</t>
  </si>
  <si>
    <t>Coiled-coil and C2 domain-containing protein 1B (Fragment)</t>
  </si>
  <si>
    <t>Apolipoprotein O (Fragment)</t>
  </si>
  <si>
    <t>Tetraspanin-15 (Fragment)</t>
  </si>
  <si>
    <t>Fanconi anemia-associated protein of 20 kDa (Fragment)</t>
  </si>
  <si>
    <t>Protein FAM134A (Fragment)</t>
  </si>
  <si>
    <t>COX assembly mitochondrial protein homolog (Fragment)</t>
  </si>
  <si>
    <t>Glucosamine (N-acetyl)-6-sulfatase (Sanfilippo disease IIID), isoform CRA_b</t>
  </si>
  <si>
    <t>Autophagy-related protein 2 homolog A (Fragment)</t>
  </si>
  <si>
    <t>Protein ARV1 (Fragment)</t>
  </si>
  <si>
    <t>DnaJ homolog subfamily B member 14 (Fragment)</t>
  </si>
  <si>
    <t>Protein kinase C-binding protein 1 (Fragment)</t>
  </si>
  <si>
    <t>Serine/threonine-protein kinase B-raf (Fragment)</t>
  </si>
  <si>
    <t>Steroidogenic factor 1 (Fragment)</t>
  </si>
  <si>
    <t>NEDD4 family-interacting protein 2 (Fragment)</t>
  </si>
  <si>
    <t>Isoamyl acetate-hydrolyzing esterase 1 homolog (Fragment)</t>
  </si>
  <si>
    <t>Poly [ADP-ribose] polymerase 14 (Fragment)</t>
  </si>
  <si>
    <t>Protein EFR3 homolog A</t>
  </si>
  <si>
    <t>Protein regulator of cytokinesis 1</t>
  </si>
  <si>
    <t>Calcium uptake protein 1, mitochondrial</t>
  </si>
  <si>
    <t>Solute carrier family 25 member 52</t>
  </si>
  <si>
    <t>Serine/threonine-protein kinase SMG1</t>
  </si>
  <si>
    <t>Golgi SNAP receptor complex member 2 (Fragment)</t>
  </si>
  <si>
    <t>E3 ubiquitin-protein ligase RNF167</t>
  </si>
  <si>
    <t>Vesicle-fusing ATPase</t>
  </si>
  <si>
    <t>Coiled-coil domain-containing protein 137 (Fragment)</t>
  </si>
  <si>
    <t>Diacylglycerol kinase epsilon (Fragment)</t>
  </si>
  <si>
    <t>Protein fantom</t>
  </si>
  <si>
    <t>Diphthamide biosynthesis protein 1 (Fragment)</t>
  </si>
  <si>
    <t>Myosin light chain 4 (Fragment)</t>
  </si>
  <si>
    <t>Myb-binding protein 1A (Fragment)</t>
  </si>
  <si>
    <t>Mitochondrial 2-oxoglutarate/malate carrier protein (Fragment)</t>
  </si>
  <si>
    <t>Elongator complex protein 5 (Fragment)</t>
  </si>
  <si>
    <t>HCG30384, isoform CRA_d</t>
  </si>
  <si>
    <t>Clustered mitochondria protein homolog</t>
  </si>
  <si>
    <t>Gem-associated protein 4</t>
  </si>
  <si>
    <t>Protein capicua homolog</t>
  </si>
  <si>
    <t>5-azacytidine-induced protein 1</t>
  </si>
  <si>
    <t>Protein FAM195B</t>
  </si>
  <si>
    <t>Proline-, glutamic acid- and leucine-rich protein 1</t>
  </si>
  <si>
    <t>G1/S-specific cyclin-E1 (Fragment)</t>
  </si>
  <si>
    <t>ATP synthase mitochondrial F1 complex assembly factor 1</t>
  </si>
  <si>
    <t>Sperm-associated antigen 7</t>
  </si>
  <si>
    <t>KAT8 regulatory NSL complex subunit 1</t>
  </si>
  <si>
    <t>NF-kappa-B inhibitor beta (Fragment)</t>
  </si>
  <si>
    <t>G protein pathway suppressor 2 (Fragment)</t>
  </si>
  <si>
    <t>Centromere protein I</t>
  </si>
  <si>
    <t>Cactin</t>
  </si>
  <si>
    <t>SWI/SNF-related matrix-associated actin-dependent regulator of chromatin subfamily D member 2</t>
  </si>
  <si>
    <t>Epididymal secretory protein E1</t>
  </si>
  <si>
    <t>Integrator complex subunit 2</t>
  </si>
  <si>
    <t>Low-density lipoprotein receptor (Fragment)</t>
  </si>
  <si>
    <t>Proteasome-associated protein ECM29 homolog</t>
  </si>
  <si>
    <t>Fibrosin-1-like protein</t>
  </si>
  <si>
    <t>26S proteasome non-ATPase regulatory subunit 9</t>
  </si>
  <si>
    <t>REST corepressor 1</t>
  </si>
  <si>
    <t>Serotransferrin</t>
  </si>
  <si>
    <t>BCL2/adenovirus E1B 19 kDa protein-interacting protein 2</t>
  </si>
  <si>
    <t>Torsin-1A-interacting protein 1</t>
  </si>
  <si>
    <t>Tropomyosin alpha-3 chain</t>
  </si>
  <si>
    <t>Arylacetamide deacetylase-like 1</t>
  </si>
  <si>
    <t>Mitochondrial inner membrane protein OXA1L</t>
  </si>
  <si>
    <t>Mitogen-activated protein kinase kinase kinase 4</t>
  </si>
  <si>
    <t>Copper chaperone for superoxide dismutase</t>
  </si>
  <si>
    <t>Centrosomal protein of 290 kDa</t>
  </si>
  <si>
    <t>Cytochrome b5 type B</t>
  </si>
  <si>
    <t>Conserved oligomeric Golgi complex subunit 4</t>
  </si>
  <si>
    <t>Septin-1</t>
  </si>
  <si>
    <t>Chitinase domain-containing protein 1</t>
  </si>
  <si>
    <t>Protein transport protein Sec16A</t>
  </si>
  <si>
    <t>Phosphorylase b kinase gamma catalytic chain, liver/testis isoform</t>
  </si>
  <si>
    <t>Probable ATP-dependent RNA helicase DDX41 (Fragment)</t>
  </si>
  <si>
    <t>BRCA1-associated protein</t>
  </si>
  <si>
    <t>Semaphorin-4B</t>
  </si>
  <si>
    <t>MAP/microtubule affinity-regulating kinase 3</t>
  </si>
  <si>
    <t>Zinc finger protein 292</t>
  </si>
  <si>
    <t>Four and a half LIM domains protein 2</t>
  </si>
  <si>
    <t>Probable fibrosin-1</t>
  </si>
  <si>
    <t>Serine/arginine-rich-splicing factor 2 (Fragment)</t>
  </si>
  <si>
    <t>Signal-induced proliferation-associated 1-like protein 1</t>
  </si>
  <si>
    <t>Receptor-type tyrosine-protein phosphatase alpha</t>
  </si>
  <si>
    <t>Ankyrin repeat domain-containing protein 46 (Fragment)</t>
  </si>
  <si>
    <t>Phosphatase and actin regulator 2</t>
  </si>
  <si>
    <t>RAP1, GTPase activating protein 1, isoform CRA_e</t>
  </si>
  <si>
    <t>RNA binding motif protein 7, isoform CRA_c</t>
  </si>
  <si>
    <t>Kinesin-like protein KIF3A</t>
  </si>
  <si>
    <t>Proline-serine-threonine phosphatase-interacting protein 1</t>
  </si>
  <si>
    <t>Synaptojanin-1</t>
  </si>
  <si>
    <t>Calcium-independent phospholipase A2-gamma</t>
  </si>
  <si>
    <t>Calcineurin B homologous protein 3</t>
  </si>
  <si>
    <t>Beta-arrestin-1</t>
  </si>
  <si>
    <t>Rho GTPase activating protein 9, isoform CRA_a</t>
  </si>
  <si>
    <t>DnaJ (Hsp40) homolog, subfamily B, member 12, isoform CRA_c</t>
  </si>
  <si>
    <t>TraB domain-containing protein</t>
  </si>
  <si>
    <t>Histone deacetylase 2</t>
  </si>
  <si>
    <t>Anthrax toxin receptor 2</t>
  </si>
  <si>
    <t>Nuclear nucleic acid-binding protein C1D</t>
  </si>
  <si>
    <t>DNA-binding protein RFXANK</t>
  </si>
  <si>
    <t>Obg-like ATPase 1</t>
  </si>
  <si>
    <t>COP9 signalosome complex subunit 7b</t>
  </si>
  <si>
    <t>Trans-Golgi network integral membrane protein 2</t>
  </si>
  <si>
    <t>Peptidyl-tRNA hydrolase 2, mitochondrial</t>
  </si>
  <si>
    <t>F-box only protein 6 (Fragment)</t>
  </si>
  <si>
    <t>Uncharacterized protein C6orf203</t>
  </si>
  <si>
    <t>UPF0669 protein C6orf120</t>
  </si>
  <si>
    <t>Solute carrier family 25 member 36</t>
  </si>
  <si>
    <t>THUMP domain-containing protein 1</t>
  </si>
  <si>
    <t>Prostamide/prostaglandin F synthase</t>
  </si>
  <si>
    <t>GTP-binding nuclear protein Ran (Fragment)</t>
  </si>
  <si>
    <t>Glucosylceramidase</t>
  </si>
  <si>
    <t>Sulfatase-modifying factor 2</t>
  </si>
  <si>
    <t>Apolipoprotein L2</t>
  </si>
  <si>
    <t>BRISC and BRCA1-A complex member 1</t>
  </si>
  <si>
    <t>N-acyl-phosphatidylethanolamine-hydrolyzing phospholipase D</t>
  </si>
  <si>
    <t>Mediator of RNA polymerase II transcription subunit 19</t>
  </si>
  <si>
    <t>Coiled-coil domain containing 12, isoform CRA_a</t>
  </si>
  <si>
    <t>Transcription initiation factor TFIID subunit 6</t>
  </si>
  <si>
    <t>Tubulin-specific chaperone D</t>
  </si>
  <si>
    <t>Uncharacterized protein C16orf55 (Fragment)</t>
  </si>
  <si>
    <t>Protein SSXT</t>
  </si>
  <si>
    <t>Chromobox protein homolog 1 (Fragment)</t>
  </si>
  <si>
    <t>Peptidyl-tRNA hydrolase ICT1, mitochondrial (Fragment)</t>
  </si>
  <si>
    <t>Transmembrane protein 199</t>
  </si>
  <si>
    <t>F-box and leucine-rich repeat protein 20, isoform CRA_a</t>
  </si>
  <si>
    <t>Zinc finger protein 207 (Fragment)</t>
  </si>
  <si>
    <t>Serine/arginine-rich-splicing factor 1</t>
  </si>
  <si>
    <t>Calcium homeostasis endoplasmic reticulum protein</t>
  </si>
  <si>
    <t>Protein SCO1 homolog, mitochondrial</t>
  </si>
  <si>
    <t>Secernin-2</t>
  </si>
  <si>
    <t>Haptoglobin (Fragment)</t>
  </si>
  <si>
    <t>StAR-related lipid transfer protein 3</t>
  </si>
  <si>
    <t>28S ribosomal protein S7, mitochondrial</t>
  </si>
  <si>
    <t>Sorting nexin-11 (Fragment)</t>
  </si>
  <si>
    <t>SAP30-binding protein (Fragment)</t>
  </si>
  <si>
    <t>Trafficking protein particle complex subunit 8</t>
  </si>
  <si>
    <t>Myelin basic protein</t>
  </si>
  <si>
    <t>60S ribosomal protein L17 (Fragment)</t>
  </si>
  <si>
    <t>NADPH:adrenodoxin oxidoreductase, mitochondrial</t>
  </si>
  <si>
    <t>Male-specific lethal 1 homolog</t>
  </si>
  <si>
    <t>Centromere protein X (Fragment)</t>
  </si>
  <si>
    <t>YTH domain-containing protein 1</t>
  </si>
  <si>
    <t>Ribosomal protein L19</t>
  </si>
  <si>
    <t>CD226 antigen</t>
  </si>
  <si>
    <t>Fatty aldehyde dehydrogenase</t>
  </si>
  <si>
    <t>ORM1-like protein 3 (Fragment)</t>
  </si>
  <si>
    <t>Myosin regulatory light chain 12A</t>
  </si>
  <si>
    <t>Zinc finger protein 207</t>
  </si>
  <si>
    <t>Vesicle-associated membrane protein 2</t>
  </si>
  <si>
    <t>Vascular endothelial zinc finger 1</t>
  </si>
  <si>
    <t>Huntingtin-interacting protein K</t>
  </si>
  <si>
    <t>Protein cereblon (Fragment)</t>
  </si>
  <si>
    <t>BAG family molecular chaperone regulator 1</t>
  </si>
  <si>
    <t>Coiled-coil-helix-coiled-coil-helix domain-containing protein 6, mitochondrial</t>
  </si>
  <si>
    <t>Tetratricopeptide repeat protein 40</t>
  </si>
  <si>
    <t>RANBP2-like and GRIP domain-containing protein 2</t>
  </si>
  <si>
    <t>Protein Njmu-R1</t>
  </si>
  <si>
    <t>Lamin B2, isoform CRA_a</t>
  </si>
  <si>
    <t>Transmembrane and coiled-coil domain-containing protein 1</t>
  </si>
  <si>
    <t>RWD domain containing 4A</t>
  </si>
  <si>
    <t>Cullin 4B, isoform CRA_e</t>
  </si>
  <si>
    <t>Max-like protein X (Fragment)</t>
  </si>
  <si>
    <t>WW domain-binding protein 2 (Fragment)</t>
  </si>
  <si>
    <t>Protein syndesmos (Fragment)</t>
  </si>
  <si>
    <t>Mothers against decapentaplegic homolog 4</t>
  </si>
  <si>
    <t>HEAT repeat-containing protein 6</t>
  </si>
  <si>
    <t>Syntaxin-10 (Fragment)</t>
  </si>
  <si>
    <t>40S ribosomal protein S15 (Fragment)</t>
  </si>
  <si>
    <t>Calreticulin (Fragment)</t>
  </si>
  <si>
    <t>Kinetochore protein Spc24 (Fragment)</t>
  </si>
  <si>
    <t>Signal peptidase complex catalytic subunit SEC11C</t>
  </si>
  <si>
    <t>Protein FAM210A (Fragment)</t>
  </si>
  <si>
    <t>Histone H3 (Fragment)</t>
  </si>
  <si>
    <t>Protein lin-37 homolog</t>
  </si>
  <si>
    <t>Lon protease homolog, mitochondrial</t>
  </si>
  <si>
    <t>Envoplakin</t>
  </si>
  <si>
    <t>Periplakin</t>
  </si>
  <si>
    <t>Fanconi anemia-associated protein of 24 kDa</t>
  </si>
  <si>
    <t>Transmembrane and ubiquitin-like domain-containing protein 2 (Fragment)</t>
  </si>
  <si>
    <t>Hsp90 co-chaperone Cdc37 (Fragment)</t>
  </si>
  <si>
    <t>Protein phosphatase 1 regulatory subunit 12C (Fragment)</t>
  </si>
  <si>
    <t>Glucosidase 2 subunit beta</t>
  </si>
  <si>
    <t>Katanin p60 ATPase-containing subunit A-like 2 (Fragment)</t>
  </si>
  <si>
    <t>Transmembrane protein 205 (Fragment)</t>
  </si>
  <si>
    <t>Actin, cytoplasmic 2, N-terminally processed (Fragment)</t>
  </si>
  <si>
    <t>Transducin-like enhancer protein 2</t>
  </si>
  <si>
    <t>Putative oxidoreductase GLYR1 (Fragment)</t>
  </si>
  <si>
    <t>Zinc finger protein 444 (Fragment)</t>
  </si>
  <si>
    <t>Transcription elongation factor 1 homolog</t>
  </si>
  <si>
    <t>HCG2039718, isoform CRA_g</t>
  </si>
  <si>
    <t>Asparagine--tRNA ligase, cytoplasmic</t>
  </si>
  <si>
    <t>Uncharacterized protein C18orf8</t>
  </si>
  <si>
    <t>Proteasome assembly chaperone 2</t>
  </si>
  <si>
    <t>Isochorismatase domain-containing protein 2, mitochondrial (Fragment)</t>
  </si>
  <si>
    <t>RNA-binding protein 42</t>
  </si>
  <si>
    <t>Transmembrane protein 161A (Fragment)</t>
  </si>
  <si>
    <t>Ubinuclein-1 (Fragment)</t>
  </si>
  <si>
    <t>Scaffold attachment factor B2 (Fragment)</t>
  </si>
  <si>
    <t>Tropomyosin alpha-4 chain (Fragment)</t>
  </si>
  <si>
    <t>Phenylalanine--tRNA ligase alpha subunit</t>
  </si>
  <si>
    <t>Mitogen-activated protein kinase kinase kinase kinase</t>
  </si>
  <si>
    <t>Eukaryotic translation initiation factor 3 subunit K</t>
  </si>
  <si>
    <t>Gap junction gamma-1 protein (Fragment)</t>
  </si>
  <si>
    <t>Protein YIF1B (Fragment)</t>
  </si>
  <si>
    <t>Zinc finger protein 580 (Fragment)</t>
  </si>
  <si>
    <t>PQ-loop repeat-containing protein 1</t>
  </si>
  <si>
    <t>Ubiquitin-conjugating enzyme E2 O (Fragment)</t>
  </si>
  <si>
    <t>Protein FAM86A</t>
  </si>
  <si>
    <t>UV excision repair protein RAD23 homolog A</t>
  </si>
  <si>
    <t>Nuclear factor 1 X-type (Fragment)</t>
  </si>
  <si>
    <t>Dynamin-2</t>
  </si>
  <si>
    <t>Dephospho-CoA kinase domain-containing protein (Fragment)</t>
  </si>
  <si>
    <t>Serine--tRNA ligase, mitochondrial</t>
  </si>
  <si>
    <t>Paf1, RNA polymerase II associated factor, homolog (S. cerevisiae), isoform CRA_c</t>
  </si>
  <si>
    <t>Kallikrein 3, (Prostate specific antigen), isoform CRA_a</t>
  </si>
  <si>
    <t>Protein Wiz</t>
  </si>
  <si>
    <t>Zinc finger protein 428 (Fragment)</t>
  </si>
  <si>
    <t>Zinc finger CCCH domain-containing protein 4 (Fragment)</t>
  </si>
  <si>
    <t>Anoctamin</t>
  </si>
  <si>
    <t>Tubulin beta-4A chain (Fragment)</t>
  </si>
  <si>
    <t>60S ribosomal protein L13a (Fragment)</t>
  </si>
  <si>
    <t>GRAM domain-containing protein 1A</t>
  </si>
  <si>
    <t>Protein Smaug homolog 2</t>
  </si>
  <si>
    <t>FCH domain only protein 1</t>
  </si>
  <si>
    <t>Josephin-2 (Fragment)</t>
  </si>
  <si>
    <t>Heterogeneous nuclear ribonucleoprotein M (Fragment)</t>
  </si>
  <si>
    <t>Leukocyte antigen CD37 (Fragment)</t>
  </si>
  <si>
    <t>Rho guanine nucleotide exchange factor 1</t>
  </si>
  <si>
    <t>Serine/threonine-protein kinase D</t>
  </si>
  <si>
    <t>Zinc finger protein 575 (Fragment)</t>
  </si>
  <si>
    <t>KxDL motif-containing protein 1 (Fragment)</t>
  </si>
  <si>
    <t>40S ribosomal protein S5 (Fragment)</t>
  </si>
  <si>
    <t>AP-2 complex subunit sigma</t>
  </si>
  <si>
    <t>Ribosomal protein L34</t>
  </si>
  <si>
    <t>ER membrane protein complex subunit 10</t>
  </si>
  <si>
    <t>SH3KBP1 binding protein 1, isoform CRA_c</t>
  </si>
  <si>
    <t>Unconventional myosin-IXb (Fragment)</t>
  </si>
  <si>
    <t>Prenylated Rab acceptor protein 1</t>
  </si>
  <si>
    <t>Alkyldihydroxyacetonephosphate synthase, peroxisomal</t>
  </si>
  <si>
    <t>Isoform 3 of UBX domain-containing protein 8</t>
  </si>
  <si>
    <t>Kinesin-like protein KIF2A</t>
  </si>
  <si>
    <t>ATP-dependent RNA helicase DDX39A</t>
  </si>
  <si>
    <t>PDZ and LIM domain protein 1</t>
  </si>
  <si>
    <t>Isoform 4 of Cytosolic acyl coenzyme A thioester hydrolase</t>
  </si>
  <si>
    <t>Synaptosomal-associated protein 23</t>
  </si>
  <si>
    <t>HCLS1-associated protein X-1</t>
  </si>
  <si>
    <t>AH receptor-interacting protein</t>
  </si>
  <si>
    <t>GTP-binding protein 1</t>
  </si>
  <si>
    <t>Potassium channel subfamily K member 1</t>
  </si>
  <si>
    <t>Syntaxin-binding protein 3</t>
  </si>
  <si>
    <t>Galectin-8</t>
  </si>
  <si>
    <t>NADH dehydrogenase [ubiquinone] iron-sulfur protein 8, mitochondrial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</si>
  <si>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</si>
  <si>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</si>
  <si>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</si>
  <si>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</si>
  <si>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Isoform 2 of Menin</t>
  </si>
  <si>
    <t>E3 SUMO-protein ligase CBX4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</si>
  <si>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</si>
  <si>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</si>
  <si>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</si>
  <si>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</si>
  <si>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</si>
  <si>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</si>
  <si>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</si>
  <si>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NEDD4-like E3 ubiquitin-protein ligase WWP2</t>
  </si>
  <si>
    <t>Phosphatidylinositol 4,5-bisphosphate 3-kinase catalytic subunit delta isoform</t>
  </si>
  <si>
    <t>Pyruvate dehydrogenase protein X component, mitochondrial</t>
  </si>
  <si>
    <t>Sulfhydryl oxidase 1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</si>
  <si>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</si>
  <si>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</si>
  <si>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</si>
  <si>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</si>
  <si>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</si>
  <si>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Histone deacetylase complex subunit SAP18</t>
  </si>
  <si>
    <t>Insulin-like growth factor 2 mRNA-binding protein 3</t>
  </si>
  <si>
    <t>Dynamin-1-like protein</t>
  </si>
  <si>
    <t>Isoform 4 of Dynamin-1-like protein</t>
  </si>
  <si>
    <t>Isoform 2 of Dynamin-1-like protein</t>
  </si>
  <si>
    <t>Isoform 3 of Dynamin-1-like protein</t>
  </si>
  <si>
    <t>RNA 3-terminal phosphate cyclase</t>
  </si>
  <si>
    <t>Phosphatidylinositol 3-kinase regulatory subunit beta</t>
  </si>
  <si>
    <t>Beta-mannosidase</t>
  </si>
  <si>
    <t>TNF receptor-associated factor 5</t>
  </si>
  <si>
    <t>Exocyst complex component 5</t>
  </si>
  <si>
    <t>High mobility group nucleosome-binding domain-containing protein 4</t>
  </si>
  <si>
    <t>Butyrophilin subfamily 3 member A1</t>
  </si>
  <si>
    <t>NADH dehydrogenase [ubiquinone] 1 alpha subcomplex subunit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</si>
  <si>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</si>
  <si>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</si>
  <si>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</si>
  <si>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</si>
  <si>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</si>
  <si>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B-cell CLL/lymphoma 9 protein</t>
  </si>
  <si>
    <t>von Willebrand factor A domain-containing protein 5A</t>
  </si>
  <si>
    <t>Syntenin-1</t>
  </si>
  <si>
    <t>U3 small nucleolar ribonucleoprotein protein MPP10</t>
  </si>
  <si>
    <t>Nucleolar protein 56</t>
  </si>
  <si>
    <t>ATP-dependent RNA helicase DDX3X</t>
  </si>
  <si>
    <t>Peroxisome assembly protein 12</t>
  </si>
  <si>
    <t>Importin subunit alpha-4</t>
  </si>
  <si>
    <t>Isoform 2 of Transcription factor E2F3</t>
  </si>
  <si>
    <t>Serine/threonine-protein phosphatase 6 catalytic subunit</t>
  </si>
  <si>
    <t>Isoform 2 of Lysosomal alpha-mannosidase</t>
  </si>
  <si>
    <t>Isoform 2 of Ubiquitin-conjugating enzyme E2 C</t>
  </si>
  <si>
    <t>Pyridoxal kinase</t>
  </si>
  <si>
    <t>Acyl-CoA desaturase</t>
  </si>
  <si>
    <t>AT-rich interactive domain-containing protein 1A</t>
  </si>
  <si>
    <t>Isoform 2 of Cyclin-dependent kinase 2-associated protein 1</t>
  </si>
  <si>
    <t>C2 domain-containing protein 2-like</t>
  </si>
  <si>
    <t>Isoform 2 of Transmembrane protein 194A</t>
  </si>
  <si>
    <t>Thioredoxin domain-containing protein 9</t>
  </si>
  <si>
    <t>TRAF-type zinc finger domain-containing protein 1</t>
  </si>
  <si>
    <t>Cytochrome c oxidase subunit 7A-related protein, mitochondrial</t>
  </si>
  <si>
    <t>Acyl carrier protein, mitochondrial</t>
  </si>
  <si>
    <t>Cytochrome b561 domain-containing protein 2</t>
  </si>
  <si>
    <t>Isoform 4 of Citron Rho-interacting kinase</t>
  </si>
  <si>
    <t>Coatomer subunit epsilon</t>
  </si>
  <si>
    <t>Eukaryotic translation initiation factor 1A, Y-chromosomal</t>
  </si>
  <si>
    <t>Isoform 4 of AP-3 complex subunit delta-1</t>
  </si>
  <si>
    <t>Torsin-1A</t>
  </si>
  <si>
    <t>Torsin-1B</t>
  </si>
  <si>
    <t>Isoform A of Syntaxin-16</t>
  </si>
  <si>
    <t>Disintegrin and metalloproteinase domain-containing protein 10</t>
  </si>
  <si>
    <t>Histone-lysine N-methyltransferase MLL2</t>
  </si>
  <si>
    <t>Isoform 2 of Inositol monophosphatase 2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</si>
  <si>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</si>
  <si>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</si>
  <si>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</si>
  <si>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</si>
  <si>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</si>
  <si>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</si>
  <si>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</si>
  <si>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Isoform 2 of Tripeptidyl-peptidase 1</t>
  </si>
  <si>
    <t>Isoform 3 of Guanine nucleotide-binding protein subunit beta-5</t>
  </si>
  <si>
    <t>Isoform 2 of Transcription elongation regulator 1</t>
  </si>
  <si>
    <t>Kinetochore protein NDC80 homolog</t>
  </si>
  <si>
    <t>Isoform 2 of Transportin-2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</si>
  <si>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</si>
  <si>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</si>
  <si>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</si>
  <si>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</si>
  <si>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</si>
  <si>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Isoform 2 of Gem-associated protein 2</t>
  </si>
  <si>
    <t>Tax1-binding protein 3</t>
  </si>
  <si>
    <t>PDZ domain-containing protein GIPC1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</si>
  <si>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</si>
  <si>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</si>
  <si>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</si>
  <si>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</si>
  <si>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Cytochrome b-c1 complex subunit 8</t>
  </si>
  <si>
    <t>Hepatocyte growth factor-regulated tyrosine kinase substrate</t>
  </si>
  <si>
    <t>Aurora kinase A</t>
  </si>
  <si>
    <t>Ras-related protein Rab-7L1</t>
  </si>
  <si>
    <t>Calmegin</t>
  </si>
  <si>
    <t>Isoform 4 of Protein phosphatase 1 regulatory subunit 12A</t>
  </si>
  <si>
    <t>Isoform 2 of Very long-chain acyl-CoA synthetase</t>
  </si>
  <si>
    <t>Cyclin-G-associated kinase</t>
  </si>
  <si>
    <t>Heterogeneous nuclear ribonucleoprotein D-like</t>
  </si>
  <si>
    <t>Exportin-1</t>
  </si>
  <si>
    <t>TATA-binding protein-associated factor 172</t>
  </si>
  <si>
    <t>Zinc finger protein 609</t>
  </si>
  <si>
    <t>Zinc finger protein 646</t>
  </si>
  <si>
    <t>Isoform 2 of Spectrin beta chain, non-erythrocytic 2</t>
  </si>
  <si>
    <t>Tectonin beta-propeller repeat-containing protein 2</t>
  </si>
  <si>
    <t>Histone-lysine N-methyltransferase SETD1A</t>
  </si>
  <si>
    <t>Synaptojanin-2</t>
  </si>
  <si>
    <t>Kinesin-like protein KIF3B</t>
  </si>
  <si>
    <t>Phosphoribosylformylglycinamidine synthase</t>
  </si>
  <si>
    <t>Serine/threonine-protein phosphatase 6 regulatory ankyrin repeat subunit A</t>
  </si>
  <si>
    <t>Rho guanine nucleotide exchange factor 11</t>
  </si>
  <si>
    <t>Inhibitor of nuclear factor kappa-B kinase subunit alpha</t>
  </si>
  <si>
    <t>U6 snRNA-associated Sm-like protein LSm1</t>
  </si>
  <si>
    <t>FYN-binding protein</t>
  </si>
  <si>
    <t>Niemann-Pick C1 protein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</si>
  <si>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</si>
  <si>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</si>
  <si>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</si>
  <si>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</si>
  <si>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</si>
  <si>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</si>
  <si>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</si>
  <si>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</si>
  <si>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Isoform 5 of Low-density lipoprotein receptor class A domain-containing protein 4</t>
  </si>
  <si>
    <t>Membrane-associated progesterone receptor component 2</t>
  </si>
  <si>
    <t>Isoform 3 of Ephrin type-B receptor 6</t>
  </si>
  <si>
    <t>Prefoldin subunit 6</t>
  </si>
  <si>
    <t>WD repeat-containing protein 46</t>
  </si>
  <si>
    <t>Dihydroxyacetone phosphate acyltransferase</t>
  </si>
  <si>
    <t>Protein CASC3</t>
  </si>
  <si>
    <t>28S ribosomal protein S12, mitochondrial</t>
  </si>
  <si>
    <t>Peroxisomal acyl-coenzyme A oxidase 3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</si>
  <si>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</si>
  <si>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</si>
  <si>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</si>
  <si>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</si>
  <si>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</si>
  <si>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Midline-1</t>
  </si>
  <si>
    <t>High mobility group protein B3</t>
  </si>
  <si>
    <t>Protein phosphatase 1G</t>
  </si>
  <si>
    <t>Histone deacetylase 3</t>
  </si>
  <si>
    <t>Nuclear valosin-containing protein-like</t>
  </si>
  <si>
    <t>Branched-chain-amino-acid aminotransferase, mitochondrial</t>
  </si>
  <si>
    <t>Isoform 4 of Baculoviral IAP repeat-containing protein 5</t>
  </si>
  <si>
    <t>Importin-8</t>
  </si>
  <si>
    <t>Isoform 2 of Syntaxin-7</t>
  </si>
  <si>
    <t>Monocarboxylate transporter 4</t>
  </si>
  <si>
    <t>High affinity copper uptake protein 1</t>
  </si>
  <si>
    <t>Isoform 2 of Multidrug resistance-associated protein 4</t>
  </si>
  <si>
    <t>Synaptobrevin homolog YKT6</t>
  </si>
  <si>
    <t>Insulin-induced gene 1 protein</t>
  </si>
  <si>
    <t>Actin-related protein 2/3 complex subunit 5</t>
  </si>
  <si>
    <t>DNA-directed RNA polymerase II subunit RPB4</t>
  </si>
  <si>
    <t>3-phosphoinositide-dependent protein kinase 1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</si>
  <si>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</si>
  <si>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</si>
  <si>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</si>
  <si>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</si>
  <si>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Isoform 2 of Arf-GAP with SH3 domain, ANK repeat and PH domain-containing protein 2</t>
  </si>
  <si>
    <t>TELO2-interacting protein 1 homolog</t>
  </si>
  <si>
    <t>Isoform 2 of E3 ubiquitin-protein ligase Praja-2</t>
  </si>
  <si>
    <t>Isoform 2 of U4/U6 small nuclear ribonucleoprotein Prp4</t>
  </si>
  <si>
    <t>D-3-phosphoglycerate dehydrogenase</t>
  </si>
  <si>
    <t>NADH dehydrogenase [ubiquinone] iron-sulfur protein 4, mitochondrial</t>
  </si>
  <si>
    <t>Cytoplasmic dynein 1 light intermediate chain 2</t>
  </si>
  <si>
    <t>26S proteasome non-ATPase regulatory subunit 3</t>
  </si>
  <si>
    <t>Bifunctional 3-phosphoadenosine 5-phosphosulfate synthase 1</t>
  </si>
  <si>
    <t>Centromere/kinetochore protein zw10 homolog</t>
  </si>
  <si>
    <t>Beta-1,4-galactosyltransferase 5</t>
  </si>
  <si>
    <t>U4/U6.U5 tri-snRNP-associated protein 1</t>
  </si>
  <si>
    <t>Kunitz-type protease inhibitor 2</t>
  </si>
  <si>
    <t>Death-associated protein kinase 3</t>
  </si>
  <si>
    <t>SLIT-ROBO Rho GTPase-activating protein 3</t>
  </si>
  <si>
    <t>AP-5 complex subunit zeta-1</t>
  </si>
  <si>
    <t>CBP80/20-dependent translation initiation factor</t>
  </si>
  <si>
    <t>Isoform 2 of CBP80/20-dependent translation initiation factor</t>
  </si>
  <si>
    <t>Isoform 2 of Inositol hexakisphosphate and diphosphoinositol-pentakisphosphate kinase 2</t>
  </si>
  <si>
    <t>Isoform 1A of Mitogen-activated protein kinase kinase kinase 7</t>
  </si>
  <si>
    <t>Eukaryotic translation elongation factor 1 epsilon-1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</si>
  <si>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</si>
  <si>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</si>
  <si>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</si>
  <si>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</si>
  <si>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</si>
  <si>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52 kDa repressor of the inhibitor of the protein kinase</t>
  </si>
  <si>
    <t>Isoform Short of Acidic fibroblast growth factor intracellular-binding protein</t>
  </si>
  <si>
    <t>Peptidyl-prolyl cis-trans isomerase H</t>
  </si>
  <si>
    <t>Voltage-gated potassium channel subunit beta-3</t>
  </si>
  <si>
    <t>Isoform 3 of Serine protease HTRA2, mitochondrial</t>
  </si>
  <si>
    <t>Protein Mis18-beta</t>
  </si>
  <si>
    <t>Aflatoxin B1 aldehyde reductase member 2</t>
  </si>
  <si>
    <t>DNA repair protein RAD51 homolog 3</t>
  </si>
  <si>
    <t>Ragulator complex protein LAMTOR5</t>
  </si>
  <si>
    <t>N-acetyllactosaminide beta-1,3-N-acetylglucosaminyltransferase</t>
  </si>
  <si>
    <t>Mediator of RNA polymerase II transcription subunit 7</t>
  </si>
  <si>
    <t>WAS/WASL-interacting protein family member 1</t>
  </si>
  <si>
    <t>Forkhead box protein O3</t>
  </si>
  <si>
    <t>DNA repair protein XRCC3</t>
  </si>
  <si>
    <t>Regulator of G-protein signaling 14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</si>
  <si>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</si>
  <si>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</si>
  <si>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</si>
  <si>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</si>
  <si>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</si>
  <si>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</si>
  <si>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</si>
  <si>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</si>
  <si>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Isoform 2 of Regulator of G-protein signaling 10</t>
  </si>
  <si>
    <t>NADH dehydrogenase [ubiquinone] 1 beta subcomplex subunit 5, mitochondrial</t>
  </si>
  <si>
    <t>NADH dehydrogenase [ubiquinone] 1 beta subcomplex subunit 3</t>
  </si>
  <si>
    <t>NADH dehydrogenase [ubiquinone] 1 alpha subcomplex subunit 2</t>
  </si>
  <si>
    <t>ATPase ASNA1</t>
  </si>
  <si>
    <t>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</si>
  <si>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</si>
  <si>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</si>
  <si>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</si>
  <si>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</si>
  <si>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Isoform 2 of Integral membrane protein 2A</t>
  </si>
  <si>
    <t>Syntaxin-6</t>
  </si>
  <si>
    <t>Synaptogyrin-2</t>
  </si>
  <si>
    <t>Small glutamine-rich tetratricopeptide repeat-containing protein alpha</t>
  </si>
  <si>
    <t>Lipoyl synthase, mitochondrial</t>
  </si>
  <si>
    <t>Isoform 2 of 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</si>
  <si>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</si>
  <si>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</si>
  <si>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</si>
  <si>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</si>
  <si>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</si>
  <si>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</si>
  <si>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</si>
  <si>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A-kinase anchor protein 8</t>
  </si>
  <si>
    <t>Putative GTP-binding protein 6</t>
  </si>
  <si>
    <t>Zinc finger and BTB domain-containing protein 14</t>
  </si>
  <si>
    <t>Isocitrate dehydrogenase [NAD] subunit beta, mitochondrial</t>
  </si>
  <si>
    <t>Calumenin</t>
  </si>
  <si>
    <t>Isoform 2 of Probable phospholipid-transporting ATPase IIB</t>
  </si>
  <si>
    <t>Putative adenosylhomocysteinase 2</t>
  </si>
  <si>
    <t>Exostosin-like 3</t>
  </si>
  <si>
    <t>Origin recognition complex subunit 5</t>
  </si>
  <si>
    <t>NADH dehydrogenase [ubiquinone] iron-sulfur protein 5</t>
  </si>
  <si>
    <t>Retinal rod rhodopsin-sensitive cGMP 3,5-cyclic phosphodiesterase subunit delta</t>
  </si>
  <si>
    <t>Peroxisome biogenesis factor 1</t>
  </si>
  <si>
    <t>Double-strand-break repair protein rad21 homolog</t>
  </si>
  <si>
    <t>Aldo-keto reductase family 1 member B10</t>
  </si>
  <si>
    <t>Mitochondrial import inner membrane translocase subunit Tim8 A</t>
  </si>
  <si>
    <t>Putative pre-mRNA-splicing factor ATP-dependent RNA helicase DHX16</t>
  </si>
  <si>
    <t>Glia maturation factor gamma</t>
  </si>
  <si>
    <t>SH3 domain-binding protein 5</t>
  </si>
  <si>
    <t>Mediator of RNA polymerase II transcription subunit 14</t>
  </si>
  <si>
    <t>Phosphoribosyl pyrophosphate synthase-associated protein 2</t>
  </si>
  <si>
    <t>Guanine nucleotide-binding protein G(I)/G(S)/G(O) subunit gamma-7</t>
  </si>
  <si>
    <t>SWI/SNF-related matrix-associated actin-dependent regulator of chromatin subfamily A member 5</t>
  </si>
  <si>
    <t>Isoform 4 of C-Jun-amino-terminal kinase-interacting protein 4</t>
  </si>
  <si>
    <t>Nucleolar pre-ribosomal-associated protein 1</t>
  </si>
  <si>
    <t>Leucine carboxyl methyltransferase 2</t>
  </si>
  <si>
    <t>Intron-binding protein aquarius</t>
  </si>
  <si>
    <t>Microtubule-associated serine/threonine-protein kinase 3</t>
  </si>
  <si>
    <t>Isoform 2 of Dynamin-like 120 kDa protein, mitochondrial</t>
  </si>
  <si>
    <t>Isoform 4 of Phosphatidylinositol 4-phosphate 5-kinase type-1 gamma</t>
  </si>
  <si>
    <t>Isoform 2 of Kinesin-like protein KIF1B</t>
  </si>
  <si>
    <t>Isoform 2 of E3 ubiquitin-protein ligase MARCH6</t>
  </si>
  <si>
    <t>Lysine-specific histone demethylase 1A</t>
  </si>
  <si>
    <t>Isoform 2 of TBC1 domain family member 4</t>
  </si>
  <si>
    <t>Isoform D of Endothelin-converting enzyme 2</t>
  </si>
  <si>
    <t>Isoform 2 of Frizzled-6</t>
  </si>
  <si>
    <t>Fatty acid desaturase 1</t>
  </si>
  <si>
    <t>Non-syndromic hearing impairment protein 5</t>
  </si>
  <si>
    <t>Mannosyl-oligosaccharide 1,2-alpha-mannosidase IB</t>
  </si>
  <si>
    <t>Isoform Short of Long-chain-fatty-acid--CoA ligase 4</t>
  </si>
  <si>
    <t>Sorting nexin-3</t>
  </si>
  <si>
    <t>Docking protein 2</t>
  </si>
  <si>
    <t>Isoform Beta of Vinexin</t>
  </si>
  <si>
    <t>Isoform 3 of Heterogeneous nuclear ribonucleoprotein Q</t>
  </si>
  <si>
    <t>Pre-mRNA-processing factor 17</t>
  </si>
  <si>
    <t>Ran-binding protein 6</t>
  </si>
  <si>
    <t>Isoform 4 of Nuclear export mediator factor NEMF</t>
  </si>
  <si>
    <t>GDP-mannose 4,6 dehydratase</t>
  </si>
  <si>
    <t>Glycylpeptide N-tetradecanoyltransferase 2</t>
  </si>
  <si>
    <t>Cyclin-T1</t>
  </si>
  <si>
    <t>Mitotic checkpoint serine/threonine-protein kinase BUB1 beta</t>
  </si>
  <si>
    <t>Procollagen-lysine,2-oxoglutarate 5-dioxygenase 3</t>
  </si>
  <si>
    <t>Isoform 2 of Cyclin-T2</t>
  </si>
  <si>
    <t>15 kDa selenoprotein</t>
  </si>
  <si>
    <t>Isoform 3 of Exocyst complex component 3</t>
  </si>
  <si>
    <t>Perilipin-3</t>
  </si>
  <si>
    <t>Isoform 3 of Perilipin-3</t>
  </si>
  <si>
    <t>Cell cycle checkpoint protein RAD1</t>
  </si>
  <si>
    <t>Transcription factor MafK</t>
  </si>
  <si>
    <t>Protein arginine N-methyltransferase 3</t>
  </si>
  <si>
    <t>UDP-glucose 6-dehydrogenase</t>
  </si>
  <si>
    <t>Protein-tyrosine sulfotransferase 2</t>
  </si>
  <si>
    <t>Leupaxin</t>
  </si>
  <si>
    <t>Protein-S-isoprenylcysteine O-methyltransferase</t>
  </si>
  <si>
    <t>Eukaryotic translation initiation factor 1b</t>
  </si>
  <si>
    <t>Sorting nexin-2</t>
  </si>
  <si>
    <t>General vesicular transport factor p115</t>
  </si>
  <si>
    <t>28S ribosomal protein S14, mitochondrial</t>
  </si>
  <si>
    <t>Coiled-coil domain-containing protein 22</t>
  </si>
  <si>
    <t>Polyglutamine-binding protein 1</t>
  </si>
  <si>
    <t>Mitochondrial import inner membrane translocase subunit Tim17-B</t>
  </si>
  <si>
    <t>PRA1 family protein 2</t>
  </si>
  <si>
    <t>H/ACA ribonucleoprotein complex subunit 4</t>
  </si>
  <si>
    <t>Eukaryotic translation initiation factor 5B</t>
  </si>
  <si>
    <t>Growth arrest-specific protein 7</t>
  </si>
  <si>
    <t>Endothelial differentiation-related factor 1</t>
  </si>
  <si>
    <t>DNA/RNA-binding protein KIN17</t>
  </si>
  <si>
    <t>SH2 domain-containing protein 1A</t>
  </si>
  <si>
    <t>Isoform D of SH2 domain-containing protein 1A</t>
  </si>
  <si>
    <t>DnaJ homolog subfamily A member 2</t>
  </si>
  <si>
    <t>Bromodomain-containing protein 4</t>
  </si>
  <si>
    <t>Isoform C of Protein CutA</t>
  </si>
  <si>
    <t>Sphingomyelin phosphodiesterase 2</t>
  </si>
  <si>
    <t>Prefoldin subunit 1</t>
  </si>
  <si>
    <t>Protein phosphatase 1 regulatory subunit 11</t>
  </si>
  <si>
    <t>Ribonuclease H1</t>
  </si>
  <si>
    <t>Nibrin</t>
  </si>
  <si>
    <t>mRNA-capping enzyme</t>
  </si>
  <si>
    <t>ATP-binding cassette sub-family B member 7, mitochondrial</t>
  </si>
  <si>
    <t>SLIT-ROBO Rho GTPase-activating protein 2</t>
  </si>
  <si>
    <t>Immunoglobulin superfamily member 3</t>
  </si>
  <si>
    <t>Isoform 3 of Putative tyrosine-protein phosphatase auxilin</t>
  </si>
  <si>
    <t>Glycosaminoglycan xylosylkinase</t>
  </si>
  <si>
    <t>EF-hand calcium-binding domain-containing protein 14</t>
  </si>
  <si>
    <t>WD repeat-containing protein 1</t>
  </si>
  <si>
    <t>NEDD4-binding protein 1</t>
  </si>
  <si>
    <t>Rho-associated protein kinase 2</t>
  </si>
  <si>
    <t>Copine-3</t>
  </si>
  <si>
    <t>Isoform 2 of Autophagy-related protein 13</t>
  </si>
  <si>
    <t>Isoform 2 of Liprin-alpha-3</t>
  </si>
  <si>
    <t>Huntingtin-interacting protein 1-related protein</t>
  </si>
  <si>
    <t>E3 ubiquitin-protein ligase BRE1B</t>
  </si>
  <si>
    <t>Lysine-specific demethylase PHF2</t>
  </si>
  <si>
    <t>Zinc finger CCCH domain-containing protein 11A</t>
  </si>
  <si>
    <t>Cullin-associated NEDD8-dissociated protein 2</t>
  </si>
  <si>
    <t>Isoform 2 of TSC22 domain family protein 2</t>
  </si>
  <si>
    <t>Lysine-specific demethylase 4A</t>
  </si>
  <si>
    <t>DnaJ homolog subfamily C member 13</t>
  </si>
  <si>
    <t>Isoform 4 of Serine/threonine-protein phosphatase 6 regulatory subunit 2</t>
  </si>
  <si>
    <t>CCR4-NOT transcription complex subunit 3</t>
  </si>
  <si>
    <t>Calcium-responsive transactivator</t>
  </si>
  <si>
    <t>Isoform 2 of Ankyrin repeat domain-containing protein 17</t>
  </si>
  <si>
    <t>DnaJ homolog subfamily B member 6</t>
  </si>
  <si>
    <t>Xylulose kinase</t>
  </si>
  <si>
    <t>Ubiquinone biosynthesis protein COQ9, mitochondrial</t>
  </si>
  <si>
    <t>Gamma-glutamylcyclotransferase</t>
  </si>
  <si>
    <t>Transmembrane protein C19orf77</t>
  </si>
  <si>
    <t>NADH dehydrogenase [ubiquinone] iron-sulfur protein 2, mitochondrial</t>
  </si>
  <si>
    <t>Zinc finger protein ZPR1</t>
  </si>
  <si>
    <t>Ubiquitin carboxyl-terminal hydrolase 12</t>
  </si>
  <si>
    <t>Protein NipSnap homolog 2</t>
  </si>
  <si>
    <t>Semaphorin-7A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</si>
  <si>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</si>
  <si>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</si>
  <si>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</si>
  <si>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</si>
  <si>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</si>
  <si>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Ectonucleoside triphosphate diphosphohydrolase 5</t>
  </si>
  <si>
    <t>Zinc finger protein 217</t>
  </si>
  <si>
    <t>Isoform 1 of Core histone macro-H2A.1</t>
  </si>
  <si>
    <t>SH3 domain-binding glutamic acid-rich-like protein</t>
  </si>
  <si>
    <t>Isoform 8 of Filamin-B</t>
  </si>
  <si>
    <t>Nuclear receptor corepressor 1</t>
  </si>
  <si>
    <t>Isoform 2 of Vesicle-associated membrane protein 4</t>
  </si>
  <si>
    <t>NADH dehydrogenase [ubiquinone] iron-sulfur protein 6, mitochondrial</t>
  </si>
  <si>
    <t>Isoform 2 of Peroxisomal membrane protein PEX14</t>
  </si>
  <si>
    <t>Isoform Beta of Tripartite motif-containing protein 3</t>
  </si>
  <si>
    <t>Tubby-related protein 3</t>
  </si>
  <si>
    <t>Large neutral amino acids transporter small subunit 3</t>
  </si>
  <si>
    <t>39S ribosomal protein L33, mitochondrial</t>
  </si>
  <si>
    <t>Vesicle-trafficking protein SEC22b</t>
  </si>
  <si>
    <t>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</si>
  <si>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</si>
  <si>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</si>
  <si>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</si>
  <si>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</si>
  <si>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</si>
  <si>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</si>
  <si>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</si>
  <si>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Katanin p60 ATPase-containing subunit A1</t>
  </si>
  <si>
    <t>PC4 and SFRS1-interacting protein</t>
  </si>
  <si>
    <t>Erlin-1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</si>
  <si>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</si>
  <si>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</si>
  <si>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</si>
  <si>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</si>
  <si>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KH domain-containing, RNA-binding, signal transduction-associated protein 3</t>
  </si>
  <si>
    <t>Transcriptional adapter 3</t>
  </si>
  <si>
    <t>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</si>
  <si>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</si>
  <si>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</si>
  <si>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</si>
  <si>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</si>
  <si>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Peptide chain release factor 1, mitochondrial</t>
  </si>
  <si>
    <t>Ribosomal protein S6 kinase alpha-5</t>
  </si>
  <si>
    <t>2-amino-3-ketobutyrate coenzyme A ligase, mitochondrial</t>
  </si>
  <si>
    <t>Nucleoplasmin-3</t>
  </si>
  <si>
    <t>Isoform 2 of Acyl-protein thioesterase 1</t>
  </si>
  <si>
    <t>GTPase Era, mitochondrial</t>
  </si>
  <si>
    <t>U5 small nuclear ribonucleoprotein 200 kDa helicase</t>
  </si>
  <si>
    <t>Mitochondrial tRNA-specific 2-thiouridylase 1</t>
  </si>
  <si>
    <t>TIP41-like protein</t>
  </si>
  <si>
    <t>Protein phosphatase 1B</t>
  </si>
  <si>
    <t>Small subunit processome component 20 homolog</t>
  </si>
  <si>
    <t>Isoform 2 of Nuclear pore complex protein Nup155</t>
  </si>
  <si>
    <t>Protein XRP2</t>
  </si>
  <si>
    <t>WD repeat and HMG-box DNA-binding protein 1</t>
  </si>
  <si>
    <t>Calcium-binding mitochondrial carrier protein Aralar1</t>
  </si>
  <si>
    <t>Paralemmin-1</t>
  </si>
  <si>
    <t>GRB2-related adapter protein 2</t>
  </si>
  <si>
    <t>Ribonuclease H2 subunit A</t>
  </si>
  <si>
    <t>Cell division cycle protein 123 homolog</t>
  </si>
  <si>
    <t>Calpain-15</t>
  </si>
  <si>
    <t>Ribonuclease P protein subunit p40</t>
  </si>
  <si>
    <t>Eukaryotic translation initiation factor 3 subunit G</t>
  </si>
  <si>
    <t>Eukaryotic translation initiation factor 3 subunit J</t>
  </si>
  <si>
    <t>Carbonyl reductase [NADPH] 3</t>
  </si>
  <si>
    <t>AP-1 complex subunit gamma-like 2</t>
  </si>
  <si>
    <t>CAAX prenyl protease 1 homolog</t>
  </si>
  <si>
    <t>Trafficking protein particle complex subunit 6A</t>
  </si>
  <si>
    <t>Isocitrate dehydrogenase [NADP] cytoplasmic</t>
  </si>
  <si>
    <t>Attractin</t>
  </si>
  <si>
    <t>Putative hydrolase RBBP9</t>
  </si>
  <si>
    <t>Signal transducing adapter molecule 2</t>
  </si>
  <si>
    <t>Tumor suppressor candidate 2</t>
  </si>
  <si>
    <t>Cyclin-K</t>
  </si>
  <si>
    <t>PRA1 family protein 3</t>
  </si>
  <si>
    <t>E3 SUMO-protein ligase PIAS1</t>
  </si>
  <si>
    <t>Isoform PIAS2-alpha of E3 SUMO-protein ligase PIAS2</t>
  </si>
  <si>
    <t>Pre-mRNA-splicing factor SPF27</t>
  </si>
  <si>
    <t>Dynactin subunit 3</t>
  </si>
  <si>
    <t>DnaJ homolog subfamily C member 8</t>
  </si>
  <si>
    <t>Survival of motor neuron-related-splicing factor 30</t>
  </si>
  <si>
    <t>Isoform 4 of Cell cycle checkpoint protein RAD17</t>
  </si>
  <si>
    <t>ATP synthase subunit d, mitochondrial</t>
  </si>
  <si>
    <t>Flotillin-1</t>
  </si>
  <si>
    <t>Isoform 2 of Triple functional domain protein</t>
  </si>
  <si>
    <t>ATP synthase subunit g, mitochondrial</t>
  </si>
  <si>
    <t>C1q-related factor</t>
  </si>
  <si>
    <t>Carboxypeptidase D</t>
  </si>
  <si>
    <t>SAM and SH3 domain-containing protein 3</t>
  </si>
  <si>
    <t>Glutaredoxin-3</t>
  </si>
  <si>
    <t>Wolframin</t>
  </si>
  <si>
    <t>ATP-dependent Clp protease ATP-binding subunit clpX-like, mitochondrial</t>
  </si>
  <si>
    <t>Isoform 2 of SEC14-like protein 2</t>
  </si>
  <si>
    <t>Probable cytosolic iron-sulfur protein assembly protein CIAO1</t>
  </si>
  <si>
    <t>AN1-type zinc finger protein 5</t>
  </si>
  <si>
    <t>Signal recognition particle subunit SRP72</t>
  </si>
  <si>
    <t>Isoform 2 of Protein JTB</t>
  </si>
  <si>
    <t>Cystatin-F</t>
  </si>
  <si>
    <t>ATP-dependent DNA helicase Q5</t>
  </si>
  <si>
    <t>Unconventional prefoldin RPB5 interactor 1</t>
  </si>
  <si>
    <t>Galactosylgalactosylxylosylprotein 3-beta-glucuronosyltransferase 3</t>
  </si>
  <si>
    <t>Serine/threonine-protein kinase 17B</t>
  </si>
  <si>
    <t>Metastasis-associated protein MTA2</t>
  </si>
  <si>
    <t>Ubiquitin carboxyl-terminal hydrolase 1</t>
  </si>
  <si>
    <t>Serine/threonine-protein kinase 10</t>
  </si>
  <si>
    <t>Kelch repeat and BTB domain-containing protein 11</t>
  </si>
  <si>
    <t>Mitochondrial import receptor subunit TOM70</t>
  </si>
  <si>
    <t>Importin-13</t>
  </si>
  <si>
    <t>Phospholipase DDHD2</t>
  </si>
  <si>
    <t>Unconventional myosin-Id</t>
  </si>
  <si>
    <t>Protein transport protein Sec24D</t>
  </si>
  <si>
    <t>Isoform 2 of STAGA complex 65 subunit gamma</t>
  </si>
  <si>
    <t>E3 UFM1-protein ligase 1</t>
  </si>
  <si>
    <t>PHD finger protein 14</t>
  </si>
  <si>
    <t>Transmembrane protein 63A</t>
  </si>
  <si>
    <t>UBX domain-containing protein 7</t>
  </si>
  <si>
    <t>Kelch-like protein 18</t>
  </si>
  <si>
    <t>Thymocyte selection-associated high mobility group box protein TOX</t>
  </si>
  <si>
    <t>Proline synthase co-transcribed bacterial homolog protein</t>
  </si>
  <si>
    <t>Erlin-2</t>
  </si>
  <si>
    <t>Pre-mRNA-processing factor 6</t>
  </si>
  <si>
    <t>Pre-mRNA cleavage complex 2 protein Pcf11</t>
  </si>
  <si>
    <t>Endonuclease domain-containing 1 protein</t>
  </si>
  <si>
    <t>Glutaminase kidney isoform, mitochondrial</t>
  </si>
  <si>
    <t>Isoform 3 of Glutaminase kidney isoform, mitochondrial</t>
  </si>
  <si>
    <t>HAUS augmin-like complex subunit 5</t>
  </si>
  <si>
    <t>Isoform 2 of F-box only protein 21</t>
  </si>
  <si>
    <t>Isoform 7 of Ubiquitin carboxyl-terminal hydrolase 19</t>
  </si>
  <si>
    <t>Isoform 2 of WD repeat-containing protein 47</t>
  </si>
  <si>
    <t>AP-2 complex subunit alpha-2</t>
  </si>
  <si>
    <t>Isoform 2 of AP-2 complex subunit alpha-2</t>
  </si>
  <si>
    <t>Protein HEXIM1</t>
  </si>
  <si>
    <t>Ribonuclease P protein subunit p14</t>
  </si>
  <si>
    <t>G2/mitotic-specific cyclin-B2</t>
  </si>
  <si>
    <t>Arf-GAP domain and FG repeat-containing protein 2</t>
  </si>
  <si>
    <t>Splicing factor, arginine/serine-rich 15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</si>
  <si>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</si>
  <si>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</si>
  <si>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</si>
  <si>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</si>
  <si>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</si>
  <si>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</si>
  <si>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</si>
  <si>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NADH dehydrogenase [ubiquinone] 1 alpha subcomplex subunit 7</t>
  </si>
  <si>
    <t>Vesicle-associated membrane protein 5</t>
  </si>
  <si>
    <t>Isoform 2 of Reticulon-3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</si>
  <si>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</si>
  <si>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</si>
  <si>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</si>
  <si>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</si>
  <si>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Homeobox protein VENTX</t>
  </si>
  <si>
    <t>Luc7-like protein 3</t>
  </si>
  <si>
    <t>Kinesin-like protein KIF20A</t>
  </si>
  <si>
    <t>Chromosome-associated kinesin KIF4A</t>
  </si>
  <si>
    <t>Isoform 4 of Histone acetyltransferase KAT7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</si>
  <si>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</si>
  <si>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</si>
  <si>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</si>
  <si>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</si>
  <si>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</si>
  <si>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</si>
  <si>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</si>
  <si>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</si>
  <si>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</si>
  <si>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</si>
  <si>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</si>
  <si>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</si>
  <si>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</si>
  <si>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</si>
  <si>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</si>
  <si>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</si>
  <si>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Mediator of RNA polymerase II transcription subunit 26</t>
  </si>
  <si>
    <t>Zinc finger FYVE domain-containing protein 9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</si>
  <si>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</si>
  <si>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</si>
  <si>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</si>
  <si>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</si>
  <si>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Isoform 2 of Formin-like protein 1</t>
  </si>
  <si>
    <t>Sphingosine-1-phosphate lyase 1</t>
  </si>
  <si>
    <t>Homeobox protein SIX6</t>
  </si>
  <si>
    <t>Protein transport protein Sec24A</t>
  </si>
  <si>
    <t>Isoform 2 of Protein transport protein Sec24B</t>
  </si>
  <si>
    <t>NAD kinase</t>
  </si>
  <si>
    <t>Tyrosyl-DNA phosphodiesterase 2</t>
  </si>
  <si>
    <t>Histidine protein methyltransferase 1 homolog</t>
  </si>
  <si>
    <t>Protein ETHE1, mitochondrial</t>
  </si>
  <si>
    <t>Long-chain-fatty-acid--CoA ligase 3</t>
  </si>
  <si>
    <t>DNA-directed RNA polymerase I subunit RPA1</t>
  </si>
  <si>
    <t>YEATS domain-containing protein 4</t>
  </si>
  <si>
    <t>tRNA-dihydrouridine(20a/20b) synthase [NAD(P)+]-like</t>
  </si>
  <si>
    <t>Isoform 3 of CCR4-NOT transcription complex subunit 4</t>
  </si>
  <si>
    <t>STAM-binding protein</t>
  </si>
  <si>
    <t>Isoform 3 of Cleavage and polyadenylation specificity factor subunit 4</t>
  </si>
  <si>
    <t>Isoform 2 of N-acetylserotonin O-methyltransferase-like protein</t>
  </si>
  <si>
    <t>Phosphatidate cytidylyltransferase 2</t>
  </si>
  <si>
    <t>FGFR1 oncogene partner</t>
  </si>
  <si>
    <t>Protein phosphatase 1 regulatory subunit 3D</t>
  </si>
  <si>
    <t>Ras-related protein Rab-3D</t>
  </si>
  <si>
    <t>Synaptosomal-associated protein 29</t>
  </si>
  <si>
    <t>Serine/threonine-protein kinase OSR1</t>
  </si>
  <si>
    <t>Geranylgeranyl pyrophosphate synthase</t>
  </si>
  <si>
    <t>Isoform 1 of Polypyrimidine tract-binding protein 3</t>
  </si>
  <si>
    <t>N-alpha-acetyltransferase 38, NatC auxiliary subunit</t>
  </si>
  <si>
    <t>Isoform B of AP-2 complex subunit alpha-1</t>
  </si>
  <si>
    <t>Probable ATP-dependent RNA helicase DDX58</t>
  </si>
  <si>
    <t>Tetratricopeptide repeat protein 4</t>
  </si>
  <si>
    <t>Transmembrane protein 50A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</si>
  <si>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</si>
  <si>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</si>
  <si>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</si>
  <si>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</si>
  <si>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</si>
  <si>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Isoform 2 of Echinoderm microtubule-associated protein-like 2</t>
  </si>
  <si>
    <t>Guanine nucleotide-binding protein subunit alpha-14</t>
  </si>
  <si>
    <t>Uridine diphosphate glucose pyrophosphatase</t>
  </si>
  <si>
    <t>Tetraspanin-13</t>
  </si>
  <si>
    <t>Fatty acid desaturase 2</t>
  </si>
  <si>
    <t>N(G),N(G)-dimethylarginine dimethylaminohydrolase 2</t>
  </si>
  <si>
    <t>Uncharacterized protein C6orf47</t>
  </si>
  <si>
    <t>Thioredoxin domain-containing protein 12</t>
  </si>
  <si>
    <t>Isoform 2 of Protein SGT1</t>
  </si>
  <si>
    <t>Pre-mRNA-splicing factor SYF2</t>
  </si>
  <si>
    <t>Reversion-inducing cysteine-rich protein with Kazal motifs</t>
  </si>
  <si>
    <t>Isoform 2 of Methyl-CpG-binding domain protein 3</t>
  </si>
  <si>
    <t>Isoform 3 of DNA topoisomerase 3-beta-1</t>
  </si>
  <si>
    <t>Diphosphoinositol polyphosphate phosphohydrolase 1</t>
  </si>
  <si>
    <t>Securin</t>
  </si>
  <si>
    <t>B-cell lymphoma/leukemia 10</t>
  </si>
  <si>
    <t>NADH dehydrogenase [ubiquinone] 1 beta subcomplex subunit 10</t>
  </si>
  <si>
    <t>Zinc finger BED domain-containing protein 1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</si>
  <si>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</si>
  <si>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</si>
  <si>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</si>
  <si>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</si>
  <si>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Serine/threonine-protein kinase Chk2</t>
  </si>
  <si>
    <t>Amyloid beta A4 precursor protein-binding family A member 3</t>
  </si>
  <si>
    <t>Actin-like protein 6A</t>
  </si>
  <si>
    <t>Isoform 5 of Histone-lysine N-methyltransferase NSD2</t>
  </si>
  <si>
    <t>Molybdopterin synthase sulfur carrier subunit</t>
  </si>
  <si>
    <t>Isoform 2 of Cytochrome b5</t>
  </si>
  <si>
    <t>Alcohol dehydrogenase 1C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</si>
  <si>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</si>
  <si>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</si>
  <si>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</si>
  <si>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</si>
  <si>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</si>
  <si>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</si>
  <si>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</si>
  <si>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</si>
  <si>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</si>
  <si>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</si>
  <si>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</si>
  <si>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</si>
  <si>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</si>
  <si>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Adenosine deaminase</t>
  </si>
  <si>
    <t>ATP synthase subunit a</t>
  </si>
  <si>
    <t>Argininosuccinate synthase</t>
  </si>
  <si>
    <t>Isoform 2 of Alpha-1-antitrypsin</t>
  </si>
  <si>
    <t>Alpha-2-macroglobulin</t>
  </si>
  <si>
    <t>Complement C3</t>
  </si>
  <si>
    <t>Cystatin-C</t>
  </si>
  <si>
    <t>Cystatin-SN</t>
  </si>
  <si>
    <t>GTPase NRas</t>
  </si>
  <si>
    <t>GTPase HRas</t>
  </si>
  <si>
    <t>Isoform 2B of GTPase KRas</t>
  </si>
  <si>
    <t>Transforming growth factor beta-1</t>
  </si>
  <si>
    <t>Insulin-like growth factor II</t>
  </si>
  <si>
    <t>T-cell surface glycoprotein CD4</t>
  </si>
  <si>
    <t>T-cell receptor beta chain V region YT35</t>
  </si>
  <si>
    <t>T-cell receptor alpha chain V region PY14</t>
  </si>
  <si>
    <t>Ig heavy chain V-III region TEI</t>
  </si>
  <si>
    <t>Polymeric immunoglobulin receptor</t>
  </si>
  <si>
    <t>Ig kappa chain C region</t>
  </si>
  <si>
    <t>T-cell receptor alpha chain C region</t>
  </si>
  <si>
    <t>T-cell receptor beta-1 chain C region</t>
  </si>
  <si>
    <t>Ig gamma-1 chain C region</t>
  </si>
  <si>
    <t>Ig alpha-1 chain C region</t>
  </si>
  <si>
    <t>HLA class I histocompatibility antigen, B-7 alpha chain</t>
  </si>
  <si>
    <t>Hemoglobin subunit zeta</t>
  </si>
  <si>
    <t>Prelamin-A/C</t>
  </si>
  <si>
    <t>Alpha-1-acid glycoprotein 1</t>
  </si>
  <si>
    <t>Transthyretin</t>
  </si>
  <si>
    <t>Transferrin receptor protein 1</t>
  </si>
  <si>
    <t>Ferritin light chain</t>
  </si>
  <si>
    <t>Ferritin heavy chain</t>
  </si>
  <si>
    <t>Metallothionein-2</t>
  </si>
  <si>
    <t>Submaxillary gland androgen-regulated protein 3B</t>
  </si>
  <si>
    <t>NADH-ubiquinone oxidoreductase chain 3</t>
  </si>
  <si>
    <t>ATP synthase protein 8</t>
  </si>
  <si>
    <t>Muellerian-inhibiting factor</t>
  </si>
  <si>
    <t>Antileukoproteinase</t>
  </si>
  <si>
    <t>Catalase</t>
  </si>
  <si>
    <t>Isoform 2 of DNA nucleotidylexotransferase</t>
  </si>
  <si>
    <t>Tissue alpha-L-fucosidase</t>
  </si>
  <si>
    <t>Fructose-bisphosphate aldolase A</t>
  </si>
  <si>
    <t>Cystatin-B</t>
  </si>
  <si>
    <t>Annexin A1</t>
  </si>
  <si>
    <t>Apolipoprotein B-100</t>
  </si>
  <si>
    <t>Isoform GR-A beta of Glucocorticoid receptor</t>
  </si>
  <si>
    <t>Ornithine aminotransferase, mitochondrial</t>
  </si>
  <si>
    <t>Thymidine kinase, cytosolic</t>
  </si>
  <si>
    <t>T-cell surface glycoprotein CD3 delta chain</t>
  </si>
  <si>
    <t>Keratin, type II cytoskeletal 1</t>
  </si>
  <si>
    <t>von Willebrand factor</t>
  </si>
  <si>
    <t>Tubulin beta-4A chain</t>
  </si>
  <si>
    <t>Glyceraldehyde-3-phosphate dehydrogenase</t>
  </si>
  <si>
    <t>Isoform 2 of Glyceraldehyde-3-phosphate dehydrogenase</t>
  </si>
  <si>
    <t>Argininosuccinate lyase</t>
  </si>
  <si>
    <t>Calpain small subunit 1</t>
  </si>
  <si>
    <t>Alpha-amylase 1</t>
  </si>
  <si>
    <t>Heat shock protein beta-1</t>
  </si>
  <si>
    <t>Thymidylate synthase</t>
  </si>
  <si>
    <t>Dolichyl-diphosphooligosaccharide--protein glycosyltransferase subunit 1</t>
  </si>
  <si>
    <t>Dolichyl-diphosphooligosaccharide--protein glycosyltransferase subunit 2</t>
  </si>
  <si>
    <t>Guanine nucleotide-binding protein G(i) subunit alpha-2</t>
  </si>
  <si>
    <t>Isoform B1 of Anion exchange protein 2</t>
  </si>
  <si>
    <t>Isoform Glycophorin-D of Glycophorin-C</t>
  </si>
  <si>
    <t>Isoform 4 of Sodium/potassium-transporting ATPase subunit alpha-1</t>
  </si>
  <si>
    <t>Fructose-bisphosphate aldolase B</t>
  </si>
  <si>
    <t>Isoform 3 of Arginase-1</t>
  </si>
  <si>
    <t>Integrin beta-3</t>
  </si>
  <si>
    <t>Integrin beta-2</t>
  </si>
  <si>
    <t>Protein S100-A8</t>
  </si>
  <si>
    <t>Non-histone chromosomal protein HMG-14</t>
  </si>
  <si>
    <t>Plasminogen activator inhibitor 2</t>
  </si>
  <si>
    <t>ADP/ATP translocase 2</t>
  </si>
  <si>
    <t>Ubiquitin-like protein ISG15</t>
  </si>
  <si>
    <t>Isoform 2 of Propionyl-CoA carboxylase alpha chain, mitochondrial</t>
  </si>
  <si>
    <t>Eukaryotic translation initiation factor 2 subunit 1</t>
  </si>
  <si>
    <t>Non-histone chromosomal protein HMG-17</t>
  </si>
  <si>
    <t>Intercellular adhesion molecule 1</t>
  </si>
  <si>
    <t>60S acidic ribosomal protein P1</t>
  </si>
  <si>
    <t>60S acidic ribosomal protein P2</t>
  </si>
  <si>
    <t>60S acidic ribosomal protein P0</t>
  </si>
  <si>
    <t>Transcription factor AP-1</t>
  </si>
  <si>
    <t>Lupus La protein</t>
  </si>
  <si>
    <t>Integrin beta-1</t>
  </si>
  <si>
    <t>Isoform Beta-II of Protein kinase C beta type</t>
  </si>
  <si>
    <t>T-cell surface glycoprotein CD1a</t>
  </si>
  <si>
    <t>T-cell surface glycoprotein CD5</t>
  </si>
  <si>
    <t>Uroporphyrinogen decarboxylase</t>
  </si>
  <si>
    <t>Isoform Short of Insulin receptor</t>
  </si>
  <si>
    <t>Tyrosine-protein kinase Lck</t>
  </si>
  <si>
    <t>Isoform 2 of Tyrosine-protein kinase Fyn</t>
  </si>
  <si>
    <t>Alpha-galactosidase A</t>
  </si>
  <si>
    <t>Isoform 2 of Gelsolin</t>
  </si>
  <si>
    <t>Retinoblastoma-associated protein</t>
  </si>
  <si>
    <t>Cyclin-dependent kinase 1</t>
  </si>
  <si>
    <t>ATP synthase subunit beta, mitochondrial</t>
  </si>
  <si>
    <t>Protein S100-A9</t>
  </si>
  <si>
    <t>T-cell surface antigen CD2</t>
  </si>
  <si>
    <t>Alpha-enolase</t>
  </si>
  <si>
    <t>Isoform MBP-1 of Alpha-enolase</t>
  </si>
  <si>
    <t>Glucose-6-phosphate isomerase</t>
  </si>
  <si>
    <t>DNA polymerase beta</t>
  </si>
  <si>
    <t>Nucleophosmin</t>
  </si>
  <si>
    <t>Isoform 3 of Nucleophosmin</t>
  </si>
  <si>
    <t>Isoform 2 of Tropomyosin alpha-3 chain</t>
  </si>
  <si>
    <t>Isoform 3 of Tropomyosin alpha-3 chain</t>
  </si>
  <si>
    <t>Isoform 5 of Tropomyosin alpha-3 chain</t>
  </si>
  <si>
    <t>Isoform 3 of Integrin alpha-V</t>
  </si>
  <si>
    <t>Histone H2B type 1-J</t>
  </si>
  <si>
    <t>Epoxide hydrolase 1</t>
  </si>
  <si>
    <t>Acyl-CoA-binding protein</t>
  </si>
  <si>
    <t>L-lactate dehydrogenase B chain</t>
  </si>
  <si>
    <t>Glutathione peroxidase 1</t>
  </si>
  <si>
    <t>Phosphoglycerate kinase 2</t>
  </si>
  <si>
    <t>Protein disulfide-isomerase</t>
  </si>
  <si>
    <t>Isoform 2 of Histone H1.0</t>
  </si>
  <si>
    <t>Cathepsin D</t>
  </si>
  <si>
    <t>Annexin A2</t>
  </si>
  <si>
    <t>Calpain-1 catalytic subunit</t>
  </si>
  <si>
    <t>Beta-hexosaminidase subunit beta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</si>
  <si>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</si>
  <si>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</si>
  <si>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</si>
  <si>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</si>
  <si>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</si>
  <si>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</si>
  <si>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</si>
  <si>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</si>
  <si>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Isoform Cytoplasmic of Fumarate hydratase, mitochondrial</t>
  </si>
  <si>
    <t>Transcription factor Sp1</t>
  </si>
  <si>
    <t>Heat shock 70 kDa protein 1A/1B</t>
  </si>
  <si>
    <t>Annexin A6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</si>
  <si>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</si>
  <si>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</si>
  <si>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</si>
  <si>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</si>
  <si>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</si>
  <si>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Pyruvate dehydrogenase E1 component subunit alpha, somatic form, mitochondrial</t>
  </si>
  <si>
    <t>Pleckstrin</t>
  </si>
  <si>
    <t>Cytochrome c1, heme protein, mitochondrial</t>
  </si>
  <si>
    <t>Receptor-type tyrosine-protein phosphatase C</t>
  </si>
  <si>
    <t>U2 small nuclear ribonucleoprotein B</t>
  </si>
  <si>
    <t>Melanotransferrin</t>
  </si>
  <si>
    <t>Myosin light chain 3</t>
  </si>
  <si>
    <t>Isoform 2 of U1 small nuclear ribonucleoprotein 70 kDa</t>
  </si>
  <si>
    <t>Integrin alpha-5</t>
  </si>
  <si>
    <t>Isoform 3 of Nuclear factor 1 C-type</t>
  </si>
  <si>
    <t>Vimentin</t>
  </si>
  <si>
    <t>Guanine nucleotide-binding protein G(k) subunit alpha</t>
  </si>
  <si>
    <t>Annexin A5</t>
  </si>
  <si>
    <t>U1 small nuclear ribonucleoprotein A</t>
  </si>
  <si>
    <t>Gamma-enolase</t>
  </si>
  <si>
    <t>3-ketoacyl-CoA thiolase, peroxisomal</t>
  </si>
  <si>
    <t>Signal recognition particle 19 kDa protein</t>
  </si>
  <si>
    <t>Glutathione S-transferase P</t>
  </si>
  <si>
    <t>U1 small nuclear ribonucleoprotein C</t>
  </si>
  <si>
    <t>CD48 antigen</t>
  </si>
  <si>
    <t>Galectin-1</t>
  </si>
  <si>
    <t>Dihydropteridine reductase</t>
  </si>
  <si>
    <t>High mobility group protein B1</t>
  </si>
  <si>
    <t>Isoform Alpha-2 of Guanine nucleotide-binding protein G(o) subunit alpha</t>
  </si>
  <si>
    <t>SPARC</t>
  </si>
  <si>
    <t>Glutathione S-transferase Mu 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</si>
  <si>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</si>
  <si>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</si>
  <si>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</si>
  <si>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</si>
  <si>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T-cell antigen CD7</t>
  </si>
  <si>
    <t>Dihydrolipoyl dehydrogenase, mitochondrial</t>
  </si>
  <si>
    <t>U2 small nuclear ribonucleoprotein A</t>
  </si>
  <si>
    <t>Pro-cathepsin H</t>
  </si>
  <si>
    <t>Cytochrome c oxidase subunit 6C</t>
  </si>
  <si>
    <t>T-cell surface glycoprotein CD3 gamma chain</t>
  </si>
  <si>
    <t>Poly [ADP-ribose] polymerase 1</t>
  </si>
  <si>
    <t>Leukotriene A-4 hydrolase</t>
  </si>
  <si>
    <t>Fructose-bisphosphate aldolase C</t>
  </si>
  <si>
    <t>CDGSH iron-sulfur domain-containing protein 3, mitochondrial</t>
  </si>
  <si>
    <t>Putative cytochrome b-c1 complex subunit Rieske-like protein 1</t>
  </si>
  <si>
    <t>Ataxin-1-like</t>
  </si>
  <si>
    <t>Putative uncharacterized protein encoded by LINC00271</t>
  </si>
  <si>
    <t>DNA-directed RNA polymerase II subunit GRINL1A</t>
  </si>
  <si>
    <t>Ig lambda-3 chain C regions</t>
  </si>
  <si>
    <t>Chromosome transmission fidelity protein 8 homolog isoform 2</t>
  </si>
  <si>
    <t>Chromosome transmission fidelity protein 8 homolog</t>
  </si>
  <si>
    <t>40S ribosomal protein S17-like</t>
  </si>
  <si>
    <t>Small integral membrane protein 13</t>
  </si>
  <si>
    <t>Adrenodoxin, mitochondrial</t>
  </si>
  <si>
    <t>60 kDa SS-A/Ro ribonucleoprotein</t>
  </si>
  <si>
    <t>Cytochrome c oxidase subunit 8A, mitochondrial</t>
  </si>
  <si>
    <t>Lysosomal alpha-glucosidase</t>
  </si>
  <si>
    <t>Ras-related protein R-Ras</t>
  </si>
  <si>
    <t>HLA class I histocompatibility antigen, A-69 alpha chain</t>
  </si>
  <si>
    <t>Serine/threonine-protein kinase A-Raf</t>
  </si>
  <si>
    <t>Histone H1.4</t>
  </si>
  <si>
    <t>Dihydrolipoyllysine-residue acetyltransferase component of pyruvate dehydrogenase complex, mitochondrial</t>
  </si>
  <si>
    <t>Isoform 2 of Receptor-type tyrosine-protein phosphatase F</t>
  </si>
  <si>
    <t>Thioredoxin</t>
  </si>
  <si>
    <t>Cytochrome c oxidase subunit 5B, mitochondrial</t>
  </si>
  <si>
    <t>Lysosomal protective protein</t>
  </si>
  <si>
    <t>Isoform Tau-B of Microtubule-associated protein tau</t>
  </si>
  <si>
    <t>cAMP-dependent protein kinase type I-alpha regulatory subunit</t>
  </si>
  <si>
    <t>Isoform 2 of Mast/stem cell growth factor receptor Kit</t>
  </si>
  <si>
    <t>Uroporphyrinogen-III synthase</t>
  </si>
  <si>
    <t>T-cell-specific surface glycoprotein CD28</t>
  </si>
  <si>
    <t>S-formylglutathione hydrolase</t>
  </si>
  <si>
    <t>60 kDa heat shock protein, mitochondrial</t>
  </si>
  <si>
    <t>78 kDa glucose-regulated protein</t>
  </si>
  <si>
    <t>Laminin subunit gamma-1</t>
  </si>
  <si>
    <t>Heat shock cognate 71 kDa protein</t>
  </si>
  <si>
    <t>Solute carrier family 2, facilitated glucose transporter member 1</t>
  </si>
  <si>
    <t>Solute carrier family 2, facilitated glucose transporter member 3</t>
  </si>
  <si>
    <t>Isoform 2 of Protein 4.1</t>
  </si>
  <si>
    <t>Isoform 4 of Protein 4.1</t>
  </si>
  <si>
    <t>Uridine 5-monophosphate synthase</t>
  </si>
  <si>
    <t>Isoform 2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</si>
  <si>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</si>
  <si>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</si>
  <si>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</si>
  <si>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Ras-related protein Ral-B</t>
  </si>
  <si>
    <t>Breakpoint cluster region protein</t>
  </si>
  <si>
    <t>Lysosome-associated membrane glycoprotein 1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</si>
  <si>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</si>
  <si>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</si>
  <si>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</si>
  <si>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</si>
  <si>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</si>
  <si>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</si>
  <si>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</si>
  <si>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</si>
  <si>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</si>
  <si>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</si>
  <si>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Isoform 2 of Ribose-phosphate pyrophosphokinase 2</t>
  </si>
  <si>
    <t>Ornithine decarboxylase</t>
  </si>
  <si>
    <t>Polyadenylate-binding protein 1</t>
  </si>
  <si>
    <t>Proliferating cell nuclear antigen</t>
  </si>
  <si>
    <t>Histidine--tRNA ligase, cytoplasmic</t>
  </si>
  <si>
    <t>ADP/ATP translocase 1</t>
  </si>
  <si>
    <t>ADP/ATP translocase 3</t>
  </si>
  <si>
    <t>Inosine-5-monophosphate dehydrogenase 2</t>
  </si>
  <si>
    <t>Nucleoprotein TPR</t>
  </si>
  <si>
    <t>Prolactin-inducible protein</t>
  </si>
  <si>
    <t>Creatine kinase B-type</t>
  </si>
  <si>
    <t>Annexin A3</t>
  </si>
  <si>
    <t>Creatine kinase U-type, mitochondrial</t>
  </si>
  <si>
    <t>Isoform beta of Granzyme A</t>
  </si>
  <si>
    <t>Ski oncogene</t>
  </si>
  <si>
    <t>Alpha-actinin-1</t>
  </si>
  <si>
    <t>Myosin-1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</si>
  <si>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</si>
  <si>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</si>
  <si>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</si>
  <si>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</si>
  <si>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Uracil-DNA glycosylase</t>
  </si>
  <si>
    <t>Nuclear receptor subfamily 2 group C member 1</t>
  </si>
  <si>
    <t>Cytochrome c oxidase subunit 4 isoform 1, mitochondrial</t>
  </si>
  <si>
    <t>Gamma-interferon-inducible lysosomal thiol reductase</t>
  </si>
  <si>
    <t>Ribonuclease inhibitor</t>
  </si>
  <si>
    <t>Cytochrome b-245 light chain</t>
  </si>
  <si>
    <t>Intercellular adhesion molecule 2</t>
  </si>
  <si>
    <t>Integrin alpha-4</t>
  </si>
  <si>
    <t>Sodium/potassium-transporting ATPase subunit alpha-3</t>
  </si>
  <si>
    <t>Elongation factor 2</t>
  </si>
  <si>
    <t>Protein disulfide-isomerase A4</t>
  </si>
  <si>
    <t>Isoform 2 of Prolyl 4-hydroxylase subunit alpha-1</t>
  </si>
  <si>
    <t>Translationally-controlled tumor protein</t>
  </si>
  <si>
    <t>Plastin-2</t>
  </si>
  <si>
    <t>Electron transfer flavoprotein subunit alpha, mitochondrial</t>
  </si>
  <si>
    <t>Isoform 2 of Glycogen [starch] synthase, muscle</t>
  </si>
  <si>
    <t>cAMP-dependent protein kinase type II-alpha regulatory subunit</t>
  </si>
  <si>
    <t>Isoform 2 of Beta-enolase</t>
  </si>
  <si>
    <t>General transcription factor IIF subunit 2</t>
  </si>
  <si>
    <t>Coiled-coil domain-containing protein 130</t>
  </si>
  <si>
    <t>Bifunctional methylenetetrahydrofolate dehydrogenase/cyclohydrolase, mitochondrial</t>
  </si>
  <si>
    <t>Isoform 3 of Glial fibrillary acidic protein</t>
  </si>
  <si>
    <t>L-selectin</t>
  </si>
  <si>
    <t>Macrophage migration inhibitory factor</t>
  </si>
  <si>
    <t>Isoform 3 of CD99 antigen</t>
  </si>
  <si>
    <t>Hematopoietic lineage cell-specific protein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</si>
  <si>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</si>
  <si>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</si>
  <si>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</si>
  <si>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</si>
  <si>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Acylphosphatase-2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</si>
  <si>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</si>
  <si>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</si>
  <si>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</si>
  <si>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</si>
  <si>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</si>
  <si>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</si>
  <si>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</si>
  <si>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</si>
  <si>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Protein C-ets-1</t>
  </si>
  <si>
    <t>Junction plakoglobin</t>
  </si>
  <si>
    <t>Serine/threonine-protein kinase B-raf</t>
  </si>
  <si>
    <t>Fatty acid-binding protein, adipocyte</t>
  </si>
  <si>
    <t>Glutamine synthetase</t>
  </si>
  <si>
    <t>Aldose reductase</t>
  </si>
  <si>
    <t>Isoform Gamma of Poliovirus receptor</t>
  </si>
  <si>
    <t>Ras-related C3 botulinum toxin substrate 2</t>
  </si>
  <si>
    <t>Isoform 2 of Eukaryotic peptide chain release factor GTP-binding subunit ERF3A</t>
  </si>
  <si>
    <t>Arylsulfatase A</t>
  </si>
  <si>
    <t>Ezrin</t>
  </si>
  <si>
    <t>Ubiquitin carboxyl-terminal hydrolase isozyme L3</t>
  </si>
  <si>
    <t>15-hydroxyprostaglandin dehydrogenase [NAD(+)]</t>
  </si>
  <si>
    <t>Proto-oncogene vav</t>
  </si>
  <si>
    <t>Isoform 3 of Membrane cofactor protein</t>
  </si>
  <si>
    <t>Nucleoside diphosphate kinase A</t>
  </si>
  <si>
    <t>Antigen-presenting glycoprotein CD1d</t>
  </si>
  <si>
    <t>Arylsulfatase B</t>
  </si>
  <si>
    <t>40S ribosomal protein S2</t>
  </si>
  <si>
    <t>N-chimaerin</t>
  </si>
  <si>
    <t>Beta-galactoside alpha-2,6-sialyltransferase 1</t>
  </si>
  <si>
    <t>Isoform E47 of Transcription factor E2-alpha</t>
  </si>
  <si>
    <t>Desmoplakin</t>
  </si>
  <si>
    <t>Replication protein A 32 kDa subunit</t>
  </si>
  <si>
    <t>Metalloproteinase inhibitor 2</t>
  </si>
  <si>
    <t>Leukosialin</t>
  </si>
  <si>
    <t>Short-chain specific acyl-CoA dehydrogenase, mitochondrial</t>
  </si>
  <si>
    <t>Cyclic AMP-responsive element-binding protein 1</t>
  </si>
  <si>
    <t>Isoform 3 of Beta-galactosidase</t>
  </si>
  <si>
    <t>Isoform Delta13 of Platelet endothelial cell adhesion molecule</t>
  </si>
  <si>
    <t>Serine/threonine-protein phosphatase 2B catalytic subunit beta isoform</t>
  </si>
  <si>
    <t>Cytoplasmic protein NCK1</t>
  </si>
  <si>
    <t>GC-rich sequence DNA-binding factor 2</t>
  </si>
  <si>
    <t>Isoform 2 of Potassium voltage-gated channel subfamily A member 2</t>
  </si>
  <si>
    <t>Histone H1.5</t>
  </si>
  <si>
    <t>NADPH--cytochrome P450 reductase</t>
  </si>
  <si>
    <t>Methylated-DNA--protein-cysteine methyltransferase</t>
  </si>
  <si>
    <t>Isoform 3 of 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</si>
  <si>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</si>
  <si>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</si>
  <si>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</si>
  <si>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</si>
  <si>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Zinc finger protein 22</t>
  </si>
  <si>
    <t>Zinc finger protein 24</t>
  </si>
  <si>
    <t>Alpha-N-acetylgalactosaminidase</t>
  </si>
  <si>
    <t>Heat shock 70 kDa protein 6</t>
  </si>
  <si>
    <t>High mobility group protein HMG-I/HMG-Y</t>
  </si>
  <si>
    <t>Zinc finger protein 8</t>
  </si>
  <si>
    <t>Transmembrane protein 11, mitochondrial</t>
  </si>
  <si>
    <t>Aspartate aminotransferase, cytoplasmic</t>
  </si>
  <si>
    <t>Interferon alpha/beta receptor 1</t>
  </si>
  <si>
    <t>Protein kinase C alpha type</t>
  </si>
  <si>
    <t>Transcription factor jun-B</t>
  </si>
  <si>
    <t>Nucleolar transcription factor 1</t>
  </si>
  <si>
    <t>Homeobox protein Hox-B4</t>
  </si>
  <si>
    <t>Transcription factor jun-D</t>
  </si>
  <si>
    <t>Isoform PP22-TAL1 of T-cell acute lymphocytic leukemia protein 1</t>
  </si>
  <si>
    <t>Isoform 4 of Cyclic AMP-dependent transcription factor ATF-7</t>
  </si>
  <si>
    <t>NADH dehydrogenase [ubiquinone] 1 beta subcomplex subunit 7</t>
  </si>
  <si>
    <t>Isoform IB of Synapsin-1</t>
  </si>
  <si>
    <t>cAMP-dependent protein kinase catalytic subunit alpha</t>
  </si>
  <si>
    <t>Isoform PTPA of Tyrosine-protein phosphatase non-receptor type 2</t>
  </si>
  <si>
    <t>S-adenosylmethionine decarboxylase proenzyme</t>
  </si>
  <si>
    <t>CTP synthase 1</t>
  </si>
  <si>
    <t>Probable ATP-dependent RNA helicase DDX5</t>
  </si>
  <si>
    <t>6-phosphofructokinase, liver type</t>
  </si>
  <si>
    <t>Ganglioside GM2 activator</t>
  </si>
  <si>
    <t>T-complex protein 1 subunit alpha</t>
  </si>
  <si>
    <t>Tyrosine-protein phosphatase non-receptor type 1</t>
  </si>
  <si>
    <t>Insulin-like growth factor-binding protein 2</t>
  </si>
  <si>
    <t>TFIIH basal transcription factor complex helicase XPD subunit</t>
  </si>
  <si>
    <t>60S ribosomal protein L35a</t>
  </si>
  <si>
    <t>Integrin beta-5</t>
  </si>
  <si>
    <t>ADP-ribosylation factor 4</t>
  </si>
  <si>
    <t>60S ribosomal protein L7</t>
  </si>
  <si>
    <t>Early growth response protein 1</t>
  </si>
  <si>
    <t>Isoform 1 of Vinculin</t>
  </si>
  <si>
    <t>Isoform A of Protein SON</t>
  </si>
  <si>
    <t>Negative elongation factor E</t>
  </si>
  <si>
    <t>Phosphoglycerate mutase 1</t>
  </si>
  <si>
    <t>Isoform 2 of Regulator of chromosome condensation</t>
  </si>
  <si>
    <t>Cyclic AMP-dependent transcription factor ATF-1</t>
  </si>
  <si>
    <t>DNA ligase 1</t>
  </si>
  <si>
    <t>ATP synthase-coupling factor 6, mitochondrial</t>
  </si>
  <si>
    <t>DNA repair protein XRCC1</t>
  </si>
  <si>
    <t>Cadherin-2</t>
  </si>
  <si>
    <t>1-phosphatidylinositol 4,5-bisphosphate phosphodiesterase gamma-1</t>
  </si>
  <si>
    <t>Nucleolin</t>
  </si>
  <si>
    <t>DNA-directed RNA polymerase II subunit RPB3</t>
  </si>
  <si>
    <t>DNA-directed RNA polymerases I, II, and III subunit RPABC1</t>
  </si>
  <si>
    <t>Leukocyte surface antigen CD53</t>
  </si>
  <si>
    <t>TFIIH basal transcription factor complex helicase XPB subunit</t>
  </si>
  <si>
    <t>Interferon-induced, double-stranded RNA-activated protein kinase</t>
  </si>
  <si>
    <t>Transcription factor E3</t>
  </si>
  <si>
    <t>Spermidine synthase</t>
  </si>
  <si>
    <t>Bile salt-activated lipase</t>
  </si>
  <si>
    <t>Nuclear factor NF-kappa-B p105 subunit</t>
  </si>
  <si>
    <t>Isoform E of Plasma membrane calcium-transporting ATPase 1</t>
  </si>
  <si>
    <t>Eukaryotic translation initiation factor 2 subunit 2</t>
  </si>
  <si>
    <t>Transcobalamin-1</t>
  </si>
  <si>
    <t>Cyclin-A2</t>
  </si>
  <si>
    <t>Transcription factor BTF3</t>
  </si>
  <si>
    <t>Isoform 2 of Transcription factor BTF3</t>
  </si>
  <si>
    <t>Ras-related protein Rab-3A</t>
  </si>
  <si>
    <t>Ras-related protein Rab-3B</t>
  </si>
  <si>
    <t>Ras-related protein Rab-4A</t>
  </si>
  <si>
    <t>Ras-related protein Rab-6A</t>
  </si>
  <si>
    <t>Isoform 2 of Ras-related protein Rab-6A</t>
  </si>
  <si>
    <t>Proteasome subunit beta type-1</t>
  </si>
  <si>
    <t>Cation-dependent mannose-6-phosphate receptor</t>
  </si>
  <si>
    <t>Histone H2A type 1-D</t>
  </si>
  <si>
    <t>Cytochrome c oxidase subunit 5A, mitochondrial</t>
  </si>
  <si>
    <t>Lamin-B1</t>
  </si>
  <si>
    <t>Integrin alpha-L</t>
  </si>
  <si>
    <t>Mimecan</t>
  </si>
  <si>
    <t>Parathymosin</t>
  </si>
  <si>
    <t>T-cell surface glycoprotein CD3 zeta chain</t>
  </si>
  <si>
    <t>Isoform 8 of 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</si>
  <si>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</si>
  <si>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</si>
  <si>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</si>
  <si>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</si>
  <si>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</si>
  <si>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Cytoplasmic aconitate hydratase</t>
  </si>
  <si>
    <t>Serine--pyruvate aminotransferase</t>
  </si>
  <si>
    <t>Tumor necrosis factor alpha-induced protein 3</t>
  </si>
  <si>
    <t>Voltage-dependent anion-selective channel protein 1</t>
  </si>
  <si>
    <t>Succinate dehydrogenase [ubiquinone] iron-sulfur subunit, mitochondrial</t>
  </si>
  <si>
    <t>2-oxoisovalerate dehydrogenase subunit beta, mitochondrial</t>
  </si>
  <si>
    <t>Isoform Soluble of Catechol O-methyltransferase</t>
  </si>
  <si>
    <t>Methylmalonyl-CoA mutase, mitochondrial</t>
  </si>
  <si>
    <t>Oxysterol-binding protein 1</t>
  </si>
  <si>
    <t>rRNA 2-O-methyltransferase fibrillarin</t>
  </si>
  <si>
    <t>Trifunctional purine biosynthetic protein adenosine-3</t>
  </si>
  <si>
    <t>Multifunctional protein ADE2</t>
  </si>
  <si>
    <t>Non-specific lipid-transfer protein</t>
  </si>
  <si>
    <t>Ubiquitin-like modifier-activating enzyme 1</t>
  </si>
  <si>
    <t>Isoform 5 of NADPH:adrenodoxin oxidoreductase, mitochondrial</t>
  </si>
  <si>
    <t>Heterogeneous nuclear ribonucleoproteins A2/B1</t>
  </si>
  <si>
    <t>MHC class II regulatory factor RFX1</t>
  </si>
  <si>
    <t>E3 ubiquitin-protein ligase CBL</t>
  </si>
  <si>
    <t>Isoform 4 of cAMP-dependent protein kinase catalytic subunit beta</t>
  </si>
  <si>
    <t>Cytochrome b-c1 complex subunit 2, mitochondrial</t>
  </si>
  <si>
    <t>Ferrochelatase, mitochondrial</t>
  </si>
  <si>
    <t>DNA repair protein complementing XP-A cells</t>
  </si>
  <si>
    <t>Isoform 2 of AMP deaminase 1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</si>
  <si>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</si>
  <si>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</si>
  <si>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</si>
  <si>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</si>
  <si>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</si>
  <si>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Glycine dehydrogenase [decarboxylating], mitochondrial</t>
  </si>
  <si>
    <t>Tryptophan--tRNA ligase, cytoplasmic</t>
  </si>
  <si>
    <t>40S ribosomal protein S3</t>
  </si>
  <si>
    <t>Glycine cleavage system H protein, mitochondrial</t>
  </si>
  <si>
    <t>Tyrosine-protein kinase JAK1</t>
  </si>
  <si>
    <t>Isoform 3 of Receptor-type tyrosine-protein phosphatase epsilon</t>
  </si>
  <si>
    <t>Nuclear autoantigen Sp-100</t>
  </si>
  <si>
    <t>Isoform Short of Nuclear transcription factor Y subunit alpha</t>
  </si>
  <si>
    <t>Adenosylhomocysteinase</t>
  </si>
  <si>
    <t>Histone H2B type 1-O</t>
  </si>
  <si>
    <t>Cofilin-1</t>
  </si>
  <si>
    <t>Factor VIII intron 22 protein</t>
  </si>
  <si>
    <t>Isoform ZB of Plasma membrane calcium-transporting ATPase 4</t>
  </si>
  <si>
    <t>Diacylglycerol kinase alpha</t>
  </si>
  <si>
    <t>Trans-acting T-cell-specific transcription factor GATA-3</t>
  </si>
  <si>
    <t>Carnitine O-palmitoyltransferase 2, mitochondrial</t>
  </si>
  <si>
    <t>Thymidylate kinase</t>
  </si>
  <si>
    <t>Ribonucleoside-diphosphate reductase large subunit</t>
  </si>
  <si>
    <t>Isoform 2 of Interleukin-32</t>
  </si>
  <si>
    <t>Alanine aminotransferase 1</t>
  </si>
  <si>
    <t>Cytochrome c oxidase subunit 7B, mitochondrial</t>
  </si>
  <si>
    <t>Elongation factor 1-beta</t>
  </si>
  <si>
    <t>A-kinase anchor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</si>
  <si>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</si>
  <si>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</si>
  <si>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</si>
  <si>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</si>
  <si>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Isoform Short of Adenomatous polyposis coli protein</t>
  </si>
  <si>
    <t>Beta-adrenergic receptor kinase 1</t>
  </si>
  <si>
    <t>Proteinase-activated receptor 1</t>
  </si>
  <si>
    <t>DNA replication licensing factor MCM3</t>
  </si>
  <si>
    <t>3-mercaptopyruvate sulfurtransferase</t>
  </si>
  <si>
    <t>40S ribosomal protein S12</t>
  </si>
  <si>
    <t>Isoform 6 of Tumor necrosis factor receptor superfamily member 6</t>
  </si>
  <si>
    <t>Transcriptional repressor protein YY1</t>
  </si>
  <si>
    <t>DnaJ homolog subfamily B member 1</t>
  </si>
  <si>
    <t>DnaJ homolog subfamily B member 2</t>
  </si>
  <si>
    <t>ATP synthase subunit alpha, mitochondrial</t>
  </si>
  <si>
    <t>Isoform 2 of 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</si>
  <si>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</si>
  <si>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</si>
  <si>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</si>
  <si>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</si>
  <si>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</si>
  <si>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</si>
  <si>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Integrin alpha-3</t>
  </si>
  <si>
    <t>Moesin</t>
  </si>
  <si>
    <t>Probable ATP-dependent RNA helicase DDX6</t>
  </si>
  <si>
    <t>DNA (cytosine-5)-methyltransferase 1</t>
  </si>
  <si>
    <t>Isoform 2 of Splicing factor U2AF 65 kDa subunit</t>
  </si>
  <si>
    <t>60S ribosomal protein L13</t>
  </si>
  <si>
    <t>Rab proteins geranylgeranyltransferase component A 2</t>
  </si>
  <si>
    <t>Isovaleryl-CoA dehydrogenase, mitochondrial</t>
  </si>
  <si>
    <t>Protein S100-A4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</si>
  <si>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</si>
  <si>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</si>
  <si>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</si>
  <si>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</si>
  <si>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</si>
  <si>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</si>
  <si>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</si>
  <si>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</si>
  <si>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</si>
  <si>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V-type proton ATPase 16 kDa proteolipid subunit</t>
  </si>
  <si>
    <t>Isoform 2 of Aryl hydrocarbon receptor nuclear translocator</t>
  </si>
  <si>
    <t>Isoform 2 of Ceramide synthase 1</t>
  </si>
  <si>
    <t>60S ribosomal protein L10</t>
  </si>
  <si>
    <t>Replication protein A 70 kDa DNA-binding subunit</t>
  </si>
  <si>
    <t>DNA-(apurinic or apyrimidinic site) lyase</t>
  </si>
  <si>
    <t>CD82 antigen</t>
  </si>
  <si>
    <t>Calreticulin</t>
  </si>
  <si>
    <t>cAMP-specific 3,5-cyclic phosphodiesterase 4A</t>
  </si>
  <si>
    <t>Isoform 5 of Microtubule-associated protein 4</t>
  </si>
  <si>
    <t>Calnexin</t>
  </si>
  <si>
    <t>Phosphatidylinositol 3-kinase regulatory subunit alpha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</si>
  <si>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</si>
  <si>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</si>
  <si>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</si>
  <si>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</si>
  <si>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</si>
  <si>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</si>
  <si>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Glutathione S-transferase Mu 2</t>
  </si>
  <si>
    <t>Isoform 4 of NADH-ubiquinone oxidoreductase 75 kDa subunit, mitochondrial</t>
  </si>
  <si>
    <t>Mitogen-activated protein kinase 1</t>
  </si>
  <si>
    <t>Retinoic acid receptor RXR-beta</t>
  </si>
  <si>
    <t>DNA repair protein complementing XP-G cells</t>
  </si>
  <si>
    <t>Retinoblastoma-like protein 1</t>
  </si>
  <si>
    <t>Granulins</t>
  </si>
  <si>
    <t>Cytosol aminopeptidase</t>
  </si>
  <si>
    <t>ADP-ribosyl cyclase 1</t>
  </si>
  <si>
    <t>Tumor necrosis factor receptor superfamily member 8</t>
  </si>
  <si>
    <t>T-cell surface glycoprotein CD1b</t>
  </si>
  <si>
    <t>General transcription factor IIE subunit 1</t>
  </si>
  <si>
    <t>Transcription initiation factor IIE subunit beta</t>
  </si>
  <si>
    <t>Tripeptidyl-peptidase 2</t>
  </si>
  <si>
    <t>Inositol monophosphatase 1</t>
  </si>
  <si>
    <t>Tyrosine-protein phosphatase non-receptor type 6</t>
  </si>
  <si>
    <t>Isoform 7 of SHC-transforming protein 1</t>
  </si>
  <si>
    <t>Isoform 4 of DNA-3-methyladenine glycosylase</t>
  </si>
  <si>
    <t>Isoform III of AT-rich interactive domain-containing protein 4A</t>
  </si>
  <si>
    <t>Transketolase</t>
  </si>
  <si>
    <t>Protein PML</t>
  </si>
  <si>
    <t>Isoform 3 of Elongation factor 1-delta</t>
  </si>
  <si>
    <t>Isoform p69 of 2-5-oligoadenylate synthase 2</t>
  </si>
  <si>
    <t>CD40 ligand</t>
  </si>
  <si>
    <t>Myristoylated alanine-rich C-kinase substrate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</si>
  <si>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</si>
  <si>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</si>
  <si>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</si>
  <si>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</si>
  <si>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</si>
  <si>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</si>
  <si>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</si>
  <si>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</si>
  <si>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</si>
  <si>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</si>
  <si>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</si>
  <si>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</si>
  <si>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</si>
  <si>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</si>
  <si>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</si>
  <si>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Isoform CD6E of T-cell differentiation antigen CD6</t>
  </si>
  <si>
    <t>Cell division cycle protein 27 homolog</t>
  </si>
  <si>
    <t>G1/S-specific cyclin-D3</t>
  </si>
  <si>
    <t>Wee1-like protein kinase</t>
  </si>
  <si>
    <t>Peptidyl-prolyl cis-trans isomerase F, mitochondrial</t>
  </si>
  <si>
    <t>Glycylpeptide N-tetradecanoyltransferase 1</t>
  </si>
  <si>
    <t>HLA class I histocompatibility antigen, B-55 alpha chain</t>
  </si>
  <si>
    <t>HLA class I histocompatibility antigen, B-56 alpha chain</t>
  </si>
  <si>
    <t>HLA class I histocompatibility antigen, Cw-4 alpha chain</t>
  </si>
  <si>
    <t>Heme oxygenase 2</t>
  </si>
  <si>
    <t>Adenylosuccinate synthetase isozyme 2</t>
  </si>
  <si>
    <t>Alpha-2-macroglobulin receptor-associated protein</t>
  </si>
  <si>
    <t>Adenylosuccinate lyase</t>
  </si>
  <si>
    <t>Isoform L-type of Pyruvate kinase isozymes R/L</t>
  </si>
  <si>
    <t>Isoform 3 of CAP-Gly domain-containing linker protein 1</t>
  </si>
  <si>
    <t>Guanine nucleotide-binding protein subunit alpha-15</t>
  </si>
  <si>
    <t>HLA class I histocompatibility antigen, B-35 alpha chain</t>
  </si>
  <si>
    <t>Leukocyte elastase inhibitor</t>
  </si>
  <si>
    <t>GTP cyclohydrolase 1</t>
  </si>
  <si>
    <t>High affinity cationic amino acid transporter 1</t>
  </si>
  <si>
    <t>Coronin-1A</t>
  </si>
  <si>
    <t>Rab GDP dissociation inhibitor alpha</t>
  </si>
  <si>
    <t>Protein S100-A7</t>
  </si>
  <si>
    <t>S-adenosylmethionine synthase isoform type-2</t>
  </si>
  <si>
    <t>cAMP-dependent protein kinase type I-beta regulatory subunit</t>
  </si>
  <si>
    <t>cAMP-dependent protein kinase type II-beta regulatory subunit</t>
  </si>
  <si>
    <t>Carbamoyl-phosphate synthase [ammonia], mitochondrial</t>
  </si>
  <si>
    <t>Ribonucleoside-diphosphate reductase subunit M2</t>
  </si>
  <si>
    <t>Sodium- and chloride-dependent taurine transporter</t>
  </si>
  <si>
    <t>DnaJ homolog subfamily A member 1</t>
  </si>
  <si>
    <t>RAC-alpha serine/threonine-protein kinase</t>
  </si>
  <si>
    <t>RAC-beta serine/threonine-protein kinase</t>
  </si>
  <si>
    <t>Cytokine receptor common subunit gamma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</si>
  <si>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</si>
  <si>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</si>
  <si>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</si>
  <si>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</si>
  <si>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Isoform Short of 14-3-3 protein beta/alpha</t>
  </si>
  <si>
    <t>Isoform 2 of 14-3-3 protein sigma</t>
  </si>
  <si>
    <t>Stress-induced-phosphoprotein 1</t>
  </si>
  <si>
    <t>Protein S100-A11</t>
  </si>
  <si>
    <t>Isoform 3 of Type II inositol 1,4,5-trisphosphate 5-phosphatase</t>
  </si>
  <si>
    <t>Peroxiredoxin-2</t>
  </si>
  <si>
    <t>Beta-arrestin-2</t>
  </si>
  <si>
    <t>Isoform 1 of Glycerol kinase</t>
  </si>
  <si>
    <t>Isoform 2 of Deoxycytidylate deaminase</t>
  </si>
  <si>
    <t>Pyrroline-5-carboxylate reductase 1, mitochondrial</t>
  </si>
  <si>
    <t>Interferon-induced guanylate-binding protein 1</t>
  </si>
  <si>
    <t>Isoform 2 of ETS-related transcription factor Elf-1</t>
  </si>
  <si>
    <t>General transcription factor IIH subunit 1</t>
  </si>
  <si>
    <t>Isoform 2 of Syntaxin-2</t>
  </si>
  <si>
    <t>Cystathionine gamma-lyase</t>
  </si>
  <si>
    <t>Intercellular adhesion molecule 3</t>
  </si>
  <si>
    <t>60S ribosomal protein L9</t>
  </si>
  <si>
    <t>Long-chain-fatty-acid--CoA ligase 1</t>
  </si>
  <si>
    <t>Kinesin-1 heavy chain</t>
  </si>
  <si>
    <t>Isoform 2 of Cleavage stimulation factor subunit 2</t>
  </si>
  <si>
    <t>Lymphocyte-specific protein 1</t>
  </si>
  <si>
    <t>Deoxyuridine 5-triphosphate nucleotidohydrolase, mitochondrial</t>
  </si>
  <si>
    <t>Isoform 2 of Deoxyuridine 5-triphosphate nucleotidohydrolase, mitochondrial</t>
  </si>
  <si>
    <t>Multidrug resistance-associated protein 1</t>
  </si>
  <si>
    <t>Cyclin-dependent kinases regulatory subunit 2</t>
  </si>
  <si>
    <t>ATP-binding cassette sub-family D member 1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</si>
  <si>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</si>
  <si>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</si>
  <si>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</si>
  <si>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</si>
  <si>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</si>
  <si>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</si>
  <si>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</si>
  <si>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</si>
  <si>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Heat shock 70 kDa protein 4</t>
  </si>
  <si>
    <t>G protein-coupled receptor kinase 5</t>
  </si>
  <si>
    <t>Cannabinoid receptor 2</t>
  </si>
  <si>
    <t>Carbonic anhydrase-related protein</t>
  </si>
  <si>
    <t>Catenin alpha-1</t>
  </si>
  <si>
    <t>Polycomb group RING finger protein 2</t>
  </si>
  <si>
    <t>Prohibitin</t>
  </si>
  <si>
    <t>Isoform 2 of Tyrosine-protein phosphatase non-receptor type 7</t>
  </si>
  <si>
    <t>Serpin B6</t>
  </si>
  <si>
    <t>Isoform 5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</si>
  <si>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</si>
  <si>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</si>
  <si>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</si>
  <si>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</si>
  <si>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</si>
  <si>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</si>
  <si>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</si>
  <si>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</si>
  <si>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Cornifin-A</t>
  </si>
  <si>
    <t>Prostaglandin E2 receptor EP4 subtype</t>
  </si>
  <si>
    <t>Cystathionine beta-synthase</t>
  </si>
  <si>
    <t>Glycogen debranching enzyme</t>
  </si>
  <si>
    <t>Myosin-9</t>
  </si>
  <si>
    <t>Myosin-10</t>
  </si>
  <si>
    <t>Coatomer subunit beta</t>
  </si>
  <si>
    <t>Sterol O-acyltransferase 1</t>
  </si>
  <si>
    <t>Alpha-adducin</t>
  </si>
  <si>
    <t>Beta-adducin</t>
  </si>
  <si>
    <t>Isoform 2 of Basigin</t>
  </si>
  <si>
    <t>Beta-adrenergic receptor kinase 2</t>
  </si>
  <si>
    <t>Isoform Short of RNA-binding protein FUS</t>
  </si>
  <si>
    <t>Isoform 2 of Nuclear pore complex protein Nup214</t>
  </si>
  <si>
    <t>Protein DEK</t>
  </si>
  <si>
    <t>Glutaredoxin-1</t>
  </si>
  <si>
    <t>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</si>
  <si>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</si>
  <si>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</si>
  <si>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</si>
  <si>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</si>
  <si>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Isoform Gamma of E3 ubiquitin-protein ligase TRIM23</t>
  </si>
  <si>
    <t>Dual specificity mitogen-activated protein kinase kinase 2</t>
  </si>
  <si>
    <t>ATP synthase subunit gamma, mitochondrial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</si>
  <si>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</si>
  <si>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</si>
  <si>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</si>
  <si>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</si>
  <si>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</si>
  <si>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Isoform Gamma-2 of Serine/threonine-protein phosphatase PP1-gamma catalytic subunit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</si>
  <si>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</si>
  <si>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</si>
  <si>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</si>
  <si>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</si>
  <si>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</si>
  <si>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</si>
  <si>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</si>
  <si>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Squalene synthase</t>
  </si>
  <si>
    <t>Isoform 3 of Zinc finger E-box-binding homeobox 1</t>
  </si>
  <si>
    <t>Transgelin-2</t>
  </si>
  <si>
    <t>Transaldolase</t>
  </si>
  <si>
    <t>Electron transfer flavoprotein subunit beta</t>
  </si>
  <si>
    <t>RNA-binding motif protein, X chromosome</t>
  </si>
  <si>
    <t>Isoform 2 of RNA-binding motif protein, X chromosome</t>
  </si>
  <si>
    <t>Isoform 2 of Lysosomal acid lipase/cholesteryl ester hydrolase</t>
  </si>
  <si>
    <t>Stress-70 protein, mitochondrial</t>
  </si>
  <si>
    <t>Eukaryotic initiation factor 4A-III</t>
  </si>
  <si>
    <t>DNA-binding protein SMUBP-2</t>
  </si>
  <si>
    <t>40S ribosomal protein S19</t>
  </si>
  <si>
    <t>60S ribosomal protein L3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</si>
  <si>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</si>
  <si>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</si>
  <si>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</si>
  <si>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</si>
  <si>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Macrophage-capping protein</t>
  </si>
  <si>
    <t>Alpha-taxilin</t>
  </si>
  <si>
    <t>T-complex protein 1 subunit zeta</t>
  </si>
  <si>
    <t>Proteasome subunit beta type-10</t>
  </si>
  <si>
    <t>Isoform 3 of Von Hippel-Lindau disease tumor suppressor</t>
  </si>
  <si>
    <t>Pre-B-cell leukemia transcription factor 2</t>
  </si>
  <si>
    <t>DNA mismatch repair protein Mlh1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</si>
  <si>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</si>
  <si>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</si>
  <si>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</si>
  <si>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</si>
  <si>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</si>
  <si>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</si>
  <si>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</si>
  <si>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</si>
  <si>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DNA-binding protein inhibitor ID-1</t>
  </si>
  <si>
    <t>Centrin-2</t>
  </si>
  <si>
    <t>Transcription factor ETV6</t>
  </si>
  <si>
    <t>Eukaryotic translation initiation factor 2D</t>
  </si>
  <si>
    <t>Protein BUD31 homolog</t>
  </si>
  <si>
    <t>N-alpha-acetyltransferase 10</t>
  </si>
  <si>
    <t>Isoform 3 of Lysine-specific demethylase 5C</t>
  </si>
  <si>
    <t>Tyrosine-protein kinase CSK</t>
  </si>
  <si>
    <t>Glycine--tRNA ligase</t>
  </si>
  <si>
    <t>Isoleucine--tRNA ligase, cytoplasmic</t>
  </si>
  <si>
    <t>Folate transporter 1</t>
  </si>
  <si>
    <t>Eukaryotic translation initiation factor 1</t>
  </si>
  <si>
    <t>Protein kinase C iota type</t>
  </si>
  <si>
    <t>Beta-centractin</t>
  </si>
  <si>
    <t>Lamina-associated polypeptide 2, isoform alpha</t>
  </si>
  <si>
    <t>Lamina-associated polypeptide 2, isoforms beta/gamma</t>
  </si>
  <si>
    <t>Isoform Gamma of 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</si>
  <si>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</si>
  <si>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</si>
  <si>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</si>
  <si>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</si>
  <si>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Isoform 5 of Rho GTPase-activating protein 25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</si>
  <si>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</si>
  <si>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</si>
  <si>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</si>
  <si>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Epidermal growth factor receptor substrate 15</t>
  </si>
  <si>
    <t>Caspase-3</t>
  </si>
  <si>
    <t>Caspase-2</t>
  </si>
  <si>
    <t>40S ribosomal protein S27</t>
  </si>
  <si>
    <t>Isoform 6 of Abelson tyrosine-protein kinase 2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</si>
  <si>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</si>
  <si>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</si>
  <si>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</si>
  <si>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</si>
  <si>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Wiskott-Aldrich syndrome protein</t>
  </si>
  <si>
    <t>Cyclin-dependent kinase 4 inhibitor C</t>
  </si>
  <si>
    <t>Lysosomal Pro-X carboxypeptidase</t>
  </si>
  <si>
    <t>Huntingtin</t>
  </si>
  <si>
    <t>Isoform C of Endothelin-converting enzyme 1</t>
  </si>
  <si>
    <t>Methylenetetrahydrofolate reductase</t>
  </si>
  <si>
    <t>Isoform 2 of Excitatory amino acid transporter 1</t>
  </si>
  <si>
    <t>Neutral amino acid transporter A</t>
  </si>
  <si>
    <t>Platelet-activating factor acetylhydrolase IB subunit alpha</t>
  </si>
  <si>
    <t>Isoform 2 of Carnitine O-acetyltransferase</t>
  </si>
  <si>
    <t>Isoform GRK6B of G protein-coupled receptor kinase 6</t>
  </si>
  <si>
    <t>Translocon-associated protein subunit alpha</t>
  </si>
  <si>
    <t>Tyrosine-protein phosphatase non-receptor type 9</t>
  </si>
  <si>
    <t>Tyrosine-protein kinase ZAP-70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</si>
  <si>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</si>
  <si>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</si>
  <si>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</si>
  <si>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</si>
  <si>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</si>
  <si>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</si>
  <si>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</si>
  <si>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</si>
  <si>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</si>
  <si>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</si>
  <si>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</si>
  <si>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Antigen KI-67</t>
  </si>
  <si>
    <t>Ran GTPase-activating protein 1</t>
  </si>
  <si>
    <t>ATP-dependent DNA helicase Q1</t>
  </si>
  <si>
    <t>Putative ribosomal RNA methyltransferase NOP2</t>
  </si>
  <si>
    <t>Isoform 3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</si>
  <si>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</si>
  <si>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</si>
  <si>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</si>
  <si>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</si>
  <si>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</si>
  <si>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</si>
  <si>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</si>
  <si>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</si>
  <si>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</si>
  <si>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60S ribosomal protein L28</t>
  </si>
  <si>
    <t>40S ribosomal protein S9</t>
  </si>
  <si>
    <t>40S ribosomal protein S10</t>
  </si>
  <si>
    <t>Glucosamine-6-phosphate isomerase 1</t>
  </si>
  <si>
    <t>Isoform 4 of E3 ubiquitin-protein ligase NEDD4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</si>
  <si>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</si>
  <si>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</si>
  <si>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</si>
  <si>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</si>
  <si>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</si>
  <si>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F-actin-capping protein subunit alpha-2</t>
  </si>
  <si>
    <t>Isoform 2 of F-actin-capping protein subunit beta</t>
  </si>
  <si>
    <t>Eukaryotic translation initiation factor 1A, X-chromosomal</t>
  </si>
  <si>
    <t>Glutamine--tRNA ligase</t>
  </si>
  <si>
    <t>60S ribosomal protein L29</t>
  </si>
  <si>
    <t>Zinc finger protein 36, C3H1 type-like 2</t>
  </si>
  <si>
    <t>Cytochrome b-c1 complex subunit Rieske, mitochondrial</t>
  </si>
  <si>
    <t>Isoform 3 of Sodium- and chloride-dependent creatine transporter 1</t>
  </si>
  <si>
    <t>ATP synthase subunit O, mitochondrial</t>
  </si>
  <si>
    <t>Isoform 5 of LIM and senescent cell antigen-like-containing domain protein 1</t>
  </si>
  <si>
    <t>Prolyl endopeptidase</t>
  </si>
  <si>
    <t>Iron-responsive element-binding protein 2</t>
  </si>
  <si>
    <t>Isoform 3 of Transcription factor RFX3</t>
  </si>
  <si>
    <t>Coatomer subunit delta</t>
  </si>
  <si>
    <t>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</si>
  <si>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</si>
  <si>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</si>
  <si>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</si>
  <si>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Trafficking protein particle complex subunit 10</t>
  </si>
  <si>
    <t>Protein PRRC2A</t>
  </si>
  <si>
    <t>Glutathione synthetase</t>
  </si>
  <si>
    <t>T-complex protein 1 subunit epsilon</t>
  </si>
  <si>
    <t>Phosphatidylserine synthase 1</t>
  </si>
  <si>
    <t>Heat shock 70 kDa protein 13</t>
  </si>
  <si>
    <t>Isoform 2 of Casein kinase I isoform delta</t>
  </si>
  <si>
    <t>Isocitrate dehydrogenase [NADP], mitochondrial</t>
  </si>
  <si>
    <t>Phosphatidylinositol 4,5-bisphosphate 3-kinase catalytic subunit gamma isoform</t>
  </si>
  <si>
    <t>Phosphatidylinositol transfer protein beta isoform</t>
  </si>
  <si>
    <t>Isoform 2 of CD97 antigen</t>
  </si>
  <si>
    <t>DNA polymerase delta subunit 2</t>
  </si>
  <si>
    <t>MARCKS-related protein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</si>
  <si>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</si>
  <si>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</si>
  <si>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</si>
  <si>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</si>
  <si>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</si>
  <si>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</si>
  <si>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</si>
  <si>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Isoform 1 of Natural resistance-associated macrophage protein 2</t>
  </si>
  <si>
    <t>Nuclear autoantigenic sperm protein</t>
  </si>
  <si>
    <t>Fatty acid synthase</t>
  </si>
  <si>
    <t>Isoform 2 of Cyclin-dependent kinase 8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</si>
  <si>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</si>
  <si>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</si>
  <si>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</si>
  <si>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</si>
  <si>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39S ribosomal protein L19, mitochondrial</t>
  </si>
  <si>
    <t>Elongation factor Tu, mitochondrial</t>
  </si>
  <si>
    <t>Ubiquitin-conjugating enzyme E2 R1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</si>
  <si>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</si>
  <si>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</si>
  <si>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</si>
  <si>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</si>
  <si>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</si>
  <si>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</si>
  <si>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</si>
  <si>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DNA primase small subunit</t>
  </si>
  <si>
    <t>DNA primase large subunit</t>
  </si>
  <si>
    <t>Casein kinase I isoform epsilon</t>
  </si>
  <si>
    <t>Transcriptional repressor CTCF</t>
  </si>
  <si>
    <t>Proteasome subunit beta type-3</t>
  </si>
  <si>
    <t>Proteasome subunit beta type-2</t>
  </si>
  <si>
    <t>Very long-chain specific acyl-CoA dehydrogenase, mitochondrial</t>
  </si>
  <si>
    <t>Isoform 4 of YLP motif-containing protein 1</t>
  </si>
  <si>
    <t>Transmembrane emp24 domain-containing protein 10</t>
  </si>
  <si>
    <t>RNA-binding protein 25</t>
  </si>
  <si>
    <t>Isoform 4 of Protein numb homolog</t>
  </si>
  <si>
    <t>Isoform 2 of Presenilin-1</t>
  </si>
  <si>
    <t>Translation initiation factor eIF-2B subunit beta</t>
  </si>
  <si>
    <t>Histidine triad nucleotide-binding protein 1</t>
  </si>
  <si>
    <t>Bis(5-adenosyl)-triphosphatase</t>
  </si>
  <si>
    <t>Nuclear pore complex protein Nup153</t>
  </si>
  <si>
    <t>E3 SUMO-protein ligase RanBP2</t>
  </si>
  <si>
    <t>Regulator of G-protein signaling 19</t>
  </si>
  <si>
    <t>Glycogen synthase kinase-3 alpha</t>
  </si>
  <si>
    <t>Glycogen synthase kinase-3 beta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</si>
  <si>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</si>
  <si>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</si>
  <si>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</si>
  <si>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</si>
  <si>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</si>
  <si>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DNA ligase 4</t>
  </si>
  <si>
    <t>Double-strand break repair protein MRE11A</t>
  </si>
  <si>
    <t>Ketohexokinase</t>
  </si>
  <si>
    <t>Guanine nucleotide-binding protein G(q) subunit alpha</t>
  </si>
  <si>
    <t>Guanine nucleotide-binding protein G(I)/G(S)/G(O) subunit gamma-4</t>
  </si>
  <si>
    <t>Guanine nucleotide-binding protein G(I)/G(S)/G(O) subunit gamma-10</t>
  </si>
  <si>
    <t>Isocitrate dehydrogenase [NAD] subunit alpha, mitochondrial</t>
  </si>
  <si>
    <t>Motor neuron and pancreas homeobox protein 1</t>
  </si>
  <si>
    <t>Cysteine-rich protein 1</t>
  </si>
  <si>
    <t>Protoporphyrinogen oxidase</t>
  </si>
  <si>
    <t>Emerin</t>
  </si>
  <si>
    <t>Carnitine O-palmitoyltransferase 1, liver isoform</t>
  </si>
  <si>
    <t>Isoform 3 of Glycine amidinotransferase, mitochondrial</t>
  </si>
  <si>
    <t>Sulfate transporter</t>
  </si>
  <si>
    <t>Serpin B8</t>
  </si>
  <si>
    <t>Serpin H1</t>
  </si>
  <si>
    <t>Hsc70-interacting protein</t>
  </si>
  <si>
    <t>Vasodilator-stimulated phosphoprotein</t>
  </si>
  <si>
    <t>Isoform 4 of Dynamin-2</t>
  </si>
  <si>
    <t>Methionine aminopeptidase 2</t>
  </si>
  <si>
    <t>Bis(5-nucleosyl)-tetraphosphatase [asymmetrical]</t>
  </si>
  <si>
    <t>Biotin--protein ligase</t>
  </si>
  <si>
    <t>Kinetochore-associated protein 1</t>
  </si>
  <si>
    <t>Ras association domain-containing protein 2</t>
  </si>
  <si>
    <t>Cyclin-dependent kinase 9</t>
  </si>
  <si>
    <t>Lipopolysaccharide-responsive and beige-like anchor protein</t>
  </si>
  <si>
    <t>Basal cell adhesion molecule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</si>
  <si>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</si>
  <si>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</si>
  <si>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</si>
  <si>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</si>
  <si>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</si>
  <si>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</si>
  <si>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</si>
  <si>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</si>
  <si>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Rab-28</t>
  </si>
  <si>
    <t>Ras-related protein Rab-27A</t>
  </si>
  <si>
    <t>Isoform 2 of 28S ribosomal protein S29, mitochondrial</t>
  </si>
  <si>
    <t>Dual specificity protein phosphatase 3</t>
  </si>
  <si>
    <t>Isoform 5 of RNA-binding protein Nova-1</t>
  </si>
  <si>
    <t>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</si>
  <si>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</si>
  <si>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</si>
  <si>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</si>
  <si>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</si>
  <si>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</si>
  <si>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</si>
  <si>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</si>
  <si>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Succinate-semialdehyde dehydrogenase, mitochondrial</t>
  </si>
  <si>
    <t>Peroxisomal multifunctional enzyme type 2</t>
  </si>
  <si>
    <t>26S proteasome non-ATPase regulatory subunit 7</t>
  </si>
  <si>
    <t>Ubiquitin-conjugating enzyme E2 D1</t>
  </si>
  <si>
    <t>N-sulphoglucosamine sulphohydrolase</t>
  </si>
  <si>
    <t>Signal transducer and activator of transcription 5B</t>
  </si>
  <si>
    <t>Isoform 3 of H(+)/Cl(-) exchange transporter 3</t>
  </si>
  <si>
    <t>H(+)/Cl(-) exchange transporter 5</t>
  </si>
  <si>
    <t>Chloride transport protein 6</t>
  </si>
  <si>
    <t>Isoform 2 of H(+)/Cl(-) exchange transporter 7</t>
  </si>
  <si>
    <t>Vesicle-associated membrane protein 7</t>
  </si>
  <si>
    <t>Adenylate cyclase type 7</t>
  </si>
  <si>
    <t>Hepatoma-derived growth factor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</si>
  <si>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</si>
  <si>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</si>
  <si>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</si>
  <si>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</si>
  <si>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</si>
  <si>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</si>
  <si>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</si>
  <si>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</si>
  <si>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Isoform 4 of Rap1 GTPase-GDP dissociation stimulator 1</t>
  </si>
  <si>
    <t>DNA-directed RNA polymerase II subunit RPB11-a</t>
  </si>
  <si>
    <t>Dual specificity mitogen-activated protein kinase kinase 6</t>
  </si>
  <si>
    <t>Rho GDP-dissociation inhibitor 1</t>
  </si>
  <si>
    <t>Rho GDP-dissociation inhibitor 2</t>
  </si>
  <si>
    <t>Isoform 2 of Arf-GAP domain and FG repeat-containing protein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</si>
  <si>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</si>
  <si>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</si>
  <si>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</si>
  <si>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</si>
  <si>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Kinesin-like protein KIF11</t>
  </si>
  <si>
    <t>Isoform 3 of Guanine nucleotide exchange factor VAV2</t>
  </si>
  <si>
    <t>RNA-binding protein 5</t>
  </si>
  <si>
    <t>Ribonuclease UK114</t>
  </si>
  <si>
    <t>Spermine synthase</t>
  </si>
  <si>
    <t>Hexokinase-2</t>
  </si>
  <si>
    <t>Isoform 2 of Ephrin-A4</t>
  </si>
  <si>
    <t>39S ribosomal protein L12, mitochondrial</t>
  </si>
  <si>
    <t>Thimet oligopeptidase</t>
  </si>
  <si>
    <t>F-actin-capping protein subunit alpha-1</t>
  </si>
  <si>
    <t>Cysteine-rich protein 2</t>
  </si>
  <si>
    <t>Isoform 5 of 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</si>
  <si>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</si>
  <si>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</si>
  <si>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</si>
  <si>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</si>
  <si>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Isoform A of Arfaptin-1</t>
  </si>
  <si>
    <t>Isoform 2 of Cytosolic Fe-S cluster assembly factor NUBP1</t>
  </si>
  <si>
    <t>ATP-citrate synthase</t>
  </si>
  <si>
    <t>CCAAT/enhancer-binding protein gamma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</si>
  <si>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</si>
  <si>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</si>
  <si>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</si>
  <si>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</si>
  <si>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</si>
  <si>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</si>
  <si>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</si>
  <si>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Isoform 2 of Clathrin heavy chain 2</t>
  </si>
  <si>
    <t>Cytochrome c-type heme lyase</t>
  </si>
  <si>
    <t>Mitogen-activated protein kinase 12</t>
  </si>
  <si>
    <t>Sodium/myo-inositol cotransporter</t>
  </si>
  <si>
    <t>Pituitary tumor-transforming gene 1 protein-interacting protein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</si>
  <si>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</si>
  <si>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</si>
  <si>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</si>
  <si>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</si>
  <si>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</si>
  <si>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</si>
  <si>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DNA polymerase subunit gamma-1</t>
  </si>
  <si>
    <t>Arginine--tRNA ligase, cytoplasmic</t>
  </si>
  <si>
    <t>Isoform Monomeric of Arginine--tRNA ligase, cytoplasmic</t>
  </si>
  <si>
    <t>Atrophin-1</t>
  </si>
  <si>
    <t>Mismatch repair endonuclease PMS2</t>
  </si>
  <si>
    <t>Isoform 3 of Voltage-dependent L-type calcium channel subunit beta-3</t>
  </si>
  <si>
    <t>Tyrosine--tRNA ligase, cytoplasmic</t>
  </si>
  <si>
    <t>Ubiquitin carboxyl-terminal hydrolase 14</t>
  </si>
  <si>
    <t>Isoform 2 of 5-AMP-activated protein kinase subunit gamma-1</t>
  </si>
  <si>
    <t>Heat shock-related 70 kDa protein 2</t>
  </si>
  <si>
    <t>Branched-chain-amino-acid aminotransferase, cytosolic</t>
  </si>
  <si>
    <t>Sodium/potassium-transporting ATPase subunit beta-3</t>
  </si>
  <si>
    <t>Isoform 2 of Sodium/potassium-transporting ATPase subunit gamma</t>
  </si>
  <si>
    <t>UV excision repair protein RAD23 homolog B</t>
  </si>
  <si>
    <t>Adenylate kinase 2, mitochondrial</t>
  </si>
  <si>
    <t>Hydroxymethylglutaryl-CoA synthase, mitochondrial</t>
  </si>
  <si>
    <t>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</si>
  <si>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</si>
  <si>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</si>
  <si>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</si>
  <si>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</si>
  <si>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</si>
  <si>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</si>
  <si>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</si>
  <si>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</si>
  <si>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Trifunctional enzyme subunit beta, mitochondrial</t>
  </si>
  <si>
    <t>Mesencephalic astrocyte-derived neurotrophic factor</t>
  </si>
  <si>
    <t>Nck-associated protein 1-like</t>
  </si>
  <si>
    <t>RNA polymerase II elongation factor ELL</t>
  </si>
  <si>
    <t>Caspase-7</t>
  </si>
  <si>
    <t>Caspase-9</t>
  </si>
  <si>
    <t>Caspase-6</t>
  </si>
  <si>
    <t>Adenosine kinase</t>
  </si>
  <si>
    <t>Cyclin-dependent kinase 4 inhibitor D</t>
  </si>
  <si>
    <t>Cadherin-4</t>
  </si>
  <si>
    <t>Isoform 2 of Tumor protein D52</t>
  </si>
  <si>
    <t>Protein SEC13 homolog</t>
  </si>
  <si>
    <t>Paired box protein Pax-9</t>
  </si>
  <si>
    <t>FAD-linked sulfhydryl oxidase ALR</t>
  </si>
  <si>
    <t>Heterogeneous nuclear ribonucleoprotein H2</t>
  </si>
  <si>
    <t>Succinyl-CoA:3-ketoacid coenzyme A transferase 1, mitochondrial</t>
  </si>
  <si>
    <t>Eukaryotic translation initiation factor 3 subunit B</t>
  </si>
  <si>
    <t>IgG receptor FcRn large subunit p51</t>
  </si>
  <si>
    <t>BH3-interacting domain death agonist</t>
  </si>
  <si>
    <t>Isoform 3 of ATP synthase subunit f, mitochondrial</t>
  </si>
  <si>
    <t>Isoform 2 of GDNF family receptor alpha-1</t>
  </si>
  <si>
    <t>NADH dehydrogenase [ubiquinone] flavoprotein 3, mitochondrial</t>
  </si>
  <si>
    <t>Isoform 2 of NADH dehydrogenase [ubiquinone] flavoprotein 3, mitochondrial</t>
  </si>
  <si>
    <t>Ribosomal RNA processing protein 1 homolog A</t>
  </si>
  <si>
    <t>Methionine--tRNA ligase, cytoplasmic</t>
  </si>
  <si>
    <t>Integrin alpha-1</t>
  </si>
  <si>
    <t>cAMP-regulated phosphoprotein 19</t>
  </si>
  <si>
    <t>Isoform 2 of Myc-associated zinc finger protein</t>
  </si>
  <si>
    <t>Cx9C motif-containing protein 4</t>
  </si>
  <si>
    <t>DNA polymerase epsilon subunit 2</t>
  </si>
  <si>
    <t>AP-1 complex subunit sigma-2</t>
  </si>
  <si>
    <t>6.8 kDa mitochondrial proteolipid</t>
  </si>
  <si>
    <t>ATP synthase subunit epsilon, mitochondrial</t>
  </si>
  <si>
    <t>ATP synthase subunit e, mitochondrial</t>
  </si>
  <si>
    <t>Histone deacetylase 4</t>
  </si>
  <si>
    <t>Eukaryotic translation initiation factor 6</t>
  </si>
  <si>
    <t>NADH dehydrogenase [ubiquinone] 1 alpha subcomplex subunit 6</t>
  </si>
  <si>
    <t>ADP-ribosylation factor-like protein 4C</t>
  </si>
  <si>
    <t>Peroxisomal biogenesis factor 3</t>
  </si>
  <si>
    <t>Isoform 3 of 3-keto-steroid reductase</t>
  </si>
  <si>
    <t>Syntaxin-17</t>
  </si>
  <si>
    <t>RWD domain-containing protein 2B</t>
  </si>
  <si>
    <t>Isoform 2 of Ubiquitin-associated and SH3 domain-containing protein A</t>
  </si>
  <si>
    <t>Uncharacterized protein C21orf59</t>
  </si>
  <si>
    <t>Isoform 2 of tRNA (guanine-N(7)-)-methyltransferase subunit WDR4</t>
  </si>
  <si>
    <t>Transmembrane protein 33</t>
  </si>
  <si>
    <t>Synaptojanin-2-binding protein</t>
  </si>
  <si>
    <t>Isoform 3 of Coronin-7</t>
  </si>
  <si>
    <t>Nuclear pore complex protein Nup107</t>
  </si>
  <si>
    <t>Sorting nexin-16</t>
  </si>
  <si>
    <t>Selenocysteine-specific elongation factor</t>
  </si>
  <si>
    <t>Sestrin-2</t>
  </si>
  <si>
    <t>Myotrophin</t>
  </si>
  <si>
    <t>Isoform B of Putative ribonuclease</t>
  </si>
  <si>
    <t>Histone H2B type 1-D</t>
  </si>
  <si>
    <t>Ras-related protein Rab-15</t>
  </si>
  <si>
    <t>Neutrophil defensin 3</t>
  </si>
  <si>
    <t>Protein transport protein Sec61 subunit gamma</t>
  </si>
  <si>
    <t>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</si>
  <si>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</si>
  <si>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</si>
  <si>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</si>
  <si>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</si>
  <si>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</si>
  <si>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</si>
  <si>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</si>
  <si>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</si>
  <si>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</si>
  <si>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</si>
  <si>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</si>
  <si>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</si>
  <si>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Proteasome subunit alpha type-6</t>
  </si>
  <si>
    <t>Protein S100-A10</t>
  </si>
  <si>
    <t>Cell division control protein 42 homolog</t>
  </si>
  <si>
    <t>Isoform 1 of 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</si>
  <si>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</si>
  <si>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</si>
  <si>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</si>
  <si>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</si>
  <si>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</si>
  <si>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Rab-4B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</si>
  <si>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</si>
  <si>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</si>
  <si>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</si>
  <si>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</si>
  <si>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</si>
  <si>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</si>
  <si>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</si>
  <si>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</si>
  <si>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</si>
  <si>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</si>
  <si>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</si>
  <si>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</si>
  <si>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COP9 signalosome complex subunit 2</t>
  </si>
  <si>
    <t>ADP-ribosylation factor 3</t>
  </si>
  <si>
    <t>ATP-binding cassette sub-family E member 1</t>
  </si>
  <si>
    <t>Ras-related protein Rap-1b</t>
  </si>
  <si>
    <t>Isoform 2 of Protein max</t>
  </si>
  <si>
    <t>40S ribosomal protein S3a</t>
  </si>
  <si>
    <t>60S ribosomal protein L26</t>
  </si>
  <si>
    <t>Proteasome activator complex subunit 3</t>
  </si>
  <si>
    <t>Protein mago nashi homolog</t>
  </si>
  <si>
    <t>60S ribosomal protein L27</t>
  </si>
  <si>
    <t>Pterin-4-alpha-carbinolamine dehydratase</t>
  </si>
  <si>
    <t>60S ribosomal protein L37a</t>
  </si>
  <si>
    <t>Transforming protein RhoA</t>
  </si>
  <si>
    <t>N-alpha-acetyltransferase 20</t>
  </si>
  <si>
    <t>10 kDa heat shock protein, mitochondrial</t>
  </si>
  <si>
    <t>Prefoldin subunit 3</t>
  </si>
  <si>
    <t>Syntaxin-binding protein 1</t>
  </si>
  <si>
    <t>Beta-2-microglobulin</t>
  </si>
  <si>
    <t>cAMP-dependent protein kinase inhibitor alpha</t>
  </si>
  <si>
    <t>60S ribosomal protein L37</t>
  </si>
  <si>
    <t>DDB1- and CUL4-associated factor 7</t>
  </si>
  <si>
    <t>WD repeat-containing protein 5</t>
  </si>
  <si>
    <t>AP-1 complex subunit sigma-1A</t>
  </si>
  <si>
    <t>LIM domain transcription factor LMO4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</si>
  <si>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</si>
  <si>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</si>
  <si>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</si>
  <si>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</si>
  <si>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</si>
  <si>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</si>
  <si>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</si>
  <si>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</si>
  <si>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</si>
  <si>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</si>
  <si>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</si>
  <si>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</si>
  <si>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S15a</t>
  </si>
  <si>
    <t>40S ribosomal protein S16</t>
  </si>
  <si>
    <t>Ubiquitin-conjugating enzyme E2 G1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</si>
  <si>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</si>
  <si>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</si>
  <si>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</si>
  <si>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</si>
  <si>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</si>
  <si>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</si>
  <si>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</si>
  <si>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</si>
  <si>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</si>
  <si>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</si>
  <si>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</si>
  <si>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</si>
  <si>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</si>
  <si>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</si>
  <si>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</si>
  <si>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</si>
  <si>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</si>
  <si>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Selenoprotein T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</si>
  <si>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</si>
  <si>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</si>
  <si>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</si>
  <si>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</si>
  <si>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</si>
  <si>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3 of Cellular nucleic acid-binding protein</t>
  </si>
  <si>
    <t>Isoform 4 of Cellular nucleic acid-binding protein</t>
  </si>
  <si>
    <t>Isoform 5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</si>
  <si>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</si>
  <si>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</si>
  <si>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</si>
  <si>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</si>
  <si>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</si>
  <si>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</si>
  <si>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</si>
  <si>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</si>
  <si>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</si>
  <si>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</si>
  <si>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</si>
  <si>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</si>
  <si>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</si>
  <si>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</si>
  <si>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DNA-directed RNA polymerases I, II, and III subunit RPABC5</t>
  </si>
  <si>
    <t>E3 ubiquitin-protein ligase RBX1</t>
  </si>
  <si>
    <t>Guanine nucleotide-binding protein G(I)/G(S)/G(T) subunit beta-2</t>
  </si>
  <si>
    <t>60S ribosomal protein L30</t>
  </si>
  <si>
    <t>60S ribosomal protein L31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</si>
  <si>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</si>
  <si>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</si>
  <si>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</si>
  <si>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</si>
  <si>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</si>
  <si>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</si>
  <si>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</si>
  <si>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</si>
  <si>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</si>
  <si>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</si>
  <si>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</si>
  <si>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Isoform 3 of Guanine nucleotide-binding protein G(s) subunit alpha isoforms short</t>
  </si>
  <si>
    <t>14-3-3 protein zeta/delta</t>
  </si>
  <si>
    <t>Ubiquitin-conjugating enzyme E2 B</t>
  </si>
  <si>
    <t>Serine/threonine-protein phosphatase 2A 55 kDa regulatory subunit B alpha isoform</t>
  </si>
  <si>
    <t>Dynein light chain 1, cytoplasmic</t>
  </si>
  <si>
    <t>Dynein light chain Tctex-type 1</t>
  </si>
  <si>
    <t>60S ribosomal protein L38</t>
  </si>
  <si>
    <t>Guanine nucleotide-binding protein G(I)/G(S)/G(O) subunit gamma-5</t>
  </si>
  <si>
    <t>40S ribosomal protein S21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</si>
  <si>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</si>
  <si>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</si>
  <si>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</si>
  <si>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</si>
  <si>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Serine/threonine-protein phosphatase 2A catalytic subunit alpha isoform</t>
  </si>
  <si>
    <t>Nuclease-sensitive element-binding protein 1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</si>
  <si>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</si>
  <si>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</si>
  <si>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</si>
  <si>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</si>
  <si>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</si>
  <si>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</si>
  <si>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</si>
  <si>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beta</t>
  </si>
  <si>
    <t>Hemoglobin subunit alpha</t>
  </si>
  <si>
    <t>Nucleolar protein 14</t>
  </si>
  <si>
    <t>Immunoglobulin-binding protein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</si>
  <si>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</si>
  <si>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</si>
  <si>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</si>
  <si>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</si>
  <si>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</si>
  <si>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</si>
  <si>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SRSF protein kinase 2</t>
  </si>
  <si>
    <t>T-complex protein 1 subunit beta</t>
  </si>
  <si>
    <t>Isoform 2 of CMP-sialic acid transporter</t>
  </si>
  <si>
    <t>mRNA export factor</t>
  </si>
  <si>
    <t>Isoform 3 of Butyrophilin subfamily 3 member A2</t>
  </si>
  <si>
    <t>Glutathione S-transferase omega-1</t>
  </si>
  <si>
    <t>DNA-dependent protein kinase catalytic subunit</t>
  </si>
  <si>
    <t>Disintegrin and metalloproteinase domain-containing protein 17</t>
  </si>
  <si>
    <t>Isoform 2 of Biogenesis of lysosome-related organelles complex 1 subunit 1</t>
  </si>
  <si>
    <t>Arginase-2, mitochondrial</t>
  </si>
  <si>
    <t>Endonuclease III-like protein 1</t>
  </si>
  <si>
    <t>Isoform 2 of Proline-rich protein 3</t>
  </si>
  <si>
    <t>Interferon-induced 35 kDa protein</t>
  </si>
  <si>
    <t>Metallothionein-1X</t>
  </si>
  <si>
    <t>Nucleobindin-2</t>
  </si>
  <si>
    <t>Dermcidin</t>
  </si>
  <si>
    <t>TATA element modulatory factor</t>
  </si>
  <si>
    <t>28S ribosomal protein S10, mitochondrial</t>
  </si>
  <si>
    <t>28S ribosomal protein S35, mitochondrial</t>
  </si>
  <si>
    <t>28S ribosomal protein S36, mitochondrial</t>
  </si>
  <si>
    <t>Isoform 2 of 28S ribosomal protein S11, mitochondrial</t>
  </si>
  <si>
    <t>28S ribosomal protein S21, mitochondrial</t>
  </si>
  <si>
    <t>28S ribosomal protein S6, mitochondrial</t>
  </si>
  <si>
    <t>28S ribosomal protein S9, mitochondrial</t>
  </si>
  <si>
    <t>SAP domain-containing ribonucleoprotein</t>
  </si>
  <si>
    <t>Serine beta-lactamase-like protein LACTB, mitochondrial</t>
  </si>
  <si>
    <t>Conserved oligomeric Golgi complex subunit 7</t>
  </si>
  <si>
    <t>Thioredoxin-like protein 4A</t>
  </si>
  <si>
    <t>Mothers against decapentaplegic homolog 3</t>
  </si>
  <si>
    <t>ADP-ribosylation factor 5</t>
  </si>
  <si>
    <t>Enhancer of rudimentary homolog</t>
  </si>
  <si>
    <t>Rho-related GTP-binding protein RhoG</t>
  </si>
  <si>
    <t>Isoform 4 of Small EDRK-rich factor 2</t>
  </si>
  <si>
    <t>Matrix-remodeling-associated protein 7</t>
  </si>
  <si>
    <t>Isoform 2 of Matrix-remodeling-associated protein 7</t>
  </si>
  <si>
    <t>Forkhead box protein K1</t>
  </si>
  <si>
    <t>Vacuolar fusion protein CCZ1 homolog</t>
  </si>
  <si>
    <t>Isoform Short of Very low-density lipoprotein receptor</t>
  </si>
  <si>
    <t>E3 ubiquitin-protein ligase XIAP</t>
  </si>
  <si>
    <t>Ephrin-B1</t>
  </si>
  <si>
    <t>Isoform 3 of Protein FAM3A</t>
  </si>
  <si>
    <t>Isoform 2 of RNA-binding protein 10</t>
  </si>
  <si>
    <t>Putative RNA-binding protein 3</t>
  </si>
  <si>
    <t>Isoform 2 of 55 kDa erythrocyte membrane protein</t>
  </si>
  <si>
    <t>Transcription factor A, mitochondrial</t>
  </si>
  <si>
    <t>Phosphatidylinositol transfer protein alpha isoform</t>
  </si>
  <si>
    <t>S-adenosylmethionine synthase isoform type-1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</si>
  <si>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</si>
  <si>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</si>
  <si>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</si>
  <si>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</si>
  <si>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</si>
  <si>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</si>
  <si>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</si>
  <si>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</si>
  <si>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</si>
  <si>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</si>
  <si>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</si>
  <si>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Isoform Short of Heterogeneous nuclear ribonucleoprotein U</t>
  </si>
  <si>
    <t>Splicing factor U2AF 35 kDa subunit</t>
  </si>
  <si>
    <t>Spectrin beta chain, non-erythrocytic 1</t>
  </si>
  <si>
    <t>Isoform 2 of Spectrin beta chain, non-erythrocytic 1</t>
  </si>
  <si>
    <t>Isoform 2 of Nucleolysin TIAR</t>
  </si>
  <si>
    <t>Isoform 2 of Protein SET</t>
  </si>
  <si>
    <t>CD83 antigen</t>
  </si>
  <si>
    <t>Forkhead box protein K2</t>
  </si>
  <si>
    <t>Runt-related transcription factor 1</t>
  </si>
  <si>
    <t>N-acetylgalactosamine kinase</t>
  </si>
  <si>
    <t>AMP deaminase 3</t>
  </si>
  <si>
    <t>AMP deaminase 2</t>
  </si>
  <si>
    <t>Di-N-acetylchitobiase</t>
  </si>
  <si>
    <t>Fatty acid-binding protein, epidermal</t>
  </si>
  <si>
    <t>Isoform 2 of Adenylyl cyclase-associated protein 1</t>
  </si>
  <si>
    <t>Friend leukemia integration 1 transcription factor</t>
  </si>
  <si>
    <t>Keratin, type II cytoskeletal 2 oral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</si>
  <si>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</si>
  <si>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</si>
  <si>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</si>
  <si>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</si>
  <si>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</si>
  <si>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6-phosphofructokinase type C</t>
  </si>
  <si>
    <t>DNA-binding protein SATB1</t>
  </si>
  <si>
    <t>Inositol polyphosphate 5-phosphatase OCRL-1</t>
  </si>
  <si>
    <t>1-phosphatidylinositol 4,5-bisphosphate phosphodiesterase beta-3</t>
  </si>
  <si>
    <t>A-kinase anchor protein 17A</t>
  </si>
  <si>
    <t>Isoform 2 of N-acylethanolamine-hydrolyzing acid amidase</t>
  </si>
  <si>
    <t>Dihydroorotate dehydrogenase (quinone), mitochondrial</t>
  </si>
  <si>
    <t>Isoform 3 of Centromere-associated protein E</t>
  </si>
  <si>
    <t>Kinesin-like protein KIF23</t>
  </si>
  <si>
    <t>Methylmalonate-semialdehyde dehydrogenase [acylating], mitochondrial</t>
  </si>
  <si>
    <t>D-beta-hydroxybutyrate dehydrogenase, mitochondrial</t>
  </si>
  <si>
    <t>Semenogelin-2</t>
  </si>
  <si>
    <t>Amyloid beta A4 precursor protein-binding family A member 1</t>
  </si>
  <si>
    <t>Transcription factor Sp4</t>
  </si>
  <si>
    <t>Isoform 3 of Transcription factor Sp3</t>
  </si>
  <si>
    <t>DNA-binding protein inhibitor ID-3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</si>
  <si>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</si>
  <si>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</si>
  <si>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</si>
  <si>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</si>
  <si>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</si>
  <si>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</si>
  <si>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Isoform Beta-1 of DNA topoisomerase 2-beta</t>
  </si>
  <si>
    <t>Glutathione S-transferase Mu 4</t>
  </si>
  <si>
    <t>Protein ENL</t>
  </si>
  <si>
    <t>Isoform 2 of Histone-lysine N-methyltransferase MLL</t>
  </si>
  <si>
    <t>Urokinase plasminogen activator surface receptor</t>
  </si>
  <si>
    <t>Antigen peptide transporter 2</t>
  </si>
  <si>
    <t>1,4-alpha-glucan-branching enzyme</t>
  </si>
  <si>
    <t>Isoform 5 of Copper-transporting ATPase 1</t>
  </si>
  <si>
    <t>Neurogenic locus notch homolog protein 2</t>
  </si>
  <si>
    <t>Isoform 3 of Transducin-like enhancer protein 3</t>
  </si>
  <si>
    <t>Protein kinase C theta type</t>
  </si>
  <si>
    <t>Isoform 2 of Lactoylglutathione lyase</t>
  </si>
  <si>
    <t>Single-stranded DNA-binding protein, mitochondrial</t>
  </si>
  <si>
    <t>14-3-3 protein eta</t>
  </si>
  <si>
    <t>Proteolipid protein 2</t>
  </si>
  <si>
    <t>Cleavage stimulation factor subunit 1</t>
  </si>
  <si>
    <t>Isoform III of Ubiquitin-protein ligase E3A</t>
  </si>
  <si>
    <t>Isoform 3 of Dynamin-1</t>
  </si>
  <si>
    <t>Isoform 2 of Serine/arginine-rich splicing factor 11</t>
  </si>
  <si>
    <t>Elongation factor 1-alpha 2</t>
  </si>
  <si>
    <t>Protein kinase C delta type</t>
  </si>
  <si>
    <t>Isoform 3 of Folylpolyglutamate synthase, mitochondrial</t>
  </si>
  <si>
    <t>CTD small phosphatase-like protein 2</t>
  </si>
  <si>
    <t>Tyrosine-protein phosphatase non-receptor type 11</t>
  </si>
  <si>
    <t>3-ketodihydrosphingosine reductase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</si>
  <si>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</si>
  <si>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</si>
  <si>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</si>
  <si>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</si>
  <si>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4 of Recombining binding protein suppressor of hairless</t>
  </si>
  <si>
    <t>Amyloid-like protein 2</t>
  </si>
  <si>
    <t>GA-binding protein alpha chain</t>
  </si>
  <si>
    <t>Isoform 2 of GA-binding protein subunit beta-1</t>
  </si>
  <si>
    <t>E3 ubiquitin-protein ligase RING1</t>
  </si>
  <si>
    <t>DNA repair protein RAD51 homolog 1</t>
  </si>
  <si>
    <t>Isoform 5 of Fragile X mental retardation protein 1</t>
  </si>
  <si>
    <t>Peroxiredoxin-1</t>
  </si>
  <si>
    <t>Transcription factor SOX-4</t>
  </si>
  <si>
    <t>Complement component 1 Q subcomponent-binding protein, mitochondrial</t>
  </si>
  <si>
    <t>Cytoskeleton-associated protein 4</t>
  </si>
  <si>
    <t>Early activation antigen CD69</t>
  </si>
  <si>
    <t>KH domain-containing, RNA-binding, signal transduction-associated protein 1</t>
  </si>
  <si>
    <t>Isoform 2 of Induced myeloid leukemia cell differentiation protein Mcl-1</t>
  </si>
  <si>
    <t>Isoform G of Kinesin light chain 1</t>
  </si>
  <si>
    <t>Isoform N of Kinesin light chain 1</t>
  </si>
  <si>
    <t>Rho GTPase-activating protein 1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</si>
  <si>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</si>
  <si>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</si>
  <si>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</si>
  <si>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</si>
  <si>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Sodium-dependent phosphate transporter 2</t>
  </si>
  <si>
    <t>Golgin subfamily A member 3</t>
  </si>
  <si>
    <t>Golgin subfamily A member 2</t>
  </si>
  <si>
    <t>Galectin-3-binding protein</t>
  </si>
  <si>
    <t>Isoform 2 of Peroxisomal bifunctional enzyme</t>
  </si>
  <si>
    <t>Leukocyte surface antigen CD47</t>
  </si>
  <si>
    <t>Peptidyl-prolyl cis-trans isomerase D</t>
  </si>
  <si>
    <t>Tyrosine-protein kinase ITK/TSK</t>
  </si>
  <si>
    <t>FACT complex subunit SSRP1</t>
  </si>
  <si>
    <t>Isoform 2 of Calmodulin-regulated spectrin-associated protein 2</t>
  </si>
  <si>
    <t>Schlafen family member 5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</si>
  <si>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</si>
  <si>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</si>
  <si>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</si>
  <si>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</si>
  <si>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</si>
  <si>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</si>
  <si>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</si>
  <si>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</si>
  <si>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</si>
  <si>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Sodium/bile acid cotransporter 7</t>
  </si>
  <si>
    <t>Elongator complex protein 6</t>
  </si>
  <si>
    <t>Apolipoprotein B receptor</t>
  </si>
  <si>
    <t>Heat shock 70 kDa protein 14</t>
  </si>
  <si>
    <t>Secernin-3</t>
  </si>
  <si>
    <t>Ragulator complex protein LAMTOR4</t>
  </si>
  <si>
    <t>Alpha-1,6-mannosyl-glycoprotein 2-beta-N-acetylglucosaminyltransferase</t>
  </si>
  <si>
    <t>Polypeptide N-acetylgalactosaminyltransferase 2</t>
  </si>
  <si>
    <t>Isoform B of AP-1 complex subunit beta-1</t>
  </si>
  <si>
    <t>Isoform C of AP-1 complex subunit beta-1</t>
  </si>
  <si>
    <t>Cleavage and polyadenylation specificity factor subunit 1</t>
  </si>
  <si>
    <t>Bone marrow stromal antigen 2</t>
  </si>
  <si>
    <t>Mitochondrial-processing peptidase subunit alpha</t>
  </si>
  <si>
    <t>Secernin-1</t>
  </si>
  <si>
    <t>WASH complex subunit strumpellin</t>
  </si>
  <si>
    <t>Nuclear pore complex protein Nup160</t>
  </si>
  <si>
    <t>Sterol regulatory element-binding protein cleavage-activating protein</t>
  </si>
  <si>
    <t>Transducin beta-like protein 3</t>
  </si>
  <si>
    <t>Isoform 2 of General transcription factor 3C polypeptide 1</t>
  </si>
  <si>
    <t>Twinfilin-1</t>
  </si>
  <si>
    <t>Isoform 10 of Aspartyl/asparaginyl beta-hydroxylase</t>
  </si>
  <si>
    <t>Isoform 3 of A-kinase anchor protein 13</t>
  </si>
  <si>
    <t>Isoform B of SWI/SNF-related matrix-associated actin-dependent regulator of chromatin subfamily B member 1</t>
  </si>
  <si>
    <t>Isoform 4 of Nucleosome-remodeling factor subunit BPTF</t>
  </si>
  <si>
    <t>Cell division cycle protein 20 homolog</t>
  </si>
  <si>
    <t>Syntaxin-4</t>
  </si>
  <si>
    <t>Splicing factor, suppressor of white-apricot homolog</t>
  </si>
  <si>
    <t>Splicing factor 3A subunit 3</t>
  </si>
  <si>
    <t>Dihydropyrimidine dehydrogenase [NADP(+)]</t>
  </si>
  <si>
    <t>Tumor suppressor p53-binding protein 1</t>
  </si>
  <si>
    <t>Transmembrane protein 115</t>
  </si>
  <si>
    <t>Interferon-related developmental regulator 2</t>
  </si>
  <si>
    <t>Tripartite motif-containing protein 26</t>
  </si>
  <si>
    <t>Aminoacyl tRNA synthase complex-interacting multifunctional protein 1</t>
  </si>
  <si>
    <t>Interleukin enhancer-binding factor 2</t>
  </si>
  <si>
    <t>Isoform 7 of Interleukin enhancer-binding factor 3</t>
  </si>
  <si>
    <t>Vesicular integral-membrane protein VIP36</t>
  </si>
  <si>
    <t>Isoform 2 of Lymphoid-restricted membrane protein</t>
  </si>
  <si>
    <t>Isoform 3 of TNF receptor-associated factor 2</t>
  </si>
  <si>
    <t>Ankyrin-3</t>
  </si>
  <si>
    <t>Isoform 5 of Disks large homolog 1</t>
  </si>
  <si>
    <t>Transcription initiation factor TFIID subunit 10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</si>
  <si>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</si>
  <si>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</si>
  <si>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</si>
  <si>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</si>
  <si>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Transcriptional repressor NF-X1</t>
  </si>
  <si>
    <t>Cleavage stimulation factor subunit 3</t>
  </si>
  <si>
    <t>Delta(3,5)-Delta(2,4)-dienoyl-CoA isomerase, mitochondrial</t>
  </si>
  <si>
    <t>Protein AF1q</t>
  </si>
  <si>
    <t>Isoform 2 of Rho GTPase-activating protein 5</t>
  </si>
  <si>
    <t>Striatin-3</t>
  </si>
  <si>
    <t>Isoform Alpha of Striatin-3</t>
  </si>
  <si>
    <t>Isoform 3 of Cell division cycle protein 16 homolog</t>
  </si>
  <si>
    <t>Serine/threonine-protein kinase 4</t>
  </si>
  <si>
    <t>Protein flightless-1 homolog</t>
  </si>
  <si>
    <t>Isoform 2 of Protein flightless-1 homolog</t>
  </si>
  <si>
    <t>E3 ubiquitin-protein ligase TRIM32</t>
  </si>
  <si>
    <t>Bifunctional coenzyme A synthase</t>
  </si>
  <si>
    <t>Acetyl-CoA carboxylase 1</t>
  </si>
  <si>
    <t>Lymphocyte cytosolic protein 2</t>
  </si>
  <si>
    <t>Isoform 2 of Ubiquitin carboxyl-terminal hydrolase 4</t>
  </si>
  <si>
    <t>Chromatin assembly factor 1 subunit A</t>
  </si>
  <si>
    <t>Chromatin assembly factor 1 subunit B</t>
  </si>
  <si>
    <t>Protein Red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</si>
  <si>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</si>
  <si>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</si>
  <si>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</si>
  <si>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</si>
  <si>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</si>
  <si>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</si>
  <si>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</si>
  <si>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</si>
  <si>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4 of Dual specificity mitogen-activated protein kinase kinase 5</t>
  </si>
  <si>
    <t>Isoform 2 of Mitogen-activated protein kinase 7</t>
  </si>
  <si>
    <t>Serine/threonine-protein kinase PAK 2</t>
  </si>
  <si>
    <t>Chromobox protein homolog 3</t>
  </si>
  <si>
    <t>Serine/threonine-protein kinase 3</t>
  </si>
  <si>
    <t>Isoform 2 of Syntaxin-5</t>
  </si>
  <si>
    <t>26S proteasome non-ATPase regulatory subunit 2</t>
  </si>
  <si>
    <t>DNA excision repair protein ERCC-8</t>
  </si>
  <si>
    <t>DnaJ homolog subfamily C member 3</t>
  </si>
  <si>
    <t>Isoform 2 of Selenium-binding protein 1</t>
  </si>
  <si>
    <t>Serine/arginine-rich splicing factor 9</t>
  </si>
  <si>
    <t>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</si>
  <si>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</si>
  <si>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</si>
  <si>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</si>
  <si>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</si>
  <si>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</si>
  <si>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</si>
  <si>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Voltage-gated potassium channel subunit beta-2</t>
  </si>
  <si>
    <t>Isoform 2 of Voltage-gated potassium channel subunit beta-2</t>
  </si>
  <si>
    <t>Inactive tyrosine-protein kinase 7</t>
  </si>
  <si>
    <t>S-phase kinase-associated protein 2</t>
  </si>
  <si>
    <t>Isoform 3 of Polyadenylate-binding protein 4</t>
  </si>
  <si>
    <t>Interferon-induced protein with tetratricopeptide repeats 5</t>
  </si>
  <si>
    <t>Isoform 3 of Metastasis-associated protein MTA1</t>
  </si>
  <si>
    <t>Isoform 2 of Receptor-type tyrosine-protein phosphatase S</t>
  </si>
  <si>
    <t>Eukaryotic translation initiation factor 3 subunit I</t>
  </si>
  <si>
    <t>Peptidyl-prolyl cis-trans isomerase-like 2</t>
  </si>
  <si>
    <t>Isoform Gamma-1 of Serine/threonine-protein phosphatase 2A 56 kDa regulatory subunit gamma isoform</t>
  </si>
  <si>
    <t>Isoform Gamma-2 of Serine/threonine-protein phosphatase 2A 56 kDa regulatory subunit gamma isoform</t>
  </si>
  <si>
    <t>Isoform 4 of Serine/threonine-protein phosphatase 2A 56 kDa regulatory subunit gamma isoform</t>
  </si>
  <si>
    <t>C-terminal-binding protein 1</t>
  </si>
  <si>
    <t>Phosducin-like protein</t>
  </si>
  <si>
    <t>Probable methyltransferase TARBP1</t>
  </si>
  <si>
    <t>39S ribosomal protein L49, mitochondrial</t>
  </si>
  <si>
    <t>Isoform 2C of Cytoplasmic dynein 1 intermediate chain 2</t>
  </si>
  <si>
    <t>Origin recognition complex subunit 2</t>
  </si>
  <si>
    <t>Integrin-linked protein kinase</t>
  </si>
  <si>
    <t>Isoform Ik2 of DNA-binding protein Ikaros</t>
  </si>
  <si>
    <t>NAD(P) transhydrogenase, mitochondrial</t>
  </si>
  <si>
    <t>DNA repair protein XRCC4</t>
  </si>
  <si>
    <t>Isoform 2 of DNA repair protein XRCC4</t>
  </si>
  <si>
    <t>Peptidyl-prolyl cis-trans isomerase G</t>
  </si>
  <si>
    <t>Isoform 3 of Treacle protein</t>
  </si>
  <si>
    <t>Isoform B of Protein unc-119 homolog A</t>
  </si>
  <si>
    <t>Zinc transporter ZIP6</t>
  </si>
  <si>
    <t>Splicing factor 3B subunit 2</t>
  </si>
  <si>
    <t>Isoform 4 of Protein OS-9</t>
  </si>
  <si>
    <t>Isoform 3 of Golgin subfamily A member 4</t>
  </si>
  <si>
    <t>28 kDa heat- and acid-stable phosphoprotein</t>
  </si>
  <si>
    <t>Transmembrane emp24 domain-containing protein 1</t>
  </si>
  <si>
    <t>Peptidyl-prolyl cis-trans isomerase FKBP5</t>
  </si>
  <si>
    <t>Rho-associated protein kinase 1</t>
  </si>
  <si>
    <t>Isoform 3 of Nuclear factor of activated T-cells, cytoplasmic 2</t>
  </si>
  <si>
    <t>Isoform Short of DNA topoisomerase 3-alpha</t>
  </si>
  <si>
    <t>Isoform 2 of Phosphatidylinositol-binding clathrin assembly protein</t>
  </si>
  <si>
    <t>Myotubularin</t>
  </si>
  <si>
    <t>Sequestosome-1</t>
  </si>
  <si>
    <t>Mediator of RNA polymerase II transcription subunit 21</t>
  </si>
  <si>
    <t>Isoform 3 of Metaxin-1</t>
  </si>
  <si>
    <t>Tubulin beta-3 chain</t>
  </si>
  <si>
    <t>Peptidyl-prolyl cis-trans isomerase NIMA-interacting 1</t>
  </si>
  <si>
    <t>Isoform 2 of Serine/threonine-protein kinase ATR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</si>
  <si>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</si>
  <si>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</si>
  <si>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</si>
  <si>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</si>
  <si>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NEDD8-activating enzyme E1 regulatory subunit</t>
  </si>
  <si>
    <t>Inositol-tetrakisphosphate 1-kinase</t>
  </si>
  <si>
    <t>SNW domain-containing protein 1</t>
  </si>
  <si>
    <t>Diacylglycerol kinase zeta</t>
  </si>
  <si>
    <t>Ras GTPase-activating-like protein IQGAP2</t>
  </si>
  <si>
    <t>Stromal interaction molecule 1</t>
  </si>
  <si>
    <t>GRB2-related adapter protein</t>
  </si>
  <si>
    <t>Sorting nexin-1</t>
  </si>
  <si>
    <t>Peroxisome assembly factor 2</t>
  </si>
  <si>
    <t>Periodic tryptophan protein 1 homolog</t>
  </si>
  <si>
    <t>Myotubularin-related protein 2</t>
  </si>
  <si>
    <t>Isoform C of Myotubularin-related protein 3</t>
  </si>
  <si>
    <t>Cullin-1</t>
  </si>
  <si>
    <t>Cullin-2</t>
  </si>
  <si>
    <t>Cullin-3</t>
  </si>
  <si>
    <t>Cullin-4A</t>
  </si>
  <si>
    <t>Isoform 2 of Apoptosis-stimulating of p53 protein 2</t>
  </si>
  <si>
    <t>Isoform 1 of Dual specificity tyrosine-phosphorylation-regulated kinase 1A</t>
  </si>
  <si>
    <t>GDP-L-fucose synthase</t>
  </si>
  <si>
    <t>Isoform 1 of Four and a half LIM domains protein 1</t>
  </si>
  <si>
    <t>Four and a half LIM domains protein 3</t>
  </si>
  <si>
    <t>Alkylated DNA repair protein alkB homolog 1</t>
  </si>
  <si>
    <t>Mannosyl-oligosaccharide glucosidase</t>
  </si>
  <si>
    <t>Isoform 2 of CD166 antigen</t>
  </si>
  <si>
    <t>THO complex subunit 5 homolog</t>
  </si>
  <si>
    <t>ADP-ribosylation factor-related protein 1</t>
  </si>
  <si>
    <t>Spectrin alpha chain, non-erythrocytic 1</t>
  </si>
  <si>
    <t>Isoform 2 of Spectrin alpha chain, non-erythrocytic 1</t>
  </si>
  <si>
    <t>Methylglutaconyl-CoA hydratase, mitochondrial</t>
  </si>
  <si>
    <t>Spliceosome RNA helicase DDX39B</t>
  </si>
  <si>
    <t>Bleomycin hydrolase</t>
  </si>
  <si>
    <t>Exosome complex component RRP4</t>
  </si>
  <si>
    <t>Beta-1-syntrophin</t>
  </si>
  <si>
    <t>Tubulin beta-2A chain</t>
  </si>
  <si>
    <t>Bystin</t>
  </si>
  <si>
    <t>Rap guanine nucleotide exchange factor 1</t>
  </si>
  <si>
    <t>Isopentenyl-diphosphate Delta-isomerase 1</t>
  </si>
  <si>
    <t>Protein CASP</t>
  </si>
  <si>
    <t>Core-binding factor subunit beta</t>
  </si>
  <si>
    <t>Isoform 2 of Core-binding factor subunit beta</t>
  </si>
  <si>
    <t>Isoform 2 of Nuclear transcription factor Y subunit gamma</t>
  </si>
  <si>
    <t>Isoform 2 of Cyclin-dependent kinase 13</t>
  </si>
  <si>
    <t>Isoform 3 of Pro-interleukin-16</t>
  </si>
  <si>
    <t>Isoform 2 of Cytoskeleton-associated protein 5</t>
  </si>
  <si>
    <t>Cold-inducible RNA-binding protein</t>
  </si>
  <si>
    <t>Coactosin-like protein</t>
  </si>
  <si>
    <t>Cytochrome c oxidase copper chaperone</t>
  </si>
  <si>
    <t>Ras-related protein Rab-33A</t>
  </si>
  <si>
    <t>Isoform 3 of Heterogeneous nuclear ribonucleoprotein D0</t>
  </si>
  <si>
    <t>Isoform 4 of Heterogeneous nuclear ribonucleoprotein D0</t>
  </si>
  <si>
    <t>Lysosome membrane protein 2</t>
  </si>
  <si>
    <t>Low-density lipoprotein receptor-related protein 8</t>
  </si>
  <si>
    <t>Dihydropyrimidinase</t>
  </si>
  <si>
    <t>Dystroglycan</t>
  </si>
  <si>
    <t>Desmoglein-2</t>
  </si>
  <si>
    <t>Transcription cofactor vestigial-like protein 4</t>
  </si>
  <si>
    <t>Ribosome biogenesis protein BOP1</t>
  </si>
  <si>
    <t>Ubiquitin conjugation factor E4 A</t>
  </si>
  <si>
    <t>Kelch-like ECH-associated protein 1</t>
  </si>
  <si>
    <t>Unhealthy ribosome biogenesis protein 2 homolog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</si>
  <si>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</si>
  <si>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</si>
  <si>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</si>
  <si>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</si>
  <si>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Protein FAM53B</t>
  </si>
  <si>
    <t>Isoform 2 of Ubiquitin-associated protein 2-like</t>
  </si>
  <si>
    <t>Isoform 3 of Ubiquitin-associated protein 2-like</t>
  </si>
  <si>
    <t>Protein scribble homolog</t>
  </si>
  <si>
    <t>ARF GTPase-activating protein GIT2</t>
  </si>
  <si>
    <t>Malectin</t>
  </si>
  <si>
    <t>Tubulin--tyrosine ligase-like protein 12</t>
  </si>
  <si>
    <t>DNA polymerase alpha subunit B</t>
  </si>
  <si>
    <t>Double C2-like domain-containing protein alpha</t>
  </si>
  <si>
    <t>Transcription factor Dp-2</t>
  </si>
  <si>
    <t>Cytoplasmic dynein 1 heavy chain 1</t>
  </si>
  <si>
    <t>Translation initiation factor eIF-2B subunit alpha</t>
  </si>
  <si>
    <t>Eukaryotic initiation factor 4A-II</t>
  </si>
  <si>
    <t>Transcription elongation factor B polypeptide 3</t>
  </si>
  <si>
    <t>P-selectin glycoprotein ligand 1</t>
  </si>
  <si>
    <t>Src substrate cortactin</t>
  </si>
  <si>
    <t>Endonuclease G, mitochondrial</t>
  </si>
  <si>
    <t>Flotillin-2</t>
  </si>
  <si>
    <t>Reticulocalbin-2</t>
  </si>
  <si>
    <t>E3 ubiquitin/ISG15 ligase TRIM25</t>
  </si>
  <si>
    <t>Isoform 2 of Protein-tyrosine kinase 2-beta</t>
  </si>
  <si>
    <t>Isoform 2 of Filamin-C</t>
  </si>
  <si>
    <t>Isoform 2 of Peptidyl-prolyl cis-trans isomerase FKBP8</t>
  </si>
  <si>
    <t>Protein FAM50A</t>
  </si>
  <si>
    <t>Protein FRG1</t>
  </si>
  <si>
    <t>Frizzled-2</t>
  </si>
  <si>
    <t>Guanine nucleotide-binding protein subunit alpha-13</t>
  </si>
  <si>
    <t>Guanidinoacetate N-methyltransferase</t>
  </si>
  <si>
    <t>UDP-glucose 4-epimerase</t>
  </si>
  <si>
    <t>Caprin-1</t>
  </si>
  <si>
    <t>Beclin-1</t>
  </si>
  <si>
    <t>Transcription factor HES-1</t>
  </si>
  <si>
    <t>Isoform 2 of Histone RNA hairpin-binding protein</t>
  </si>
  <si>
    <t>Isoform 2 of RNA-binding protein 39</t>
  </si>
  <si>
    <t>Protocadherin Fat 1</t>
  </si>
  <si>
    <t>Isoform 2 of Hyaluronan-binding protein 2</t>
  </si>
  <si>
    <t>Helicase-like transcription factor</t>
  </si>
  <si>
    <t>Squalene monooxygenase</t>
  </si>
  <si>
    <t>Protein disulfide-isomerase A5</t>
  </si>
  <si>
    <t>Isoform 2 of Phosphoribosyl pyrophosphate synthase-associated protein 1</t>
  </si>
  <si>
    <t>ATP-dependent RNA helicase DHX8</t>
  </si>
  <si>
    <t>DNA replication licensing factor MCM6</t>
  </si>
  <si>
    <t>Ras GTPase-activating protein 3</t>
  </si>
  <si>
    <t>Plastin-1</t>
  </si>
  <si>
    <t>Interferon regulatory factor 3</t>
  </si>
  <si>
    <t>L antigen family member 3</t>
  </si>
  <si>
    <t>Isoform 2 of E3 ubiquitin-protein ligase TRIP12</t>
  </si>
  <si>
    <t>Pumilio homolog 1</t>
  </si>
  <si>
    <t>Mediator of DNA damage checkpoint protein 1</t>
  </si>
  <si>
    <t>Clathrin interactor 1</t>
  </si>
  <si>
    <t>Isoform 3 of Clathrin interactor 1</t>
  </si>
  <si>
    <t>Isoform 5 of Maternal embryonic leucine zipper kinase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</si>
  <si>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</si>
  <si>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</si>
  <si>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</si>
  <si>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</si>
  <si>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Protein RRP5 homolog</t>
  </si>
  <si>
    <t>DNA replication complex GINS protein PSF1</t>
  </si>
  <si>
    <t>Ribosome biogenesis protein BMS1 homolog</t>
  </si>
  <si>
    <t>Ubiquitin carboxyl-terminal hydrolase 10</t>
  </si>
  <si>
    <t>LDLR chaperone MESD</t>
  </si>
  <si>
    <t>Neutral alpha-glucosidase AB</t>
  </si>
  <si>
    <t>Isoform 2 of Neutral alpha-glucosidase AB</t>
  </si>
  <si>
    <t>Raftlin</t>
  </si>
  <si>
    <t>Lamin-B receptor</t>
  </si>
  <si>
    <t>Isoform 2 of Conserved oligomeric Golgi complex subunit 2</t>
  </si>
  <si>
    <t>Protein tyrosine phosphatase receptor type C-associated protein</t>
  </si>
  <si>
    <t>Golgin subfamily B member 1</t>
  </si>
  <si>
    <t>Isoform 2 of Caspase-8</t>
  </si>
  <si>
    <t>N-alpha-acetyltransferase 30</t>
  </si>
  <si>
    <t>Kinesin-like protein KIF22</t>
  </si>
  <si>
    <t>Isoform MEF2DA0 of Myocyte-specific enhancer factor 2D</t>
  </si>
  <si>
    <t>LIM and SH3 domain protein 1</t>
  </si>
  <si>
    <t>Thiomorpholine-carboxylate dehydrogenase</t>
  </si>
  <si>
    <t>Ras-related protein Rab-39A</t>
  </si>
  <si>
    <t>Zinc finger protein 638</t>
  </si>
  <si>
    <t>Importin subunit beta-1</t>
  </si>
  <si>
    <t>Isoform Beta of Nucleolar and coiled-body phosphoprotein 1</t>
  </si>
  <si>
    <t>Isoform 2 of Nuclear mitotic apparatus protein 1</t>
  </si>
  <si>
    <t>Outer dense fiber protein 1</t>
  </si>
  <si>
    <t>Proteasome activator complex subunit 4</t>
  </si>
  <si>
    <t>Isoform 2 of Sarcolemmal membrane-associated protein</t>
  </si>
  <si>
    <t>Isoform 5 of GTPase-activating protein and VPS9 domain-containing protein 1</t>
  </si>
  <si>
    <t>N-alpha-acetyltransferase 25, NatB auxiliary subunit</t>
  </si>
  <si>
    <t>Condensin complex subunit 2</t>
  </si>
  <si>
    <t>PCNA-associated factor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</si>
  <si>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</si>
  <si>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</si>
  <si>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</si>
  <si>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</si>
  <si>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MAD2L1-binding protein</t>
  </si>
  <si>
    <t>Mortality factor 4-like protein 2</t>
  </si>
  <si>
    <t>BRISC complex subunit Abro1</t>
  </si>
  <si>
    <t>Isoform 2 of Septin-2</t>
  </si>
  <si>
    <t>Squamous cell carcinoma antigen recognized by T-cells 3</t>
  </si>
  <si>
    <t>Condensin complex subunit 1</t>
  </si>
  <si>
    <t>Polycomb protein SUZ12</t>
  </si>
  <si>
    <t>Exosome complex component RRP42</t>
  </si>
  <si>
    <t>Arf-GAP with coiled-coil, ANK repeat and PH domain-containing protein 1</t>
  </si>
  <si>
    <t>Isoform 2 of 116 kDa U5 small nuclear ribonucleoprotein component</t>
  </si>
  <si>
    <t>Probable leucine--tRNA ligase, mitochondrial</t>
  </si>
  <si>
    <t>Isoform 2 of R3H domain-containing protein 1</t>
  </si>
  <si>
    <t>Isoform 2 of Sorting nexin-17</t>
  </si>
  <si>
    <t>Rab3 GTPase-activating protein catalytic subunit</t>
  </si>
  <si>
    <t>Isoform 2 of Zinc transporter ZIP14</t>
  </si>
  <si>
    <t>Lysine--tRNA ligase</t>
  </si>
  <si>
    <t>Ribosome biogenesis regulatory protein homolog</t>
  </si>
  <si>
    <t>Rho guanine nucleotide exchange factor 6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</si>
  <si>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</si>
  <si>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</si>
  <si>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</si>
  <si>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</si>
  <si>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</si>
  <si>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</si>
  <si>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</si>
  <si>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Zinc finger protein OZF</t>
  </si>
  <si>
    <t>Early endosome antigen 1</t>
  </si>
  <si>
    <t>Platelet-activating factor acetylhydrolase IB subunit gamma</t>
  </si>
  <si>
    <t>[Pyruvate dehydrogenase [lipoamide]] kinase isozyme 1, mitochondrial</t>
  </si>
  <si>
    <t>[Pyruvate dehydrogenase [lipoamide]] kinase isozyme 2, mitochondrial</t>
  </si>
  <si>
    <t>[Pyruvate dehydrogenase [lipoamide]] kinase isozyme 3, mitochondrial</t>
  </si>
  <si>
    <t>3-beta-hydroxysteroid-Delta(8),Delta(7)-isomerase</t>
  </si>
  <si>
    <t>Phosphomevalonate kinase</t>
  </si>
  <si>
    <t>Plectin</t>
  </si>
  <si>
    <t>Isoform 3 of Plectin</t>
  </si>
  <si>
    <t>Isoform 2 of Pericentriolar material 1 protein</t>
  </si>
  <si>
    <t>Nodal modulator 1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</si>
  <si>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</si>
  <si>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</si>
  <si>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</si>
  <si>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</si>
  <si>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</si>
  <si>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Poliovirus receptor-related protein 1</t>
  </si>
  <si>
    <t>Non-POU domain-containing octamer-binding protein</t>
  </si>
  <si>
    <t>Serine/threonine-protein phosphatase 2A activator</t>
  </si>
  <si>
    <t>Periodic tryptophan protein 2 homolog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</si>
  <si>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</si>
  <si>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</si>
  <si>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</si>
  <si>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</si>
  <si>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</si>
  <si>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</si>
  <si>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</si>
  <si>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</si>
  <si>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</si>
  <si>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Transmembrane emp24 domain-containing protein 2</t>
  </si>
  <si>
    <t>Poly(rC)-binding protein 1</t>
  </si>
  <si>
    <t>Isoform 2 of Poly(rC)-binding protein 2</t>
  </si>
  <si>
    <t>Isoform 3 of Poly(rC)-binding protein 2</t>
  </si>
  <si>
    <t>Transcription elongation factor B polypeptide 2</t>
  </si>
  <si>
    <t>GTP-binding protein Rheb</t>
  </si>
  <si>
    <t>Ubiquitin-protein ligase E3C</t>
  </si>
  <si>
    <t>Mitochondrial import receptor subunit TOM20 homolog</t>
  </si>
  <si>
    <t>Splicing factor 3B subunit 3</t>
  </si>
  <si>
    <t>Isoform 3 of Disks large-associated protein 5</t>
  </si>
  <si>
    <t>Ras suppressor protein 1</t>
  </si>
  <si>
    <t>Calponin-3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</si>
  <si>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</si>
  <si>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</si>
  <si>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</si>
  <si>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</si>
  <si>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</si>
  <si>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</si>
  <si>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</si>
  <si>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Helicase SKI2W</t>
  </si>
  <si>
    <t>Sperm surface protein Sp17</t>
  </si>
  <si>
    <t>Isoform 2 of Surfeit locus protein 1</t>
  </si>
  <si>
    <t>Surfeit locus protein 2</t>
  </si>
  <si>
    <t>Transcription initiation factor TFIID subunit 5</t>
  </si>
  <si>
    <t>Transcription initiation factor TFIID subunit 11</t>
  </si>
  <si>
    <t>Transcription initiation factor TFIID subunit 7</t>
  </si>
  <si>
    <t>Telomeric repeat-binding factor 2</t>
  </si>
  <si>
    <t>Isoform 4 of Microtubule-associated protein RP/EB family member 2</t>
  </si>
  <si>
    <t>Isoform 2 of Transcription elongation factor A protein 2</t>
  </si>
  <si>
    <t>Nuclear receptor coactivator 2</t>
  </si>
  <si>
    <t>Na(+)/H(+) exchange regulatory cofactor NHE-RF2</t>
  </si>
  <si>
    <t>Tumor necrosis factor receptor type 1-associated DEATH domain protein</t>
  </si>
  <si>
    <t>Isoform 5 of Splicing factor 1</t>
  </si>
  <si>
    <t>Isoform 6 of Splicing factor 1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</si>
  <si>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</si>
  <si>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</si>
  <si>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</si>
  <si>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</si>
  <si>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</si>
  <si>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</si>
  <si>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Isoform 3 of Probable JmjC domain-containing histone demethylation protein 2C</t>
  </si>
  <si>
    <t>Microtubule-associated protein RP/EB family member 1</t>
  </si>
  <si>
    <t>TSC22 domain family protein 1</t>
  </si>
  <si>
    <t>ELAV-like protein 1</t>
  </si>
  <si>
    <t>Sterol-4-alpha-carboxylate 3-dehydrogenase, decarboxylating</t>
  </si>
  <si>
    <t>Ovarian cancer G-protein coupled receptor 1</t>
  </si>
  <si>
    <t>Isoform 3B of Myosin light chain kinase, smooth muscle</t>
  </si>
  <si>
    <t>Isoform 2 of TGF-beta-activated kinase 1 and MAP3K7-binding protein 1</t>
  </si>
  <si>
    <t>Probable E3 ubiquitin-protein ligase HERC1</t>
  </si>
  <si>
    <t>Neutral amino acid transporter B(0)</t>
  </si>
  <si>
    <t>Mitogen-activated protein kinase 11</t>
  </si>
  <si>
    <t>Ras-related protein Rab-30</t>
  </si>
  <si>
    <t>Myeloid leukemia factor 2</t>
  </si>
  <si>
    <t>Isoform 2 of Metallophosphoesterase MPPED2</t>
  </si>
  <si>
    <t>Mitochondrial import receptor subunit TOM34</t>
  </si>
  <si>
    <t>Isoform Short of Mothers against decapentaplegic homolog 2</t>
  </si>
  <si>
    <t>Methylsterol monooxygenase 1</t>
  </si>
  <si>
    <t>Tubulin-specific chaperone C</t>
  </si>
  <si>
    <t>Ubiquitin-conjugating enzyme E2 variant 2</t>
  </si>
  <si>
    <t>Isoform 2 of Serine/threonine-protein kinase STK11</t>
  </si>
  <si>
    <t>Syntaxin-binding protein 2</t>
  </si>
  <si>
    <t>Vesicle-associated membrane protein 3</t>
  </si>
  <si>
    <t>Isoform USF2A-delta-H of Upstream stimulatory factor 2</t>
  </si>
  <si>
    <t>V-type proton ATPase subunit S1</t>
  </si>
  <si>
    <t>Vacuolar protein sorting-associated protein 72 homolog</t>
  </si>
  <si>
    <t>Ras-related protein Rab-11B</t>
  </si>
  <si>
    <t>Histone-lysine N-methyltransferase EZH2</t>
  </si>
  <si>
    <t>Zyxin</t>
  </si>
  <si>
    <t>Isoform 2 of Zinc finger protein 124</t>
  </si>
  <si>
    <t>Electron transfer flavoprotein-ubiquinone oxidoreductase, mitochondrial</t>
  </si>
  <si>
    <t>Beta-synuclein</t>
  </si>
  <si>
    <t>Septin-7</t>
  </si>
  <si>
    <t>Isoform 2 of 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</si>
  <si>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</si>
  <si>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</si>
  <si>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</si>
  <si>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</si>
  <si>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26S proteasome non-ATPase regulatory subunit 5</t>
  </si>
  <si>
    <t>Serine/threonine-protein kinase N1</t>
  </si>
  <si>
    <t>Isoform 2 of Serine/threonine-protein kinase N2</t>
  </si>
  <si>
    <t>Isoform TAFII15 of Transcription initiation factor TFIID subunit 12</t>
  </si>
  <si>
    <t>Cryptochrome-1</t>
  </si>
  <si>
    <t>DNA damage-binding protein 1</t>
  </si>
  <si>
    <t>Mitogen-activated protein kinase 14</t>
  </si>
  <si>
    <t>Hsp90 co-chaperone Cdc37</t>
  </si>
  <si>
    <t>Dihydropyrimidinase-related protein 2</t>
  </si>
  <si>
    <t>Calcium/calmodulin-dependent protein kinase type IV</t>
  </si>
  <si>
    <t>Histone-binding protein RBBP7</t>
  </si>
  <si>
    <t>Isoform 2 of Histone-binding protein RBBP7</t>
  </si>
  <si>
    <t>Isoform 5 of Zinc finger protein 74</t>
  </si>
  <si>
    <t>Transcription initiation factor TFIID subunit 9</t>
  </si>
  <si>
    <t>Isoform 4 of Occludin</t>
  </si>
  <si>
    <t>Male-enhanced antigen 1</t>
  </si>
  <si>
    <t>Drebrin</t>
  </si>
  <si>
    <t>MAP kinase-activated protein kinase 3</t>
  </si>
  <si>
    <t>Isoform Short of Nuclear respiratory factor 1</t>
  </si>
  <si>
    <t>Fascin</t>
  </si>
  <si>
    <t>Isoform 2 of Gamma-interferon-inducible protein 16</t>
  </si>
  <si>
    <t>Isoform 2 of Zinc finger and SCAN domain-containing protein 26</t>
  </si>
  <si>
    <t>Alpha-mannosidase 2</t>
  </si>
  <si>
    <t>NADH dehydrogenase [ubiquinone] 1 alpha subcomplex subunit 5</t>
  </si>
  <si>
    <t>Putative ATP-dependent Clp protease proteolytic subunit, mitochondrial</t>
  </si>
  <si>
    <t>Thiosulfate sulfurtransferase</t>
  </si>
  <si>
    <t>Ubiquitin-conjugating enzyme E2 S</t>
  </si>
  <si>
    <t>Hydroxyacylglutathione hydrolase, mitochondrial</t>
  </si>
  <si>
    <t>Histone H2B type 2-E</t>
  </si>
  <si>
    <t>NADH dehydrogenase [ubiquinone] 1 alpha subcomplex subunit 9, mitochondrial</t>
  </si>
  <si>
    <t>Phosphoenolpyruvate carboxykinase [GTP], mitochondrial</t>
  </si>
  <si>
    <t>Deoxyguanosine kinase, mitochondrial</t>
  </si>
  <si>
    <t>V-type proton ATPase subunit F</t>
  </si>
  <si>
    <t>Isoform 2 of Mitochondrial inner membrane protein</t>
  </si>
  <si>
    <t>Isoform 2 of Putative deoxyribonuclease TATDN3</t>
  </si>
  <si>
    <t>Protein FAM98C</t>
  </si>
  <si>
    <t>Proto-oncogene c-Rel</t>
  </si>
  <si>
    <t>Lysine-rich nucleolar protein 1</t>
  </si>
  <si>
    <t>Heterogeneous nuclear ribonucleoprotein U-like protein 2</t>
  </si>
  <si>
    <t>Isoform 1 of Centrosome and spindle pole-associated protein 1</t>
  </si>
  <si>
    <t>Protein FAM110C</t>
  </si>
  <si>
    <t>Isoform 2 of Inverted formin-2</t>
  </si>
  <si>
    <t>HLA class I histocompatibility antigen, B-82 alpha chain</t>
  </si>
  <si>
    <t>HLA class I histocompatibility antigen, B-59 alpha chain</t>
  </si>
  <si>
    <t>HLA class I histocompatibility antigen, Cw-6 alpha chain</t>
  </si>
  <si>
    <t>Sister chromatid cohesion protein PDS5 homolog A</t>
  </si>
  <si>
    <t>Protein CLEC16A</t>
  </si>
  <si>
    <t>Isoform 2 of Methenyltetrahydrofolate synthase domain-containing protein</t>
  </si>
  <si>
    <t>Isoform 4 of Methenyltetrahydrofolate synthase domain-containing protein</t>
  </si>
  <si>
    <t>Isoform 2 of AP2-associated protein kinase 1</t>
  </si>
  <si>
    <t>WASH complex subunit 7</t>
  </si>
  <si>
    <t>DNA excision repair protein ERCC-6-like</t>
  </si>
  <si>
    <t>Pre-rRNA-processing protein TSR1 homolog</t>
  </si>
  <si>
    <t>Vimentin-type intermediate filament-associated coiled-coil protein</t>
  </si>
  <si>
    <t>Peroxisomal leader peptide-processing protease</t>
  </si>
  <si>
    <t>GDP-Man:Man(3)GlcNAc(2)-PP-Dol alpha-1,2-mannosyltransferase</t>
  </si>
  <si>
    <t>Glutamine-rich protein 1</t>
  </si>
  <si>
    <t>RELA protein</t>
  </si>
  <si>
    <t>WD40 repeat-containing protein SMU1</t>
  </si>
  <si>
    <t>CWF19-like protein 2</t>
  </si>
  <si>
    <t>AP-5 complex subunit beta-1</t>
  </si>
  <si>
    <t>Syntaxin 1B alternative isoform deltaTM</t>
  </si>
  <si>
    <t>Isoform 2 of Leucine-rich repeat flightless-interacting protein 1</t>
  </si>
  <si>
    <t>Isoform 3 of Leucine-rich repeat flightless-interacting protein 1</t>
  </si>
  <si>
    <t>Isoform 4 of Leucine-rich repeat flightless-interacting protein 1</t>
  </si>
  <si>
    <t>DNA polymerase delta subunit 3</t>
  </si>
  <si>
    <t>Prolyl 3-hydroxylase 1</t>
  </si>
  <si>
    <t>tRNA (guanine(37)-N1)-methyltransferase</t>
  </si>
  <si>
    <t>DNA-directed RNA polymerase I subunit RPA43</t>
  </si>
  <si>
    <t>Glucose-fructose oxidoreductase domain-containing protein 2</t>
  </si>
  <si>
    <t>Isoform 4 of Erythroid differentiation-related factor 1</t>
  </si>
  <si>
    <t>Isoform 4 of MAP7 domain-containing protein 1</t>
  </si>
  <si>
    <t>UDP-N-acetylhexosamine pyrophosphorylase-like protein 1</t>
  </si>
  <si>
    <t>UPF0538 protein C2orf76</t>
  </si>
  <si>
    <t>Alpha-ketoglutarate-dependent dioxygenase alkB homolog 6</t>
  </si>
  <si>
    <t>Manganese-dependent ADP-ribose/CDP-alcohol diphosphatase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</si>
  <si>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</si>
  <si>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</si>
  <si>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</si>
  <si>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</si>
  <si>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Inactive hydroxysteroid dehydrogenase-like protein 1</t>
  </si>
  <si>
    <t>ADP-ribosylation factor-like protein 13B</t>
  </si>
  <si>
    <t>N-acetylglucosamine-1-phosphotransferase subunits alpha/beta</t>
  </si>
  <si>
    <t>Isoform 2 of Girdin</t>
  </si>
  <si>
    <t>Rab-like protein 6</t>
  </si>
  <si>
    <t>Vacuolar ATPase assembly integral membrane protein VMA21</t>
  </si>
  <si>
    <t>Tubulin beta-8 chain</t>
  </si>
  <si>
    <t>Membrane protein FAM174B</t>
  </si>
  <si>
    <t>Mitochondrial import inner membrane translocase subunit TIM50</t>
  </si>
  <si>
    <t>Galectin-related protein</t>
  </si>
  <si>
    <t>UPF0489 protein C5orf22</t>
  </si>
  <si>
    <t>Cytochrome c oxidase assembly protein COX19</t>
  </si>
  <si>
    <t>Vacuolar protein sorting-associated protein 26B</t>
  </si>
  <si>
    <t>Protein CCSMST1</t>
  </si>
  <si>
    <t>La-related protein 7</t>
  </si>
  <si>
    <t>NAD kinase domain-containing protein 1, mitochondrial</t>
  </si>
  <si>
    <t>COL14A1 protein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</si>
  <si>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</si>
  <si>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</si>
  <si>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</si>
  <si>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</si>
  <si>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</si>
  <si>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Isoform 3 of 1-phosphatidylinositol 4,5-bisphosphate phosphodiesterase eta-1</t>
  </si>
  <si>
    <t>Dynein light chain 1, axonemal</t>
  </si>
  <si>
    <t>Isoform 3 of AT-rich interactive domain-containing protein 4B</t>
  </si>
  <si>
    <t>Nucleoside diphosphate kinase, mitochondrial</t>
  </si>
  <si>
    <t>GRIP1-associated protein 1</t>
  </si>
  <si>
    <t>B-cell CLL/lymphoma 7 protein family member A</t>
  </si>
  <si>
    <t>Isoform 2 of B-cell CLL/lymphoma 7 protein family member A</t>
  </si>
  <si>
    <t>Peroxisomal 2,4-dienoyl-CoA reductase</t>
  </si>
  <si>
    <t>Isoform 2 of Membralin</t>
  </si>
  <si>
    <t>Isoform 2 of PAB-dependent poly(A)-specific ribonuclease subunit 2</t>
  </si>
  <si>
    <t>Uncharacterized protein C4orf46</t>
  </si>
  <si>
    <t>Protein lin-52 homolog</t>
  </si>
  <si>
    <t>Isoform 2 of Protein FAM98B</t>
  </si>
  <si>
    <t>Isoform 2 of Programmed cell death protein 4</t>
  </si>
  <si>
    <t>CREB-regulated transcription coactivator 2</t>
  </si>
  <si>
    <t>Centrosomal protein of 55 kDa</t>
  </si>
  <si>
    <t>Uncharacterized protein C17orf85</t>
  </si>
  <si>
    <t>Quinone oxidoreductase PIG3</t>
  </si>
  <si>
    <t>Estradiol 17-beta-dehydrogenase 12</t>
  </si>
  <si>
    <t>Isoform 2 of Nucleoporin GLE1</t>
  </si>
  <si>
    <t>Acylglycerol kinase, mitochondrial</t>
  </si>
  <si>
    <t>Histone-lysine N-methyltransferase SETMAR</t>
  </si>
  <si>
    <t>Akirin-2</t>
  </si>
  <si>
    <t>Beta-lactamase-like protein 2</t>
  </si>
  <si>
    <t>Pyrroline-5-carboxylate reductase 3</t>
  </si>
  <si>
    <t>Borealin</t>
  </si>
  <si>
    <t>Rho GTPase-activating protein 15</t>
  </si>
  <si>
    <t>BolA-like protein 3</t>
  </si>
  <si>
    <t>HCLS1-binding protein 3</t>
  </si>
  <si>
    <t>Isoform 3 of Cytochrome b reductase 1</t>
  </si>
  <si>
    <t>Isoform 2 of Shugoshin-like 2</t>
  </si>
  <si>
    <t>Beta-actin-like protein 2</t>
  </si>
  <si>
    <t>Isoform 2 of Mpv17-like protein 2</t>
  </si>
  <si>
    <t>OCIA domain-containing protein 2</t>
  </si>
  <si>
    <t>Vesicle transport protein SFT2C</t>
  </si>
  <si>
    <t>KHDC3-like protein</t>
  </si>
  <si>
    <t>PAB-dependent poly(A)-specific ribonuclease subunit 3</t>
  </si>
  <si>
    <t>Putative heat shock protein HSP 90-beta 2</t>
  </si>
  <si>
    <t>Putative heat shock protein HSP 90-alpha A4</t>
  </si>
  <si>
    <t>Putative 60S ribosomal protein L39-like 5</t>
  </si>
  <si>
    <t>Transmembrane protein 97</t>
  </si>
  <si>
    <t>Oxidoreductase-like domain-containing protein 1</t>
  </si>
  <si>
    <t>UPF0692 protein C19orf54</t>
  </si>
  <si>
    <t>DBIRD complex subunit ZNF326</t>
  </si>
  <si>
    <t>Ankyrin repeat domain-containing protein 20B</t>
  </si>
  <si>
    <t>Ribonuclease ZC3H12A</t>
  </si>
  <si>
    <t>PDZ domain-containing protein 11</t>
  </si>
  <si>
    <t>UMP-CMP kinase 2, mitochondrial</t>
  </si>
  <si>
    <t>DnaJ homolog subfamily C member 21</t>
  </si>
  <si>
    <t>Isoform 5 of Shugoshin-like 1</t>
  </si>
  <si>
    <t>Isoform 2 of N-acetyltransferase ESCO1</t>
  </si>
  <si>
    <t>Isoform 3 of Probable E3 ubiquitin-protein ligase HERC4</t>
  </si>
  <si>
    <t>Urotensin-2</t>
  </si>
  <si>
    <t>cAMP-dependent protein kinase inhibitor gamma</t>
  </si>
  <si>
    <t>Protein CXorf40B</t>
  </si>
  <si>
    <t>Isoform 2 of Meckelin</t>
  </si>
  <si>
    <t>Rab-like protein 3</t>
  </si>
  <si>
    <t>2-methoxy-6-polyprenyl-1,4-benzoquinol methylase, mitochondrial</t>
  </si>
  <si>
    <t>Tubulin beta chain</t>
  </si>
  <si>
    <t>Isoform 2 of Nodal modulator 2</t>
  </si>
  <si>
    <t>Isoform 2 of Uncharacterized protein C3orf38</t>
  </si>
  <si>
    <t>Methyltransferase-like protein 10</t>
  </si>
  <si>
    <t>Rho-related GTP-binding protein RhoC (Fragment)</t>
  </si>
  <si>
    <t>Melanoma inhibitory activity protein 3</t>
  </si>
  <si>
    <t>Serine/arginine-rich-splicing factor 10</t>
  </si>
  <si>
    <t>Presequence protease, mitochondrial</t>
  </si>
  <si>
    <t>Isoform 2 of NHL repeat-containing protein 3</t>
  </si>
  <si>
    <t>Proteasome assembly chaperone 4</t>
  </si>
  <si>
    <t>Isoform 2 of WD repeat-containing protein 44</t>
  </si>
  <si>
    <t>High mobility group nucleosome-binding domain-containing protein 5 (Fragment)</t>
  </si>
  <si>
    <t>FYVE, RhoGEF and PH domain-containing protein 3</t>
  </si>
  <si>
    <t>Protein PRRC2B</t>
  </si>
  <si>
    <t>Isoform 2 of Tight junction-associated protein 1</t>
  </si>
  <si>
    <t>Isoform 2 of 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</si>
  <si>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</si>
  <si>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</si>
  <si>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</si>
  <si>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Torsin-2A</t>
  </si>
  <si>
    <t>P antigen family member 5</t>
  </si>
  <si>
    <t>Testis-expressed sequence 30 protein</t>
  </si>
  <si>
    <t>Discs, large homolog 3 (Neuroendocrine-dlg, Drosophila), isoform CRA_b</t>
  </si>
  <si>
    <t>Isoform 3 of PCI domain-containing protein 2</t>
  </si>
  <si>
    <t>Leukotriene B4 12-hydroxydehydrogenase, isoform CRA_d</t>
  </si>
  <si>
    <t>Intracellular hyaluronan-binding protein 4</t>
  </si>
  <si>
    <t>Engulfment and cell motility protein 2</t>
  </si>
  <si>
    <t>Solute carrier family 35 member C2</t>
  </si>
  <si>
    <t>Double-stranded RNA-binding protein Staufen homolog 1</t>
  </si>
  <si>
    <t>Transmembrane protein 230 (Fragment)</t>
  </si>
  <si>
    <t>Mediator of RNA polymerase II transcription subunit 23</t>
  </si>
  <si>
    <t>Crooked neck-like protein 1</t>
  </si>
  <si>
    <t>Sterile alpha motif domain-containing protein 9</t>
  </si>
  <si>
    <t>Isoform 5 of Cytospin-B</t>
  </si>
  <si>
    <t>Isoform 3 of Serine/threonine-protein phosphatase 4 regulatory subunit 3B</t>
  </si>
  <si>
    <t>WD repeat domain phosphoinositide-interacting protein 3</t>
  </si>
  <si>
    <t>Tubulin-specific chaperone cofactor E-like protein</t>
  </si>
  <si>
    <t>Deoxynucleotidyltransferase terminal-interacting protein 2</t>
  </si>
  <si>
    <t>Peroxisomal biogenesis factor 19 (Fragment)</t>
  </si>
  <si>
    <t>ATP synthase subunit b, mitochondrial</t>
  </si>
  <si>
    <t>Bcl-2-like protein 1 (Fragment)</t>
  </si>
  <si>
    <t>Isoform 2 of DDB1- and CUL4-associated factor 10</t>
  </si>
  <si>
    <t>Dolichol-phosphate mannosyltransferase</t>
  </si>
  <si>
    <t>Proteasome inhibitor PI31 subunit</t>
  </si>
  <si>
    <t>Isoform 4 of Rab GTPase-activating protein 1-like</t>
  </si>
  <si>
    <t>Mitochondrial pyruvate carrier 2 (Fragment)</t>
  </si>
  <si>
    <t>Cytochrome c oxidase protein 20 homolog</t>
  </si>
  <si>
    <t>HLA class I histocompatibility antigen, alpha chain G</t>
  </si>
  <si>
    <t>Exosome complex component MTR3</t>
  </si>
  <si>
    <t>RNA-binding protein 48</t>
  </si>
  <si>
    <t>Protein phosphatase 1L</t>
  </si>
  <si>
    <t>Isoform 5 of Alpha-tubulin N-acetyltransferase</t>
  </si>
  <si>
    <t>Complement receptor type 2</t>
  </si>
  <si>
    <t>Hippocampus abundant transcript-like protein 1</t>
  </si>
  <si>
    <t>Nucleoporin NUP188 homolog</t>
  </si>
  <si>
    <t>Glycoprotein endo-alpha-1,2-mannosidase</t>
  </si>
  <si>
    <t>HLA class I histocompatibility antigen, A-68 alpha chain</t>
  </si>
  <si>
    <t>Casein kinase 2, beta polypeptide, isoform CRA_d</t>
  </si>
  <si>
    <t>Heterochromatin protein 1-binding protein 3</t>
  </si>
  <si>
    <t>Valine--tRNA ligase, mitochondrial</t>
  </si>
  <si>
    <t>Allograft inflammatory factor 1 (Fragment)</t>
  </si>
  <si>
    <t>Dynamin-binding protein</t>
  </si>
  <si>
    <t>Centrosomal protein of 170 kDa</t>
  </si>
  <si>
    <t>Low density lipoprotein receptor adapter protein 1</t>
  </si>
  <si>
    <t>Calcium/calmodulin-dependent protein kinase (CaM kinase) II gamma, isoform CRA_n</t>
  </si>
  <si>
    <t>Isoform 3 of Protein odr-4 homolog</t>
  </si>
  <si>
    <t>snRNA-activating protein complex subunit 4</t>
  </si>
  <si>
    <t>DNL-type zinc finger protein</t>
  </si>
  <si>
    <t>Ceramide synthase 2 (Fragment)</t>
  </si>
  <si>
    <t>Tudor and KH domain containing, isoform CRA_a</t>
  </si>
  <si>
    <t>Tumor protein p63-regulated gene 1-like protein</t>
  </si>
  <si>
    <t>Isoform 3 of Formin-binding protein 1-like</t>
  </si>
  <si>
    <t>Dihydropyrimidinase-related protein 4</t>
  </si>
  <si>
    <t>Slit homolog 1 protein</t>
  </si>
  <si>
    <t>Chromosome 9 open reading frame 156, isoform CRA_b</t>
  </si>
  <si>
    <t>SH3 domain-binding glutamic acid-rich-like protein 3</t>
  </si>
  <si>
    <t>Probable arginine--tRNA ligase, mitochondrial</t>
  </si>
  <si>
    <t>Pygopus homolog 2</t>
  </si>
  <si>
    <t>FK506-binding protein 15</t>
  </si>
  <si>
    <t>Probable ATP-dependent RNA helicase DDX59</t>
  </si>
  <si>
    <t>Zinc finger CCCH domain-containing protein 13</t>
  </si>
  <si>
    <t>Probable palmitoyltransferase ZDHHC12 (Fragment)</t>
  </si>
  <si>
    <t>Uncharacterized protein C9orf114</t>
  </si>
  <si>
    <t>UPF0668 protein C10orf76</t>
  </si>
  <si>
    <t>Isoform 3 of Decaprenyl-diphosphate synthase subunit 1</t>
  </si>
  <si>
    <t>Neurobeachin</t>
  </si>
  <si>
    <t>G patch domain-containing protein 4</t>
  </si>
  <si>
    <t>Isoform 2 of Ligand-dependent nuclear receptor-interacting factor 1</t>
  </si>
  <si>
    <t>Zinc finger protein 438</t>
  </si>
  <si>
    <t>Putative transferase CAF17, mitochondrial</t>
  </si>
  <si>
    <t>E3 ubiquitin-protein ligase HECTD3</t>
  </si>
  <si>
    <t>Isoform 7 of Protrudin</t>
  </si>
  <si>
    <t>Isoform 3 of E3 ubiquitin-protein ligase UBR4</t>
  </si>
  <si>
    <t>Acyl-Coenzyme A dehydrogenase, C-4 to C-12 straight chain, isoform CRA_a</t>
  </si>
  <si>
    <t>Protein FAM219A (Fragment)</t>
  </si>
  <si>
    <t>Isoform 3 of Syntaxin-binding protein 5</t>
  </si>
  <si>
    <t>Calmodulin-regulated spectrin-associated protein 1</t>
  </si>
  <si>
    <t>MCM10 minichromosome maintenance deficient 10 (S. cerevisiae), isoform CRA_b</t>
  </si>
  <si>
    <t>Ubiquitin-associated protein 2</t>
  </si>
  <si>
    <t>Probable gluconokinase</t>
  </si>
  <si>
    <t>Actin-binding LIM protein 1</t>
  </si>
  <si>
    <t>UPF0553 protein C9orf64</t>
  </si>
  <si>
    <t>Chaperone activity of bc1 complex-like, mitochondrial</t>
  </si>
  <si>
    <t>Protein FAM69A</t>
  </si>
  <si>
    <t>RAB6-interacting golgin</t>
  </si>
  <si>
    <t>Isoform 2 of Zinc finger protein 618</t>
  </si>
  <si>
    <t>Isoform 2 of Acyl-CoA-binding domain-containing protein 5</t>
  </si>
  <si>
    <t>Protein COX6A1P2</t>
  </si>
  <si>
    <t>Isoform 3 of RNA-binding protein 26</t>
  </si>
  <si>
    <t>Mediator complex subunit 22</t>
  </si>
  <si>
    <t>Surfeit 4</t>
  </si>
  <si>
    <t>Mediator of RNA polymerase II transcription subunit 4 (Fragment)</t>
  </si>
  <si>
    <t>Isoform 2 of Protein FAM102A</t>
  </si>
  <si>
    <t>Glutathione S-transferase omega-1 (Fragment)</t>
  </si>
  <si>
    <t>Isoform 3 of Integrator complex subunit 11</t>
  </si>
  <si>
    <t>Glycolipid transfer protein domain-containing protein 1</t>
  </si>
  <si>
    <t>Terminal uridylyltransferase 4</t>
  </si>
  <si>
    <t>Ribonuclease H2 subunit B</t>
  </si>
  <si>
    <t>Transcription initiation factor TFIID subunit 4 (Fragment)</t>
  </si>
  <si>
    <t>Semaphorin-4A</t>
  </si>
  <si>
    <t>Ribosyldihydronicotinamide dehydrogenase [quinone]</t>
  </si>
  <si>
    <t>DnaJ (Hsp40) homolog, subfamily C, member 16, isoform CRA_a</t>
  </si>
  <si>
    <t>Protein DDI1 homolog 2</t>
  </si>
  <si>
    <t>NADH dehydrogenase [ubiquinone] 1 alpha subcomplex assembly factor 5</t>
  </si>
  <si>
    <t>Sodium-dependent glucose transporter 1</t>
  </si>
  <si>
    <t>5-nucleotidase domain-containing protein 1</t>
  </si>
  <si>
    <t>Isoform 3 of Protein PRR14L</t>
  </si>
  <si>
    <t>Probable ATP-dependent RNA helicase DHX35</t>
  </si>
  <si>
    <t>Thiamine transporter 1</t>
  </si>
  <si>
    <t>Vesicle transport protein SFT2B</t>
  </si>
  <si>
    <t>Rootletin</t>
  </si>
  <si>
    <t>RNA-binding E3 ubiquitin-protein ligase MEX3C</t>
  </si>
  <si>
    <t>Complex III assembly factor LYRM7</t>
  </si>
  <si>
    <t>Isoform 2 of Telomere-associated protein RIF1</t>
  </si>
  <si>
    <t>Isoform 4 of Vacuolar protein sorting-associated protein 53 homolog</t>
  </si>
  <si>
    <t>Striatin-interacting protein 1</t>
  </si>
  <si>
    <t>Alpha/beta hydrolase domain-containing protein 17B</t>
  </si>
  <si>
    <t>Isoform 2 of G kinase-anchoring protein 1</t>
  </si>
  <si>
    <t>Centrosome-associated protein 350</t>
  </si>
  <si>
    <t>Regulation of nuclear pre-mRNA domain-containing protein 2</t>
  </si>
  <si>
    <t>Growth hormone-inducible transmembrane protein</t>
  </si>
  <si>
    <t>Pre-mRNA-splicing factor 38B</t>
  </si>
  <si>
    <t>E3 ubiquitin-protein ligase BRE1A</t>
  </si>
  <si>
    <t>Tropomyosin 3, isoform CRA_b</t>
  </si>
  <si>
    <t>VWFA and cache domain-containing protein 1</t>
  </si>
  <si>
    <t>Uncharacterized protein C1orf53</t>
  </si>
  <si>
    <t>UPF0369 protein C6orf57</t>
  </si>
  <si>
    <t>Threonylcarbamoyladenosine tRNA methylthiotransferase</t>
  </si>
  <si>
    <t>Zinc finger protein 691</t>
  </si>
  <si>
    <t>Microsomal glutathione S-transferase 3</t>
  </si>
  <si>
    <t>Pleckstrin homology domain-containing family M member 2</t>
  </si>
  <si>
    <t>Histone H2A deubiquitinase MYSM1</t>
  </si>
  <si>
    <t>Isoform 2 of Ubiquitin thioesterase OTU1</t>
  </si>
  <si>
    <t>Solute carrier family 2, facilitated glucose transporter member 8</t>
  </si>
  <si>
    <t>BRO1 domain-containing protein BROX</t>
  </si>
  <si>
    <t>Focadhesin</t>
  </si>
  <si>
    <t>Transcription initiation factor TFIID subunit 3</t>
  </si>
  <si>
    <t>Sorting nexin-30</t>
  </si>
  <si>
    <t>Protein FAM46C</t>
  </si>
  <si>
    <t>Round spermatid basic protein 1</t>
  </si>
  <si>
    <t>Lysophospholipase-like protein 1</t>
  </si>
  <si>
    <t>Rho guanine nucleotide exchange factor 2</t>
  </si>
  <si>
    <t>Low-density lipoprotein receptor-related protein 11</t>
  </si>
  <si>
    <t>T-lymphocyte surface antigen Ly-9</t>
  </si>
  <si>
    <t>Isoform 6 of Terminal uridylyltransferase 7</t>
  </si>
  <si>
    <t>N-alpha-acetyltransferase 35, NatC auxiliary subunit</t>
  </si>
  <si>
    <t>Isoform 2 of Transmembrane protein C9orf91</t>
  </si>
  <si>
    <t>6-phosphofructo-2-kinase</t>
  </si>
  <si>
    <t>RING finger protein 219</t>
  </si>
  <si>
    <t>Protein FAM160B1</t>
  </si>
  <si>
    <t>Isoform 3 of Probable palmitoyltransferase ZDHHC20</t>
  </si>
  <si>
    <t>Isoform 2 of SPRY domain-containing protein 7</t>
  </si>
  <si>
    <t>NADH dehydrogenase (Ubiquinone) 1 beta subcomplex, 8, 19kDa, isoform CRA_a</t>
  </si>
  <si>
    <t>Protein QIL1</t>
  </si>
  <si>
    <t>E3 ubiquitin-protein ligase RNF123</t>
  </si>
  <si>
    <t>Isoform 3 of F-box/WD repeat-containing protein 9</t>
  </si>
  <si>
    <t>E3 ubiquitin-protein ligase RNF213</t>
  </si>
  <si>
    <t>AP-1 complex-associated regulatory protein</t>
  </si>
  <si>
    <t>WASH complex subunit FAM21A</t>
  </si>
  <si>
    <t>Lysophospholipid acyltransferase LPCAT4</t>
  </si>
  <si>
    <t>Protein FAM91A1</t>
  </si>
  <si>
    <t>La-related protein 1B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</si>
  <si>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</si>
  <si>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</si>
  <si>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</si>
  <si>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</si>
  <si>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</si>
  <si>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6-phosphofructo-2-kinase/fructose-2, 6-biphosphatase 4 isoform 1</t>
  </si>
  <si>
    <t>Isoform 3 of Kazrin</t>
  </si>
  <si>
    <t>Isoform 3 of Rap1 GTPase-activating protein 2</t>
  </si>
  <si>
    <t>Isoform 2 of AT-rich interactive domain-containing protein 2</t>
  </si>
  <si>
    <t>Digestive organ expansion factor homolog</t>
  </si>
  <si>
    <t>Isoform 2 of Protein SPT2 homolog</t>
  </si>
  <si>
    <t>Protein PMS2CL</t>
  </si>
  <si>
    <t>Natural cytotoxicity triggering receptor 3 ligand 1</t>
  </si>
  <si>
    <t>Metallo-beta-lactamase domain-containing protein 2</t>
  </si>
  <si>
    <t>LMBR1 domain-containing protein 2</t>
  </si>
  <si>
    <t>Isoform 2 of Integrator complex subunit 3</t>
  </si>
  <si>
    <t>Rho GTPase-activating protein 17</t>
  </si>
  <si>
    <t>Cell division cycle-associated protein 2</t>
  </si>
  <si>
    <t>Uncharacterized protein DKFZp762I1415</t>
  </si>
  <si>
    <t>CWF19-like protein 1</t>
  </si>
  <si>
    <t>Protein virilizer homolog</t>
  </si>
  <si>
    <t>Isoform 2 of Cytospin-A</t>
  </si>
  <si>
    <t>Uncharacterized protein C12orf73</t>
  </si>
  <si>
    <t>UHRF1-binding protein 1</t>
  </si>
  <si>
    <t>Zinc finger protein 787</t>
  </si>
  <si>
    <t>Atlastin-3</t>
  </si>
  <si>
    <t>Adenosine deaminase-like protein</t>
  </si>
  <si>
    <t>Nucleoredoxin</t>
  </si>
  <si>
    <t>Tetratricopeptide repeat protein 19, mitochondrial</t>
  </si>
  <si>
    <t>HLA class I histocompatibility antigen, alpha chain E</t>
  </si>
  <si>
    <t>Isoform 5 of DNA-directed RNA polymerase II subunit GRINL1A, isoforms 4/5</t>
  </si>
  <si>
    <t>Anamorsin</t>
  </si>
  <si>
    <t>Isoform 2 of AN1-type zinc finger protein 6</t>
  </si>
  <si>
    <t>SET and MYND domain-containing protein 5</t>
  </si>
  <si>
    <t>Putative peptidyl-tRNA hydrolase PTRHD1</t>
  </si>
  <si>
    <t>Isoform 2 of OTU domain-containing protein 7B</t>
  </si>
  <si>
    <t>Selenoprotein S</t>
  </si>
  <si>
    <t>Isoform 4 of Ral GTPase-activating protein subunit alpha-1</t>
  </si>
  <si>
    <t>THO complex subunit 7 homolog</t>
  </si>
  <si>
    <t>Single Ig IL-1-related receptor</t>
  </si>
  <si>
    <t>Glutamine-dependent NAD(+) synthetase</t>
  </si>
  <si>
    <t>Isoform 3 of Elongator complex protein 2</t>
  </si>
  <si>
    <t>Ragulator complex protein LAMTOR1</t>
  </si>
  <si>
    <t>Dehydrogenase/reductase SDR family member 7B</t>
  </si>
  <si>
    <t>Twinfilin-2</t>
  </si>
  <si>
    <t>Isoform 2 of Condensin-2 complex subunit H2</t>
  </si>
  <si>
    <t>GRAM domain-containing protein 4</t>
  </si>
  <si>
    <t>Desumoylating isopeptidase 1</t>
  </si>
  <si>
    <t>Aspartate beta-hydroxylase domain-containing protein 2</t>
  </si>
  <si>
    <t>Serine/threonine-protein phosphatase 4 regulatory subunit 3A</t>
  </si>
  <si>
    <t>tRNA wybutosine-synthesizing protein 3 homolog</t>
  </si>
  <si>
    <t>Centromere protein P</t>
  </si>
  <si>
    <t>Centriole, cilia and spindle-associated protein</t>
  </si>
  <si>
    <t>Ras-related protein Rab-12</t>
  </si>
  <si>
    <t>Isoform 2 of Protein SDE2 homolog</t>
  </si>
  <si>
    <t>Metabotropic glutamate receptor 5</t>
  </si>
  <si>
    <t>CapZ-interacting protein</t>
  </si>
  <si>
    <t>Acyl-CoA dehydrogenase family member 10</t>
  </si>
  <si>
    <t>Isoform 2 of Nipped-B-like protein</t>
  </si>
  <si>
    <t>Isoform 2 of Calcium-binding mitochondrial carrier protein SCaMC-2</t>
  </si>
  <si>
    <t>Protein lin-54 homolog</t>
  </si>
  <si>
    <t>Isoform 2 of Zinc finger protein 280D</t>
  </si>
  <si>
    <t>2-oxoglutarate and iron-dependent oxygenase domain-containing protein 2</t>
  </si>
  <si>
    <t>N-alpha-acetyltransferase 16, NatA auxiliary subunit</t>
  </si>
  <si>
    <t>Alpha-ketoglutarate-dependent dioxygenase alkB homolog 2</t>
  </si>
  <si>
    <t>Leucine-rich repeat-containing protein 8E</t>
  </si>
  <si>
    <t>MFS-type transporter SLC18B1</t>
  </si>
  <si>
    <t>Calcium-binding mitochondrial carrier protein SCaMC-1</t>
  </si>
  <si>
    <t>Receptor expression-enhancing protein 3</t>
  </si>
  <si>
    <t>All-trans-retinol 13,14-reductase</t>
  </si>
  <si>
    <t>RAD50-interacting protein 1</t>
  </si>
  <si>
    <t>Isoform 2 of Transmembrane protein 214</t>
  </si>
  <si>
    <t>Tectonic-3</t>
  </si>
  <si>
    <t>3-hydroxyisobutyryl-CoA hydrolase, mitochondrial</t>
  </si>
  <si>
    <t>Isoform 2 of Armadillo repeat-containing protein 6</t>
  </si>
  <si>
    <t>Ankyrin repeat domain-containing protein 54</t>
  </si>
  <si>
    <t>Transmembrane anterior posterior transformation protein 1 homolog</t>
  </si>
  <si>
    <t>Phostensin</t>
  </si>
  <si>
    <t>Zinc finger CCHC domain-containing protein 8</t>
  </si>
  <si>
    <t>Isoform 2 of RNA pseudouridylate synthase domain-containing protein 3</t>
  </si>
  <si>
    <t>39S ribosomal protein L54, mitochondrial</t>
  </si>
  <si>
    <t>Endoplasmic reticulum aminopeptidase 2</t>
  </si>
  <si>
    <t>Parafibromin</t>
  </si>
  <si>
    <t>Isoform 4 of Polyamine-modulated factor 1</t>
  </si>
  <si>
    <t>General transcription factor IIH subunit 2-like protein</t>
  </si>
  <si>
    <t>Protein FAM117B</t>
  </si>
  <si>
    <t>39S ribosomal protein L14, mitochondrial</t>
  </si>
  <si>
    <t>Long-chain fatty acid transport protein 4</t>
  </si>
  <si>
    <t>Isoform 2 of Coiled-coil and C2 domain-containing protein 1A</t>
  </si>
  <si>
    <t>Methyltransferase-like protein 2B</t>
  </si>
  <si>
    <t>Isoform 3 of Myb/SANT-like DNA-binding domain-containing protein 2</t>
  </si>
  <si>
    <t>tRNA-dihydrouridine(16/17) synthase [NAD(P)(+)]-like</t>
  </si>
  <si>
    <t>Transcription initiation factor TFIID subunit 2</t>
  </si>
  <si>
    <t>Cohesin subunit SA-1</t>
  </si>
  <si>
    <t>Mediator of RNA polymerase II transcription subunit 27</t>
  </si>
  <si>
    <t>Enhancer of mRNA-decapping protein 4</t>
  </si>
  <si>
    <t>Isoform 2 of Centrosomal protein of 85 kDa</t>
  </si>
  <si>
    <t>Fumarylacetoacetate hydrolase domain-containing protein 2B</t>
  </si>
  <si>
    <t>Putative protein arginine N-methyltransferase 10</t>
  </si>
  <si>
    <t>Pre-mRNA-processing-splicing factor 8</t>
  </si>
  <si>
    <t>Isoform 5 of DENN domain-containing protein 1B</t>
  </si>
  <si>
    <t>F-box only protein 42</t>
  </si>
  <si>
    <t>SCY1-like protein 2</t>
  </si>
  <si>
    <t>Tetratricopeptide repeat protein 27</t>
  </si>
  <si>
    <t>Isoform 2 of NIPA-like protein 3</t>
  </si>
  <si>
    <t>Sideroflexin-4</t>
  </si>
  <si>
    <t>Isoform 2 of Protein CASC4</t>
  </si>
  <si>
    <t>Adrenodoxin-like protein, mitochondrial</t>
  </si>
  <si>
    <t>WD repeat-containing protein 73</t>
  </si>
  <si>
    <t>Metal transporter CNNM4</t>
  </si>
  <si>
    <t>Isoform 3 of Nuclear factor related to kappa-B-binding protein</t>
  </si>
  <si>
    <t>Mitotic-spindle organizing protein 2A</t>
  </si>
  <si>
    <t>Acylpyruvase FAHD1, mitochondrial</t>
  </si>
  <si>
    <t>UPF0545 protein C22orf39</t>
  </si>
  <si>
    <t>Uncharacterized protein C8orf47</t>
  </si>
  <si>
    <t>Isoform 2 of Ankyrin repeat domain-containing protein 16</t>
  </si>
  <si>
    <t>Isoform 3 of RNA demethylase ALKBH5</t>
  </si>
  <si>
    <t>TLD domain-containing protein KIAA1609</t>
  </si>
  <si>
    <t>Integrator complex subunit 5</t>
  </si>
  <si>
    <t>GTPase IMAP family member 6</t>
  </si>
  <si>
    <t>Isoform 2 of von Willebrand factor A domain-containing protein 1</t>
  </si>
  <si>
    <t>Round spermatid basic protein 1-like protein</t>
  </si>
  <si>
    <t>E3 ubiquitin-protein ligase RFWD3</t>
  </si>
  <si>
    <t>Glucose 1,6-bisphosphate synthase</t>
  </si>
  <si>
    <t>RNA polymerase-associated protein CTR9 homolog</t>
  </si>
  <si>
    <t>Alpha- and gamma-adaptin-binding protein p34</t>
  </si>
  <si>
    <t>Isoform A of Proline/serine-rich coiled-coil protein 1</t>
  </si>
  <si>
    <t>Tetratricopeptide repeat protein 37</t>
  </si>
  <si>
    <t>UPF0547 protein C16orf87</t>
  </si>
  <si>
    <t>Serine/threonine-protein kinase ULK3</t>
  </si>
  <si>
    <t>Aspartate--tRNA ligase, mitochondrial</t>
  </si>
  <si>
    <t>Transmembrane protein 65</t>
  </si>
  <si>
    <t>INO80 complex subunit C</t>
  </si>
  <si>
    <t>Tetratricopeptide repeat protein 33</t>
  </si>
  <si>
    <t>Coiled-coil domain-containing protein 174</t>
  </si>
  <si>
    <t>Isoform 2 of F-box only protein 38</t>
  </si>
  <si>
    <t>CENPC1 protein</t>
  </si>
  <si>
    <t>Isoform 2 of Fidgetin-like protein 1</t>
  </si>
  <si>
    <t>F-box only protein 46</t>
  </si>
  <si>
    <t>Tripartite motif-containing protein 65</t>
  </si>
  <si>
    <t>ELM2 and SANT domain-containing protein 1</t>
  </si>
  <si>
    <t>BRCA1-associated ATM activator 1</t>
  </si>
  <si>
    <t>WD repeat-containing protein 59</t>
  </si>
  <si>
    <t>Isoform 3 of Zinc finger CCCH domain-containing protein 14</t>
  </si>
  <si>
    <t>Isoform 9 of Zinc finger CCCH domain-containing protein 14</t>
  </si>
  <si>
    <t>Consortin</t>
  </si>
  <si>
    <t>2-oxoglutarate and iron-dependent oxygenase domain-containing protein 3</t>
  </si>
  <si>
    <t>La-related protein 1</t>
  </si>
  <si>
    <t>Protein TMED8</t>
  </si>
  <si>
    <t>Zinc transporter 9</t>
  </si>
  <si>
    <t>Biogenesis of lysosome-related organelles complex 1 subunit 3</t>
  </si>
  <si>
    <t>Biogenesis of lysosome-related organelles complex 1 subunit 2</t>
  </si>
  <si>
    <t>Rapamycin-insensitive companion of mTOR</t>
  </si>
  <si>
    <t>WD repeat-containing protein 74</t>
  </si>
  <si>
    <t>Isoform 2 of Type-1 angiotensin II receptor-associated protein</t>
  </si>
  <si>
    <t>POTE ankyrin domain family member E</t>
  </si>
  <si>
    <t>Isoform 2 of Protein FAM111B</t>
  </si>
  <si>
    <t>Isoform 2 of SWI/SNF-related matrix-associated actin-dependent regulator of chromatin subfamily D member 3</t>
  </si>
  <si>
    <t>Monofunctional C1-tetrahydrofolate synthase, mitochondrial</t>
  </si>
  <si>
    <t>Ankyrin repeat domain-containing protein 11</t>
  </si>
  <si>
    <t>Isoform 5 of Aftiphilin</t>
  </si>
  <si>
    <t>Pre-mRNA 3-end-processing factor FIP1</t>
  </si>
  <si>
    <t>Isoform 3 of CREB-regulated transcription coactivator 3</t>
  </si>
  <si>
    <t>Isoform 3 of CREB-regulated transcription coactivator 1</t>
  </si>
  <si>
    <t>Spindle assembly abnormal protein 6 homolog</t>
  </si>
  <si>
    <t>All-trans retinoic acid-induced differentiation factor</t>
  </si>
  <si>
    <t>KDEL motif-containing protein 1</t>
  </si>
  <si>
    <t>E3 ubiquitin-protein ligase LRSAM1</t>
  </si>
  <si>
    <t>Protein shisa-2 homolog</t>
  </si>
  <si>
    <t>Dehydrogenase/reductase SDR family member 11</t>
  </si>
  <si>
    <t>Isoform 3 of Lysocardiolipin acyltransferase 1</t>
  </si>
  <si>
    <t>Protein PET117 homolog, mitochondrial</t>
  </si>
  <si>
    <t>Bombesin receptor-activated protein C6orf89</t>
  </si>
  <si>
    <t>Peptidyl-prolyl cis-trans isomerase CWC27 homolog</t>
  </si>
  <si>
    <t>Dehydrogenase/reductase SDR family member 13</t>
  </si>
  <si>
    <t>Isoform 2 of Peptidase inhibitor 16</t>
  </si>
  <si>
    <t>Isoform 3 of Seizure 6-like protein 2</t>
  </si>
  <si>
    <t>Isoform 4 of Cysteine-rich with EGF-like domain protein 2</t>
  </si>
  <si>
    <t>WD repeat-containing protein 82</t>
  </si>
  <si>
    <t>Apolipoprotein O-like</t>
  </si>
  <si>
    <t>Isoform 3 of Dipeptidyl peptidase 8</t>
  </si>
  <si>
    <t>Phosphofurin acidic cluster sorting protein 1</t>
  </si>
  <si>
    <t>Isoform 4 of BCL-6 corepressor</t>
  </si>
  <si>
    <t>Isoform 2 of Myosin phosphatase Rho-interacting protein</t>
  </si>
  <si>
    <t>Rab11 family-interacting protein 1</t>
  </si>
  <si>
    <t>Nicotinate phosphoribosyltransferase</t>
  </si>
  <si>
    <t>Very-long-chain (3R)-3-hydroxyacyl-[acyl-carrier protein] dehydratase 2</t>
  </si>
  <si>
    <t>Beta-1,3-glucosyltransferase</t>
  </si>
  <si>
    <t>DnaJ homolog subfamily C member 14</t>
  </si>
  <si>
    <t>Isoform 3 of 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</si>
  <si>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</si>
  <si>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</si>
  <si>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</si>
  <si>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</si>
  <si>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Protein phosphatase 1 regulatory subunit 21</t>
  </si>
  <si>
    <t>RNA-binding protein MEX3B</t>
  </si>
  <si>
    <t>Isoform 2 of Zinc finger protein AEBP2</t>
  </si>
  <si>
    <t>Ferric-chelate reductase 1</t>
  </si>
  <si>
    <t>NF-X1-type zinc finger protein NFXL1</t>
  </si>
  <si>
    <t>GDP-D-glucose phosphorylase 1</t>
  </si>
  <si>
    <t>Probable C-mannosyltransferase DPY19L3</t>
  </si>
  <si>
    <t>Isoform 2 of Uncharacterized protein C15orf39</t>
  </si>
  <si>
    <t>Sulfhydryl oxidase 2</t>
  </si>
  <si>
    <t>Isoform 3 of Helicase SRCAP</t>
  </si>
  <si>
    <t>Putative glycerol kinase 5</t>
  </si>
  <si>
    <t>Uncharacterized protein C1orf122</t>
  </si>
  <si>
    <t>Major facilitator superfamily domain-containing protein 6</t>
  </si>
  <si>
    <t>Isoform 2 of Transmembrane protein with metallophosphoesterase domain</t>
  </si>
  <si>
    <t>SH3 domain-binding protein 1</t>
  </si>
  <si>
    <t>Uncharacterized protein C11orf57</t>
  </si>
  <si>
    <t>8-oxo-dGDP phosphatase NUDT18</t>
  </si>
  <si>
    <t>TOM1-like protein 2</t>
  </si>
  <si>
    <t>Isoform 5 of PAX-interacting protein 1</t>
  </si>
  <si>
    <t>Isoform 2 of Cytochrome P450 4V2</t>
  </si>
  <si>
    <t>Lysophospholipid acyltransferase 2</t>
  </si>
  <si>
    <t>Isoform 2 of Transmembrane and TPR repeat-containing protein 3</t>
  </si>
  <si>
    <t>General transcription factor IIH subunit 5</t>
  </si>
  <si>
    <t>Isoform 3 of Vacuolar protein sorting-associated protein 13C</t>
  </si>
  <si>
    <t>MOB kinase activator 2</t>
  </si>
  <si>
    <t>Protein unc-13 homolog D</t>
  </si>
  <si>
    <t>Inhibitor of nuclear factor kappa-B kinase-interacting protein</t>
  </si>
  <si>
    <t>Isoform 4 of Inhibitor of nuclear factor kappa-B kinase-interacting protein</t>
  </si>
  <si>
    <t>Isoform 2 of Protein FRA10AC1</t>
  </si>
  <si>
    <t>Ubiquitin-conjugating enzyme E2 R2</t>
  </si>
  <si>
    <t>Centromere protein U</t>
  </si>
  <si>
    <t>Isoform 6 of La-related protein 4</t>
  </si>
  <si>
    <t>Isoform 2 of Mediator of RNA polymerase II transcription subunit 25</t>
  </si>
  <si>
    <t>Isoform 2 of Tubulin alpha-1A chain</t>
  </si>
  <si>
    <t>Histone H2A.V</t>
  </si>
  <si>
    <t>Integrator complex subunit 8</t>
  </si>
  <si>
    <t>MTSS1-like protein</t>
  </si>
  <si>
    <t>Isoform 4 of Nucleolar protein 8</t>
  </si>
  <si>
    <t>Butyrophilin subfamily 2 member A1</t>
  </si>
  <si>
    <t>Transcription elongation factor SPT6</t>
  </si>
  <si>
    <t>Staphylococcal nuclease domain-containing protein 1</t>
  </si>
  <si>
    <t>Isoform 2 of Cytochrome c oxidase assembly protein COX15 homolog</t>
  </si>
  <si>
    <t>Probable ATP-dependent RNA helicase DDX46</t>
  </si>
  <si>
    <t>Isoform 2 of Protein RUFY3</t>
  </si>
  <si>
    <t>Isoform 4 of Protein RUFY3</t>
  </si>
  <si>
    <t>Isoform 2 of Synaptic vesicle glycoprotein 2A</t>
  </si>
  <si>
    <t>Mitochondrial ribonuclease P protein 1</t>
  </si>
  <si>
    <t>Basic leucine zipper and W2 domain-containing protein 1</t>
  </si>
  <si>
    <t>Cytochrome b5 reductase 4</t>
  </si>
  <si>
    <t>Alpha/beta hydrolase domain-containing protein 13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</si>
  <si>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</si>
  <si>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</si>
  <si>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</si>
  <si>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</si>
  <si>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Centromere protein Q</t>
  </si>
  <si>
    <t>Zinc finger protein 771</t>
  </si>
  <si>
    <t>Probable proline--tRNA ligase, mitochondrial</t>
  </si>
  <si>
    <t>Arginine/serine-rich coiled-coil protein 2</t>
  </si>
  <si>
    <t>Isoform 2 of BEN domain-containing protein 5</t>
  </si>
  <si>
    <t>Ras-related GTP-binding protein A</t>
  </si>
  <si>
    <t>Cytoplasmic FMR1-interacting protein 1</t>
  </si>
  <si>
    <t>Golgi to ER traffic protein 4 homolog</t>
  </si>
  <si>
    <t>Lysophosphatidylcholine acyltransferase 2</t>
  </si>
  <si>
    <t>Mitochondrial enolase superfamily member 1</t>
  </si>
  <si>
    <t>Macrophage erythroblast attacher</t>
  </si>
  <si>
    <t>EPM2A-interacting protein 1</t>
  </si>
  <si>
    <t>Histone H2A type 3</t>
  </si>
  <si>
    <t>Serine/threonine-protein kinase TAO1</t>
  </si>
  <si>
    <t>SH3 domain-binding protein 5-like</t>
  </si>
  <si>
    <t>FAST kinase domain-containing protein 5</t>
  </si>
  <si>
    <t>Diphthine--ammonia ligase</t>
  </si>
  <si>
    <t>Endonuclease/exonuclease/phosphatase family domain-containing protein 1</t>
  </si>
  <si>
    <t>Lysine-specific demethylase 3B</t>
  </si>
  <si>
    <t>Charged multivesicular body protein 1b</t>
  </si>
  <si>
    <t>Heparan sulfate 2-O-sulfotransferase 1</t>
  </si>
  <si>
    <t>Isoform 6 of STE20-related kinase adapter protein alpha</t>
  </si>
  <si>
    <t>Magnesium transporter NIPA1</t>
  </si>
  <si>
    <t>Protein-methionine sulfoxide oxidase MICAL3</t>
  </si>
  <si>
    <t>Dymeclin</t>
  </si>
  <si>
    <t>PHD finger-like domain-containing protein 5A</t>
  </si>
  <si>
    <t>Isoform 7 of Aprataxin</t>
  </si>
  <si>
    <t>Endoplasmic reticulum metallopeptidase 1</t>
  </si>
  <si>
    <t>G protein-regulated inducer of neurite outgrowth 1</t>
  </si>
  <si>
    <t>TRMT1-like protein</t>
  </si>
  <si>
    <t>Zinc finger CCCH-type antiviral protein 1</t>
  </si>
  <si>
    <t>Elongation factor Tu GTP-binding domain-containing protein 1</t>
  </si>
  <si>
    <t>Protein FAM122B</t>
  </si>
  <si>
    <t>Trafficking protein particle complex subunit 11</t>
  </si>
  <si>
    <t>Isoform 2 of Autophagy-related protein 9A</t>
  </si>
  <si>
    <t>LysM and putative peptidoglycan-binding domain-containing protein 3</t>
  </si>
  <si>
    <t>Isoform 2 of UPF0317 protein C14orf159, mitochondrial</t>
  </si>
  <si>
    <t>Uncharacterized protein C10orf118</t>
  </si>
  <si>
    <t>Isoform 5 of Pogo transposable element with ZNF domain</t>
  </si>
  <si>
    <t>Zinc finger FYVE domain-containing protein 16</t>
  </si>
  <si>
    <t>Protein RD3</t>
  </si>
  <si>
    <t>Nuclear fragile X mental retardation-interacting protein 2</t>
  </si>
  <si>
    <t>Isoform 2 of SUZ domain-containing protein 1</t>
  </si>
  <si>
    <t>Mitochondrial antiviral-signaling protein</t>
  </si>
  <si>
    <t>Cytochrome P450 2U1</t>
  </si>
  <si>
    <t>ATP-dependent RNA helicase DHX29</t>
  </si>
  <si>
    <t>COMM domain-containing protein 6</t>
  </si>
  <si>
    <t>Isoform 2 of tRNA (guanine(10)-N2)-methyltransferase homolog</t>
  </si>
  <si>
    <t>HD domain-containing protein 2</t>
  </si>
  <si>
    <t>Isoform 3 of HAUS augmin-like complex subunit 6</t>
  </si>
  <si>
    <t>HEAT repeat-containing protein 3</t>
  </si>
  <si>
    <t>Hepatoma-derived growth factor-related protein 2</t>
  </si>
  <si>
    <t>Isoform 2 of Hepatoma-derived growth factor-related protein 2</t>
  </si>
  <si>
    <t>L-xylulose reductase</t>
  </si>
  <si>
    <t>Golgin subfamily A member 7</t>
  </si>
  <si>
    <t>Wings apart-like protein homolog</t>
  </si>
  <si>
    <t>Isoform 2 of Interferon regulatory factor 2-binding protein 2</t>
  </si>
  <si>
    <t>Amyloid beta A4 precursor protein-binding family B member 1-interacting protein</t>
  </si>
  <si>
    <t>WD repeat-containing protein 53</t>
  </si>
  <si>
    <t>Pre-miRNA 5-monophosphate methyltransferase</t>
  </si>
  <si>
    <t>Isoform 2 of Coiled-coil domain-containing protein 91</t>
  </si>
  <si>
    <t>E3 ubiquitin-protein ligase RBBP6</t>
  </si>
  <si>
    <t>Rho GTPase-activating protein 30</t>
  </si>
  <si>
    <t>UPF0461 protein C5orf24</t>
  </si>
  <si>
    <t>E3 ubiquitin-protein ligase E3D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</si>
  <si>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</si>
  <si>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</si>
  <si>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</si>
  <si>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</si>
  <si>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F-box only protein 33</t>
  </si>
  <si>
    <t>mTERF domain-containing protein 2</t>
  </si>
  <si>
    <t>Ras-related protein Rab-44</t>
  </si>
  <si>
    <t>tRNA-specific adenosine deaminase 2</t>
  </si>
  <si>
    <t>Isoform 2 of E3 ubiquitin-protein ligase HUWE1</t>
  </si>
  <si>
    <t>Cytoplasmic tRNA 2-thiolation protein 1</t>
  </si>
  <si>
    <t>Isoform 2 of PX domain-containing protein kinase-like protein</t>
  </si>
  <si>
    <t>Transcription initiation factor TFIID subunit 8</t>
  </si>
  <si>
    <t>Ubiquitin-conjugating enzyme E2 Q1</t>
  </si>
  <si>
    <t>UPF0469 protein KIAA0907</t>
  </si>
  <si>
    <t>39S ribosomal protein L55, mitochondrial</t>
  </si>
  <si>
    <t>Isoform 2 of Vacuolar protein sorting-associated protein 13B</t>
  </si>
  <si>
    <t>Isoform 3 of Transmembrane emp24 domain-containing protein 4</t>
  </si>
  <si>
    <t>39S ribosomal protein L10, mitochondrial</t>
  </si>
  <si>
    <t>Isoform 3 of Centromere protein V</t>
  </si>
  <si>
    <t>Schlafen family member 11</t>
  </si>
  <si>
    <t>Protein zer-1 homolog</t>
  </si>
  <si>
    <t>Uncharacterized protein C11orf96</t>
  </si>
  <si>
    <t>Zinc finger and SCAN domain-containing protein 2</t>
  </si>
  <si>
    <t>Transmembrane protein 179B</t>
  </si>
  <si>
    <t>N-acetylgalactosaminyltransferase 7</t>
  </si>
  <si>
    <t>Isoform 2 of Stearoyl-CoA desaturase 5</t>
  </si>
  <si>
    <t>Isoform 3 of Dehydrodolichyl diphosphate synthase</t>
  </si>
  <si>
    <t>Glutaredoxin-related protein 5, mitochondrial</t>
  </si>
  <si>
    <t>Trafficking protein particle complex subunit 6B</t>
  </si>
  <si>
    <t>Transmembrane protein 55B</t>
  </si>
  <si>
    <t>C-type lectin domain family 14 member A</t>
  </si>
  <si>
    <t>Isoform 4 of Protein PAT1 homolog 1</t>
  </si>
  <si>
    <t>Isoform 2 of TBC1 domain family member 1</t>
  </si>
  <si>
    <t>Isoform 2 of Dipeptidyl peptidase 9</t>
  </si>
  <si>
    <t>Isoform 2 of E3 ubiquitin-protein ligase synoviolin</t>
  </si>
  <si>
    <t>tRNA 2-phosphotransferase 1</t>
  </si>
  <si>
    <t>Protein prune homolog</t>
  </si>
  <si>
    <t>Histone-lysine N-methyltransferase setd3</t>
  </si>
  <si>
    <t>Full-length cDNA clone CS0DI002YH20 of Placenta of Homo sapiens (human)</t>
  </si>
  <si>
    <t>Isoform 4 of Probable RNA-binding protein 23</t>
  </si>
  <si>
    <t>Iron-sulfur cluster assembly 2 homolog, mitochondrial</t>
  </si>
  <si>
    <t>Nucleolar protein 9</t>
  </si>
  <si>
    <t>N6-adenosine-methyltransferase 70 kDa subunit</t>
  </si>
  <si>
    <t>Isoform 2 of LIM domain-binding protein 1</t>
  </si>
  <si>
    <t>Isoform 5 of Protein polybromo-1</t>
  </si>
  <si>
    <t>YrdC domain-containing protein, mitochondrial</t>
  </si>
  <si>
    <t>Pre-mRNA-processing factor 39</t>
  </si>
  <si>
    <t>Isoform 3 of RPA-interacting protein</t>
  </si>
  <si>
    <t>Suppressor APC domain-containing protein 2</t>
  </si>
  <si>
    <t>Protein LYRIC</t>
  </si>
  <si>
    <t>Isoform 2 of Serine/threonine-protein kinase tousled-like 2</t>
  </si>
  <si>
    <t>Tetraspanin-33</t>
  </si>
  <si>
    <t>Isoform 2 of Zinc finger protein 598</t>
  </si>
  <si>
    <t>Glycerol-3-phosphate acyltransferase 4</t>
  </si>
  <si>
    <t>Reticulon-4 receptor-like 2</t>
  </si>
  <si>
    <t>Kinectin</t>
  </si>
  <si>
    <t>Telomerase-binding protein EST1A</t>
  </si>
  <si>
    <t>Coiled-coil domain-containing protein 84</t>
  </si>
  <si>
    <t>Isoform 4 of B-cell CLL/lymphoma 9-like protein</t>
  </si>
  <si>
    <t>Ubiquitin carboxyl-terminal hydrolase 48</t>
  </si>
  <si>
    <t>ATP-binding cassette C5 splicing variant A</t>
  </si>
  <si>
    <t>Isoform 2 of Fermitin family homolog 3</t>
  </si>
  <si>
    <t>TXNDC5 protein</t>
  </si>
  <si>
    <t>N-alpha-acetyltransferase 40</t>
  </si>
  <si>
    <t>Isoform 2 of 5-nucleotidase domain-containing protein 3</t>
  </si>
  <si>
    <t>Acetoacetyl-CoA synthetase</t>
  </si>
  <si>
    <t>Protein FAM124A</t>
  </si>
  <si>
    <t>Isoform 2 of Leucine zipper protein 1</t>
  </si>
  <si>
    <t>Isoform 2 of PNMA-like protein 1</t>
  </si>
  <si>
    <t>Integral membrane protein GPR180</t>
  </si>
  <si>
    <t>Protein FAM160B2</t>
  </si>
  <si>
    <t>Magnesium-dependent phosphatase 1</t>
  </si>
  <si>
    <t>Mitochondrial coenzyme A transporter SLC25A42</t>
  </si>
  <si>
    <t>Isoform 2 of Vacuolar protein-sorting-associated protein 36</t>
  </si>
  <si>
    <t>Isoform 2 of Tax1-binding protein 1</t>
  </si>
  <si>
    <t>Cullin-associated NEDD8-dissociated protein 1</t>
  </si>
  <si>
    <t>Glucocorticoid-induced transcript 1 protein</t>
  </si>
  <si>
    <t>WAS protein family, member 3, isoform CRA_a</t>
  </si>
  <si>
    <t>Protein FAM134C</t>
  </si>
  <si>
    <t>Protein Hook homolog 3</t>
  </si>
  <si>
    <t>Catechol O-methyltransferase domain-containing protein 1</t>
  </si>
  <si>
    <t>SEC14 domain and spectrin repeat-containing protein 1</t>
  </si>
  <si>
    <t>Isoform 2 of COMM domain-containing protein 7</t>
  </si>
  <si>
    <t>Vacuolar fusion protein MON1 homolog A</t>
  </si>
  <si>
    <t>Testis-specific Y-encoded-like protein 5</t>
  </si>
  <si>
    <t>P2Y purinoceptor 8</t>
  </si>
  <si>
    <t>Transmembrane protein adipocyte-associated 1</t>
  </si>
  <si>
    <t>THO complex subunit 6 homolog</t>
  </si>
  <si>
    <t>Methyltransferase-like protein 16</t>
  </si>
  <si>
    <t>Poly(ADP-ribose) glycohydrolase</t>
  </si>
  <si>
    <t>Isoform 4 of Liprin-beta-1</t>
  </si>
  <si>
    <t>Isoform 2 of Valacyclovir hydrolase</t>
  </si>
  <si>
    <t>Lon protease homolog 2, peroxisomal</t>
  </si>
  <si>
    <t>Osteopetrosis-associated transmembrane protein 1</t>
  </si>
  <si>
    <t>Chromodomain-helicase-DNA-binding protein 1-like</t>
  </si>
  <si>
    <t>Nuclear receptor 2C2-associated protein</t>
  </si>
  <si>
    <t>Coiled-coil domain-containing protein 25</t>
  </si>
  <si>
    <t>Isoform 2 of Src kinase-associated phosphoprotein 1</t>
  </si>
  <si>
    <t>Stimulator of interferon genes protein</t>
  </si>
  <si>
    <t>CCDC43 protein</t>
  </si>
  <si>
    <t>Active regulator of SIRT1</t>
  </si>
  <si>
    <t>Cerebellar degeneration-related protein 2-like</t>
  </si>
  <si>
    <t>Ral GTPase-activating protein subunit beta</t>
  </si>
  <si>
    <t>Ras-specific guanine nucleotide-releasing factor RalGPS2</t>
  </si>
  <si>
    <t>Glutamate-rich protein 1</t>
  </si>
  <si>
    <t>Isoform 1 of Histone-arginine methyltransferase CARM1</t>
  </si>
  <si>
    <t>Isoform 1 of Nitrilase homolog 1</t>
  </si>
  <si>
    <t>COMM domain-containing protein 2</t>
  </si>
  <si>
    <t>Corepressor interacting with RBPJ 1</t>
  </si>
  <si>
    <t>Condensin-2 complex subunit G2</t>
  </si>
  <si>
    <t>Isoform 3 of Swi5-dependent recombination DNA repair protein 1 homolog</t>
  </si>
  <si>
    <t>Diacylglycerol kinase eta</t>
  </si>
  <si>
    <t>ATP-dependent RNA helicase DDX42</t>
  </si>
  <si>
    <t>Spermatogenesis-associated serine-rich protein 2</t>
  </si>
  <si>
    <t>E3 ubiquitin-protein ligase DTX1</t>
  </si>
  <si>
    <t>Isoform 4 of Serine/threonine-protein kinase VRK2</t>
  </si>
  <si>
    <t>CDK2-associated and cullin domain-containing protein 1</t>
  </si>
  <si>
    <t>NADH dehydrogenase [ubiquinone] 1 alpha subcomplex subunit 11</t>
  </si>
  <si>
    <t>HEAT repeat-containing protein 2</t>
  </si>
  <si>
    <t>Probable peptidyl-tRNA hydrolase</t>
  </si>
  <si>
    <t>Syntaxin-12</t>
  </si>
  <si>
    <t>Decaprenyl-diphosphate synthase subunit 2</t>
  </si>
  <si>
    <t>Homer protein homolog 1</t>
  </si>
  <si>
    <t>Isoform 2 of Dolichyldiphosphatase 1</t>
  </si>
  <si>
    <t>Transcriptional repressor p66-alpha</t>
  </si>
  <si>
    <t>Isoform 4 of G-protein-signaling modulator 1</t>
  </si>
  <si>
    <t>Rab11 family-interacting protein 4</t>
  </si>
  <si>
    <t>Ras-related protein Rab-43</t>
  </si>
  <si>
    <t>C2 domain-containing protein 5</t>
  </si>
  <si>
    <t>E3 ubiquitin-protein ligase MIB1</t>
  </si>
  <si>
    <t>RAS protein activator like-3</t>
  </si>
  <si>
    <t>Interferon regulatory factor 2-binding protein 1</t>
  </si>
  <si>
    <t>Isoform 2 of Calcium/calmodulin-dependent protein kinase type 1D</t>
  </si>
  <si>
    <t>Histone H2A type 2-B</t>
  </si>
  <si>
    <t>Bifunctional lysine-specific demethylase and histidyl-hydroxylase MINA</t>
  </si>
  <si>
    <t>Isoform 3 of RNA-binding protein 45</t>
  </si>
  <si>
    <t>Palmitoyltransferase ZDHHC13</t>
  </si>
  <si>
    <t>Palmitoyltransferase ZDHHC17</t>
  </si>
  <si>
    <t>Cytokine receptor-like factor 3</t>
  </si>
  <si>
    <t>E3 ubiquitin-protein ligase SIAH1</t>
  </si>
  <si>
    <t>Trafficking protein particle complex subunit 5</t>
  </si>
  <si>
    <t>RELT-like protein 1</t>
  </si>
  <si>
    <t>Isoform 4 of Transmembrane protein 126B</t>
  </si>
  <si>
    <t>Adipocyte enhancer-binding protein 1</t>
  </si>
  <si>
    <t>5-phosphohydroxy-L-lysine phospho-lyase</t>
  </si>
  <si>
    <t>Carabin</t>
  </si>
  <si>
    <t>Phospholipase D3</t>
  </si>
  <si>
    <t>Isoform 2 of Protein HID1</t>
  </si>
  <si>
    <t>Ankyrin repeat and MYND domain-containing protein 2</t>
  </si>
  <si>
    <t>3-5 exoribonuclease 1</t>
  </si>
  <si>
    <t>LysM and putative peptidoglycan-binding domain-containing protein 2</t>
  </si>
  <si>
    <t>Isoform 2 of DENN domain-containing protein 1C</t>
  </si>
  <si>
    <t>Isoform 3 of Inactive serine/threonine-protein kinase VRK3</t>
  </si>
  <si>
    <t>LIX1-like protein</t>
  </si>
  <si>
    <t>NudC domain-containing protein 3</t>
  </si>
  <si>
    <t>Isoform 3 of Protein AHNAK2</t>
  </si>
  <si>
    <t>Methylmalonic aciduria type A protein, mitochondrial</t>
  </si>
  <si>
    <t>PPM1D protein</t>
  </si>
  <si>
    <t>Malonyl-CoA-acyl carrier protein transacylase, mitochondrial</t>
  </si>
  <si>
    <t>Glucose-induced degradation protein 4 homolog</t>
  </si>
  <si>
    <t>Aprataxin and PNK-like factor</t>
  </si>
  <si>
    <t>Isoform 2 of MAP kinase-activated protein kinase 5</t>
  </si>
  <si>
    <t>ATP-dependent (S)-NAD(P)H-hydrate dehydratase</t>
  </si>
  <si>
    <t>WD repeat-containing protein 75</t>
  </si>
  <si>
    <t>Mitofusin-1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</si>
  <si>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</si>
  <si>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</si>
  <si>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</si>
  <si>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</si>
  <si>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Coiled-coil domain-containing protein 117</t>
  </si>
  <si>
    <t>DCN1-like protein 3</t>
  </si>
  <si>
    <t>Protein DENND6A</t>
  </si>
  <si>
    <t>GRIP and coiled-coil domain-containing protein 2</t>
  </si>
  <si>
    <t>PHD finger protein 6</t>
  </si>
  <si>
    <t>Leucine-rich repeat-containing protein 8A</t>
  </si>
  <si>
    <t>E3 ubiquitin-protein ligase UBR1</t>
  </si>
  <si>
    <t>E3 ubiquitin-protein ligase UBR2</t>
  </si>
  <si>
    <t>Codanin-1</t>
  </si>
  <si>
    <t>Isoform 6 of Ankyrin repeat and KH domain-containing protein 1</t>
  </si>
  <si>
    <t>SURP and G-patch domain-containing protein 1</t>
  </si>
  <si>
    <t>Isoform 2 of Cell division cycle and apoptosis regulator protein 1</t>
  </si>
  <si>
    <t>Isoform 3 of Probable ATP-dependent RNA helicase DHX40</t>
  </si>
  <si>
    <t>Spindle and kinetochore-associated protein 3</t>
  </si>
  <si>
    <t>DnaJ homolog subfamily C member 10</t>
  </si>
  <si>
    <t>Mitochondrial Rho GTPase 2</t>
  </si>
  <si>
    <t>Isoform 2 of Mitochondrial Rho GTPase 1</t>
  </si>
  <si>
    <t>Isoform 2 of NAD-dependent protein deacetylase sirtuin-2</t>
  </si>
  <si>
    <t>Polypeptide N-acetylgalactosaminyltransferase 12</t>
  </si>
  <si>
    <t>Nurim</t>
  </si>
  <si>
    <t>N-acetylaspartyl-glutamate synthetase A</t>
  </si>
  <si>
    <t>Uncharacterized protein C9orf40</t>
  </si>
  <si>
    <t>Uncharacterized protein KIAA1704</t>
  </si>
  <si>
    <t>Isoform 2 of Kelch-like protein 7</t>
  </si>
  <si>
    <t>RNA-binding protein 12B</t>
  </si>
  <si>
    <t>Isoform 2 of Neuropathy target esterase</t>
  </si>
  <si>
    <t>Structural maintenance of chromosomes protein 5</t>
  </si>
  <si>
    <t>Probable ATP-dependent RNA helicase DDX60</t>
  </si>
  <si>
    <t>C-Maf-inducing protein</t>
  </si>
  <si>
    <t>Probable ATP-dependent RNA helicase DHX37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</si>
  <si>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</si>
  <si>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</si>
  <si>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</si>
  <si>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</si>
  <si>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</si>
  <si>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</si>
  <si>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4 of ZZ-type zinc finger-containing protein 3</t>
  </si>
  <si>
    <t>Exocyst complex component 8</t>
  </si>
  <si>
    <t>Synaptotagmin-like protein 1</t>
  </si>
  <si>
    <t>UPF0688 protein C1orf174</t>
  </si>
  <si>
    <t>Transcription elongation factor A protein-like 8</t>
  </si>
  <si>
    <t>Threonine synthase-like 1</t>
  </si>
  <si>
    <t>Peptidase M20 domain-containing protein 2</t>
  </si>
  <si>
    <t>Uncharacterized protein KIAA2013</t>
  </si>
  <si>
    <t>FtsJ methyltransferase domain-containing protein 1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</si>
  <si>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</si>
  <si>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</si>
  <si>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</si>
  <si>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</si>
  <si>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REST corepressor 2</t>
  </si>
  <si>
    <t>Metaxin 2</t>
  </si>
  <si>
    <t>RNA pseudouridylate synthase domain-containing protein 2</t>
  </si>
  <si>
    <t>ELMO domain-containing protein 2</t>
  </si>
  <si>
    <t>Aldehyde dehydrogenase family 16 member A1</t>
  </si>
  <si>
    <t>mRNA-decapping enzyme 1B</t>
  </si>
  <si>
    <t>Isoform 2 of Protein-associating with the carboxyl-terminal domain of ezrin</t>
  </si>
  <si>
    <t>Isoform 2 of 5-3 exoribonuclease 1</t>
  </si>
  <si>
    <t>Zinc finger protein 654</t>
  </si>
  <si>
    <t>Selenoprotein H</t>
  </si>
  <si>
    <t>Isoform 3 of CKLF-like MARVEL transmembrane domain-containing protein 4</t>
  </si>
  <si>
    <t>Uncharacterized protein C8orf59</t>
  </si>
  <si>
    <t>Protein FAM185A</t>
  </si>
  <si>
    <t>Vitamin K epoxide reductase complex subunit 1-like protein 1</t>
  </si>
  <si>
    <t>Putative ribosome-binding factor A, mitochondrial</t>
  </si>
  <si>
    <t>L-fucose kinase</t>
  </si>
  <si>
    <t>Citrate lyase subunit beta-like protein, mitochondrial</t>
  </si>
  <si>
    <t>Spartin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</si>
  <si>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</si>
  <si>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</si>
  <si>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</si>
  <si>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</si>
  <si>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Adenylosuccinate synthetase isozyme 1</t>
  </si>
  <si>
    <t>DBIRD complex subunit KIAA1967</t>
  </si>
  <si>
    <t>Mimitin, mitochondrial</t>
  </si>
  <si>
    <t>Vacuolar protein sorting-associated protein 52 homolog</t>
  </si>
  <si>
    <t>Nuclear pore complex protein Nup93</t>
  </si>
  <si>
    <t>RNA exonuclease 1 homolog</t>
  </si>
  <si>
    <t>Cap-specific mRNA (nucleoside-2-O-)-methyltransferase 1</t>
  </si>
  <si>
    <t>Leucine-rich repeat-containing protein 47</t>
  </si>
  <si>
    <t>Protein THEMIS</t>
  </si>
  <si>
    <t>Isoform 2 of Zinc transporter ZIP11</t>
  </si>
  <si>
    <t>Integrator complex subunit 1</t>
  </si>
  <si>
    <t>Histone H2B type 3-B</t>
  </si>
  <si>
    <t>Isoform 3 of Armadillo repeat-containing protein 10</t>
  </si>
  <si>
    <t>Isoform 3 of GH3 domain-containing protein</t>
  </si>
  <si>
    <t>Monoacylglycerol lipase ABHD12</t>
  </si>
  <si>
    <t>E3 SUMO-protein ligase PIAS4</t>
  </si>
  <si>
    <t>Centromere protein S</t>
  </si>
  <si>
    <t>Coiled-coil domain-containing protein 23</t>
  </si>
  <si>
    <t>Angiogenic factor with G patch and FHA domains 1</t>
  </si>
  <si>
    <t>Glycerol-3-phosphate dehydrogenase 1-like protein</t>
  </si>
  <si>
    <t>Mesoderm induction early response protein 2</t>
  </si>
  <si>
    <t>Solute carrier family 35 member F6</t>
  </si>
  <si>
    <t>Lysine-specific demethylase 8</t>
  </si>
  <si>
    <t>Activating signal cointegrator 1 complex subunit 3</t>
  </si>
  <si>
    <t>EH domain-binding protein 1-like protein 1</t>
  </si>
  <si>
    <t>MICAL-like protein 1</t>
  </si>
  <si>
    <t>Formin-binding protein 4</t>
  </si>
  <si>
    <t>GTP-binding protein 8</t>
  </si>
  <si>
    <t>Translation factor GUF1, mitochondrial</t>
  </si>
  <si>
    <t>D-2-hydroxyglutarate dehydrogenase, mitochondrial</t>
  </si>
  <si>
    <t>RING1 and YY1-binding protein</t>
  </si>
  <si>
    <t>Probable hydrolase PNKD</t>
  </si>
  <si>
    <t>Isoform 2 of Probable hydrolase PNKD</t>
  </si>
  <si>
    <t>Isoform 5 of Misshapen-like kinase 1</t>
  </si>
  <si>
    <t>Mitochondrial import receptor subunit TOM5 homolog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</si>
  <si>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</si>
  <si>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</si>
  <si>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</si>
  <si>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Coiled-coil domain-containing protein 82</t>
  </si>
  <si>
    <t>Carbonyl reductase family member 4</t>
  </si>
  <si>
    <t>Membrane magnesium transporter 1</t>
  </si>
  <si>
    <t>2-oxoglutarate and iron-dependent oxygenase domain-containing protein 1</t>
  </si>
  <si>
    <t>Zinc finger CCHC domain-containing protein 9</t>
  </si>
  <si>
    <t>Isoform 2 of Oxidation resistance protein 1</t>
  </si>
  <si>
    <t>Isoform 2 of Tetratricopeptide repeat protein 39C</t>
  </si>
  <si>
    <t>Isoform 2 of Zinc finger CCCH-type with G patch domain-containing protein</t>
  </si>
  <si>
    <t>S1 RNA-binding domain-containing protein 1</t>
  </si>
  <si>
    <t>DTW domain-containing protein 1</t>
  </si>
  <si>
    <t>NF-kappa-B-activating protein</t>
  </si>
  <si>
    <t>Isoform 2 of Small integral membrane protein 20</t>
  </si>
  <si>
    <t>Macoilin</t>
  </si>
  <si>
    <t>Dehydrogenase/reductase SDR family member on chromosome X</t>
  </si>
  <si>
    <t>Uncharacterized protein C12orf45</t>
  </si>
  <si>
    <t>CDGSH iron-sulfur domain-containing protein 2</t>
  </si>
  <si>
    <t>Ribonuclease P protein subunit p25-like protein</t>
  </si>
  <si>
    <t>ATP synthase mitochondrial F1 complex assembly factor 2</t>
  </si>
  <si>
    <t>Protein jagunal homolog 1</t>
  </si>
  <si>
    <t>39S ribosomal protein L50, mitochondrial</t>
  </si>
  <si>
    <t>Zinc finger CCCH domain-containing protein 8</t>
  </si>
  <si>
    <t>Mono [ADP-ribose] polymerase PARP16</t>
  </si>
  <si>
    <t>Isoform 2 of BTB/POZ domain-containing protein KCTD17</t>
  </si>
  <si>
    <t>Isoform 4 of Inactive dipeptidyl peptidase 10</t>
  </si>
  <si>
    <t>Uncharacterized protein C10orf12</t>
  </si>
  <si>
    <t>COMM domain-containing protein 1</t>
  </si>
  <si>
    <t>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</si>
  <si>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</si>
  <si>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</si>
  <si>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</si>
  <si>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</si>
  <si>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</si>
  <si>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Methyltransferase-like protein 25</t>
  </si>
  <si>
    <t>ADP-ribosylation factor-like protein 6-interacting protein 6</t>
  </si>
  <si>
    <t>ADP-ribosylation factor GTPase-activating protein 1</t>
  </si>
  <si>
    <t>NAD-dependent protein deacetylase sirtuin-6</t>
  </si>
  <si>
    <t>Isoform 3 of ER membrane protein complex subunit 1</t>
  </si>
  <si>
    <t>Putative E3 ubiquitin-protein ligase UBR7</t>
  </si>
  <si>
    <t>ATP-dependent RNA helicase DDX51</t>
  </si>
  <si>
    <t>Mitochondrial carnitine/acylcarnitine carrier protein CACL</t>
  </si>
  <si>
    <t>UPF0565 protein C2orf69</t>
  </si>
  <si>
    <t>Isoform 2 of Protein enabled homolog</t>
  </si>
  <si>
    <t>V-type proton ATPase subunit d 2</t>
  </si>
  <si>
    <t>Isoform 2 of Discoidin, CUB and LCCL domain-containing protein 1</t>
  </si>
  <si>
    <t>G patch domain-containing protein 11</t>
  </si>
  <si>
    <t>Centrosomal protein of 120 kDa</t>
  </si>
  <si>
    <t>Isoform 4 of 39S ribosomal protein L43, mitochondrial</t>
  </si>
  <si>
    <t>Uncharacterized protein C12orf29</t>
  </si>
  <si>
    <t>Isoform 2 of Nuclear envelope phosphatase-regulatory subunit 1</t>
  </si>
  <si>
    <t>Glycerophosphodiester phosphodiesterase domain-containing protein 1</t>
  </si>
  <si>
    <t>Uncharacterized protein C19orf47</t>
  </si>
  <si>
    <t>Transmembrane protein 102</t>
  </si>
  <si>
    <t>Leucine-rich repeat-containing protein 57</t>
  </si>
  <si>
    <t>Probable RNA-binding protein EIF1AD</t>
  </si>
  <si>
    <t>Protein SREK1IP1</t>
  </si>
  <si>
    <t>Protein SCAI</t>
  </si>
  <si>
    <t>Isoform 2 of WD repeat, SAM and U-box domain-containing protein 1</t>
  </si>
  <si>
    <t>Zinc finger protein 579</t>
  </si>
  <si>
    <t>Glycosyltransferase-like domain-containing protein 2</t>
  </si>
  <si>
    <t>Pre-mRNA-splicing factor 38A</t>
  </si>
  <si>
    <t>Isoform 2 of Zinc finger protein 511</t>
  </si>
  <si>
    <t>Mixed lineage kinase domain-like protein</t>
  </si>
  <si>
    <t>Parkinson disease 7 domain-containing protein 1</t>
  </si>
  <si>
    <t>Isoform 2 of Zinc finger protein 527</t>
  </si>
  <si>
    <t>Serine/threonine-protein phosphatase 6 regulatory ankyrin repeat subunit C</t>
  </si>
  <si>
    <t>Isoform 3 of Probable phospholipid-transporting ATPase IG</t>
  </si>
  <si>
    <t>Spermatogenesis-associated protein 5</t>
  </si>
  <si>
    <t>DTW domain-containing protein 2</t>
  </si>
  <si>
    <t>NHL repeat-containing protein 2</t>
  </si>
  <si>
    <t>Late secretory pathway protein AVL9 homolog</t>
  </si>
  <si>
    <t>Xyloside xylosyltransferase 1</t>
  </si>
  <si>
    <t>Isoform 2 of Golgi membrane protein 1</t>
  </si>
  <si>
    <t>Procollagen galactosyltransferase 1</t>
  </si>
  <si>
    <t>Isoform 4 of Sulfatase-modifying factor 1</t>
  </si>
  <si>
    <t>Protein O-glucosyltransferase 1</t>
  </si>
  <si>
    <t>Isoform 4 of Ubiquitin-associated domain-containing protein 2</t>
  </si>
  <si>
    <t>Prenylcysteine oxidase-like</t>
  </si>
  <si>
    <t>Transmembrane protein 87A</t>
  </si>
  <si>
    <t>Tetratricopeptide repeat protein 13</t>
  </si>
  <si>
    <t>ATPase family AAA domain-containing protein 1</t>
  </si>
  <si>
    <t>Saccharopine dehydrogenase-like oxidoreductase</t>
  </si>
  <si>
    <t>INO80 complex subunit E</t>
  </si>
  <si>
    <t>UDP-glucuronic acid decarboxylase 1</t>
  </si>
  <si>
    <t>Plasminogen activator inhibitor 1 RNA-binding protein</t>
  </si>
  <si>
    <t>Isoform 2 of Plasminogen activator inhibitor 1 RNA-binding protein</t>
  </si>
  <si>
    <t>Keratinocyte-associated transmembrane protein 2</t>
  </si>
  <si>
    <t>LEM domain-containing protein 2</t>
  </si>
  <si>
    <t>Nitric oxide-associated protein 1</t>
  </si>
  <si>
    <t>Adaptin ear-binding coat-associated protein 1</t>
  </si>
  <si>
    <t>Isoform 2 of Protein FAM98A</t>
  </si>
  <si>
    <t>Group XV phospholipase A2</t>
  </si>
  <si>
    <t>Isoform 2 of tRNA-splicing endonuclease subunit Sen2</t>
  </si>
  <si>
    <t>Isoform 2 of Myotubularin-related protein 14</t>
  </si>
  <si>
    <t>NFATC2-interacting protein</t>
  </si>
  <si>
    <t>Isoform 4 of Sn1-specific diacylglycerol lipase beta</t>
  </si>
  <si>
    <t>E3 ubiquitin-protein ligase RNF169</t>
  </si>
  <si>
    <t>Pyruvate dehydrogenase phosphatase regulatory subunit, mitochondrial</t>
  </si>
  <si>
    <t>UDP-GalNAc:beta-1,3-N-acetylgalactosaminyltransferase 2</t>
  </si>
  <si>
    <t>NAD(P)H-hydrate epimerase</t>
  </si>
  <si>
    <t>Protein SMG8</t>
  </si>
  <si>
    <t>RING finger protein 214</t>
  </si>
  <si>
    <t>E3 ubiquitin-protein ligase ZNRF1</t>
  </si>
  <si>
    <t>Isoform 2 of Protein LSM14 homolog A</t>
  </si>
  <si>
    <t>Isoform 3 of Cyclin-Y</t>
  </si>
  <si>
    <t>SLAIN motif-containing protein 1</t>
  </si>
  <si>
    <t>MAPK-interacting and spindle-stabilizing protein-like</t>
  </si>
  <si>
    <t>Isoform 2 of Uncharacterized protein C1orf131</t>
  </si>
  <si>
    <t>Isoform 3 of Uncharacterized protein C1orf131</t>
  </si>
  <si>
    <t>Isoform 3 of EH domain-binding protein 1</t>
  </si>
  <si>
    <t>Putative RNA-binding protein 15B</t>
  </si>
  <si>
    <t>Isoform 2 of Structural maintenance of chromosomes protein 1B</t>
  </si>
  <si>
    <t>Deleted in autism protein 1</t>
  </si>
  <si>
    <t>Transmembrane protein 104</t>
  </si>
  <si>
    <t>Metal transporter CNNM3</t>
  </si>
  <si>
    <t>ATP-binding cassette sub-family F member 1</t>
  </si>
  <si>
    <t>Isoform 3 of Calcium uniporter protein, mitochondrial</t>
  </si>
  <si>
    <t>Phosphatidylinositol 3-kinase catalytic subunit type 3</t>
  </si>
  <si>
    <t>Glutathione S-transferase C-terminal domain-containing protein</t>
  </si>
  <si>
    <t>Serum response factor-binding protein 1</t>
  </si>
  <si>
    <t>Isoform 2 of Phospholipase DDHD1</t>
  </si>
  <si>
    <t>SHC SH2 domain-binding protein 1</t>
  </si>
  <si>
    <t>PDZ domain-containing protein 8</t>
  </si>
  <si>
    <t>Isoform 2 of Vacuolar protein sorting-associated protein 37A</t>
  </si>
  <si>
    <t>F-box only protein 22</t>
  </si>
  <si>
    <t>Lysophosphatidylcholine acyltransferase 1</t>
  </si>
  <si>
    <t>Biorientation of chromosomes in cell division protein 1-like 1</t>
  </si>
  <si>
    <t>Isoform 2 of FAD synthase</t>
  </si>
  <si>
    <t>Nucleoporin Nup43</t>
  </si>
  <si>
    <t>Nucleoporin Nup37</t>
  </si>
  <si>
    <t>Cytosolic endo-beta-N-acetylglucosaminidase</t>
  </si>
  <si>
    <t>Torsin-1A-interacting protein 2</t>
  </si>
  <si>
    <t>Thiosulfate sulfurtransferase/rhodanese-like domain-containing protein 1</t>
  </si>
  <si>
    <t>Inositol polyphosphate multikinase</t>
  </si>
  <si>
    <t>Isoform 4 of Alpha/beta hydrolase domain-containing protein 11</t>
  </si>
  <si>
    <t>N-acylneuraminate cytidylyltransferase</t>
  </si>
  <si>
    <t>Kelch repeat and BTB domain-containing protein 8</t>
  </si>
  <si>
    <t>Cell adhesion molecule 4</t>
  </si>
  <si>
    <t>Isoform 2 of Tetraspanin-14</t>
  </si>
  <si>
    <t>Tubulin--tyrosine ligase</t>
  </si>
  <si>
    <t>Small VCP/p97-interacting protein</t>
  </si>
  <si>
    <t>E3 ubiquitin-protein ligase ZNRF2</t>
  </si>
  <si>
    <t>Motile sperm domain-containing protein 2</t>
  </si>
  <si>
    <t>Putative phospholipase B-like 2</t>
  </si>
  <si>
    <t>ATP-dependent RNA helicase DDX55</t>
  </si>
  <si>
    <t>Tudor domain-containing protein 7</t>
  </si>
  <si>
    <t>GTPase IMAP family member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</si>
  <si>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</si>
  <si>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</si>
  <si>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</si>
  <si>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</si>
  <si>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</si>
  <si>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WD repeat-containing protein 36</t>
  </si>
  <si>
    <t>Protein phosphatase PTC7 homolog</t>
  </si>
  <si>
    <t>Retinitis pigmentosa 9 protein</t>
  </si>
  <si>
    <t>Isoform 3 of Proteasome subunit alpha type-7-like</t>
  </si>
  <si>
    <t>GrpE protein homolog 2, mitochondrial</t>
  </si>
  <si>
    <t>Isoform 2 of Vang-like protein 1</t>
  </si>
  <si>
    <t>Rieske domain-containing protein</t>
  </si>
  <si>
    <t>Smad nuclear-interacting protein 1</t>
  </si>
  <si>
    <t>Growth arrest and DNA damage-inducible proteins-interacting protein 1</t>
  </si>
  <si>
    <t>WD repeat-containing protein 48</t>
  </si>
  <si>
    <t>Centrosomal protein of 76 kDa</t>
  </si>
  <si>
    <t>Protein phosphatase 1 regulatory subunit 35</t>
  </si>
  <si>
    <t>M-phase-specific PLK1-interacting protein</t>
  </si>
  <si>
    <t>SWI/SNF complex subunit SMARCC2</t>
  </si>
  <si>
    <t>Nuclear protein localization protein 4 homolog</t>
  </si>
  <si>
    <t>Protein FAM76A</t>
  </si>
  <si>
    <t>Protein FAM110D</t>
  </si>
  <si>
    <t>Uncharacterized protein CXorf38</t>
  </si>
  <si>
    <t>Isoform 3 of Spermatogenesis-associated protein 20</t>
  </si>
  <si>
    <t>Ganglioside-induced differentiation-associated protein 1</t>
  </si>
  <si>
    <t>Iron-sulfur protein NUBPL</t>
  </si>
  <si>
    <t>F-box only protein 30</t>
  </si>
  <si>
    <t>Isoform 3 of Adenosine 3-phospho 5-phosphosulfate transporter 1</t>
  </si>
  <si>
    <t>Isoform 3 of Pumilio homolog 2</t>
  </si>
  <si>
    <t>T-cell immunomodulatory protein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</si>
  <si>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</si>
  <si>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</si>
  <si>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</si>
  <si>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</si>
  <si>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Zinc finger CCHC-type and RNA-binding motif-containing protein 1</t>
  </si>
  <si>
    <t>DnaJ homolog subfamily B member 14</t>
  </si>
  <si>
    <t>Guanine nucleotide exchange factor for Rab-3A</t>
  </si>
  <si>
    <t>Solute carrier family 25 member 40</t>
  </si>
  <si>
    <t>Protein kish-A</t>
  </si>
  <si>
    <t>Phosphatidylinositol 5-phosphate 4-kinase type-2 gamma</t>
  </si>
  <si>
    <t>WD repeat-containing protein 20</t>
  </si>
  <si>
    <t>tRNA methyltransferase 10 homolog A</t>
  </si>
  <si>
    <t>Isoform 2 of TBC1 domain family member 15</t>
  </si>
  <si>
    <t>Retinol dehydrogenase 11</t>
  </si>
  <si>
    <t>Protein transport protein Sec61 subunit alpha isoform 2</t>
  </si>
  <si>
    <t>Leucine-rich repeat-containing protein 20</t>
  </si>
  <si>
    <t>UPF0729 protein C18orf32</t>
  </si>
  <si>
    <t>5(3)-deoxyribonucleotidase, cytosolic type</t>
  </si>
  <si>
    <t>Isoform 2 of Protein FAM45A</t>
  </si>
  <si>
    <t>Protein CIP2A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</si>
  <si>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</si>
  <si>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</si>
  <si>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</si>
  <si>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Isoform 3 of Signal peptide peptidase-like 3</t>
  </si>
  <si>
    <t>Signal peptide peptidase-like 2A</t>
  </si>
  <si>
    <t>Isoform 5 of Minor histocompatibility antigen H13</t>
  </si>
  <si>
    <t>Up-regulator of cell proliferation</t>
  </si>
  <si>
    <t>Isoform 6 of CD99 antigen-like protein 2</t>
  </si>
  <si>
    <t>Isoform 2 of Mitogen-activated protein kinase 15</t>
  </si>
  <si>
    <t>Isoform 2 of Protein bicaudal D homolog 2</t>
  </si>
  <si>
    <t>Serine/threonine-protein kinase Nek9</t>
  </si>
  <si>
    <t>Alanine aminotransferase 2</t>
  </si>
  <si>
    <t>Isoform 2 of Pleckstrin homology domain-containing family O member 2</t>
  </si>
  <si>
    <t>E3 ubiquitin-protein ligase DTX3L</t>
  </si>
  <si>
    <t>Serine/threonine-protein kinase BRSK1</t>
  </si>
  <si>
    <t>ATP-dependent RNA helicase DDX54</t>
  </si>
  <si>
    <t>Biogenesis of lysosome-related organelles complex 1 subunit 5</t>
  </si>
  <si>
    <t>Chromodomain-helicase-DNA-binding protein 5</t>
  </si>
  <si>
    <t>DmX-like protein 2</t>
  </si>
  <si>
    <t>Glucosamine-6-phosphate isomerase 2</t>
  </si>
  <si>
    <t>Leucine-rich repeat-containing protein 8C</t>
  </si>
  <si>
    <t>Serine/threonine-protein kinase Nek7</t>
  </si>
  <si>
    <t>Isoform 2 of RB1-inducible coiled-coil protein 1</t>
  </si>
  <si>
    <t>Protein-methionine sulfoxide oxidase MICAL1</t>
  </si>
  <si>
    <t>Isoform 2 of Pantothenate kinase 1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</si>
  <si>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</si>
  <si>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</si>
  <si>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</si>
  <si>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</si>
  <si>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U3 small nucleolar RNA-associated protein 15 homolog</t>
  </si>
  <si>
    <t>DENN domain-containing protein 1A</t>
  </si>
  <si>
    <t>Nuclear pore membrane glycoprotein 210</t>
  </si>
  <si>
    <t>Isoform 2 of Sorting nexin-29</t>
  </si>
  <si>
    <t>Gem-associated protein 5</t>
  </si>
  <si>
    <t>GPI ethanolamine phosphate transferase 3</t>
  </si>
  <si>
    <t>Isoform 7 of Partitioning defective 3 homolog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</si>
  <si>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</si>
  <si>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</si>
  <si>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</si>
  <si>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</si>
  <si>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C2 calcium-dependent domain-containing protein 4C</t>
  </si>
  <si>
    <t>Monocarboxylate transporter 10</t>
  </si>
  <si>
    <t>WAS/WASL-interacting protein family member 2</t>
  </si>
  <si>
    <t>1-acylglycerol-3-phosphate O-acyltransferase ABHD5</t>
  </si>
  <si>
    <t>Histone-lysine N-methyltransferase SETD7</t>
  </si>
  <si>
    <t>Conserved oligomeric Golgi complex subunit 1</t>
  </si>
  <si>
    <t>Pyridine nucleotide-disulfide oxidoreductase domain-containing protein 1</t>
  </si>
  <si>
    <t>Marginal zone B- and B1-cell-specific protein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</si>
  <si>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</si>
  <si>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</si>
  <si>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</si>
  <si>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</si>
  <si>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Tsukushin</t>
  </si>
  <si>
    <t>Isoform 3 of PHD finger protein 10</t>
  </si>
  <si>
    <t>Ras-related protein Rab-2B</t>
  </si>
  <si>
    <t>RelA-associated inhibitor</t>
  </si>
  <si>
    <t>Isoform 3 of Protein FAM172A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</si>
  <si>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</si>
  <si>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</si>
  <si>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</si>
  <si>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</si>
  <si>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</si>
  <si>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Nuclear pore complex protein Nup133</t>
  </si>
  <si>
    <t>Programmed cell death 6-interacting protein</t>
  </si>
  <si>
    <t>Sodium-dependent phosphate transporter 1</t>
  </si>
  <si>
    <t>Ubiquitin domain-containing protein 2</t>
  </si>
  <si>
    <t>UPF0235 protein C15orf40</t>
  </si>
  <si>
    <t>Cation transport regulator-like protein 2</t>
  </si>
  <si>
    <t>Charged multivesicular body protein 7</t>
  </si>
  <si>
    <t>Protein THEM6</t>
  </si>
  <si>
    <t>N-acetyltransferase 14</t>
  </si>
  <si>
    <t>Non-structural maintenance of chromosomes element 1 homolog</t>
  </si>
  <si>
    <t>Pleckstrin homology-like domain family A member 1</t>
  </si>
  <si>
    <t>Nucleoside diphosphate-linked moiety X motif 8, mitochondrial</t>
  </si>
  <si>
    <t>MIT domain-containing protein 1</t>
  </si>
  <si>
    <t>Chromosome transmission fidelity protein 18 homolog</t>
  </si>
  <si>
    <t>RNA polymerase-associated protein LEO1</t>
  </si>
  <si>
    <t>E3 ubiquitin-protein ligase RNF138</t>
  </si>
  <si>
    <t>RING finger protein 141</t>
  </si>
  <si>
    <t>N(6)-adenine-specific DNA methyltransferase 2</t>
  </si>
  <si>
    <t>NudC domain-containing protein 2</t>
  </si>
  <si>
    <t>U4/U6.U5 small nuclear ribonucleoprotein 27 kDa protein</t>
  </si>
  <si>
    <t>Spindle and kinetochore-associated protein 2</t>
  </si>
  <si>
    <t>Ankyrin repeat domain-containing protein 49</t>
  </si>
  <si>
    <t>Dimethyladenosine transferase 1, mitochondrial</t>
  </si>
  <si>
    <t>Sec1 family domain-containing protein 1</t>
  </si>
  <si>
    <t>Soluble calcium-activated nucleotidase 1</t>
  </si>
  <si>
    <t>Trafficking protein particle complex subunit 12</t>
  </si>
  <si>
    <t>Fatty acyl-CoA reductase 1</t>
  </si>
  <si>
    <t>Ubiquitin-like domain-containing CTD phosphatase 1</t>
  </si>
  <si>
    <t>Kelch repeat and BTB domain-containing protein 7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</si>
  <si>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</si>
  <si>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</si>
  <si>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</si>
  <si>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</si>
  <si>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Uncharacterized protein C2orf47, mitochondrial</t>
  </si>
  <si>
    <t>Probable tRNA pseudouridine synthase 1</t>
  </si>
  <si>
    <t>Choline transporter-like protein 1</t>
  </si>
  <si>
    <t>Isoform 3 of Cytoskeleton-associated protein 2</t>
  </si>
  <si>
    <t>G2/mitotic-specific cyclin-B3</t>
  </si>
  <si>
    <t>Ataxin-2-like protein</t>
  </si>
  <si>
    <t>GTPase IMAP family member 1</t>
  </si>
  <si>
    <t>Reticulon-4-interacting protein 1, mitochondrial</t>
  </si>
  <si>
    <t>Isoform 2 of Ras association domain-containing protein 5</t>
  </si>
  <si>
    <t>Selenoprotein M</t>
  </si>
  <si>
    <t>U4/U6 small nuclear ribonucleoprotein Prp31</t>
  </si>
  <si>
    <t>Negative elongation factor B</t>
  </si>
  <si>
    <t>Isoform 3 of Palladin</t>
  </si>
  <si>
    <t>Isoform 2 of Splicing regulatory glutamine/lysine-rich protein 1</t>
  </si>
  <si>
    <t>Gem-associated protein 6</t>
  </si>
  <si>
    <t>Caskin-2</t>
  </si>
  <si>
    <t>Isoform 4 of ATR-interacting protein</t>
  </si>
  <si>
    <t>Paraspeckle component 1</t>
  </si>
  <si>
    <t>Isoform 7 of MAP kinase-activating death domain protein</t>
  </si>
  <si>
    <t>Nesprin-2</t>
  </si>
  <si>
    <t>Transcriptional repressor p66-beta</t>
  </si>
  <si>
    <t>Dynein heavy chain 7, axonemal</t>
  </si>
  <si>
    <t>DnaJ homolog subfamily C member 9</t>
  </si>
  <si>
    <t>BRI3-binding protein</t>
  </si>
  <si>
    <t>Isoform 2 of Protein phosphatase 1E</t>
  </si>
  <si>
    <t>Beta-catenin-like protein 1</t>
  </si>
  <si>
    <t>Inhibitor of growth protein 5</t>
  </si>
  <si>
    <t>Isoform 3 of Cysteine protease ATG4A</t>
  </si>
  <si>
    <t>Protein ELYS</t>
  </si>
  <si>
    <t>Isoform 3 of Microprocessor complex subunit DGCR8</t>
  </si>
  <si>
    <t>Galectin-9</t>
  </si>
  <si>
    <t>Ovarian cancer-associated gene 2 protein</t>
  </si>
  <si>
    <t>Protein LZIC</t>
  </si>
  <si>
    <t>Immunity-related GTPase family Q protein</t>
  </si>
  <si>
    <t>DNA damage-binding protein 2</t>
  </si>
  <si>
    <t>Isoform 2 of Aquaporin-3</t>
  </si>
  <si>
    <t>ATP-dependent RNA helicase DDX1</t>
  </si>
  <si>
    <t>Isoform 3 of SEC14-like protein 1</t>
  </si>
  <si>
    <t>Zinc transporter SLC39A7</t>
  </si>
  <si>
    <t>Estradiol 17-beta-dehydrogenase 8</t>
  </si>
  <si>
    <t>Piezo-type mechanosensitive ion channel component 1</t>
  </si>
  <si>
    <t>Protein FAM3C</t>
  </si>
  <si>
    <t>Histone H1x</t>
  </si>
  <si>
    <t>T-complex protein 1 subunit zeta-2</t>
  </si>
  <si>
    <t>Y+L amino acid transporter 2</t>
  </si>
  <si>
    <t>Uncharacterized protein KIAA0247</t>
  </si>
  <si>
    <t>Golgi-specific brefeldin A-resistance guanine nucleotide exchange factor 1</t>
  </si>
  <si>
    <t>RNA polymerase-associated protein RTF1 homolog</t>
  </si>
  <si>
    <t>Transmembrane 9 superfamily member 4</t>
  </si>
  <si>
    <t>Retrograde Golgi transport protein RGP1 homolog</t>
  </si>
  <si>
    <t>DNA topoisomerase 2-binding protein 1</t>
  </si>
  <si>
    <t>Inositol hexakisphosphate kinase 1</t>
  </si>
  <si>
    <t>28S ribosomal protein S27, mitochondrial</t>
  </si>
  <si>
    <t>Engulfment and cell motility protein 1</t>
  </si>
  <si>
    <t>Wiskott-Aldrich syndrome protein family member 1</t>
  </si>
  <si>
    <t>Isoform 2 of Protein FAM168A</t>
  </si>
  <si>
    <t>AP-3 complex subunit sigma-1</t>
  </si>
  <si>
    <t>UBX domain-containing protein 4</t>
  </si>
  <si>
    <t>Isoform 2 of PHD finger protein 3</t>
  </si>
  <si>
    <t>Isoform 2 of Sodium/hydrogen exchanger 6</t>
  </si>
  <si>
    <t>Mastermind-like protein 1</t>
  </si>
  <si>
    <t>Protein NDRG1</t>
  </si>
  <si>
    <t>Isoform Beta of Heat shock protein 105 kDa</t>
  </si>
  <si>
    <t>Cell differentiation protein RCD1 homolog</t>
  </si>
  <si>
    <t>Dedicator of cytokinesis protein 2</t>
  </si>
  <si>
    <t>TBC1 domain family member 5</t>
  </si>
  <si>
    <t>ER degradation-enhancing alpha-mannosidase-like protein 1</t>
  </si>
  <si>
    <t>Protein Jade-3</t>
  </si>
  <si>
    <t>Isoform 2 of Unconventional myosin-XVIIIa</t>
  </si>
  <si>
    <t>La-related protein 4B</t>
  </si>
  <si>
    <t>Translational activator GCN1</t>
  </si>
  <si>
    <t>Minor histocompatibility protein HA-1</t>
  </si>
  <si>
    <t>Pre-mRNA-splicing factor ATP-dependent RNA helicase PRP16</t>
  </si>
  <si>
    <t>Nuclear pore complex protein Nup205</t>
  </si>
  <si>
    <t>Tetratricopeptide repeat protein 9A</t>
  </si>
  <si>
    <t>Peroxidasin homolog</t>
  </si>
  <si>
    <t>Protein FAN</t>
  </si>
  <si>
    <t>28S ribosomal protein S31, mitochondrial</t>
  </si>
  <si>
    <t>A-kinase anchor protein 1, mitochondrial</t>
  </si>
  <si>
    <t>Sortilin-related receptor</t>
  </si>
  <si>
    <t>Neurogranin</t>
  </si>
  <si>
    <t>Isoform 2 of 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</si>
  <si>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</si>
  <si>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</si>
  <si>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</si>
  <si>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</si>
  <si>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</si>
  <si>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</si>
  <si>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General transcription factor IIH subunit 4</t>
  </si>
  <si>
    <t>Ras-responsive element-binding protein 1</t>
  </si>
  <si>
    <t>Putative ATP-dependent RNA helicase DDX12</t>
  </si>
  <si>
    <t>Isoform 2 of Signal transducing adapter molecule 1</t>
  </si>
  <si>
    <t>Zinc finger protein DPF3</t>
  </si>
  <si>
    <t>Zinc finger protein ubi-d4</t>
  </si>
  <si>
    <t>CREB-binding protein</t>
  </si>
  <si>
    <t>Symplekin</t>
  </si>
  <si>
    <t>Isoform Short of TATA-binding protein-associated factor 2N</t>
  </si>
  <si>
    <t>Gamma-glutamyl hydrolase</t>
  </si>
  <si>
    <t>Coronin-2A</t>
  </si>
  <si>
    <t>Isoform 4 of X-linked retinitis pigmentosa GTPase regulator</t>
  </si>
  <si>
    <t>Isoform 3 of Bcl-2-like protein 2</t>
  </si>
  <si>
    <t>TRAF family member-associated NF-kappa-B activator</t>
  </si>
  <si>
    <t>Isoform D of Caspase-10</t>
  </si>
  <si>
    <t>Semaphorin-4D</t>
  </si>
  <si>
    <t>Isoform 3 of Neogenin</t>
  </si>
  <si>
    <t>Phosphomannomutase 1</t>
  </si>
  <si>
    <t>DNA repair protein RAD50</t>
  </si>
  <si>
    <t>Osteoclast-stimulating factor 1</t>
  </si>
  <si>
    <t>DNA repair endonuclease XPF</t>
  </si>
  <si>
    <t>Ubiquitin fusion degradation protein 1 homolog</t>
  </si>
  <si>
    <t>Golgi apparatus protein 1</t>
  </si>
  <si>
    <t>Regulator of nonsense transcripts 1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</si>
  <si>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</si>
  <si>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</si>
  <si>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</si>
  <si>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</si>
  <si>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</si>
  <si>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</si>
  <si>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</si>
  <si>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</si>
  <si>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</si>
  <si>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</si>
  <si>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</si>
  <si>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Isoform 5 of Transcription factor IIIB 90 kDa subunit</t>
  </si>
  <si>
    <t>Ubiquitin carboxyl-terminal hydrolase 13</t>
  </si>
  <si>
    <t>Isoform 2 of Probable ubiquitin carboxyl-terminal hydrolase FAF-X</t>
  </si>
  <si>
    <t>N-acetyltransferase 6</t>
  </si>
  <si>
    <t>Cullin-5</t>
  </si>
  <si>
    <t>Lipoma-preferred partner</t>
  </si>
  <si>
    <t>Exostosin-2</t>
  </si>
  <si>
    <t>Putative deoxyribonuclease TATDN2</t>
  </si>
  <si>
    <t>Isoform SERCA3A of Sarcoplasmic/endoplasmic reticulum calcium ATPase 3</t>
  </si>
  <si>
    <t>Protein tyrosine phosphatase type IVA 1</t>
  </si>
  <si>
    <t>Isoform 4 of Phosphorylase b kinase regulatory subunit beta</t>
  </si>
  <si>
    <t>Isoform 2 of Secretory carrier-associated membrane protein 4</t>
  </si>
  <si>
    <t>Transcription elongation factor A protein-like 3</t>
  </si>
  <si>
    <t>Pre-rRNA-processing protein TSR2 homolog</t>
  </si>
  <si>
    <t>Protein naked cuticle homolog 2</t>
  </si>
  <si>
    <t>Isoform 2 of SWI/SNF-related matrix-associated actin-dependent regulator of chromatin subfamily E member 1</t>
  </si>
  <si>
    <t>Riboflavin kinase</t>
  </si>
  <si>
    <t>Ribonuclease P/MRP protein subunit POP5</t>
  </si>
  <si>
    <t>UPF0556 protein C19orf10</t>
  </si>
  <si>
    <t>Mitochondrial import receptor subunit TOM40B</t>
  </si>
  <si>
    <t>Protein YIPF5</t>
  </si>
  <si>
    <t>Isoform 5 of GPI transamidase component PIG-T</t>
  </si>
  <si>
    <t>Isoform 3 of Immunoglobulin superfamily member 8</t>
  </si>
  <si>
    <t>60S ribosomal protein L36a-like</t>
  </si>
  <si>
    <t>Ras-related protein Rab-24</t>
  </si>
  <si>
    <t>Lethal(3)malignant brain tumor-like protein 2</t>
  </si>
  <si>
    <t>Integrin-alpha FG-GAP repeat-containing protein 2</t>
  </si>
  <si>
    <t>Zinc finger protein 622</t>
  </si>
  <si>
    <t>Isoform 2 of Ribosome-releasing factor 2, mitochondrial</t>
  </si>
  <si>
    <t>Isoform 2 of 7-methylguanosine phosphate-specific 5-nucleotidase</t>
  </si>
  <si>
    <t>Isoform 2 of Nicalin</t>
  </si>
  <si>
    <t>Mitochondrial ubiquitin ligase activator of NFKB 1</t>
  </si>
  <si>
    <t>RILP-like protein 2</t>
  </si>
  <si>
    <t>Isoform 2 of Endoplasmic reticulum-Golgi intermediate compartment protein 1</t>
  </si>
  <si>
    <t>Cirhin</t>
  </si>
  <si>
    <t>Isoform 3 of tRNA modification GTPase GTPBP3, mitochondrial</t>
  </si>
  <si>
    <t>Protein TBRG4</t>
  </si>
  <si>
    <t>Coiled-coil domain-containing protein 102A</t>
  </si>
  <si>
    <t>Isoform 2 of GDP-fucose transporter 1</t>
  </si>
  <si>
    <t>Coiled-coil domain-containing protein 47</t>
  </si>
  <si>
    <t>Insulin gene enhancer protein ISL-2</t>
  </si>
  <si>
    <t>Synapse-associated protein 1</t>
  </si>
  <si>
    <t>Exocyst complex component 4</t>
  </si>
  <si>
    <t>Putative monooxygenase p33MONOX</t>
  </si>
  <si>
    <t>Protein N-terminal asparagine amidohydrolase</t>
  </si>
  <si>
    <t>Fermitin family homolog 2</t>
  </si>
  <si>
    <t>Far upstream element-binding protein 1</t>
  </si>
  <si>
    <t>Isoform 2 of Far upstream element-binding protein 1</t>
  </si>
  <si>
    <t>Solute carrier family 25 member 46</t>
  </si>
  <si>
    <t>Leucine-rich repeat-containing protein 59</t>
  </si>
  <si>
    <t>Isoform 1 of Vesicle transport through interaction with t-SNAREs homolog 1A</t>
  </si>
  <si>
    <t>Isoform 2 of Adrenocortical dysplasia protein homolog</t>
  </si>
  <si>
    <t>Isoform 2 of Pre-B-cell leukemia transcription factor-interacting protein 1</t>
  </si>
  <si>
    <t>Mitochondrial calcium uniporter regulator 1</t>
  </si>
  <si>
    <t>Uncharacterized protein KIAA1143</t>
  </si>
  <si>
    <t>Ribulose-phosphate 3-epimerase</t>
  </si>
  <si>
    <t>Isoform 4 of Ras-related protein Rab-37</t>
  </si>
  <si>
    <t>RAD51-associated protein 1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</si>
  <si>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</si>
  <si>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</si>
  <si>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</si>
  <si>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</si>
  <si>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</si>
  <si>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Leukocyte receptor cluster member 9</t>
  </si>
  <si>
    <t>SH3 domain-containing kinase-binding protein 1</t>
  </si>
  <si>
    <t>E3 ubiquitin-protein ligase RNF25</t>
  </si>
  <si>
    <t>Gamma-secretase subunit APH-1A</t>
  </si>
  <si>
    <t>PIN2/TERF1-interacting telomerase inhibitor 1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</si>
  <si>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</si>
  <si>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</si>
  <si>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</si>
  <si>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</si>
  <si>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</si>
  <si>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Alkylated DNA repair protein alkB homolog 8</t>
  </si>
  <si>
    <t>Uracil phosphoribosyltransferase homolog</t>
  </si>
  <si>
    <t>Isoform 2 of Phosphotriesterase-related protein</t>
  </si>
  <si>
    <t>MOB kinase activator 3A</t>
  </si>
  <si>
    <t>Autophagy-related protein 2 homolog B</t>
  </si>
  <si>
    <t>Leukocyte receptor cluster member 1</t>
  </si>
  <si>
    <t>TBC1 domain family member 20</t>
  </si>
  <si>
    <t>Protein FAM136A</t>
  </si>
  <si>
    <t>EF-hand domain-containing protein D2</t>
  </si>
  <si>
    <t>Pyrroline-5-carboxylate reductase 2</t>
  </si>
  <si>
    <t>Uncharacterized protein C12orf43</t>
  </si>
  <si>
    <t>m7GpppX diphosphatase</t>
  </si>
  <si>
    <t>Protein phosphatase 1 regulatory subunit 14B</t>
  </si>
  <si>
    <t>Integrator complex subunit 12</t>
  </si>
  <si>
    <t>5-methylcytosine rRNA methyltransferase NSUN4</t>
  </si>
  <si>
    <t>F-box/LRR-repeat protein 8</t>
  </si>
  <si>
    <t>Phosphopantothenoylcysteine decarboxylase</t>
  </si>
  <si>
    <t>TRAF-interacting protein with FHA domain-containing protein A</t>
  </si>
  <si>
    <t>Isoform 2 of EVI5-like protein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</si>
  <si>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</si>
  <si>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</si>
  <si>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</si>
  <si>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</si>
  <si>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</si>
  <si>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</si>
  <si>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FAD-dependent oxidoreductase domain-containing protein 1</t>
  </si>
  <si>
    <t>Isoform 3 of Optineurin</t>
  </si>
  <si>
    <t>Isoform 2 of AP-2 complex subunit mu</t>
  </si>
  <si>
    <t>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</si>
  <si>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</si>
  <si>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</si>
  <si>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</si>
  <si>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Uncharacterized protein C10orf35</t>
  </si>
  <si>
    <t>Isoform beta of Calcium release-activated calcium channel protein 1</t>
  </si>
  <si>
    <t>Uncharacterized aarF domain-containing protein kinase 4</t>
  </si>
  <si>
    <t>Isoform 3 of RalBP1-associated Eps domain-containing protein 1</t>
  </si>
  <si>
    <t>Isoform 4 of Voltage-gated hydrogen channel 1</t>
  </si>
  <si>
    <t>Ras-related protein Rab-39B</t>
  </si>
  <si>
    <t>Mitochondrial import inner membrane translocase subunit TIM14</t>
  </si>
  <si>
    <t>Regulator of microtubule dynamics protein 1</t>
  </si>
  <si>
    <t>Ubiquitin thioesterase OTUB2</t>
  </si>
  <si>
    <t>Anaphase-promoting complex subunit 16</t>
  </si>
  <si>
    <t>Protein DGCR14</t>
  </si>
  <si>
    <t>Isoform 2 of RNA-binding protein Musashi homolog 2</t>
  </si>
  <si>
    <t>U5 small nuclear ribonucleoprotein 40 kDa protein</t>
  </si>
  <si>
    <t>Rho guanine nucleotide exchange factor 26</t>
  </si>
  <si>
    <t>Cysteine protease ATG4C</t>
  </si>
  <si>
    <t>Isoform 2 of SLAM family member 6</t>
  </si>
  <si>
    <t>39S ribosomal protein L38, mitochondrial</t>
  </si>
  <si>
    <t>RING finger and SPRY domain-containing protein 1</t>
  </si>
  <si>
    <t>Tripartite motif-containing protein 44</t>
  </si>
  <si>
    <t>Endoplasmic reticulum lectin 1</t>
  </si>
  <si>
    <t>Protein FAM122A</t>
  </si>
  <si>
    <t>Isoform 3 of Ribosome-recycling factor, mitochondrial</t>
  </si>
  <si>
    <t>RecQ-mediated genome instability protein 2</t>
  </si>
  <si>
    <t>Nogo-B receptor</t>
  </si>
  <si>
    <t>Isoform 2 of Uncharacterized protein C9orf9</t>
  </si>
  <si>
    <t>Metalloendopeptidase OMA1, mitochondrial</t>
  </si>
  <si>
    <t>Protein Spindly</t>
  </si>
  <si>
    <t>Elongator complex protein 4</t>
  </si>
  <si>
    <t>NAD-dependent protein deacetylase sirtuin-1</t>
  </si>
  <si>
    <t>Protein YIPF6</t>
  </si>
  <si>
    <t>Nucleoporin SEH1</t>
  </si>
  <si>
    <t>Mitochondrial assembly of ribosomal large subunit protein 1</t>
  </si>
  <si>
    <t>THAP domain-containing protein 11</t>
  </si>
  <si>
    <t>KIF1-binding protein</t>
  </si>
  <si>
    <t>Glucosamine 6-phosphate N-acetyltransferase</t>
  </si>
  <si>
    <t>Protein KTI12 homolog</t>
  </si>
  <si>
    <t>28S ribosomal protein S24, mitochondrial</t>
  </si>
  <si>
    <t>39S ribosomal protein L53, mitochondrial</t>
  </si>
  <si>
    <t>Trans-L-3-hydroxyproline dehydratase</t>
  </si>
  <si>
    <t>E3 ubiquitin-protein ligase RNF31</t>
  </si>
  <si>
    <t>DAZ-associated protein 1</t>
  </si>
  <si>
    <t>Small glutamine-rich tetratricopeptide repeat-containing protein beta</t>
  </si>
  <si>
    <t>Protein SAAL1</t>
  </si>
  <si>
    <t>Coiled-coil domain-containing protein 51</t>
  </si>
  <si>
    <t>SAGA-associated factor 29 homolog</t>
  </si>
  <si>
    <t>Isoform 2 of Ribosomal RNA processing protein 36 homolog</t>
  </si>
  <si>
    <t>RNA-binding protein 33</t>
  </si>
  <si>
    <t>Isoform 2 of Dysbindin</t>
  </si>
  <si>
    <t>HSPB1-associated protein 1</t>
  </si>
  <si>
    <t>Small integral membrane protein 12</t>
  </si>
  <si>
    <t>WD repeat-containing protein 34</t>
  </si>
  <si>
    <t>DnaJ homolog subfamily A member 3, mitochondrial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</si>
  <si>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</si>
  <si>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</si>
  <si>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</si>
  <si>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</si>
  <si>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GTPase IMAP family member 5</t>
  </si>
  <si>
    <t>Isoform 2 of Nuclear receptor-binding factor 2</t>
  </si>
  <si>
    <t>Isoform 3 of E3 ubiquitin-protein ligase TRIM11</t>
  </si>
  <si>
    <t>Interleukin-17 receptor A</t>
  </si>
  <si>
    <t>Coiled-coil domain-containing protein 97</t>
  </si>
  <si>
    <t>Enhancer of mRNA-decapping protein 3</t>
  </si>
  <si>
    <t>Isoform 3 of Probable ATP-dependent RNA helicase DDX11</t>
  </si>
  <si>
    <t>Sororin</t>
  </si>
  <si>
    <t>Protein MEF2BNB</t>
  </si>
  <si>
    <t>AMSH-like protease</t>
  </si>
  <si>
    <t>Dynein light chain 2, cytoplasmic</t>
  </si>
  <si>
    <t>WD repeat-containing protein 89</t>
  </si>
  <si>
    <t>Copine-2</t>
  </si>
  <si>
    <t>Probable D-tyrosyl-tRNA(Tyr) deacylase 2</t>
  </si>
  <si>
    <t>Signal-induced proliferation-associated protein 1</t>
  </si>
  <si>
    <t>THO complex subunit 1</t>
  </si>
  <si>
    <t>DPH3 homolog</t>
  </si>
  <si>
    <t>tRNA (adenine(58)-N(1))-methyltransferase catalytic subunit TRMT61A</t>
  </si>
  <si>
    <t>UPF0361 protein C3orf37</t>
  </si>
  <si>
    <t>Charged multivesicular body protein 6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</si>
  <si>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</si>
  <si>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</si>
  <si>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</si>
  <si>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</si>
  <si>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</si>
  <si>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Isoform 3 of OTU domain-containing protein 5</t>
  </si>
  <si>
    <t>Protein LTV1 homolog</t>
  </si>
  <si>
    <t>Pyridoxal phosphate phosphatase</t>
  </si>
  <si>
    <t>Aurora kinase B</t>
  </si>
  <si>
    <t>E3 ubiquitin-protein ligase RNF185</t>
  </si>
  <si>
    <t>DCN1-like protein 1</t>
  </si>
  <si>
    <t>Fumarylacetoacetate hydrolase domain-containing protein 2A</t>
  </si>
  <si>
    <t>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</si>
  <si>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</si>
  <si>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</si>
  <si>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</si>
  <si>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Alpha/beta hydrolase domain-containing protein 17A</t>
  </si>
  <si>
    <t>Methionine--tRNA ligase, mitochondrial</t>
  </si>
  <si>
    <t>Putative ataxin-7-like protein 3B</t>
  </si>
  <si>
    <t>Isoform 2 of Serine/threonine-protein kinase greatwall</t>
  </si>
  <si>
    <t>Methylthioribulose-1-phosphate dehydratase</t>
  </si>
  <si>
    <t>Isoform 2 of Methylthioribulose-1-phosphate dehydratase</t>
  </si>
  <si>
    <t>Zinc finger C2HC domain-containing protein 1A</t>
  </si>
  <si>
    <t>Vacuolar-sorting protein SNF8</t>
  </si>
  <si>
    <t>Isoform 4 of Centromere protein N</t>
  </si>
  <si>
    <t>Zinc finger CCCH-type antiviral protein 1-like</t>
  </si>
  <si>
    <t>Isoform 2 of Zinc finger protein 764</t>
  </si>
  <si>
    <t>Isoform 4 of Uncharacterized protein C1orf159</t>
  </si>
  <si>
    <t>PDZ and LIM domain protein 5</t>
  </si>
  <si>
    <t>Aspartoacylase-2</t>
  </si>
  <si>
    <t>ERO1-like protein alpha</t>
  </si>
  <si>
    <t>UPF0562 protein C7orf55</t>
  </si>
  <si>
    <t>Isoform 2 of UPF0562 protein C7orf55</t>
  </si>
  <si>
    <t>Putative adenosylhomocysteinase 3</t>
  </si>
  <si>
    <t>CDKN2AIP N-terminal-like protein</t>
  </si>
  <si>
    <t>Mediator of RNA polymerase II transcription subunit 30</t>
  </si>
  <si>
    <t>Isoform 2 of H/ACA ribonucleoprotein complex non-core subunit NAF1</t>
  </si>
  <si>
    <t>Receptor expression-enhancing protein 6</t>
  </si>
  <si>
    <t>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</si>
  <si>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</si>
  <si>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</si>
  <si>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</si>
  <si>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</si>
  <si>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Far upstream element-binding protein 3</t>
  </si>
  <si>
    <t>Splicing factor 45</t>
  </si>
  <si>
    <t>Cytochrome c oxidase assembly protein COX14</t>
  </si>
  <si>
    <t>Probable asparagine--tRNA ligase, mitochondrial</t>
  </si>
  <si>
    <t>Succinyl-CoA ligase [GDP-forming] subunit beta, mitochondrial</t>
  </si>
  <si>
    <t>LIM domain-containing protein ajuba</t>
  </si>
  <si>
    <t>Mannose-1-phosphate guanyltransferase alpha</t>
  </si>
  <si>
    <t>Biorientation of chromosomes in cell division protein 1</t>
  </si>
  <si>
    <t>Isoform 2 of Zinc finger protein 414</t>
  </si>
  <si>
    <t>Zinc finger protein 845</t>
  </si>
  <si>
    <t>Zinc finger BED domain-containing protein 3</t>
  </si>
  <si>
    <t>Alpha/beta hydrolase domain-containing protein 14B</t>
  </si>
  <si>
    <t>Isoform 5 of Peptide-N(4)-(N-acetyl-beta-glucosaminyl)asparagine amidase</t>
  </si>
  <si>
    <t>Up-regulated during skeletal muscle growth protein 5</t>
  </si>
  <si>
    <t>Kinetochore-associated protein NSL1 homolog</t>
  </si>
  <si>
    <t>PRKC apoptosis WT1 regulator protein</t>
  </si>
  <si>
    <t>Isoform 2 of Serine/Arginine-related protein 53</t>
  </si>
  <si>
    <t>THO complex subunit 3</t>
  </si>
  <si>
    <t>Isoform 2 of E3 ubiquitin-protein ligase Itchy homolog</t>
  </si>
  <si>
    <t>Isoform 2 of Kin of IRRE-like protein 1</t>
  </si>
  <si>
    <t>Isoform 2 of Epithelial-stromal interaction protein 1</t>
  </si>
  <si>
    <t>Conserved oligomeric Golgi complex subunit 3</t>
  </si>
  <si>
    <t>CDK5 regulatory subunit-associated protein 3</t>
  </si>
  <si>
    <t>Isoform 2 of Vam6/Vps39-like protein</t>
  </si>
  <si>
    <t>ELL-associated factor 1</t>
  </si>
  <si>
    <t>Coiled-coil domain-containing protein 132</t>
  </si>
  <si>
    <t>Deubiquitinating protein VCIP135</t>
  </si>
  <si>
    <t>Protein disulfide-isomerase TMX3</t>
  </si>
  <si>
    <t>Chromosome alignment-maintaining phosphoprotein 1</t>
  </si>
  <si>
    <t>E3 ubiquitin-protein ligase ZFP91</t>
  </si>
  <si>
    <t>Calmin</t>
  </si>
  <si>
    <t>PDZ and LIM domain protein 2</t>
  </si>
  <si>
    <t>Isoform 2 of E3 ubiquitin-protein ligase RNF170</t>
  </si>
  <si>
    <t>Uncharacterized protein C8orf76</t>
  </si>
  <si>
    <t>Zinc finger CCCH domain-containing protein 10</t>
  </si>
  <si>
    <t>Isoform 2 of Cleft lip and palate transmembrane protein 1-like protein</t>
  </si>
  <si>
    <t>Lymphokine-activated killer T-cell-originated protein kinase</t>
  </si>
  <si>
    <t>DnaJ homolog subfamily C member 1</t>
  </si>
  <si>
    <t>Zinc finger protein 512B</t>
  </si>
  <si>
    <t>Exocyst complex component 2</t>
  </si>
  <si>
    <t>Cytosolic non-specific dipeptidase</t>
  </si>
  <si>
    <t>Apoptosis-stimulating of p53 protein 1</t>
  </si>
  <si>
    <t>Zinc finger RNA-binding protein</t>
  </si>
  <si>
    <t>Leucine-rich repeat protein 1</t>
  </si>
  <si>
    <t>Isoform 4 of E1A-binding protein p400</t>
  </si>
  <si>
    <t>Isoform 2 of Sorting nexin-27</t>
  </si>
  <si>
    <t>Isoform 5 of Kinesin-like protein KIF16B</t>
  </si>
  <si>
    <t>Protein arginine N-methyltransferase 6</t>
  </si>
  <si>
    <t>Dehydrogenase/reductase SDR family member 1</t>
  </si>
  <si>
    <t>Ubiquitin-conjugating enzyme E2 E2</t>
  </si>
  <si>
    <t>Protein C9orf72</t>
  </si>
  <si>
    <t>Mitochondrial inner membrane protease subunit 1</t>
  </si>
  <si>
    <t>Isoform 2 of Bcl10-interacting CARD protein</t>
  </si>
  <si>
    <t>Isoform 2 of Cyclic nucleotide-binding domain-containing protein 2</t>
  </si>
  <si>
    <t>Protein PRRC1</t>
  </si>
  <si>
    <t>Hippocampus abundant transcript 1 protein</t>
  </si>
  <si>
    <t>Isoform 2 of Uncharacterized protein C9orf85</t>
  </si>
  <si>
    <t>Isoform 4 of F-box/LRR-repeat protein 18</t>
  </si>
  <si>
    <t>Melanoma-associated antigen G1</t>
  </si>
  <si>
    <t>Protein-L-isoaspartate O-methyltransferase domain-containing protein 1</t>
  </si>
  <si>
    <t>Protein HEXIM2</t>
  </si>
  <si>
    <t>Transmembrane protein 68</t>
  </si>
  <si>
    <t>Zinc finger protein 48</t>
  </si>
  <si>
    <t>WD repeat-containing protein 92</t>
  </si>
  <si>
    <t>Uncharacterized protein C20orf112</t>
  </si>
  <si>
    <t>Isoform 2 of Uncharacterized protein C7orf26</t>
  </si>
  <si>
    <t>Janus kinase and microtubule-interacting protein 1</t>
  </si>
  <si>
    <t>Tetratricopeptide repeat protein 14</t>
  </si>
  <si>
    <t>Isoform 2 of Lysophospholipid acyltransferase 7</t>
  </si>
  <si>
    <t>Isoform 4 of Dedicator of cytokinesis protein 7</t>
  </si>
  <si>
    <t>LisH domain-containing protein FOPNL</t>
  </si>
  <si>
    <t>Sideroflexin-2</t>
  </si>
  <si>
    <t>Zinc finger protein 830</t>
  </si>
  <si>
    <t>Zinc finger matrin-type protein 2</t>
  </si>
  <si>
    <t>Zinc finger protein 3 homolog</t>
  </si>
  <si>
    <t>Protein C8orf37</t>
  </si>
  <si>
    <t>Coiled-coil domain-containing protein 115</t>
  </si>
  <si>
    <t>Nucleosome assembly protein 1-like 5</t>
  </si>
  <si>
    <t>Isoform 2 of Putative methyltransferase NSUN5</t>
  </si>
  <si>
    <t>Regulation of nuclear pre-mRNA domain-containing protein 1A</t>
  </si>
  <si>
    <t>Importin-9</t>
  </si>
  <si>
    <t>Discoidin, CUB and LCCL domain-containing protein 2</t>
  </si>
  <si>
    <t>Methylmalonyl-CoA epimerase, mitochondrial</t>
  </si>
  <si>
    <t>RNA-binding protein 14</t>
  </si>
  <si>
    <t>RING finger and CHY zinc finger domain-containing protein 1</t>
  </si>
  <si>
    <t>E3 ubiquitin-protein ligase UHRF2</t>
  </si>
  <si>
    <t>Isoform 2 of E3 ubiquitin-protein ligase NEDD4-like</t>
  </si>
  <si>
    <t>Isoform 6 of Protein quaking</t>
  </si>
  <si>
    <t>Isoform 2 of Leukocyte receptor cluster member 8</t>
  </si>
  <si>
    <t>Isoform 2 of Serine/threonine-protein kinase Nek1</t>
  </si>
  <si>
    <t>Pseudouridylate synthase 7 homolog</t>
  </si>
  <si>
    <t>Protein FAM111A</t>
  </si>
  <si>
    <t>Isoform 3 of Trafficking protein particle complex subunit 9</t>
  </si>
  <si>
    <t>Isoform 2 of CCA tRNA nucleotidyltransferase 1, mitochondrial</t>
  </si>
  <si>
    <t>Isoform 2 of Transmembrane protein 237</t>
  </si>
  <si>
    <t>Alpha-ketoglutarate-dependent dioxygenase alkB homolog 3</t>
  </si>
  <si>
    <t>Serine/threonine-protein phosphatase 1 regulatory subunit 10</t>
  </si>
  <si>
    <t>Sodium-coupled neutral amino acid transporter 2</t>
  </si>
  <si>
    <t>Proton myo-inositol cotransporter</t>
  </si>
  <si>
    <t>Isoform 1 of Rab-3A-interacting protein</t>
  </si>
  <si>
    <t>Vacuolar protein sorting-associated protein 35</t>
  </si>
  <si>
    <t>Transcriptional activator protein Pur-beta</t>
  </si>
  <si>
    <t>Hedgehog-interacting protein</t>
  </si>
  <si>
    <t>Isoform 6 of Membrane-associated guanylate kinase, WW and PDZ domain-containing protein 1</t>
  </si>
  <si>
    <t>Sperm-associated antigen 5</t>
  </si>
  <si>
    <t>Isoform 2 of Pannexin-1</t>
  </si>
  <si>
    <t>Nucleus accumbens-associated protein 1</t>
  </si>
  <si>
    <t>PAS domain-containing serine/threonine-protein kinase</t>
  </si>
  <si>
    <t>Isoform 4 of Vacuolar protein sorting-associated protein 13A</t>
  </si>
  <si>
    <t>Isoform 3 of Mediator of RNA polymerase II transcription subunit 15</t>
  </si>
  <si>
    <t>Elongation factor G, mitochondrial</t>
  </si>
  <si>
    <t>Twinkle protein, mitochondrial</t>
  </si>
  <si>
    <t>Isoform 2 of Calcium/calmodulin-dependent protein kinase kinase 2</t>
  </si>
  <si>
    <t>Trimethylguanosine synthase</t>
  </si>
  <si>
    <t>NudC domain-containing protein 1</t>
  </si>
  <si>
    <t>Isoform 7 of Protein LAP2</t>
  </si>
  <si>
    <t>UPF0585 protein C16orf13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</si>
  <si>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</si>
  <si>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</si>
  <si>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</si>
  <si>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</si>
  <si>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</si>
  <si>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</si>
  <si>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</si>
  <si>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Cyclin-L2</t>
  </si>
  <si>
    <t>Myeloid-associated differentiation marker</t>
  </si>
  <si>
    <t>Pleckstrin homology domain-containing family F member 1</t>
  </si>
  <si>
    <t>Neurabin-2</t>
  </si>
  <si>
    <t>SRSF protein kinase 1</t>
  </si>
  <si>
    <t>Structural maintenance of chromosomes protein 6</t>
  </si>
  <si>
    <t>BTB/POZ domain-containing protein KCTD15</t>
  </si>
  <si>
    <t>Isoform 2 of Transmembrane protein 209</t>
  </si>
  <si>
    <t>Flt3-interacting zinc finger protein 1</t>
  </si>
  <si>
    <t>Protein orai-2</t>
  </si>
  <si>
    <t>Protein IWS1 homolog</t>
  </si>
  <si>
    <t>Paired amphipathic helix protein Sin3a</t>
  </si>
  <si>
    <t>2-aminoethanethiol dioxygenase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</si>
  <si>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</si>
  <si>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</si>
  <si>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</si>
  <si>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</si>
  <si>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</si>
  <si>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Sodium/hydrogen exchanger 7</t>
  </si>
  <si>
    <t>E3 ubiquitin-protein ligase UHRF1</t>
  </si>
  <si>
    <t>Isoform 2 of Niban-like protein 1</t>
  </si>
  <si>
    <t>Isoform 3 of ATP-dependent zinc metalloprotease YME1L1</t>
  </si>
  <si>
    <t>Regulator of microtubule dynamics protein 3</t>
  </si>
  <si>
    <t>Transcription factor 12</t>
  </si>
  <si>
    <t>C-Myc-binding protein</t>
  </si>
  <si>
    <t>Tubulin-folding cofactor B</t>
  </si>
  <si>
    <t>Proteasome subunit beta type-7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</si>
  <si>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</si>
  <si>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</si>
  <si>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</si>
  <si>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</si>
  <si>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</si>
  <si>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</si>
  <si>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</si>
  <si>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Isoform 2 of Arf-GAP with GTPase, ANK repeat and PH domain-containing protein 2</t>
  </si>
  <si>
    <t>E3 ubiquitin-protein ligase RING2</t>
  </si>
  <si>
    <t>Protein DJ-1</t>
  </si>
  <si>
    <t>GAS2-like protein 1</t>
  </si>
  <si>
    <t>Isoform 2 of Eyes absent homolog 3</t>
  </si>
  <si>
    <t>Sialidase-1</t>
  </si>
  <si>
    <t>Sortilin</t>
  </si>
  <si>
    <t>Synaptic vesicle membrane protein VAT-1 homolog</t>
  </si>
  <si>
    <t>DnaJ homolog subfamily C member 2</t>
  </si>
  <si>
    <t>M-phase phosphoprotein 8</t>
  </si>
  <si>
    <t>Nuclear pore complex protein Nup88</t>
  </si>
  <si>
    <t>Phosphoinositide 3-kinase regulatory subunit 4</t>
  </si>
  <si>
    <t>Ribonucleases P/MRP protein subunit POP1</t>
  </si>
  <si>
    <t>Max-binding protein MNT</t>
  </si>
  <si>
    <t>Mitochondrial import inner membrane translocase subunit Tim17-A</t>
  </si>
  <si>
    <t>Translin-associated protein X</t>
  </si>
  <si>
    <t>Necdin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</si>
  <si>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</si>
  <si>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</si>
  <si>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</si>
  <si>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</si>
  <si>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</si>
  <si>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Prohibitin-2</t>
  </si>
  <si>
    <t>Pre-mRNA-splicing factor 18</t>
  </si>
  <si>
    <t>Cell cycle checkpoint control protein RAD9A</t>
  </si>
  <si>
    <t>Calcineurin B homologous protein 1</t>
  </si>
  <si>
    <t>Kinesin-like protein KIF2C</t>
  </si>
  <si>
    <t>Cell growth regulator with EF hand domain protein 1</t>
  </si>
  <si>
    <t>Docking protein 1</t>
  </si>
  <si>
    <t>Methionine synthase</t>
  </si>
  <si>
    <t>3-hydroxyacyl-CoA dehydrogenase type-2</t>
  </si>
  <si>
    <t>Septin-5</t>
  </si>
  <si>
    <t>Isoform 4 of Sigma non-opioid intracellular receptor 1</t>
  </si>
  <si>
    <t>Nucleosome assembly protein 1-like 4</t>
  </si>
  <si>
    <t>Gamma-soluble NSF attachment protein</t>
  </si>
  <si>
    <t>Thioredoxin, mitochondrial</t>
  </si>
  <si>
    <t>ATP synthase subunit s, mitochondrial</t>
  </si>
  <si>
    <t>Cell surface A33 antigen</t>
  </si>
  <si>
    <t>Mitochondrial intermediate peptidase</t>
  </si>
  <si>
    <t>Transmembrane 9 superfamily member 2</t>
  </si>
  <si>
    <t>Equilibrative nucleoside transporter 1</t>
  </si>
  <si>
    <t>Tumor susceptibility gene 101 protein</t>
  </si>
  <si>
    <t>Copine-1</t>
  </si>
  <si>
    <t>T-complex protein 1 subunit eta</t>
  </si>
  <si>
    <t>AT-rich interactive domain-containing protein 3A</t>
  </si>
  <si>
    <t>Histone H2B type 1-M</t>
  </si>
  <si>
    <t>Isoform 2 of Tyrosine-protein phosphatase non-receptor type 18</t>
  </si>
  <si>
    <t>Dual specificity protein phosphatase 9</t>
  </si>
  <si>
    <t>Endophilin-A2</t>
  </si>
  <si>
    <t>Isoform 4 of Endophilin-A3</t>
  </si>
  <si>
    <t>Serine/threonine-protein kinase VRK1</t>
  </si>
  <si>
    <t>Isoform 5 of A-kinase anchor protein 9</t>
  </si>
  <si>
    <t>Protein NipSnap homolog 1</t>
  </si>
  <si>
    <t>Condensin complex subunit 3</t>
  </si>
  <si>
    <t>Actin-related protein 2/3 complex subunit 5-like protein</t>
  </si>
  <si>
    <t>UPF0415 protein C7orf25</t>
  </si>
  <si>
    <t>Polyadenylate-binding protein-interacting protein 2</t>
  </si>
  <si>
    <t>RNA-binding protein 4B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</si>
  <si>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</si>
  <si>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</si>
  <si>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</si>
  <si>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</si>
  <si>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</si>
  <si>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</si>
  <si>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Evolutionarily conserved signaling intermediate in Toll pathway, mitochondrial</t>
  </si>
  <si>
    <t>Methylosome protein 50</t>
  </si>
  <si>
    <t>Isoform 2 of Uncharacterized protein C17orf62</t>
  </si>
  <si>
    <t>Diphthamide biosynthesis protein 2</t>
  </si>
  <si>
    <t>Isoform 4 of B-cell CLL/lymphoma 7 protein family member B</t>
  </si>
  <si>
    <t>Isoform 5 of Sentrin-specific protease 7</t>
  </si>
  <si>
    <t>Allograft inflammatory factor 1-like</t>
  </si>
  <si>
    <t>Isoform 2 of Eukaryotic translation initiation factor 2-alpha kinase 1</t>
  </si>
  <si>
    <t>Mitochondrial genome maintenance exonuclease 1</t>
  </si>
  <si>
    <t>Acyl-CoA-binding domain-containing protein 6</t>
  </si>
  <si>
    <t>Coronin-1B</t>
  </si>
  <si>
    <t>Isoform 2 of LSM domain-containing protein 1</t>
  </si>
  <si>
    <t>Thioredoxin domain-containing protein 17</t>
  </si>
  <si>
    <t>Isoform 2 of Phosphatidylinositol N-acetylglucosaminyltransferase subunit Q</t>
  </si>
  <si>
    <t>BUD13 homolog</t>
  </si>
  <si>
    <t>Calcineurin-like phosphoesterase domain-containing protein 1</t>
  </si>
  <si>
    <t>Vacuolar protein-sorting-associated protein 25</t>
  </si>
  <si>
    <t>39S ribosomal protein L45, mitochondrial</t>
  </si>
  <si>
    <t>45 kDa calcium-binding protein</t>
  </si>
  <si>
    <t>Isoform 2 of Serine/arginine-rich splicing factor 8</t>
  </si>
  <si>
    <t>Programmed cell death protein 2-like</t>
  </si>
  <si>
    <t>Proteasomal ATPase-associated factor 1</t>
  </si>
  <si>
    <t>Isoform 2 of Partner of Y14 and mago</t>
  </si>
  <si>
    <t>Isoform 2 of Zinc finger protein with KRAB and SCAN domains 3</t>
  </si>
  <si>
    <t>Isoform 2 of ADP-dependent glucokinase</t>
  </si>
  <si>
    <t>G patch domain-containing protein 1</t>
  </si>
  <si>
    <t>Serine/threonine-protein kinase RIO1</t>
  </si>
  <si>
    <t>Mitochondrial nucleoid factor 1</t>
  </si>
  <si>
    <t>Migration and invasion enhancer 1</t>
  </si>
  <si>
    <t>DNA replication complex GINS protein SLD5</t>
  </si>
  <si>
    <t>Suppressor of IKBKE 1</t>
  </si>
  <si>
    <t>Protein pelota homolog</t>
  </si>
  <si>
    <t>DNA replication complex GINS protein PSF3</t>
  </si>
  <si>
    <t>Isoform 2 of Redox-regulatory protein FAM213A</t>
  </si>
  <si>
    <t>WD repeat domain-containing protein 83</t>
  </si>
  <si>
    <t>E3 ubiquitin-protein ligase TRIM56</t>
  </si>
  <si>
    <t>Endoplasmic reticulum resident protein 44</t>
  </si>
  <si>
    <t>Autophagy-related protein 101</t>
  </si>
  <si>
    <t>Cancer-related nucleoside-triphosphatase</t>
  </si>
  <si>
    <t>Homocysteine-responsive endoplasmic reticulum-resident ubiquitin-like domain member 2 protein</t>
  </si>
  <si>
    <t>Uncharacterized protein C19orf52</t>
  </si>
  <si>
    <t>Translational activator of cytochrome c oxidase 1</t>
  </si>
  <si>
    <t>Haloacid dehalogenase-like hydrolase domain-containing protein 3</t>
  </si>
  <si>
    <t>Isoform 2 of TERF1-interacting nuclear factor 2</t>
  </si>
  <si>
    <t>Isoform 3 of Uncharacterized protein C17orf80</t>
  </si>
  <si>
    <t>Extended synaptotagmin-1</t>
  </si>
  <si>
    <t>Solute carrier family 25 member 33</t>
  </si>
  <si>
    <t>Ubiquitin-associated domain-containing protein 1</t>
  </si>
  <si>
    <t>Protein YIPF4</t>
  </si>
  <si>
    <t>UPF0183 protein C16orf70</t>
  </si>
  <si>
    <t>tRNA-splicing endonuclease subunit Sen34</t>
  </si>
  <si>
    <t>Isoform 2 of EF-hand calcium-binding domain-containing protein 4B</t>
  </si>
  <si>
    <t>Isoform 2 of Desumoylating isopeptidase 2</t>
  </si>
  <si>
    <t>Protein canopy homolog 3</t>
  </si>
  <si>
    <t>Chitobiosyldiphosphodolichol beta-mannosyltransferase</t>
  </si>
  <si>
    <t>LIM domain-containing protein 2</t>
  </si>
  <si>
    <t>Isoform 2 of HAUS augmin-like complex subunit 8</t>
  </si>
  <si>
    <t>Alpha-ketoglutarate-dependent dioxygenase alkB homolog 7</t>
  </si>
  <si>
    <t>Proteasome assembly chaperone 3</t>
  </si>
  <si>
    <t>COP9 signalosome complex subunit 4</t>
  </si>
  <si>
    <t>Trichoplein keratin filament-binding protein</t>
  </si>
  <si>
    <t>WW domain-containing adapter protein with coiled-coil</t>
  </si>
  <si>
    <t>Isoform 4 of WW domain-containing adapter protein with coiled-coil</t>
  </si>
  <si>
    <t>Death-inducer obliterator 1</t>
  </si>
  <si>
    <t>Dynactin subunit 5</t>
  </si>
  <si>
    <t>Isoform 2 of Mini-chromosome maintenance complex-binding protein</t>
  </si>
  <si>
    <t>Alanyl-tRNA editing protein Aarsd1</t>
  </si>
  <si>
    <t>DCN1-like protein 5</t>
  </si>
  <si>
    <t>RNMT-activating mini protein</t>
  </si>
  <si>
    <t>Leucine-rich repeat and fibronectin type-III domain-containing protein 3</t>
  </si>
  <si>
    <t>Acidic leucine-rich nuclear phosphoprotein 32 family member E</t>
  </si>
  <si>
    <t>Mediator of RNA polymerase II transcription subunit 10</t>
  </si>
  <si>
    <t>Leucine-rich repeat-containing protein 1</t>
  </si>
  <si>
    <t>Phosphatidylinositol 4-kinase type 2-alpha</t>
  </si>
  <si>
    <t>Transmembrane protein 43</t>
  </si>
  <si>
    <t>Fibronectin type III and SPRY domain-containing protein 1</t>
  </si>
  <si>
    <t>WD repeat-containing protein 85</t>
  </si>
  <si>
    <t>CDK5 and ABL1 enzyme substrate 2</t>
  </si>
  <si>
    <t>Isoform 4 of Nucleoporin NDC1</t>
  </si>
  <si>
    <t>Alpha-tocopherol transfer protein-like</t>
  </si>
  <si>
    <t>Protein FAM203A</t>
  </si>
  <si>
    <t>Dehydrogenase/reductase SDR family member 4</t>
  </si>
  <si>
    <t>Thiamine-triphosphatase</t>
  </si>
  <si>
    <t>Isoform 2 of Lipase maturation factor 2</t>
  </si>
  <si>
    <t>NADH dehydrogenase [ubiquinone] 1 alpha subcomplex assembly factor 3</t>
  </si>
  <si>
    <t>Centromere protein O</t>
  </si>
  <si>
    <t>Isoform 3 of Multiple myeloma tumor-associated protein 2</t>
  </si>
  <si>
    <t>Deoxyhypusine hydroxylase</t>
  </si>
  <si>
    <t>Uncharacterized protein C11orf84</t>
  </si>
  <si>
    <t>Isoform 2 of MAP kinase-interacting serine/threonine-protein kinase 1</t>
  </si>
  <si>
    <t>Transmembrane protein 70, mitochondrial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</si>
  <si>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</si>
  <si>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</si>
  <si>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</si>
  <si>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</si>
  <si>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</si>
  <si>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Ribonuclease P protein subunit p25</t>
  </si>
  <si>
    <t>Coiled-coil domain-containing protein 28B</t>
  </si>
  <si>
    <t>EF-hand domain-containing protein D1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</si>
  <si>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</si>
  <si>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</si>
  <si>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</si>
  <si>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</si>
  <si>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</si>
  <si>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Dol-P-Man:Man(7)GlcNAc(2)-PP-Dol alpha-1,6-mannosyltransferase</t>
  </si>
  <si>
    <t>Uncharacterized protein C1orf50</t>
  </si>
  <si>
    <t>Methylthioribose-1-phosphate isomerase</t>
  </si>
  <si>
    <t>Monoacylglycerol lipase ABHD6</t>
  </si>
  <si>
    <t>WD repeat-containing protein 18</t>
  </si>
  <si>
    <t>THUMP domain-containing protein 3</t>
  </si>
  <si>
    <t>1,2-dihydroxy-3-keto-5-methylthiopentene dioxygenase</t>
  </si>
  <si>
    <t>Isoform 2 of RING finger protein 126</t>
  </si>
  <si>
    <t>Trans-2-enoyl-CoA reductase, mitochondrial</t>
  </si>
  <si>
    <t>ER membrane protein complex subunit 6</t>
  </si>
  <si>
    <t>N-terminal Xaa-Pro-Lys N-methyltransferase 1</t>
  </si>
  <si>
    <t>Katanin p80 WD40 repeat-containing subunit B1</t>
  </si>
  <si>
    <t>Sister chromatid cohesion protein DCC1</t>
  </si>
  <si>
    <t>Target of rapamycin complex subunit LST8</t>
  </si>
  <si>
    <t>Ashwin</t>
  </si>
  <si>
    <t>Transmembrane protein 109</t>
  </si>
  <si>
    <t>PHD finger protein 20</t>
  </si>
  <si>
    <t>Nucleolar complex protein 4 homolog</t>
  </si>
  <si>
    <t>U3 small nucleolar RNA-associated protein 14 homolog A</t>
  </si>
  <si>
    <t>Transmembrane emp24 domain-containing protein 9</t>
  </si>
  <si>
    <t>Isoform 3 of Nucleoporin p58/p45</t>
  </si>
  <si>
    <t>Selenoprotein O</t>
  </si>
  <si>
    <t>Gamma-glutamylaminecyclotransferase</t>
  </si>
  <si>
    <t>Isoform 2 of Guanine nucleotide-binding protein-like 3</t>
  </si>
  <si>
    <t>Spermatogenesis-associated protein 5-like protein 1</t>
  </si>
  <si>
    <t>Serine/threonine-protein kinase RIO2</t>
  </si>
  <si>
    <t>tRNA (adenine(58)-N(1))-methyltransferase, mitochondrial</t>
  </si>
  <si>
    <t>Mitochondrial import inner membrane translocase subunit Tim21</t>
  </si>
  <si>
    <t>TIMELESS-interacting protein</t>
  </si>
  <si>
    <t>Kinesin-like protein KIFC1</t>
  </si>
  <si>
    <t>Nuclear pore complex protein Nup85</t>
  </si>
  <si>
    <t>Elongation of very long chain fatty acids protein 1</t>
  </si>
  <si>
    <t>DET1- and DDB1-associated protein 1</t>
  </si>
  <si>
    <t>Katanin p60 ATPase-containing subunit A-like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</si>
  <si>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</si>
  <si>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</si>
  <si>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</si>
  <si>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</si>
  <si>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</si>
  <si>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</si>
  <si>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</si>
  <si>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</si>
  <si>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Sodium channel modifier 1</t>
  </si>
  <si>
    <t>FUN14 domain-containing protein 2</t>
  </si>
  <si>
    <t>RNA polymerase II-associated protein 1</t>
  </si>
  <si>
    <t>Splicing factor 3B subunit 5</t>
  </si>
  <si>
    <t>Modulator of retrovirus infection homolog</t>
  </si>
  <si>
    <t>Sideroflexin-3</t>
  </si>
  <si>
    <t>Poly(A) polymerase gamma</t>
  </si>
  <si>
    <t>Meiotic nuclear division protein 1 homolog</t>
  </si>
  <si>
    <t>Kanadaptin</t>
  </si>
  <si>
    <t>Isoform 2 of Single-stranded DNA-binding protein 3</t>
  </si>
  <si>
    <t>Protein LSM14 homolog B</t>
  </si>
  <si>
    <t>Fanconi anemia group J protein</t>
  </si>
  <si>
    <t>Isoform 9 of Sorbin and SH3 domain-containing protein 1</t>
  </si>
  <si>
    <t>Junctional adhesion molecule C</t>
  </si>
  <si>
    <t>Histidine triad nucleotide-binding protein 2, mitochondrial</t>
  </si>
  <si>
    <t>Sphingosine-1-phosphate phosphatase 1</t>
  </si>
  <si>
    <t>Oxysterol-binding protein-related protein 11</t>
  </si>
  <si>
    <t>Rab11 family-interacting protein 5</t>
  </si>
  <si>
    <t>Isoform 2 of Bcl-2-binding component 3</t>
  </si>
  <si>
    <t>TBC1 domain family member 10A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</si>
  <si>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</si>
  <si>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</si>
  <si>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</si>
  <si>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</si>
  <si>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</si>
  <si>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Solute carrier family 12 member 9</t>
  </si>
  <si>
    <t>Isoform 4 of Serrate RNA effector molecule homolog</t>
  </si>
  <si>
    <t>Queuine tRNA-ribosyltransferase</t>
  </si>
  <si>
    <t>AP-1 complex subunit mu-1</t>
  </si>
  <si>
    <t>Isoform 2 of Nucleolar and spindle-associated protein 1</t>
  </si>
  <si>
    <t>Uncharacterized protein C14orf142</t>
  </si>
  <si>
    <t>Oxysterol-binding protein-related protein 1</t>
  </si>
  <si>
    <t>Isoform 1 of Cat eye syndrome critical region protein 5</t>
  </si>
  <si>
    <t>Isoform 2 of Fanconi anemia group D2 protein</t>
  </si>
  <si>
    <t>Protein MAK16 homolog</t>
  </si>
  <si>
    <t>Protein DGCR6L</t>
  </si>
  <si>
    <t>Inosine triphosphate pyrophosphatase</t>
  </si>
  <si>
    <t>Protein RTF2 homolog</t>
  </si>
  <si>
    <t>Charged multivesicular body protein 4a</t>
  </si>
  <si>
    <t>Eukaryotic translation initiation factor 2A</t>
  </si>
  <si>
    <t>Peroxisomal trans-2-enoyl-CoA reductase</t>
  </si>
  <si>
    <t>Polymerase delta-interacting protein 3</t>
  </si>
  <si>
    <t>Guanine nucleotide-binding protein subunit beta-like protein 1</t>
  </si>
  <si>
    <t>Alpha-(1,6)-fucosyltransferase</t>
  </si>
  <si>
    <t>39S ribosomal protein L32, mitochondrial</t>
  </si>
  <si>
    <t>39S ribosomal protein L1, mitochondrial</t>
  </si>
  <si>
    <t>Partitioning defective 6 homolog beta</t>
  </si>
  <si>
    <t>RanBP-type and C3HC4-type zinc finger-containing protein 1</t>
  </si>
  <si>
    <t>Sulfiredoxin-1</t>
  </si>
  <si>
    <t>28S ribosomal protein S26, mitochondrial</t>
  </si>
  <si>
    <t>Serine/threonine-protein kinase 33</t>
  </si>
  <si>
    <t>Neurolysin, mitochondrial</t>
  </si>
  <si>
    <t>Centrosomal protein of 41 kDa</t>
  </si>
  <si>
    <t>Histone-lysine N-methyltransferase SETD2</t>
  </si>
  <si>
    <t>Isoform 3 of TBC1 domain family member 2A</t>
  </si>
  <si>
    <t>Isoform 2 of Pantothenate kinase 2, mitochondrial</t>
  </si>
  <si>
    <t>Isoform 2 of FERM domain-containing protein 8</t>
  </si>
  <si>
    <t>Isoform 3 of Histone-lysine N-methyltransferase NSD3</t>
  </si>
  <si>
    <t>Putative gamma-taxilin 2</t>
  </si>
  <si>
    <t>Equilibrative nucleoside transporter 3</t>
  </si>
  <si>
    <t>Kinetochore protein Nuf2</t>
  </si>
  <si>
    <t>39S ribosomal protein L37, mitochondrial</t>
  </si>
  <si>
    <t>tRNA pseudouridine(38/39) synthase</t>
  </si>
  <si>
    <t>Nucleolar GTP-binding protein 1</t>
  </si>
  <si>
    <t>Tether containing UBX domain for GLUT4</t>
  </si>
  <si>
    <t>Isoform 3 of Oxysterol-binding protein-related protein 8</t>
  </si>
  <si>
    <t>WD repeat-containing protein 11</t>
  </si>
  <si>
    <t>Isoform 2 of Regulator of nonsense transcripts 3B</t>
  </si>
  <si>
    <t>F-box-like/WD repeat-containing protein TBL1XR1</t>
  </si>
  <si>
    <t>Ubiquitin-like protein 5</t>
  </si>
  <si>
    <t>Group XIIA secretory phospholipase A2</t>
  </si>
  <si>
    <t>NKG2D ligand 2</t>
  </si>
  <si>
    <t>Uridine-cytidine kinase 2</t>
  </si>
  <si>
    <t>Apoptosis inhibitor 5</t>
  </si>
  <si>
    <t>Isoform 2 of Apoptosis inhibitor 5</t>
  </si>
  <si>
    <t>Protein dpy-30 homolog</t>
  </si>
  <si>
    <t>E3 ubiquitin-protein ligase TRIM9</t>
  </si>
  <si>
    <t>Isoform Beta of Tripartite motif-containing protein 4</t>
  </si>
  <si>
    <t>Protein FAM117A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</si>
  <si>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</si>
  <si>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</si>
  <si>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</si>
  <si>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</si>
  <si>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</si>
  <si>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Semaphorin-4C</t>
  </si>
  <si>
    <t>Ubiquitin-conjugating enzyme E2 O</t>
  </si>
  <si>
    <t>Protein zyg-11 homolog B</t>
  </si>
  <si>
    <t>Isoform 2 of Protein TANC1</t>
  </si>
  <si>
    <t>Centrosomal protein of 44 kDa</t>
  </si>
  <si>
    <t>Isoform 2 of Protein tweety homolog 3</t>
  </si>
  <si>
    <t>Myotubularin-related protein 12</t>
  </si>
  <si>
    <t>pre-mRNA 3 end processing protein WDR33</t>
  </si>
  <si>
    <t>Isoform 2 of B-cell lymphoma/leukemia 11B</t>
  </si>
  <si>
    <t>Isoform 2 of Zinc transporter ZIP8</t>
  </si>
  <si>
    <t>Isoform 2 of STE20-related kinase adapter protein beta</t>
  </si>
  <si>
    <t>Ribosome biogenesis protein WDR12</t>
  </si>
  <si>
    <t>Actin-related protein 6</t>
  </si>
  <si>
    <t>UPF0687 protein C20orf27</t>
  </si>
  <si>
    <t>PITH domain-containing protein 1</t>
  </si>
  <si>
    <t>Derlin-2</t>
  </si>
  <si>
    <t>COMM domain-containing protein 5</t>
  </si>
  <si>
    <t>Isoform 2 of DNA-directed RNA polymerase I subunit RPA49</t>
  </si>
  <si>
    <t>WD repeat-containing protein 61</t>
  </si>
  <si>
    <t>Isoform 2 of SRA stem-loop-interacting RNA-binding protein, mitochondrial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</si>
  <si>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</si>
  <si>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</si>
  <si>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</si>
  <si>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</si>
  <si>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</si>
  <si>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Isoform 2 of Mitochondrial fission factor</t>
  </si>
  <si>
    <t>Isoform 4 of Mitochondrial fission factor</t>
  </si>
  <si>
    <t>Ubiquitin-like modifier-activating enzyme 5</t>
  </si>
  <si>
    <t>Phospholysine phosphohistidine inorganic pyrophosphate phosphatase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</si>
  <si>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</si>
  <si>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</si>
  <si>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</si>
  <si>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</si>
  <si>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Protein MIS12 homolog</t>
  </si>
  <si>
    <t>Ras-related protein Rab-33B</t>
  </si>
  <si>
    <t>Large subunit GTPase 1 homolog</t>
  </si>
  <si>
    <t>N-acetyltransferase 10</t>
  </si>
  <si>
    <t>COMM domain-containing protein 4</t>
  </si>
  <si>
    <t>Kinesin light chain 2</t>
  </si>
  <si>
    <t>Integrin-linked kinase-associated serine/threonine phosphatase 2C</t>
  </si>
  <si>
    <t>5-3 exoribonuclease 2</t>
  </si>
  <si>
    <t>Toll-interacting protein</t>
  </si>
  <si>
    <t>Isoform 2 of Sharpin</t>
  </si>
  <si>
    <t>ADP-ribosylation factor-like protein 6</t>
  </si>
  <si>
    <t>Nuclear speckle splicing regulatory protein 1</t>
  </si>
  <si>
    <t>Rac GTPase-activating protein 1</t>
  </si>
  <si>
    <t>Poly [ADP-ribose] polymerase 12</t>
  </si>
  <si>
    <t>Pseudouridylate synthase 7 homolog-like protein</t>
  </si>
  <si>
    <t>Cleavage stimulation factor subunit 2 tau variant</t>
  </si>
  <si>
    <t>Cytosolic 5-nucleotidase 3A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</si>
  <si>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</si>
  <si>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</si>
  <si>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</si>
  <si>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Magnesium transporter protein 1</t>
  </si>
  <si>
    <t>Ras-related protein Rab-1B</t>
  </si>
  <si>
    <t>Testis-specific Y-encoded-like protein 1</t>
  </si>
  <si>
    <t>VIP36-like protein</t>
  </si>
  <si>
    <t>Protein SMG9</t>
  </si>
  <si>
    <t>Ester hydrolase C11orf54</t>
  </si>
  <si>
    <t>Protein ITFG3</t>
  </si>
  <si>
    <t>Beta-soluble NSF attachment protein</t>
  </si>
  <si>
    <t>Deoxynucleotidyltransferase terminal-interacting protein 1</t>
  </si>
  <si>
    <t>Nucleotide exchange factor SIL1</t>
  </si>
  <si>
    <t>Isoform 2 of Methyltransferase-like protein 9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</si>
  <si>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</si>
  <si>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</si>
  <si>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</si>
  <si>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</si>
  <si>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Thioredoxin-related transmembrane protein 4</t>
  </si>
  <si>
    <t>Isoform 3 of Activating signal cointegrator 1 complex subunit 2</t>
  </si>
  <si>
    <t>Isoform 2 of Regulator of nonsense transcripts 3A</t>
  </si>
  <si>
    <t>Rabenosyn-5</t>
  </si>
  <si>
    <t>Iron-sulfur cluster assembly enzyme ISCU, mitochondrial</t>
  </si>
  <si>
    <t>Autophagy protein 5</t>
  </si>
  <si>
    <t>WD repeat-containing protein 13</t>
  </si>
  <si>
    <t>Mediator of RNA polymerase II transcription subunit 28</t>
  </si>
  <si>
    <t>EH domain-containing protein 4</t>
  </si>
  <si>
    <t>Uncharacterized protein C1orf21</t>
  </si>
  <si>
    <t>Isoform 4 of Spectrin beta chain, non-erythrocytic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</si>
  <si>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</si>
  <si>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</si>
  <si>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</si>
  <si>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</si>
  <si>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Mitochondrial folate transporter/carrier</t>
  </si>
  <si>
    <t>Isoform 1 of TRIO and F-actin-binding protein</t>
  </si>
  <si>
    <t>Isoform 2 of STE20-like serine/threonine-protein kinase</t>
  </si>
  <si>
    <t>Peptidyl-prolyl cis-trans isomerase-like 3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</si>
  <si>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</si>
  <si>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</si>
  <si>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</si>
  <si>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</si>
  <si>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</si>
  <si>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Diphthine synthase</t>
  </si>
  <si>
    <t>Inorganic pyrophosphatase 2, mitochondrial</t>
  </si>
  <si>
    <t>Homeobox protein MIXL1</t>
  </si>
  <si>
    <t>39S ribosomal protein L46, mitochondrial</t>
  </si>
  <si>
    <t>Zinc finger protein 106</t>
  </si>
  <si>
    <t>Presenilins-associated rhomboid-like protein, mitochondrial</t>
  </si>
  <si>
    <t>Pinin</t>
  </si>
  <si>
    <t>Isoform 2 of Transmembrane protein 245</t>
  </si>
  <si>
    <t>Gametogenetin-binding protein 2</t>
  </si>
  <si>
    <t>BTB/POZ domain-containing adapter for CUL3-mediated RhoA degradation protein 3</t>
  </si>
  <si>
    <t>Probable serine carboxypeptidase CPVL</t>
  </si>
  <si>
    <t>tRNA dimethylallyltransferase, mitochondrial</t>
  </si>
  <si>
    <t>Isoform 2 of UPF0696 protein C11orf68</t>
  </si>
  <si>
    <t>Isoform 2 of UDP-N-acetylglucosamine--dolichyl-phosphate N-acetylglucosaminephosphotransferase</t>
  </si>
  <si>
    <t>BolA-like protein 2</t>
  </si>
  <si>
    <t>Thioredoxin-related transmembrane protein 1</t>
  </si>
  <si>
    <t>Negative elongation factor A</t>
  </si>
  <si>
    <t>Golgi resident protein GCP60</t>
  </si>
  <si>
    <t>Centromere protein H</t>
  </si>
  <si>
    <t>Tyrosine-protein phosphatase non-receptor type 23</t>
  </si>
  <si>
    <t>Isoform 2 of Protein unc-45 homolog A</t>
  </si>
  <si>
    <t>Isoform 3 of Major facilitator superfamily domain-containing protein 1</t>
  </si>
  <si>
    <t>Isoform 2 of DnaJ homolog subfamily C member 5</t>
  </si>
  <si>
    <t>Lck-interacting transmembrane adapter 1</t>
  </si>
  <si>
    <t>Kinetochore-associated protein DSN1 homolog</t>
  </si>
  <si>
    <t>Uncharacterized protein C1orf198</t>
  </si>
  <si>
    <t>Charged multivesicular body protein 4b</t>
  </si>
  <si>
    <t>CUE domain-containing protein 2</t>
  </si>
  <si>
    <t>Ribokinase</t>
  </si>
  <si>
    <t>GDP-fucose protein O-fucosyltransferase 1</t>
  </si>
  <si>
    <t>Isoform 2 of Phosphatidylinositol glycan anchor biosynthesis class U protein</t>
  </si>
  <si>
    <t>15 kDa interferon-responsive protein</t>
  </si>
  <si>
    <t>Torsin-3A</t>
  </si>
  <si>
    <t>Aminopeptidase B</t>
  </si>
  <si>
    <t>Golgi phosphoprotein 3-like</t>
  </si>
  <si>
    <t>Golgi phosphoprotein 3</t>
  </si>
  <si>
    <t>Probable tRNA threonylcarbamoyladenosine biosynthesis protein OSGEPL1</t>
  </si>
  <si>
    <t>Differentially expressed in FDCP 6 homolog</t>
  </si>
  <si>
    <t>Golgi-associated plant pathogenesis-related protein 1</t>
  </si>
  <si>
    <t>Isoform 2 of Protein FAM83D</t>
  </si>
  <si>
    <t>Zinc fingers and homeoboxes protein 3</t>
  </si>
  <si>
    <t>Isoform 1b of Oxysterol-binding protein-related protein 3</t>
  </si>
  <si>
    <t>Isoform 2 of SWI/SNF-related matrix-associated actin-dependent regulator of chromatin subfamily A containing DEAD/H box 1</t>
  </si>
  <si>
    <t>EH domain-containing protein 1</t>
  </si>
  <si>
    <t>Isoform 2 of E3 ubiquitin-protein ligase NRDP1</t>
  </si>
  <si>
    <t>Isoform 2 of Regulator of cell cycle RGCC</t>
  </si>
  <si>
    <t>Phosphorylated CTD-interacting factor 1</t>
  </si>
  <si>
    <t>ESF1 homolog</t>
  </si>
  <si>
    <t>Alpha-1,3/1,6-mannosyltransferase ALG2</t>
  </si>
  <si>
    <t>HEAT repeat-containing protein 1</t>
  </si>
  <si>
    <t>Probable inactive protein kinase-like protein SgK196</t>
  </si>
  <si>
    <t>Rab GTPase-binding effector protein 2</t>
  </si>
  <si>
    <t>Dimethyladenosine transferase 2, mitochondrial</t>
  </si>
  <si>
    <t>Isoform 3 of UPF0428 protein CXorf56</t>
  </si>
  <si>
    <t>MIP18 family protein FAM96A</t>
  </si>
  <si>
    <t>HAUS augmin-like complex subunit 4</t>
  </si>
  <si>
    <t>Coiled-coil domain-containing protein 134</t>
  </si>
  <si>
    <t>Coiled-coil domain-containing protein 86</t>
  </si>
  <si>
    <t>Receptor expression-enhancing protein 4</t>
  </si>
  <si>
    <t>Uncharacterized protein C6orf106</t>
  </si>
  <si>
    <t>Optic atrophy 3 protein</t>
  </si>
  <si>
    <t>Transmembrane protein 231</t>
  </si>
  <si>
    <t>Protein FAM134B</t>
  </si>
  <si>
    <t>Threonine aspartase 1</t>
  </si>
  <si>
    <t>Cytosolic Fe-S cluster assembly factor NARFL</t>
  </si>
  <si>
    <t>Putative ATP-dependent RNA helicase DHX33</t>
  </si>
  <si>
    <t>Isoform 4 of Nucleolar protein 6</t>
  </si>
  <si>
    <t>Isoform 2 of Palmitoyltransferase ZDHHC6</t>
  </si>
  <si>
    <t>Probable ATP-dependent RNA helicase YTHDC2</t>
  </si>
  <si>
    <t>RNA polymerase II-associated protein 3</t>
  </si>
  <si>
    <t>Isoform 1 of Breast carcinoma-amplified sequence 3</t>
  </si>
  <si>
    <t>Alpha-1,2-mannosyltransferase ALG9</t>
  </si>
  <si>
    <t>Bifunctional lysine-specific demethylase and histidyl-hydroxylase NO66</t>
  </si>
  <si>
    <t>Anthrax toxin receptor 1</t>
  </si>
  <si>
    <t>WD repeat-containing protein 55</t>
  </si>
  <si>
    <t>Isoform 3 of Ran-binding protein 3</t>
  </si>
  <si>
    <t>dCTP pyrophosphatase 1</t>
  </si>
  <si>
    <t>Zinc phosphodiesterase ELAC protein 1</t>
  </si>
  <si>
    <t>Histone-lysine N-methyltransferase SMYD3</t>
  </si>
  <si>
    <t>Isoform 2 of WD repeat-containing protein 26</t>
  </si>
  <si>
    <t>Isoform 3 of Tudor domain-containing protein 3</t>
  </si>
  <si>
    <t>UPF0488 protein C8orf33</t>
  </si>
  <si>
    <t>Probable cation-transporting ATPase 13A3</t>
  </si>
  <si>
    <t>Putative transmembrane protein 185B</t>
  </si>
  <si>
    <t>Isoform 3 of Methyltransferase-like protein 17, mitochondrial</t>
  </si>
  <si>
    <t>Protein phosphatase 1 regulatory subunit 3E</t>
  </si>
  <si>
    <t>Sin3 histone deacetylase corepressor complex component SDS3</t>
  </si>
  <si>
    <t>Platelet receptor Gi24</t>
  </si>
  <si>
    <t>Splicing factor, arginine/serine-rich 19</t>
  </si>
  <si>
    <t>Isoform 3 of Serine-rich coiled-coil domain-containing protein 2</t>
  </si>
  <si>
    <t>Zinc finger protein 696</t>
  </si>
  <si>
    <t>Protein NRDE2 homolog</t>
  </si>
  <si>
    <t>Histone acetyltransferase KAT8</t>
  </si>
  <si>
    <t>Prostaglandin E synthase 2</t>
  </si>
  <si>
    <t>Transmembrane protein 206</t>
  </si>
  <si>
    <t>Phosphorylated adapter RNA export protein</t>
  </si>
  <si>
    <t>Ubiquitin-conjugating enzyme E2 Z</t>
  </si>
  <si>
    <t>Acyl-CoA dehydrogenase family member 9, mitochondrial</t>
  </si>
  <si>
    <t>Isoform 2 of 5-nucleotidase domain-containing protein 2</t>
  </si>
  <si>
    <t>Isoform 2 of Protein-lysine methyltransferase METTL21D</t>
  </si>
  <si>
    <t>Protein RMD5 homolog A</t>
  </si>
  <si>
    <t>PRKR-interacting protein 1</t>
  </si>
  <si>
    <t>Caspase activity and apoptosis inhibitor 1</t>
  </si>
  <si>
    <t>Nucleolar protein 11</t>
  </si>
  <si>
    <t>Isoform 2 of Bromodomain-containing protein 9</t>
  </si>
  <si>
    <t>Isoform 3 of Metal transporter CNNM2</t>
  </si>
  <si>
    <t>Protein FAM188A</t>
  </si>
  <si>
    <t>Polyprenol reductase</t>
  </si>
  <si>
    <t>MOB kinase activator 1A</t>
  </si>
  <si>
    <t>AN1-type zinc finger protein 3</t>
  </si>
  <si>
    <t>Protein FAM204A</t>
  </si>
  <si>
    <t>Pleckstrin homology domain-containing family F member 2</t>
  </si>
  <si>
    <t>Ankyrin repeat and zinc finger domain-containing protein 1</t>
  </si>
  <si>
    <t>Golgi reassembly-stacking protein 2</t>
  </si>
  <si>
    <t>Protein zwilch homolog</t>
  </si>
  <si>
    <t>Isoform 1 of Probable bifunctional methylenetetrahydrofolate dehydrogenase/cyclohydrolase 2</t>
  </si>
  <si>
    <t>Isoform 2 of Hematological and neurological expressed 1-like protein</t>
  </si>
  <si>
    <t>Mitochondrial glutamate carrier 1</t>
  </si>
  <si>
    <t>Mediator of RNA polymerase II transcription subunit 20</t>
  </si>
  <si>
    <t>Queuine tRNA-ribosyltransferase subunit QTRTD1</t>
  </si>
  <si>
    <t>WD repeat-containing protein 54</t>
  </si>
  <si>
    <t>Actin-related protein 8</t>
  </si>
  <si>
    <t>UPF0364 protein C6orf211</t>
  </si>
  <si>
    <t>Pantothenate kinase 3</t>
  </si>
  <si>
    <t>Isoform 2 of CCR4-NOT transcription complex subunit 10</t>
  </si>
  <si>
    <t>Leucine-rich repeat-containing protein 40</t>
  </si>
  <si>
    <t>RecQ-mediated genome instability protein 1</t>
  </si>
  <si>
    <t>Sideroflexin-1</t>
  </si>
  <si>
    <t>Actin-related protein 5</t>
  </si>
  <si>
    <t>Protein argonaute-3</t>
  </si>
  <si>
    <t>Vacuolar protein sorting-associated protein 37B</t>
  </si>
  <si>
    <t>L-2-hydroxyglutarate dehydrogenase, mitochondrial</t>
  </si>
  <si>
    <t>Non-homologous end-joining factor 1</t>
  </si>
  <si>
    <t>Fukutin-related protein</t>
  </si>
  <si>
    <t>Isoform 2 of Elongator complex protein 3</t>
  </si>
  <si>
    <t>Isoform 2 of JmjC domain-containing protein 4</t>
  </si>
  <si>
    <t>GPN-loop GTPase 2</t>
  </si>
  <si>
    <t>DNA-directed RNA polymerase I subunit RPA2</t>
  </si>
  <si>
    <t>Isoform 2 of Zinc finger matrin-type protein 3</t>
  </si>
  <si>
    <t>Isoform 3 of Uridine-cytidine kinase 1</t>
  </si>
  <si>
    <t>Ketosamine-3-kinase</t>
  </si>
  <si>
    <t>TBC1 domain family member 17</t>
  </si>
  <si>
    <t>Probable cysteine--tRNA ligase, mitochondrial</t>
  </si>
  <si>
    <t>Radical S-adenosyl methionine domain-containing protein 1, mitochondrial</t>
  </si>
  <si>
    <t>Phosphopantothenate--cysteine ligase</t>
  </si>
  <si>
    <t>WD repeat-containing protein 41</t>
  </si>
  <si>
    <t>Isoform 2 of Chromatin modification-related protein MEAF6</t>
  </si>
  <si>
    <t>Histone deacetylase complex subunit SAP30L</t>
  </si>
  <si>
    <t>Nicotinamide mononucleotide adenylyltransferase 1</t>
  </si>
  <si>
    <t>Isoform 2 of Sialate O-acetylesterase</t>
  </si>
  <si>
    <t>E3 ubiquitin-protein ligase pellino homolog 2</t>
  </si>
  <si>
    <t>Regulator of nonsense transcripts 2</t>
  </si>
  <si>
    <t>Exportin-5</t>
  </si>
  <si>
    <t>GrpE protein homolog 1, mitochondrial</t>
  </si>
  <si>
    <t>Claspin</t>
  </si>
  <si>
    <t>UPF0160 protein MYG1, mitochondrial</t>
  </si>
  <si>
    <t>Bcl-2-like protein 12</t>
  </si>
  <si>
    <t>Pleckstrin homology domain-containing family A member 2</t>
  </si>
  <si>
    <t>Pleckstrin homology domain-containing family A member 3</t>
  </si>
  <si>
    <t>Pleckstrin homology domain-containing family A member 1</t>
  </si>
  <si>
    <t>Retinoid-inducible serine carboxypeptidase</t>
  </si>
  <si>
    <t>Calcyclin-binding protein</t>
  </si>
  <si>
    <t>Ras-related GTP-binding protein C</t>
  </si>
  <si>
    <t>SMARCA4 isoform 2</t>
  </si>
  <si>
    <t>Zinc finger FYVE domain-containing protein 1</t>
  </si>
  <si>
    <t>Rho-related GTP-binding protein RhoF</t>
  </si>
  <si>
    <t>Peptide deformylase, mitochondrial</t>
  </si>
  <si>
    <t>Retinol dehydrogenase 14</t>
  </si>
  <si>
    <t>Gamma-parvin</t>
  </si>
  <si>
    <t>Plasminogen receptor (KT)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</si>
  <si>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</si>
  <si>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</si>
  <si>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</si>
  <si>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</si>
  <si>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Putative sodium-coupled neutral amino acid transporter 10</t>
  </si>
  <si>
    <t>Ethanolamine kinase 1</t>
  </si>
  <si>
    <t>Mitochondrial thiamine pyrophosphate carrier</t>
  </si>
  <si>
    <t>Echinoderm microtubule-associated protein-like 4</t>
  </si>
  <si>
    <t>RNA methyltransferase-like protein 1</t>
  </si>
  <si>
    <t>Isoform 2 of Glyoxalase domain-containing protein 4</t>
  </si>
  <si>
    <t>Vasculin-like protein 1</t>
  </si>
  <si>
    <t>Chromobox protein homolog 8</t>
  </si>
  <si>
    <t>Methylcrotonoyl-CoA carboxylase beta chain, mitochondrial</t>
  </si>
  <si>
    <t>Nuclear receptor coactivator 5</t>
  </si>
  <si>
    <t>Putative helicase MOV-10</t>
  </si>
  <si>
    <t>Methyltransferase-like protein 14</t>
  </si>
  <si>
    <t>Trinucleotide repeat-containing gene 6C protein</t>
  </si>
  <si>
    <t>Progressive ankylosis protein homolog</t>
  </si>
  <si>
    <t>Isoform 2 of Ribonucleoprotein PTB-binding 2</t>
  </si>
  <si>
    <t>Chromodomain-helicase-DNA-binding protein 8</t>
  </si>
  <si>
    <t>Glycerol-3-phosphate acyltransferase 1, mitochondrial</t>
  </si>
  <si>
    <t>Zinc finger protein 14 homolog</t>
  </si>
  <si>
    <t>Transmembrane protein 8A</t>
  </si>
  <si>
    <t>GPN-loop GTPase 1</t>
  </si>
  <si>
    <t>Stromal cell-derived factor 2-like protein 1</t>
  </si>
  <si>
    <t>Isoform 1S of Casein kinase I isoform gamma-1</t>
  </si>
  <si>
    <t>Prolactin regulatory element-binding protein</t>
  </si>
  <si>
    <t>Steroid receptor RNA activator 1</t>
  </si>
  <si>
    <t>Isoform B of Probable cation-transporting ATPase 13A1</t>
  </si>
  <si>
    <t>Golgi-associated PDZ and coiled-coil motif-containing protein</t>
  </si>
  <si>
    <t>LYR motif-containing protein 4</t>
  </si>
  <si>
    <t>O-phosphoseryl-tRNA(Sec) selenium transferase</t>
  </si>
  <si>
    <t>Transmembrane 9 superfamily member 3</t>
  </si>
  <si>
    <t>Ran guanine nucleotide release factor</t>
  </si>
  <si>
    <t>Resistin</t>
  </si>
  <si>
    <t>Junctophilin-1</t>
  </si>
  <si>
    <t>Adipocyte plasma membrane-associated protein</t>
  </si>
  <si>
    <t>Isoform 2 of ATP-binding cassette sub-family B member 6, mitochondrial</t>
  </si>
  <si>
    <t>High mobility group protein 20A</t>
  </si>
  <si>
    <t>Ras-related protein Rab-18</t>
  </si>
  <si>
    <t>Isoform 2 of UDP-N-acetylglucosamine transferase subunit ALG13 homolog</t>
  </si>
  <si>
    <t>RNA polymerase II subunit A C-terminal domain phosphatase SSU72</t>
  </si>
  <si>
    <t>Vacuolar protein sorting-associated protein VTA1 homolog</t>
  </si>
  <si>
    <t>28S ribosomal protein S30, mitochondrial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</si>
  <si>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</si>
  <si>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</si>
  <si>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</si>
  <si>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</si>
  <si>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</si>
  <si>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Neuritin</t>
  </si>
  <si>
    <t>Ubiquitin-conjugating enzyme E2 T</t>
  </si>
  <si>
    <t>Neugrin</t>
  </si>
  <si>
    <t>H/ACA ribonucleoprotein complex subunit 3</t>
  </si>
  <si>
    <t>CD320 antigen</t>
  </si>
  <si>
    <t>Probable tRNA threonylcarbamoyladenosine biosynthesis protein OSGEP</t>
  </si>
  <si>
    <t>Lysophosphatidic acid phosphatase type 6</t>
  </si>
  <si>
    <t>Interleukin-1 receptor accessory protein</t>
  </si>
  <si>
    <t>mRNA-decapping enzyme 1A</t>
  </si>
  <si>
    <t>Isoform 2 of Acyl-coenzyme A thioesterase 13</t>
  </si>
  <si>
    <t>Isoform 3 of NTF2-related export protein 2</t>
  </si>
  <si>
    <t>Translocase of inner mitochondrial membrane domain-containing protein 1</t>
  </si>
  <si>
    <t>Isoform 4 of Synembryn-A</t>
  </si>
  <si>
    <t>Protein GPR108</t>
  </si>
  <si>
    <t>Putative RNA-binding protein Luc7-like 1</t>
  </si>
  <si>
    <t>Transmembrane protein 9B</t>
  </si>
  <si>
    <t>Isoform 2 of Suppressor of SWI4 1 homolog</t>
  </si>
  <si>
    <t>Fructose-2,6-bisphosphatase TIGAR</t>
  </si>
  <si>
    <t>Coordinator of PRMT5 and differentiation stimulator</t>
  </si>
  <si>
    <t>Isoform 5 of Reticulon-4</t>
  </si>
  <si>
    <t>Histidine triad nucleotide-binding protein 3</t>
  </si>
  <si>
    <t>Protein MANBAL</t>
  </si>
  <si>
    <t>Regulation of nuclear pre-mRNA domain-containing protein 1B</t>
  </si>
  <si>
    <t>Isoform 2 of Probable Xaa-Pro aminopeptidase 3</t>
  </si>
  <si>
    <t>Prefoldin subunit 4</t>
  </si>
  <si>
    <t>Omega-amidase NIT2</t>
  </si>
  <si>
    <t>Cell death regulator Aven</t>
  </si>
  <si>
    <t>Exosome complex component RRP46</t>
  </si>
  <si>
    <t>Exosome complex component RRP40</t>
  </si>
  <si>
    <t>Kinesin-like protein KIF13B</t>
  </si>
  <si>
    <t>Actin-binding protein anillin</t>
  </si>
  <si>
    <t>Isoform 3 of Xaa-Pro aminopeptidase 1</t>
  </si>
  <si>
    <t>Gephyrin</t>
  </si>
  <si>
    <t>Something about silencing protein 10</t>
  </si>
  <si>
    <t>StAR-related lipid transfer protein 7, mitochondrial</t>
  </si>
  <si>
    <t>Isoform 3 of Zinc finger C4H2 domain-containing protein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</si>
  <si>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</si>
  <si>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</si>
  <si>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</si>
  <si>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</si>
  <si>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</si>
  <si>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</si>
  <si>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</si>
  <si>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</si>
  <si>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Basic leucine zipper transcriptional factor ATF-like 3</t>
  </si>
  <si>
    <t>Peroxisomal membrane protein 2</t>
  </si>
  <si>
    <t>Sialin</t>
  </si>
  <si>
    <t>PRKCA-binding protein</t>
  </si>
  <si>
    <t>DNA polymerase epsilon subunit 3</t>
  </si>
  <si>
    <t>Chromatin accessibility complex protein 1</t>
  </si>
  <si>
    <t>N-lysine methyltransferase SMYD2</t>
  </si>
  <si>
    <t>Isoform 2 of Epimerase family protein SDR39U1</t>
  </si>
  <si>
    <t>Aladin</t>
  </si>
  <si>
    <t>Yae1 domain-containing protein 1</t>
  </si>
  <si>
    <t>ATP-binding cassette sub-family B member 10, mitochondrial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</si>
  <si>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</si>
  <si>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</si>
  <si>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</si>
  <si>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</si>
  <si>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Oligosaccharyltransferase complex subunit OSTC</t>
  </si>
  <si>
    <t>COX assembly mitochondrial protein 2 homolog</t>
  </si>
  <si>
    <t>Protein ACN9 homolog, mitochondrial</t>
  </si>
  <si>
    <t>Ubiquilin-4</t>
  </si>
  <si>
    <t>CDC42 small effector protein 1</t>
  </si>
  <si>
    <t>Sorting nexin-15</t>
  </si>
  <si>
    <t>Heme-binding protein 1</t>
  </si>
  <si>
    <t>Ras-related protein Rab-6B</t>
  </si>
  <si>
    <t>Vacuolar protein sorting-associated protein 45</t>
  </si>
  <si>
    <t>RNA-binding protein PNO1</t>
  </si>
  <si>
    <t>14 kDa phosphohistidine phosphatase</t>
  </si>
  <si>
    <t>SOSS complex subunit C</t>
  </si>
  <si>
    <t>Rho GTPase-activating protein 35</t>
  </si>
  <si>
    <t>Protein FAM114A2</t>
  </si>
  <si>
    <t>Phospholipid scramblase 3</t>
  </si>
  <si>
    <t>1-acyl-sn-glycerol-3-phosphate acyltransferase delta</t>
  </si>
  <si>
    <t>Isoform 2 of 1-acyl-sn-glycerol-3-phosphate acyltransferase gamma</t>
  </si>
  <si>
    <t>Isoform 2 of Lymphoid-specific helicase</t>
  </si>
  <si>
    <t>Mitochondrial import receptor subunit TOM22 homolog</t>
  </si>
  <si>
    <t>LanC-like protein 2</t>
  </si>
  <si>
    <t>Kinesin-like protein KIF15</t>
  </si>
  <si>
    <t>E3 ubiquitin-protein ligase RAD18</t>
  </si>
  <si>
    <t>Transmembrane 7 superfamily member 3</t>
  </si>
  <si>
    <t>Beta-catenin-interacting protein 1</t>
  </si>
  <si>
    <t>Isoform 2 of Homer protein homolog 2</t>
  </si>
  <si>
    <t>Isoform 5 of Homer protein homolog 3</t>
  </si>
  <si>
    <t>Phenylalanine--tRNA ligase beta subunit</t>
  </si>
  <si>
    <t>Isoleucine--tRNA ligase, mitochondrial</t>
  </si>
  <si>
    <t>Isoform B of Protein FAM207A</t>
  </si>
  <si>
    <t>Isoform 3 of SAM domain-containing protein SAMSN-1</t>
  </si>
  <si>
    <t>Kinesin light chain 4</t>
  </si>
  <si>
    <t>Isoform 2 of Three prime repair exonuclease 1</t>
  </si>
  <si>
    <t>BMP-2-inducible protein kinase</t>
  </si>
  <si>
    <t>Ubiquitin-like-conjugating enzyme ATG3</t>
  </si>
  <si>
    <t>NAD-dependent protein deacetylase sirtuin-3, mitochondrial</t>
  </si>
  <si>
    <t>Isoform 2 of Sister chromatid cohesion protein PDS5 homolog B</t>
  </si>
  <si>
    <t>Structural maintenance of chromosomes protein 4</t>
  </si>
  <si>
    <t>Phosphatidylinositide phosphatase SAC1</t>
  </si>
  <si>
    <t>Isoform 2 of Obg-like ATPase 1</t>
  </si>
  <si>
    <t>Copper homeostasis protein cutC homolog</t>
  </si>
  <si>
    <t>UDP-glucuronic acid/UDP-N-acetylgalactosamine transporter</t>
  </si>
  <si>
    <t>Isoform 2 of Ethylmalonyl-CoA decarboxylase</t>
  </si>
  <si>
    <t>RNA-binding protein 12</t>
  </si>
  <si>
    <t>TBC1 domain family member 22B</t>
  </si>
  <si>
    <t>Midasin</t>
  </si>
  <si>
    <t>LYR motif-containing protein 2</t>
  </si>
  <si>
    <t>Isoform 2 of Acetyl-coenzyme A synthetase 2-like, mitochondrial</t>
  </si>
  <si>
    <t>Zinc finger CCHC domain-containing protein 3</t>
  </si>
  <si>
    <t>Palmitoyltransferase ZDHHC18</t>
  </si>
  <si>
    <t>p53 and DNA damage-regulated protein 1</t>
  </si>
  <si>
    <t>Mycophenolic acid acyl-glucuronide esterase, mitochondrial</t>
  </si>
  <si>
    <t>Isoform 3 of UPF0515 protein C19orf66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</si>
  <si>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</si>
  <si>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</si>
  <si>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</si>
  <si>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</si>
  <si>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</si>
  <si>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</si>
  <si>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</si>
  <si>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</si>
  <si>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</si>
  <si>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</si>
  <si>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</si>
  <si>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</si>
  <si>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</si>
  <si>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Isoform 2 of Protection of telomeres protein 1</t>
  </si>
  <si>
    <t>DDB1- and CUL4-associated factor 13</t>
  </si>
  <si>
    <t>U3 small nucleolar ribonucleoprotein protein IMP3</t>
  </si>
  <si>
    <t>Probable 8-oxo-dGTP diphosphatase NUDT15</t>
  </si>
  <si>
    <t>MRG/MORF4L-binding protein</t>
  </si>
  <si>
    <t>Isoform 2 of Exocyst complex component 1</t>
  </si>
  <si>
    <t>Isoform 3 of Integrator complex subunit 9</t>
  </si>
  <si>
    <t>Cell cycle control protein 50A</t>
  </si>
  <si>
    <t>Ubiquinol-cytochrome c reductase complex chaperone CBP3 homolog</t>
  </si>
  <si>
    <t>Transmembrane protein 184C</t>
  </si>
  <si>
    <t>Putative sodium-coupled neutral amino acid transporter 7</t>
  </si>
  <si>
    <t>Mediator of RNA polymerase II transcription subunit 17</t>
  </si>
  <si>
    <t>Pantothenate kinase 4</t>
  </si>
  <si>
    <t>F-box only protein 28</t>
  </si>
  <si>
    <t>TBC1 domain family member 13</t>
  </si>
  <si>
    <t>Exonuclease 3-5 domain-containing protein 2</t>
  </si>
  <si>
    <t>DnaJ homolog subfamily C member 11</t>
  </si>
  <si>
    <t>Isoform 3 of Integrator complex subunit 7</t>
  </si>
  <si>
    <t>Isoform 7 of Trimethyllysine dioxygenase, mitochondrial</t>
  </si>
  <si>
    <t>Fanconi anemia group I protein</t>
  </si>
  <si>
    <t>Isoform 2 of ATPase family AAA domain-containing protein 3A</t>
  </si>
  <si>
    <t>ADP-ribosylation factor-like protein 8B</t>
  </si>
  <si>
    <t>Isoform 2 of FGFR1 oncogene partner 2</t>
  </si>
  <si>
    <t>Isoform 3 of Protein arginine N-methyltransferase 7</t>
  </si>
  <si>
    <t>DnaJ homolog subfamily C member 17</t>
  </si>
  <si>
    <t>Protein asunder homolog</t>
  </si>
  <si>
    <t>Guanine nucleotide-binding protein-like 3-like protein</t>
  </si>
  <si>
    <t>ATP-dependent RNA helicase DDX18</t>
  </si>
  <si>
    <t>Histone chaperone ASF1B</t>
  </si>
  <si>
    <t>Kelch-like protein 11</t>
  </si>
  <si>
    <t>Integrator complex subunit 10</t>
  </si>
  <si>
    <t>Protein kintoun</t>
  </si>
  <si>
    <t>Pyridoxine-5-phosphate oxidase</t>
  </si>
  <si>
    <t>Armadillo repeat-containing protein 1</t>
  </si>
  <si>
    <t>Isoform 5 of DNA-directed RNA polymerase III subunit RPC5</t>
  </si>
  <si>
    <t>Protein SDA1 homolog</t>
  </si>
  <si>
    <t>Trimeric intracellular cation channel type B</t>
  </si>
  <si>
    <t>Poly(A) RNA polymerase, mitochondrial</t>
  </si>
  <si>
    <t>E3 ubiquitin-protein ligase RLIM</t>
  </si>
  <si>
    <t>Isoform 2 of HAUS augmin-like complex subunit 2</t>
  </si>
  <si>
    <t>Notchless protein homolog 1</t>
  </si>
  <si>
    <t>Kelch repeat and BTB domain-containing protein 4</t>
  </si>
  <si>
    <t>Adaptin ear-binding coat-associated protein 2</t>
  </si>
  <si>
    <t>Isoform 2 of DNA-directed RNA polymerase III subunit RPC2</t>
  </si>
  <si>
    <t>Pre-mRNA-splicing factor RBM22</t>
  </si>
  <si>
    <t>Isoform 2 of G patch domain-containing protein 2</t>
  </si>
  <si>
    <t>ATP synthase subunit s-like protein</t>
  </si>
  <si>
    <t>WD repeat-containing protein 70</t>
  </si>
  <si>
    <t>Mediator of RNA polymerase II transcription subunit 9</t>
  </si>
  <si>
    <t>Arginine and glutamate-rich protein 1</t>
  </si>
  <si>
    <t>Transmembrane protein 248</t>
  </si>
  <si>
    <t>Transmembrane protein 242</t>
  </si>
  <si>
    <t>SAFB-like transcription modulator</t>
  </si>
  <si>
    <t>Box C/D snoRNA protein 1</t>
  </si>
  <si>
    <t>Peptidyl-prolyl cis-trans isomerase FKBP14</t>
  </si>
  <si>
    <t>Phosphoprotein associated with glycosphingolipid-enriched microdomains 1</t>
  </si>
  <si>
    <t>Uncharacterized protein C14orf119</t>
  </si>
  <si>
    <t>Coiled-coil domain-containing protein 109B</t>
  </si>
  <si>
    <t>PIH1 domain-containing protein 1</t>
  </si>
  <si>
    <t>Protein FAM118A</t>
  </si>
  <si>
    <t>Required for meiotic nuclear division protein 1 homolog</t>
  </si>
  <si>
    <t>p21-activated protein kinase-interacting protein 1</t>
  </si>
  <si>
    <t>Hypoxia-inducible factor 1-alpha inhibitor</t>
  </si>
  <si>
    <t>3-oxoacyl-[acyl-carrier-protein] synthase, mitochondrial</t>
  </si>
  <si>
    <t>Glucose-induced degradation protein 8 homolog</t>
  </si>
  <si>
    <t>UPF0587 protein C1orf123</t>
  </si>
  <si>
    <t>Nicotinamide riboside kinase 1</t>
  </si>
  <si>
    <t>Ankyrin repeat and SOCS box protein 6</t>
  </si>
  <si>
    <t>Probable tRNA(His) guanylyltransferase</t>
  </si>
  <si>
    <t>UPF0609 protein C4orf27</t>
  </si>
  <si>
    <t>Interleukin-1 receptor-associated kinase 4</t>
  </si>
  <si>
    <t>Uridine-cytidine kinase-like 1</t>
  </si>
  <si>
    <t>Gem-associated protein 8</t>
  </si>
  <si>
    <t>Transmembrane protein 160</t>
  </si>
  <si>
    <t>Thioredoxin-like protein 4B</t>
  </si>
  <si>
    <t>Uncharacterized protein C1orf109</t>
  </si>
  <si>
    <t>tRNA selenocysteine 1-associated protein 1</t>
  </si>
  <si>
    <t>COMM domain-containing protein 8</t>
  </si>
  <si>
    <t>Isoform 2 of NADH dehydrogenase [ubiquinone] 1 beta subcomplex subunit 11, mitochondrial</t>
  </si>
  <si>
    <t>39S ribosomal protein L16, mitochondrial</t>
  </si>
  <si>
    <t>H/ACA ribonucleoprotein complex subunit 2</t>
  </si>
  <si>
    <t>Protein FAM206A</t>
  </si>
  <si>
    <t>OCIA domain-containing protein 1</t>
  </si>
  <si>
    <t>Poly(ADP-ribose) glycohydrolase ARH3</t>
  </si>
  <si>
    <t>E3 ubiquitin-protein ligase MARCH5</t>
  </si>
  <si>
    <t>Cell growth-regulating nucleolar protein</t>
  </si>
  <si>
    <t>Inositol monophosphatase 3</t>
  </si>
  <si>
    <t>Mediator of RNA polymerase II transcription subunit 29</t>
  </si>
  <si>
    <t>tRNA-dihydrouridine(20) synthase [NAD(P)+]-like</t>
  </si>
  <si>
    <t>CKLF-like MARVEL transmembrane domain-containing protein 6</t>
  </si>
  <si>
    <t>WW domain binding protein 1-like</t>
  </si>
  <si>
    <t>NAD-dependent protein deacylase sirtuin-5, mitochondrial</t>
  </si>
  <si>
    <t>Glucose-fructose oxidoreductase domain-containing protein 1</t>
  </si>
  <si>
    <t>WD repeat-containing protein mio</t>
  </si>
  <si>
    <t>Pre-mRNA-splicing factor CWC25 homolog</t>
  </si>
  <si>
    <t>DDB1- and CUL4-associated factor 16</t>
  </si>
  <si>
    <t>tRNA (guanine(26)-N(2))-dimethyltransferase</t>
  </si>
  <si>
    <t>F-box/LRR-repeat protein 12</t>
  </si>
  <si>
    <t>Isoform 2 of Ganglioside-induced differentiation-associated protein 2</t>
  </si>
  <si>
    <t>Isoform 2 of Nuclear distribution protein nudE homolog 1</t>
  </si>
  <si>
    <t>Ankyrin repeat domain-containing protein 10</t>
  </si>
  <si>
    <t>BRCA1-A complex subunit BRE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</si>
  <si>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</si>
  <si>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</si>
  <si>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</si>
  <si>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</si>
  <si>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</si>
  <si>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Non-structural maintenance of chromosomes element 4 homolog A</t>
  </si>
  <si>
    <t>Isoform 2 of H/ACA ribonucleoprotein complex subunit 1</t>
  </si>
  <si>
    <t>Serine/threonine-protein phosphatase 4 regulatory subunit 2</t>
  </si>
  <si>
    <t>Isoform 2 of Probable ATP-dependent RNA helicase DDX56</t>
  </si>
  <si>
    <t>Sphingosine kinase 1</t>
  </si>
  <si>
    <t>Telomeric repeat-binding factor 2-interacting protein 1</t>
  </si>
  <si>
    <t>Isoform 2 of Bcl-2-associated transcription factor 1</t>
  </si>
  <si>
    <t>U3 small nucleolar RNA-associated protein 6 homolog</t>
  </si>
  <si>
    <t>Cytochrome c oxidase assembly factor 4 homolog, mitochondrial</t>
  </si>
  <si>
    <t>39S ribosomal protein L39, mitochondrial</t>
  </si>
  <si>
    <t>Mitogen-activated protein kinase kinase kinase MLT</t>
  </si>
  <si>
    <t>Isoform 2 of Mitogen-activated protein kinase kinase kinase MLT</t>
  </si>
  <si>
    <t>Tropomodulin-3</t>
  </si>
  <si>
    <t>BET1-like protein</t>
  </si>
  <si>
    <t>Protein Mis18-alpha</t>
  </si>
  <si>
    <t>NF-kappa-B inhibitor-interacting Ras-like protein 1</t>
  </si>
  <si>
    <t>UDP-glucose:glycoprotein glucosyltransferase 2</t>
  </si>
  <si>
    <t>Isoform 2 of UDP-glucose:glycoprotein glucosyltransferase 1</t>
  </si>
  <si>
    <t>Isoform 2 of Cyclin-dependent kinase 12</t>
  </si>
  <si>
    <t>FAST kinase domain-containing protein 2</t>
  </si>
  <si>
    <t>Mitoferrin-1</t>
  </si>
  <si>
    <t>G2 and S phase-expressed protein 1</t>
  </si>
  <si>
    <t>Very-long-chain enoyl-CoA reductase</t>
  </si>
  <si>
    <t>Endoplasmic reticulum aminopeptidase 1</t>
  </si>
  <si>
    <t>Ubiquitin-associated protein 1</t>
  </si>
  <si>
    <t>Actin-related protein 10</t>
  </si>
  <si>
    <t>Vesicle transport protein USE1</t>
  </si>
  <si>
    <t>CDGSH iron-sulfur domain-containing protein 1</t>
  </si>
  <si>
    <t>ADP-ribosylation factor-binding protein GGA3</t>
  </si>
  <si>
    <t>Uncharacterized protein C9orf78</t>
  </si>
  <si>
    <t>Isoform 3 of Chloride intracellular channel protein 5</t>
  </si>
  <si>
    <t>Constitutive coactivator of PPAR-gamma-like protein 1</t>
  </si>
  <si>
    <t>Isoform 6 of Molybdenum cofactor biosynthesis protein 1</t>
  </si>
  <si>
    <t>Glycerophosphodiester phosphodiesterase 1</t>
  </si>
  <si>
    <t>WW domain-containing oxidoreductase</t>
  </si>
  <si>
    <t>SWI/SNF-related matrix-associated actin-dependent regulator of chromatin subfamily A-like protein 1</t>
  </si>
  <si>
    <t>Glycolipid transfer protein</t>
  </si>
  <si>
    <t>Isoform 2 of Maspardin</t>
  </si>
  <si>
    <t>Ninjurin-2</t>
  </si>
  <si>
    <t>Upstream-binding protein 1</t>
  </si>
  <si>
    <t>Insulin-like growth factor 2 mRNA-binding protein 1</t>
  </si>
  <si>
    <t>Hexaprenyldihydroxybenzoate methyltransferase, mitochondrial</t>
  </si>
  <si>
    <t>Isoform 2 of Mitochondrial carrier homolog 1</t>
  </si>
  <si>
    <t>Diphosphoinositol polyphosphate phosphohydrolase 2</t>
  </si>
  <si>
    <t>Isoform 2 of 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</si>
  <si>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</si>
  <si>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</si>
  <si>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</si>
  <si>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Isoform 2 of Intersectin-2</t>
  </si>
  <si>
    <t>Isoform 3 of NCK-interacting protein with SH3 domain</t>
  </si>
  <si>
    <t>Tropomodulin-2</t>
  </si>
  <si>
    <t>Isoform 2 of Opioid growth factor receptor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</si>
  <si>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</si>
  <si>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</si>
  <si>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</si>
  <si>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</si>
  <si>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</si>
  <si>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Thyroid transcription factor 1-associated protein 26</t>
  </si>
  <si>
    <t>NADH dehydrogenase [ubiquinone] 1 alpha subcomplex assembly factor 4</t>
  </si>
  <si>
    <t>Very-long-chain (3R)-3-hydroxyacyl-[acyl-carrier protein] dehydratase 3</t>
  </si>
  <si>
    <t>Mediator of RNA polymerase II transcription subunit 11</t>
  </si>
  <si>
    <t>Coiled-coil domain-containing protein 167</t>
  </si>
  <si>
    <t>ER membrane protein complex subunit 3</t>
  </si>
  <si>
    <t>[Pyruvate dehydrogenase [acetyl-transferring]]-phosphatase 1, mitochondrial</t>
  </si>
  <si>
    <t>E3 ubiquitin-protein ligase KCMF1</t>
  </si>
  <si>
    <t>Vesicle-associated membrane protein-associated protein A</t>
  </si>
  <si>
    <t>Isoform 3 of TBC1 domain family member 7</t>
  </si>
  <si>
    <t>E3 ubiquitin-protein ligase RNF181</t>
  </si>
  <si>
    <t>GSK3-beta interaction protein</t>
  </si>
  <si>
    <t>Cytochrome c oxidase assembly protein COX16 homolog, mitochondrial</t>
  </si>
  <si>
    <t>CpG-binding protein</t>
  </si>
  <si>
    <t>Costars family protein ABRACL</t>
  </si>
  <si>
    <t>DNA-directed RNA polymerase I subunit RPA12</t>
  </si>
  <si>
    <t>Actin-related protein 3B</t>
  </si>
  <si>
    <t>Isoform 4 of Signal-regulatory protein gamma</t>
  </si>
  <si>
    <t>Calmodulin-regulated spectrin-associated protein 3</t>
  </si>
  <si>
    <t>Isoform 2 of Uncharacterized protein KIAA1522</t>
  </si>
  <si>
    <t>Pogo transposable element with KRAB domain</t>
  </si>
  <si>
    <t>Protein Daple</t>
  </si>
  <si>
    <t>Leucine-rich repeat and fibronectin type III domain-containing protein 1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</si>
  <si>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</si>
  <si>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</si>
  <si>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</si>
  <si>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</si>
  <si>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BRCA2 and CDKN1A-interacting protein</t>
  </si>
  <si>
    <t>Isoform 2 of BRCA2 and CDKN1A-interacting protein</t>
  </si>
  <si>
    <t>Isoform 2 of ABI gene family member 3</t>
  </si>
  <si>
    <t>CTTNBP2 N-terminal-like protein</t>
  </si>
  <si>
    <t>UPF0501 protein KIAA1430</t>
  </si>
  <si>
    <t>Transmembrane protein 181</t>
  </si>
  <si>
    <t>Chromodomain-helicase-DNA-binding protein 7</t>
  </si>
  <si>
    <t>Isoform 3 of HEAT repeat-containing protein 5B</t>
  </si>
  <si>
    <t>Ribosome-binding protein 1</t>
  </si>
  <si>
    <t>Cleavage and polyadenylation specificity factor subunit 2</t>
  </si>
  <si>
    <t>Leucine--tRNA ligase, cytoplasmic</t>
  </si>
  <si>
    <t>[Pyruvate dehydrogenase [acetyl-transferring]]-phosphatase 2, mitochondrial</t>
  </si>
  <si>
    <t>Thioredoxin domain-containing protein 16</t>
  </si>
  <si>
    <t>Isoform 4 of REST corepressor 3</t>
  </si>
  <si>
    <t>Myelin expression factor 2</t>
  </si>
  <si>
    <t>Isoform 2 of Eukaryotic translation initiation factor 2-alpha kinase 4</t>
  </si>
  <si>
    <t>TBC1 domain family member 14</t>
  </si>
  <si>
    <t>Cingulin</t>
  </si>
  <si>
    <t>RNA-binding protein 27</t>
  </si>
  <si>
    <t>Isoform 3 of KAT8 regulatory NSL complex subunit 3</t>
  </si>
  <si>
    <t>Ankyrin repeat and FYVE domain-containing protein 1</t>
  </si>
  <si>
    <t>Arginine-glutamic acid dipeptide repeats protein</t>
  </si>
  <si>
    <t>Homologous-pairing protein 2 homolog</t>
  </si>
  <si>
    <t>Dolichol-phosphate mannosyltransferase subunit 3</t>
  </si>
  <si>
    <t>Zinc finger protein 219</t>
  </si>
  <si>
    <t>UV radiation resistance-associated gene protein</t>
  </si>
  <si>
    <t>Ataxin-10</t>
  </si>
  <si>
    <t>Methyl-CpG-binding domain protein 2</t>
  </si>
  <si>
    <t>Isoform 2 of Neurochondrin</t>
  </si>
  <si>
    <t>Tuftelin-interacting protein 11</t>
  </si>
  <si>
    <t>Isoform 2 of Epidermal growth factor receptor substrate 15-like 1</t>
  </si>
  <si>
    <t>Isoform 4 of Epidermal growth factor receptor substrate 15-like 1</t>
  </si>
  <si>
    <t>Isoform 7 of DNA (cytosine-5)-methyltransferase 3B</t>
  </si>
  <si>
    <t>Isoform 2 of Origin recognition complex subunit 3</t>
  </si>
  <si>
    <t>SUMO-activating enzyme subunit 1</t>
  </si>
  <si>
    <t>Coatomer subunit gamma-2</t>
  </si>
  <si>
    <t>RING-box protein 2</t>
  </si>
  <si>
    <t>Isoform 2 of Phosphatidylinositol 4-kinase beta</t>
  </si>
  <si>
    <t>C-type mannose receptor 2</t>
  </si>
  <si>
    <t>Cornulin</t>
  </si>
  <si>
    <t>Isoform B of Methionine synthase reductase</t>
  </si>
  <si>
    <t>Protein UXT</t>
  </si>
  <si>
    <t>cAMP-regulated phosphoprotein 21</t>
  </si>
  <si>
    <t>Isoform 3 of Set1/Ash2 histone methyltransferase complex subunit ASH2</t>
  </si>
  <si>
    <t>7-dehydrocholesterol reductase</t>
  </si>
  <si>
    <t>Isoform 3 of Spastin</t>
  </si>
  <si>
    <t>tRNA (guanine-N(7)-)-methyltransferase</t>
  </si>
  <si>
    <t>Vacuolar protein sorting-associated protein 29</t>
  </si>
  <si>
    <t>Glyoxylate reductase/hydroxypyruvate reductase</t>
  </si>
  <si>
    <t>Ribosomal protein S6 kinase beta-2</t>
  </si>
  <si>
    <t>E3 ubiquitin-protein ligase RNF14</t>
  </si>
  <si>
    <t>SUN domain-containing ossification factor</t>
  </si>
  <si>
    <t>SUMO-activating enzyme subunit 2</t>
  </si>
  <si>
    <t>Protein FAM8A1</t>
  </si>
  <si>
    <t>Nuclear RNA export factor 1</t>
  </si>
  <si>
    <t>Protein sel-1 homolog 1</t>
  </si>
  <si>
    <t>Beta-1,4-galactosyltransferase 7</t>
  </si>
  <si>
    <t>Peflin</t>
  </si>
  <si>
    <t>Bridging integrator 2</t>
  </si>
  <si>
    <t>Zinc finger MYM-type protein 2</t>
  </si>
  <si>
    <t>COP9 signalosome complex subunit 7a</t>
  </si>
  <si>
    <t>Alpha-aminoadipic semialdehyde synthase, mitochondrial</t>
  </si>
  <si>
    <t>Isoform 2 of CAP-Gly domain-containing linker protein 2</t>
  </si>
  <si>
    <t>Cytochrome b-c1 complex subunit 9</t>
  </si>
  <si>
    <t>Mitochondrial fission process protein 1</t>
  </si>
  <si>
    <t>Isoform 6 of Tight junction protein ZO-2</t>
  </si>
  <si>
    <t>Isoform 2 of Mucosa-associated lymphoid tissue lymphoma translocation protein 1</t>
  </si>
  <si>
    <t>Serine/threonine-protein kinase 17A</t>
  </si>
  <si>
    <t>Craniofacial development protein 1</t>
  </si>
  <si>
    <t>Zinc finger protein 629</t>
  </si>
  <si>
    <t>Myelin protein zero-like protein 1 (Fragment)</t>
  </si>
  <si>
    <t>Isoform 2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</si>
  <si>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</si>
  <si>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</si>
  <si>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</si>
  <si>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</si>
  <si>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F-box/LRR-repeat protein 17</t>
  </si>
  <si>
    <t>Leucine-rich repeat and WD repeat-containing protein 1</t>
  </si>
  <si>
    <t>Protein NipSnap homolog 3A</t>
  </si>
  <si>
    <t>CGG triplet repeat-binding protein 1</t>
  </si>
  <si>
    <t>ATP-binding cassette sub-family F member 2</t>
  </si>
  <si>
    <t>Isoform 2 of Gamma-tubulin complex component 4</t>
  </si>
  <si>
    <t>Secretion-regulating guanine nucleotide exchange factor</t>
  </si>
  <si>
    <t>Neuronal acetylcholine receptor subunit alpha-9</t>
  </si>
  <si>
    <t>Tryptophan--tRNA ligase, mitochondrial</t>
  </si>
  <si>
    <t>LIM domain-containing protein 1</t>
  </si>
  <si>
    <t>Translocation protein SEC63 homolog</t>
  </si>
  <si>
    <t>Isoform 2 of Calcium channel flower homolog</t>
  </si>
  <si>
    <t>Isoform 2 of Solute carrier family 2, facilitated glucose transporter member 6</t>
  </si>
  <si>
    <t>Isoform 2 of Zinc finger CCCH domain-containing protein 7B</t>
  </si>
  <si>
    <t>Isoform 2 of Transcription factor 20</t>
  </si>
  <si>
    <t>Protein NDRG3</t>
  </si>
  <si>
    <t>Isoform 2 of Neuronal-specific septin-3</t>
  </si>
  <si>
    <t>Armadillo repeat-containing X-linked protein 3</t>
  </si>
  <si>
    <t>Switch-associated protein 70</t>
  </si>
  <si>
    <t>SUN domain-containing protein 2</t>
  </si>
  <si>
    <t>SS18-like protein 2</t>
  </si>
  <si>
    <t>Ragulator complex protein LAMTOR3</t>
  </si>
  <si>
    <t>LIM domain and actin-binding protein 1</t>
  </si>
  <si>
    <t>Isoform 4 of LIM domain and actin-binding protein 1</t>
  </si>
  <si>
    <t>AF4/FMR2 family member 4</t>
  </si>
  <si>
    <t>Signal recognition particle subunit SRP68</t>
  </si>
  <si>
    <t>Isoform 4 of E3 ubiquitin-protein ligase makorin-1</t>
  </si>
  <si>
    <t>Cysteine and histidine-rich domain-containing protein 1</t>
  </si>
  <si>
    <t>Serine/threonine-protein kinase TBK1</t>
  </si>
  <si>
    <t>Septin-9</t>
  </si>
  <si>
    <t>Ubiquilin-2</t>
  </si>
  <si>
    <t>Prenylcysteine oxidase 1</t>
  </si>
  <si>
    <t>Probable ATP-dependent RNA helicase DDX20</t>
  </si>
  <si>
    <t>Sedoheptulokinase</t>
  </si>
  <si>
    <t>Dipeptidyl peptidase 2</t>
  </si>
  <si>
    <t>DNA polymerase subunit gamma-2, mitochondrial</t>
  </si>
  <si>
    <t>Isoform 2 of Transmembrane protein 2</t>
  </si>
  <si>
    <t>Nuclear prelamin A recognition factor</t>
  </si>
  <si>
    <t>B-cell receptor-associated protein 29</t>
  </si>
  <si>
    <t>NADH-cytochrome b5 reductase 1</t>
  </si>
  <si>
    <t>Zinc finger HIT domain-containing protein 2</t>
  </si>
  <si>
    <t>Prefoldin subunit 2</t>
  </si>
  <si>
    <t>GPN-loop GTPase 3</t>
  </si>
  <si>
    <t>Poly(U)-binding-splicing factor PUF60</t>
  </si>
  <si>
    <t>Isoform 2 of Poly(U)-binding-splicing factor PUF60</t>
  </si>
  <si>
    <t>Nuclear receptor-binding protein</t>
  </si>
  <si>
    <t>Enolase-phosphatase E1</t>
  </si>
  <si>
    <t>Isoform 1 of Ena/VASP-like protein</t>
  </si>
  <si>
    <t>NADH dehydrogenase [ubiquinone] 1 alpha subcomplex subunit 12</t>
  </si>
  <si>
    <t>Translation initiation factor eIF-2B subunit delta</t>
  </si>
  <si>
    <t>Isoform 3 of Translation initiation factor eIF-2B subunit delta</t>
  </si>
  <si>
    <t>Isoform 2 of V-type proton ATPase subunit H</t>
  </si>
  <si>
    <t>Importin-11</t>
  </si>
  <si>
    <t>tRNA methyltransferase 112 homolog</t>
  </si>
  <si>
    <t>Putative ribosomal RNA methyltransferase 2</t>
  </si>
  <si>
    <t>Isoform 3 of SLAM family member 5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</si>
  <si>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</si>
  <si>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</si>
  <si>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</si>
  <si>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</si>
  <si>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Palmitoyltransferase ZDHHC2</t>
  </si>
  <si>
    <t>GTP:AMP phosphotransferase AK3, mitochondrial</t>
  </si>
  <si>
    <t>Isoform 3 of Short coiled-coil protein</t>
  </si>
  <si>
    <t>FK506-binding protein-like</t>
  </si>
  <si>
    <t>Isoform 3 of Leucyl-cystinyl aminopeptidase</t>
  </si>
  <si>
    <t>CCR4-NOT transcription complex subunit 7</t>
  </si>
  <si>
    <t>Testis-specific Y-encoded-like protein 4</t>
  </si>
  <si>
    <t>Gamma-glutamyltransferase 7</t>
  </si>
  <si>
    <t>N-acetyl-D-glucosamine kinase</t>
  </si>
  <si>
    <t>tRNA (adenine(58)-N(1))-methyltransferase non-catalytic subunit TRM6</t>
  </si>
  <si>
    <t>Isoform 2 of Motile sperm domain-containing protein 1</t>
  </si>
  <si>
    <t>N-acetylglucosamine-1-phosphotransferase subunit gamma</t>
  </si>
  <si>
    <t>Ribosome biogenesis protein TSR3 homolog</t>
  </si>
  <si>
    <t>Calcium-binding mitochondrial carrier protein Aralar2</t>
  </si>
  <si>
    <t>Tubulin epsilon chain</t>
  </si>
  <si>
    <t>Lymphoid enhancer-binding factor 1</t>
  </si>
  <si>
    <t>Drebrin-like protein</t>
  </si>
  <si>
    <t>Isoform 2 of Drebrin-like protein</t>
  </si>
  <si>
    <t>Dynactin subunit 4</t>
  </si>
  <si>
    <t>Cell division cycle protein 23 homolog</t>
  </si>
  <si>
    <t>Anaphase-promoting complex subunit 7</t>
  </si>
  <si>
    <t>Anaphase-promoting complex subunit 4</t>
  </si>
  <si>
    <t>Isoform 2 of Anaphase-promoting complex subunit 2</t>
  </si>
  <si>
    <t>ADP-ribosylation factor-binding protein GGA2</t>
  </si>
  <si>
    <t>Isoform 4 of ADP-ribosylation factor-binding protein GGA1</t>
  </si>
  <si>
    <t>Stomatin-like protein 2, mitochondrial</t>
  </si>
  <si>
    <t>Isoform 2 of N-acetylglucosamine-1-phosphodiester alpha-N-acetylglucosaminidase</t>
  </si>
  <si>
    <t>Vacuolar protein sorting-associated protein 28 homolog</t>
  </si>
  <si>
    <t>U6 snRNA-associated Sm-like protein LSm7</t>
  </si>
  <si>
    <t>Isoform 3 of Inhibitor of growth protein 1</t>
  </si>
  <si>
    <t>Lariat debranching enzyme</t>
  </si>
  <si>
    <t>Hematological and neurological expressed 1 protein</t>
  </si>
  <si>
    <t>Isoform 3 of F-box only protein 9</t>
  </si>
  <si>
    <t>A-kinase anchor protein 11</t>
  </si>
  <si>
    <t>mRNA turnover protein 4 homolog</t>
  </si>
  <si>
    <t>Cleavage and polyadenylation specificity factor subunit 3</t>
  </si>
  <si>
    <t>DCC-interacting protein 13-alpha</t>
  </si>
  <si>
    <t>Isoform 5 of Serine/threonine-protein kinase tousled-like 1</t>
  </si>
  <si>
    <t>G patch domain-containing protein 8</t>
  </si>
  <si>
    <t>NTF2-related export protein 1</t>
  </si>
  <si>
    <t>Phosphatidylcholine transfer protein</t>
  </si>
  <si>
    <t>RNA-binding protein Raly</t>
  </si>
  <si>
    <t>General transcription factor 3C polypeptide 4</t>
  </si>
  <si>
    <t>Probable ergosterol biosynthetic protein 28</t>
  </si>
  <si>
    <t>Protein kinase C and casein kinase substrate in neurons protein 3</t>
  </si>
  <si>
    <t>Isoform 2 of F-box only protein 5</t>
  </si>
  <si>
    <t>F-box only protein 4</t>
  </si>
  <si>
    <t>Isobutyryl-CoA dehydrogenase, mitochondrial</t>
  </si>
  <si>
    <t>E3 ubiquitin-protein ligase AMFR</t>
  </si>
  <si>
    <t>Protein argonaute-2</t>
  </si>
  <si>
    <t>Guanine nucleotide exchange factor VAV3</t>
  </si>
  <si>
    <t>Nuclear pore complex protein Nup50</t>
  </si>
  <si>
    <t>Zinc fingers and homeoboxes protein 1</t>
  </si>
  <si>
    <t>Protein CDV3 homolog</t>
  </si>
  <si>
    <t>CCR4-NOT transcription complex subunit 11</t>
  </si>
  <si>
    <t>Isoform 3 of Integrator complex subunit 6</t>
  </si>
  <si>
    <t>BAG family molecular chaperone regulator 5</t>
  </si>
  <si>
    <t>Protein argonaute-1</t>
  </si>
  <si>
    <t>Ras-related protein Rab-21</t>
  </si>
  <si>
    <t>Ras-related protein Rab-22A</t>
  </si>
  <si>
    <t>Paraneoplastic antigen Ma2</t>
  </si>
  <si>
    <t>Proteasome activator complex subunit 2</t>
  </si>
  <si>
    <t>Muskelin</t>
  </si>
  <si>
    <t>Ras-related protein Rab-23</t>
  </si>
  <si>
    <t>Malignant T-cell-amplified sequence 1</t>
  </si>
  <si>
    <t>Isoform 2 of Probable palmitoyltransferase ZDHHC8</t>
  </si>
  <si>
    <t>2-oxoglutarate dehydrogenase-like, mitochondrial</t>
  </si>
  <si>
    <t>Isoform 4 of Microtubule-associated tumor suppressor 1</t>
  </si>
  <si>
    <t>Paladin</t>
  </si>
  <si>
    <t>Zinc transporter ZIP10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</si>
  <si>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</si>
  <si>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</si>
  <si>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</si>
  <si>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</si>
  <si>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Ankyrin repeat domain-containing protein 50</t>
  </si>
  <si>
    <t>Isoform 3 of Proline-rich protein 12</t>
  </si>
  <si>
    <t>Isoform 2 of TBC1 domain family member 24</t>
  </si>
  <si>
    <t>Pre-mRNA-splicing factor ISY1 homolog</t>
  </si>
  <si>
    <t>Protein phosphatase 1H</t>
  </si>
  <si>
    <t>E3 ubiquitin-protein ligase HECTD1</t>
  </si>
  <si>
    <t>Unconventional myosin-Vb</t>
  </si>
  <si>
    <t>Coronin-1C</t>
  </si>
  <si>
    <t>Targeting protein for Xklp2</t>
  </si>
  <si>
    <t>RNA-binding protein NOB1</t>
  </si>
  <si>
    <t>A-kinase anchor protein 8-like</t>
  </si>
  <si>
    <t>Isoform 2 of Transcription factor MafF</t>
  </si>
  <si>
    <t>Anaphase-promoting complex subunit 10</t>
  </si>
  <si>
    <t>Alpha-1,3-mannosyl-glycoprotein 4-beta-N-acetylglucosaminyltransferase A</t>
  </si>
  <si>
    <t>Neurogenic locus notch homolog protein 3</t>
  </si>
  <si>
    <t>Isoform 3 of NFU1 iron-sulfur cluster scaffold homolog, mitochondrial</t>
  </si>
  <si>
    <t>Pre-mRNA-processing factor 19</t>
  </si>
  <si>
    <t>Ubiquilin-1</t>
  </si>
  <si>
    <t>Isoform 2 of Suppressor of fused homolog</t>
  </si>
  <si>
    <t>Neudesin</t>
  </si>
  <si>
    <t>Nucleolar protein 7</t>
  </si>
  <si>
    <t>Isoform 2 of Sorting nexin-12</t>
  </si>
  <si>
    <t>Isoform 3 of Synergin gamma</t>
  </si>
  <si>
    <t>Isoform 4 of Synergin gamma</t>
  </si>
  <si>
    <t>Isoform 2 of Protein NDRG2</t>
  </si>
  <si>
    <t>Vacuolar protein sorting-associated protein 4A</t>
  </si>
  <si>
    <t>Isoform B of Ras GTPase-activating protein-binding protein 2</t>
  </si>
  <si>
    <t>Isoform 2 of Rho GTPase-activating protein 26</t>
  </si>
  <si>
    <t>E3 ubiquitin-protein ligase CHIP</t>
  </si>
  <si>
    <t>Protein kinase C and casein kinase substrate in neurons protein 2</t>
  </si>
  <si>
    <t>Isoform 2 of Protein kinase C and casein kinase substrate in neurons protein 2</t>
  </si>
  <si>
    <t>Melanoma-associated antigen D2</t>
  </si>
  <si>
    <t>Sorting nexin-6</t>
  </si>
  <si>
    <t>Dual specificity protein phosphatase 12</t>
  </si>
  <si>
    <t>Syntaxin-8</t>
  </si>
  <si>
    <t>Isoform 3 of Inhibitor of growth protein 4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</si>
  <si>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</si>
  <si>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</si>
  <si>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</si>
  <si>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</si>
  <si>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</si>
  <si>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</si>
  <si>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</si>
  <si>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Isoform 2 of Rab-like protein 2B</t>
  </si>
  <si>
    <t>Multiple inositol polyphosphate phosphatase 1</t>
  </si>
  <si>
    <t>60S ribosomal protein L26-like 1</t>
  </si>
  <si>
    <t>WD repeat-containing protein 3</t>
  </si>
  <si>
    <t>Transcription termination factor 2</t>
  </si>
  <si>
    <t>NSFL1 cofactor p47</t>
  </si>
  <si>
    <t>Leydig cell tumor 10 kDa protein homolog</t>
  </si>
  <si>
    <t>Conserved oligomeric Golgi complex subunit 5</t>
  </si>
  <si>
    <t>Isoform 5 of Solute carrier family 12 member 4</t>
  </si>
  <si>
    <t>Protein SCAF8</t>
  </si>
  <si>
    <t>Serine/threonine-protein phosphatase 6 regulatory subunit 1</t>
  </si>
  <si>
    <t>E3 ubiquitin-protein ligase TRIM33</t>
  </si>
  <si>
    <t>Isoform Beta of E3 ubiquitin-protein ligase TRIM33</t>
  </si>
  <si>
    <t>Isoform 2 of Trinucleotide repeat-containing gene 6B protein</t>
  </si>
  <si>
    <t>Inactive phospholipase C-like protein 2</t>
  </si>
  <si>
    <t>Protein SMG5</t>
  </si>
  <si>
    <t>Isoform 1 of Exocyst complex component 7</t>
  </si>
  <si>
    <t>Ubiquitin carboxyl-terminal hydrolase 22</t>
  </si>
  <si>
    <t>Ubiquitin carboxyl-terminal hydrolase 24</t>
  </si>
  <si>
    <t>Cytosolic carboxypeptidase 1</t>
  </si>
  <si>
    <t>Isoform 2 of Hermansky-Pudlak syndrome 5 protein</t>
  </si>
  <si>
    <t>Isoform 2 of Leucine-rich repeat protein SHOC-2</t>
  </si>
  <si>
    <t>Serine/arginine repetitive matrix protein 2</t>
  </si>
  <si>
    <t>Proliferation-associated protein 2G4</t>
  </si>
  <si>
    <t>Paraplegin</t>
  </si>
  <si>
    <t>Isoform 3 of Brain-specific angiogenesis inhibitor 1-associated protein 2</t>
  </si>
  <si>
    <t>Structural maintenance of chromosomes protein 3</t>
  </si>
  <si>
    <t>Charged multivesicular body protein 2b</t>
  </si>
  <si>
    <t>Tenascin-N</t>
  </si>
  <si>
    <t>Sex comb on midleg-like protein 2</t>
  </si>
  <si>
    <t>Zinc finger protein 148</t>
  </si>
  <si>
    <t>Myotubularin-related protein 6</t>
  </si>
  <si>
    <t>60S ribosome subunit biogenesis protein NIP7 homolog</t>
  </si>
  <si>
    <t>Isoform 3 of Bifunctional UDP-N-acetylglucosamine 2-epimerase/N-acetylmannosamine kinase</t>
  </si>
  <si>
    <t>UPF0568 protein C14orf166</t>
  </si>
  <si>
    <t>RuvB-like 2</t>
  </si>
  <si>
    <t>Isoform 2 of Chromodomain Y-like protein</t>
  </si>
  <si>
    <t>Peptidyl-prolyl cis-trans isomerase NIMA-interacting 4</t>
  </si>
  <si>
    <t>Proteasome maturation protein</t>
  </si>
  <si>
    <t>DNA replication complex GINS protein PSF2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</si>
  <si>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</si>
  <si>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</si>
  <si>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</si>
  <si>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</si>
  <si>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</si>
  <si>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</si>
  <si>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</si>
  <si>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Integral membrane protein 2B</t>
  </si>
  <si>
    <t>Sodium-dependent multivitamin transporter</t>
  </si>
  <si>
    <t>Histone chaperone ASF1A</t>
  </si>
  <si>
    <t>Developmentally-regulated GTP-binding protein 1</t>
  </si>
  <si>
    <t>Trafficking protein particle complex subunit 4</t>
  </si>
  <si>
    <t>Protein canopy homolog 2</t>
  </si>
  <si>
    <t>Uronyl 2-sulfotransferase</t>
  </si>
  <si>
    <t>Nuclease EXOG, mitochondrial</t>
  </si>
  <si>
    <t>Exocyst complex component 6B</t>
  </si>
  <si>
    <t>Isoform 4 of A-kinase anchor protein 2</t>
  </si>
  <si>
    <t>Isoform 4 of Caspase recruitment domain-containing protein 8</t>
  </si>
  <si>
    <t>Probable phospholipid-transporting ATPase IF</t>
  </si>
  <si>
    <t>GDP-fucose protein O-fucosyltransferase 2</t>
  </si>
  <si>
    <t>Isoform 3 of Disks large-associated protein 4</t>
  </si>
  <si>
    <t>Serine/threonine-protein kinase 38-like</t>
  </si>
  <si>
    <t>Isoform 2 of Fibronectin type-III domain-containing protein 3A</t>
  </si>
  <si>
    <t>Nischarin</t>
  </si>
  <si>
    <t>1-phosphatidylinositol 3-phosphate 5-kinase</t>
  </si>
  <si>
    <t>Ubiquitin carboxyl-terminal hydrolase 20</t>
  </si>
  <si>
    <t>Lysine-specific demethylase 2A</t>
  </si>
  <si>
    <t>Exosome complex exonuclease RRP44</t>
  </si>
  <si>
    <t>Isoform 2 of Leucine-rich repeat and calponin homology domain-containing protein 1</t>
  </si>
  <si>
    <t>RNA 3-terminal phosphate cyclase-like protein</t>
  </si>
  <si>
    <t>Isoform 3 of Probable phospholipid-transporting ATPase IA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</si>
  <si>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</si>
  <si>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</si>
  <si>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</si>
  <si>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</si>
  <si>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Probable ATP-dependent RNA helicase DDX52</t>
  </si>
  <si>
    <t>DNA-directed RNA polymerases I and III subunit RPAC2</t>
  </si>
  <si>
    <t>Isoform 2 of 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</si>
  <si>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</si>
  <si>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</si>
  <si>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</si>
  <si>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</si>
  <si>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Y-box-binding protein 2</t>
  </si>
  <si>
    <t>Mitogen-activated protein kinase kinase kinase 2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</si>
  <si>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</si>
  <si>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</si>
  <si>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</si>
  <si>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</si>
  <si>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</si>
  <si>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</si>
  <si>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ARF GTPase-activating protein GIT1</t>
  </si>
  <si>
    <t>DNA-directed RNA polymerase III subunit RPC10</t>
  </si>
  <si>
    <t>Suppressor of G2 allele of SKP1 homolog</t>
  </si>
  <si>
    <t>Isoform 2 of Suppressor of G2 allele of SKP1 homolog</t>
  </si>
  <si>
    <t>Tyrosine--tRNA ligase, mitochondrial</t>
  </si>
  <si>
    <t>Isoform 3 of Ubiquinone biosynthesis monooxygenase COQ6</t>
  </si>
  <si>
    <t>Putative N-acetylglucosamine-6-phosphate deacetylase</t>
  </si>
  <si>
    <t>Nitric oxide synthase-interacting protein</t>
  </si>
  <si>
    <t>Putative deoxyribose-phosphate aldolase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</si>
  <si>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</si>
  <si>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</si>
  <si>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</si>
  <si>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</si>
  <si>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</si>
  <si>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</si>
  <si>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</si>
  <si>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</si>
  <si>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RNA-binding motif protein, X-linked 2</t>
  </si>
  <si>
    <t>Isoform 2 of Dehydrogenase/reductase SDR family member 7</t>
  </si>
  <si>
    <t>28S ribosomal protein S2, mitochondrial</t>
  </si>
  <si>
    <t>Isoform 3 of MOB-like protein phocein</t>
  </si>
  <si>
    <t>Ribosomal RNA-processing protein 7 homolog A</t>
  </si>
  <si>
    <t>Ribosome maturation protein SBDS</t>
  </si>
  <si>
    <t>Transmembrane emp24 domain-containing protein 5</t>
  </si>
  <si>
    <t>Transmembrane emp24 domain-containing protein 7</t>
  </si>
  <si>
    <t>Pre-mRNA branch site protein p14</t>
  </si>
  <si>
    <t>Isoform 2 of 39S ribosomal protein L11, mitochondrial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</si>
  <si>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</si>
  <si>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</si>
  <si>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</si>
  <si>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</si>
  <si>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</si>
  <si>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</si>
  <si>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</si>
  <si>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</si>
  <si>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</si>
  <si>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</si>
  <si>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28S ribosomal protein S23, mitochondrial</t>
  </si>
  <si>
    <t>Hepatoma-derived growth factor-related protein 3</t>
  </si>
  <si>
    <t>BolA-like protein 1</t>
  </si>
  <si>
    <t>Isoform 4 of Charged multivesicular body protein 3</t>
  </si>
  <si>
    <t>Serine-threonine kinase receptor-associated protein</t>
  </si>
  <si>
    <t>tRNA-splicing ligase RtcB homolog</t>
  </si>
  <si>
    <t>Isoform 3 of F-box only protein 7</t>
  </si>
  <si>
    <t>Ras-related protein Rap-2c</t>
  </si>
  <si>
    <t>Signaling threshold-regulating transmembrane adapter 1</t>
  </si>
  <si>
    <t>Rab GTPase-activating protein 1</t>
  </si>
  <si>
    <t>Transmembrane emp24 domain-containing protein 3</t>
  </si>
  <si>
    <t>TSC22 domain family protein 4</t>
  </si>
  <si>
    <t>Isoform 2 of Protein dopey-2</t>
  </si>
  <si>
    <t>Zinc finger protein 330</t>
  </si>
  <si>
    <t>Nucleolar complex protein 2 homolog</t>
  </si>
  <si>
    <t>60S ribosomal protein L36</t>
  </si>
  <si>
    <t>Isoform 2 of RWD domain-containing protein 3</t>
  </si>
  <si>
    <t>Coiled-coil domain-containing protein 9</t>
  </si>
  <si>
    <t>Isoform 3 of Chromatin target of PRMT1 protein</t>
  </si>
  <si>
    <t>Isoform 4 of Deoxynucleoside triphosphate triphosphohydrolase SAMHD1</t>
  </si>
  <si>
    <t>Protein FAM32A</t>
  </si>
  <si>
    <t>Small kinetochore-associated protein</t>
  </si>
  <si>
    <t>HBS1-like protein</t>
  </si>
  <si>
    <t>Isoform 2 of HBS1-like protein</t>
  </si>
  <si>
    <t>5-AMP-activated protein kinase subunit beta-1</t>
  </si>
  <si>
    <t>V-type proton ATPase 116 kDa subunit a isoform 2</t>
  </si>
  <si>
    <t>Talin-1</t>
  </si>
  <si>
    <t>Helicase ARIP4</t>
  </si>
  <si>
    <t>Isoform 2 of Protein VPRBP</t>
  </si>
  <si>
    <t>Lysine-specific demethylase 3A</t>
  </si>
  <si>
    <t>Malignant fibrous histiocytoma-amplified sequence 1</t>
  </si>
  <si>
    <t>Isoform 2 of Disheveled-associated activator of morphogenesis 1</t>
  </si>
  <si>
    <t>Isoform 2 of Plexin-D1</t>
  </si>
  <si>
    <t>Isoform 2 of WASH complex subunit FAM21C</t>
  </si>
  <si>
    <t>Isoform 2 of WD repeat-containing protein 7</t>
  </si>
  <si>
    <t>Talin-2</t>
  </si>
  <si>
    <t>Absent in melanoma 1 protein</t>
  </si>
  <si>
    <t>TNF receptor-associated factor 6</t>
  </si>
  <si>
    <t>Mitogen-activated protein kinase kinase kinase kinase 5</t>
  </si>
  <si>
    <t>Hypoxia up-regulated protein 1</t>
  </si>
  <si>
    <t>Isoform 6 of Cysteine protease ATG4B</t>
  </si>
  <si>
    <t>Isoform 3 of WD repeat domain phosphoinositide-interacting protein 2</t>
  </si>
  <si>
    <t>Telomere length regulation protein TEL2 homolog</t>
  </si>
  <si>
    <t>AFG3-like protein 2</t>
  </si>
  <si>
    <t>Krueppel-like factor 12</t>
  </si>
  <si>
    <t>E3 ubiquitin-protein ligase ARIH1</t>
  </si>
  <si>
    <t>U6 snRNA-associated Sm-like protein LSm5</t>
  </si>
  <si>
    <t>U6 snRNA-associated Sm-like protein LSm4</t>
  </si>
  <si>
    <t>RING finger protein 114</t>
  </si>
  <si>
    <t>Sorting and assembly machinery component 50 homolog</t>
  </si>
  <si>
    <t>Isoform 5 of Protein PRRC2C</t>
  </si>
  <si>
    <t>Leucine-rich repeat-containing protein 42</t>
  </si>
  <si>
    <t>Heat shock protein beta-11</t>
  </si>
  <si>
    <t>Protein phosphatase methylesterase 1</t>
  </si>
  <si>
    <t>Mitochondrial import inner membrane translocase subunit Tim22</t>
  </si>
  <si>
    <t>Zinc finger and SCAN domain-containing protein 21</t>
  </si>
  <si>
    <t>YTH domain family protein 2</t>
  </si>
  <si>
    <t>RNA polymerase II subunit A C-terminal domain phosphatase</t>
  </si>
  <si>
    <t>PAX3- and PAX7-binding protein 1</t>
  </si>
  <si>
    <t>Nucleoside diphosphate kinase 7</t>
  </si>
  <si>
    <t>FACT complex subunit SPT16</t>
  </si>
  <si>
    <t>U3 small nucleolar RNA-associated protein 18 homolog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</si>
  <si>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</si>
  <si>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</si>
  <si>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</si>
  <si>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</si>
  <si>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</si>
  <si>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Mitochondrial import inner membrane translocase subunit Tim13</t>
  </si>
  <si>
    <t>Signal recognition particle receptor subunit beta</t>
  </si>
  <si>
    <t>HemK methyltransferase family member 2</t>
  </si>
  <si>
    <t>Origin recognition complex subunit 6</t>
  </si>
  <si>
    <t>Isoform 2 of Collagen type IV alpha-3-binding protein</t>
  </si>
  <si>
    <t>Mannose-1-phosphate guanyltransferase beta</t>
  </si>
  <si>
    <t>General transcription factor 3C polypeptide 3</t>
  </si>
  <si>
    <t>Trafficking protein particle complex subunit 1</t>
  </si>
  <si>
    <t>Transient receptor potential cation channel subfamily V member 2</t>
  </si>
  <si>
    <t>RNA-binding protein 8A</t>
  </si>
  <si>
    <t>DnaJ homolog subfamily C member 15</t>
  </si>
  <si>
    <t>Isoform 2 of Ubiquitin carboxyl-terminal hydrolase 16</t>
  </si>
  <si>
    <t>Isoform 2 of Protein TSSC4</t>
  </si>
  <si>
    <t>Immediate early response 3-interacting protein 1</t>
  </si>
  <si>
    <t>Zinc finger protein 706</t>
  </si>
  <si>
    <t>Melanoma-associated antigen D1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</si>
  <si>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</si>
  <si>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</si>
  <si>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</si>
  <si>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</si>
  <si>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</si>
  <si>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</si>
  <si>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Host cell factor 2</t>
  </si>
  <si>
    <t>Isoform 2 of UbiA prenyltransferase domain-containing protein 1</t>
  </si>
  <si>
    <t>MORF4 family-associated protein 1</t>
  </si>
  <si>
    <t>Isoform 4 of Leucine-rich repeat flightless-interacting protein 2</t>
  </si>
  <si>
    <t>Phosphoserine aminotransferase</t>
  </si>
  <si>
    <t>Mitochondrial ornithine transporter 1</t>
  </si>
  <si>
    <t>Isoform 1 of Neuroplastin</t>
  </si>
  <si>
    <t>Spindlin-1</t>
  </si>
  <si>
    <t>Kaptin</t>
  </si>
  <si>
    <t>Solute carrier family 12 member 7</t>
  </si>
  <si>
    <t>Dolichyl-phosphate beta-glucosyltransferase</t>
  </si>
  <si>
    <t>28S ribosomal protein S18b, mitochondrial</t>
  </si>
  <si>
    <t>Coatomer subunit gamma-1</t>
  </si>
  <si>
    <t>Isoform Short of Ancient ubiquitous protein 1</t>
  </si>
  <si>
    <t>Isoform 2 of Peptidyl-prolyl cis-trans isomerase FKBP7</t>
  </si>
  <si>
    <t>Isoform 2 of ADP-ribosylation factor-like protein 5A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</si>
  <si>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</si>
  <si>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</si>
  <si>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</si>
  <si>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</si>
  <si>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</si>
  <si>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</si>
  <si>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</si>
  <si>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</si>
  <si>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</si>
  <si>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</si>
  <si>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</si>
  <si>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Cytoplasmic dynein 1 light intermediate chain 1</t>
  </si>
  <si>
    <t>Coiled-coil-helix-coiled-coil-helix domain-containing protein 2, mitochondrial</t>
  </si>
  <si>
    <t>Mitochondrial inner membrane protease ATP23 homolog</t>
  </si>
  <si>
    <t>Epsin-1</t>
  </si>
  <si>
    <t>Testis-expressed sequence 264 protein</t>
  </si>
  <si>
    <t>Choline/ethanolaminephosphotransferase 1</t>
  </si>
  <si>
    <t>DNA (cytosine-5)-methyltransferase 3A</t>
  </si>
  <si>
    <t>2-5-oligoadenylate synthase 3</t>
  </si>
  <si>
    <t>NF-kappa-B essential modulator</t>
  </si>
  <si>
    <t>Casein kinase I isoform gamma-3</t>
  </si>
  <si>
    <t>Zinc transporter 1</t>
  </si>
  <si>
    <t>NADH dehydrogenase [ubiquinone] 1 beta subcomplex subunit 9</t>
  </si>
  <si>
    <t>Cytochrome c oxidase assembly protein COX11, mitochondrial</t>
  </si>
  <si>
    <t>Sulfide:quinone oxidoreductase, mitochondrial</t>
  </si>
  <si>
    <t>Isoform 5 of Nuclear receptor coactivator 3</t>
  </si>
  <si>
    <t>Numb-like protein</t>
  </si>
  <si>
    <t>Probable ATP-dependent RNA helicase DDX49</t>
  </si>
  <si>
    <t>Calpain-7</t>
  </si>
  <si>
    <t>Wiskott-Aldrich syndrome protein family member 2</t>
  </si>
  <si>
    <t>Soluble lamin-associated protein of 75 kDa</t>
  </si>
  <si>
    <t>Bis(5-adenosyl)-triphosphatase ENPP4</t>
  </si>
  <si>
    <t>Zinc fingers and homeoboxes protein 2</t>
  </si>
  <si>
    <t>MORC family CW-type zinc finger protein 2</t>
  </si>
  <si>
    <t>Influenza virus NS1A-binding protein</t>
  </si>
  <si>
    <t>26S proteasome non-ATPase regulatory subunit 8</t>
  </si>
  <si>
    <t>GDH/6PGL endoplasmic bifunctional protein</t>
  </si>
  <si>
    <t>Polycomb complex protein BMI-1</t>
  </si>
  <si>
    <t>Ran-binding protein 10</t>
  </si>
  <si>
    <t>F-box only protein 44 (Fragment)</t>
  </si>
  <si>
    <t>YTH domain family protein 3</t>
  </si>
  <si>
    <t>Uncharacterized protein C16orf74</t>
  </si>
  <si>
    <t>DENN domain-containing protein 4C</t>
  </si>
  <si>
    <t>26S protease regulatory subunit 6A</t>
  </si>
  <si>
    <t>Insulin-like growth factor-binding protein 3 receptor (Fragment)</t>
  </si>
  <si>
    <t>UBA6</t>
  </si>
  <si>
    <t>UHRF1BP1L</t>
  </si>
  <si>
    <t>KIAA1598</t>
  </si>
  <si>
    <t>TMEM223</t>
  </si>
  <si>
    <t>ARHGAP10</t>
  </si>
  <si>
    <t>ILVBL</t>
  </si>
  <si>
    <t>C17orf89</t>
  </si>
  <si>
    <t>SH3PXD2B</t>
  </si>
  <si>
    <t>ACO2</t>
  </si>
  <si>
    <t>STMN1</t>
  </si>
  <si>
    <t>ALG6</t>
  </si>
  <si>
    <t>AAR2</t>
  </si>
  <si>
    <t>PRNP</t>
  </si>
  <si>
    <t>PIPSL</t>
  </si>
  <si>
    <t>NELFE</t>
  </si>
  <si>
    <t>NBAS</t>
  </si>
  <si>
    <t>KIAA1467</t>
  </si>
  <si>
    <t>TYW5</t>
  </si>
  <si>
    <t>FUOM</t>
  </si>
  <si>
    <t>VWA8</t>
  </si>
  <si>
    <t>SBNO1</t>
  </si>
  <si>
    <t>FAM221A</t>
  </si>
  <si>
    <t>GTPBP10</t>
  </si>
  <si>
    <t>LCHN</t>
  </si>
  <si>
    <t>UCC1</t>
  </si>
  <si>
    <t>MBLAC1</t>
  </si>
  <si>
    <t>PSMB11</t>
  </si>
  <si>
    <t>TMEM189</t>
  </si>
  <si>
    <t>CNOT1</t>
  </si>
  <si>
    <t>CCDC88B</t>
  </si>
  <si>
    <t>PGP</t>
  </si>
  <si>
    <t>C5orf51</t>
  </si>
  <si>
    <t>RCCD1</t>
  </si>
  <si>
    <t>HCFC1</t>
  </si>
  <si>
    <t>PIGK</t>
  </si>
  <si>
    <t>BPNT1</t>
  </si>
  <si>
    <t>ZNF316</t>
  </si>
  <si>
    <t>NUDT5</t>
  </si>
  <si>
    <t>CHMP1A</t>
  </si>
  <si>
    <t>PRCC</t>
  </si>
  <si>
    <t>HN1L</t>
  </si>
  <si>
    <t>ZMYM3</t>
  </si>
  <si>
    <t>TUBAL3</t>
  </si>
  <si>
    <t>FBLL1</t>
  </si>
  <si>
    <t>SMCHD1</t>
  </si>
  <si>
    <t>GATSL2</t>
  </si>
  <si>
    <t>UNC119B</t>
  </si>
  <si>
    <t>DOCK11</t>
  </si>
  <si>
    <t>NDEL1</t>
  </si>
  <si>
    <t>METTL15</t>
  </si>
  <si>
    <t>C13orf23</t>
  </si>
  <si>
    <t>LIPT2</t>
  </si>
  <si>
    <t>CCDC85C</t>
  </si>
  <si>
    <t>GPR89C</t>
  </si>
  <si>
    <t>CNIH4</t>
  </si>
  <si>
    <t>SEPT8</t>
  </si>
  <si>
    <t>DIAPH2</t>
  </si>
  <si>
    <t>PHKA1</t>
  </si>
  <si>
    <t>POLA1</t>
  </si>
  <si>
    <t>ALMS1</t>
  </si>
  <si>
    <t>ANXA6</t>
  </si>
  <si>
    <t>PIP5K1A</t>
  </si>
  <si>
    <t>BTBD11</t>
  </si>
  <si>
    <t>ZBTB8OS</t>
  </si>
  <si>
    <t>SELK</t>
  </si>
  <si>
    <t>ZNF276</t>
  </si>
  <si>
    <t>YDJC</t>
  </si>
  <si>
    <t>MLLT4</t>
  </si>
  <si>
    <t>ZNF850</t>
  </si>
  <si>
    <t>SNRPB</t>
  </si>
  <si>
    <t>ARMC8</t>
  </si>
  <si>
    <t>DSCR3</t>
  </si>
  <si>
    <t>S100PBP</t>
  </si>
  <si>
    <t>SUMO3</t>
  </si>
  <si>
    <t>TUBA4A</t>
  </si>
  <si>
    <t>TSSC1</t>
  </si>
  <si>
    <t>ATF7IP</t>
  </si>
  <si>
    <t>FAM171A2</t>
  </si>
  <si>
    <t>BICD1</t>
  </si>
  <si>
    <t>PLRG1</t>
  </si>
  <si>
    <t>MATR3</t>
  </si>
  <si>
    <t>ADH1B</t>
  </si>
  <si>
    <t>LAIR1</t>
  </si>
  <si>
    <t>MIF4GD</t>
  </si>
  <si>
    <t>SRRM1</t>
  </si>
  <si>
    <t>KIAA0930</t>
  </si>
  <si>
    <t>PFKFB2</t>
  </si>
  <si>
    <t>MYO1G</t>
  </si>
  <si>
    <t>HMGXB4</t>
  </si>
  <si>
    <t>EIF3L</t>
  </si>
  <si>
    <t>SMCR7L</t>
  </si>
  <si>
    <t>TBC1D22A</t>
  </si>
  <si>
    <t>EWSR1</t>
  </si>
  <si>
    <t>BAG6</t>
  </si>
  <si>
    <t>ABHD16A</t>
  </si>
  <si>
    <t>EHMT2</t>
  </si>
  <si>
    <t>VARS</t>
  </si>
  <si>
    <t>APOC3</t>
  </si>
  <si>
    <t>PTPLA</t>
  </si>
  <si>
    <t>PHF21B</t>
  </si>
  <si>
    <t>NHP2L1</t>
  </si>
  <si>
    <t>TRAF3IP3</t>
  </si>
  <si>
    <t>PSMD10</t>
  </si>
  <si>
    <t>HMGCL</t>
  </si>
  <si>
    <t>MAD2L2</t>
  </si>
  <si>
    <t>EPHB2</t>
  </si>
  <si>
    <t>NRD1</t>
  </si>
  <si>
    <t>OSBPL9</t>
  </si>
  <si>
    <t>EIF4ENIF1</t>
  </si>
  <si>
    <t>NFIA</t>
  </si>
  <si>
    <t>TSPAN2</t>
  </si>
  <si>
    <t>DYNLRB1</t>
  </si>
  <si>
    <t>PEA15</t>
  </si>
  <si>
    <t>CDC37L1</t>
  </si>
  <si>
    <t>PHYH</t>
  </si>
  <si>
    <t>ARHGEF7</t>
  </si>
  <si>
    <t>TMEM9</t>
  </si>
  <si>
    <t>UBE2J2</t>
  </si>
  <si>
    <t>SEPT6</t>
  </si>
  <si>
    <t>EXOSC1</t>
  </si>
  <si>
    <t>CD58</t>
  </si>
  <si>
    <t>SPRR3</t>
  </si>
  <si>
    <t>EIF4G3</t>
  </si>
  <si>
    <t>PRSS3</t>
  </si>
  <si>
    <t>GUK1</t>
  </si>
  <si>
    <t>USF1</t>
  </si>
  <si>
    <t>TAP1</t>
  </si>
  <si>
    <t>JMJD6</t>
  </si>
  <si>
    <t>CCDC92</t>
  </si>
  <si>
    <t>PHC2</t>
  </si>
  <si>
    <t>ERCC1</t>
  </si>
  <si>
    <t>EIF3S3</t>
  </si>
  <si>
    <t>EIF3F</t>
  </si>
  <si>
    <t>LZTFL1</t>
  </si>
  <si>
    <t>SOD2</t>
  </si>
  <si>
    <t>PIGA</t>
  </si>
  <si>
    <t>PHF23</t>
  </si>
  <si>
    <t>AP1G1</t>
  </si>
  <si>
    <t>RXRA</t>
  </si>
  <si>
    <t>CDIPT</t>
  </si>
  <si>
    <t>CNN2</t>
  </si>
  <si>
    <t>HARS2</t>
  </si>
  <si>
    <t>REEP2</t>
  </si>
  <si>
    <t>TSPAN7</t>
  </si>
  <si>
    <t>PRNPIP</t>
  </si>
  <si>
    <t>NDUFA13</t>
  </si>
  <si>
    <t>MSTO1</t>
  </si>
  <si>
    <t>HAUS3</t>
  </si>
  <si>
    <t>HUS1</t>
  </si>
  <si>
    <t>CTNNB1</t>
  </si>
  <si>
    <t>PIP4K2A</t>
  </si>
  <si>
    <t>DCUN1D4</t>
  </si>
  <si>
    <t>MAP1S</t>
  </si>
  <si>
    <t>FBXW11</t>
  </si>
  <si>
    <t>BNIP3</t>
  </si>
  <si>
    <t>ACSF2</t>
  </si>
  <si>
    <t>RAB5A</t>
  </si>
  <si>
    <t>ISCA1</t>
  </si>
  <si>
    <t>SLC25A14</t>
  </si>
  <si>
    <t>PRKCH</t>
  </si>
  <si>
    <t>SNRPD3</t>
  </si>
  <si>
    <t>CS</t>
  </si>
  <si>
    <t>SLC23A2</t>
  </si>
  <si>
    <t>ZNF286A</t>
  </si>
  <si>
    <t>CHURC1-FNTB</t>
  </si>
  <si>
    <t>SLC25A10</t>
  </si>
  <si>
    <t>RPS6KB1</t>
  </si>
  <si>
    <t>PGS1</t>
  </si>
  <si>
    <t>RNF220</t>
  </si>
  <si>
    <t>B4GALT1</t>
  </si>
  <si>
    <t>MRPL48</t>
  </si>
  <si>
    <t>ACY1</t>
  </si>
  <si>
    <t>PTGES3</t>
  </si>
  <si>
    <t>SARDH</t>
  </si>
  <si>
    <t>TOX4</t>
  </si>
  <si>
    <t>HDAC8</t>
  </si>
  <si>
    <t>TRA2A</t>
  </si>
  <si>
    <t>PGD</t>
  </si>
  <si>
    <t>MGRN1</t>
  </si>
  <si>
    <t>SEC61A1</t>
  </si>
  <si>
    <t>CHM</t>
  </si>
  <si>
    <t>ZDHHC20</t>
  </si>
  <si>
    <t>TXNDC15</t>
  </si>
  <si>
    <t>C9orf41</t>
  </si>
  <si>
    <t>PTBP2</t>
  </si>
  <si>
    <t>ANXA7</t>
  </si>
  <si>
    <t>NUPL2</t>
  </si>
  <si>
    <t>SLC9A1</t>
  </si>
  <si>
    <t>SLC35F2</t>
  </si>
  <si>
    <t>ANXA11</t>
  </si>
  <si>
    <t>FHOD1</t>
  </si>
  <si>
    <t>EIF3D</t>
  </si>
  <si>
    <t>ZNFN1A2</t>
  </si>
  <si>
    <t>HACL1</t>
  </si>
  <si>
    <t>ACTR1A</t>
  </si>
  <si>
    <t>FXR1</t>
  </si>
  <si>
    <t>NUP35</t>
  </si>
  <si>
    <t>HDAC6</t>
  </si>
  <si>
    <t>TMEM134</t>
  </si>
  <si>
    <t>PEX5</t>
  </si>
  <si>
    <t>LRCH3</t>
  </si>
  <si>
    <t>MST4</t>
  </si>
  <si>
    <t>DERL1</t>
  </si>
  <si>
    <t>RIOK3</t>
  </si>
  <si>
    <t>SFRS3</t>
  </si>
  <si>
    <t>LAMP2</t>
  </si>
  <si>
    <t>STOM</t>
  </si>
  <si>
    <t>METTL13</t>
  </si>
  <si>
    <t>CLSTN1</t>
  </si>
  <si>
    <t>CECR1</t>
  </si>
  <si>
    <t>CHCHD10</t>
  </si>
  <si>
    <t>LBH</t>
  </si>
  <si>
    <t>LIMK2</t>
  </si>
  <si>
    <t>MPV17</t>
  </si>
  <si>
    <t>SYNGR1</t>
  </si>
  <si>
    <t>PES1</t>
  </si>
  <si>
    <t>NCOA1</t>
  </si>
  <si>
    <t>PPM1F</t>
  </si>
  <si>
    <t>STXBP4</t>
  </si>
  <si>
    <t>TSPAN9</t>
  </si>
  <si>
    <t>NLRC3</t>
  </si>
  <si>
    <t>RFT1</t>
  </si>
  <si>
    <t>C2orf43</t>
  </si>
  <si>
    <t>TCF7</t>
  </si>
  <si>
    <t>CWC22</t>
  </si>
  <si>
    <t>EML3</t>
  </si>
  <si>
    <t>ATP6V1A</t>
  </si>
  <si>
    <t>PDIA6</t>
  </si>
  <si>
    <t>MFSD8</t>
  </si>
  <si>
    <t>TXNRD1</t>
  </si>
  <si>
    <t>ALAD</t>
  </si>
  <si>
    <t>TMEM128</t>
  </si>
  <si>
    <t>TBCE</t>
  </si>
  <si>
    <t>FMO1</t>
  </si>
  <si>
    <t>NPEPPS</t>
  </si>
  <si>
    <t>DNASE2</t>
  </si>
  <si>
    <t>ERF</t>
  </si>
  <si>
    <t>P2RX4</t>
  </si>
  <si>
    <t>ACPL2</t>
  </si>
  <si>
    <t>INPP5K</t>
  </si>
  <si>
    <t>CCBL1</t>
  </si>
  <si>
    <t>STMN3</t>
  </si>
  <si>
    <t>F11R</t>
  </si>
  <si>
    <t>SLC27A1</t>
  </si>
  <si>
    <t>DECR1</t>
  </si>
  <si>
    <t>TNFAIP1</t>
  </si>
  <si>
    <t>TMEM106A</t>
  </si>
  <si>
    <t>ZNF558</t>
  </si>
  <si>
    <t>TRUB2</t>
  </si>
  <si>
    <t>ZKSCAN4</t>
  </si>
  <si>
    <t>ATL2</t>
  </si>
  <si>
    <t>USP7</t>
  </si>
  <si>
    <t>DHCR24</t>
  </si>
  <si>
    <t>EMB</t>
  </si>
  <si>
    <t>ATP6AP2</t>
  </si>
  <si>
    <t>ATP1B1</t>
  </si>
  <si>
    <t>PMS1</t>
  </si>
  <si>
    <t>SH3GLB2</t>
  </si>
  <si>
    <t>PPP2R5E</t>
  </si>
  <si>
    <t>UBXN2A</t>
  </si>
  <si>
    <t>SCARB1</t>
  </si>
  <si>
    <t>COX18</t>
  </si>
  <si>
    <t>GCHFR</t>
  </si>
  <si>
    <t>GMIP</t>
  </si>
  <si>
    <t>EDEM3</t>
  </si>
  <si>
    <t>RLTPR</t>
  </si>
  <si>
    <t>CATSPERG</t>
  </si>
  <si>
    <t>SUMO1</t>
  </si>
  <si>
    <t>PTMA</t>
  </si>
  <si>
    <t>ATF2</t>
  </si>
  <si>
    <t>COQ10B</t>
  </si>
  <si>
    <t>IMP4</t>
  </si>
  <si>
    <t>USP39</t>
  </si>
  <si>
    <t>RHBDD1</t>
  </si>
  <si>
    <t>COA5</t>
  </si>
  <si>
    <t>PLCB2</t>
  </si>
  <si>
    <t>PEX7</t>
  </si>
  <si>
    <t>BAK1</t>
  </si>
  <si>
    <t>ATG12</t>
  </si>
  <si>
    <t>WASH3P</t>
  </si>
  <si>
    <t>LAT</t>
  </si>
  <si>
    <t>NDUFB2</t>
  </si>
  <si>
    <t>ZC3HC1</t>
  </si>
  <si>
    <t>PFN2</t>
  </si>
  <si>
    <t>SRI</t>
  </si>
  <si>
    <t>KLHL22</t>
  </si>
  <si>
    <t>MEGF9</t>
  </si>
  <si>
    <t>WDR91</t>
  </si>
  <si>
    <t>UBE2F</t>
  </si>
  <si>
    <t>UBE2E1</t>
  </si>
  <si>
    <t>CBLL1</t>
  </si>
  <si>
    <t>TAMM41</t>
  </si>
  <si>
    <t>POLR2B</t>
  </si>
  <si>
    <t>IMPDH1</t>
  </si>
  <si>
    <t>CMSS1</t>
  </si>
  <si>
    <t>CROT</t>
  </si>
  <si>
    <t>CBWD2</t>
  </si>
  <si>
    <t>SLC37A3</t>
  </si>
  <si>
    <t>PDCD10</t>
  </si>
  <si>
    <t>TAGLN3</t>
  </si>
  <si>
    <t>FAM107B</t>
  </si>
  <si>
    <t>UFD1L</t>
  </si>
  <si>
    <t>KIF20B</t>
  </si>
  <si>
    <t>TNPO3</t>
  </si>
  <si>
    <t>PLSCR1</t>
  </si>
  <si>
    <t>HDAC10</t>
  </si>
  <si>
    <t>PHF15</t>
  </si>
  <si>
    <t>AGAP3</t>
  </si>
  <si>
    <t>RPSA</t>
  </si>
  <si>
    <t>COA1</t>
  </si>
  <si>
    <t>NMD3</t>
  </si>
  <si>
    <t>SSR3</t>
  </si>
  <si>
    <t>SRSF7</t>
  </si>
  <si>
    <t>FXN</t>
  </si>
  <si>
    <t>BSDC1</t>
  </si>
  <si>
    <t>SPCS1</t>
  </si>
  <si>
    <t>MRPS33</t>
  </si>
  <si>
    <t>DRAP1</t>
  </si>
  <si>
    <t>MAP4K2</t>
  </si>
  <si>
    <t>FAIM</t>
  </si>
  <si>
    <t>TMUB1</t>
  </si>
  <si>
    <t>CACNA2D2</t>
  </si>
  <si>
    <t>NCOR2</t>
  </si>
  <si>
    <t>RPS4Y1</t>
  </si>
  <si>
    <t>EIF4E2</t>
  </si>
  <si>
    <t>OSCP1</t>
  </si>
  <si>
    <t>TRAT1</t>
  </si>
  <si>
    <t>GPS1</t>
  </si>
  <si>
    <t>CYCS</t>
  </si>
  <si>
    <t>ITM2C</t>
  </si>
  <si>
    <t>AAMP</t>
  </si>
  <si>
    <t>APEH</t>
  </si>
  <si>
    <t>PSAP</t>
  </si>
  <si>
    <t>MRPS34</t>
  </si>
  <si>
    <t>VPS8</t>
  </si>
  <si>
    <t>SLC38A5</t>
  </si>
  <si>
    <t>POLR2H</t>
  </si>
  <si>
    <t>APAF1</t>
  </si>
  <si>
    <t>OARD1</t>
  </si>
  <si>
    <t>MBNL1</t>
  </si>
  <si>
    <t>CRTAP</t>
  </si>
  <si>
    <t>CCNL1</t>
  </si>
  <si>
    <t>NKIRAS2</t>
  </si>
  <si>
    <t>STARD3NL</t>
  </si>
  <si>
    <t>CCDC58</t>
  </si>
  <si>
    <t>C7orf50</t>
  </si>
  <si>
    <t>SEC22A</t>
  </si>
  <si>
    <t>CHCHD3</t>
  </si>
  <si>
    <t>AKR1B15</t>
  </si>
  <si>
    <t>IKZF1</t>
  </si>
  <si>
    <t>DGKB</t>
  </si>
  <si>
    <t>FOXJ3</t>
  </si>
  <si>
    <t>EPHA3</t>
  </si>
  <si>
    <t>RPL24</t>
  </si>
  <si>
    <t>ITGA6</t>
  </si>
  <si>
    <t>NUDT22</t>
  </si>
  <si>
    <t>RAD51B</t>
  </si>
  <si>
    <t>POP7</t>
  </si>
  <si>
    <t>SYPL1</t>
  </si>
  <si>
    <t>RPL22L1</t>
  </si>
  <si>
    <t>ARFGAP3</t>
  </si>
  <si>
    <t>ACTB</t>
  </si>
  <si>
    <t>UBE2H</t>
  </si>
  <si>
    <t>XAF1</t>
  </si>
  <si>
    <t>SNUPN</t>
  </si>
  <si>
    <t>BTN3A3</t>
  </si>
  <si>
    <t>SDC3</t>
  </si>
  <si>
    <t>EIF4G2</t>
  </si>
  <si>
    <t>XPO6</t>
  </si>
  <si>
    <t>SLC4A7</t>
  </si>
  <si>
    <t>CXADR</t>
  </si>
  <si>
    <t>RPL32</t>
  </si>
  <si>
    <t>KRI1</t>
  </si>
  <si>
    <t>PHF20L1</t>
  </si>
  <si>
    <t>NDOR1</t>
  </si>
  <si>
    <t>TAPBP</t>
  </si>
  <si>
    <t>RELB</t>
  </si>
  <si>
    <t>HNRNPAB</t>
  </si>
  <si>
    <t>POLR3G</t>
  </si>
  <si>
    <t>COX7C</t>
  </si>
  <si>
    <t>PEX10</t>
  </si>
  <si>
    <t>CDK7</t>
  </si>
  <si>
    <t>TMEM161B</t>
  </si>
  <si>
    <t>CNBP</t>
  </si>
  <si>
    <t>IRF2</t>
  </si>
  <si>
    <t>AMACR</t>
  </si>
  <si>
    <t>EIF4E</t>
  </si>
  <si>
    <t>HSD17B11</t>
  </si>
  <si>
    <t>TMEM175</t>
  </si>
  <si>
    <t>TNFAIP8</t>
  </si>
  <si>
    <t>IGJ</t>
  </si>
  <si>
    <t>PRELID1</t>
  </si>
  <si>
    <t>TUSC3</t>
  </si>
  <si>
    <t>SLC35B1</t>
  </si>
  <si>
    <t>PET112</t>
  </si>
  <si>
    <t>IDUA</t>
  </si>
  <si>
    <t>CDC42SE2</t>
  </si>
  <si>
    <t>FAM175A</t>
  </si>
  <si>
    <t>CSNK1A1</t>
  </si>
  <si>
    <t>SEC31A</t>
  </si>
  <si>
    <t>STX18</t>
  </si>
  <si>
    <t>DCK</t>
  </si>
  <si>
    <t>SEPT11</t>
  </si>
  <si>
    <t>ADH6</t>
  </si>
  <si>
    <t>CENPK</t>
  </si>
  <si>
    <t>SERINC5</t>
  </si>
  <si>
    <t>CCNH</t>
  </si>
  <si>
    <t>RNASET2</t>
  </si>
  <si>
    <t>CPLX1</t>
  </si>
  <si>
    <t>COX7A2</t>
  </si>
  <si>
    <t>RNF150</t>
  </si>
  <si>
    <t>SLAIN2</t>
  </si>
  <si>
    <t>ZNF346</t>
  </si>
  <si>
    <t>COMMD10</t>
  </si>
  <si>
    <t>HNRPLL</t>
  </si>
  <si>
    <t>GMNN</t>
  </si>
  <si>
    <t>ELOVL5</t>
  </si>
  <si>
    <t>CA1</t>
  </si>
  <si>
    <t>NSMCE2</t>
  </si>
  <si>
    <t>EPHX2</t>
  </si>
  <si>
    <t>PROSC</t>
  </si>
  <si>
    <t>TATDN1</t>
  </si>
  <si>
    <t>TRIQK</t>
  </si>
  <si>
    <t>RWDD1</t>
  </si>
  <si>
    <t>NPM1</t>
  </si>
  <si>
    <t>STMN2</t>
  </si>
  <si>
    <t>PPP2CB</t>
  </si>
  <si>
    <t>TCEB1</t>
  </si>
  <si>
    <t>UQCRB</t>
  </si>
  <si>
    <t>C5orf45</t>
  </si>
  <si>
    <t>RNF130</t>
  </si>
  <si>
    <t>TTI2</t>
  </si>
  <si>
    <t>IMPA1</t>
  </si>
  <si>
    <t>TMEM55A</t>
  </si>
  <si>
    <t>CHCHD7</t>
  </si>
  <si>
    <t>ZFAND1</t>
  </si>
  <si>
    <t>MRPL13</t>
  </si>
  <si>
    <t>LY96</t>
  </si>
  <si>
    <t>SKP1</t>
  </si>
  <si>
    <t>CETN3</t>
  </si>
  <si>
    <t>PIGG</t>
  </si>
  <si>
    <t>COPS6</t>
  </si>
  <si>
    <t>RNF5</t>
  </si>
  <si>
    <t>ATHL1</t>
  </si>
  <si>
    <t>AKAP10</t>
  </si>
  <si>
    <t>ASAH1</t>
  </si>
  <si>
    <t>PPP1R2</t>
  </si>
  <si>
    <t>TNIP1</t>
  </si>
  <si>
    <t>MAP4K4</t>
  </si>
  <si>
    <t>COCH</t>
  </si>
  <si>
    <t>KIAA0319L</t>
  </si>
  <si>
    <t>NCSTN</t>
  </si>
  <si>
    <t>CALCOCO2</t>
  </si>
  <si>
    <t>HK1</t>
  </si>
  <si>
    <t>ADAR</t>
  </si>
  <si>
    <t>CBLB</t>
  </si>
  <si>
    <t>LRFN4</t>
  </si>
  <si>
    <t>DNAH9</t>
  </si>
  <si>
    <t>C19orf25</t>
  </si>
  <si>
    <t>RPL14</t>
  </si>
  <si>
    <t>TOM1</t>
  </si>
  <si>
    <t>ZCCHC17</t>
  </si>
  <si>
    <t>PDXDC1</t>
  </si>
  <si>
    <t>NDUFV2</t>
  </si>
  <si>
    <t>AP5M1</t>
  </si>
  <si>
    <t>NAA50</t>
  </si>
  <si>
    <t>LTF</t>
  </si>
  <si>
    <t>BBS1</t>
  </si>
  <si>
    <t>TUBGCP6</t>
  </si>
  <si>
    <t>SENP6</t>
  </si>
  <si>
    <t>YIPF3</t>
  </si>
  <si>
    <t>ACIN1</t>
  </si>
  <si>
    <t>RPL15</t>
  </si>
  <si>
    <t>MTA3</t>
  </si>
  <si>
    <t>SMN1</t>
  </si>
  <si>
    <t>FAM193B</t>
  </si>
  <si>
    <t>ATP2C1</t>
  </si>
  <si>
    <t>KLHDC3</t>
  </si>
  <si>
    <t>ZC3H18</t>
  </si>
  <si>
    <t>DST</t>
  </si>
  <si>
    <t>HSPA4L</t>
  </si>
  <si>
    <t>WDR17</t>
  </si>
  <si>
    <t>MRPL22</t>
  </si>
  <si>
    <t>CAST</t>
  </si>
  <si>
    <t>SLC38A9</t>
  </si>
  <si>
    <t>CTBP1</t>
  </si>
  <si>
    <t>NDUFA10</t>
  </si>
  <si>
    <t>U2SURP</t>
  </si>
  <si>
    <t>CD1E</t>
  </si>
  <si>
    <t>DNPEP</t>
  </si>
  <si>
    <t>RPS24</t>
  </si>
  <si>
    <t>SYS1</t>
  </si>
  <si>
    <t>LAMP3</t>
  </si>
  <si>
    <t>RBMS1</t>
  </si>
  <si>
    <t>MARK2</t>
  </si>
  <si>
    <t>BZW2</t>
  </si>
  <si>
    <t>MAP9</t>
  </si>
  <si>
    <t>FGFR1</t>
  </si>
  <si>
    <t>ARAP1</t>
  </si>
  <si>
    <t>GDI2</t>
  </si>
  <si>
    <t>PITPNC1</t>
  </si>
  <si>
    <t>CSNK2A1</t>
  </si>
  <si>
    <t>UGP2</t>
  </si>
  <si>
    <t>ABCD3</t>
  </si>
  <si>
    <t>GNA12</t>
  </si>
  <si>
    <t>NUP54</t>
  </si>
  <si>
    <t>SSBP1</t>
  </si>
  <si>
    <t>CAPN5</t>
  </si>
  <si>
    <t>PGBD3</t>
  </si>
  <si>
    <t>MAP4</t>
  </si>
  <si>
    <t>ATG16L1</t>
  </si>
  <si>
    <t>HDHD1</t>
  </si>
  <si>
    <t>CYFIP2</t>
  </si>
  <si>
    <t>MTG1</t>
  </si>
  <si>
    <t>TAL1</t>
  </si>
  <si>
    <t>DDR1</t>
  </si>
  <si>
    <t>RAI1</t>
  </si>
  <si>
    <t>RNF145</t>
  </si>
  <si>
    <t>MON1B</t>
  </si>
  <si>
    <t>ABI2</t>
  </si>
  <si>
    <t>EXOC6</t>
  </si>
  <si>
    <t>ZMIZ2</t>
  </si>
  <si>
    <t>C16orf62</t>
  </si>
  <si>
    <t>MPP2</t>
  </si>
  <si>
    <t>EIF4B</t>
  </si>
  <si>
    <t>EIF4G1</t>
  </si>
  <si>
    <t>DCTN1</t>
  </si>
  <si>
    <t>RAVER1</t>
  </si>
  <si>
    <t>HES4</t>
  </si>
  <si>
    <t>ALYREF</t>
  </si>
  <si>
    <t>MUC5B</t>
  </si>
  <si>
    <t>SDHA</t>
  </si>
  <si>
    <t>BUB1</t>
  </si>
  <si>
    <t>GIGYF2</t>
  </si>
  <si>
    <t>CELF2</t>
  </si>
  <si>
    <t>EIF2B5</t>
  </si>
  <si>
    <t>TMCC1</t>
  </si>
  <si>
    <t>FNIP1</t>
  </si>
  <si>
    <t>USP15</t>
  </si>
  <si>
    <t>GUSB</t>
  </si>
  <si>
    <t>GOSR1</t>
  </si>
  <si>
    <t>SMG7</t>
  </si>
  <si>
    <t>RCAN1</t>
  </si>
  <si>
    <t>MYO1B</t>
  </si>
  <si>
    <t>PCCB</t>
  </si>
  <si>
    <t>WDR6</t>
  </si>
  <si>
    <t>CCM2</t>
  </si>
  <si>
    <t>ITGB6</t>
  </si>
  <si>
    <t>SYNE1</t>
  </si>
  <si>
    <t>XPO7</t>
  </si>
  <si>
    <t>DIP2A</t>
  </si>
  <si>
    <t>DIAPH1</t>
  </si>
  <si>
    <t>HADH</t>
  </si>
  <si>
    <t>TBL2</t>
  </si>
  <si>
    <t>RABGEF1</t>
  </si>
  <si>
    <t>PCBP3</t>
  </si>
  <si>
    <t>PPP2R5D</t>
  </si>
  <si>
    <t>ZFAND2B</t>
  </si>
  <si>
    <t>FCHSD2</t>
  </si>
  <si>
    <t>CEP97</t>
  </si>
  <si>
    <t>MCCC1</t>
  </si>
  <si>
    <t>RASA1</t>
  </si>
  <si>
    <t>MAP1A</t>
  </si>
  <si>
    <t>TBC1D23</t>
  </si>
  <si>
    <t>MGEA5</t>
  </si>
  <si>
    <t>SLC25A44</t>
  </si>
  <si>
    <t>FNBP1</t>
  </si>
  <si>
    <t>TSN</t>
  </si>
  <si>
    <t>RPS6KA1</t>
  </si>
  <si>
    <t>COPS8</t>
  </si>
  <si>
    <t>PRDX3</t>
  </si>
  <si>
    <t>CYP20A1</t>
  </si>
  <si>
    <t>EPB41L2</t>
  </si>
  <si>
    <t>CTSW</t>
  </si>
  <si>
    <t>SPCS2</t>
  </si>
  <si>
    <t>MTCH2</t>
  </si>
  <si>
    <t>THY1</t>
  </si>
  <si>
    <t>GPSM3</t>
  </si>
  <si>
    <t>PHRF1</t>
  </si>
  <si>
    <t>TCP11L1</t>
  </si>
  <si>
    <t>UBXN1</t>
  </si>
  <si>
    <t>C11orf73</t>
  </si>
  <si>
    <t>CYHR1</t>
  </si>
  <si>
    <t>CD81</t>
  </si>
  <si>
    <t>FBXO3</t>
  </si>
  <si>
    <t>EEF1D</t>
  </si>
  <si>
    <t>PARP10</t>
  </si>
  <si>
    <t>BCLAF1</t>
  </si>
  <si>
    <t>RCE1</t>
  </si>
  <si>
    <t>PLEKHA7</t>
  </si>
  <si>
    <t>SLC52A2</t>
  </si>
  <si>
    <t>PRMT1</t>
  </si>
  <si>
    <t>TP53I11</t>
  </si>
  <si>
    <t>CCDC90B</t>
  </si>
  <si>
    <t>MRPL17</t>
  </si>
  <si>
    <t>TTC9C</t>
  </si>
  <si>
    <t>RPL8</t>
  </si>
  <si>
    <t>BTF3L4</t>
  </si>
  <si>
    <t>CLP1</t>
  </si>
  <si>
    <t>EI24</t>
  </si>
  <si>
    <t>NEDD8-MDP1</t>
  </si>
  <si>
    <t>CHIA</t>
  </si>
  <si>
    <t>RPL27A</t>
  </si>
  <si>
    <t>BRSK2</t>
  </si>
  <si>
    <t>USP47</t>
  </si>
  <si>
    <t>C11orf58</t>
  </si>
  <si>
    <t>BIRC2</t>
  </si>
  <si>
    <t>CLNS1A</t>
  </si>
  <si>
    <t>FAM118B</t>
  </si>
  <si>
    <t>PEX16</t>
  </si>
  <si>
    <t>HSF1</t>
  </si>
  <si>
    <t>CD151</t>
  </si>
  <si>
    <t>LMO7</t>
  </si>
  <si>
    <t>MANEAL</t>
  </si>
  <si>
    <t>MTFR2</t>
  </si>
  <si>
    <t>HSPA8</t>
  </si>
  <si>
    <t>EBAG9</t>
  </si>
  <si>
    <t>AAMDC</t>
  </si>
  <si>
    <t>ARHGAP27</t>
  </si>
  <si>
    <t>CD59</t>
  </si>
  <si>
    <t>LRRC14</t>
  </si>
  <si>
    <t>EPPK1</t>
  </si>
  <si>
    <t>GPAA1</t>
  </si>
  <si>
    <t>VWA5B1</t>
  </si>
  <si>
    <t>CBR1</t>
  </si>
  <si>
    <t>ACP2</t>
  </si>
  <si>
    <t>ST3GAL4</t>
  </si>
  <si>
    <t>FAU</t>
  </si>
  <si>
    <t>DDX25</t>
  </si>
  <si>
    <t>MAF1</t>
  </si>
  <si>
    <t>ARL14EP</t>
  </si>
  <si>
    <t>SLC22A18</t>
  </si>
  <si>
    <t>SCYL1</t>
  </si>
  <si>
    <t>PTDSS2</t>
  </si>
  <si>
    <t>SLC43A3</t>
  </si>
  <si>
    <t>SMCO4</t>
  </si>
  <si>
    <t>CD3E</t>
  </si>
  <si>
    <t>TM9SF1</t>
  </si>
  <si>
    <t>KDM1B</t>
  </si>
  <si>
    <t>TUBGCP2</t>
  </si>
  <si>
    <t>TRRAP</t>
  </si>
  <si>
    <t>MYH14</t>
  </si>
  <si>
    <t>FGGY</t>
  </si>
  <si>
    <t>TRMT2A</t>
  </si>
  <si>
    <t>XPO4</t>
  </si>
  <si>
    <t>VEZT</t>
  </si>
  <si>
    <t>ARRDC1</t>
  </si>
  <si>
    <t>SHANK3</t>
  </si>
  <si>
    <t>GTF2H3</t>
  </si>
  <si>
    <t>TMEM258</t>
  </si>
  <si>
    <t>CCDC53</t>
  </si>
  <si>
    <t>ROBO3</t>
  </si>
  <si>
    <t>WNK1</t>
  </si>
  <si>
    <t>SMAD5</t>
  </si>
  <si>
    <t>CHD4</t>
  </si>
  <si>
    <t>PODXL</t>
  </si>
  <si>
    <t>FAM76B</t>
  </si>
  <si>
    <t>KDM4B</t>
  </si>
  <si>
    <t>DNMT1</t>
  </si>
  <si>
    <t>FRYL</t>
  </si>
  <si>
    <t>HLA-C</t>
  </si>
  <si>
    <t>TRAPPC13</t>
  </si>
  <si>
    <t>SUCLA2</t>
  </si>
  <si>
    <t>ATE1</t>
  </si>
  <si>
    <t>AFF1</t>
  </si>
  <si>
    <t>PTPRK</t>
  </si>
  <si>
    <t>STIM2</t>
  </si>
  <si>
    <t>DNAJB11</t>
  </si>
  <si>
    <t>SH2B1</t>
  </si>
  <si>
    <t>DAD1</t>
  </si>
  <si>
    <t>GPBP1</t>
  </si>
  <si>
    <t>GALNT1</t>
  </si>
  <si>
    <t>RPS6KA3</t>
  </si>
  <si>
    <t>KCNK4</t>
  </si>
  <si>
    <t>OTUB1</t>
  </si>
  <si>
    <t>ATP6V0D1</t>
  </si>
  <si>
    <t>TM7SF2</t>
  </si>
  <si>
    <t>PXN</t>
  </si>
  <si>
    <t>DTL</t>
  </si>
  <si>
    <t>TPK1</t>
  </si>
  <si>
    <t>EXTL2</t>
  </si>
  <si>
    <t>ABLIM2</t>
  </si>
  <si>
    <t>DHX36</t>
  </si>
  <si>
    <t>SLC3A2</t>
  </si>
  <si>
    <t>FAM120B</t>
  </si>
  <si>
    <t>TRIM21</t>
  </si>
  <si>
    <t>FAM65B</t>
  </si>
  <si>
    <t>DYNC1I1</t>
  </si>
  <si>
    <t>SLC2A4</t>
  </si>
  <si>
    <t>TPD52</t>
  </si>
  <si>
    <t>ANAPC5</t>
  </si>
  <si>
    <t>SOX5</t>
  </si>
  <si>
    <t>SEC23IP</t>
  </si>
  <si>
    <t>CLASRP</t>
  </si>
  <si>
    <t>TUT1</t>
  </si>
  <si>
    <t>TCP1</t>
  </si>
  <si>
    <t>RRN3</t>
  </si>
  <si>
    <t>PLEKHB1</t>
  </si>
  <si>
    <t>POLE</t>
  </si>
  <si>
    <t>FBLN2</t>
  </si>
  <si>
    <t>ABI1</t>
  </si>
  <si>
    <t>TXNRD2</t>
  </si>
  <si>
    <t>KIAA1211</t>
  </si>
  <si>
    <t>FLJ22184</t>
  </si>
  <si>
    <t>RNF4</t>
  </si>
  <si>
    <t>STARD10</t>
  </si>
  <si>
    <t>TMEM135</t>
  </si>
  <si>
    <t>DMXL1</t>
  </si>
  <si>
    <t>ANKLE2</t>
  </si>
  <si>
    <t>VMP1</t>
  </si>
  <si>
    <t>KIAA1715</t>
  </si>
  <si>
    <t>DCTN2</t>
  </si>
  <si>
    <t>PRPF4B</t>
  </si>
  <si>
    <t>CIZ1</t>
  </si>
  <si>
    <t>XAB2</t>
  </si>
  <si>
    <t>SEC23A</t>
  </si>
  <si>
    <t>FZD10</t>
  </si>
  <si>
    <t>KPNA6</t>
  </si>
  <si>
    <t>NFATC1</t>
  </si>
  <si>
    <t>PDCD2</t>
  </si>
  <si>
    <t>KLHL42</t>
  </si>
  <si>
    <t>SSH2</t>
  </si>
  <si>
    <t>ATP6V0A1</t>
  </si>
  <si>
    <t>BRK1</t>
  </si>
  <si>
    <t>TUBA1C</t>
  </si>
  <si>
    <t>GRSF1</t>
  </si>
  <si>
    <t>IFNGR1</t>
  </si>
  <si>
    <t>CDC42BPA</t>
  </si>
  <si>
    <t>NDUFS7</t>
  </si>
  <si>
    <t>BCKDHA</t>
  </si>
  <si>
    <t>NAT1</t>
  </si>
  <si>
    <t>CLASP2</t>
  </si>
  <si>
    <t>OXNAD1</t>
  </si>
  <si>
    <t>CLEC2B</t>
  </si>
  <si>
    <t>NOL10</t>
  </si>
  <si>
    <t>KDM6A</t>
  </si>
  <si>
    <t>FAM60A</t>
  </si>
  <si>
    <t>AIDA</t>
  </si>
  <si>
    <t>WBP11</t>
  </si>
  <si>
    <t>MFGE8</t>
  </si>
  <si>
    <t>REEP1</t>
  </si>
  <si>
    <t>OGDH</t>
  </si>
  <si>
    <t>POMGNT1</t>
  </si>
  <si>
    <t>INPP4A</t>
  </si>
  <si>
    <t>ASCC1</t>
  </si>
  <si>
    <t>SPINT1</t>
  </si>
  <si>
    <t>TRAP1</t>
  </si>
  <si>
    <t>MVK</t>
  </si>
  <si>
    <t>CLPTM1</t>
  </si>
  <si>
    <t>RABGAP1L</t>
  </si>
  <si>
    <t>SIDT2</t>
  </si>
  <si>
    <t>EPN2</t>
  </si>
  <si>
    <t>CDPF1</t>
  </si>
  <si>
    <t>PDE12</t>
  </si>
  <si>
    <t>PIK3R3</t>
  </si>
  <si>
    <t>PPP3R1</t>
  </si>
  <si>
    <t>RBM38</t>
  </si>
  <si>
    <t>MAP2K7</t>
  </si>
  <si>
    <t>NME2</t>
  </si>
  <si>
    <t>C14orf80</t>
  </si>
  <si>
    <t>CAD</t>
  </si>
  <si>
    <t>C12orf75</t>
  </si>
  <si>
    <t>METTL7A</t>
  </si>
  <si>
    <t>UIMC1</t>
  </si>
  <si>
    <t>METAP2</t>
  </si>
  <si>
    <t>RBFOX1</t>
  </si>
  <si>
    <t>TMEM19</t>
  </si>
  <si>
    <t>RASAL1</t>
  </si>
  <si>
    <t>ALDH7A1</t>
  </si>
  <si>
    <t>NEK3</t>
  </si>
  <si>
    <t>NFYB</t>
  </si>
  <si>
    <t>PLXNA1</t>
  </si>
  <si>
    <t>RFPL4AL1</t>
  </si>
  <si>
    <t>PRPF40B</t>
  </si>
  <si>
    <t>FKBP11</t>
  </si>
  <si>
    <t>DAZAP2</t>
  </si>
  <si>
    <t>LYZ</t>
  </si>
  <si>
    <t>CNOT2</t>
  </si>
  <si>
    <t>NAP1L1</t>
  </si>
  <si>
    <t>COPZ1</t>
  </si>
  <si>
    <t>TMEM106C</t>
  </si>
  <si>
    <t>CSRP2</t>
  </si>
  <si>
    <t>MON2</t>
  </si>
  <si>
    <t>ALG10B</t>
  </si>
  <si>
    <t>TFCP2</t>
  </si>
  <si>
    <t>SLC38A1</t>
  </si>
  <si>
    <t>PACS2</t>
  </si>
  <si>
    <t>SCAF11</t>
  </si>
  <si>
    <t>CHST11</t>
  </si>
  <si>
    <t>TARBP2</t>
  </si>
  <si>
    <t>ARL1</t>
  </si>
  <si>
    <t>UNC13A</t>
  </si>
  <si>
    <t>NACA</t>
  </si>
  <si>
    <t>KRT18</t>
  </si>
  <si>
    <t>C17orf49</t>
  </si>
  <si>
    <t>TROAP</t>
  </si>
  <si>
    <t>ALDH2</t>
  </si>
  <si>
    <t>PPHLN1</t>
  </si>
  <si>
    <t>ERGIC2</t>
  </si>
  <si>
    <t>MCRS1</t>
  </si>
  <si>
    <t>RPL6</t>
  </si>
  <si>
    <t>RFX5</t>
  </si>
  <si>
    <t>HNRNPA1</t>
  </si>
  <si>
    <t>BAP1</t>
  </si>
  <si>
    <t>TRIM5</t>
  </si>
  <si>
    <t>ZNF384</t>
  </si>
  <si>
    <t>TLE4</t>
  </si>
  <si>
    <t>CTSD</t>
  </si>
  <si>
    <t>PBLD</t>
  </si>
  <si>
    <t>FN1</t>
  </si>
  <si>
    <t>FAM162A</t>
  </si>
  <si>
    <t>YTHDF1</t>
  </si>
  <si>
    <t>CDK10</t>
  </si>
  <si>
    <t>FAM120C</t>
  </si>
  <si>
    <t>SLBP</t>
  </si>
  <si>
    <t>CASC1</t>
  </si>
  <si>
    <t>MYB</t>
  </si>
  <si>
    <t>TIA1</t>
  </si>
  <si>
    <t>AP1S3</t>
  </si>
  <si>
    <t>RTN4</t>
  </si>
  <si>
    <t>FSD1L</t>
  </si>
  <si>
    <t>MEF2A</t>
  </si>
  <si>
    <t>PPIP5K1</t>
  </si>
  <si>
    <t>MED24</t>
  </si>
  <si>
    <t>CCDC93</t>
  </si>
  <si>
    <t>CLASP1</t>
  </si>
  <si>
    <t>MTMR1</t>
  </si>
  <si>
    <t>SLC25A26</t>
  </si>
  <si>
    <t>ADAM22</t>
  </si>
  <si>
    <t>NABP1</t>
  </si>
  <si>
    <t>STAG2</t>
  </si>
  <si>
    <t>MRPL40</t>
  </si>
  <si>
    <t>POLR2F</t>
  </si>
  <si>
    <t>SAC3D1</t>
  </si>
  <si>
    <t>RNF149</t>
  </si>
  <si>
    <t>ARPC4</t>
  </si>
  <si>
    <t>NEB</t>
  </si>
  <si>
    <t>ATL1</t>
  </si>
  <si>
    <t>DONSON</t>
  </si>
  <si>
    <t>SLC25A17</t>
  </si>
  <si>
    <t>MYO5A</t>
  </si>
  <si>
    <t>MMADHC</t>
  </si>
  <si>
    <t>ALG3</t>
  </si>
  <si>
    <t>CPSF6</t>
  </si>
  <si>
    <t>TRAPPC2</t>
  </si>
  <si>
    <t>NARG2</t>
  </si>
  <si>
    <t>NDUFV1</t>
  </si>
  <si>
    <t>OTUD4</t>
  </si>
  <si>
    <t>PARP2</t>
  </si>
  <si>
    <t>GSDMD</t>
  </si>
  <si>
    <t>DPP3</t>
  </si>
  <si>
    <t>LOH12CR1</t>
  </si>
  <si>
    <t>SEPT7</t>
  </si>
  <si>
    <t>ACSL6</t>
  </si>
  <si>
    <t>GOLT1B</t>
  </si>
  <si>
    <t>YAF2</t>
  </si>
  <si>
    <t>RPL18</t>
  </si>
  <si>
    <t>ACYP1</t>
  </si>
  <si>
    <t>ATP5J2-PTCD1</t>
  </si>
  <si>
    <t>PTGR2</t>
  </si>
  <si>
    <t>DCAF8</t>
  </si>
  <si>
    <t>NFKBIA</t>
  </si>
  <si>
    <t>GNG2</t>
  </si>
  <si>
    <t>ATXN3</t>
  </si>
  <si>
    <t>MRPL52</t>
  </si>
  <si>
    <t>SIVA1</t>
  </si>
  <si>
    <t>DCAF5</t>
  </si>
  <si>
    <t>VIPAS39</t>
  </si>
  <si>
    <t>AP4S1</t>
  </si>
  <si>
    <t>HNRNPC</t>
  </si>
  <si>
    <t>DDX24</t>
  </si>
  <si>
    <t>FAM177A1</t>
  </si>
  <si>
    <t>CTAGE5</t>
  </si>
  <si>
    <t>GSTZ1</t>
  </si>
  <si>
    <t>CDK2</t>
  </si>
  <si>
    <t>ARID1B</t>
  </si>
  <si>
    <t>SLC26A6</t>
  </si>
  <si>
    <t>FAM179B</t>
  </si>
  <si>
    <t>FAM133B</t>
  </si>
  <si>
    <t>TRAM1</t>
  </si>
  <si>
    <t>TIMM8B</t>
  </si>
  <si>
    <t>ABCB8</t>
  </si>
  <si>
    <t>SBF1</t>
  </si>
  <si>
    <t>GPR107</t>
  </si>
  <si>
    <t>USP11</t>
  </si>
  <si>
    <t>TJP1</t>
  </si>
  <si>
    <t>CABIN1</t>
  </si>
  <si>
    <t>ECT2</t>
  </si>
  <si>
    <t>ITPR1</t>
  </si>
  <si>
    <t>GIMAP4</t>
  </si>
  <si>
    <t>PWWP2A</t>
  </si>
  <si>
    <t>FAT3</t>
  </si>
  <si>
    <t>CELF1</t>
  </si>
  <si>
    <t>CDC27</t>
  </si>
  <si>
    <t>PDIA3</t>
  </si>
  <si>
    <t>MAU2</t>
  </si>
  <si>
    <t>TDG</t>
  </si>
  <si>
    <t>MYL6</t>
  </si>
  <si>
    <t>PUS1</t>
  </si>
  <si>
    <t>HNRNPH1</t>
  </si>
  <si>
    <t>ERC1</t>
  </si>
  <si>
    <t>CDC25B</t>
  </si>
  <si>
    <t>WDR45</t>
  </si>
  <si>
    <t>TACC1</t>
  </si>
  <si>
    <t>PPT2</t>
  </si>
  <si>
    <t>MVB12B</t>
  </si>
  <si>
    <t>TH1L</t>
  </si>
  <si>
    <t>KIAA0922</t>
  </si>
  <si>
    <t>PIGX</t>
  </si>
  <si>
    <t>LIN9</t>
  </si>
  <si>
    <t>ODF2</t>
  </si>
  <si>
    <t>SETD5</t>
  </si>
  <si>
    <t>PRRC2B</t>
  </si>
  <si>
    <t>SIK3</t>
  </si>
  <si>
    <t>MYD88</t>
  </si>
  <si>
    <t>PAEP</t>
  </si>
  <si>
    <t>ATP11A</t>
  </si>
  <si>
    <t>AAED1</t>
  </si>
  <si>
    <t>PREP</t>
  </si>
  <si>
    <t>UFM1</t>
  </si>
  <si>
    <t>PYCRL</t>
  </si>
  <si>
    <t>BRD2</t>
  </si>
  <si>
    <t>CD1C</t>
  </si>
  <si>
    <t>CALM2</t>
  </si>
  <si>
    <t>PISD</t>
  </si>
  <si>
    <t>ATP2B2</t>
  </si>
  <si>
    <t>TMEM222</t>
  </si>
  <si>
    <t>TACC3</t>
  </si>
  <si>
    <t>CHIC2</t>
  </si>
  <si>
    <t>RGS14</t>
  </si>
  <si>
    <t>DACH2</t>
  </si>
  <si>
    <t>ADH4</t>
  </si>
  <si>
    <t>PPIP5K2</t>
  </si>
  <si>
    <t>DCP2</t>
  </si>
  <si>
    <t>TMA16</t>
  </si>
  <si>
    <t>CNOT6L</t>
  </si>
  <si>
    <t>DGKQ</t>
  </si>
  <si>
    <t>PCBD2</t>
  </si>
  <si>
    <t>MAN2B2</t>
  </si>
  <si>
    <t>CLU</t>
  </si>
  <si>
    <t>RRM2B</t>
  </si>
  <si>
    <t>BNIP3L</t>
  </si>
  <si>
    <t>TXNRD3</t>
  </si>
  <si>
    <t>PTK2</t>
  </si>
  <si>
    <t>MTFR1</t>
  </si>
  <si>
    <t>CD47</t>
  </si>
  <si>
    <t>TSTA3</t>
  </si>
  <si>
    <t>WDR67</t>
  </si>
  <si>
    <t>ALG8</t>
  </si>
  <si>
    <t>UBQLN1</t>
  </si>
  <si>
    <t>PPP5C</t>
  </si>
  <si>
    <t>CHI3L2</t>
  </si>
  <si>
    <t>SSSCA1</t>
  </si>
  <si>
    <t>RNASEH2C</t>
  </si>
  <si>
    <t>C8orf82</t>
  </si>
  <si>
    <t>KIAA1432</t>
  </si>
  <si>
    <t>REXO2</t>
  </si>
  <si>
    <t>JOSD1</t>
  </si>
  <si>
    <t>ATXN2</t>
  </si>
  <si>
    <t>C14orf166</t>
  </si>
  <si>
    <t>VRK1</t>
  </si>
  <si>
    <t>TPM1</t>
  </si>
  <si>
    <t>EMC4</t>
  </si>
  <si>
    <t>TSPAN3</t>
  </si>
  <si>
    <t>TLE3</t>
  </si>
  <si>
    <t>SORD</t>
  </si>
  <si>
    <t>POU2F1</t>
  </si>
  <si>
    <t>HMBOX1</t>
  </si>
  <si>
    <t>SHF</t>
  </si>
  <si>
    <t>RFX7</t>
  </si>
  <si>
    <t>GMPR2</t>
  </si>
  <si>
    <t>MORF4L1</t>
  </si>
  <si>
    <t>ISG20</t>
  </si>
  <si>
    <t>CINP</t>
  </si>
  <si>
    <t>SEC11A</t>
  </si>
  <si>
    <t>EMC9</t>
  </si>
  <si>
    <t>BLM</t>
  </si>
  <si>
    <t>LSAMP</t>
  </si>
  <si>
    <t>TTC24</t>
  </si>
  <si>
    <t>CD55</t>
  </si>
  <si>
    <t>TMEM63B</t>
  </si>
  <si>
    <t>DDX17</t>
  </si>
  <si>
    <t>NUB1</t>
  </si>
  <si>
    <t>NOL3</t>
  </si>
  <si>
    <t>TM6SF1</t>
  </si>
  <si>
    <t>GANC</t>
  </si>
  <si>
    <t>TSC2</t>
  </si>
  <si>
    <t>BLOC1S6</t>
  </si>
  <si>
    <t>CLN6</t>
  </si>
  <si>
    <t>MPHOSPH6</t>
  </si>
  <si>
    <t>CARHSP1</t>
  </si>
  <si>
    <t>TRAPPC2L</t>
  </si>
  <si>
    <t>HEXA</t>
  </si>
  <si>
    <t>COQ7</t>
  </si>
  <si>
    <t>TK2</t>
  </si>
  <si>
    <t>MPI</t>
  </si>
  <si>
    <t>UBE2I</t>
  </si>
  <si>
    <t>MACF1</t>
  </si>
  <si>
    <t>FBXL19</t>
  </si>
  <si>
    <t>SNAPC5</t>
  </si>
  <si>
    <t>PAPD5</t>
  </si>
  <si>
    <t>COG8</t>
  </si>
  <si>
    <t>SPNS1</t>
  </si>
  <si>
    <t>ZFYVE19</t>
  </si>
  <si>
    <t>UBFD1</t>
  </si>
  <si>
    <t>ABAT</t>
  </si>
  <si>
    <t>NFATC3</t>
  </si>
  <si>
    <t>EIF3C</t>
  </si>
  <si>
    <t>VWA9</t>
  </si>
  <si>
    <t>C15orf41</t>
  </si>
  <si>
    <t>CCDC154</t>
  </si>
  <si>
    <t>C16orf58</t>
  </si>
  <si>
    <t>CTU2</t>
  </si>
  <si>
    <t>CCNDBP1</t>
  </si>
  <si>
    <t>EARS2</t>
  </si>
  <si>
    <t>MAP1LC3B</t>
  </si>
  <si>
    <t>PKM</t>
  </si>
  <si>
    <t>CENPT</t>
  </si>
  <si>
    <t>RNF166</t>
  </si>
  <si>
    <t>CDR2</t>
  </si>
  <si>
    <t>ARL2BP</t>
  </si>
  <si>
    <t>RNPS1</t>
  </si>
  <si>
    <t>GABARAP</t>
  </si>
  <si>
    <t>GCA</t>
  </si>
  <si>
    <t>SMPD4</t>
  </si>
  <si>
    <t>SAP130</t>
  </si>
  <si>
    <t>PPP6R3</t>
  </si>
  <si>
    <t>METTL21A</t>
  </si>
  <si>
    <t>ESYT2</t>
  </si>
  <si>
    <t>ERGIC3</t>
  </si>
  <si>
    <t>TMEM41A</t>
  </si>
  <si>
    <t>ARHGAP19</t>
  </si>
  <si>
    <t>MPC1</t>
  </si>
  <si>
    <t>DHX30</t>
  </si>
  <si>
    <t>ZBTB44</t>
  </si>
  <si>
    <t>PCMT1</t>
  </si>
  <si>
    <t>GTF3C5</t>
  </si>
  <si>
    <t>WRB</t>
  </si>
  <si>
    <t>SP140L</t>
  </si>
  <si>
    <t>CDKN3</t>
  </si>
  <si>
    <t>RTN4R</t>
  </si>
  <si>
    <t>BRD8</t>
  </si>
  <si>
    <t>RAF1</t>
  </si>
  <si>
    <t>MZT2B</t>
  </si>
  <si>
    <t>RALGAPA2</t>
  </si>
  <si>
    <t>SLC35E1</t>
  </si>
  <si>
    <t>CC2D1B</t>
  </si>
  <si>
    <t>APOO</t>
  </si>
  <si>
    <t>TSPAN15</t>
  </si>
  <si>
    <t>C1orf86</t>
  </si>
  <si>
    <t>FAM134A</t>
  </si>
  <si>
    <t>CMC1</t>
  </si>
  <si>
    <t>GNS</t>
  </si>
  <si>
    <t>ATG2A</t>
  </si>
  <si>
    <t>ARV1</t>
  </si>
  <si>
    <t>DNAJB14</t>
  </si>
  <si>
    <t>ZMYND8</t>
  </si>
  <si>
    <t>BRAF</t>
  </si>
  <si>
    <t>SF1</t>
  </si>
  <si>
    <t>NDFIP2</t>
  </si>
  <si>
    <t>IAH1</t>
  </si>
  <si>
    <t>PARP14</t>
  </si>
  <si>
    <t>EFR3A</t>
  </si>
  <si>
    <t>PRC1</t>
  </si>
  <si>
    <t>MICU1</t>
  </si>
  <si>
    <t>SLC25A52</t>
  </si>
  <si>
    <t>SMG1</t>
  </si>
  <si>
    <t>GOSR2</t>
  </si>
  <si>
    <t>RNF167</t>
  </si>
  <si>
    <t>NSF</t>
  </si>
  <si>
    <t>CCDC137</t>
  </si>
  <si>
    <t>DGKE</t>
  </si>
  <si>
    <t>RPGRIP1L</t>
  </si>
  <si>
    <t>DPH1</t>
  </si>
  <si>
    <t>MYL4</t>
  </si>
  <si>
    <t>MYBBP1A</t>
  </si>
  <si>
    <t>SLC25A11</t>
  </si>
  <si>
    <t>ELP5</t>
  </si>
  <si>
    <t>B3GNTL1</t>
  </si>
  <si>
    <t>CLUH</t>
  </si>
  <si>
    <t>GEMIN4</t>
  </si>
  <si>
    <t>CIC</t>
  </si>
  <si>
    <t>AZI1</t>
  </si>
  <si>
    <t>FAM195B</t>
  </si>
  <si>
    <t>PELP1</t>
  </si>
  <si>
    <t>CCNE1</t>
  </si>
  <si>
    <t>ATPAF1</t>
  </si>
  <si>
    <t>SPAG7</t>
  </si>
  <si>
    <t>KANSL1</t>
  </si>
  <si>
    <t>NFKBIB</t>
  </si>
  <si>
    <t>GPS2</t>
  </si>
  <si>
    <t>CENPI</t>
  </si>
  <si>
    <t>CACTIN</t>
  </si>
  <si>
    <t>SMARCD2</t>
  </si>
  <si>
    <t>NPC2</t>
  </si>
  <si>
    <t>INTS2</t>
  </si>
  <si>
    <t>LDLR</t>
  </si>
  <si>
    <t>KIAA0368</t>
  </si>
  <si>
    <t>FBRSL1</t>
  </si>
  <si>
    <t>PSMD9</t>
  </si>
  <si>
    <t>RCOR1</t>
  </si>
  <si>
    <t>TF</t>
  </si>
  <si>
    <t>BNIP2</t>
  </si>
  <si>
    <t>TOR1AIP1</t>
  </si>
  <si>
    <t>TPM3</t>
  </si>
  <si>
    <t>NCEH1</t>
  </si>
  <si>
    <t>OXA1L</t>
  </si>
  <si>
    <t>MAP3K4</t>
  </si>
  <si>
    <t>CCS</t>
  </si>
  <si>
    <t>CEP290</t>
  </si>
  <si>
    <t>CYB5B</t>
  </si>
  <si>
    <t>COG4</t>
  </si>
  <si>
    <t>SEPT1</t>
  </si>
  <si>
    <t>CHID1</t>
  </si>
  <si>
    <t>SEC16A</t>
  </si>
  <si>
    <t>PHKG2</t>
  </si>
  <si>
    <t>DDX41</t>
  </si>
  <si>
    <t>BRAP</t>
  </si>
  <si>
    <t>SEMA4B</t>
  </si>
  <si>
    <t>MARK3</t>
  </si>
  <si>
    <t>ZNF292</t>
  </si>
  <si>
    <t>FHL2</t>
  </si>
  <si>
    <t>FBRS</t>
  </si>
  <si>
    <t>SRSF2</t>
  </si>
  <si>
    <t>SIPA1L1</t>
  </si>
  <si>
    <t>PTPRA</t>
  </si>
  <si>
    <t>ANKRD46</t>
  </si>
  <si>
    <t>PHACTR2</t>
  </si>
  <si>
    <t>RAP1GAP</t>
  </si>
  <si>
    <t>RBM7</t>
  </si>
  <si>
    <t>KIF3A</t>
  </si>
  <si>
    <t>PSTPIP1</t>
  </si>
  <si>
    <t>SYNJ1</t>
  </si>
  <si>
    <t>PNPLA8</t>
  </si>
  <si>
    <t>TESC</t>
  </si>
  <si>
    <t>ARRB1</t>
  </si>
  <si>
    <t>ARHGAP9</t>
  </si>
  <si>
    <t>DNAJB12</t>
  </si>
  <si>
    <t>TRABD</t>
  </si>
  <si>
    <t>HDAC2</t>
  </si>
  <si>
    <t>ANTXR2</t>
  </si>
  <si>
    <t>C1D</t>
  </si>
  <si>
    <t>RFXANK</t>
  </si>
  <si>
    <t>OLA1</t>
  </si>
  <si>
    <t>COPS7B</t>
  </si>
  <si>
    <t>TGOLN2</t>
  </si>
  <si>
    <t>PTRH2</t>
  </si>
  <si>
    <t>FBXO6</t>
  </si>
  <si>
    <t>C6orf203</t>
  </si>
  <si>
    <t>C6orf120</t>
  </si>
  <si>
    <t>SLC25A36</t>
  </si>
  <si>
    <t>THUMPD1</t>
  </si>
  <si>
    <t>FAM213B</t>
  </si>
  <si>
    <t>RAN</t>
  </si>
  <si>
    <t>GBA</t>
  </si>
  <si>
    <t>SUMF2</t>
  </si>
  <si>
    <t>APOL2</t>
  </si>
  <si>
    <t>BABAM1</t>
  </si>
  <si>
    <t>NAPEPLD</t>
  </si>
  <si>
    <t>MED19</t>
  </si>
  <si>
    <t>CCDC12</t>
  </si>
  <si>
    <t>TAF6</t>
  </si>
  <si>
    <t>TBCD</t>
  </si>
  <si>
    <t>C16orf55</t>
  </si>
  <si>
    <t>SS18</t>
  </si>
  <si>
    <t>CBX1</t>
  </si>
  <si>
    <t>ICT1</t>
  </si>
  <si>
    <t>TMEM199</t>
  </si>
  <si>
    <t>FBXL20</t>
  </si>
  <si>
    <t>ZNF207</t>
  </si>
  <si>
    <t>SRSF1</t>
  </si>
  <si>
    <t>CHERP</t>
  </si>
  <si>
    <t>SCO1</t>
  </si>
  <si>
    <t>SCRN2</t>
  </si>
  <si>
    <t>HP</t>
  </si>
  <si>
    <t>STARD3</t>
  </si>
  <si>
    <t>MRPS7</t>
  </si>
  <si>
    <t>SNX11</t>
  </si>
  <si>
    <t>SAP30BP</t>
  </si>
  <si>
    <t>TRAPPC8</t>
  </si>
  <si>
    <t>MBP</t>
  </si>
  <si>
    <t>RPL17</t>
  </si>
  <si>
    <t>FDXR</t>
  </si>
  <si>
    <t>MSL1</t>
  </si>
  <si>
    <t>STRA13</t>
  </si>
  <si>
    <t>YTHDC1</t>
  </si>
  <si>
    <t>RPL19</t>
  </si>
  <si>
    <t>CD226</t>
  </si>
  <si>
    <t>ALDH3A2</t>
  </si>
  <si>
    <t>ORMDL3</t>
  </si>
  <si>
    <t>MYL12A</t>
  </si>
  <si>
    <t>VAMP2</t>
  </si>
  <si>
    <t>VEZF1</t>
  </si>
  <si>
    <t>HYPK</t>
  </si>
  <si>
    <t>CRBN</t>
  </si>
  <si>
    <t>BAG1</t>
  </si>
  <si>
    <t>CHCHD6</t>
  </si>
  <si>
    <t>TTC40</t>
  </si>
  <si>
    <t>RGPD2</t>
  </si>
  <si>
    <t>C17orf75</t>
  </si>
  <si>
    <t>LMNB2</t>
  </si>
  <si>
    <t>TMCO1</t>
  </si>
  <si>
    <t>RWDD4</t>
  </si>
  <si>
    <t>CUL4B</t>
  </si>
  <si>
    <t>MLX</t>
  </si>
  <si>
    <t>WBP2</t>
  </si>
  <si>
    <t>NUDT16L1</t>
  </si>
  <si>
    <t>SMAD4</t>
  </si>
  <si>
    <t>HEATR6</t>
  </si>
  <si>
    <t>STX10</t>
  </si>
  <si>
    <t>RPS15</t>
  </si>
  <si>
    <t>CALR</t>
  </si>
  <si>
    <t>SPC24</t>
  </si>
  <si>
    <t>SEC11C</t>
  </si>
  <si>
    <t>FAM210A</t>
  </si>
  <si>
    <t>H3F3B</t>
  </si>
  <si>
    <t>LIN37</t>
  </si>
  <si>
    <t>LONP1</t>
  </si>
  <si>
    <t>EVPL</t>
  </si>
  <si>
    <t>PPL</t>
  </si>
  <si>
    <t>C19orf40</t>
  </si>
  <si>
    <t>TMUB2</t>
  </si>
  <si>
    <t>CDC37</t>
  </si>
  <si>
    <t>PPP1R12C</t>
  </si>
  <si>
    <t>PRKCSH</t>
  </si>
  <si>
    <t>KATNAL2</t>
  </si>
  <si>
    <t>TMEM205</t>
  </si>
  <si>
    <t>ACTG1</t>
  </si>
  <si>
    <t>TLE2</t>
  </si>
  <si>
    <t>GLYR1</t>
  </si>
  <si>
    <t>ZNF444</t>
  </si>
  <si>
    <t>ELOF1</t>
  </si>
  <si>
    <t>hCG_2039718</t>
  </si>
  <si>
    <t>NARS</t>
  </si>
  <si>
    <t>C18orf8</t>
  </si>
  <si>
    <t>PSMG2</t>
  </si>
  <si>
    <t>ISOC2</t>
  </si>
  <si>
    <t>RBM42</t>
  </si>
  <si>
    <t>TMEM161A</t>
  </si>
  <si>
    <t>UBN1</t>
  </si>
  <si>
    <t>SAFB2</t>
  </si>
  <si>
    <t>TPM4</t>
  </si>
  <si>
    <t>FARSA</t>
  </si>
  <si>
    <t>MAP4K1</t>
  </si>
  <si>
    <t>EIF3K</t>
  </si>
  <si>
    <t>GJC1</t>
  </si>
  <si>
    <t>YIF1B</t>
  </si>
  <si>
    <t>ZNF580</t>
  </si>
  <si>
    <t>PQLC1</t>
  </si>
  <si>
    <t>UBE2O</t>
  </si>
  <si>
    <t>FAM86A</t>
  </si>
  <si>
    <t>RAD23A</t>
  </si>
  <si>
    <t>NFIX</t>
  </si>
  <si>
    <t>DNM2</t>
  </si>
  <si>
    <t>DCAKD</t>
  </si>
  <si>
    <t>SARS2</t>
  </si>
  <si>
    <t>PAF1</t>
  </si>
  <si>
    <t>KLK3</t>
  </si>
  <si>
    <t>WIZ</t>
  </si>
  <si>
    <t>ZNF428</t>
  </si>
  <si>
    <t>ZC3H4</t>
  </si>
  <si>
    <t>ANO8</t>
  </si>
  <si>
    <t>TUBB4A</t>
  </si>
  <si>
    <t>RPL13A</t>
  </si>
  <si>
    <t>GRAMD1A</t>
  </si>
  <si>
    <t>SAMD4B</t>
  </si>
  <si>
    <t>FCHO1</t>
  </si>
  <si>
    <t>JOSD2</t>
  </si>
  <si>
    <t>HNRNPM</t>
  </si>
  <si>
    <t>CD37</t>
  </si>
  <si>
    <t>ARHGEF1</t>
  </si>
  <si>
    <t>PRKD2</t>
  </si>
  <si>
    <t>ZNF575</t>
  </si>
  <si>
    <t>KXD1</t>
  </si>
  <si>
    <t>RPS5</t>
  </si>
  <si>
    <t>AP2S1</t>
  </si>
  <si>
    <t>MRPL34</t>
  </si>
  <si>
    <t>EMC10</t>
  </si>
  <si>
    <t>POLD1</t>
  </si>
  <si>
    <t>SHKBP1</t>
  </si>
  <si>
    <t>MYO9B</t>
  </si>
  <si>
    <t>RABAC1</t>
  </si>
  <si>
    <t>AGPS</t>
  </si>
  <si>
    <t>UBXN8</t>
  </si>
  <si>
    <t>KIF2A</t>
  </si>
  <si>
    <t>DDX39A</t>
  </si>
  <si>
    <t>PDLIM1</t>
  </si>
  <si>
    <t>ACOT7</t>
  </si>
  <si>
    <t>SNAP23</t>
  </si>
  <si>
    <t>HAX1</t>
  </si>
  <si>
    <t>AIP</t>
  </si>
  <si>
    <t>GTPBP1</t>
  </si>
  <si>
    <t>KCNK1</t>
  </si>
  <si>
    <t>STXBP3</t>
  </si>
  <si>
    <t>LGALS8</t>
  </si>
  <si>
    <t>NDUFS8</t>
  </si>
  <si>
    <t>NFKBIE</t>
  </si>
  <si>
    <t>PSMD11</t>
  </si>
  <si>
    <t>PSMD12</t>
  </si>
  <si>
    <t>ATOX1</t>
  </si>
  <si>
    <t>MEN1</t>
  </si>
  <si>
    <t>CBX4</t>
  </si>
  <si>
    <t>PGRMC1</t>
  </si>
  <si>
    <t>SUPT5H</t>
  </si>
  <si>
    <t>DFFA</t>
  </si>
  <si>
    <t>RFXAP</t>
  </si>
  <si>
    <t>HIP1</t>
  </si>
  <si>
    <t>CLIC1</t>
  </si>
  <si>
    <t>WWP2</t>
  </si>
  <si>
    <t>PIK3CD</t>
  </si>
  <si>
    <t>PDHX</t>
  </si>
  <si>
    <t>QSOX1</t>
  </si>
  <si>
    <t>DCTN6</t>
  </si>
  <si>
    <t>SLC33A1</t>
  </si>
  <si>
    <t>WASL</t>
  </si>
  <si>
    <t>IPO5</t>
  </si>
  <si>
    <t>EEF2K</t>
  </si>
  <si>
    <t>SAP18</t>
  </si>
  <si>
    <t>IGF2BP3</t>
  </si>
  <si>
    <t>DNM1L</t>
  </si>
  <si>
    <t>RTCA</t>
  </si>
  <si>
    <t>PIK3R2</t>
  </si>
  <si>
    <t>MANBA</t>
  </si>
  <si>
    <t>TRAF5</t>
  </si>
  <si>
    <t>EXOC5</t>
  </si>
  <si>
    <t>HMGN4</t>
  </si>
  <si>
    <t>BTN3A1</t>
  </si>
  <si>
    <t>NDUFA4</t>
  </si>
  <si>
    <t>PSMD14</t>
  </si>
  <si>
    <t>ZNF593</t>
  </si>
  <si>
    <t>BIN1</t>
  </si>
  <si>
    <t>KPNA3</t>
  </si>
  <si>
    <t>STK25</t>
  </si>
  <si>
    <t>BCL9</t>
  </si>
  <si>
    <t>VWA5A</t>
  </si>
  <si>
    <t>SDCBP</t>
  </si>
  <si>
    <t>MPHOSPH10</t>
  </si>
  <si>
    <t>NOP56</t>
  </si>
  <si>
    <t>DDX3X</t>
  </si>
  <si>
    <t>PEX12</t>
  </si>
  <si>
    <t>KPNA4</t>
  </si>
  <si>
    <t>E2F3</t>
  </si>
  <si>
    <t>PPP6C</t>
  </si>
  <si>
    <t>MAN2B1</t>
  </si>
  <si>
    <t>UBE2C</t>
  </si>
  <si>
    <t>PDXK</t>
  </si>
  <si>
    <t>SCD</t>
  </si>
  <si>
    <t>ARID1A</t>
  </si>
  <si>
    <t>CDK2AP1</t>
  </si>
  <si>
    <t>C2CD2L</t>
  </si>
  <si>
    <t>TMEM194A</t>
  </si>
  <si>
    <t>TXNDC9</t>
  </si>
  <si>
    <t>TRAFD1</t>
  </si>
  <si>
    <t>COX7A2L</t>
  </si>
  <si>
    <t>NDUFAB1</t>
  </si>
  <si>
    <t>CYB561D2</t>
  </si>
  <si>
    <t>CIT</t>
  </si>
  <si>
    <t>COPE</t>
  </si>
  <si>
    <t>EIF1AY</t>
  </si>
  <si>
    <t>AP3D1</t>
  </si>
  <si>
    <t>TOR1A</t>
  </si>
  <si>
    <t>TOR1B</t>
  </si>
  <si>
    <t>STX16</t>
  </si>
  <si>
    <t>ADAM10</t>
  </si>
  <si>
    <t>MLL2</t>
  </si>
  <si>
    <t>IMPA2</t>
  </si>
  <si>
    <t>ACOT8</t>
  </si>
  <si>
    <t>PDCD5</t>
  </si>
  <si>
    <t>PRMT5</t>
  </si>
  <si>
    <t>SLC9A3R1</t>
  </si>
  <si>
    <t>CHEK1</t>
  </si>
  <si>
    <t>TNFRSF10B</t>
  </si>
  <si>
    <t>FPGT</t>
  </si>
  <si>
    <t>TPP1</t>
  </si>
  <si>
    <t>GNB5</t>
  </si>
  <si>
    <t>TCERG1</t>
  </si>
  <si>
    <t>NDC80</t>
  </si>
  <si>
    <t>TNPO2</t>
  </si>
  <si>
    <t>POLR3A</t>
  </si>
  <si>
    <t>PSMA7</t>
  </si>
  <si>
    <t>SCAMP3</t>
  </si>
  <si>
    <t>OPLAH</t>
  </si>
  <si>
    <t>BACH1</t>
  </si>
  <si>
    <t>GEMIN2</t>
  </si>
  <si>
    <t>TAX1BP3</t>
  </si>
  <si>
    <t>GIPC1</t>
  </si>
  <si>
    <t>IKBKB</t>
  </si>
  <si>
    <t>TIMM23</t>
  </si>
  <si>
    <t>HAT1</t>
  </si>
  <si>
    <t>UBE2L6</t>
  </si>
  <si>
    <t>UQCRQ</t>
  </si>
  <si>
    <t>HGS</t>
  </si>
  <si>
    <t>AURKA</t>
  </si>
  <si>
    <t>RAB7L1</t>
  </si>
  <si>
    <t>CLGN</t>
  </si>
  <si>
    <t>PPP1R12A</t>
  </si>
  <si>
    <t>SLC27A2</t>
  </si>
  <si>
    <t>GAK</t>
  </si>
  <si>
    <t>HNRPDL</t>
  </si>
  <si>
    <t>XPO1</t>
  </si>
  <si>
    <t>BTAF1</t>
  </si>
  <si>
    <t>ZNF609</t>
  </si>
  <si>
    <t>ZNF646</t>
  </si>
  <si>
    <t>SPTBN2</t>
  </si>
  <si>
    <t>TECPR2</t>
  </si>
  <si>
    <t>SETD1A</t>
  </si>
  <si>
    <t>SYNJ2</t>
  </si>
  <si>
    <t>KIF3B</t>
  </si>
  <si>
    <t>PFAS</t>
  </si>
  <si>
    <t>ANKRD28</t>
  </si>
  <si>
    <t>ARHGEF11</t>
  </si>
  <si>
    <t>CHUK</t>
  </si>
  <si>
    <t>LSM1</t>
  </si>
  <si>
    <t>FYB</t>
  </si>
  <si>
    <t>NPC1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</si>
  <si>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</si>
  <si>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</si>
  <si>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</si>
  <si>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</si>
  <si>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</si>
  <si>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</si>
  <si>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</si>
  <si>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</si>
  <si>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LDLRAD4</t>
  </si>
  <si>
    <t>PGRMC2</t>
  </si>
  <si>
    <t>EPHB6</t>
  </si>
  <si>
    <t>PFDN6</t>
  </si>
  <si>
    <t>WDR46</t>
  </si>
  <si>
    <t>GNPAT</t>
  </si>
  <si>
    <t>CASC3</t>
  </si>
  <si>
    <t>MRPS12</t>
  </si>
  <si>
    <t>ACOX3</t>
  </si>
  <si>
    <t>RER1</t>
  </si>
  <si>
    <t>SPTLC1</t>
  </si>
  <si>
    <t>SPTLC2</t>
  </si>
  <si>
    <t>OGT</t>
  </si>
  <si>
    <t>PMM2</t>
  </si>
  <si>
    <t>MID1</t>
  </si>
  <si>
    <t>HMGB3</t>
  </si>
  <si>
    <t>PPM1G</t>
  </si>
  <si>
    <t>HDAC3</t>
  </si>
  <si>
    <t>NVL</t>
  </si>
  <si>
    <t>BCAT2</t>
  </si>
  <si>
    <t>BIRC5</t>
  </si>
  <si>
    <t>IPO8</t>
  </si>
  <si>
    <t>STX7</t>
  </si>
  <si>
    <t>SLC16A3</t>
  </si>
  <si>
    <t>SLC31A1</t>
  </si>
  <si>
    <t>ABCC4</t>
  </si>
  <si>
    <t>CD3EAP</t>
  </si>
  <si>
    <t>YKT6</t>
  </si>
  <si>
    <t>INSIG1</t>
  </si>
  <si>
    <t>ARPC5</t>
  </si>
  <si>
    <t>POLR2D</t>
  </si>
  <si>
    <t>PDPK1</t>
  </si>
  <si>
    <t>RNF113A</t>
  </si>
  <si>
    <t>DHX15</t>
  </si>
  <si>
    <t>RNMT</t>
  </si>
  <si>
    <t>ZZEF1</t>
  </si>
  <si>
    <t>ASAP2</t>
  </si>
  <si>
    <t>TTI1</t>
  </si>
  <si>
    <t>PJA2</t>
  </si>
  <si>
    <t>PRPF4</t>
  </si>
  <si>
    <t>PHGDH</t>
  </si>
  <si>
    <t>NDUFS4</t>
  </si>
  <si>
    <t>DYNC1LI2</t>
  </si>
  <si>
    <t>PSMD3</t>
  </si>
  <si>
    <t>PAPSS1</t>
  </si>
  <si>
    <t>ZW10</t>
  </si>
  <si>
    <t>B4GALT5</t>
  </si>
  <si>
    <t>SART1</t>
  </si>
  <si>
    <t>SPINT2</t>
  </si>
  <si>
    <t>DAPK3</t>
  </si>
  <si>
    <t>SRGAP3</t>
  </si>
  <si>
    <t>AP5Z1</t>
  </si>
  <si>
    <t>CTIF</t>
  </si>
  <si>
    <t>MAP3K7</t>
  </si>
  <si>
    <t>EEF1E1</t>
  </si>
  <si>
    <t>HNRNPR</t>
  </si>
  <si>
    <t>PRPF3</t>
  </si>
  <si>
    <t>TXNL1</t>
  </si>
  <si>
    <t>TPD52L2</t>
  </si>
  <si>
    <t>EMC8</t>
  </si>
  <si>
    <t>PRKRIR</t>
  </si>
  <si>
    <t>FIBP</t>
  </si>
  <si>
    <t>PPIH</t>
  </si>
  <si>
    <t>KCNAB3</t>
  </si>
  <si>
    <t>HTRA2</t>
  </si>
  <si>
    <t>OIP5</t>
  </si>
  <si>
    <t>AKR7A2</t>
  </si>
  <si>
    <t>RAD51C</t>
  </si>
  <si>
    <t>LAMTOR5</t>
  </si>
  <si>
    <t>B3GNT1</t>
  </si>
  <si>
    <t>MED7</t>
  </si>
  <si>
    <t>WIPF1</t>
  </si>
  <si>
    <t>FOXO3</t>
  </si>
  <si>
    <t>XRCC3</t>
  </si>
  <si>
    <t>RNF13</t>
  </si>
  <si>
    <t>DENR</t>
  </si>
  <si>
    <t>XPOT</t>
  </si>
  <si>
    <t>DNPH1</t>
  </si>
  <si>
    <t>TIMM44</t>
  </si>
  <si>
    <t>TRAPPC3</t>
  </si>
  <si>
    <t>CHMP2A</t>
  </si>
  <si>
    <t>NCK2</t>
  </si>
  <si>
    <t>RGS10</t>
  </si>
  <si>
    <t>NDUFB5</t>
  </si>
  <si>
    <t>NDUFB3</t>
  </si>
  <si>
    <t>NDUFA2</t>
  </si>
  <si>
    <t>ASNA1</t>
  </si>
  <si>
    <t>BUB3</t>
  </si>
  <si>
    <t>ACTN4</t>
  </si>
  <si>
    <t>WBSCR22</t>
  </si>
  <si>
    <t>TRIAP1</t>
  </si>
  <si>
    <t>HTATSF1</t>
  </si>
  <si>
    <t>ITM2A</t>
  </si>
  <si>
    <t>STX6</t>
  </si>
  <si>
    <t>SYNGR2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</si>
  <si>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</si>
  <si>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</si>
  <si>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</si>
  <si>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</si>
  <si>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</si>
  <si>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</si>
  <si>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</si>
  <si>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</si>
  <si>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</si>
  <si>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</si>
  <si>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AKAP8</t>
  </si>
  <si>
    <t>GTPBP6</t>
  </si>
  <si>
    <t>ZBTB14</t>
  </si>
  <si>
    <t>IDH3B</t>
  </si>
  <si>
    <t>CALU</t>
  </si>
  <si>
    <t>ATP9B</t>
  </si>
  <si>
    <t>AHCYL1</t>
  </si>
  <si>
    <t>EXTL3</t>
  </si>
  <si>
    <t>ORC5</t>
  </si>
  <si>
    <t>NDUFS5</t>
  </si>
  <si>
    <t>PDE6D</t>
  </si>
  <si>
    <t>PEX1</t>
  </si>
  <si>
    <t>RAD21</t>
  </si>
  <si>
    <t>AKR1B10</t>
  </si>
  <si>
    <t>TIMM8A</t>
  </si>
  <si>
    <t>DHX16</t>
  </si>
  <si>
    <t>GMFG</t>
  </si>
  <si>
    <t>SH3BP5</t>
  </si>
  <si>
    <t>MED14</t>
  </si>
  <si>
    <t>PRPSAP2</t>
  </si>
  <si>
    <t>GNG7</t>
  </si>
  <si>
    <t>SMARCA5</t>
  </si>
  <si>
    <t>SPAG9</t>
  </si>
  <si>
    <t>URB1</t>
  </si>
  <si>
    <t>LCMT2</t>
  </si>
  <si>
    <t>AQR</t>
  </si>
  <si>
    <t>MAST3</t>
  </si>
  <si>
    <t>OPA1</t>
  </si>
  <si>
    <t>PIP5K1C</t>
  </si>
  <si>
    <t>KIF1B</t>
  </si>
  <si>
    <t>MARCH6</t>
  </si>
  <si>
    <t>KDM1A</t>
  </si>
  <si>
    <t>TBC1D4</t>
  </si>
  <si>
    <t>ECE2</t>
  </si>
  <si>
    <t>FZD6</t>
  </si>
  <si>
    <t>FADS1</t>
  </si>
  <si>
    <t>DFNA5</t>
  </si>
  <si>
    <t>MAN1A2</t>
  </si>
  <si>
    <t>ACSL4</t>
  </si>
  <si>
    <t>SNX3</t>
  </si>
  <si>
    <t>DOK2</t>
  </si>
  <si>
    <t>SORBS3</t>
  </si>
  <si>
    <t>SYNCRIP</t>
  </si>
  <si>
    <t>CDC40</t>
  </si>
  <si>
    <t>RANBP6</t>
  </si>
  <si>
    <t>NEMF</t>
  </si>
  <si>
    <t>GMDS</t>
  </si>
  <si>
    <t>NMT2</t>
  </si>
  <si>
    <t>CCNT1</t>
  </si>
  <si>
    <t>BUB1B</t>
  </si>
  <si>
    <t>PLOD3</t>
  </si>
  <si>
    <t>CCNT2</t>
  </si>
  <si>
    <t>SEP15</t>
  </si>
  <si>
    <t>EXOC3</t>
  </si>
  <si>
    <t>PLIN3</t>
  </si>
  <si>
    <t>RAD1</t>
  </si>
  <si>
    <t>MAFK</t>
  </si>
  <si>
    <t>PRMT3</t>
  </si>
  <si>
    <t>UGDH</t>
  </si>
  <si>
    <t>TPST2</t>
  </si>
  <si>
    <t>LPXN</t>
  </si>
  <si>
    <t>ICMT</t>
  </si>
  <si>
    <t>EIF1B</t>
  </si>
  <si>
    <t>SNX2</t>
  </si>
  <si>
    <t>USO1</t>
  </si>
  <si>
    <t>MRPS14</t>
  </si>
  <si>
    <t>CCDC22</t>
  </si>
  <si>
    <t>PQBP1</t>
  </si>
  <si>
    <t>TIMM17B</t>
  </si>
  <si>
    <t>PRAF2</t>
  </si>
  <si>
    <t>DKC1</t>
  </si>
  <si>
    <t>EIF5B</t>
  </si>
  <si>
    <t>GAS7</t>
  </si>
  <si>
    <t>EDF1</t>
  </si>
  <si>
    <t>KIN</t>
  </si>
  <si>
    <t>SH2D1A</t>
  </si>
  <si>
    <t>DNAJA2</t>
  </si>
  <si>
    <t>BRD4</t>
  </si>
  <si>
    <t>CUTA</t>
  </si>
  <si>
    <t>SMPD2</t>
  </si>
  <si>
    <t>PFDN1</t>
  </si>
  <si>
    <t>PPP1R11</t>
  </si>
  <si>
    <t>RNASEH1</t>
  </si>
  <si>
    <t>NBN</t>
  </si>
  <si>
    <t>RNGTT</t>
  </si>
  <si>
    <t>ABCB7</t>
  </si>
  <si>
    <t>SRGAP2</t>
  </si>
  <si>
    <t>IGSF3</t>
  </si>
  <si>
    <t>DNAJC6</t>
  </si>
  <si>
    <t>FAM20B</t>
  </si>
  <si>
    <t>EFCAB14</t>
  </si>
  <si>
    <t>WDR1</t>
  </si>
  <si>
    <t>N4BP1</t>
  </si>
  <si>
    <t>ROCK2</t>
  </si>
  <si>
    <t>CPNE3</t>
  </si>
  <si>
    <t>ATG13</t>
  </si>
  <si>
    <t>PPFIA3</t>
  </si>
  <si>
    <t>HIP1R</t>
  </si>
  <si>
    <t>RNF40</t>
  </si>
  <si>
    <t>PHF2</t>
  </si>
  <si>
    <t>ZC3H11A</t>
  </si>
  <si>
    <t>CAND2</t>
  </si>
  <si>
    <t>TSC22D2</t>
  </si>
  <si>
    <t>KDM4A</t>
  </si>
  <si>
    <t>DNAJC13</t>
  </si>
  <si>
    <t>PPP6R2</t>
  </si>
  <si>
    <t>CNOT3</t>
  </si>
  <si>
    <t>SS18L1</t>
  </si>
  <si>
    <t>ANKRD17</t>
  </si>
  <si>
    <t>DNAJB6</t>
  </si>
  <si>
    <t>XYLB</t>
  </si>
  <si>
    <t>COQ9</t>
  </si>
  <si>
    <t>GGCT</t>
  </si>
  <si>
    <t>C19orf77</t>
  </si>
  <si>
    <t>NDUFS2</t>
  </si>
  <si>
    <t>ZNF259</t>
  </si>
  <si>
    <t>USP12</t>
  </si>
  <si>
    <t>GBAS</t>
  </si>
  <si>
    <t>SEMA7A</t>
  </si>
  <si>
    <t>HMMR</t>
  </si>
  <si>
    <t>PDCD6</t>
  </si>
  <si>
    <t>TBCA</t>
  </si>
  <si>
    <t>ATP6V1G1</t>
  </si>
  <si>
    <t>VPS4B</t>
  </si>
  <si>
    <t>ENTPD5</t>
  </si>
  <si>
    <t>ZNF217</t>
  </si>
  <si>
    <t>H2AFY</t>
  </si>
  <si>
    <t>SH3BGRL</t>
  </si>
  <si>
    <t>FLNB</t>
  </si>
  <si>
    <t>NCOR1</t>
  </si>
  <si>
    <t>VAMP4</t>
  </si>
  <si>
    <t>NDUFS6</t>
  </si>
  <si>
    <t>PEX14</t>
  </si>
  <si>
    <t>TRIM3</t>
  </si>
  <si>
    <t>TULP3</t>
  </si>
  <si>
    <t>SLC43A1</t>
  </si>
  <si>
    <t>MRPL33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</si>
  <si>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</si>
  <si>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</si>
  <si>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</si>
  <si>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</si>
  <si>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</si>
  <si>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</si>
  <si>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</si>
  <si>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</si>
  <si>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SAP30</t>
  </si>
  <si>
    <t>KATNA1</t>
  </si>
  <si>
    <t>PSIP1</t>
  </si>
  <si>
    <t>ERLIN1</t>
  </si>
  <si>
    <t>NDUFS3</t>
  </si>
  <si>
    <t>CLN5</t>
  </si>
  <si>
    <t>HSBP1</t>
  </si>
  <si>
    <t>ECI2</t>
  </si>
  <si>
    <t>KHDRBS3</t>
  </si>
  <si>
    <t>TADA3</t>
  </si>
  <si>
    <t>EED</t>
  </si>
  <si>
    <t>BANF1</t>
  </si>
  <si>
    <t>SF3B1</t>
  </si>
  <si>
    <t>CSDE1</t>
  </si>
  <si>
    <t>WBP4</t>
  </si>
  <si>
    <t>MTRF1</t>
  </si>
  <si>
    <t>RPS6KA5</t>
  </si>
  <si>
    <t>GCAT</t>
  </si>
  <si>
    <t>NPM3</t>
  </si>
  <si>
    <t>LYPLA1</t>
  </si>
  <si>
    <t>ERAL1</t>
  </si>
  <si>
    <t>SNRNP200</t>
  </si>
  <si>
    <t>TRMU</t>
  </si>
  <si>
    <t>TIPRL</t>
  </si>
  <si>
    <t>PPM1B</t>
  </si>
  <si>
    <t>UTP20</t>
  </si>
  <si>
    <t>NUP155</t>
  </si>
  <si>
    <t>RP2</t>
  </si>
  <si>
    <t>WDHD1</t>
  </si>
  <si>
    <t>SLC25A12</t>
  </si>
  <si>
    <t>PALM</t>
  </si>
  <si>
    <t>GRAP2</t>
  </si>
  <si>
    <t>RNASEH2A</t>
  </si>
  <si>
    <t>CDC123</t>
  </si>
  <si>
    <t>SOLH</t>
  </si>
  <si>
    <t>RPP40</t>
  </si>
  <si>
    <t>EIF3G</t>
  </si>
  <si>
    <t>EIF3J</t>
  </si>
  <si>
    <t>CBR3</t>
  </si>
  <si>
    <t>AP1G2</t>
  </si>
  <si>
    <t>ZMPSTE24</t>
  </si>
  <si>
    <t>TRAPPC6A</t>
  </si>
  <si>
    <t>IDH1</t>
  </si>
  <si>
    <t>ATRN</t>
  </si>
  <si>
    <t>RBBP9</t>
  </si>
  <si>
    <t>STAM2</t>
  </si>
  <si>
    <t>TUSC2</t>
  </si>
  <si>
    <t>CCNK</t>
  </si>
  <si>
    <t>ARL6IP5</t>
  </si>
  <si>
    <t>PIAS1</t>
  </si>
  <si>
    <t>PIAS2</t>
  </si>
  <si>
    <t>BCAS2</t>
  </si>
  <si>
    <t>DCTN3</t>
  </si>
  <si>
    <t>DNAJC8</t>
  </si>
  <si>
    <t>SMNDC1</t>
  </si>
  <si>
    <t>RAD17</t>
  </si>
  <si>
    <t>ATP5H</t>
  </si>
  <si>
    <t>FLOT1</t>
  </si>
  <si>
    <t>TRIO</t>
  </si>
  <si>
    <t>ATP5L</t>
  </si>
  <si>
    <t>C1QL1</t>
  </si>
  <si>
    <t>CPD</t>
  </si>
  <si>
    <t>SASH3</t>
  </si>
  <si>
    <t>GLRX3</t>
  </si>
  <si>
    <t>WFS1</t>
  </si>
  <si>
    <t>CLPX</t>
  </si>
  <si>
    <t>SEC14L2</t>
  </si>
  <si>
    <t>CIAO1</t>
  </si>
  <si>
    <t>ZFAND5</t>
  </si>
  <si>
    <t>SRP72</t>
  </si>
  <si>
    <t>JTB</t>
  </si>
  <si>
    <t>CST7</t>
  </si>
  <si>
    <t>RECQL5</t>
  </si>
  <si>
    <t>URI1</t>
  </si>
  <si>
    <t>B3GAT3</t>
  </si>
  <si>
    <t>STK17B</t>
  </si>
  <si>
    <t>MTA2</t>
  </si>
  <si>
    <t>USP1</t>
  </si>
  <si>
    <t>STK10</t>
  </si>
  <si>
    <t>KBTBD11</t>
  </si>
  <si>
    <t>TOMM70A</t>
  </si>
  <si>
    <t>IPO13</t>
  </si>
  <si>
    <t>DDHD2</t>
  </si>
  <si>
    <t>MYO1D</t>
  </si>
  <si>
    <t>SEC24D</t>
  </si>
  <si>
    <t>SUPT7L</t>
  </si>
  <si>
    <t>UFL1</t>
  </si>
  <si>
    <t>PHF14</t>
  </si>
  <si>
    <t>TMEM63A</t>
  </si>
  <si>
    <t>UBXN7</t>
  </si>
  <si>
    <t>KLHL18</t>
  </si>
  <si>
    <t>TOX</t>
  </si>
  <si>
    <t>ERLIN2</t>
  </si>
  <si>
    <t>PRPF6</t>
  </si>
  <si>
    <t>PCF11</t>
  </si>
  <si>
    <t>ENDOD1</t>
  </si>
  <si>
    <t>GLS</t>
  </si>
  <si>
    <t>HAUS5</t>
  </si>
  <si>
    <t>FBXO21</t>
  </si>
  <si>
    <t>USP19</t>
  </si>
  <si>
    <t>WDR47</t>
  </si>
  <si>
    <t>AP2A2</t>
  </si>
  <si>
    <t>HEXIM1</t>
  </si>
  <si>
    <t>RPP14</t>
  </si>
  <si>
    <t>CCNB2</t>
  </si>
  <si>
    <t>AGFG2</t>
  </si>
  <si>
    <t>SCAF4</t>
  </si>
  <si>
    <t>NDUFB6</t>
  </si>
  <si>
    <t>MFN2</t>
  </si>
  <si>
    <t>UBE4B</t>
  </si>
  <si>
    <t>ZFPL1</t>
  </si>
  <si>
    <t>IKBKAP</t>
  </si>
  <si>
    <t>NDUFA3</t>
  </si>
  <si>
    <t>NDUFB4</t>
  </si>
  <si>
    <t>NDUFA7</t>
  </si>
  <si>
    <t>VAMP5</t>
  </si>
  <si>
    <t>RTN3</t>
  </si>
  <si>
    <t>LETM1</t>
  </si>
  <si>
    <t>ZRANB2</t>
  </si>
  <si>
    <t>SNX4</t>
  </si>
  <si>
    <t>ZWINT</t>
  </si>
  <si>
    <t>VENTX</t>
  </si>
  <si>
    <t>LUC7L3</t>
  </si>
  <si>
    <t>KIF20A</t>
  </si>
  <si>
    <t>KIF4A</t>
  </si>
  <si>
    <t>KAT7</t>
  </si>
  <si>
    <t>VAPB</t>
  </si>
  <si>
    <t>SNAPIN</t>
  </si>
  <si>
    <t>MPZL1</t>
  </si>
  <si>
    <t>NDUFC2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</si>
  <si>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</si>
  <si>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</si>
  <si>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</si>
  <si>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</si>
  <si>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</si>
  <si>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</si>
  <si>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</si>
  <si>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</si>
  <si>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SLU7</t>
  </si>
  <si>
    <t>PGM3</t>
  </si>
  <si>
    <t>MOCS3</t>
  </si>
  <si>
    <t>CD2BP2</t>
  </si>
  <si>
    <t>MED26</t>
  </si>
  <si>
    <t>ZFYVE9</t>
  </si>
  <si>
    <t>BAG4</t>
  </si>
  <si>
    <t>AHSA1</t>
  </si>
  <si>
    <t>PARN</t>
  </si>
  <si>
    <t>PSMG1</t>
  </si>
  <si>
    <t>FMNL1</t>
  </si>
  <si>
    <t>SGPL1</t>
  </si>
  <si>
    <t>SIX6</t>
  </si>
  <si>
    <t>SEC24A</t>
  </si>
  <si>
    <t>SEC24B</t>
  </si>
  <si>
    <t>NADK</t>
  </si>
  <si>
    <t>TDP2</t>
  </si>
  <si>
    <t>METTL18</t>
  </si>
  <si>
    <t>ETHE1</t>
  </si>
  <si>
    <t>ACSL3</t>
  </si>
  <si>
    <t>POLR1A</t>
  </si>
  <si>
    <t>YEATS4</t>
  </si>
  <si>
    <t>DUS4L</t>
  </si>
  <si>
    <t>CNOT4</t>
  </si>
  <si>
    <t>STAMBP</t>
  </si>
  <si>
    <t>CPSF4</t>
  </si>
  <si>
    <t>ASMTL</t>
  </si>
  <si>
    <t>CDS2</t>
  </si>
  <si>
    <t>FGFR1OP</t>
  </si>
  <si>
    <t>PPP1R3D</t>
  </si>
  <si>
    <t>RAB3D</t>
  </si>
  <si>
    <t>SNAP29</t>
  </si>
  <si>
    <t>OXSR1</t>
  </si>
  <si>
    <t>GGPS1</t>
  </si>
  <si>
    <t>PTBP3</t>
  </si>
  <si>
    <t>NAA38</t>
  </si>
  <si>
    <t>AP2A1</t>
  </si>
  <si>
    <t>DDX58</t>
  </si>
  <si>
    <t>TTC4</t>
  </si>
  <si>
    <t>TMEM50A</t>
  </si>
  <si>
    <t>BAG2</t>
  </si>
  <si>
    <t>BAG3</t>
  </si>
  <si>
    <t>MLYCD</t>
  </si>
  <si>
    <t>CRYZL1</t>
  </si>
  <si>
    <t>AIFM1</t>
  </si>
  <si>
    <t>EML2</t>
  </si>
  <si>
    <t>GNA14</t>
  </si>
  <si>
    <t>NUDT14</t>
  </si>
  <si>
    <t>TSPAN13</t>
  </si>
  <si>
    <t>FADS2</t>
  </si>
  <si>
    <t>DDAH2</t>
  </si>
  <si>
    <t>C6orf47</t>
  </si>
  <si>
    <t>TXNDC12</t>
  </si>
  <si>
    <t>ECD</t>
  </si>
  <si>
    <t>SYF2</t>
  </si>
  <si>
    <t>RECK</t>
  </si>
  <si>
    <t>MBD3</t>
  </si>
  <si>
    <t>TOP3B</t>
  </si>
  <si>
    <t>NUDT3</t>
  </si>
  <si>
    <t>PTTG1</t>
  </si>
  <si>
    <t>BCL10</t>
  </si>
  <si>
    <t>NDUFB10</t>
  </si>
  <si>
    <t>ZBED1</t>
  </si>
  <si>
    <t>MOCS2</t>
  </si>
  <si>
    <t>TOMM40</t>
  </si>
  <si>
    <t>PEX11B</t>
  </si>
  <si>
    <t>PAK4</t>
  </si>
  <si>
    <t>CHEK2</t>
  </si>
  <si>
    <t>APBA3</t>
  </si>
  <si>
    <t>ACTL6A</t>
  </si>
  <si>
    <t>WHSC1</t>
  </si>
  <si>
    <t>CYB5A</t>
  </si>
  <si>
    <t>ADH1C</t>
  </si>
  <si>
    <t>LDHA</t>
  </si>
  <si>
    <t>ALDH1A1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</si>
  <si>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</si>
  <si>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</si>
  <si>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</si>
  <si>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</si>
  <si>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</si>
  <si>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</si>
  <si>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</si>
  <si>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</si>
  <si>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</si>
  <si>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</si>
  <si>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</si>
  <si>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ADA</t>
  </si>
  <si>
    <t>MT-ATP6</t>
  </si>
  <si>
    <t>ASS1</t>
  </si>
  <si>
    <t>SERPINA1</t>
  </si>
  <si>
    <t>A2M</t>
  </si>
  <si>
    <t>C3</t>
  </si>
  <si>
    <t>CST3</t>
  </si>
  <si>
    <t>CST1</t>
  </si>
  <si>
    <t>NRAS</t>
  </si>
  <si>
    <t>HRAS</t>
  </si>
  <si>
    <t>KRAS</t>
  </si>
  <si>
    <t>TGFB1</t>
  </si>
  <si>
    <t>IGF2</t>
  </si>
  <si>
    <t>CD4</t>
  </si>
  <si>
    <t>TRBV12-3</t>
  </si>
  <si>
    <t>PIGR</t>
  </si>
  <si>
    <t>IGKC</t>
  </si>
  <si>
    <t>TRAC</t>
  </si>
  <si>
    <t>TRBC1</t>
  </si>
  <si>
    <t>IGHG1</t>
  </si>
  <si>
    <t>IGHA1</t>
  </si>
  <si>
    <t>HLA-B</t>
  </si>
  <si>
    <t>HBZ</t>
  </si>
  <si>
    <t>LMNA</t>
  </si>
  <si>
    <t>ORM1</t>
  </si>
  <si>
    <t>TTR</t>
  </si>
  <si>
    <t>TFRC</t>
  </si>
  <si>
    <t>FTL</t>
  </si>
  <si>
    <t>FTH1</t>
  </si>
  <si>
    <t>MT2A</t>
  </si>
  <si>
    <t>SMR3B</t>
  </si>
  <si>
    <t>MT-ND3</t>
  </si>
  <si>
    <t>MT-ATP8</t>
  </si>
  <si>
    <t>AMH</t>
  </si>
  <si>
    <t>SLPI</t>
  </si>
  <si>
    <t>CAT</t>
  </si>
  <si>
    <t>DNTT</t>
  </si>
  <si>
    <t>FUCA1</t>
  </si>
  <si>
    <t>ALDOA</t>
  </si>
  <si>
    <t>CSTB</t>
  </si>
  <si>
    <t>ANXA1</t>
  </si>
  <si>
    <t>APOB</t>
  </si>
  <si>
    <t>NR3C1</t>
  </si>
  <si>
    <t>OAT</t>
  </si>
  <si>
    <t>TK1</t>
  </si>
  <si>
    <t>CD3D</t>
  </si>
  <si>
    <t>KRT1</t>
  </si>
  <si>
    <t>VWF</t>
  </si>
  <si>
    <t>GAPDH</t>
  </si>
  <si>
    <t>ASL</t>
  </si>
  <si>
    <t>CAPNS1</t>
  </si>
  <si>
    <t>AMY1A</t>
  </si>
  <si>
    <t>HSPB1</t>
  </si>
  <si>
    <t>TYMS</t>
  </si>
  <si>
    <t>RPN1</t>
  </si>
  <si>
    <t>RPN2</t>
  </si>
  <si>
    <t>GNAI2</t>
  </si>
  <si>
    <t>SLC4A2</t>
  </si>
  <si>
    <t>GYPC</t>
  </si>
  <si>
    <t>ATP1A1</t>
  </si>
  <si>
    <t>ALDOB</t>
  </si>
  <si>
    <t>ARG1</t>
  </si>
  <si>
    <t>ITGB3</t>
  </si>
  <si>
    <t>ITGB2</t>
  </si>
  <si>
    <t>S100A8</t>
  </si>
  <si>
    <t>HMGN1</t>
  </si>
  <si>
    <t>SERPINB2</t>
  </si>
  <si>
    <t>SLC25A5</t>
  </si>
  <si>
    <t>ISG15</t>
  </si>
  <si>
    <t>PCCA</t>
  </si>
  <si>
    <t>EIF2S1</t>
  </si>
  <si>
    <t>HMGN2</t>
  </si>
  <si>
    <t>ICAM1</t>
  </si>
  <si>
    <t>RPLP1</t>
  </si>
  <si>
    <t>RPLP2</t>
  </si>
  <si>
    <t>RPLP0</t>
  </si>
  <si>
    <t>JUN</t>
  </si>
  <si>
    <t>SSB</t>
  </si>
  <si>
    <t>ITGB1</t>
  </si>
  <si>
    <t>PRKCB</t>
  </si>
  <si>
    <t>CD1A</t>
  </si>
  <si>
    <t>CD5</t>
  </si>
  <si>
    <t>UROD</t>
  </si>
  <si>
    <t>INSR</t>
  </si>
  <si>
    <t>LCK</t>
  </si>
  <si>
    <t>FYN</t>
  </si>
  <si>
    <t>GLA</t>
  </si>
  <si>
    <t>GSN</t>
  </si>
  <si>
    <t>RB1</t>
  </si>
  <si>
    <t>CDK1</t>
  </si>
  <si>
    <t>ATP5B</t>
  </si>
  <si>
    <t>S100A9</t>
  </si>
  <si>
    <t>CD2</t>
  </si>
  <si>
    <t>ENO1</t>
  </si>
  <si>
    <t>GPI</t>
  </si>
  <si>
    <t>POLB</t>
  </si>
  <si>
    <t>ITGAV</t>
  </si>
  <si>
    <t>HIST1H2BJ</t>
  </si>
  <si>
    <t>EPHX1</t>
  </si>
  <si>
    <t>DBI</t>
  </si>
  <si>
    <t>LDHB</t>
  </si>
  <si>
    <t>GPX1</t>
  </si>
  <si>
    <t>PGK2</t>
  </si>
  <si>
    <t>P4HB</t>
  </si>
  <si>
    <t>H1F0</t>
  </si>
  <si>
    <t>ANXA2</t>
  </si>
  <si>
    <t>CAPN1</t>
  </si>
  <si>
    <t>HEXB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</si>
  <si>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</si>
  <si>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</si>
  <si>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</si>
  <si>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</si>
  <si>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</si>
  <si>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</si>
  <si>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</si>
  <si>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</si>
  <si>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FH</t>
  </si>
  <si>
    <t>SP1</t>
  </si>
  <si>
    <t>HSPA1A</t>
  </si>
  <si>
    <t>PFKM</t>
  </si>
  <si>
    <t>HSP90AB1</t>
  </si>
  <si>
    <t>SRPR</t>
  </si>
  <si>
    <t>ASNS</t>
  </si>
  <si>
    <t>HMBS</t>
  </si>
  <si>
    <t>PDHA1</t>
  </si>
  <si>
    <t>PLEK</t>
  </si>
  <si>
    <t>CYC1</t>
  </si>
  <si>
    <t>PTPRC</t>
  </si>
  <si>
    <t>SNRPB2</t>
  </si>
  <si>
    <t>MFI2</t>
  </si>
  <si>
    <t>MYL3</t>
  </si>
  <si>
    <t>SNRNP70</t>
  </si>
  <si>
    <t>ITGA5</t>
  </si>
  <si>
    <t>NFIC</t>
  </si>
  <si>
    <t>VIM</t>
  </si>
  <si>
    <t>GNAI3</t>
  </si>
  <si>
    <t>ANXA5</t>
  </si>
  <si>
    <t>SNRPA</t>
  </si>
  <si>
    <t>ENO2</t>
  </si>
  <si>
    <t>ACAA1</t>
  </si>
  <si>
    <t>SRP19</t>
  </si>
  <si>
    <t>GSTP1</t>
  </si>
  <si>
    <t>SNRPC</t>
  </si>
  <si>
    <t>CD48</t>
  </si>
  <si>
    <t>LGALS1</t>
  </si>
  <si>
    <t>QDPR</t>
  </si>
  <si>
    <t>HMGB1</t>
  </si>
  <si>
    <t>GNAO1</t>
  </si>
  <si>
    <t>GSTM1</t>
  </si>
  <si>
    <t>CLTA</t>
  </si>
  <si>
    <t>CLTB</t>
  </si>
  <si>
    <t>ANXA4</t>
  </si>
  <si>
    <t>CNP</t>
  </si>
  <si>
    <t>CD7</t>
  </si>
  <si>
    <t>DLD</t>
  </si>
  <si>
    <t>SNRPA1</t>
  </si>
  <si>
    <t>CTSH</t>
  </si>
  <si>
    <t>COX6C</t>
  </si>
  <si>
    <t>CD3G</t>
  </si>
  <si>
    <t>PARP1</t>
  </si>
  <si>
    <t>LTA4H</t>
  </si>
  <si>
    <t>ALDOC</t>
  </si>
  <si>
    <t>CISD3</t>
  </si>
  <si>
    <t>UQCRFS1P1</t>
  </si>
  <si>
    <t>ATXN1L</t>
  </si>
  <si>
    <t>LINC00271</t>
  </si>
  <si>
    <t>POLR2M</t>
  </si>
  <si>
    <t>IGLC3</t>
  </si>
  <si>
    <t>CHTF8</t>
  </si>
  <si>
    <t>RPS17L</t>
  </si>
  <si>
    <t>SMIM13</t>
  </si>
  <si>
    <t>FDX1</t>
  </si>
  <si>
    <t>TROVE2</t>
  </si>
  <si>
    <t>COX8A</t>
  </si>
  <si>
    <t>GAA</t>
  </si>
  <si>
    <t>RRAS</t>
  </si>
  <si>
    <t>HLA-A</t>
  </si>
  <si>
    <t>ARAF</t>
  </si>
  <si>
    <t>HIST1H1E</t>
  </si>
  <si>
    <t>DLAT</t>
  </si>
  <si>
    <t>PTPRF</t>
  </si>
  <si>
    <t>TXN</t>
  </si>
  <si>
    <t>COX5B</t>
  </si>
  <si>
    <t>CTSA</t>
  </si>
  <si>
    <t>MAPT</t>
  </si>
  <si>
    <t>PRKAR1A</t>
  </si>
  <si>
    <t>KIT</t>
  </si>
  <si>
    <t>UROS</t>
  </si>
  <si>
    <t>CD28</t>
  </si>
  <si>
    <t>ESD</t>
  </si>
  <si>
    <t>HSPD1</t>
  </si>
  <si>
    <t>HSPA5</t>
  </si>
  <si>
    <t>LAMC1</t>
  </si>
  <si>
    <t>SLC2A1</t>
  </si>
  <si>
    <t>SLC2A3</t>
  </si>
  <si>
    <t>EPB41</t>
  </si>
  <si>
    <t>UMPS</t>
  </si>
  <si>
    <t>PDHB</t>
  </si>
  <si>
    <t>DBT</t>
  </si>
  <si>
    <t>PYGB</t>
  </si>
  <si>
    <t>RALA</t>
  </si>
  <si>
    <t>RALB</t>
  </si>
  <si>
    <t>BCR</t>
  </si>
  <si>
    <t>LAMP1</t>
  </si>
  <si>
    <t>TOP1</t>
  </si>
  <si>
    <t>TOP2A</t>
  </si>
  <si>
    <t>G6PD</t>
  </si>
  <si>
    <t>UBL4A</t>
  </si>
  <si>
    <t>PC</t>
  </si>
  <si>
    <t>MTHFD1</t>
  </si>
  <si>
    <t>IGF2R</t>
  </si>
  <si>
    <t>ADH5</t>
  </si>
  <si>
    <t>CDK4</t>
  </si>
  <si>
    <t>SRF</t>
  </si>
  <si>
    <t>PRPS2</t>
  </si>
  <si>
    <t>ODC1</t>
  </si>
  <si>
    <t>PABPC1</t>
  </si>
  <si>
    <t>PCNA</t>
  </si>
  <si>
    <t>HARS</t>
  </si>
  <si>
    <t>SLC25A4</t>
  </si>
  <si>
    <t>SLC25A6</t>
  </si>
  <si>
    <t>IMPDH2</t>
  </si>
  <si>
    <t>TPR</t>
  </si>
  <si>
    <t>PIP</t>
  </si>
  <si>
    <t>CKB</t>
  </si>
  <si>
    <t>ANXA3</t>
  </si>
  <si>
    <t>CKMT1A</t>
  </si>
  <si>
    <t>GZMA</t>
  </si>
  <si>
    <t>SKI</t>
  </si>
  <si>
    <t>ACTN1</t>
  </si>
  <si>
    <t>MYH1</t>
  </si>
  <si>
    <t>SRC</t>
  </si>
  <si>
    <t>PEPD</t>
  </si>
  <si>
    <t>XRCC6</t>
  </si>
  <si>
    <t>XRCC5</t>
  </si>
  <si>
    <t>UNG</t>
  </si>
  <si>
    <t>NR2C1</t>
  </si>
  <si>
    <t>COX4I1</t>
  </si>
  <si>
    <t>IFI30</t>
  </si>
  <si>
    <t>RNH1</t>
  </si>
  <si>
    <t>CYBA</t>
  </si>
  <si>
    <t>ICAM2</t>
  </si>
  <si>
    <t>ITGA4</t>
  </si>
  <si>
    <t>ATP1A3</t>
  </si>
  <si>
    <t>EEF2</t>
  </si>
  <si>
    <t>PDIA4</t>
  </si>
  <si>
    <t>P4HA1</t>
  </si>
  <si>
    <t>TPT1</t>
  </si>
  <si>
    <t>LCP1</t>
  </si>
  <si>
    <t>ETFA</t>
  </si>
  <si>
    <t>GYS1</t>
  </si>
  <si>
    <t>PRKAR2A</t>
  </si>
  <si>
    <t>ENO3</t>
  </si>
  <si>
    <t>GTF2F2</t>
  </si>
  <si>
    <t>CCDC130</t>
  </si>
  <si>
    <t>MTHFD2</t>
  </si>
  <si>
    <t>GFAP</t>
  </si>
  <si>
    <t>SELL</t>
  </si>
  <si>
    <t>MIF</t>
  </si>
  <si>
    <t>CD99</t>
  </si>
  <si>
    <t>HCLS1</t>
  </si>
  <si>
    <t>FDPS</t>
  </si>
  <si>
    <t>AKR1A1</t>
  </si>
  <si>
    <t>ACYP2</t>
  </si>
  <si>
    <t>HSP90B1</t>
  </si>
  <si>
    <t>CCNB1</t>
  </si>
  <si>
    <t>MYL6B</t>
  </si>
  <si>
    <t>IDE</t>
  </si>
  <si>
    <t>COX6B1</t>
  </si>
  <si>
    <t>HNRNPL</t>
  </si>
  <si>
    <t>DARS</t>
  </si>
  <si>
    <t>ETS1</t>
  </si>
  <si>
    <t>JUP</t>
  </si>
  <si>
    <t>FABP4</t>
  </si>
  <si>
    <t>GLUL</t>
  </si>
  <si>
    <t>AKR1B1</t>
  </si>
  <si>
    <t>PVR</t>
  </si>
  <si>
    <t>RAC2</t>
  </si>
  <si>
    <t>GSPT1</t>
  </si>
  <si>
    <t>ARSA</t>
  </si>
  <si>
    <t>EZR</t>
  </si>
  <si>
    <t>UCHL3</t>
  </si>
  <si>
    <t>HPGD</t>
  </si>
  <si>
    <t>VAV1</t>
  </si>
  <si>
    <t>CD46</t>
  </si>
  <si>
    <t>NME1</t>
  </si>
  <si>
    <t>CD1D</t>
  </si>
  <si>
    <t>ARSB</t>
  </si>
  <si>
    <t>RPS2</t>
  </si>
  <si>
    <t>CHN1</t>
  </si>
  <si>
    <t>ST6GAL1</t>
  </si>
  <si>
    <t>TCF3</t>
  </si>
  <si>
    <t>DSP</t>
  </si>
  <si>
    <t>RPA2</t>
  </si>
  <si>
    <t>TIMP2</t>
  </si>
  <si>
    <t>SPN</t>
  </si>
  <si>
    <t>ACADS</t>
  </si>
  <si>
    <t>CREB1</t>
  </si>
  <si>
    <t>GLB1</t>
  </si>
  <si>
    <t>PECAM1</t>
  </si>
  <si>
    <t>PPP3CB</t>
  </si>
  <si>
    <t>NCK1</t>
  </si>
  <si>
    <t>GCFC2</t>
  </si>
  <si>
    <t>KCNA2</t>
  </si>
  <si>
    <t>HIST1H1B</t>
  </si>
  <si>
    <t>POR</t>
  </si>
  <si>
    <t>MGMT</t>
  </si>
  <si>
    <t>FER</t>
  </si>
  <si>
    <t>ATP2A2</t>
  </si>
  <si>
    <t>PLCG2</t>
  </si>
  <si>
    <t>FAH</t>
  </si>
  <si>
    <t>YBX3</t>
  </si>
  <si>
    <t>ZNF22</t>
  </si>
  <si>
    <t>ZNF24</t>
  </si>
  <si>
    <t>NAGA</t>
  </si>
  <si>
    <t>HSPA6</t>
  </si>
  <si>
    <t>HMGA1</t>
  </si>
  <si>
    <t>ZNF8</t>
  </si>
  <si>
    <t>TMEM11</t>
  </si>
  <si>
    <t>GOT1</t>
  </si>
  <si>
    <t>IFNAR1</t>
  </si>
  <si>
    <t>PRKCA</t>
  </si>
  <si>
    <t>JUNB</t>
  </si>
  <si>
    <t>UBTF</t>
  </si>
  <si>
    <t>HOXB4</t>
  </si>
  <si>
    <t>JUND</t>
  </si>
  <si>
    <t>ATF7</t>
  </si>
  <si>
    <t>NDUFB7</t>
  </si>
  <si>
    <t>SYN1</t>
  </si>
  <si>
    <t>PRKACA</t>
  </si>
  <si>
    <t>PTPN2</t>
  </si>
  <si>
    <t>AMD1</t>
  </si>
  <si>
    <t>CTPS1</t>
  </si>
  <si>
    <t>DDX5</t>
  </si>
  <si>
    <t>PFKL</t>
  </si>
  <si>
    <t>GM2A</t>
  </si>
  <si>
    <t>PTPN1</t>
  </si>
  <si>
    <t>IGFBP2</t>
  </si>
  <si>
    <t>ERCC2</t>
  </si>
  <si>
    <t>RPL35A</t>
  </si>
  <si>
    <t>ITGB5</t>
  </si>
  <si>
    <t>ARF4</t>
  </si>
  <si>
    <t>RPL7</t>
  </si>
  <si>
    <t>EGR1</t>
  </si>
  <si>
    <t>VCL</t>
  </si>
  <si>
    <t>SON</t>
  </si>
  <si>
    <t>PGAM1</t>
  </si>
  <si>
    <t>RCC1</t>
  </si>
  <si>
    <t>ATF1</t>
  </si>
  <si>
    <t>LIG1</t>
  </si>
  <si>
    <t>ATP5J</t>
  </si>
  <si>
    <t>XRCC1</t>
  </si>
  <si>
    <t>CDH2</t>
  </si>
  <si>
    <t>PLCG1</t>
  </si>
  <si>
    <t>NCL</t>
  </si>
  <si>
    <t>POLR2C</t>
  </si>
  <si>
    <t>POLR2E</t>
  </si>
  <si>
    <t>CD53</t>
  </si>
  <si>
    <t>ERCC3</t>
  </si>
  <si>
    <t>EIF2AK2</t>
  </si>
  <si>
    <t>TFE3</t>
  </si>
  <si>
    <t>SRM</t>
  </si>
  <si>
    <t>CSNK2A2</t>
  </si>
  <si>
    <t>CEL</t>
  </si>
  <si>
    <t>NFKB1</t>
  </si>
  <si>
    <t>ATP2B1</t>
  </si>
  <si>
    <t>EIF2S2</t>
  </si>
  <si>
    <t>TCN1</t>
  </si>
  <si>
    <t>CCNA2</t>
  </si>
  <si>
    <t>BTF3</t>
  </si>
  <si>
    <t>RAB3A</t>
  </si>
  <si>
    <t>RAB3B</t>
  </si>
  <si>
    <t>RAB4A</t>
  </si>
  <si>
    <t>RAB6A</t>
  </si>
  <si>
    <t>PSMB1</t>
  </si>
  <si>
    <t>M6PR</t>
  </si>
  <si>
    <t>HIST1H2AD</t>
  </si>
  <si>
    <t>COX5A</t>
  </si>
  <si>
    <t>LMNB1</t>
  </si>
  <si>
    <t>ITGAL</t>
  </si>
  <si>
    <t>OGN</t>
  </si>
  <si>
    <t>PTMS</t>
  </si>
  <si>
    <t>CD247</t>
  </si>
  <si>
    <t>CDK11B</t>
  </si>
  <si>
    <t>GSTM3</t>
  </si>
  <si>
    <t>ATP6V1B2</t>
  </si>
  <si>
    <t>ATP6V1C1</t>
  </si>
  <si>
    <t>CSRP1</t>
  </si>
  <si>
    <t>FLNA</t>
  </si>
  <si>
    <t>ACO1</t>
  </si>
  <si>
    <t>AGXT</t>
  </si>
  <si>
    <t>TNFAIP3</t>
  </si>
  <si>
    <t>VDAC1</t>
  </si>
  <si>
    <t>SDHB</t>
  </si>
  <si>
    <t>BCKDHB</t>
  </si>
  <si>
    <t>COMT</t>
  </si>
  <si>
    <t>MUT</t>
  </si>
  <si>
    <t>OSBP</t>
  </si>
  <si>
    <t>FBL</t>
  </si>
  <si>
    <t>GART</t>
  </si>
  <si>
    <t>PAICS</t>
  </si>
  <si>
    <t>SCP2</t>
  </si>
  <si>
    <t>UBA1</t>
  </si>
  <si>
    <t>HNRNPA2B1</t>
  </si>
  <si>
    <t>RFX1</t>
  </si>
  <si>
    <t>CBL</t>
  </si>
  <si>
    <t>PRKACB</t>
  </si>
  <si>
    <t>UQCRC2</t>
  </si>
  <si>
    <t>FECH</t>
  </si>
  <si>
    <t>XPA</t>
  </si>
  <si>
    <t>AMPD1</t>
  </si>
  <si>
    <t>TCEA1</t>
  </si>
  <si>
    <t>SFPQ</t>
  </si>
  <si>
    <t>TUBG1</t>
  </si>
  <si>
    <t>PPIB</t>
  </si>
  <si>
    <t>ME2</t>
  </si>
  <si>
    <t>GLDC</t>
  </si>
  <si>
    <t>WARS</t>
  </si>
  <si>
    <t>RPS3</t>
  </si>
  <si>
    <t>GCSH</t>
  </si>
  <si>
    <t>JAK1</t>
  </si>
  <si>
    <t>PTPRE</t>
  </si>
  <si>
    <t>SP100</t>
  </si>
  <si>
    <t>NFYA</t>
  </si>
  <si>
    <t>AHCY</t>
  </si>
  <si>
    <t>HIST1H2BO</t>
  </si>
  <si>
    <t>CFL1</t>
  </si>
  <si>
    <t>F8A1</t>
  </si>
  <si>
    <t>ATP2B4</t>
  </si>
  <si>
    <t>DGKA</t>
  </si>
  <si>
    <t>GATA3</t>
  </si>
  <si>
    <t>CPT2</t>
  </si>
  <si>
    <t>DTYMK</t>
  </si>
  <si>
    <t>RRM1</t>
  </si>
  <si>
    <t>IL32</t>
  </si>
  <si>
    <t>GPT</t>
  </si>
  <si>
    <t>COX7B</t>
  </si>
  <si>
    <t>EEF1B2</t>
  </si>
  <si>
    <t>AKAP5</t>
  </si>
  <si>
    <t>ACP1</t>
  </si>
  <si>
    <t>ACAT1</t>
  </si>
  <si>
    <t>POLR2A</t>
  </si>
  <si>
    <t>APC</t>
  </si>
  <si>
    <t>ADRBK1</t>
  </si>
  <si>
    <t>F2R</t>
  </si>
  <si>
    <t>MCM3</t>
  </si>
  <si>
    <t>MPST</t>
  </si>
  <si>
    <t>RPS12</t>
  </si>
  <si>
    <t>FAS</t>
  </si>
  <si>
    <t>YY1</t>
  </si>
  <si>
    <t>DNAJB1</t>
  </si>
  <si>
    <t>DNAJB2</t>
  </si>
  <si>
    <t>ATP5A1</t>
  </si>
  <si>
    <t>CTSS</t>
  </si>
  <si>
    <t>PSMA1</t>
  </si>
  <si>
    <t>PSMA2</t>
  </si>
  <si>
    <t>PSMA3</t>
  </si>
  <si>
    <t>PSMA4</t>
  </si>
  <si>
    <t>S100P</t>
  </si>
  <si>
    <t>ITGA3</t>
  </si>
  <si>
    <t>MSN</t>
  </si>
  <si>
    <t>DDX6</t>
  </si>
  <si>
    <t>U2AF2</t>
  </si>
  <si>
    <t>RPL13</t>
  </si>
  <si>
    <t>CHML</t>
  </si>
  <si>
    <t>IVD</t>
  </si>
  <si>
    <t>S100A4</t>
  </si>
  <si>
    <t>MGAT1</t>
  </si>
  <si>
    <t>HMGB2</t>
  </si>
  <si>
    <t>PTBP1</t>
  </si>
  <si>
    <t>TARS</t>
  </si>
  <si>
    <t>EEF1G</t>
  </si>
  <si>
    <t>FKBP2</t>
  </si>
  <si>
    <t>AK4</t>
  </si>
  <si>
    <t>YWHAQ</t>
  </si>
  <si>
    <t>MAPK3</t>
  </si>
  <si>
    <t>ATP6V0C</t>
  </si>
  <si>
    <t>ARNT</t>
  </si>
  <si>
    <t>CERS1</t>
  </si>
  <si>
    <t>RPL10</t>
  </si>
  <si>
    <t>RPA1</t>
  </si>
  <si>
    <t>APEX1</t>
  </si>
  <si>
    <t>CD82</t>
  </si>
  <si>
    <t>PDE4A</t>
  </si>
  <si>
    <t>CANX</t>
  </si>
  <si>
    <t>PIK3R1</t>
  </si>
  <si>
    <t>PSMB8</t>
  </si>
  <si>
    <t>PSMB9</t>
  </si>
  <si>
    <t>PSMA5</t>
  </si>
  <si>
    <t>PSMB4</t>
  </si>
  <si>
    <t>PSMB6</t>
  </si>
  <si>
    <t>PSMB5</t>
  </si>
  <si>
    <t>GSTM2</t>
  </si>
  <si>
    <t>NDUFS1</t>
  </si>
  <si>
    <t>MAPK1</t>
  </si>
  <si>
    <t>RXRB</t>
  </si>
  <si>
    <t>ERCC5</t>
  </si>
  <si>
    <t>RBL1</t>
  </si>
  <si>
    <t>GRN</t>
  </si>
  <si>
    <t>LAP3</t>
  </si>
  <si>
    <t>CD38</t>
  </si>
  <si>
    <t>TNFRSF8</t>
  </si>
  <si>
    <t>CD1B</t>
  </si>
  <si>
    <t>GTF2E1</t>
  </si>
  <si>
    <t>GTF2E2</t>
  </si>
  <si>
    <t>TPP2</t>
  </si>
  <si>
    <t>PTPN6</t>
  </si>
  <si>
    <t>SHC1</t>
  </si>
  <si>
    <t>MPG</t>
  </si>
  <si>
    <t>ARID4A</t>
  </si>
  <si>
    <t>TKT</t>
  </si>
  <si>
    <t>PML</t>
  </si>
  <si>
    <t>OAS2</t>
  </si>
  <si>
    <t>CD40LG</t>
  </si>
  <si>
    <t>MARCKS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</si>
  <si>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</si>
  <si>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</si>
  <si>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</si>
  <si>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</si>
  <si>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</si>
  <si>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</si>
  <si>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</si>
  <si>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</si>
  <si>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</si>
  <si>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</si>
  <si>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</si>
  <si>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</si>
  <si>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</si>
  <si>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</si>
  <si>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</si>
  <si>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CD6</t>
  </si>
  <si>
    <t>CCND3</t>
  </si>
  <si>
    <t>WEE1</t>
  </si>
  <si>
    <t>PPIF</t>
  </si>
  <si>
    <t>NMT1</t>
  </si>
  <si>
    <t>HMOX2</t>
  </si>
  <si>
    <t>ADSS</t>
  </si>
  <si>
    <t>LRPAP1</t>
  </si>
  <si>
    <t>ADSL</t>
  </si>
  <si>
    <t>PKLR</t>
  </si>
  <si>
    <t>CLIP1</t>
  </si>
  <si>
    <t>GNA15</t>
  </si>
  <si>
    <t>SERPINB1</t>
  </si>
  <si>
    <t>GCH1</t>
  </si>
  <si>
    <t>SLC7A1</t>
  </si>
  <si>
    <t>CORO1A</t>
  </si>
  <si>
    <t>GDI1</t>
  </si>
  <si>
    <t>S100A7</t>
  </si>
  <si>
    <t>MAT2A</t>
  </si>
  <si>
    <t>PRKAR1B</t>
  </si>
  <si>
    <t>PRKAR2B</t>
  </si>
  <si>
    <t>CPS1</t>
  </si>
  <si>
    <t>RRM2</t>
  </si>
  <si>
    <t>SLC6A6</t>
  </si>
  <si>
    <t>DNAJA1</t>
  </si>
  <si>
    <t>AKT1</t>
  </si>
  <si>
    <t>AKT2</t>
  </si>
  <si>
    <t>IL2RG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</si>
  <si>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</si>
  <si>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</si>
  <si>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</si>
  <si>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</si>
  <si>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</si>
  <si>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</si>
  <si>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</si>
  <si>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</si>
  <si>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INPP5B</t>
  </si>
  <si>
    <t>PRDX2</t>
  </si>
  <si>
    <t>ARRB2</t>
  </si>
  <si>
    <t>GK</t>
  </si>
  <si>
    <t>DCTD</t>
  </si>
  <si>
    <t>PYCR1</t>
  </si>
  <si>
    <t>GBP1</t>
  </si>
  <si>
    <t>ELF1</t>
  </si>
  <si>
    <t>GTF2H1</t>
  </si>
  <si>
    <t>STX2</t>
  </si>
  <si>
    <t>CTH</t>
  </si>
  <si>
    <t>ICAM3</t>
  </si>
  <si>
    <t>RPL9</t>
  </si>
  <si>
    <t>ACSL1</t>
  </si>
  <si>
    <t>KIF5B</t>
  </si>
  <si>
    <t>CSTF2</t>
  </si>
  <si>
    <t>LSP1</t>
  </si>
  <si>
    <t>DUT</t>
  </si>
  <si>
    <t>ABCC1</t>
  </si>
  <si>
    <t>CKS2</t>
  </si>
  <si>
    <t>ABCD1</t>
  </si>
  <si>
    <t>MAN1A1</t>
  </si>
  <si>
    <t>TTK</t>
  </si>
  <si>
    <t>MCM4</t>
  </si>
  <si>
    <t>MCM5</t>
  </si>
  <si>
    <t>MCM7</t>
  </si>
  <si>
    <t>GALNS</t>
  </si>
  <si>
    <t>SHMT1</t>
  </si>
  <si>
    <t>SHMT2</t>
  </si>
  <si>
    <t>HSPA4</t>
  </si>
  <si>
    <t>GRK5</t>
  </si>
  <si>
    <t>CNR2</t>
  </si>
  <si>
    <t>CA8</t>
  </si>
  <si>
    <t>CTNNA1</t>
  </si>
  <si>
    <t>PCGF2</t>
  </si>
  <si>
    <t>PHB</t>
  </si>
  <si>
    <t>PTPN7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</si>
  <si>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</si>
  <si>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</si>
  <si>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</si>
  <si>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</si>
  <si>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</si>
  <si>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</si>
  <si>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</si>
  <si>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</si>
  <si>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</si>
  <si>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</si>
  <si>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SPRR1A</t>
  </si>
  <si>
    <t>PTGER4</t>
  </si>
  <si>
    <t>CBS</t>
  </si>
  <si>
    <t>AGL</t>
  </si>
  <si>
    <t>MYH9</t>
  </si>
  <si>
    <t>MYH10</t>
  </si>
  <si>
    <t>COPB2</t>
  </si>
  <si>
    <t>SOAT1</t>
  </si>
  <si>
    <t>ADD1</t>
  </si>
  <si>
    <t>ADD2</t>
  </si>
  <si>
    <t>BSG</t>
  </si>
  <si>
    <t>ADRBK2</t>
  </si>
  <si>
    <t>FUS</t>
  </si>
  <si>
    <t>NUP214</t>
  </si>
  <si>
    <t>DEK</t>
  </si>
  <si>
    <t>GLRX</t>
  </si>
  <si>
    <t>CHKA</t>
  </si>
  <si>
    <t>PPM1A</t>
  </si>
  <si>
    <t>PSMC2</t>
  </si>
  <si>
    <t>ARL2</t>
  </si>
  <si>
    <t>ARL3</t>
  </si>
  <si>
    <t>TRIM23</t>
  </si>
  <si>
    <t>MAP2K2</t>
  </si>
  <si>
    <t>ATP5C1</t>
  </si>
  <si>
    <t>ATP6V1E1</t>
  </si>
  <si>
    <t>CPOX</t>
  </si>
  <si>
    <t>RPL4</t>
  </si>
  <si>
    <t>NUDT1</t>
  </si>
  <si>
    <t>PGM1</t>
  </si>
  <si>
    <t>PPP1CC</t>
  </si>
  <si>
    <t>GNL1</t>
  </si>
  <si>
    <t>POLR2I</t>
  </si>
  <si>
    <t>DLST</t>
  </si>
  <si>
    <t>GPX4</t>
  </si>
  <si>
    <t>SRP14</t>
  </si>
  <si>
    <t>NUP62</t>
  </si>
  <si>
    <t>HPCAL1</t>
  </si>
  <si>
    <t>FDFT1</t>
  </si>
  <si>
    <t>ZEB1</t>
  </si>
  <si>
    <t>TAGLN2</t>
  </si>
  <si>
    <t>TALDO1</t>
  </si>
  <si>
    <t>ETFB</t>
  </si>
  <si>
    <t>RBMX</t>
  </si>
  <si>
    <t>LIPA</t>
  </si>
  <si>
    <t>HSPA9</t>
  </si>
  <si>
    <t>EIF4A3</t>
  </si>
  <si>
    <t>IGHMBP2</t>
  </si>
  <si>
    <t>RPS19</t>
  </si>
  <si>
    <t>RPL3</t>
  </si>
  <si>
    <t>DDOST</t>
  </si>
  <si>
    <t>ANP32A</t>
  </si>
  <si>
    <t>FEN1</t>
  </si>
  <si>
    <t>CUX1</t>
  </si>
  <si>
    <t>CAPG</t>
  </si>
  <si>
    <t>TXLNA</t>
  </si>
  <si>
    <t>CCT6A</t>
  </si>
  <si>
    <t>PSMB10</t>
  </si>
  <si>
    <t>VHL</t>
  </si>
  <si>
    <t>PBX2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</si>
  <si>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</si>
  <si>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</si>
  <si>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</si>
  <si>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</si>
  <si>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</si>
  <si>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</si>
  <si>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</si>
  <si>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</si>
  <si>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</si>
  <si>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</si>
  <si>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CETN2</t>
  </si>
  <si>
    <t>ETV6</t>
  </si>
  <si>
    <t>EIF2D</t>
  </si>
  <si>
    <t>BUD31</t>
  </si>
  <si>
    <t>NAA10</t>
  </si>
  <si>
    <t>KDM5C</t>
  </si>
  <si>
    <t>CSK</t>
  </si>
  <si>
    <t>GARS</t>
  </si>
  <si>
    <t>IARS</t>
  </si>
  <si>
    <t>SLC19A1</t>
  </si>
  <si>
    <t>EIF1</t>
  </si>
  <si>
    <t>PRKCI</t>
  </si>
  <si>
    <t>ACTR1B</t>
  </si>
  <si>
    <t>TMPO</t>
  </si>
  <si>
    <t>STAT1</t>
  </si>
  <si>
    <t>STAT6</t>
  </si>
  <si>
    <t>SKIV2L2</t>
  </si>
  <si>
    <t>AKR1C3</t>
  </si>
  <si>
    <t>ARHGAP25</t>
  </si>
  <si>
    <t>PIK3CA</t>
  </si>
  <si>
    <t>PIK3CB</t>
  </si>
  <si>
    <t>MTOR</t>
  </si>
  <si>
    <t>EPS15</t>
  </si>
  <si>
    <t>CASP3</t>
  </si>
  <si>
    <t>CASP2</t>
  </si>
  <si>
    <t>RPS27</t>
  </si>
  <si>
    <t>ABL2</t>
  </si>
  <si>
    <t>NCAPD3</t>
  </si>
  <si>
    <t>LRPPRC</t>
  </si>
  <si>
    <t>ACAA2</t>
  </si>
  <si>
    <t>RPL35</t>
  </si>
  <si>
    <t>WAS</t>
  </si>
  <si>
    <t>CDKN2C</t>
  </si>
  <si>
    <t>PRCP</t>
  </si>
  <si>
    <t>HTT</t>
  </si>
  <si>
    <t>ECE1</t>
  </si>
  <si>
    <t>MTHFR</t>
  </si>
  <si>
    <t>SLC1A3</t>
  </si>
  <si>
    <t>SLC1A4</t>
  </si>
  <si>
    <t>PAFAH1B1</t>
  </si>
  <si>
    <t>CRAT</t>
  </si>
  <si>
    <t>GRK6</t>
  </si>
  <si>
    <t>SSR1</t>
  </si>
  <si>
    <t>PTPN9</t>
  </si>
  <si>
    <t>ZAP70</t>
  </si>
  <si>
    <t>RANBP1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</si>
  <si>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</si>
  <si>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</si>
  <si>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</si>
  <si>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</si>
  <si>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</si>
  <si>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</si>
  <si>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</si>
  <si>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</si>
  <si>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</si>
  <si>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</si>
  <si>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</si>
  <si>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</si>
  <si>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</si>
  <si>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</si>
  <si>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</si>
  <si>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</si>
  <si>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</si>
  <si>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</si>
  <si>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</si>
  <si>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</si>
  <si>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</si>
  <si>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</si>
  <si>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</si>
  <si>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RPL21</t>
  </si>
  <si>
    <t>RPL28</t>
  </si>
  <si>
    <t>RPS9</t>
  </si>
  <si>
    <t>RPS10</t>
  </si>
  <si>
    <t>GNPDA1</t>
  </si>
  <si>
    <t>NEDD4</t>
  </si>
  <si>
    <t>UTRN</t>
  </si>
  <si>
    <t>IQGAP1</t>
  </si>
  <si>
    <t>GYG1</t>
  </si>
  <si>
    <t>STT3A</t>
  </si>
  <si>
    <t>RABIF</t>
  </si>
  <si>
    <t>CAPZA2</t>
  </si>
  <si>
    <t>CAPZB</t>
  </si>
  <si>
    <t>EIF1AX</t>
  </si>
  <si>
    <t>QARS</t>
  </si>
  <si>
    <t>RPL29</t>
  </si>
  <si>
    <t>ZFP36L2</t>
  </si>
  <si>
    <t>UQCRFS1</t>
  </si>
  <si>
    <t>SLC6A8</t>
  </si>
  <si>
    <t>ATP5O</t>
  </si>
  <si>
    <t>LIMS1</t>
  </si>
  <si>
    <t>IREB2</t>
  </si>
  <si>
    <t>RFX3</t>
  </si>
  <si>
    <t>ARCN1</t>
  </si>
  <si>
    <t>LSS</t>
  </si>
  <si>
    <t>PPP3CC</t>
  </si>
  <si>
    <t>GCLC</t>
  </si>
  <si>
    <t>GCLM</t>
  </si>
  <si>
    <t>TRAPPC10</t>
  </si>
  <si>
    <t>PRRC2A</t>
  </si>
  <si>
    <t>GSS</t>
  </si>
  <si>
    <t>CCT5</t>
  </si>
  <si>
    <t>PTDSS1</t>
  </si>
  <si>
    <t>HSPA13</t>
  </si>
  <si>
    <t>CSNK1D</t>
  </si>
  <si>
    <t>IDH2</t>
  </si>
  <si>
    <t>PIK3CG</t>
  </si>
  <si>
    <t>PITPNB</t>
  </si>
  <si>
    <t>CD97</t>
  </si>
  <si>
    <t>POLD2</t>
  </si>
  <si>
    <t>MARCKSL1</t>
  </si>
  <si>
    <t>CAMLG</t>
  </si>
  <si>
    <t>NR2C2</t>
  </si>
  <si>
    <t>MAPKAPK2</t>
  </si>
  <si>
    <t>ALDH9A1</t>
  </si>
  <si>
    <t>RPL34</t>
  </si>
  <si>
    <t>RPIA</t>
  </si>
  <si>
    <t>LMAN1</t>
  </si>
  <si>
    <t>SLC11A2</t>
  </si>
  <si>
    <t>NASP</t>
  </si>
  <si>
    <t>FASN</t>
  </si>
  <si>
    <t>CDK8</t>
  </si>
  <si>
    <t>FNTA</t>
  </si>
  <si>
    <t>FNTB</t>
  </si>
  <si>
    <t>DHPS</t>
  </si>
  <si>
    <t>CCT3</t>
  </si>
  <si>
    <t>MRPL19</t>
  </si>
  <si>
    <t>TUFM</t>
  </si>
  <si>
    <t>CDC34</t>
  </si>
  <si>
    <t>CENPF</t>
  </si>
  <si>
    <t>SRP9</t>
  </si>
  <si>
    <t>UBE2A</t>
  </si>
  <si>
    <t>PCYT1A</t>
  </si>
  <si>
    <t>AARS</t>
  </si>
  <si>
    <t>CARS</t>
  </si>
  <si>
    <t>SARS</t>
  </si>
  <si>
    <t>PRIM1</t>
  </si>
  <si>
    <t>PRIM2</t>
  </si>
  <si>
    <t>CSNK1E</t>
  </si>
  <si>
    <t>CTCF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</si>
  <si>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</si>
  <si>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</si>
  <si>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</si>
  <si>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</si>
  <si>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</si>
  <si>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</si>
  <si>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</si>
  <si>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</si>
  <si>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PSEN1</t>
  </si>
  <si>
    <t>EIF2B2</t>
  </si>
  <si>
    <t>HINT1</t>
  </si>
  <si>
    <t>FHIT</t>
  </si>
  <si>
    <t>NUP153</t>
  </si>
  <si>
    <t>RANBP2</t>
  </si>
  <si>
    <t>RGS19</t>
  </si>
  <si>
    <t>GSK3A</t>
  </si>
  <si>
    <t>GSK3B</t>
  </si>
  <si>
    <t>NT5C2</t>
  </si>
  <si>
    <t>SEPHS1</t>
  </si>
  <si>
    <t>MTHFS</t>
  </si>
  <si>
    <t>GMPS</t>
  </si>
  <si>
    <t>LIG3</t>
  </si>
  <si>
    <t>LIG4</t>
  </si>
  <si>
    <t>MRE11A</t>
  </si>
  <si>
    <t>KHK</t>
  </si>
  <si>
    <t>GNAQ</t>
  </si>
  <si>
    <t>GNG4</t>
  </si>
  <si>
    <t>GNG10</t>
  </si>
  <si>
    <t>IDH3A</t>
  </si>
  <si>
    <t>MNX1</t>
  </si>
  <si>
    <t>CRIP1</t>
  </si>
  <si>
    <t>PPOX</t>
  </si>
  <si>
    <t>EMD</t>
  </si>
  <si>
    <t>CPT1A</t>
  </si>
  <si>
    <t>GATM</t>
  </si>
  <si>
    <t>SLC26A2</t>
  </si>
  <si>
    <t>SERPINB8</t>
  </si>
  <si>
    <t>SERPINH1</t>
  </si>
  <si>
    <t>ST13</t>
  </si>
  <si>
    <t>VASP</t>
  </si>
  <si>
    <t>NUDT2</t>
  </si>
  <si>
    <t>HLCS</t>
  </si>
  <si>
    <t>KNTC1</t>
  </si>
  <si>
    <t>RASSF2</t>
  </si>
  <si>
    <t>CDK9</t>
  </si>
  <si>
    <t>LRBA</t>
  </si>
  <si>
    <t>BCAM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</si>
  <si>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</si>
  <si>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</si>
  <si>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</si>
  <si>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</si>
  <si>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</si>
  <si>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</si>
  <si>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</si>
  <si>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</si>
  <si>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RAB28</t>
  </si>
  <si>
    <t>RAB27A</t>
  </si>
  <si>
    <t>DAP3</t>
  </si>
  <si>
    <t>DUSP3</t>
  </si>
  <si>
    <t>NOVA1</t>
  </si>
  <si>
    <t>SMARCA2</t>
  </si>
  <si>
    <t>IDH3G</t>
  </si>
  <si>
    <t>GALK1</t>
  </si>
  <si>
    <t>SSR4</t>
  </si>
  <si>
    <t>BCAP31</t>
  </si>
  <si>
    <t>TPMT</t>
  </si>
  <si>
    <t>MECP2</t>
  </si>
  <si>
    <t>ALDH5A1</t>
  </si>
  <si>
    <t>HSD17B4</t>
  </si>
  <si>
    <t>PSMD7</t>
  </si>
  <si>
    <t>UBE2D1</t>
  </si>
  <si>
    <t>SGSH</t>
  </si>
  <si>
    <t>STAT5B</t>
  </si>
  <si>
    <t>CLCN3</t>
  </si>
  <si>
    <t>CLCN5</t>
  </si>
  <si>
    <t>CLCN6</t>
  </si>
  <si>
    <t>CLCN7</t>
  </si>
  <si>
    <t>VAMP7</t>
  </si>
  <si>
    <t>ADCY7</t>
  </si>
  <si>
    <t>HDGF</t>
  </si>
  <si>
    <t>MNAT1</t>
  </si>
  <si>
    <t>NDUFA8</t>
  </si>
  <si>
    <t>HNRNPA3</t>
  </si>
  <si>
    <t>KPNA2</t>
  </si>
  <si>
    <t>KPNA1</t>
  </si>
  <si>
    <t>NCBP2</t>
  </si>
  <si>
    <t>RAP1GDS1</t>
  </si>
  <si>
    <t>POLR2J</t>
  </si>
  <si>
    <t>MAP2K6</t>
  </si>
  <si>
    <t>ARHGDIA</t>
  </si>
  <si>
    <t>ARHGDIB</t>
  </si>
  <si>
    <t>AGFG1</t>
  </si>
  <si>
    <t>HNRNPF</t>
  </si>
  <si>
    <t>STAT2</t>
  </si>
  <si>
    <t>GTF2A1</t>
  </si>
  <si>
    <t>GTF2A2</t>
  </si>
  <si>
    <t>KIF11</t>
  </si>
  <si>
    <t>VAV2</t>
  </si>
  <si>
    <t>RBM5</t>
  </si>
  <si>
    <t>HRSP12</t>
  </si>
  <si>
    <t>SMS</t>
  </si>
  <si>
    <t>HK2</t>
  </si>
  <si>
    <t>EFNA4</t>
  </si>
  <si>
    <t>MRPL12</t>
  </si>
  <si>
    <t>THOP1</t>
  </si>
  <si>
    <t>CAPZA1</t>
  </si>
  <si>
    <t>CRIP2</t>
  </si>
  <si>
    <t>NUP98</t>
  </si>
  <si>
    <t>BLVRA</t>
  </si>
  <si>
    <t>SLC25A1</t>
  </si>
  <si>
    <t>PLK1</t>
  </si>
  <si>
    <t>ARFIP2</t>
  </si>
  <si>
    <t>ARFIP1</t>
  </si>
  <si>
    <t>NUBP1</t>
  </si>
  <si>
    <t>ACLY</t>
  </si>
  <si>
    <t>CEBPG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</si>
  <si>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</si>
  <si>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</si>
  <si>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</si>
  <si>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</si>
  <si>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</si>
  <si>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</si>
  <si>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</si>
  <si>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</si>
  <si>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</si>
  <si>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HCCS</t>
  </si>
  <si>
    <t>MAPK12</t>
  </si>
  <si>
    <t>SLC5A3</t>
  </si>
  <si>
    <t>PTTG1IP</t>
  </si>
  <si>
    <t>POLR2K</t>
  </si>
  <si>
    <t>SMTN</t>
  </si>
  <si>
    <t>SLC16A1</t>
  </si>
  <si>
    <t>IST1</t>
  </si>
  <si>
    <t>SEC24C</t>
  </si>
  <si>
    <t>SUB1</t>
  </si>
  <si>
    <t>POLG</t>
  </si>
  <si>
    <t>RARS</t>
  </si>
  <si>
    <t>ATN1</t>
  </si>
  <si>
    <t>PMS2</t>
  </si>
  <si>
    <t>CACNB3</t>
  </si>
  <si>
    <t>YARS</t>
  </si>
  <si>
    <t>USP14</t>
  </si>
  <si>
    <t>PRKAG1</t>
  </si>
  <si>
    <t>HSPA2</t>
  </si>
  <si>
    <t>BCAT1</t>
  </si>
  <si>
    <t>ATP1B3</t>
  </si>
  <si>
    <t>FXYD2</t>
  </si>
  <si>
    <t>RAD23B</t>
  </si>
  <si>
    <t>AK2</t>
  </si>
  <si>
    <t>HMGCS2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</si>
  <si>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</si>
  <si>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</si>
  <si>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</si>
  <si>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</si>
  <si>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</si>
  <si>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</si>
  <si>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</si>
  <si>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</si>
  <si>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</si>
  <si>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HADHB</t>
  </si>
  <si>
    <t>MANF</t>
  </si>
  <si>
    <t>NCKAP1L</t>
  </si>
  <si>
    <t>ELL</t>
  </si>
  <si>
    <t>CASP7</t>
  </si>
  <si>
    <t>CASP9</t>
  </si>
  <si>
    <t>CASP6</t>
  </si>
  <si>
    <t>ADK</t>
  </si>
  <si>
    <t>CDKN2D</t>
  </si>
  <si>
    <t>CDH4</t>
  </si>
  <si>
    <t>SEC13</t>
  </si>
  <si>
    <t>PAX9</t>
  </si>
  <si>
    <t>GFER</t>
  </si>
  <si>
    <t>HNRNPH2</t>
  </si>
  <si>
    <t>OXCT1</t>
  </si>
  <si>
    <t>EIF3B</t>
  </si>
  <si>
    <t>FCGRT</t>
  </si>
  <si>
    <t>BID</t>
  </si>
  <si>
    <t>ATP5J2</t>
  </si>
  <si>
    <t>GFRA1</t>
  </si>
  <si>
    <t>NDUFV3</t>
  </si>
  <si>
    <t>RRP1</t>
  </si>
  <si>
    <t>MARS</t>
  </si>
  <si>
    <t>ITGA1</t>
  </si>
  <si>
    <t>ARPP19</t>
  </si>
  <si>
    <t>MAZ</t>
  </si>
  <si>
    <t>CMC4</t>
  </si>
  <si>
    <t>POLE2</t>
  </si>
  <si>
    <t>AP1S2</t>
  </si>
  <si>
    <t>MP68</t>
  </si>
  <si>
    <t>ATP5E</t>
  </si>
  <si>
    <t>ATP5I</t>
  </si>
  <si>
    <t>HDAC4</t>
  </si>
  <si>
    <t>EIF6</t>
  </si>
  <si>
    <t>NDUFA6</t>
  </si>
  <si>
    <t>ARL4C</t>
  </si>
  <si>
    <t>PEX3</t>
  </si>
  <si>
    <t>HSD17B7</t>
  </si>
  <si>
    <t>STX17</t>
  </si>
  <si>
    <t>RWDD2B</t>
  </si>
  <si>
    <t>UBASH3A</t>
  </si>
  <si>
    <t>C21orf59</t>
  </si>
  <si>
    <t>WDR4</t>
  </si>
  <si>
    <t>TMEM33</t>
  </si>
  <si>
    <t>SYNJ2BP</t>
  </si>
  <si>
    <t>CORO7</t>
  </si>
  <si>
    <t>NUP107</t>
  </si>
  <si>
    <t>SNX16</t>
  </si>
  <si>
    <t>EEFSEC</t>
  </si>
  <si>
    <t>SESN2</t>
  </si>
  <si>
    <t>MTPN</t>
  </si>
  <si>
    <t>YBEY</t>
  </si>
  <si>
    <t>HIST1H2BD</t>
  </si>
  <si>
    <t>RAB15</t>
  </si>
  <si>
    <t>DEFA3</t>
  </si>
  <si>
    <t>SEC61G</t>
  </si>
  <si>
    <t>TPI1</t>
  </si>
  <si>
    <t>EIF3E</t>
  </si>
  <si>
    <t>SEC61B</t>
  </si>
  <si>
    <t>PPP4C</t>
  </si>
  <si>
    <t>GABARAPL2</t>
  </si>
  <si>
    <t>ROMO1</t>
  </si>
  <si>
    <t>UBE2G2</t>
  </si>
  <si>
    <t>RAC3</t>
  </si>
  <si>
    <t>EIF4A1</t>
  </si>
  <si>
    <t>RPS20</t>
  </si>
  <si>
    <t>PRPS1</t>
  </si>
  <si>
    <t>SHFM1</t>
  </si>
  <si>
    <t>PSMA6</t>
  </si>
  <si>
    <t>S100A10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</si>
  <si>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</si>
  <si>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</si>
  <si>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</si>
  <si>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</si>
  <si>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</si>
  <si>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</si>
  <si>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</si>
  <si>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</si>
  <si>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</si>
  <si>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</si>
  <si>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</si>
  <si>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</si>
  <si>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</si>
  <si>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</si>
  <si>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</si>
  <si>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</si>
  <si>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</si>
  <si>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</si>
  <si>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</si>
  <si>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COPS2</t>
  </si>
  <si>
    <t>ARF3</t>
  </si>
  <si>
    <t>ABCE1</t>
  </si>
  <si>
    <t>RAP1B</t>
  </si>
  <si>
    <t>MAX</t>
  </si>
  <si>
    <t>RPS3A</t>
  </si>
  <si>
    <t>RPL26</t>
  </si>
  <si>
    <t>PSME3</t>
  </si>
  <si>
    <t>MAGOH</t>
  </si>
  <si>
    <t>RPL27</t>
  </si>
  <si>
    <t>PCBD1</t>
  </si>
  <si>
    <t>RPL37A</t>
  </si>
  <si>
    <t>RHOA</t>
  </si>
  <si>
    <t>NAA20</t>
  </si>
  <si>
    <t>HSPE1</t>
  </si>
  <si>
    <t>VBP1</t>
  </si>
  <si>
    <t>STXBP1</t>
  </si>
  <si>
    <t>B2M</t>
  </si>
  <si>
    <t>PKIA</t>
  </si>
  <si>
    <t>RPL37</t>
  </si>
  <si>
    <t>DCAF7</t>
  </si>
  <si>
    <t>WDR5</t>
  </si>
  <si>
    <t>AP1S1</t>
  </si>
  <si>
    <t>LMO4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</si>
  <si>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</si>
  <si>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</si>
  <si>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</si>
  <si>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</si>
  <si>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</si>
  <si>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</si>
  <si>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</si>
  <si>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</si>
  <si>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</si>
  <si>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</si>
  <si>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</si>
  <si>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</si>
  <si>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RPS15A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</si>
  <si>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</si>
  <si>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</si>
  <si>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</si>
  <si>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</si>
  <si>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</si>
  <si>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</si>
  <si>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</si>
  <si>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</si>
  <si>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</si>
  <si>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</si>
  <si>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</si>
  <si>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</si>
  <si>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</si>
  <si>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</si>
  <si>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</si>
  <si>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</si>
  <si>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</si>
  <si>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</si>
  <si>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</si>
  <si>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SELT</t>
  </si>
  <si>
    <t>TBPL1</t>
  </si>
  <si>
    <t>RPL7A</t>
  </si>
  <si>
    <t>POLR2G</t>
  </si>
  <si>
    <t>ETF1</t>
  </si>
  <si>
    <t>YPEL5</t>
  </si>
  <si>
    <t>RPS4X</t>
  </si>
  <si>
    <t>RPL23A</t>
  </si>
  <si>
    <t>RPS6</t>
  </si>
  <si>
    <t>HIST1H4A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</si>
  <si>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</si>
  <si>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</si>
  <si>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</si>
  <si>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</si>
  <si>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</si>
  <si>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</si>
  <si>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</si>
  <si>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</si>
  <si>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POLR2L</t>
  </si>
  <si>
    <t>RBX1</t>
  </si>
  <si>
    <t>GNB2</t>
  </si>
  <si>
    <t>RPL30</t>
  </si>
  <si>
    <t>RPL31</t>
  </si>
  <si>
    <t>RPL10A</t>
  </si>
  <si>
    <t>RPL11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</si>
  <si>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</si>
  <si>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</si>
  <si>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</si>
  <si>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</si>
  <si>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</si>
  <si>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</si>
  <si>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</si>
  <si>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</si>
  <si>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</si>
  <si>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YWHAZ</t>
  </si>
  <si>
    <t>UBE2B</t>
  </si>
  <si>
    <t>PPP2R2A</t>
  </si>
  <si>
    <t>DYNLL1</t>
  </si>
  <si>
    <t>DYNLT1</t>
  </si>
  <si>
    <t>RPL38</t>
  </si>
  <si>
    <t>GNG5</t>
  </si>
  <si>
    <t>RPS21</t>
  </si>
  <si>
    <t>EIF5A</t>
  </si>
  <si>
    <t>GNB2L1</t>
  </si>
  <si>
    <t>SUPT4H1</t>
  </si>
  <si>
    <t>PPP2CA</t>
  </si>
  <si>
    <t>YBX1</t>
  </si>
  <si>
    <t>UBE2L3</t>
  </si>
  <si>
    <t>EEF1A1</t>
  </si>
  <si>
    <t>ACTA1</t>
  </si>
  <si>
    <t>TUBA1B</t>
  </si>
  <si>
    <t>TUBB4B</t>
  </si>
  <si>
    <t>PAFAH1B2</t>
  </si>
  <si>
    <t>HBB</t>
  </si>
  <si>
    <t>HBA1</t>
  </si>
  <si>
    <t>NOP14</t>
  </si>
  <si>
    <t>IGBP1</t>
  </si>
  <si>
    <t>PSPH</t>
  </si>
  <si>
    <t>RBM6</t>
  </si>
  <si>
    <t>RPP38</t>
  </si>
  <si>
    <t>RPP30</t>
  </si>
  <si>
    <t>GTF2I</t>
  </si>
  <si>
    <t>PIP4K2B</t>
  </si>
  <si>
    <t>SRPK2</t>
  </si>
  <si>
    <t>CCT2</t>
  </si>
  <si>
    <t>SLC35A1</t>
  </si>
  <si>
    <t>RAE1</t>
  </si>
  <si>
    <t>BTN3A2</t>
  </si>
  <si>
    <t>GSTO1</t>
  </si>
  <si>
    <t>PRKDC</t>
  </si>
  <si>
    <t>ADAM17</t>
  </si>
  <si>
    <t>BLOC1S1</t>
  </si>
  <si>
    <t>ARG2</t>
  </si>
  <si>
    <t>NTHL1</t>
  </si>
  <si>
    <t>PRR3</t>
  </si>
  <si>
    <t>IFI35</t>
  </si>
  <si>
    <t>MT1X</t>
  </si>
  <si>
    <t>NUCB2</t>
  </si>
  <si>
    <t>DCD</t>
  </si>
  <si>
    <t>TMF1</t>
  </si>
  <si>
    <t>MRPS10</t>
  </si>
  <si>
    <t>MRPS35</t>
  </si>
  <si>
    <t>MRPS36</t>
  </si>
  <si>
    <t>MRPS11</t>
  </si>
  <si>
    <t>MRPS21</t>
  </si>
  <si>
    <t>MRPS6</t>
  </si>
  <si>
    <t>MRPS9</t>
  </si>
  <si>
    <t>SARNP</t>
  </si>
  <si>
    <t>LACTB</t>
  </si>
  <si>
    <t>COG7</t>
  </si>
  <si>
    <t>TXNL4A</t>
  </si>
  <si>
    <t>SMAD3</t>
  </si>
  <si>
    <t>ARF5</t>
  </si>
  <si>
    <t>ERH</t>
  </si>
  <si>
    <t>RHOG</t>
  </si>
  <si>
    <t>SERF2</t>
  </si>
  <si>
    <t>MXRA7</t>
  </si>
  <si>
    <t>FOXK1</t>
  </si>
  <si>
    <t>CCZ1</t>
  </si>
  <si>
    <t>VLDLR</t>
  </si>
  <si>
    <t>XIAP</t>
  </si>
  <si>
    <t>EFNB1</t>
  </si>
  <si>
    <t>FAM3A</t>
  </si>
  <si>
    <t>RBM10</t>
  </si>
  <si>
    <t>RBM3</t>
  </si>
  <si>
    <t>MPP1</t>
  </si>
  <si>
    <t>TFAM</t>
  </si>
  <si>
    <t>PITPNA</t>
  </si>
  <si>
    <t>MAT1A</t>
  </si>
  <si>
    <t>SLC25A3</t>
  </si>
  <si>
    <t>HDLBP</t>
  </si>
  <si>
    <t>GTF2B</t>
  </si>
  <si>
    <t>CDK6</t>
  </si>
  <si>
    <t>CDK5</t>
  </si>
  <si>
    <t>CDK16</t>
  </si>
  <si>
    <t>PURA</t>
  </si>
  <si>
    <t>CLTC</t>
  </si>
  <si>
    <t>NFKB2</t>
  </si>
  <si>
    <t>FKBP3</t>
  </si>
  <si>
    <t>REEP5</t>
  </si>
  <si>
    <t>HNRNPU</t>
  </si>
  <si>
    <t>U2AF1</t>
  </si>
  <si>
    <t>SPTBN1</t>
  </si>
  <si>
    <t>TIAL1</t>
  </si>
  <si>
    <t>SET</t>
  </si>
  <si>
    <t>CD83</t>
  </si>
  <si>
    <t>FOXK2</t>
  </si>
  <si>
    <t>RUNX1</t>
  </si>
  <si>
    <t>GALK2</t>
  </si>
  <si>
    <t>AMPD3</t>
  </si>
  <si>
    <t>AMPD2</t>
  </si>
  <si>
    <t>CTBS</t>
  </si>
  <si>
    <t>FABP5</t>
  </si>
  <si>
    <t>CAP1</t>
  </si>
  <si>
    <t>FLI1</t>
  </si>
  <si>
    <t>KRT76</t>
  </si>
  <si>
    <t>HMGCS1</t>
  </si>
  <si>
    <t>SLC7A5</t>
  </si>
  <si>
    <t>DR1</t>
  </si>
  <si>
    <t>TFAP4</t>
  </si>
  <si>
    <t>EXOSC10</t>
  </si>
  <si>
    <t>PFKP</t>
  </si>
  <si>
    <t>SATB1</t>
  </si>
  <si>
    <t>OCRL</t>
  </si>
  <si>
    <t>PLCB3</t>
  </si>
  <si>
    <t>AKAP17A</t>
  </si>
  <si>
    <t>NAAA</t>
  </si>
  <si>
    <t>DHODH</t>
  </si>
  <si>
    <t>CENPE</t>
  </si>
  <si>
    <t>KIF23</t>
  </si>
  <si>
    <t>ALDH6A1</t>
  </si>
  <si>
    <t>BDH1</t>
  </si>
  <si>
    <t>SEMG2</t>
  </si>
  <si>
    <t>APBA1</t>
  </si>
  <si>
    <t>SP4</t>
  </si>
  <si>
    <t>SP3</t>
  </si>
  <si>
    <t>ID3</t>
  </si>
  <si>
    <t>RPL18A</t>
  </si>
  <si>
    <t>MAP2K1</t>
  </si>
  <si>
    <t>FKBP4</t>
  </si>
  <si>
    <t>PLOD1</t>
  </si>
  <si>
    <t>NUCB1</t>
  </si>
  <si>
    <t>RASSF7</t>
  </si>
  <si>
    <t>TOP2B</t>
  </si>
  <si>
    <t>GSTM4</t>
  </si>
  <si>
    <t>MLLT1</t>
  </si>
  <si>
    <t>MLL</t>
  </si>
  <si>
    <t>PLAUR</t>
  </si>
  <si>
    <t>TAP2</t>
  </si>
  <si>
    <t>GBE1</t>
  </si>
  <si>
    <t>ATP7A</t>
  </si>
  <si>
    <t>NOTCH2</t>
  </si>
  <si>
    <t>PRKCQ</t>
  </si>
  <si>
    <t>GLO1</t>
  </si>
  <si>
    <t>YWHAH</t>
  </si>
  <si>
    <t>PLP2</t>
  </si>
  <si>
    <t>CSTF1</t>
  </si>
  <si>
    <t>UBE3A</t>
  </si>
  <si>
    <t>DNM1</t>
  </si>
  <si>
    <t>SRSF11</t>
  </si>
  <si>
    <t>EEF1A2</t>
  </si>
  <si>
    <t>PRKCD</t>
  </si>
  <si>
    <t>FPGS</t>
  </si>
  <si>
    <t>CTDSPL2</t>
  </si>
  <si>
    <t>PTPN11</t>
  </si>
  <si>
    <t>KDSR</t>
  </si>
  <si>
    <t>PPAT</t>
  </si>
  <si>
    <t>GFPT1</t>
  </si>
  <si>
    <t>EXOSC9</t>
  </si>
  <si>
    <t>PSME1</t>
  </si>
  <si>
    <t>RBPJ</t>
  </si>
  <si>
    <t>APLP2</t>
  </si>
  <si>
    <t>GABPA</t>
  </si>
  <si>
    <t>GABPB1</t>
  </si>
  <si>
    <t>RING1</t>
  </si>
  <si>
    <t>RAD51</t>
  </si>
  <si>
    <t>FMR1</t>
  </si>
  <si>
    <t>PRDX1</t>
  </si>
  <si>
    <t>SOX4</t>
  </si>
  <si>
    <t>C1QBP</t>
  </si>
  <si>
    <t>CKAP4</t>
  </si>
  <si>
    <t>CD69</t>
  </si>
  <si>
    <t>KHDRBS1</t>
  </si>
  <si>
    <t>MCL1</t>
  </si>
  <si>
    <t>KLC1</t>
  </si>
  <si>
    <t>ARHGAP1</t>
  </si>
  <si>
    <t>SRSF4</t>
  </si>
  <si>
    <t>PPP3CA</t>
  </si>
  <si>
    <t>DHX9</t>
  </si>
  <si>
    <t>CRYZ</t>
  </si>
  <si>
    <t>SLC20A2</t>
  </si>
  <si>
    <t>GOLGA3</t>
  </si>
  <si>
    <t>GOLGA2</t>
  </si>
  <si>
    <t>LGALS3BP</t>
  </si>
  <si>
    <t>EHHADH</t>
  </si>
  <si>
    <t>PPID</t>
  </si>
  <si>
    <t>ITK</t>
  </si>
  <si>
    <t>SSRP1</t>
  </si>
  <si>
    <t>CAMSAP2</t>
  </si>
  <si>
    <t>SLFN5</t>
  </si>
  <si>
    <t>MZT1</t>
  </si>
  <si>
    <t>VAC14</t>
  </si>
  <si>
    <t>KIAA0100</t>
  </si>
  <si>
    <t>NSUN2</t>
  </si>
  <si>
    <t>RBBP4</t>
  </si>
  <si>
    <t>NCBP1</t>
  </si>
  <si>
    <t>MGAT5</t>
  </si>
  <si>
    <t>EP300</t>
  </si>
  <si>
    <t>AHNAK</t>
  </si>
  <si>
    <t>SLC10A7</t>
  </si>
  <si>
    <t>ELP6</t>
  </si>
  <si>
    <t>APOBR</t>
  </si>
  <si>
    <t>HSPA14</t>
  </si>
  <si>
    <t>SCRN3</t>
  </si>
  <si>
    <t>LAMTOR4</t>
  </si>
  <si>
    <t>MGAT2</t>
  </si>
  <si>
    <t>GALNT2</t>
  </si>
  <si>
    <t>AP1B1</t>
  </si>
  <si>
    <t>CPSF1</t>
  </si>
  <si>
    <t>BST2</t>
  </si>
  <si>
    <t>PMPCA</t>
  </si>
  <si>
    <t>SCRN1</t>
  </si>
  <si>
    <t>KIAA0196</t>
  </si>
  <si>
    <t>NUP160</t>
  </si>
  <si>
    <t>SCAP</t>
  </si>
  <si>
    <t>TBL3</t>
  </si>
  <si>
    <t>GTF3C1</t>
  </si>
  <si>
    <t>TWF1</t>
  </si>
  <si>
    <t>ASPH</t>
  </si>
  <si>
    <t>AKAP13</t>
  </si>
  <si>
    <t>SMARCB1</t>
  </si>
  <si>
    <t>BPTF</t>
  </si>
  <si>
    <t>CDC20</t>
  </si>
  <si>
    <t>STX4</t>
  </si>
  <si>
    <t>SFSWAP</t>
  </si>
  <si>
    <t>SF3A3</t>
  </si>
  <si>
    <t>DPYD</t>
  </si>
  <si>
    <t>TP53BP1</t>
  </si>
  <si>
    <t>TMEM115</t>
  </si>
  <si>
    <t>IFRD2</t>
  </si>
  <si>
    <t>TRIM26</t>
  </si>
  <si>
    <t>AIMP1</t>
  </si>
  <si>
    <t>ILF2</t>
  </si>
  <si>
    <t>ILF3</t>
  </si>
  <si>
    <t>LMAN2</t>
  </si>
  <si>
    <t>LRMP</t>
  </si>
  <si>
    <t>TRAF2</t>
  </si>
  <si>
    <t>ANK3</t>
  </si>
  <si>
    <t>DLG1</t>
  </si>
  <si>
    <t>TAF10</t>
  </si>
  <si>
    <t>PPP1R8</t>
  </si>
  <si>
    <t>PTP4A2</t>
  </si>
  <si>
    <t>ABR</t>
  </si>
  <si>
    <t>BNIP1</t>
  </si>
  <si>
    <t>NFX1</t>
  </si>
  <si>
    <t>CSTF3</t>
  </si>
  <si>
    <t>ECH1</t>
  </si>
  <si>
    <t>MLLT11</t>
  </si>
  <si>
    <t>ARHGAP5</t>
  </si>
  <si>
    <t>STRN3</t>
  </si>
  <si>
    <t>CDC16</t>
  </si>
  <si>
    <t>STK4</t>
  </si>
  <si>
    <t>FLII</t>
  </si>
  <si>
    <t>TRIM32</t>
  </si>
  <si>
    <t>COASY</t>
  </si>
  <si>
    <t>ACACA</t>
  </si>
  <si>
    <t>LCP2</t>
  </si>
  <si>
    <t>USP4</t>
  </si>
  <si>
    <t>CHAF1A</t>
  </si>
  <si>
    <t>CHAF1B</t>
  </si>
  <si>
    <t>IK</t>
  </si>
  <si>
    <t>PRKAA1</t>
  </si>
  <si>
    <t>PPFIA1</t>
  </si>
  <si>
    <t>TARDBP</t>
  </si>
  <si>
    <t>HNRNPA0</t>
  </si>
  <si>
    <t>PAK1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</si>
  <si>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</si>
  <si>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</si>
  <si>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</si>
  <si>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</si>
  <si>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</si>
  <si>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</si>
  <si>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</si>
  <si>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</si>
  <si>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</si>
  <si>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PSMD2</t>
  </si>
  <si>
    <t>ERCC8</t>
  </si>
  <si>
    <t>DNAJC3</t>
  </si>
  <si>
    <t>SELENBP1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</si>
  <si>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</si>
  <si>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</si>
  <si>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</si>
  <si>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</si>
  <si>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</si>
  <si>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</si>
  <si>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</si>
  <si>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</si>
  <si>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KCNAB2</t>
  </si>
  <si>
    <t>PTK7</t>
  </si>
  <si>
    <t>SKP2</t>
  </si>
  <si>
    <t>PABPC4</t>
  </si>
  <si>
    <t>IFIT5</t>
  </si>
  <si>
    <t>MTA1</t>
  </si>
  <si>
    <t>PTPRS</t>
  </si>
  <si>
    <t>EIF3I</t>
  </si>
  <si>
    <t>PPIL2</t>
  </si>
  <si>
    <t>PPP2R5C</t>
  </si>
  <si>
    <t>PDCL</t>
  </si>
  <si>
    <t>TARBP1</t>
  </si>
  <si>
    <t>MRPL49</t>
  </si>
  <si>
    <t>DYNC1I2</t>
  </si>
  <si>
    <t>ORC2</t>
  </si>
  <si>
    <t>ILK</t>
  </si>
  <si>
    <t>NNT</t>
  </si>
  <si>
    <t>XRCC4</t>
  </si>
  <si>
    <t>PPIG</t>
  </si>
  <si>
    <t>TCOF1</t>
  </si>
  <si>
    <t>UNC119</t>
  </si>
  <si>
    <t>SLC39A6</t>
  </si>
  <si>
    <t>SF3B2</t>
  </si>
  <si>
    <t>OS9</t>
  </si>
  <si>
    <t>GOLGA4</t>
  </si>
  <si>
    <t>PDAP1</t>
  </si>
  <si>
    <t>TMED1</t>
  </si>
  <si>
    <t>FKBP5</t>
  </si>
  <si>
    <t>ROCK1</t>
  </si>
  <si>
    <t>NFATC2</t>
  </si>
  <si>
    <t>TOP3A</t>
  </si>
  <si>
    <t>PICALM</t>
  </si>
  <si>
    <t>MTM1</t>
  </si>
  <si>
    <t>SQSTM1</t>
  </si>
  <si>
    <t>MED21</t>
  </si>
  <si>
    <t>MTX1</t>
  </si>
  <si>
    <t>TUBB3</t>
  </si>
  <si>
    <t>PIN1</t>
  </si>
  <si>
    <t>ATR</t>
  </si>
  <si>
    <t>EIF4EBP1</t>
  </si>
  <si>
    <t>EIF4EBP2</t>
  </si>
  <si>
    <t>RIPK1</t>
  </si>
  <si>
    <t>HDAC1</t>
  </si>
  <si>
    <t>NAE1</t>
  </si>
  <si>
    <t>ITPK1</t>
  </si>
  <si>
    <t>SNW1</t>
  </si>
  <si>
    <t>DGKZ</t>
  </si>
  <si>
    <t>IQGAP2</t>
  </si>
  <si>
    <t>STIM1</t>
  </si>
  <si>
    <t>GRAP</t>
  </si>
  <si>
    <t>SNX1</t>
  </si>
  <si>
    <t>PEX6</t>
  </si>
  <si>
    <t>PWP1</t>
  </si>
  <si>
    <t>MTMR2</t>
  </si>
  <si>
    <t>MTMR3</t>
  </si>
  <si>
    <t>CUL1</t>
  </si>
  <si>
    <t>CUL2</t>
  </si>
  <si>
    <t>CUL3</t>
  </si>
  <si>
    <t>CUL4A</t>
  </si>
  <si>
    <t>TP53BP2</t>
  </si>
  <si>
    <t>DYRK1A</t>
  </si>
  <si>
    <t>FHL1</t>
  </si>
  <si>
    <t>FHL3</t>
  </si>
  <si>
    <t>ALKBH1</t>
  </si>
  <si>
    <t>MOGS</t>
  </si>
  <si>
    <t>ALCAM</t>
  </si>
  <si>
    <t>THOC5</t>
  </si>
  <si>
    <t>ARFRP1</t>
  </si>
  <si>
    <t>SPTAN1</t>
  </si>
  <si>
    <t>AUH</t>
  </si>
  <si>
    <t>DDX39B</t>
  </si>
  <si>
    <t>BLMH</t>
  </si>
  <si>
    <t>EXOSC2</t>
  </si>
  <si>
    <t>SNTB1</t>
  </si>
  <si>
    <t>TUBB2A</t>
  </si>
  <si>
    <t>BYSL</t>
  </si>
  <si>
    <t>RAPGEF1</t>
  </si>
  <si>
    <t>IDI1</t>
  </si>
  <si>
    <t>CBFB</t>
  </si>
  <si>
    <t>NFYC</t>
  </si>
  <si>
    <t>CDK13</t>
  </si>
  <si>
    <t>IL16</t>
  </si>
  <si>
    <t>CKAP5</t>
  </si>
  <si>
    <t>CIRBP</t>
  </si>
  <si>
    <t>COTL1</t>
  </si>
  <si>
    <t>COX17</t>
  </si>
  <si>
    <t>RAB33A</t>
  </si>
  <si>
    <t>HNRNPD</t>
  </si>
  <si>
    <t>SCARB2</t>
  </si>
  <si>
    <t>LRP8</t>
  </si>
  <si>
    <t>DPYS</t>
  </si>
  <si>
    <t>DAG1</t>
  </si>
  <si>
    <t>DSG2</t>
  </si>
  <si>
    <t>VGLL4</t>
  </si>
  <si>
    <t>BOP1</t>
  </si>
  <si>
    <t>UBE4A</t>
  </si>
  <si>
    <t>KEAP1</t>
  </si>
  <si>
    <t>URB2</t>
  </si>
  <si>
    <t>DHX34</t>
  </si>
  <si>
    <t>MORC3</t>
  </si>
  <si>
    <t>EIF3A</t>
  </si>
  <si>
    <t>FAM53B</t>
  </si>
  <si>
    <t>UBAP2L</t>
  </si>
  <si>
    <t>SCRIB</t>
  </si>
  <si>
    <t>GIT2</t>
  </si>
  <si>
    <t>MLEC</t>
  </si>
  <si>
    <t>TTLL12</t>
  </si>
  <si>
    <t>POLA2</t>
  </si>
  <si>
    <t>DOC2A</t>
  </si>
  <si>
    <t>TFDP2</t>
  </si>
  <si>
    <t>DYNC1H1</t>
  </si>
  <si>
    <t>EIF2B1</t>
  </si>
  <si>
    <t>EIF4A2</t>
  </si>
  <si>
    <t>TCEB3</t>
  </si>
  <si>
    <t>SELPLG</t>
  </si>
  <si>
    <t>CTTN</t>
  </si>
  <si>
    <t>ENDOG</t>
  </si>
  <si>
    <t>FLOT2</t>
  </si>
  <si>
    <t>RCN2</t>
  </si>
  <si>
    <t>TRIM25</t>
  </si>
  <si>
    <t>PTK2B</t>
  </si>
  <si>
    <t>FLNC</t>
  </si>
  <si>
    <t>FKBP8</t>
  </si>
  <si>
    <t>FAM50A</t>
  </si>
  <si>
    <t>FRG1</t>
  </si>
  <si>
    <t>FZD2</t>
  </si>
  <si>
    <t>GNA13</t>
  </si>
  <si>
    <t>GAMT</t>
  </si>
  <si>
    <t>GALE</t>
  </si>
  <si>
    <t>CAPRIN1</t>
  </si>
  <si>
    <t>BECN1</t>
  </si>
  <si>
    <t>HES1</t>
  </si>
  <si>
    <t>RBM39</t>
  </si>
  <si>
    <t>FAT1</t>
  </si>
  <si>
    <t>HABP2</t>
  </si>
  <si>
    <t>HLTF</t>
  </si>
  <si>
    <t>SQLE</t>
  </si>
  <si>
    <t>PDIA5</t>
  </si>
  <si>
    <t>PRPSAP1</t>
  </si>
  <si>
    <t>DHX8</t>
  </si>
  <si>
    <t>MCM6</t>
  </si>
  <si>
    <t>RASA3</t>
  </si>
  <si>
    <t>PLS1</t>
  </si>
  <si>
    <t>IRF3</t>
  </si>
  <si>
    <t>LAGE3</t>
  </si>
  <si>
    <t>TRIP12</t>
  </si>
  <si>
    <t>PUM1</t>
  </si>
  <si>
    <t>MDC1</t>
  </si>
  <si>
    <t>CLINT1</t>
  </si>
  <si>
    <t>MELK</t>
  </si>
  <si>
    <t>SMC1A</t>
  </si>
  <si>
    <t>RRP1B</t>
  </si>
  <si>
    <t>NCOA6</t>
  </si>
  <si>
    <t>GSE1</t>
  </si>
  <si>
    <t>PDCD11</t>
  </si>
  <si>
    <t>GINS1</t>
  </si>
  <si>
    <t>BMS1</t>
  </si>
  <si>
    <t>USP10</t>
  </si>
  <si>
    <t>MESDC2</t>
  </si>
  <si>
    <t>GANAB</t>
  </si>
  <si>
    <t>RFTN1</t>
  </si>
  <si>
    <t>LBR</t>
  </si>
  <si>
    <t>COG2</t>
  </si>
  <si>
    <t>PTPRCAP</t>
  </si>
  <si>
    <t>GOLGB1</t>
  </si>
  <si>
    <t>CASP8</t>
  </si>
  <si>
    <t>NAA30</t>
  </si>
  <si>
    <t>KIF22</t>
  </si>
  <si>
    <t>MEF2D</t>
  </si>
  <si>
    <t>LASP1</t>
  </si>
  <si>
    <t>CRYM</t>
  </si>
  <si>
    <t>RAB39A</t>
  </si>
  <si>
    <t>ZNF638</t>
  </si>
  <si>
    <t>KPNB1</t>
  </si>
  <si>
    <t>NOLC1</t>
  </si>
  <si>
    <t>NUMA1</t>
  </si>
  <si>
    <t>ODF1</t>
  </si>
  <si>
    <t>PSME4</t>
  </si>
  <si>
    <t>SLMAP</t>
  </si>
  <si>
    <t>GAPVD1</t>
  </si>
  <si>
    <t>NAA25</t>
  </si>
  <si>
    <t>NCAPH</t>
  </si>
  <si>
    <t>KIAA0101</t>
  </si>
  <si>
    <t>EMC2</t>
  </si>
  <si>
    <t>WTAP</t>
  </si>
  <si>
    <t>PSMD6</t>
  </si>
  <si>
    <t>HERPUD1</t>
  </si>
  <si>
    <t>MAD2L1BP</t>
  </si>
  <si>
    <t>MORF4L2</t>
  </si>
  <si>
    <t>FAM175B</t>
  </si>
  <si>
    <t>SEPT2</t>
  </si>
  <si>
    <t>SART3</t>
  </si>
  <si>
    <t>NCAPD2</t>
  </si>
  <si>
    <t>SUZ12</t>
  </si>
  <si>
    <t>EXOSC7</t>
  </si>
  <si>
    <t>ACAP1</t>
  </si>
  <si>
    <t>EFTUD2</t>
  </si>
  <si>
    <t>LARS2</t>
  </si>
  <si>
    <t>R3HDM1</t>
  </si>
  <si>
    <t>SNX17</t>
  </si>
  <si>
    <t>RAB3GAP1</t>
  </si>
  <si>
    <t>SLC39A14</t>
  </si>
  <si>
    <t>KARS</t>
  </si>
  <si>
    <t>RRS1</t>
  </si>
  <si>
    <t>ARHGEF6</t>
  </si>
  <si>
    <t>EIF4H</t>
  </si>
  <si>
    <t>ACAP2</t>
  </si>
  <si>
    <t>KIF14</t>
  </si>
  <si>
    <t>BRD3</t>
  </si>
  <si>
    <t>WDR43</t>
  </si>
  <si>
    <t>ACOX1</t>
  </si>
  <si>
    <t>ZNF146</t>
  </si>
  <si>
    <t>EEA1</t>
  </si>
  <si>
    <t>PAFAH1B3</t>
  </si>
  <si>
    <t>PDK1</t>
  </si>
  <si>
    <t>PDK2</t>
  </si>
  <si>
    <t>PDK3</t>
  </si>
  <si>
    <t>EBP</t>
  </si>
  <si>
    <t>PMVK</t>
  </si>
  <si>
    <t>PLEC</t>
  </si>
  <si>
    <t>PCM1</t>
  </si>
  <si>
    <t>NOMO1</t>
  </si>
  <si>
    <t>TCEAL1</t>
  </si>
  <si>
    <t>PPP2R5A</t>
  </si>
  <si>
    <t>PPP2R5B</t>
  </si>
  <si>
    <t>PPA1</t>
  </si>
  <si>
    <t>STK38</t>
  </si>
  <si>
    <t>PVRL1</t>
  </si>
  <si>
    <t>NONO</t>
  </si>
  <si>
    <t>PPP2R4</t>
  </si>
  <si>
    <t>PWP2</t>
  </si>
  <si>
    <t>QPRT</t>
  </si>
  <si>
    <t>RABEP1</t>
  </si>
  <si>
    <t>RASA2</t>
  </si>
  <si>
    <t>RAB35</t>
  </si>
  <si>
    <t>RBBP5</t>
  </si>
  <si>
    <t>RCN1</t>
  </si>
  <si>
    <t>RALBP1</t>
  </si>
  <si>
    <t>LLGL1</t>
  </si>
  <si>
    <t>LRRC41</t>
  </si>
  <si>
    <t>TMED2</t>
  </si>
  <si>
    <t>PCBP1</t>
  </si>
  <si>
    <t>PCBP2</t>
  </si>
  <si>
    <t>TCEB2</t>
  </si>
  <si>
    <t>RHEB</t>
  </si>
  <si>
    <t>UBE3C</t>
  </si>
  <si>
    <t>TOMM20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</si>
  <si>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</si>
  <si>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</si>
  <si>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</si>
  <si>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</si>
  <si>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</si>
  <si>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</si>
  <si>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</si>
  <si>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</si>
  <si>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SEC23B</t>
  </si>
  <si>
    <t>CYTH1</t>
  </si>
  <si>
    <t>SF3A1</t>
  </si>
  <si>
    <t>SKIV2L</t>
  </si>
  <si>
    <t>SPA17</t>
  </si>
  <si>
    <t>SURF1</t>
  </si>
  <si>
    <t>SURF2</t>
  </si>
  <si>
    <t>TAF5</t>
  </si>
  <si>
    <t>TAF11</t>
  </si>
  <si>
    <t>TAF7</t>
  </si>
  <si>
    <t>TERF2</t>
  </si>
  <si>
    <t>MAPRE2</t>
  </si>
  <si>
    <t>TCEA2</t>
  </si>
  <si>
    <t>NCOA2</t>
  </si>
  <si>
    <t>SLC9A3R2</t>
  </si>
  <si>
    <t>TRADD</t>
  </si>
  <si>
    <t>TRIP10</t>
  </si>
  <si>
    <t>TRIP11</t>
  </si>
  <si>
    <t>TRIP13</t>
  </si>
  <si>
    <t>MED1</t>
  </si>
  <si>
    <t>ZNHIT3</t>
  </si>
  <si>
    <t>TRIP4</t>
  </si>
  <si>
    <t>JMJD1C</t>
  </si>
  <si>
    <t>MAPRE1</t>
  </si>
  <si>
    <t>TSC22D1</t>
  </si>
  <si>
    <t>ELAVL1</t>
  </si>
  <si>
    <t>NSDHL</t>
  </si>
  <si>
    <t>GPR68</t>
  </si>
  <si>
    <t>MYLK</t>
  </si>
  <si>
    <t>TAB1</t>
  </si>
  <si>
    <t>HERC1</t>
  </si>
  <si>
    <t>SLC1A5</t>
  </si>
  <si>
    <t>MAPK11</t>
  </si>
  <si>
    <t>RAB30</t>
  </si>
  <si>
    <t>MLF2</t>
  </si>
  <si>
    <t>MPPED2</t>
  </si>
  <si>
    <t>TOMM34</t>
  </si>
  <si>
    <t>SMAD2</t>
  </si>
  <si>
    <t>MSMO1</t>
  </si>
  <si>
    <t>TBCC</t>
  </si>
  <si>
    <t>UBE2V2</t>
  </si>
  <si>
    <t>STK11</t>
  </si>
  <si>
    <t>STXBP2</t>
  </si>
  <si>
    <t>VAMP3</t>
  </si>
  <si>
    <t>USF2</t>
  </si>
  <si>
    <t>ATP6AP1</t>
  </si>
  <si>
    <t>VPS72</t>
  </si>
  <si>
    <t>RAB11B</t>
  </si>
  <si>
    <t>EZH2</t>
  </si>
  <si>
    <t>ZYX</t>
  </si>
  <si>
    <t>ZNF124</t>
  </si>
  <si>
    <t>ETFDH</t>
  </si>
  <si>
    <t>SNCB</t>
  </si>
  <si>
    <t>ADRM1</t>
  </si>
  <si>
    <t>CCDC6</t>
  </si>
  <si>
    <t>UAP1</t>
  </si>
  <si>
    <t>E2F4</t>
  </si>
  <si>
    <t>PSMD5</t>
  </si>
  <si>
    <t>PKN1</t>
  </si>
  <si>
    <t>PKN2</t>
  </si>
  <si>
    <t>TAF12</t>
  </si>
  <si>
    <t>CRY1</t>
  </si>
  <si>
    <t>DDB1</t>
  </si>
  <si>
    <t>MAPK14</t>
  </si>
  <si>
    <t>DPYSL2</t>
  </si>
  <si>
    <t>CAMK4</t>
  </si>
  <si>
    <t>RBBP7</t>
  </si>
  <si>
    <t>ZNF74</t>
  </si>
  <si>
    <t>TAF9</t>
  </si>
  <si>
    <t>OCLN</t>
  </si>
  <si>
    <t>MEA1</t>
  </si>
  <si>
    <t>DBN1</t>
  </si>
  <si>
    <t>MAPKAPK3</t>
  </si>
  <si>
    <t>NRF1</t>
  </si>
  <si>
    <t>FSCN1</t>
  </si>
  <si>
    <t>IFI16</t>
  </si>
  <si>
    <t>ZSCAN26</t>
  </si>
  <si>
    <t>MAN2A1</t>
  </si>
  <si>
    <t>NDUFA5</t>
  </si>
  <si>
    <t>CLPP</t>
  </si>
  <si>
    <t>TST</t>
  </si>
  <si>
    <t>UBE2S</t>
  </si>
  <si>
    <t>HAGH</t>
  </si>
  <si>
    <t>HIST2H2BE</t>
  </si>
  <si>
    <t>NDUFA9</t>
  </si>
  <si>
    <t>PCK2</t>
  </si>
  <si>
    <t>DGUOK</t>
  </si>
  <si>
    <t>ATP6V1F</t>
  </si>
  <si>
    <t>IMMT</t>
  </si>
  <si>
    <t>TATDN3</t>
  </si>
  <si>
    <t>FAM98C</t>
  </si>
  <si>
    <t>REL</t>
  </si>
  <si>
    <t>KNOP1</t>
  </si>
  <si>
    <t>HNRNPUL2</t>
  </si>
  <si>
    <t>CSPP1</t>
  </si>
  <si>
    <t>FAM110C</t>
  </si>
  <si>
    <t>INF2</t>
  </si>
  <si>
    <t>PDS5A</t>
  </si>
  <si>
    <t>CLEC16A</t>
  </si>
  <si>
    <t>MTHFSD</t>
  </si>
  <si>
    <t>AAK1</t>
  </si>
  <si>
    <t>KIAA1033</t>
  </si>
  <si>
    <t>ERCC6L</t>
  </si>
  <si>
    <t>TSR1</t>
  </si>
  <si>
    <t>VMAC</t>
  </si>
  <si>
    <t>TYSND1</t>
  </si>
  <si>
    <t>ALG11</t>
  </si>
  <si>
    <t>QRICH1</t>
  </si>
  <si>
    <t>RELA</t>
  </si>
  <si>
    <t>SMU1</t>
  </si>
  <si>
    <t>CWF19L2</t>
  </si>
  <si>
    <t>AP5B1</t>
  </si>
  <si>
    <t>STX1B</t>
  </si>
  <si>
    <t>LRRFIP1</t>
  </si>
  <si>
    <t>POLD3</t>
  </si>
  <si>
    <t>LEPRE1</t>
  </si>
  <si>
    <t>TRMT5</t>
  </si>
  <si>
    <t>NME1-NME2</t>
  </si>
  <si>
    <t>TWISTNB</t>
  </si>
  <si>
    <t>GFOD2</t>
  </si>
  <si>
    <t>EDRF1</t>
  </si>
  <si>
    <t>MAP7D1</t>
  </si>
  <si>
    <t>UAP1L1</t>
  </si>
  <si>
    <t>C2orf76</t>
  </si>
  <si>
    <t>ALKBH6</t>
  </si>
  <si>
    <t>ADPRM</t>
  </si>
  <si>
    <t>DAK</t>
  </si>
  <si>
    <t>LSM12</t>
  </si>
  <si>
    <t>TBC1D25</t>
  </si>
  <si>
    <t>PUS10</t>
  </si>
  <si>
    <t>HSDL1</t>
  </si>
  <si>
    <t>ARL13B</t>
  </si>
  <si>
    <t>GNPTAB</t>
  </si>
  <si>
    <t>CCDC88A</t>
  </si>
  <si>
    <t>RABL6</t>
  </si>
  <si>
    <t>VMA21</t>
  </si>
  <si>
    <t>TUBB8</t>
  </si>
  <si>
    <t>FAM174B</t>
  </si>
  <si>
    <t>TIMM50</t>
  </si>
  <si>
    <t>USP38</t>
  </si>
  <si>
    <t>LGALSL</t>
  </si>
  <si>
    <t>C5orf22</t>
  </si>
  <si>
    <t>COX19</t>
  </si>
  <si>
    <t>VPS26B</t>
  </si>
  <si>
    <t>CCSMST1</t>
  </si>
  <si>
    <t>LARP7</t>
  </si>
  <si>
    <t>NADKD1</t>
  </si>
  <si>
    <t>COL14A1</t>
  </si>
  <si>
    <t>GXYLT1</t>
  </si>
  <si>
    <t>ACSF3</t>
  </si>
  <si>
    <t>PREPL</t>
  </si>
  <si>
    <t>TBC1D10B</t>
  </si>
  <si>
    <t>ANO6</t>
  </si>
  <si>
    <t>PLCH1</t>
  </si>
  <si>
    <t>DNAL1</t>
  </si>
  <si>
    <t>ARID4B</t>
  </si>
  <si>
    <t>NME4</t>
  </si>
  <si>
    <t>GRIPAP1</t>
  </si>
  <si>
    <t>BCL7A</t>
  </si>
  <si>
    <t>DECR2</t>
  </si>
  <si>
    <t>TMEM259</t>
  </si>
  <si>
    <t>PAN2</t>
  </si>
  <si>
    <t>C4orf46</t>
  </si>
  <si>
    <t>LIN52</t>
  </si>
  <si>
    <t>FAM98B</t>
  </si>
  <si>
    <t>PDCD4</t>
  </si>
  <si>
    <t>CRTC2</t>
  </si>
  <si>
    <t>CEP55</t>
  </si>
  <si>
    <t>C17orf85</t>
  </si>
  <si>
    <t>TP53I3</t>
  </si>
  <si>
    <t>HSD17B12</t>
  </si>
  <si>
    <t>GLE1</t>
  </si>
  <si>
    <t>AGK</t>
  </si>
  <si>
    <t>SETMAR</t>
  </si>
  <si>
    <t>AKIRIN2</t>
  </si>
  <si>
    <t>LACTB2</t>
  </si>
  <si>
    <t>CDCA8</t>
  </si>
  <si>
    <t>ARHGAP15</t>
  </si>
  <si>
    <t>BOLA3</t>
  </si>
  <si>
    <t>HS1BP3</t>
  </si>
  <si>
    <t>CYBRD1</t>
  </si>
  <si>
    <t>SGOL2</t>
  </si>
  <si>
    <t>ACTBL2</t>
  </si>
  <si>
    <t>MPV17L2</t>
  </si>
  <si>
    <t>OCIAD2</t>
  </si>
  <si>
    <t>SFT2D3</t>
  </si>
  <si>
    <t>KHDC3L</t>
  </si>
  <si>
    <t>PAN3</t>
  </si>
  <si>
    <t>HSP90AB2P</t>
  </si>
  <si>
    <t>HSP90AA4P</t>
  </si>
  <si>
    <t>RPL39P5</t>
  </si>
  <si>
    <t>TMEM97</t>
  </si>
  <si>
    <t>OXLD1</t>
  </si>
  <si>
    <t>C19orf54</t>
  </si>
  <si>
    <t>ZNF326</t>
  </si>
  <si>
    <t>ANKRD20A8P</t>
  </si>
  <si>
    <t>ZC3H12A</t>
  </si>
  <si>
    <t>PDZD11</t>
  </si>
  <si>
    <t>CMPK2</t>
  </si>
  <si>
    <t>DNAJC21</t>
  </si>
  <si>
    <t>SGOL1</t>
  </si>
  <si>
    <t>ESCO1</t>
  </si>
  <si>
    <t>HERC4</t>
  </si>
  <si>
    <t>UTS2</t>
  </si>
  <si>
    <t>PKIG</t>
  </si>
  <si>
    <t>CXorf40B</t>
  </si>
  <si>
    <t>TMEM67</t>
  </si>
  <si>
    <t>RABL3</t>
  </si>
  <si>
    <t>COQ5</t>
  </si>
  <si>
    <t>TUBB</t>
  </si>
  <si>
    <t>NOMO2</t>
  </si>
  <si>
    <t>C3orf38</t>
  </si>
  <si>
    <t>METTL10</t>
  </si>
  <si>
    <t>RHOC</t>
  </si>
  <si>
    <t>MIA3</t>
  </si>
  <si>
    <t>SRSF10</t>
  </si>
  <si>
    <t>PITRM1</t>
  </si>
  <si>
    <t>NHLRC3</t>
  </si>
  <si>
    <t>PSMG4</t>
  </si>
  <si>
    <t>WDR44</t>
  </si>
  <si>
    <t>HMGN5</t>
  </si>
  <si>
    <t>FGD3</t>
  </si>
  <si>
    <t>TJAP1</t>
  </si>
  <si>
    <t>RRP12</t>
  </si>
  <si>
    <t>COA6</t>
  </si>
  <si>
    <t>GMEB2</t>
  </si>
  <si>
    <t>AARS2</t>
  </si>
  <si>
    <t>TOR2A</t>
  </si>
  <si>
    <t>PAGE5</t>
  </si>
  <si>
    <t>TEX30</t>
  </si>
  <si>
    <t>DLG3</t>
  </si>
  <si>
    <t>PCID2</t>
  </si>
  <si>
    <t>PTGR1</t>
  </si>
  <si>
    <t>HABP4</t>
  </si>
  <si>
    <t>ELMO2</t>
  </si>
  <si>
    <t>SLC35C2</t>
  </si>
  <si>
    <t>STAU1</t>
  </si>
  <si>
    <t>TMEM230</t>
  </si>
  <si>
    <t>MED23</t>
  </si>
  <si>
    <t>CRNKL1</t>
  </si>
  <si>
    <t>SAMD9</t>
  </si>
  <si>
    <t>SPECC1</t>
  </si>
  <si>
    <t>SMEK2</t>
  </si>
  <si>
    <t>WDR45B</t>
  </si>
  <si>
    <t>TBCEL</t>
  </si>
  <si>
    <t>DNTTIP2</t>
  </si>
  <si>
    <t>PEX19</t>
  </si>
  <si>
    <t>ATP5F1</t>
  </si>
  <si>
    <t>BCL2L1</t>
  </si>
  <si>
    <t>DCAF10</t>
  </si>
  <si>
    <t>DPM1</t>
  </si>
  <si>
    <t>PSMF1</t>
  </si>
  <si>
    <t>MPC2</t>
  </si>
  <si>
    <t>COX20</t>
  </si>
  <si>
    <t>HLA-G</t>
  </si>
  <si>
    <t>EXOSC6</t>
  </si>
  <si>
    <t>RBM48</t>
  </si>
  <si>
    <t>PPM1L</t>
  </si>
  <si>
    <t>ATAT1</t>
  </si>
  <si>
    <t>CR2</t>
  </si>
  <si>
    <t>HIATL1</t>
  </si>
  <si>
    <t>NUP188</t>
  </si>
  <si>
    <t>MANEA</t>
  </si>
  <si>
    <t>CSNK2B</t>
  </si>
  <si>
    <t>HP1BP3</t>
  </si>
  <si>
    <t>VARS2</t>
  </si>
  <si>
    <t>AIF1</t>
  </si>
  <si>
    <t>DNMBP</t>
  </si>
  <si>
    <t>CEP170</t>
  </si>
  <si>
    <t>LDLRAP1</t>
  </si>
  <si>
    <t>CAMK2G</t>
  </si>
  <si>
    <t>ODR4</t>
  </si>
  <si>
    <t>SNAPC4</t>
  </si>
  <si>
    <t>DNLZ</t>
  </si>
  <si>
    <t>CERS2</t>
  </si>
  <si>
    <t>TDRKH</t>
  </si>
  <si>
    <t>TPRG1L</t>
  </si>
  <si>
    <t>FNBP1L</t>
  </si>
  <si>
    <t>DPYSL4</t>
  </si>
  <si>
    <t>SLIT1</t>
  </si>
  <si>
    <t>C9orf156</t>
  </si>
  <si>
    <t>SH3BGRL3</t>
  </si>
  <si>
    <t>RARS2</t>
  </si>
  <si>
    <t>PYGO2</t>
  </si>
  <si>
    <t>FKBP15</t>
  </si>
  <si>
    <t>DDX59</t>
  </si>
  <si>
    <t>ZC3H13</t>
  </si>
  <si>
    <t>ZDHHC12</t>
  </si>
  <si>
    <t>C9orf114</t>
  </si>
  <si>
    <t>C10orf76</t>
  </si>
  <si>
    <t>PDSS1</t>
  </si>
  <si>
    <t>NBEA</t>
  </si>
  <si>
    <t>GPATCH4</t>
  </si>
  <si>
    <t>LRIF1</t>
  </si>
  <si>
    <t>ZNF438</t>
  </si>
  <si>
    <t>IBA57</t>
  </si>
  <si>
    <t>HECTD3</t>
  </si>
  <si>
    <t>ZFYVE27</t>
  </si>
  <si>
    <t>UBR4</t>
  </si>
  <si>
    <t>ACADM</t>
  </si>
  <si>
    <t>FAM219A</t>
  </si>
  <si>
    <t>STXBP5</t>
  </si>
  <si>
    <t>CAMSAP1</t>
  </si>
  <si>
    <t>MCM10</t>
  </si>
  <si>
    <t>UBAP2</t>
  </si>
  <si>
    <t>IDNK</t>
  </si>
  <si>
    <t>ABLIM1</t>
  </si>
  <si>
    <t>C9orf64</t>
  </si>
  <si>
    <t>ADCK3</t>
  </si>
  <si>
    <t>FAM69A</t>
  </si>
  <si>
    <t>GORAB</t>
  </si>
  <si>
    <t>ZNF618</t>
  </si>
  <si>
    <t>ACBD5</t>
  </si>
  <si>
    <t>COX6A1P2</t>
  </si>
  <si>
    <t>RBM26</t>
  </si>
  <si>
    <t>MED22</t>
  </si>
  <si>
    <t>SURF4</t>
  </si>
  <si>
    <t>MED4</t>
  </si>
  <si>
    <t>FAM102A</t>
  </si>
  <si>
    <t>CPSF3L</t>
  </si>
  <si>
    <t>GLTPD1</t>
  </si>
  <si>
    <t>ZCCHC11</t>
  </si>
  <si>
    <t>RNASEH2B</t>
  </si>
  <si>
    <t>TAF4</t>
  </si>
  <si>
    <t>SEMA4A</t>
  </si>
  <si>
    <t>NQO2</t>
  </si>
  <si>
    <t>DNAJC16</t>
  </si>
  <si>
    <t>DDI2</t>
  </si>
  <si>
    <t>NDUFAF5</t>
  </si>
  <si>
    <t>NAGLT1</t>
  </si>
  <si>
    <t>NT5DC1</t>
  </si>
  <si>
    <t>PRR14L</t>
  </si>
  <si>
    <t>DHX35</t>
  </si>
  <si>
    <t>SLC19A2</t>
  </si>
  <si>
    <t>SFT2D2</t>
  </si>
  <si>
    <t>CROCC</t>
  </si>
  <si>
    <t>MEX3C</t>
  </si>
  <si>
    <t>LYRM7</t>
  </si>
  <si>
    <t>RIF1</t>
  </si>
  <si>
    <t>VPS53</t>
  </si>
  <si>
    <t>STRIP1</t>
  </si>
  <si>
    <t>ABHD17B</t>
  </si>
  <si>
    <t>GKAP1</t>
  </si>
  <si>
    <t>CEP350</t>
  </si>
  <si>
    <t>RPRD2</t>
  </si>
  <si>
    <t>GHITM</t>
  </si>
  <si>
    <t>PRPF38B</t>
  </si>
  <si>
    <t>RNF20</t>
  </si>
  <si>
    <t>CACHD1</t>
  </si>
  <si>
    <t>C1orf53</t>
  </si>
  <si>
    <t>C6orf57</t>
  </si>
  <si>
    <t>CDKAL1</t>
  </si>
  <si>
    <t>ZNF691</t>
  </si>
  <si>
    <t>MGST3</t>
  </si>
  <si>
    <t>PLEKHM2</t>
  </si>
  <si>
    <t>MYSM1</t>
  </si>
  <si>
    <t>YOD1</t>
  </si>
  <si>
    <t>SLC2A8</t>
  </si>
  <si>
    <t>BROX</t>
  </si>
  <si>
    <t>FOCAD</t>
  </si>
  <si>
    <t>TAF3</t>
  </si>
  <si>
    <t>SNX30</t>
  </si>
  <si>
    <t>FAM46C</t>
  </si>
  <si>
    <t>RSBN1</t>
  </si>
  <si>
    <t>LYPLAL1</t>
  </si>
  <si>
    <t>ARHGEF2</t>
  </si>
  <si>
    <t>LRP11</t>
  </si>
  <si>
    <t>LY9</t>
  </si>
  <si>
    <t>ZCCHC6</t>
  </si>
  <si>
    <t>NAA35</t>
  </si>
  <si>
    <t>C9orf91</t>
  </si>
  <si>
    <t>PFKFB3</t>
  </si>
  <si>
    <t>RNF219</t>
  </si>
  <si>
    <t>FAM160B1</t>
  </si>
  <si>
    <t>SPRYD7</t>
  </si>
  <si>
    <t>NDUFB8</t>
  </si>
  <si>
    <t>QIL1</t>
  </si>
  <si>
    <t>RNF123</t>
  </si>
  <si>
    <t>FBXW9</t>
  </si>
  <si>
    <t>RNF213</t>
  </si>
  <si>
    <t>AP1AR</t>
  </si>
  <si>
    <t>FAM21A</t>
  </si>
  <si>
    <t>LPCAT4</t>
  </si>
  <si>
    <t>FAM91A1</t>
  </si>
  <si>
    <t>LARP1B</t>
  </si>
  <si>
    <t>CEP135</t>
  </si>
  <si>
    <t>TBC1D9B</t>
  </si>
  <si>
    <t>DCAF15</t>
  </si>
  <si>
    <t>PPP2R2D</t>
  </si>
  <si>
    <t>ARL6IP4</t>
  </si>
  <si>
    <t>PFKFB4</t>
  </si>
  <si>
    <t>KAZN</t>
  </si>
  <si>
    <t>RAP1GAP2</t>
  </si>
  <si>
    <t>ARID2</t>
  </si>
  <si>
    <t>DIEXF</t>
  </si>
  <si>
    <t>SPTY2D1</t>
  </si>
  <si>
    <t>PMS2CL</t>
  </si>
  <si>
    <t>NCR3LG1</t>
  </si>
  <si>
    <t>MBLAC2</t>
  </si>
  <si>
    <t>LMBRD2</t>
  </si>
  <si>
    <t>INTS3</t>
  </si>
  <si>
    <t>ARHGAP17</t>
  </si>
  <si>
    <t>CDCA2</t>
  </si>
  <si>
    <t>CWF19L1</t>
  </si>
  <si>
    <t>KIAA1429</t>
  </si>
  <si>
    <t>SPECC1L</t>
  </si>
  <si>
    <t>C12orf73</t>
  </si>
  <si>
    <t>UHRF1BP1</t>
  </si>
  <si>
    <t>ZNF787</t>
  </si>
  <si>
    <t>ATL3</t>
  </si>
  <si>
    <t>ADAL</t>
  </si>
  <si>
    <t>NXN</t>
  </si>
  <si>
    <t>TTC19</t>
  </si>
  <si>
    <t>HLA-E</t>
  </si>
  <si>
    <t>CIAPIN1</t>
  </si>
  <si>
    <t>ZFAND6</t>
  </si>
  <si>
    <t>SMYD5</t>
  </si>
  <si>
    <t>PTRHD1</t>
  </si>
  <si>
    <t>OTUD7B</t>
  </si>
  <si>
    <t>SELS</t>
  </si>
  <si>
    <t>RALGAPA1</t>
  </si>
  <si>
    <t>THOC7</t>
  </si>
  <si>
    <t>SIGIRR</t>
  </si>
  <si>
    <t>NADSYN1</t>
  </si>
  <si>
    <t>ELP2</t>
  </si>
  <si>
    <t>LAMTOR1</t>
  </si>
  <si>
    <t>DHRS7B</t>
  </si>
  <si>
    <t>TWF2</t>
  </si>
  <si>
    <t>NCAPH2</t>
  </si>
  <si>
    <t>GRAMD4</t>
  </si>
  <si>
    <t>DESI1</t>
  </si>
  <si>
    <t>ASPHD2</t>
  </si>
  <si>
    <t>SMEK1</t>
  </si>
  <si>
    <t>TYW3</t>
  </si>
  <si>
    <t>CENPP</t>
  </si>
  <si>
    <t>CCSAP</t>
  </si>
  <si>
    <t>RAB12</t>
  </si>
  <si>
    <t>SDE2</t>
  </si>
  <si>
    <t>GRM5</t>
  </si>
  <si>
    <t>RCSD1</t>
  </si>
  <si>
    <t>USP3</t>
  </si>
  <si>
    <t>ACAD10</t>
  </si>
  <si>
    <t>NIPBL</t>
  </si>
  <si>
    <t>SLC25A25</t>
  </si>
  <si>
    <t>LIN54</t>
  </si>
  <si>
    <t>ZNF280D</t>
  </si>
  <si>
    <t>OGFOD2</t>
  </si>
  <si>
    <t>NAA16</t>
  </si>
  <si>
    <t>ALKBH2</t>
  </si>
  <si>
    <t>LRRC8E</t>
  </si>
  <si>
    <t>SLC18B1</t>
  </si>
  <si>
    <t>SLC25A24</t>
  </si>
  <si>
    <t>REEP3</t>
  </si>
  <si>
    <t>RETSAT</t>
  </si>
  <si>
    <t>RINT1</t>
  </si>
  <si>
    <t>TMEM214</t>
  </si>
  <si>
    <t>TCTN3</t>
  </si>
  <si>
    <t>HIBCH</t>
  </si>
  <si>
    <t>ARMC6</t>
  </si>
  <si>
    <t>ANKRD54</t>
  </si>
  <si>
    <t>TAPT1</t>
  </si>
  <si>
    <t>PPP1R18</t>
  </si>
  <si>
    <t>ZCCHC8</t>
  </si>
  <si>
    <t>RPUSD3</t>
  </si>
  <si>
    <t>MRPL54</t>
  </si>
  <si>
    <t>ERAP2</t>
  </si>
  <si>
    <t>CDC73</t>
  </si>
  <si>
    <t>PMF1</t>
  </si>
  <si>
    <t>GTF2H2C</t>
  </si>
  <si>
    <t>FAM117B</t>
  </si>
  <si>
    <t>MRPL14</t>
  </si>
  <si>
    <t>SLC27A4</t>
  </si>
  <si>
    <t>CC2D1A</t>
  </si>
  <si>
    <t>METTL2B</t>
  </si>
  <si>
    <t>MSANTD2</t>
  </si>
  <si>
    <t>DUS1L</t>
  </si>
  <si>
    <t>TAF2</t>
  </si>
  <si>
    <t>STAG1</t>
  </si>
  <si>
    <t>MED27</t>
  </si>
  <si>
    <t>EDC4</t>
  </si>
  <si>
    <t>CEP85</t>
  </si>
  <si>
    <t>FAHD2B</t>
  </si>
  <si>
    <t>PRMT10</t>
  </si>
  <si>
    <t>PRPF8</t>
  </si>
  <si>
    <t>DENND1B</t>
  </si>
  <si>
    <t>FBXO42</t>
  </si>
  <si>
    <t>SCYL2</t>
  </si>
  <si>
    <t>TTC27</t>
  </si>
  <si>
    <t>NIPAL3</t>
  </si>
  <si>
    <t>SFXN4</t>
  </si>
  <si>
    <t>CASC4</t>
  </si>
  <si>
    <t>FDX1L</t>
  </si>
  <si>
    <t>WDR73</t>
  </si>
  <si>
    <t>CNNM4</t>
  </si>
  <si>
    <t>NFRKB</t>
  </si>
  <si>
    <t>MZT2A</t>
  </si>
  <si>
    <t>FAHD1</t>
  </si>
  <si>
    <t>C22orf39</t>
  </si>
  <si>
    <t>C8orf47</t>
  </si>
  <si>
    <t>ANKRD16</t>
  </si>
  <si>
    <t>ALKBH5</t>
  </si>
  <si>
    <t>KIAA1609</t>
  </si>
  <si>
    <t>INTS5</t>
  </si>
  <si>
    <t>GIMAP6</t>
  </si>
  <si>
    <t>VWA1</t>
  </si>
  <si>
    <t>RSBN1L</t>
  </si>
  <si>
    <t>RFWD3</t>
  </si>
  <si>
    <t>PGM2L1</t>
  </si>
  <si>
    <t>CTR9</t>
  </si>
  <si>
    <t>AAGAB</t>
  </si>
  <si>
    <t>PSRC1</t>
  </si>
  <si>
    <t>TTC37</t>
  </si>
  <si>
    <t>C16orf87</t>
  </si>
  <si>
    <t>ULK3</t>
  </si>
  <si>
    <t>DARS2</t>
  </si>
  <si>
    <t>TMEM65</t>
  </si>
  <si>
    <t>INO80C</t>
  </si>
  <si>
    <t>TTC33</t>
  </si>
  <si>
    <t>CCDC174</t>
  </si>
  <si>
    <t>FBXO38</t>
  </si>
  <si>
    <t>CENPC1</t>
  </si>
  <si>
    <t>FIGNL1</t>
  </si>
  <si>
    <t>FBXO46</t>
  </si>
  <si>
    <t>TRIM65</t>
  </si>
  <si>
    <t>ELMSAN1</t>
  </si>
  <si>
    <t>BRAT1</t>
  </si>
  <si>
    <t>WDR59</t>
  </si>
  <si>
    <t>ZC3H14</t>
  </si>
  <si>
    <t>CNST</t>
  </si>
  <si>
    <t>OGFOD3</t>
  </si>
  <si>
    <t>LARP1</t>
  </si>
  <si>
    <t>TMED8</t>
  </si>
  <si>
    <t>SLC30A9</t>
  </si>
  <si>
    <t>BLOC1S3</t>
  </si>
  <si>
    <t>BLOC1S2</t>
  </si>
  <si>
    <t>RICTOR</t>
  </si>
  <si>
    <t>WDR74</t>
  </si>
  <si>
    <t>AGTRAP</t>
  </si>
  <si>
    <t>POTEE</t>
  </si>
  <si>
    <t>FAM111B</t>
  </si>
  <si>
    <t>SMARCD3</t>
  </si>
  <si>
    <t>MTHFD1L</t>
  </si>
  <si>
    <t>ANKRD11</t>
  </si>
  <si>
    <t>AFTPH</t>
  </si>
  <si>
    <t>FIP1L1</t>
  </si>
  <si>
    <t>CRTC3</t>
  </si>
  <si>
    <t>CRTC1</t>
  </si>
  <si>
    <t>SASS6</t>
  </si>
  <si>
    <t>ATRAID</t>
  </si>
  <si>
    <t>KDELC1</t>
  </si>
  <si>
    <t>LRSAM1</t>
  </si>
  <si>
    <t>SHISA2</t>
  </si>
  <si>
    <t>DHRS11</t>
  </si>
  <si>
    <t>LCLAT1</t>
  </si>
  <si>
    <t>PET117</t>
  </si>
  <si>
    <t>C6orf89</t>
  </si>
  <si>
    <t>CWC27</t>
  </si>
  <si>
    <t>DHRS13</t>
  </si>
  <si>
    <t>PI16</t>
  </si>
  <si>
    <t>SEZ6L2</t>
  </si>
  <si>
    <t>CRELD2</t>
  </si>
  <si>
    <t>WDR82</t>
  </si>
  <si>
    <t>APOOL</t>
  </si>
  <si>
    <t>DPP8</t>
  </si>
  <si>
    <t>PACS1</t>
  </si>
  <si>
    <t>BCOR</t>
  </si>
  <si>
    <t>MPRIP</t>
  </si>
  <si>
    <t>RAB11FIP1</t>
  </si>
  <si>
    <t>NAPRT1</t>
  </si>
  <si>
    <t>PTPLB</t>
  </si>
  <si>
    <t>B3GALTL</t>
  </si>
  <si>
    <t>DNAJC14</t>
  </si>
  <si>
    <t>THADA</t>
  </si>
  <si>
    <t>HSDL2</t>
  </si>
  <si>
    <t>CCBL2</t>
  </si>
  <si>
    <t>CERS6</t>
  </si>
  <si>
    <t>PPP1R21</t>
  </si>
  <si>
    <t>MEX3B</t>
  </si>
  <si>
    <t>AEBP2</t>
  </si>
  <si>
    <t>OSBP2</t>
  </si>
  <si>
    <t>FRRS1</t>
  </si>
  <si>
    <t>NFXL1</t>
  </si>
  <si>
    <t>GDPGP1</t>
  </si>
  <si>
    <t>DPY19L3</t>
  </si>
  <si>
    <t>C15orf39</t>
  </si>
  <si>
    <t>QSOX2</t>
  </si>
  <si>
    <t>SRCAP</t>
  </si>
  <si>
    <t>GK5</t>
  </si>
  <si>
    <t>C1orf122</t>
  </si>
  <si>
    <t>MFSD6</t>
  </si>
  <si>
    <t>TMPPE</t>
  </si>
  <si>
    <t>SH3BP1</t>
  </si>
  <si>
    <t>C11orf57</t>
  </si>
  <si>
    <t>NUDT18</t>
  </si>
  <si>
    <t>TOM1L2</t>
  </si>
  <si>
    <t>PAXIP1</t>
  </si>
  <si>
    <t>CYP4V2</t>
  </si>
  <si>
    <t>MBOAT2</t>
  </si>
  <si>
    <t>TMTC3</t>
  </si>
  <si>
    <t>GTF2H5</t>
  </si>
  <si>
    <t>VPS13C</t>
  </si>
  <si>
    <t>MOB2</t>
  </si>
  <si>
    <t>UNC13D</t>
  </si>
  <si>
    <t>IKBIP</t>
  </si>
  <si>
    <t>FRA10AC1</t>
  </si>
  <si>
    <t>UBE2R2</t>
  </si>
  <si>
    <t>MLF1IP</t>
  </si>
  <si>
    <t>LARP4</t>
  </si>
  <si>
    <t>MED25</t>
  </si>
  <si>
    <t>TUBA1A</t>
  </si>
  <si>
    <t>H2AFV</t>
  </si>
  <si>
    <t>INTS8</t>
  </si>
  <si>
    <t>MTSS1L</t>
  </si>
  <si>
    <t>NOL8</t>
  </si>
  <si>
    <t>BTN2A1</t>
  </si>
  <si>
    <t>SUPT6H</t>
  </si>
  <si>
    <t>SND1</t>
  </si>
  <si>
    <t>COX15</t>
  </si>
  <si>
    <t>DDX46</t>
  </si>
  <si>
    <t>RUFY3</t>
  </si>
  <si>
    <t>SV2A</t>
  </si>
  <si>
    <t>TRMT10C</t>
  </si>
  <si>
    <t>BZW1</t>
  </si>
  <si>
    <t>CYB5R4</t>
  </si>
  <si>
    <t>ABHD13</t>
  </si>
  <si>
    <t>ASRGL1</t>
  </si>
  <si>
    <t>KCTD9</t>
  </si>
  <si>
    <t>EIF3M</t>
  </si>
  <si>
    <t>MEPCE</t>
  </si>
  <si>
    <t>CENPQ</t>
  </si>
  <si>
    <t>ZNF771</t>
  </si>
  <si>
    <t>PARS2</t>
  </si>
  <si>
    <t>RSRC2</t>
  </si>
  <si>
    <t>BEND5</t>
  </si>
  <si>
    <t>RRAGA</t>
  </si>
  <si>
    <t>CYFIP1</t>
  </si>
  <si>
    <t>GET4</t>
  </si>
  <si>
    <t>LPCAT2</t>
  </si>
  <si>
    <t>ENOSF1</t>
  </si>
  <si>
    <t>MAEA</t>
  </si>
  <si>
    <t>EPM2AIP1</t>
  </si>
  <si>
    <t>HIST3H2A</t>
  </si>
  <si>
    <t>TAOK1</t>
  </si>
  <si>
    <t>SH3BP5L</t>
  </si>
  <si>
    <t>FASTKD5</t>
  </si>
  <si>
    <t>ATPBD4</t>
  </si>
  <si>
    <t>EEPD1</t>
  </si>
  <si>
    <t>KDM3B</t>
  </si>
  <si>
    <t>CHMP1B</t>
  </si>
  <si>
    <t>HS2ST1</t>
  </si>
  <si>
    <t>STRADA</t>
  </si>
  <si>
    <t>NIPA1</t>
  </si>
  <si>
    <t>MICAL3</t>
  </si>
  <si>
    <t>DYM</t>
  </si>
  <si>
    <t>PHF5A</t>
  </si>
  <si>
    <t>APTX</t>
  </si>
  <si>
    <t>ERMP1</t>
  </si>
  <si>
    <t>GPRIN1</t>
  </si>
  <si>
    <t>TRMT1L</t>
  </si>
  <si>
    <t>ZC3HAV1</t>
  </si>
  <si>
    <t>EFTUD1</t>
  </si>
  <si>
    <t>FAM122B</t>
  </si>
  <si>
    <t>TRAPPC11</t>
  </si>
  <si>
    <t>ATG9A</t>
  </si>
  <si>
    <t>LYSMD3</t>
  </si>
  <si>
    <t>C14orf159</t>
  </si>
  <si>
    <t>C10orf118</t>
  </si>
  <si>
    <t>POGZ</t>
  </si>
  <si>
    <t>ZFYVE16</t>
  </si>
  <si>
    <t>RD3</t>
  </si>
  <si>
    <t>NUFIP2</t>
  </si>
  <si>
    <t>SZRD1</t>
  </si>
  <si>
    <t>MAVS</t>
  </si>
  <si>
    <t>CYP2U1</t>
  </si>
  <si>
    <t>DHX29</t>
  </si>
  <si>
    <t>COMMD6</t>
  </si>
  <si>
    <t>TRMT11</t>
  </si>
  <si>
    <t>HDDC2</t>
  </si>
  <si>
    <t>HAUS6</t>
  </si>
  <si>
    <t>HEATR3</t>
  </si>
  <si>
    <t>HDGFRP2</t>
  </si>
  <si>
    <t>DCXR</t>
  </si>
  <si>
    <t>GOLGA7</t>
  </si>
  <si>
    <t>WAPAL</t>
  </si>
  <si>
    <t>IRF2BP2</t>
  </si>
  <si>
    <t>APBB1IP</t>
  </si>
  <si>
    <t>WDR53</t>
  </si>
  <si>
    <t>BCDIN3D</t>
  </si>
  <si>
    <t>CCDC91</t>
  </si>
  <si>
    <t>RBBP6</t>
  </si>
  <si>
    <t>ARHGAP30</t>
  </si>
  <si>
    <t>C5orf24</t>
  </si>
  <si>
    <t>UBE3D</t>
  </si>
  <si>
    <t>TSEN54</t>
  </si>
  <si>
    <t>PTAR1</t>
  </si>
  <si>
    <t>TECPR1</t>
  </si>
  <si>
    <t>RABEPK</t>
  </si>
  <si>
    <t>FBXO33</t>
  </si>
  <si>
    <t>MTERFD2</t>
  </si>
  <si>
    <t>RAB44</t>
  </si>
  <si>
    <t>ADAT2</t>
  </si>
  <si>
    <t>HUWE1</t>
  </si>
  <si>
    <t>CTU1</t>
  </si>
  <si>
    <t>PXK</t>
  </si>
  <si>
    <t>TAF8</t>
  </si>
  <si>
    <t>UBE2Q1</t>
  </si>
  <si>
    <t>KIAA0907</t>
  </si>
  <si>
    <t>MRPL55</t>
  </si>
  <si>
    <t>VPS13B</t>
  </si>
  <si>
    <t>TMED4</t>
  </si>
  <si>
    <t>MRPL10</t>
  </si>
  <si>
    <t>CENPV</t>
  </si>
  <si>
    <t>SLFN11</t>
  </si>
  <si>
    <t>ZER1</t>
  </si>
  <si>
    <t>C11orf96</t>
  </si>
  <si>
    <t>ZSCAN2</t>
  </si>
  <si>
    <t>TMEM179B</t>
  </si>
  <si>
    <t>GALNT7</t>
  </si>
  <si>
    <t>SCD5</t>
  </si>
  <si>
    <t>DHDDS</t>
  </si>
  <si>
    <t>GLRX5</t>
  </si>
  <si>
    <t>TRAPPC6B</t>
  </si>
  <si>
    <t>TMEM55B</t>
  </si>
  <si>
    <t>CLEC14A</t>
  </si>
  <si>
    <t>PATL1</t>
  </si>
  <si>
    <t>TBC1D1</t>
  </si>
  <si>
    <t>DPP9</t>
  </si>
  <si>
    <t>SYVN1</t>
  </si>
  <si>
    <t>TRPT1</t>
  </si>
  <si>
    <t>PRUNE</t>
  </si>
  <si>
    <t>SETD3</t>
  </si>
  <si>
    <t>LGMN</t>
  </si>
  <si>
    <t>RBM23</t>
  </si>
  <si>
    <t>ISCA2</t>
  </si>
  <si>
    <t>NOP9</t>
  </si>
  <si>
    <t>METTL3</t>
  </si>
  <si>
    <t>LDB1</t>
  </si>
  <si>
    <t>PBRM1</t>
  </si>
  <si>
    <t>YRDC</t>
  </si>
  <si>
    <t>PRPF39</t>
  </si>
  <si>
    <t>RPAIN</t>
  </si>
  <si>
    <t>SAPCD2</t>
  </si>
  <si>
    <t>MTDH</t>
  </si>
  <si>
    <t>TLK2</t>
  </si>
  <si>
    <t>TSPAN33</t>
  </si>
  <si>
    <t>ZNF598</t>
  </si>
  <si>
    <t>AGPAT6</t>
  </si>
  <si>
    <t>RTN4RL2</t>
  </si>
  <si>
    <t>KTN1</t>
  </si>
  <si>
    <t>SMG6</t>
  </si>
  <si>
    <t>CCDC84</t>
  </si>
  <si>
    <t>BCL9L</t>
  </si>
  <si>
    <t>USP48</t>
  </si>
  <si>
    <t>ABCC5</t>
  </si>
  <si>
    <t>FERMT3</t>
  </si>
  <si>
    <t>TXNDC5</t>
  </si>
  <si>
    <t>NAA40</t>
  </si>
  <si>
    <t>NT5DC3</t>
  </si>
  <si>
    <t>AACS</t>
  </si>
  <si>
    <t>FAM124A</t>
  </si>
  <si>
    <t>LUZP1</t>
  </si>
  <si>
    <t>PNMAL1</t>
  </si>
  <si>
    <t>GPR180</t>
  </si>
  <si>
    <t>FAM160B2</t>
  </si>
  <si>
    <t>MDP1</t>
  </si>
  <si>
    <t>SLC25A42</t>
  </si>
  <si>
    <t>VPS36</t>
  </si>
  <si>
    <t>TAX1BP1</t>
  </si>
  <si>
    <t>CAND1</t>
  </si>
  <si>
    <t>GLCCI1</t>
  </si>
  <si>
    <t>WASF3</t>
  </si>
  <si>
    <t>FAM134C</t>
  </si>
  <si>
    <t>HOOK3</t>
  </si>
  <si>
    <t>COMTD1</t>
  </si>
  <si>
    <t>SESTD1</t>
  </si>
  <si>
    <t>COMMD7</t>
  </si>
  <si>
    <t>MON1A</t>
  </si>
  <si>
    <t>TSPYL5</t>
  </si>
  <si>
    <t>P2RY8</t>
  </si>
  <si>
    <t>TPRA1</t>
  </si>
  <si>
    <t>THOC6</t>
  </si>
  <si>
    <t>METTL16</t>
  </si>
  <si>
    <t>PARG</t>
  </si>
  <si>
    <t>PPFIBP1</t>
  </si>
  <si>
    <t>BPHL</t>
  </si>
  <si>
    <t>LONP2</t>
  </si>
  <si>
    <t>OSTM1</t>
  </si>
  <si>
    <t>CHD1L</t>
  </si>
  <si>
    <t>NR2C2AP</t>
  </si>
  <si>
    <t>CCDC25</t>
  </si>
  <si>
    <t>SKAP1</t>
  </si>
  <si>
    <t>TMEM173</t>
  </si>
  <si>
    <t>CCDC43</t>
  </si>
  <si>
    <t>RPS19BP1</t>
  </si>
  <si>
    <t>CDR2L</t>
  </si>
  <si>
    <t>RALGAPB</t>
  </si>
  <si>
    <t>RALGPS2</t>
  </si>
  <si>
    <t>ERICH1</t>
  </si>
  <si>
    <t>CARM1</t>
  </si>
  <si>
    <t>NIT1</t>
  </si>
  <si>
    <t>COMMD2</t>
  </si>
  <si>
    <t>CIR1</t>
  </si>
  <si>
    <t>NCAPG2</t>
  </si>
  <si>
    <t>SFR1</t>
  </si>
  <si>
    <t>DGKH</t>
  </si>
  <si>
    <t>DDX42</t>
  </si>
  <si>
    <t>SPATS2</t>
  </si>
  <si>
    <t>DTX1</t>
  </si>
  <si>
    <t>VRK2</t>
  </si>
  <si>
    <t>CACUL1</t>
  </si>
  <si>
    <t>NDUFA11</t>
  </si>
  <si>
    <t>HEATR2</t>
  </si>
  <si>
    <t>PTRH1</t>
  </si>
  <si>
    <t>STX12</t>
  </si>
  <si>
    <t>PDSS2</t>
  </si>
  <si>
    <t>HOMER1</t>
  </si>
  <si>
    <t>DOLPP1</t>
  </si>
  <si>
    <t>GATAD2A</t>
  </si>
  <si>
    <t>GPSM1</t>
  </si>
  <si>
    <t>RAB11FIP4</t>
  </si>
  <si>
    <t>RAB43</t>
  </si>
  <si>
    <t>C2CD5</t>
  </si>
  <si>
    <t>MIB1</t>
  </si>
  <si>
    <t>RASAL3</t>
  </si>
  <si>
    <t>IRF2BP1</t>
  </si>
  <si>
    <t>CAMK1D</t>
  </si>
  <si>
    <t>HIST2H2AB</t>
  </si>
  <si>
    <t>MINA</t>
  </si>
  <si>
    <t>RBM45</t>
  </si>
  <si>
    <t>ZDHHC13</t>
  </si>
  <si>
    <t>ZDHHC17</t>
  </si>
  <si>
    <t>CRLF3</t>
  </si>
  <si>
    <t>SIAH1</t>
  </si>
  <si>
    <t>TRAPPC5</t>
  </si>
  <si>
    <t>RELL1</t>
  </si>
  <si>
    <t>TMEM126B</t>
  </si>
  <si>
    <t>AEBP1</t>
  </si>
  <si>
    <t>AGXT2L2</t>
  </si>
  <si>
    <t>TBC1D10C</t>
  </si>
  <si>
    <t>PLD3</t>
  </si>
  <si>
    <t>HID1</t>
  </si>
  <si>
    <t>ANKMY2</t>
  </si>
  <si>
    <t>ERI1</t>
  </si>
  <si>
    <t>LYSMD2</t>
  </si>
  <si>
    <t>DENND1C</t>
  </si>
  <si>
    <t>VRK3</t>
  </si>
  <si>
    <t>LIX1L</t>
  </si>
  <si>
    <t>NUDCD3</t>
  </si>
  <si>
    <t>AHNAK2</t>
  </si>
  <si>
    <t>MMAA</t>
  </si>
  <si>
    <t>PPM1D</t>
  </si>
  <si>
    <t>MCAT</t>
  </si>
  <si>
    <t>GID4</t>
  </si>
  <si>
    <t>APLF</t>
  </si>
  <si>
    <t>MAPKAPK5</t>
  </si>
  <si>
    <t>CARKD</t>
  </si>
  <si>
    <t>WDR75</t>
  </si>
  <si>
    <t>MFN1</t>
  </si>
  <si>
    <t>ITPRIP</t>
  </si>
  <si>
    <t>WDFY1</t>
  </si>
  <si>
    <t>TEX2</t>
  </si>
  <si>
    <t>MAP7D3</t>
  </si>
  <si>
    <t>CCDC117</t>
  </si>
  <si>
    <t>DCUN1D3</t>
  </si>
  <si>
    <t>DENND6A</t>
  </si>
  <si>
    <t>GCC2</t>
  </si>
  <si>
    <t>PHF6</t>
  </si>
  <si>
    <t>LRRC8A</t>
  </si>
  <si>
    <t>UBR1</t>
  </si>
  <si>
    <t>UBR2</t>
  </si>
  <si>
    <t>CDAN1</t>
  </si>
  <si>
    <t>ANKHD1</t>
  </si>
  <si>
    <t>SUGP1</t>
  </si>
  <si>
    <t>CCAR1</t>
  </si>
  <si>
    <t>DHX40</t>
  </si>
  <si>
    <t>SKA3</t>
  </si>
  <si>
    <t>DNAJC10</t>
  </si>
  <si>
    <t>RHOT2</t>
  </si>
  <si>
    <t>RHOT1</t>
  </si>
  <si>
    <t>SIRT2</t>
  </si>
  <si>
    <t>GALNT12</t>
  </si>
  <si>
    <t>NRM</t>
  </si>
  <si>
    <t>RIMKLA</t>
  </si>
  <si>
    <t>C9orf40</t>
  </si>
  <si>
    <t>KIAA1704</t>
  </si>
  <si>
    <t>KLHL7</t>
  </si>
  <si>
    <t>RBM12B</t>
  </si>
  <si>
    <t>PNPLA6</t>
  </si>
  <si>
    <t>SMC5</t>
  </si>
  <si>
    <t>DDX60</t>
  </si>
  <si>
    <t>CMIP</t>
  </si>
  <si>
    <t>DHX37</t>
  </si>
  <si>
    <t>TMEM192</t>
  </si>
  <si>
    <t>MB21D2</t>
  </si>
  <si>
    <t>SMAP1</t>
  </si>
  <si>
    <t>DIS3L2</t>
  </si>
  <si>
    <t>SUPV3L1</t>
  </si>
  <si>
    <t>GSPT2</t>
  </si>
  <si>
    <t>ZZZ3</t>
  </si>
  <si>
    <t>EXOC8</t>
  </si>
  <si>
    <t>SYTL1</t>
  </si>
  <si>
    <t>C1orf174</t>
  </si>
  <si>
    <t>TCEAL8</t>
  </si>
  <si>
    <t>THNSL1</t>
  </si>
  <si>
    <t>PM20D2</t>
  </si>
  <si>
    <t>KIAA2013</t>
  </si>
  <si>
    <t>FTSJD1</t>
  </si>
  <si>
    <t>MICU2</t>
  </si>
  <si>
    <t>RNF168</t>
  </si>
  <si>
    <t>ANKRD13A</t>
  </si>
  <si>
    <t>PHACTR4</t>
  </si>
  <si>
    <t>RCOR2</t>
  </si>
  <si>
    <t>MTX2</t>
  </si>
  <si>
    <t>RPUSD2</t>
  </si>
  <si>
    <t>ELMOD2</t>
  </si>
  <si>
    <t>ALDH16A1</t>
  </si>
  <si>
    <t>DCP1B</t>
  </si>
  <si>
    <t>SCYL3</t>
  </si>
  <si>
    <t>XRN1</t>
  </si>
  <si>
    <t>ZNF654</t>
  </si>
  <si>
    <t>SELH</t>
  </si>
  <si>
    <t>CMTM4</t>
  </si>
  <si>
    <t>C8orf59</t>
  </si>
  <si>
    <t>FAM185A</t>
  </si>
  <si>
    <t>VKORC1L1</t>
  </si>
  <si>
    <t>RBFA</t>
  </si>
  <si>
    <t>FUK</t>
  </si>
  <si>
    <t>CLYBL</t>
  </si>
  <si>
    <t>SPG20</t>
  </si>
  <si>
    <t>TTC5</t>
  </si>
  <si>
    <t>MIER1</t>
  </si>
  <si>
    <t>RPTOR</t>
  </si>
  <si>
    <t>CNPY4</t>
  </si>
  <si>
    <t>ADSSL1</t>
  </si>
  <si>
    <t>KIAA1967</t>
  </si>
  <si>
    <t>NDUFAF2</t>
  </si>
  <si>
    <t>VPS52</t>
  </si>
  <si>
    <t>NUP93</t>
  </si>
  <si>
    <t>REXO1</t>
  </si>
  <si>
    <t>FTSJD2</t>
  </si>
  <si>
    <t>LRRC47</t>
  </si>
  <si>
    <t>THEMIS</t>
  </si>
  <si>
    <t>SLC39A11</t>
  </si>
  <si>
    <t>INTS1</t>
  </si>
  <si>
    <t>HIST3H2BB</t>
  </si>
  <si>
    <t>ARMC10</t>
  </si>
  <si>
    <t>GHDC</t>
  </si>
  <si>
    <t>ABHD12</t>
  </si>
  <si>
    <t>PIAS4</t>
  </si>
  <si>
    <t>APITD1</t>
  </si>
  <si>
    <t>CCDC23</t>
  </si>
  <si>
    <t>AGGF1</t>
  </si>
  <si>
    <t>GPD1L</t>
  </si>
  <si>
    <t>MIER2</t>
  </si>
  <si>
    <t>SLC35F6</t>
  </si>
  <si>
    <t>KDM8</t>
  </si>
  <si>
    <t>ASCC3</t>
  </si>
  <si>
    <t>EHBP1L1</t>
  </si>
  <si>
    <t>MICALL1</t>
  </si>
  <si>
    <t>FNBP4</t>
  </si>
  <si>
    <t>GTPBP8</t>
  </si>
  <si>
    <t>GUF1</t>
  </si>
  <si>
    <t>D2HGDH</t>
  </si>
  <si>
    <t>RYBP</t>
  </si>
  <si>
    <t>PNKD</t>
  </si>
  <si>
    <t>MINK1</t>
  </si>
  <si>
    <t>TOMM5</t>
  </si>
  <si>
    <t>HDDC3</t>
  </si>
  <si>
    <t>ZADH2</t>
  </si>
  <si>
    <t>CHCHD4</t>
  </si>
  <si>
    <t>CCDC82</t>
  </si>
  <si>
    <t>CBR4</t>
  </si>
  <si>
    <t>MMGT1</t>
  </si>
  <si>
    <t>OGFOD1</t>
  </si>
  <si>
    <t>ZCCHC9</t>
  </si>
  <si>
    <t>OXR1</t>
  </si>
  <si>
    <t>TTC39C</t>
  </si>
  <si>
    <t>ZGPAT</t>
  </si>
  <si>
    <t>SRBD1</t>
  </si>
  <si>
    <t>DTWD1</t>
  </si>
  <si>
    <t>NKAP</t>
  </si>
  <si>
    <t>SMIM20</t>
  </si>
  <si>
    <t>TMEM57</t>
  </si>
  <si>
    <t>DHRSX</t>
  </si>
  <si>
    <t>C12orf45</t>
  </si>
  <si>
    <t>CISD2</t>
  </si>
  <si>
    <t>RPP25L</t>
  </si>
  <si>
    <t>ATPAF2</t>
  </si>
  <si>
    <t>JAGN1</t>
  </si>
  <si>
    <t>MRPL50</t>
  </si>
  <si>
    <t>ZC3H8</t>
  </si>
  <si>
    <t>PARP16</t>
  </si>
  <si>
    <t>KCTD17</t>
  </si>
  <si>
    <t>DPP10</t>
  </si>
  <si>
    <t>C10orf12</t>
  </si>
  <si>
    <t>COMMD1</t>
  </si>
  <si>
    <t>CPSF7</t>
  </si>
  <si>
    <t>SLC15A4</t>
  </si>
  <si>
    <t>ARFGAP2</t>
  </si>
  <si>
    <t>OTUD6B</t>
  </si>
  <si>
    <t>C1orf52</t>
  </si>
  <si>
    <t>ACBD7</t>
  </si>
  <si>
    <t>METTL25</t>
  </si>
  <si>
    <t>ARL6IP6</t>
  </si>
  <si>
    <t>ARFGAP1</t>
  </si>
  <si>
    <t>SIRT6</t>
  </si>
  <si>
    <t>EMC1</t>
  </si>
  <si>
    <t>UBR7</t>
  </si>
  <si>
    <t>DDX51</t>
  </si>
  <si>
    <t>SLC25A29</t>
  </si>
  <si>
    <t>C2orf69</t>
  </si>
  <si>
    <t>ENAH</t>
  </si>
  <si>
    <t>ATP6V0D2</t>
  </si>
  <si>
    <t>DCBLD1</t>
  </si>
  <si>
    <t>GPATCH11</t>
  </si>
  <si>
    <t>CEP120</t>
  </si>
  <si>
    <t>MRPL43</t>
  </si>
  <si>
    <t>C12orf29</t>
  </si>
  <si>
    <t>CNEP1R1</t>
  </si>
  <si>
    <t>GDPD1</t>
  </si>
  <si>
    <t>C19orf47</t>
  </si>
  <si>
    <t>TMEM102</t>
  </si>
  <si>
    <t>LRRC57</t>
  </si>
  <si>
    <t>EIF1AD</t>
  </si>
  <si>
    <t>SREK1IP1</t>
  </si>
  <si>
    <t>SCAI</t>
  </si>
  <si>
    <t>WDSUB1</t>
  </si>
  <si>
    <t>ZNF579</t>
  </si>
  <si>
    <t>GTDC2</t>
  </si>
  <si>
    <t>PRPF38A</t>
  </si>
  <si>
    <t>ZNF511</t>
  </si>
  <si>
    <t>MLKL</t>
  </si>
  <si>
    <t>PDDC1</t>
  </si>
  <si>
    <t>ZNF527</t>
  </si>
  <si>
    <t>ANKRD52</t>
  </si>
  <si>
    <t>ATP11C</t>
  </si>
  <si>
    <t>SPATA5</t>
  </si>
  <si>
    <t>DTWD2</t>
  </si>
  <si>
    <t>NHLRC2</t>
  </si>
  <si>
    <t>AVL9</t>
  </si>
  <si>
    <t>XXYLT1</t>
  </si>
  <si>
    <t>GOLM1</t>
  </si>
  <si>
    <t>COLGALT1</t>
  </si>
  <si>
    <t>SUMF1</t>
  </si>
  <si>
    <t>POGLUT1</t>
  </si>
  <si>
    <t>UBAC2</t>
  </si>
  <si>
    <t>PCYOX1L</t>
  </si>
  <si>
    <t>TMEM87A</t>
  </si>
  <si>
    <t>TTC13</t>
  </si>
  <si>
    <t>ATAD1</t>
  </si>
  <si>
    <t>SCCPDH</t>
  </si>
  <si>
    <t>INO80E</t>
  </si>
  <si>
    <t>UXS1</t>
  </si>
  <si>
    <t>SERBP1</t>
  </si>
  <si>
    <t>KCT2</t>
  </si>
  <si>
    <t>LEMD2</t>
  </si>
  <si>
    <t>NOA1</t>
  </si>
  <si>
    <t>NECAP1</t>
  </si>
  <si>
    <t>FAM98A</t>
  </si>
  <si>
    <t>PLA2G15</t>
  </si>
  <si>
    <t>TSEN2</t>
  </si>
  <si>
    <t>MTMR14</t>
  </si>
  <si>
    <t>NFATC2IP</t>
  </si>
  <si>
    <t>DAGLB</t>
  </si>
  <si>
    <t>RNF169</t>
  </si>
  <si>
    <t>PDPR</t>
  </si>
  <si>
    <t>B3GALNT2</t>
  </si>
  <si>
    <t>APOA1BP</t>
  </si>
  <si>
    <t>SMG8</t>
  </si>
  <si>
    <t>RNF214</t>
  </si>
  <si>
    <t>ZNRF1</t>
  </si>
  <si>
    <t>LSM14A</t>
  </si>
  <si>
    <t>CCNY</t>
  </si>
  <si>
    <t>SLAIN1</t>
  </si>
  <si>
    <t>MAPK1IP1L</t>
  </si>
  <si>
    <t>C1orf131</t>
  </si>
  <si>
    <t>EHBP1</t>
  </si>
  <si>
    <t>RBM15B</t>
  </si>
  <si>
    <t>SMC1B</t>
  </si>
  <si>
    <t>C3orf58</t>
  </si>
  <si>
    <t>TMEM104</t>
  </si>
  <si>
    <t>CNNM3</t>
  </si>
  <si>
    <t>ABCF1</t>
  </si>
  <si>
    <t>MCU</t>
  </si>
  <si>
    <t>PIK3C3</t>
  </si>
  <si>
    <t>GSTCD</t>
  </si>
  <si>
    <t>SRFBP1</t>
  </si>
  <si>
    <t>DDHD1</t>
  </si>
  <si>
    <t>SHCBP1</t>
  </si>
  <si>
    <t>PDZD8</t>
  </si>
  <si>
    <t>VPS37A</t>
  </si>
  <si>
    <t>FBXO22</t>
  </si>
  <si>
    <t>LPCAT1</t>
  </si>
  <si>
    <t>BOD1L1</t>
  </si>
  <si>
    <t>FLAD1</t>
  </si>
  <si>
    <t>NUP43</t>
  </si>
  <si>
    <t>NUP37</t>
  </si>
  <si>
    <t>ENGASE</t>
  </si>
  <si>
    <t>TOR1AIP2</t>
  </si>
  <si>
    <t>TSTD1</t>
  </si>
  <si>
    <t>IPMK</t>
  </si>
  <si>
    <t>ABHD11</t>
  </si>
  <si>
    <t>CMAS</t>
  </si>
  <si>
    <t>KBTBD8</t>
  </si>
  <si>
    <t>CADM4</t>
  </si>
  <si>
    <t>TSPAN14</t>
  </si>
  <si>
    <t>TTL</t>
  </si>
  <si>
    <t>SVIP</t>
  </si>
  <si>
    <t>ZNRF2</t>
  </si>
  <si>
    <t>MOSPD2</t>
  </si>
  <si>
    <t>PLBD2</t>
  </si>
  <si>
    <t>DDX55</t>
  </si>
  <si>
    <t>TDRD7</t>
  </si>
  <si>
    <t>GIMAP7</t>
  </si>
  <si>
    <t>NEDD1</t>
  </si>
  <si>
    <t>CDC26</t>
  </si>
  <si>
    <t>NCOA7</t>
  </si>
  <si>
    <t>MCFD2</t>
  </si>
  <si>
    <t>THOC2</t>
  </si>
  <si>
    <t>WDR36</t>
  </si>
  <si>
    <t>PPTC7</t>
  </si>
  <si>
    <t>RP9</t>
  </si>
  <si>
    <t>PSMA8</t>
  </si>
  <si>
    <t>GRPEL2</t>
  </si>
  <si>
    <t>VANGL1</t>
  </si>
  <si>
    <t>RFESD</t>
  </si>
  <si>
    <t>SNIP1</t>
  </si>
  <si>
    <t>GADD45GIP1</t>
  </si>
  <si>
    <t>WDR48</t>
  </si>
  <si>
    <t>CEP76</t>
  </si>
  <si>
    <t>PPP1R35</t>
  </si>
  <si>
    <t>MPLKIP</t>
  </si>
  <si>
    <t>SMARCC2</t>
  </si>
  <si>
    <t>NPLOC4</t>
  </si>
  <si>
    <t>FAM76A</t>
  </si>
  <si>
    <t>FAM110D</t>
  </si>
  <si>
    <t>CXorf38</t>
  </si>
  <si>
    <t>SPATA20</t>
  </si>
  <si>
    <t>GDAP1</t>
  </si>
  <si>
    <t>NUBPL</t>
  </si>
  <si>
    <t>FBXO30</t>
  </si>
  <si>
    <t>SLC35B2</t>
  </si>
  <si>
    <t>PUM2</t>
  </si>
  <si>
    <t>ITFG1</t>
  </si>
  <si>
    <t>GOLGA5</t>
  </si>
  <si>
    <t>KLHDC4</t>
  </si>
  <si>
    <t>UBA3</t>
  </si>
  <si>
    <t>NANP</t>
  </si>
  <si>
    <t>ZCRB1</t>
  </si>
  <si>
    <t>RAB3IL1</t>
  </si>
  <si>
    <t>SLC25A40</t>
  </si>
  <si>
    <t>TMEM167A</t>
  </si>
  <si>
    <t>PIP4K2C</t>
  </si>
  <si>
    <t>WDR20</t>
  </si>
  <si>
    <t>TRMT10A</t>
  </si>
  <si>
    <t>TBC1D15</t>
  </si>
  <si>
    <t>RDH11</t>
  </si>
  <si>
    <t>SEC61A2</t>
  </si>
  <si>
    <t>LRRC20</t>
  </si>
  <si>
    <t>C18orf32</t>
  </si>
  <si>
    <t>NT5C</t>
  </si>
  <si>
    <t>FAM45A</t>
  </si>
  <si>
    <t>KIAA1524</t>
  </si>
  <si>
    <t>PI4K2B</t>
  </si>
  <si>
    <t>STT3B</t>
  </si>
  <si>
    <t>PNPT1</t>
  </si>
  <si>
    <t>SPPL3</t>
  </si>
  <si>
    <t>SPPL2A</t>
  </si>
  <si>
    <t>HM13</t>
  </si>
  <si>
    <t>URGCP</t>
  </si>
  <si>
    <t>CD99L2</t>
  </si>
  <si>
    <t>MAPK15</t>
  </si>
  <si>
    <t>BICD2</t>
  </si>
  <si>
    <t>NEK9</t>
  </si>
  <si>
    <t>GPT2</t>
  </si>
  <si>
    <t>PLEKHO2</t>
  </si>
  <si>
    <t>DTX3L</t>
  </si>
  <si>
    <t>BRSK1</t>
  </si>
  <si>
    <t>DDX54</t>
  </si>
  <si>
    <t>BLOC1S5</t>
  </si>
  <si>
    <t>CHD5</t>
  </si>
  <si>
    <t>DMXL2</t>
  </si>
  <si>
    <t>GNPDA2</t>
  </si>
  <si>
    <t>LRRC8C</t>
  </si>
  <si>
    <t>NEK7</t>
  </si>
  <si>
    <t>RB1CC1</t>
  </si>
  <si>
    <t>MICAL1</t>
  </si>
  <si>
    <t>PANK1</t>
  </si>
  <si>
    <t>NSUN6</t>
  </si>
  <si>
    <t>TBCK</t>
  </si>
  <si>
    <t>DTD1</t>
  </si>
  <si>
    <t>DCAF11</t>
  </si>
  <si>
    <t>UTP15</t>
  </si>
  <si>
    <t>DENND1A</t>
  </si>
  <si>
    <t>NUP210</t>
  </si>
  <si>
    <t>SNX29</t>
  </si>
  <si>
    <t>GEMIN5</t>
  </si>
  <si>
    <t>PIGO</t>
  </si>
  <si>
    <t>PARD3</t>
  </si>
  <si>
    <t>IPO4</t>
  </si>
  <si>
    <t>PNISR</t>
  </si>
  <si>
    <t>PPP4R1</t>
  </si>
  <si>
    <t>UBASH3B</t>
  </si>
  <si>
    <t>C2CD4C</t>
  </si>
  <si>
    <t>SLC16A10</t>
  </si>
  <si>
    <t>WIPF2</t>
  </si>
  <si>
    <t>ABHD5</t>
  </si>
  <si>
    <t>SETD7</t>
  </si>
  <si>
    <t>COG1</t>
  </si>
  <si>
    <t>PYROXD1</t>
  </si>
  <si>
    <t>MZB1</t>
  </si>
  <si>
    <t>SCFD2</t>
  </si>
  <si>
    <t>SMAP2</t>
  </si>
  <si>
    <t>ZC3H15</t>
  </si>
  <si>
    <t>PPIL4</t>
  </si>
  <si>
    <t>TSKU</t>
  </si>
  <si>
    <t>PHF10</t>
  </si>
  <si>
    <t>RAB2B</t>
  </si>
  <si>
    <t>PPP1R13L</t>
  </si>
  <si>
    <t>FAM172A</t>
  </si>
  <si>
    <t>CHURC1</t>
  </si>
  <si>
    <t>TGFBRAP1</t>
  </si>
  <si>
    <t>C12orf23</t>
  </si>
  <si>
    <t>HDAC7</t>
  </si>
  <si>
    <t>STYX</t>
  </si>
  <si>
    <t>NUP133</t>
  </si>
  <si>
    <t>PDCD6IP</t>
  </si>
  <si>
    <t>SLC20A1</t>
  </si>
  <si>
    <t>UBTD2</t>
  </si>
  <si>
    <t>C15orf40</t>
  </si>
  <si>
    <t>CHAC2</t>
  </si>
  <si>
    <t>CHMP7</t>
  </si>
  <si>
    <t>THEM6</t>
  </si>
  <si>
    <t>NAT14</t>
  </si>
  <si>
    <t>NSMCE1</t>
  </si>
  <si>
    <t>PHLDA1</t>
  </si>
  <si>
    <t>NUDT8</t>
  </si>
  <si>
    <t>MITD1</t>
  </si>
  <si>
    <t>CHTF18</t>
  </si>
  <si>
    <t>LEO1</t>
  </si>
  <si>
    <t>RNF138</t>
  </si>
  <si>
    <t>RNF141</t>
  </si>
  <si>
    <t>N6AMT2</t>
  </si>
  <si>
    <t>NUDCD2</t>
  </si>
  <si>
    <t>SNRNP27</t>
  </si>
  <si>
    <t>SKA2</t>
  </si>
  <si>
    <t>ANKRD49</t>
  </si>
  <si>
    <t>TFB1M</t>
  </si>
  <si>
    <t>SCFD1</t>
  </si>
  <si>
    <t>CANT1</t>
  </si>
  <si>
    <t>TRAPPC12</t>
  </si>
  <si>
    <t>FAR1</t>
  </si>
  <si>
    <t>UBLCP1</t>
  </si>
  <si>
    <t>KBTBD7</t>
  </si>
  <si>
    <t>TSEN15</t>
  </si>
  <si>
    <t>PCNP</t>
  </si>
  <si>
    <t>SPRYD4</t>
  </si>
  <si>
    <t>C1orf85</t>
  </si>
  <si>
    <t>C2orf47</t>
  </si>
  <si>
    <t>TRUB1</t>
  </si>
  <si>
    <t>SLC44A1</t>
  </si>
  <si>
    <t>CKAP2</t>
  </si>
  <si>
    <t>CCNB3</t>
  </si>
  <si>
    <t>ATXN2L</t>
  </si>
  <si>
    <t>GIMAP1</t>
  </si>
  <si>
    <t>RTN4IP1</t>
  </si>
  <si>
    <t>RASSF5</t>
  </si>
  <si>
    <t>SELM</t>
  </si>
  <si>
    <t>PRPF31</t>
  </si>
  <si>
    <t>NELFB</t>
  </si>
  <si>
    <t>PALLD</t>
  </si>
  <si>
    <t>SREK1</t>
  </si>
  <si>
    <t>GEMIN6</t>
  </si>
  <si>
    <t>CASKIN2</t>
  </si>
  <si>
    <t>ATRIP</t>
  </si>
  <si>
    <t>PSPC1</t>
  </si>
  <si>
    <t>MADD</t>
  </si>
  <si>
    <t>SYNE2</t>
  </si>
  <si>
    <t>GATAD2B</t>
  </si>
  <si>
    <t>DNAH7</t>
  </si>
  <si>
    <t>DNAJC9</t>
  </si>
  <si>
    <t>BRI3BP</t>
  </si>
  <si>
    <t>PPM1E</t>
  </si>
  <si>
    <t>CTNNBL1</t>
  </si>
  <si>
    <t>ING5</t>
  </si>
  <si>
    <t>ATG4A</t>
  </si>
  <si>
    <t>AHCTF1</t>
  </si>
  <si>
    <t>DGCR8</t>
  </si>
  <si>
    <t>LGALS9</t>
  </si>
  <si>
    <t>OVCA2</t>
  </si>
  <si>
    <t>LZIC</t>
  </si>
  <si>
    <t>IRGQ</t>
  </si>
  <si>
    <t>DDB2</t>
  </si>
  <si>
    <t>AQP3</t>
  </si>
  <si>
    <t>DDX1</t>
  </si>
  <si>
    <t>SEC14L1</t>
  </si>
  <si>
    <t>SLC39A7</t>
  </si>
  <si>
    <t>HSD17B8</t>
  </si>
  <si>
    <t>PIEZO1</t>
  </si>
  <si>
    <t>FAM3C</t>
  </si>
  <si>
    <t>H1FX</t>
  </si>
  <si>
    <t>CCT6B</t>
  </si>
  <si>
    <t>SLC7A6</t>
  </si>
  <si>
    <t>KIAA0247</t>
  </si>
  <si>
    <t>GBF1</t>
  </si>
  <si>
    <t>RTF1</t>
  </si>
  <si>
    <t>TM9SF4</t>
  </si>
  <si>
    <t>RGP1</t>
  </si>
  <si>
    <t>TOPBP1</t>
  </si>
  <si>
    <t>IP6K1</t>
  </si>
  <si>
    <t>MRPS27</t>
  </si>
  <si>
    <t>ELMO1</t>
  </si>
  <si>
    <t>WASF1</t>
  </si>
  <si>
    <t>FAM168A</t>
  </si>
  <si>
    <t>AP3S1</t>
  </si>
  <si>
    <t>UBXN4</t>
  </si>
  <si>
    <t>PHF3</t>
  </si>
  <si>
    <t>SLC9A6</t>
  </si>
  <si>
    <t>MAML1</t>
  </si>
  <si>
    <t>NDRG1</t>
  </si>
  <si>
    <t>HSPH1</t>
  </si>
  <si>
    <t>RQCD1</t>
  </si>
  <si>
    <t>DOCK2</t>
  </si>
  <si>
    <t>TBC1D5</t>
  </si>
  <si>
    <t>EDEM1</t>
  </si>
  <si>
    <t>PHF16</t>
  </si>
  <si>
    <t>MYO18A</t>
  </si>
  <si>
    <t>LARP4B</t>
  </si>
  <si>
    <t>GCN1L1</t>
  </si>
  <si>
    <t>HMHA1</t>
  </si>
  <si>
    <t>DHX38</t>
  </si>
  <si>
    <t>NUP205</t>
  </si>
  <si>
    <t>TTC9</t>
  </si>
  <si>
    <t>PXDN</t>
  </si>
  <si>
    <t>NSMAF</t>
  </si>
  <si>
    <t>MRPS31</t>
  </si>
  <si>
    <t>AKAP1</t>
  </si>
  <si>
    <t>SORL1</t>
  </si>
  <si>
    <t>NRGN</t>
  </si>
  <si>
    <t>ANP32B</t>
  </si>
  <si>
    <t>PVRL2</t>
  </si>
  <si>
    <t>RABGGTA</t>
  </si>
  <si>
    <t>TFG</t>
  </si>
  <si>
    <t>USP6NL</t>
  </si>
  <si>
    <t>ARPC1A</t>
  </si>
  <si>
    <t>GTF2H4</t>
  </si>
  <si>
    <t>RREB1</t>
  </si>
  <si>
    <t>DDX12P</t>
  </si>
  <si>
    <t>STAM</t>
  </si>
  <si>
    <t>DPF3</t>
  </si>
  <si>
    <t>DPF2</t>
  </si>
  <si>
    <t>CREBBP</t>
  </si>
  <si>
    <t>SYMPK</t>
  </si>
  <si>
    <t>TAF15</t>
  </si>
  <si>
    <t>GGH</t>
  </si>
  <si>
    <t>CORO2A</t>
  </si>
  <si>
    <t>RPGR</t>
  </si>
  <si>
    <t>BCL2L2</t>
  </si>
  <si>
    <t>TANK</t>
  </si>
  <si>
    <t>CASP10</t>
  </si>
  <si>
    <t>SEMA4D</t>
  </si>
  <si>
    <t>NEO1</t>
  </si>
  <si>
    <t>PMM1</t>
  </si>
  <si>
    <t>RAD50</t>
  </si>
  <si>
    <t>OSTF1</t>
  </si>
  <si>
    <t>ERCC4</t>
  </si>
  <si>
    <t>GLG1</t>
  </si>
  <si>
    <t>UPF1</t>
  </si>
  <si>
    <t>COPS5</t>
  </si>
  <si>
    <t>GPKOW</t>
  </si>
  <si>
    <t>SMARCC1</t>
  </si>
  <si>
    <t>RAB8B</t>
  </si>
  <si>
    <t>BAD</t>
  </si>
  <si>
    <t>KHSRP</t>
  </si>
  <si>
    <t>GCDH</t>
  </si>
  <si>
    <t>PEX13</t>
  </si>
  <si>
    <t>TNPO1</t>
  </si>
  <si>
    <t>EMG1</t>
  </si>
  <si>
    <t>GLMN</t>
  </si>
  <si>
    <t>BRF1</t>
  </si>
  <si>
    <t>USP13</t>
  </si>
  <si>
    <t>USP9X</t>
  </si>
  <si>
    <t>NAT6</t>
  </si>
  <si>
    <t>CUL5</t>
  </si>
  <si>
    <t>LPP</t>
  </si>
  <si>
    <t>EXT2</t>
  </si>
  <si>
    <t>TATDN2</t>
  </si>
  <si>
    <t>ATP2A3</t>
  </si>
  <si>
    <t>PTP4A1</t>
  </si>
  <si>
    <t>PHKB</t>
  </si>
  <si>
    <t>SCAMP4</t>
  </si>
  <si>
    <t>TCEAL3</t>
  </si>
  <si>
    <t>TSR2</t>
  </si>
  <si>
    <t>NKD2</t>
  </si>
  <si>
    <t>SMARCE1</t>
  </si>
  <si>
    <t>RFK</t>
  </si>
  <si>
    <t>POP5</t>
  </si>
  <si>
    <t>C19orf10</t>
  </si>
  <si>
    <t>TOMM40L</t>
  </si>
  <si>
    <t>YIPF5</t>
  </si>
  <si>
    <t>PIGT</t>
  </si>
  <si>
    <t>IGSF8</t>
  </si>
  <si>
    <t>RPL36AL</t>
  </si>
  <si>
    <t>RAB24</t>
  </si>
  <si>
    <t>L3MBTL2</t>
  </si>
  <si>
    <t>ITFG2</t>
  </si>
  <si>
    <t>ZNF622</t>
  </si>
  <si>
    <t>GFM2</t>
  </si>
  <si>
    <t>NT5C3B</t>
  </si>
  <si>
    <t>NCLN</t>
  </si>
  <si>
    <t>MUL1</t>
  </si>
  <si>
    <t>RILPL2</t>
  </si>
  <si>
    <t>ERGIC1</t>
  </si>
  <si>
    <t>CIRH1A</t>
  </si>
  <si>
    <t>GTPBP3</t>
  </si>
  <si>
    <t>TBRG4</t>
  </si>
  <si>
    <t>CCDC102A</t>
  </si>
  <si>
    <t>SLC35C1</t>
  </si>
  <si>
    <t>CCDC47</t>
  </si>
  <si>
    <t>ISL2</t>
  </si>
  <si>
    <t>SYAP1</t>
  </si>
  <si>
    <t>EXOC4</t>
  </si>
  <si>
    <t>KIAA1191</t>
  </si>
  <si>
    <t>NTAN1</t>
  </si>
  <si>
    <t>FERMT2</t>
  </si>
  <si>
    <t>FUBP1</t>
  </si>
  <si>
    <t>SLC25A46</t>
  </si>
  <si>
    <t>LRRC59</t>
  </si>
  <si>
    <t>VTI1A</t>
  </si>
  <si>
    <t>ACD</t>
  </si>
  <si>
    <t>PBXIP1</t>
  </si>
  <si>
    <t>MCUR1</t>
  </si>
  <si>
    <t>KIAA1143</t>
  </si>
  <si>
    <t>RPE</t>
  </si>
  <si>
    <t>RAB37</t>
  </si>
  <si>
    <t>RAD51AP1</t>
  </si>
  <si>
    <t>C18orf25</t>
  </si>
  <si>
    <t>EXOSC8</t>
  </si>
  <si>
    <t>AKT1S1</t>
  </si>
  <si>
    <t>C10orf32</t>
  </si>
  <si>
    <t>TOMM6</t>
  </si>
  <si>
    <t>LENG9</t>
  </si>
  <si>
    <t>SH3KBP1</t>
  </si>
  <si>
    <t>RNF25</t>
  </si>
  <si>
    <t>APH1A</t>
  </si>
  <si>
    <t>PINX1</t>
  </si>
  <si>
    <t>ARL8A</t>
  </si>
  <si>
    <t>FAM105B</t>
  </si>
  <si>
    <t>CHCHD1</t>
  </si>
  <si>
    <t>PPWD1</t>
  </si>
  <si>
    <t>SELRC1</t>
  </si>
  <si>
    <t>ALKBH8</t>
  </si>
  <si>
    <t>UPRT</t>
  </si>
  <si>
    <t>PTER</t>
  </si>
  <si>
    <t>MOB3A</t>
  </si>
  <si>
    <t>ATG2B</t>
  </si>
  <si>
    <t>LENG1</t>
  </si>
  <si>
    <t>TBC1D20</t>
  </si>
  <si>
    <t>FAM136A</t>
  </si>
  <si>
    <t>EFHD2</t>
  </si>
  <si>
    <t>PYCR2</t>
  </si>
  <si>
    <t>C12orf43</t>
  </si>
  <si>
    <t>DCPS</t>
  </si>
  <si>
    <t>PPP1R14B</t>
  </si>
  <si>
    <t>INTS12</t>
  </si>
  <si>
    <t>NSUN4</t>
  </si>
  <si>
    <t>FBXL8</t>
  </si>
  <si>
    <t>PPCDC</t>
  </si>
  <si>
    <t>TIFA</t>
  </si>
  <si>
    <t>EVI5L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</si>
  <si>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</si>
  <si>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</si>
  <si>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</si>
  <si>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</si>
  <si>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</si>
  <si>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</si>
  <si>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</si>
  <si>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</si>
  <si>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</si>
  <si>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</si>
  <si>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</si>
  <si>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KCTD12</t>
  </si>
  <si>
    <t>LRRC58</t>
  </si>
  <si>
    <t>C10orf35</t>
  </si>
  <si>
    <t>ORAI1</t>
  </si>
  <si>
    <t>ADCK4</t>
  </si>
  <si>
    <t>REPS1</t>
  </si>
  <si>
    <t>HVCN1</t>
  </si>
  <si>
    <t>RAB39B</t>
  </si>
  <si>
    <t>DNAJC19</t>
  </si>
  <si>
    <t>RMDN1</t>
  </si>
  <si>
    <t>OTUB2</t>
  </si>
  <si>
    <t>ANAPC16</t>
  </si>
  <si>
    <t>DGCR14</t>
  </si>
  <si>
    <t>MSI2</t>
  </si>
  <si>
    <t>SNRNP40</t>
  </si>
  <si>
    <t>ARHGEF26</t>
  </si>
  <si>
    <t>ATG4C</t>
  </si>
  <si>
    <t>SLAMF6</t>
  </si>
  <si>
    <t>MRPL38</t>
  </si>
  <si>
    <t>RSPRY1</t>
  </si>
  <si>
    <t>TRIM44</t>
  </si>
  <si>
    <t>ERLEC1</t>
  </si>
  <si>
    <t>FAM122A</t>
  </si>
  <si>
    <t>MRRF</t>
  </si>
  <si>
    <t>RMI2</t>
  </si>
  <si>
    <t>NUS1</t>
  </si>
  <si>
    <t>C9orf9</t>
  </si>
  <si>
    <t>OMA1</t>
  </si>
  <si>
    <t>SPDL1</t>
  </si>
  <si>
    <t>ELP4</t>
  </si>
  <si>
    <t>SIRT1</t>
  </si>
  <si>
    <t>YIPF6</t>
  </si>
  <si>
    <t>SEH1L</t>
  </si>
  <si>
    <t>MALSU1</t>
  </si>
  <si>
    <t>THAP11</t>
  </si>
  <si>
    <t>KIAA1279</t>
  </si>
  <si>
    <t>GNPNAT1</t>
  </si>
  <si>
    <t>KTI12</t>
  </si>
  <si>
    <t>MRPS24</t>
  </si>
  <si>
    <t>MRPL53</t>
  </si>
  <si>
    <t>L3HYPDH</t>
  </si>
  <si>
    <t>RNF31</t>
  </si>
  <si>
    <t>DAZAP1</t>
  </si>
  <si>
    <t>SGTB</t>
  </si>
  <si>
    <t>SAAL1</t>
  </si>
  <si>
    <t>CCDC51</t>
  </si>
  <si>
    <t>CCDC101</t>
  </si>
  <si>
    <t>RRP36</t>
  </si>
  <si>
    <t>RBM33</t>
  </si>
  <si>
    <t>DTNBP1</t>
  </si>
  <si>
    <t>HSPBAP1</t>
  </si>
  <si>
    <t>SMIM12</t>
  </si>
  <si>
    <t>WDR34</t>
  </si>
  <si>
    <t>DNAJA3</t>
  </si>
  <si>
    <t>MVB12A</t>
  </si>
  <si>
    <t>PTCD3</t>
  </si>
  <si>
    <t>MMAB</t>
  </si>
  <si>
    <t>ADAT3</t>
  </si>
  <si>
    <t>GIMAP5</t>
  </si>
  <si>
    <t>NRBF2</t>
  </si>
  <si>
    <t>TRIM11</t>
  </si>
  <si>
    <t>IL17RA</t>
  </si>
  <si>
    <t>CCDC97</t>
  </si>
  <si>
    <t>EDC3</t>
  </si>
  <si>
    <t>DDX11</t>
  </si>
  <si>
    <t>CDCA5</t>
  </si>
  <si>
    <t>MEF2BNB</t>
  </si>
  <si>
    <t>STAMBPL1</t>
  </si>
  <si>
    <t>DYNLL2</t>
  </si>
  <si>
    <t>WDR89</t>
  </si>
  <si>
    <t>CPNE2</t>
  </si>
  <si>
    <t>DTD2</t>
  </si>
  <si>
    <t>SIPA1</t>
  </si>
  <si>
    <t>THOC1</t>
  </si>
  <si>
    <t>DPH3</t>
  </si>
  <si>
    <t>TRMT61A</t>
  </si>
  <si>
    <t>C3orf37</t>
  </si>
  <si>
    <t>CHMP6</t>
  </si>
  <si>
    <t>PGM2</t>
  </si>
  <si>
    <t>MED8</t>
  </si>
  <si>
    <t>CCDC104</t>
  </si>
  <si>
    <t>DUS3L</t>
  </si>
  <si>
    <t>NUDT11</t>
  </si>
  <si>
    <t>OTUD5</t>
  </si>
  <si>
    <t>LTV1</t>
  </si>
  <si>
    <t>PDXP</t>
  </si>
  <si>
    <t>AURKB</t>
  </si>
  <si>
    <t>RNF185</t>
  </si>
  <si>
    <t>DCUN1D1</t>
  </si>
  <si>
    <t>FAHD2A</t>
  </si>
  <si>
    <t>SMARCD1</t>
  </si>
  <si>
    <t>TOE1</t>
  </si>
  <si>
    <t>DDX27</t>
  </si>
  <si>
    <t>C17orf59</t>
  </si>
  <si>
    <t>ABHD17A</t>
  </si>
  <si>
    <t>MARS2</t>
  </si>
  <si>
    <t>ATXN7L3B</t>
  </si>
  <si>
    <t>MASTL</t>
  </si>
  <si>
    <t>APIP</t>
  </si>
  <si>
    <t>ZC2HC1A</t>
  </si>
  <si>
    <t>SNF8</t>
  </si>
  <si>
    <t>CENPN</t>
  </si>
  <si>
    <t>ZC3HAV1L</t>
  </si>
  <si>
    <t>ZNF764</t>
  </si>
  <si>
    <t>C1orf159</t>
  </si>
  <si>
    <t>PDLIM5</t>
  </si>
  <si>
    <t>ACY3</t>
  </si>
  <si>
    <t>ERO1L</t>
  </si>
  <si>
    <t>C7orf55</t>
  </si>
  <si>
    <t>AHCYL2</t>
  </si>
  <si>
    <t>CDKN2AIPNL</t>
  </si>
  <si>
    <t>MED30</t>
  </si>
  <si>
    <t>NAF1</t>
  </si>
  <si>
    <t>REEP6</t>
  </si>
  <si>
    <t>PGAM5</t>
  </si>
  <si>
    <t>INTS4</t>
  </si>
  <si>
    <t>DDRGK1</t>
  </si>
  <si>
    <t>DHTKD1</t>
  </si>
  <si>
    <t>SCLY</t>
  </si>
  <si>
    <t>FUBP3</t>
  </si>
  <si>
    <t>RBM17</t>
  </si>
  <si>
    <t>COX14</t>
  </si>
  <si>
    <t>NARS2</t>
  </si>
  <si>
    <t>SUCLG2</t>
  </si>
  <si>
    <t>AJUBA</t>
  </si>
  <si>
    <t>GMPPA</t>
  </si>
  <si>
    <t>BOD1</t>
  </si>
  <si>
    <t>ZNF414</t>
  </si>
  <si>
    <t>ZNF845</t>
  </si>
  <si>
    <t>ZBED3</t>
  </si>
  <si>
    <t>ABHD14B</t>
  </si>
  <si>
    <t>NGLY1</t>
  </si>
  <si>
    <t>USMG5</t>
  </si>
  <si>
    <t>NSL1</t>
  </si>
  <si>
    <t>PAWR</t>
  </si>
  <si>
    <t>RSRC1</t>
  </si>
  <si>
    <t>THOC3</t>
  </si>
  <si>
    <t>ITCH</t>
  </si>
  <si>
    <t>KIRREL</t>
  </si>
  <si>
    <t>EPSTI1</t>
  </si>
  <si>
    <t>COG3</t>
  </si>
  <si>
    <t>CDK5RAP3</t>
  </si>
  <si>
    <t>VPS39</t>
  </si>
  <si>
    <t>EAF1</t>
  </si>
  <si>
    <t>CCDC132</t>
  </si>
  <si>
    <t>VCPIP1</t>
  </si>
  <si>
    <t>TMX3</t>
  </si>
  <si>
    <t>CHAMP1</t>
  </si>
  <si>
    <t>ZFP91</t>
  </si>
  <si>
    <t>CLMN</t>
  </si>
  <si>
    <t>PDLIM2</t>
  </si>
  <si>
    <t>RNF170</t>
  </si>
  <si>
    <t>C8orf76</t>
  </si>
  <si>
    <t>ZC3H10</t>
  </si>
  <si>
    <t>CLPTM1L</t>
  </si>
  <si>
    <t>PBK</t>
  </si>
  <si>
    <t>DNAJC1</t>
  </si>
  <si>
    <t>ZNF512B</t>
  </si>
  <si>
    <t>EXOC2</t>
  </si>
  <si>
    <t>CNDP2</t>
  </si>
  <si>
    <t>PPP1R13B</t>
  </si>
  <si>
    <t>ZFR</t>
  </si>
  <si>
    <t>LRR1</t>
  </si>
  <si>
    <t>EP400</t>
  </si>
  <si>
    <t>SNX27</t>
  </si>
  <si>
    <t>KIF16B</t>
  </si>
  <si>
    <t>PRMT6</t>
  </si>
  <si>
    <t>DHRS1</t>
  </si>
  <si>
    <t>UBE2E2</t>
  </si>
  <si>
    <t>C9orf72</t>
  </si>
  <si>
    <t>IMMP1L</t>
  </si>
  <si>
    <t>C9orf89</t>
  </si>
  <si>
    <t>CNBD2</t>
  </si>
  <si>
    <t>PRRC1</t>
  </si>
  <si>
    <t>HIAT1</t>
  </si>
  <si>
    <t>C9orf85</t>
  </si>
  <si>
    <t>FBXL18</t>
  </si>
  <si>
    <t>NDNL2</t>
  </si>
  <si>
    <t>PCMTD1</t>
  </si>
  <si>
    <t>HEXIM2</t>
  </si>
  <si>
    <t>TMEM68</t>
  </si>
  <si>
    <t>ZNF48</t>
  </si>
  <si>
    <t>WDR92</t>
  </si>
  <si>
    <t>C20orf112</t>
  </si>
  <si>
    <t>C7orf26</t>
  </si>
  <si>
    <t>JAKMIP1</t>
  </si>
  <si>
    <t>TTC14</t>
  </si>
  <si>
    <t>MBOAT7</t>
  </si>
  <si>
    <t>DOCK7</t>
  </si>
  <si>
    <t>FOPNL</t>
  </si>
  <si>
    <t>SFXN2</t>
  </si>
  <si>
    <t>ZNF830</t>
  </si>
  <si>
    <t>ZMAT2</t>
  </si>
  <si>
    <t>ZFP3</t>
  </si>
  <si>
    <t>C8orf37</t>
  </si>
  <si>
    <t>CCDC115</t>
  </si>
  <si>
    <t>NAP1L5</t>
  </si>
  <si>
    <t>NSUN5</t>
  </si>
  <si>
    <t>RPRD1A</t>
  </si>
  <si>
    <t>IPO9</t>
  </si>
  <si>
    <t>DCBLD2</t>
  </si>
  <si>
    <t>MCEE</t>
  </si>
  <si>
    <t>RBM14</t>
  </si>
  <si>
    <t>RCHY1</t>
  </si>
  <si>
    <t>UHRF2</t>
  </si>
  <si>
    <t>NEDD4L</t>
  </si>
  <si>
    <t>QKI</t>
  </si>
  <si>
    <t>LENG8</t>
  </si>
  <si>
    <t>NEK1</t>
  </si>
  <si>
    <t>PUS7</t>
  </si>
  <si>
    <t>FAM111A</t>
  </si>
  <si>
    <t>TRAPPC9</t>
  </si>
  <si>
    <t>TRNT1</t>
  </si>
  <si>
    <t>TMEM237</t>
  </si>
  <si>
    <t>ALKBH3</t>
  </si>
  <si>
    <t>PPP1R10</t>
  </si>
  <si>
    <t>SLC38A2</t>
  </si>
  <si>
    <t>SLC2A13</t>
  </si>
  <si>
    <t>RAB3IP</t>
  </si>
  <si>
    <t>VPS35</t>
  </si>
  <si>
    <t>PURB</t>
  </si>
  <si>
    <t>HHIP</t>
  </si>
  <si>
    <t>MAGI1</t>
  </si>
  <si>
    <t>SPAG5</t>
  </si>
  <si>
    <t>PANX1</t>
  </si>
  <si>
    <t>NACC1</t>
  </si>
  <si>
    <t>PASK</t>
  </si>
  <si>
    <t>VPS13A</t>
  </si>
  <si>
    <t>MED15</t>
  </si>
  <si>
    <t>GFM1</t>
  </si>
  <si>
    <t>PEO1</t>
  </si>
  <si>
    <t>CAMKK2</t>
  </si>
  <si>
    <t>TGS1</t>
  </si>
  <si>
    <t>NUDCD1</t>
  </si>
  <si>
    <t>ERBB2IP</t>
  </si>
  <si>
    <t>C16orf13</t>
  </si>
  <si>
    <t>TP53RK</t>
  </si>
  <si>
    <t>PIGS</t>
  </si>
  <si>
    <t>WRNIP1</t>
  </si>
  <si>
    <t>RANBP9</t>
  </si>
  <si>
    <t>CLCC1</t>
  </si>
  <si>
    <t>UBL7</t>
  </si>
  <si>
    <t>LYSMD1</t>
  </si>
  <si>
    <t>CCNL2</t>
  </si>
  <si>
    <t>MYADM</t>
  </si>
  <si>
    <t>PLEKHF1</t>
  </si>
  <si>
    <t>PPP1R9B</t>
  </si>
  <si>
    <t>SRPK1</t>
  </si>
  <si>
    <t>SMC6</t>
  </si>
  <si>
    <t>KCTD15</t>
  </si>
  <si>
    <t>TMEM209</t>
  </si>
  <si>
    <t>FIZ1</t>
  </si>
  <si>
    <t>ORAI2</t>
  </si>
  <si>
    <t>IWS1</t>
  </si>
  <si>
    <t>SIN3A</t>
  </si>
  <si>
    <t>ADO</t>
  </si>
  <si>
    <t>RBM15</t>
  </si>
  <si>
    <t>RUFY1</t>
  </si>
  <si>
    <t>SPEN</t>
  </si>
  <si>
    <t>PNKP</t>
  </si>
  <si>
    <t>MMS19</t>
  </si>
  <si>
    <t>SLC9A7</t>
  </si>
  <si>
    <t>UHRF1</t>
  </si>
  <si>
    <t>FAM129B</t>
  </si>
  <si>
    <t>YME1L1</t>
  </si>
  <si>
    <t>RMDN3</t>
  </si>
  <si>
    <t>TCF12</t>
  </si>
  <si>
    <t>MYCBP</t>
  </si>
  <si>
    <t>TBCB</t>
  </si>
  <si>
    <t>PSMB7</t>
  </si>
  <si>
    <t>SEC62</t>
  </si>
  <si>
    <t>PCYT2</t>
  </si>
  <si>
    <t>CDC5L</t>
  </si>
  <si>
    <t>PSMD1</t>
  </si>
  <si>
    <t>SDF2</t>
  </si>
  <si>
    <t>PFDN5</t>
  </si>
  <si>
    <t>PAFAH2</t>
  </si>
  <si>
    <t>AGAP2</t>
  </si>
  <si>
    <t>RNF2</t>
  </si>
  <si>
    <t>PARK7</t>
  </si>
  <si>
    <t>GAS2L1</t>
  </si>
  <si>
    <t>EYA3</t>
  </si>
  <si>
    <t>NEU1</t>
  </si>
  <si>
    <t>SORT1</t>
  </si>
  <si>
    <t>VAT1</t>
  </si>
  <si>
    <t>DNAJC2</t>
  </si>
  <si>
    <t>MPHOSPH8</t>
  </si>
  <si>
    <t>NUP88</t>
  </si>
  <si>
    <t>PIK3R4</t>
  </si>
  <si>
    <t>POP1</t>
  </si>
  <si>
    <t>MNT</t>
  </si>
  <si>
    <t>TIMM17A</t>
  </si>
  <si>
    <t>TSNAX</t>
  </si>
  <si>
    <t>NDN</t>
  </si>
  <si>
    <t>SEPHS2</t>
  </si>
  <si>
    <t>TTC1</t>
  </si>
  <si>
    <t>DNAJC7</t>
  </si>
  <si>
    <t>CDCA3</t>
  </si>
  <si>
    <t>C12orf57</t>
  </si>
  <si>
    <t>PHB2</t>
  </si>
  <si>
    <t>PRPF18</t>
  </si>
  <si>
    <t>RAD9A</t>
  </si>
  <si>
    <t>CHP1</t>
  </si>
  <si>
    <t>KIF2C</t>
  </si>
  <si>
    <t>CGREF1</t>
  </si>
  <si>
    <t>DOK1</t>
  </si>
  <si>
    <t>MTR</t>
  </si>
  <si>
    <t>HSD17B10</t>
  </si>
  <si>
    <t>SEPT5</t>
  </si>
  <si>
    <t>SIGMAR1</t>
  </si>
  <si>
    <t>NAP1L4</t>
  </si>
  <si>
    <t>NAPG</t>
  </si>
  <si>
    <t>TXN2</t>
  </si>
  <si>
    <t>ATP5S</t>
  </si>
  <si>
    <t>GPA33</t>
  </si>
  <si>
    <t>MIPEP</t>
  </si>
  <si>
    <t>TM9SF2</t>
  </si>
  <si>
    <t>SLC29A1</t>
  </si>
  <si>
    <t>TSG101</t>
  </si>
  <si>
    <t>CPNE1</t>
  </si>
  <si>
    <t>CCT7</t>
  </si>
  <si>
    <t>ARID3A</t>
  </si>
  <si>
    <t>HIST1H2BM</t>
  </si>
  <si>
    <t>PTPN18</t>
  </si>
  <si>
    <t>DUSP9</t>
  </si>
  <si>
    <t>SH3GL1</t>
  </si>
  <si>
    <t>SH3GL3</t>
  </si>
  <si>
    <t>AKAP9</t>
  </si>
  <si>
    <t>NIPSNAP1</t>
  </si>
  <si>
    <t>NCAPG</t>
  </si>
  <si>
    <t>ARPC5L</t>
  </si>
  <si>
    <t>C7orf25</t>
  </si>
  <si>
    <t>PAIP2</t>
  </si>
  <si>
    <t>RBM4B</t>
  </si>
  <si>
    <t>DDX50</t>
  </si>
  <si>
    <t>ELAC2</t>
  </si>
  <si>
    <t>C19orf43</t>
  </si>
  <si>
    <t>GRWD1</t>
  </si>
  <si>
    <t>MACROD1</t>
  </si>
  <si>
    <t>TCF25</t>
  </si>
  <si>
    <t>ECSIT</t>
  </si>
  <si>
    <t>WDR77</t>
  </si>
  <si>
    <t>C17orf62</t>
  </si>
  <si>
    <t>DPH2</t>
  </si>
  <si>
    <t>BCL7B</t>
  </si>
  <si>
    <t>SENP7</t>
  </si>
  <si>
    <t>AIF1L</t>
  </si>
  <si>
    <t>EIF2AK1</t>
  </si>
  <si>
    <t>MGME1</t>
  </si>
  <si>
    <t>ACBD6</t>
  </si>
  <si>
    <t>CORO1B</t>
  </si>
  <si>
    <t>LSMD1</t>
  </si>
  <si>
    <t>TXNDC17</t>
  </si>
  <si>
    <t>PIGQ</t>
  </si>
  <si>
    <t>BUD13</t>
  </si>
  <si>
    <t>CPPED1</t>
  </si>
  <si>
    <t>VPS25</t>
  </si>
  <si>
    <t>MRPL45</t>
  </si>
  <si>
    <t>SDF4</t>
  </si>
  <si>
    <t>SRSF8</t>
  </si>
  <si>
    <t>PDCD2L</t>
  </si>
  <si>
    <t>PAAF1</t>
  </si>
  <si>
    <t>WIBG</t>
  </si>
  <si>
    <t>ZKSCAN3</t>
  </si>
  <si>
    <t>ADPGK</t>
  </si>
  <si>
    <t>GPATCH1</t>
  </si>
  <si>
    <t>RIOK1</t>
  </si>
  <si>
    <t>MNF1</t>
  </si>
  <si>
    <t>MIEN1</t>
  </si>
  <si>
    <t>GINS4</t>
  </si>
  <si>
    <t>SIKE1</t>
  </si>
  <si>
    <t>PELO</t>
  </si>
  <si>
    <t>GINS3</t>
  </si>
  <si>
    <t>FAM213A</t>
  </si>
  <si>
    <t>WDR83</t>
  </si>
  <si>
    <t>TRIM56</t>
  </si>
  <si>
    <t>ERP44</t>
  </si>
  <si>
    <t>ATG101</t>
  </si>
  <si>
    <t>NTPCR</t>
  </si>
  <si>
    <t>HERPUD2</t>
  </si>
  <si>
    <t>C19orf52</t>
  </si>
  <si>
    <t>TACO1</t>
  </si>
  <si>
    <t>HDHD3</t>
  </si>
  <si>
    <t>TINF2</t>
  </si>
  <si>
    <t>C17orf80</t>
  </si>
  <si>
    <t>ESYT1</t>
  </si>
  <si>
    <t>SLC25A33</t>
  </si>
  <si>
    <t>UBAC1</t>
  </si>
  <si>
    <t>YIPF4</t>
  </si>
  <si>
    <t>C16orf70</t>
  </si>
  <si>
    <t>TSEN34</t>
  </si>
  <si>
    <t>EFCAB4B</t>
  </si>
  <si>
    <t>DESI2</t>
  </si>
  <si>
    <t>CNPY3</t>
  </si>
  <si>
    <t>ALG1</t>
  </si>
  <si>
    <t>LIMD2</t>
  </si>
  <si>
    <t>HAUS8</t>
  </si>
  <si>
    <t>ALKBH7</t>
  </si>
  <si>
    <t>PSMG3</t>
  </si>
  <si>
    <t>COPS4</t>
  </si>
  <si>
    <t>TCHP</t>
  </si>
  <si>
    <t>WAC</t>
  </si>
  <si>
    <t>DIDO1</t>
  </si>
  <si>
    <t>DCTN5</t>
  </si>
  <si>
    <t>MCMBP</t>
  </si>
  <si>
    <t>AARSD1</t>
  </si>
  <si>
    <t>DCUN1D5</t>
  </si>
  <si>
    <t>FAM103A1</t>
  </si>
  <si>
    <t>LRFN3</t>
  </si>
  <si>
    <t>ANP32E</t>
  </si>
  <si>
    <t>MED10</t>
  </si>
  <si>
    <t>LRRC1</t>
  </si>
  <si>
    <t>PI4K2A</t>
  </si>
  <si>
    <t>TMEM43</t>
  </si>
  <si>
    <t>FSD1</t>
  </si>
  <si>
    <t>WDR85</t>
  </si>
  <si>
    <t>CABLES2</t>
  </si>
  <si>
    <t>TMEM48</t>
  </si>
  <si>
    <t>TTPAL</t>
  </si>
  <si>
    <t>FAM203A</t>
  </si>
  <si>
    <t>DHRS4</t>
  </si>
  <si>
    <t>THTPA</t>
  </si>
  <si>
    <t>LMF2</t>
  </si>
  <si>
    <t>NDUFAF3</t>
  </si>
  <si>
    <t>CENPO</t>
  </si>
  <si>
    <t>MMTAG2</t>
  </si>
  <si>
    <t>DOHH</t>
  </si>
  <si>
    <t>C11orf84</t>
  </si>
  <si>
    <t>MKNK1</t>
  </si>
  <si>
    <t>TMEM70</t>
  </si>
  <si>
    <t>MED18</t>
  </si>
  <si>
    <t>TUBB6</t>
  </si>
  <si>
    <t>C9orf142</t>
  </si>
  <si>
    <t>POLR3C</t>
  </si>
  <si>
    <t>HNRNPUL1</t>
  </si>
  <si>
    <t>RPP25</t>
  </si>
  <si>
    <t>CCDC28B</t>
  </si>
  <si>
    <t>EFHD1</t>
  </si>
  <si>
    <t>DDX23</t>
  </si>
  <si>
    <t>WRAP53</t>
  </si>
  <si>
    <t>BDH2</t>
  </si>
  <si>
    <t>FAM195A</t>
  </si>
  <si>
    <t>C9orf16</t>
  </si>
  <si>
    <t>ALG12</t>
  </si>
  <si>
    <t>C1orf50</t>
  </si>
  <si>
    <t>MRI1</t>
  </si>
  <si>
    <t>ABHD6</t>
  </si>
  <si>
    <t>WDR18</t>
  </si>
  <si>
    <t>THUMPD3</t>
  </si>
  <si>
    <t>ADI1</t>
  </si>
  <si>
    <t>RNF126</t>
  </si>
  <si>
    <t>MECR</t>
  </si>
  <si>
    <t>EMC6</t>
  </si>
  <si>
    <t>NTMT1</t>
  </si>
  <si>
    <t>KATNB1</t>
  </si>
  <si>
    <t>DSCC1</t>
  </si>
  <si>
    <t>MLST8</t>
  </si>
  <si>
    <t>C2orf49</t>
  </si>
  <si>
    <t>TMEM109</t>
  </si>
  <si>
    <t>PHF20</t>
  </si>
  <si>
    <t>NOC4L</t>
  </si>
  <si>
    <t>UTP14A</t>
  </si>
  <si>
    <t>TMED9</t>
  </si>
  <si>
    <t>NUPL1</t>
  </si>
  <si>
    <t>SELO</t>
  </si>
  <si>
    <t>GGACT</t>
  </si>
  <si>
    <t>GNL3</t>
  </si>
  <si>
    <t>SPATA5L1</t>
  </si>
  <si>
    <t>RIOK2</t>
  </si>
  <si>
    <t>TRMT61B</t>
  </si>
  <si>
    <t>TIMM21</t>
  </si>
  <si>
    <t>TIPIN</t>
  </si>
  <si>
    <t>KIFC1</t>
  </si>
  <si>
    <t>NUP85</t>
  </si>
  <si>
    <t>ELOVL1</t>
  </si>
  <si>
    <t>DDA1</t>
  </si>
  <si>
    <t>KATNAL1</t>
  </si>
  <si>
    <t>HIRIP3</t>
  </si>
  <si>
    <t>IFT27</t>
  </si>
  <si>
    <t>CCDC94</t>
  </si>
  <si>
    <t>NUDT9</t>
  </si>
  <si>
    <t>TARS2</t>
  </si>
  <si>
    <t>ACAT2</t>
  </si>
  <si>
    <t>REPIN1</t>
  </si>
  <si>
    <t>RBM4</t>
  </si>
  <si>
    <t>SCNM1</t>
  </si>
  <si>
    <t>FUNDC2</t>
  </si>
  <si>
    <t>RPAP1</t>
  </si>
  <si>
    <t>SF3B5</t>
  </si>
  <si>
    <t>MRI</t>
  </si>
  <si>
    <t>SFXN3</t>
  </si>
  <si>
    <t>PAPOLG</t>
  </si>
  <si>
    <t>MND1</t>
  </si>
  <si>
    <t>SLC4A1AP</t>
  </si>
  <si>
    <t>SSBP3</t>
  </si>
  <si>
    <t>LSM14B</t>
  </si>
  <si>
    <t>BRIP1</t>
  </si>
  <si>
    <t>SORBS1</t>
  </si>
  <si>
    <t>JAM3</t>
  </si>
  <si>
    <t>HINT2</t>
  </si>
  <si>
    <t>SGPP1</t>
  </si>
  <si>
    <t>OSBPL11</t>
  </si>
  <si>
    <t>RAB11FIP5</t>
  </si>
  <si>
    <t>BBC3</t>
  </si>
  <si>
    <t>TBC1D10A</t>
  </si>
  <si>
    <t>NAA15</t>
  </si>
  <si>
    <t>KLF16</t>
  </si>
  <si>
    <t>BCL2L13</t>
  </si>
  <si>
    <t>HEMGN</t>
  </si>
  <si>
    <t>CARD11</t>
  </si>
  <si>
    <t>SLC12A9</t>
  </si>
  <si>
    <t>SRRT</t>
  </si>
  <si>
    <t>QTRT1</t>
  </si>
  <si>
    <t>AP1M1</t>
  </si>
  <si>
    <t>NUSAP1</t>
  </si>
  <si>
    <t>C14orf142</t>
  </si>
  <si>
    <t>OSBPL1A</t>
  </si>
  <si>
    <t>CECR5</t>
  </si>
  <si>
    <t>FANCD2</t>
  </si>
  <si>
    <t>MAK16</t>
  </si>
  <si>
    <t>DGCR6L</t>
  </si>
  <si>
    <t>ITPA</t>
  </si>
  <si>
    <t>RTFDC1</t>
  </si>
  <si>
    <t>CHMP4A</t>
  </si>
  <si>
    <t>EIF2A</t>
  </si>
  <si>
    <t>PECR</t>
  </si>
  <si>
    <t>POLDIP3</t>
  </si>
  <si>
    <t>GNB1L</t>
  </si>
  <si>
    <t>FUT8</t>
  </si>
  <si>
    <t>MRPL32</t>
  </si>
  <si>
    <t>MRPL1</t>
  </si>
  <si>
    <t>PARD6B</t>
  </si>
  <si>
    <t>RBCK1</t>
  </si>
  <si>
    <t>SRXN1</t>
  </si>
  <si>
    <t>MRPS26</t>
  </si>
  <si>
    <t>STK33</t>
  </si>
  <si>
    <t>NLN</t>
  </si>
  <si>
    <t>CEP41</t>
  </si>
  <si>
    <t>SETD2</t>
  </si>
  <si>
    <t>TBC1D2</t>
  </si>
  <si>
    <t>PANK2</t>
  </si>
  <si>
    <t>FRMD8</t>
  </si>
  <si>
    <t>WHSC1L1</t>
  </si>
  <si>
    <t>TXLNG2P</t>
  </si>
  <si>
    <t>SLC29A3</t>
  </si>
  <si>
    <t>NUF2</t>
  </si>
  <si>
    <t>MRPL37</t>
  </si>
  <si>
    <t>PUS3</t>
  </si>
  <si>
    <t>GTPBP4</t>
  </si>
  <si>
    <t>ASPSCR1</t>
  </si>
  <si>
    <t>OSBPL8</t>
  </si>
  <si>
    <t>WDR11</t>
  </si>
  <si>
    <t>UPF3B</t>
  </si>
  <si>
    <t>TBL1XR1</t>
  </si>
  <si>
    <t>UBL5</t>
  </si>
  <si>
    <t>PLA2G12A</t>
  </si>
  <si>
    <t>ULBP2</t>
  </si>
  <si>
    <t>UCK2</t>
  </si>
  <si>
    <t>API5</t>
  </si>
  <si>
    <t>DPY30</t>
  </si>
  <si>
    <t>TRIM9</t>
  </si>
  <si>
    <t>TRIM4</t>
  </si>
  <si>
    <t>FAM117A</t>
  </si>
  <si>
    <t>UNK</t>
  </si>
  <si>
    <t>FTO</t>
  </si>
  <si>
    <t>ZDHHC5</t>
  </si>
  <si>
    <t>TANGO6</t>
  </si>
  <si>
    <t>TNKS1BP1</t>
  </si>
  <si>
    <t>SEMA4C</t>
  </si>
  <si>
    <t>ZYG11B</t>
  </si>
  <si>
    <t>TANC1</t>
  </si>
  <si>
    <t>CEP44</t>
  </si>
  <si>
    <t>TTYH3</t>
  </si>
  <si>
    <t>MTMR12</t>
  </si>
  <si>
    <t>WDR33</t>
  </si>
  <si>
    <t>BCL11B</t>
  </si>
  <si>
    <t>SLC39A8</t>
  </si>
  <si>
    <t>STRADB</t>
  </si>
  <si>
    <t>WDR12</t>
  </si>
  <si>
    <t>ACTR6</t>
  </si>
  <si>
    <t>C20orf27</t>
  </si>
  <si>
    <t>PITHD1</t>
  </si>
  <si>
    <t>DERL2</t>
  </si>
  <si>
    <t>COMMD5</t>
  </si>
  <si>
    <t>POLR1E</t>
  </si>
  <si>
    <t>WDR61</t>
  </si>
  <si>
    <t>SLIRP</t>
  </si>
  <si>
    <t>NIF3L1</t>
  </si>
  <si>
    <t>EGLN1</t>
  </si>
  <si>
    <t>FAM192A</t>
  </si>
  <si>
    <t>TWSG1</t>
  </si>
  <si>
    <t>MFF</t>
  </si>
  <si>
    <t>UBA5</t>
  </si>
  <si>
    <t>LHPP</t>
  </si>
  <si>
    <t>MTFR1L</t>
  </si>
  <si>
    <t>TMEM126A</t>
  </si>
  <si>
    <t>PAIP1</t>
  </si>
  <si>
    <t>CLPB</t>
  </si>
  <si>
    <t>MIS12</t>
  </si>
  <si>
    <t>RAB33B</t>
  </si>
  <si>
    <t>LSG1</t>
  </si>
  <si>
    <t>NAT10</t>
  </si>
  <si>
    <t>COMMD4</t>
  </si>
  <si>
    <t>KLC2</t>
  </si>
  <si>
    <t>ILKAP</t>
  </si>
  <si>
    <t>XRN2</t>
  </si>
  <si>
    <t>TOLLIP</t>
  </si>
  <si>
    <t>SHARPIN</t>
  </si>
  <si>
    <t>ARL6</t>
  </si>
  <si>
    <t>NSRP1</t>
  </si>
  <si>
    <t>RACGAP1</t>
  </si>
  <si>
    <t>PARP12</t>
  </si>
  <si>
    <t>PUS7L</t>
  </si>
  <si>
    <t>CSTF2T</t>
  </si>
  <si>
    <t>NT5C3A</t>
  </si>
  <si>
    <t>HDHD2</t>
  </si>
  <si>
    <t>QRSL1</t>
  </si>
  <si>
    <t>DDX47</t>
  </si>
  <si>
    <t>MAGT1</t>
  </si>
  <si>
    <t>RAB1B</t>
  </si>
  <si>
    <t>TSPYL1</t>
  </si>
  <si>
    <t>LMAN2L</t>
  </si>
  <si>
    <t>SMG9</t>
  </si>
  <si>
    <t>C11orf54</t>
  </si>
  <si>
    <t>ITFG3</t>
  </si>
  <si>
    <t>NAPB</t>
  </si>
  <si>
    <t>DNTTIP1</t>
  </si>
  <si>
    <t>SIL1</t>
  </si>
  <si>
    <t>METTL9</t>
  </si>
  <si>
    <t>ANAPC1</t>
  </si>
  <si>
    <t>IRF2BPL</t>
  </si>
  <si>
    <t>POLR3F</t>
  </si>
  <si>
    <t>NUCKS1</t>
  </si>
  <si>
    <t>TMX4</t>
  </si>
  <si>
    <t>ASCC2</t>
  </si>
  <si>
    <t>UPF3A</t>
  </si>
  <si>
    <t>ZFYVE20</t>
  </si>
  <si>
    <t>ISCU</t>
  </si>
  <si>
    <t>ATG5</t>
  </si>
  <si>
    <t>WDR13</t>
  </si>
  <si>
    <t>MED28</t>
  </si>
  <si>
    <t>EHD4</t>
  </si>
  <si>
    <t>C1orf21</t>
  </si>
  <si>
    <t>SPTBN4</t>
  </si>
  <si>
    <t>VPS33B</t>
  </si>
  <si>
    <t>VPS16</t>
  </si>
  <si>
    <t>VPS11</t>
  </si>
  <si>
    <t>GAN</t>
  </si>
  <si>
    <t>SLC25A32</t>
  </si>
  <si>
    <t>TRIOBP</t>
  </si>
  <si>
    <t>SLK</t>
  </si>
  <si>
    <t>PPIL3</t>
  </si>
  <si>
    <t>PDCL3</t>
  </si>
  <si>
    <t>MTIF3</t>
  </si>
  <si>
    <t>TAOK3</t>
  </si>
  <si>
    <t>RAB3GAP2</t>
  </si>
  <si>
    <t>ADNP</t>
  </si>
  <si>
    <t>DPH5</t>
  </si>
  <si>
    <t>PPA2</t>
  </si>
  <si>
    <t>MIXL1</t>
  </si>
  <si>
    <t>MRPL46</t>
  </si>
  <si>
    <t>ZNF106</t>
  </si>
  <si>
    <t>PARL</t>
  </si>
  <si>
    <t>PNN</t>
  </si>
  <si>
    <t>TMEM245</t>
  </si>
  <si>
    <t>GGNBP2</t>
  </si>
  <si>
    <t>KCTD10</t>
  </si>
  <si>
    <t>CPVL</t>
  </si>
  <si>
    <t>TRIT1</t>
  </si>
  <si>
    <t>C11orf68</t>
  </si>
  <si>
    <t>DPAGT1</t>
  </si>
  <si>
    <t>BOLA2</t>
  </si>
  <si>
    <t>TMX1</t>
  </si>
  <si>
    <t>NELFA</t>
  </si>
  <si>
    <t>ACBD3</t>
  </si>
  <si>
    <t>CENPH</t>
  </si>
  <si>
    <t>PTPN23</t>
  </si>
  <si>
    <t>UNC45A</t>
  </si>
  <si>
    <t>MFSD1</t>
  </si>
  <si>
    <t>DNAJC5</t>
  </si>
  <si>
    <t>LIME1</t>
  </si>
  <si>
    <t>DSN1</t>
  </si>
  <si>
    <t>C1orf198</t>
  </si>
  <si>
    <t>CHMP4B</t>
  </si>
  <si>
    <t>CUEDC2</t>
  </si>
  <si>
    <t>RBKS</t>
  </si>
  <si>
    <t>POFUT1</t>
  </si>
  <si>
    <t>PIGU</t>
  </si>
  <si>
    <t>IFRG15</t>
  </si>
  <si>
    <t>TOR3A</t>
  </si>
  <si>
    <t>RNPEP</t>
  </si>
  <si>
    <t>GOLPH3L</t>
  </si>
  <si>
    <t>GOLPH3</t>
  </si>
  <si>
    <t>OSGEPL1</t>
  </si>
  <si>
    <t>DEF6</t>
  </si>
  <si>
    <t>GLIPR2</t>
  </si>
  <si>
    <t>FAM83D</t>
  </si>
  <si>
    <t>ZHX3</t>
  </si>
  <si>
    <t>OSBPL3</t>
  </si>
  <si>
    <t>SMARCAD1</t>
  </si>
  <si>
    <t>EHD1</t>
  </si>
  <si>
    <t>RNF41</t>
  </si>
  <si>
    <t>RGCC</t>
  </si>
  <si>
    <t>PCIF1</t>
  </si>
  <si>
    <t>ESF1</t>
  </si>
  <si>
    <t>ALG2</t>
  </si>
  <si>
    <t>HEATR1</t>
  </si>
  <si>
    <t>SGK196</t>
  </si>
  <si>
    <t>RABEP2</t>
  </si>
  <si>
    <t>TFB2M</t>
  </si>
  <si>
    <t>CXorf56</t>
  </si>
  <si>
    <t>FAM96A</t>
  </si>
  <si>
    <t>HAUS4</t>
  </si>
  <si>
    <t>CCDC134</t>
  </si>
  <si>
    <t>CCDC86</t>
  </si>
  <si>
    <t>REEP4</t>
  </si>
  <si>
    <t>C6orf106</t>
  </si>
  <si>
    <t>OPA3</t>
  </si>
  <si>
    <t>TMEM231</t>
  </si>
  <si>
    <t>FAM134B</t>
  </si>
  <si>
    <t>TASP1</t>
  </si>
  <si>
    <t>NARFL</t>
  </si>
  <si>
    <t>DHX33</t>
  </si>
  <si>
    <t>NOL6</t>
  </si>
  <si>
    <t>ZDHHC6</t>
  </si>
  <si>
    <t>YTHDC2</t>
  </si>
  <si>
    <t>RPAP3</t>
  </si>
  <si>
    <t>BCAS3</t>
  </si>
  <si>
    <t>ALG9</t>
  </si>
  <si>
    <t>NO66</t>
  </si>
  <si>
    <t>ANTXR1</t>
  </si>
  <si>
    <t>WDR55</t>
  </si>
  <si>
    <t>RANBP3</t>
  </si>
  <si>
    <t>DCTPP1</t>
  </si>
  <si>
    <t>ELAC1</t>
  </si>
  <si>
    <t>SMYD3</t>
  </si>
  <si>
    <t>WDR26</t>
  </si>
  <si>
    <t>TDRD3</t>
  </si>
  <si>
    <t>C8orf33</t>
  </si>
  <si>
    <t>ATP13A3</t>
  </si>
  <si>
    <t>TMEM185B</t>
  </si>
  <si>
    <t>METTL17</t>
  </si>
  <si>
    <t>PPP1R3E</t>
  </si>
  <si>
    <t>SUDS3</t>
  </si>
  <si>
    <t>C10orf54</t>
  </si>
  <si>
    <t>SCAF1</t>
  </si>
  <si>
    <t>CCSER2</t>
  </si>
  <si>
    <t>ZNF696</t>
  </si>
  <si>
    <t>NRDE2</t>
  </si>
  <si>
    <t>KAT8</t>
  </si>
  <si>
    <t>PTGES2</t>
  </si>
  <si>
    <t>TMEM206</t>
  </si>
  <si>
    <t>PHAX</t>
  </si>
  <si>
    <t>UBE2Z</t>
  </si>
  <si>
    <t>ACAD9</t>
  </si>
  <si>
    <t>NT5DC2</t>
  </si>
  <si>
    <t>METTL21D</t>
  </si>
  <si>
    <t>RMND5A</t>
  </si>
  <si>
    <t>PRKRIP1</t>
  </si>
  <si>
    <t>CAAP1</t>
  </si>
  <si>
    <t>NOL11</t>
  </si>
  <si>
    <t>BRD9</t>
  </si>
  <si>
    <t>CNNM2</t>
  </si>
  <si>
    <t>FAM188A</t>
  </si>
  <si>
    <t>SRD5A3</t>
  </si>
  <si>
    <t>MOB1A</t>
  </si>
  <si>
    <t>ZFAND3</t>
  </si>
  <si>
    <t>FAM204A</t>
  </si>
  <si>
    <t>PLEKHF2</t>
  </si>
  <si>
    <t>ANKZF1</t>
  </si>
  <si>
    <t>GORASP2</t>
  </si>
  <si>
    <t>ZWILCH</t>
  </si>
  <si>
    <t>MTHFD2L</t>
  </si>
  <si>
    <t>SLC25A22</t>
  </si>
  <si>
    <t>MED20</t>
  </si>
  <si>
    <t>QTRTD1</t>
  </si>
  <si>
    <t>WDR54</t>
  </si>
  <si>
    <t>ACTR8</t>
  </si>
  <si>
    <t>C6orf211</t>
  </si>
  <si>
    <t>PANK3</t>
  </si>
  <si>
    <t>CNOT10</t>
  </si>
  <si>
    <t>LRRC40</t>
  </si>
  <si>
    <t>RMI1</t>
  </si>
  <si>
    <t>SFXN1</t>
  </si>
  <si>
    <t>ACTR5</t>
  </si>
  <si>
    <t>AGO3</t>
  </si>
  <si>
    <t>VPS37B</t>
  </si>
  <si>
    <t>L2HGDH</t>
  </si>
  <si>
    <t>NHEJ1</t>
  </si>
  <si>
    <t>FKRP</t>
  </si>
  <si>
    <t>ELP3</t>
  </si>
  <si>
    <t>JMJD4</t>
  </si>
  <si>
    <t>GPN2</t>
  </si>
  <si>
    <t>POLR1B</t>
  </si>
  <si>
    <t>ZMAT3</t>
  </si>
  <si>
    <t>UCK1</t>
  </si>
  <si>
    <t>FN3KRP</t>
  </si>
  <si>
    <t>TBC1D17</t>
  </si>
  <si>
    <t>CARS2</t>
  </si>
  <si>
    <t>RSAD1</t>
  </si>
  <si>
    <t>PPCS</t>
  </si>
  <si>
    <t>WDR41</t>
  </si>
  <si>
    <t>MEAF6</t>
  </si>
  <si>
    <t>SAP30L</t>
  </si>
  <si>
    <t>NMNAT1</t>
  </si>
  <si>
    <t>SIAE</t>
  </si>
  <si>
    <t>PELI2</t>
  </si>
  <si>
    <t>UPF2</t>
  </si>
  <si>
    <t>XPO5</t>
  </si>
  <si>
    <t>GRPEL1</t>
  </si>
  <si>
    <t>CLSPN</t>
  </si>
  <si>
    <t>C12orf10</t>
  </si>
  <si>
    <t>BCL2L12</t>
  </si>
  <si>
    <t>PLEKHA2</t>
  </si>
  <si>
    <t>PLEKHA3</t>
  </si>
  <si>
    <t>PLEKHA1</t>
  </si>
  <si>
    <t>SCPEP1</t>
  </si>
  <si>
    <t>CACYBP</t>
  </si>
  <si>
    <t>RRAGC</t>
  </si>
  <si>
    <t>SMARCA4</t>
  </si>
  <si>
    <t>ZFYVE1</t>
  </si>
  <si>
    <t>RHOF</t>
  </si>
  <si>
    <t>PDF</t>
  </si>
  <si>
    <t>RDH14</t>
  </si>
  <si>
    <t>PARVG</t>
  </si>
  <si>
    <t>PLGRKT</t>
  </si>
  <si>
    <t>NMRAL1</t>
  </si>
  <si>
    <t>SPC25</t>
  </si>
  <si>
    <t>TAF9B</t>
  </si>
  <si>
    <t>AGPAT1</t>
  </si>
  <si>
    <t>SLC38A10</t>
  </si>
  <si>
    <t>ETNK1</t>
  </si>
  <si>
    <t>SLC25A19</t>
  </si>
  <si>
    <t>EML4</t>
  </si>
  <si>
    <t>RNMTL1</t>
  </si>
  <si>
    <t>GLOD4</t>
  </si>
  <si>
    <t>GPBP1L1</t>
  </si>
  <si>
    <t>CBX8</t>
  </si>
  <si>
    <t>MCCC2</t>
  </si>
  <si>
    <t>NCOA5</t>
  </si>
  <si>
    <t>MOV10</t>
  </si>
  <si>
    <t>METTL14</t>
  </si>
  <si>
    <t>TNRC6C</t>
  </si>
  <si>
    <t>ANKH</t>
  </si>
  <si>
    <t>RAVER2</t>
  </si>
  <si>
    <t>CHD8</t>
  </si>
  <si>
    <t>GPAM</t>
  </si>
  <si>
    <t>ZFP14</t>
  </si>
  <si>
    <t>TMEM8A</t>
  </si>
  <si>
    <t>GPN1</t>
  </si>
  <si>
    <t>SDF2L1</t>
  </si>
  <si>
    <t>CSNK1G1</t>
  </si>
  <si>
    <t>PREB</t>
  </si>
  <si>
    <t>SRA1</t>
  </si>
  <si>
    <t>ATP13A1</t>
  </si>
  <si>
    <t>GOPC</t>
  </si>
  <si>
    <t>LYRM4</t>
  </si>
  <si>
    <t>SEPSECS</t>
  </si>
  <si>
    <t>TM9SF3</t>
  </si>
  <si>
    <t>RANGRF</t>
  </si>
  <si>
    <t>RETN</t>
  </si>
  <si>
    <t>JPH1</t>
  </si>
  <si>
    <t>APMAP</t>
  </si>
  <si>
    <t>ABCB6</t>
  </si>
  <si>
    <t>HMG20A</t>
  </si>
  <si>
    <t>RAB18</t>
  </si>
  <si>
    <t>ALG13</t>
  </si>
  <si>
    <t>SSU72</t>
  </si>
  <si>
    <t>VTA1</t>
  </si>
  <si>
    <t>MRPS30</t>
  </si>
  <si>
    <t>EMC7</t>
  </si>
  <si>
    <t>MID1IP1</t>
  </si>
  <si>
    <t>ENY2</t>
  </si>
  <si>
    <t>GPCPD1</t>
  </si>
  <si>
    <t>EXOSC4</t>
  </si>
  <si>
    <t>NRN1</t>
  </si>
  <si>
    <t>UBE2T</t>
  </si>
  <si>
    <t>NGRN</t>
  </si>
  <si>
    <t>NOP10</t>
  </si>
  <si>
    <t>CD320</t>
  </si>
  <si>
    <t>OSGEP</t>
  </si>
  <si>
    <t>ACP6</t>
  </si>
  <si>
    <t>IL1RAP</t>
  </si>
  <si>
    <t>DCP1A</t>
  </si>
  <si>
    <t>ACOT13</t>
  </si>
  <si>
    <t>NXT2</t>
  </si>
  <si>
    <t>TIMMDC1</t>
  </si>
  <si>
    <t>RIC8A</t>
  </si>
  <si>
    <t>GPR108</t>
  </si>
  <si>
    <t>LUC7L</t>
  </si>
  <si>
    <t>TMEM9B</t>
  </si>
  <si>
    <t>PPAN</t>
  </si>
  <si>
    <t>TIGAR</t>
  </si>
  <si>
    <t>COPRS</t>
  </si>
  <si>
    <t>HINT3</t>
  </si>
  <si>
    <t>MANBAL</t>
  </si>
  <si>
    <t>RPRD1B</t>
  </si>
  <si>
    <t>XPNPEP3</t>
  </si>
  <si>
    <t>PFDN4</t>
  </si>
  <si>
    <t>NIT2</t>
  </si>
  <si>
    <t>AVEN</t>
  </si>
  <si>
    <t>EXOSC5</t>
  </si>
  <si>
    <t>EXOSC3</t>
  </si>
  <si>
    <t>KIF13B</t>
  </si>
  <si>
    <t>ANLN</t>
  </si>
  <si>
    <t>XPNPEP1</t>
  </si>
  <si>
    <t>GPHN</t>
  </si>
  <si>
    <t>UTP3</t>
  </si>
  <si>
    <t>STARD7</t>
  </si>
  <si>
    <t>ZC4H2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</si>
  <si>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</si>
  <si>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</si>
  <si>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</si>
  <si>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</si>
  <si>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</si>
  <si>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</si>
  <si>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</si>
  <si>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</si>
  <si>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BATF3</t>
  </si>
  <si>
    <t>PXMP2</t>
  </si>
  <si>
    <t>SLC17A5</t>
  </si>
  <si>
    <t>PICK1</t>
  </si>
  <si>
    <t>POLE3</t>
  </si>
  <si>
    <t>CHRAC1</t>
  </si>
  <si>
    <t>SMYD2</t>
  </si>
  <si>
    <t>SDR39U1</t>
  </si>
  <si>
    <t>AAAS</t>
  </si>
  <si>
    <t>YAE1D1</t>
  </si>
  <si>
    <t>ABCB10</t>
  </si>
  <si>
    <t>BAZ1A</t>
  </si>
  <si>
    <t>STRN4</t>
  </si>
  <si>
    <t>AASDHPPT</t>
  </si>
  <si>
    <t>METTL5</t>
  </si>
  <si>
    <t>OSTC</t>
  </si>
  <si>
    <t>CMC2</t>
  </si>
  <si>
    <t>ACN9</t>
  </si>
  <si>
    <t>UBQLN4</t>
  </si>
  <si>
    <t>CDC42SE1</t>
  </si>
  <si>
    <t>SNX15</t>
  </si>
  <si>
    <t>HEBP1</t>
  </si>
  <si>
    <t>RAB6B</t>
  </si>
  <si>
    <t>VPS45</t>
  </si>
  <si>
    <t>PNO1</t>
  </si>
  <si>
    <t>PHPT1</t>
  </si>
  <si>
    <t>INIP</t>
  </si>
  <si>
    <t>ARHGAP35</t>
  </si>
  <si>
    <t>FAM114A2</t>
  </si>
  <si>
    <t>PLSCR3</t>
  </si>
  <si>
    <t>AGPAT4</t>
  </si>
  <si>
    <t>AGPAT3</t>
  </si>
  <si>
    <t>HELLS</t>
  </si>
  <si>
    <t>TOMM22</t>
  </si>
  <si>
    <t>LANCL2</t>
  </si>
  <si>
    <t>KIF15</t>
  </si>
  <si>
    <t>RAD18</t>
  </si>
  <si>
    <t>TM7SF3</t>
  </si>
  <si>
    <t>CTNNBIP1</t>
  </si>
  <si>
    <t>HOMER2</t>
  </si>
  <si>
    <t>HOMER3</t>
  </si>
  <si>
    <t>FARSB</t>
  </si>
  <si>
    <t>IARS2</t>
  </si>
  <si>
    <t>FAM207A</t>
  </si>
  <si>
    <t>SAMSN1</t>
  </si>
  <si>
    <t>KLC4</t>
  </si>
  <si>
    <t>TREX1</t>
  </si>
  <si>
    <t>BMP2K</t>
  </si>
  <si>
    <t>ATG3</t>
  </si>
  <si>
    <t>SIRT3</t>
  </si>
  <si>
    <t>PDS5B</t>
  </si>
  <si>
    <t>SMC4</t>
  </si>
  <si>
    <t>SACM1L</t>
  </si>
  <si>
    <t>CUTC</t>
  </si>
  <si>
    <t>SLC35D1</t>
  </si>
  <si>
    <t>ECHDC1</t>
  </si>
  <si>
    <t>RBM12</t>
  </si>
  <si>
    <t>TBC1D22B</t>
  </si>
  <si>
    <t>MDN1</t>
  </si>
  <si>
    <t>LYRM2</t>
  </si>
  <si>
    <t>ACSS1</t>
  </si>
  <si>
    <t>ZCCHC3</t>
  </si>
  <si>
    <t>ZDHHC18</t>
  </si>
  <si>
    <t>PDRG1</t>
  </si>
  <si>
    <t>ABHD10</t>
  </si>
  <si>
    <t>C19orf66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</si>
  <si>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</si>
  <si>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</si>
  <si>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</si>
  <si>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</si>
  <si>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</si>
  <si>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</si>
  <si>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</si>
  <si>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</si>
  <si>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</si>
  <si>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</si>
  <si>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AP5S1</t>
  </si>
  <si>
    <t>DDX19A</t>
  </si>
  <si>
    <t>TDP1</t>
  </si>
  <si>
    <t>POT1</t>
  </si>
  <si>
    <t>DCAF13</t>
  </si>
  <si>
    <t>IMP3</t>
  </si>
  <si>
    <t>NUDT15</t>
  </si>
  <si>
    <t>MRGBP</t>
  </si>
  <si>
    <t>EXOC1</t>
  </si>
  <si>
    <t>INTS9</t>
  </si>
  <si>
    <t>TMEM30A</t>
  </si>
  <si>
    <t>UQCC</t>
  </si>
  <si>
    <t>TMEM184C</t>
  </si>
  <si>
    <t>SLC38A7</t>
  </si>
  <si>
    <t>MED17</t>
  </si>
  <si>
    <t>PANK4</t>
  </si>
  <si>
    <t>FBXO28</t>
  </si>
  <si>
    <t>TBC1D13</t>
  </si>
  <si>
    <t>EXD2</t>
  </si>
  <si>
    <t>DNAJC11</t>
  </si>
  <si>
    <t>INTS7</t>
  </si>
  <si>
    <t>TMLHE</t>
  </si>
  <si>
    <t>FANCI</t>
  </si>
  <si>
    <t>ATAD3A</t>
  </si>
  <si>
    <t>ARL8B</t>
  </si>
  <si>
    <t>FGFR1OP2</t>
  </si>
  <si>
    <t>PRMT7</t>
  </si>
  <si>
    <t>DNAJC17</t>
  </si>
  <si>
    <t>ASUN</t>
  </si>
  <si>
    <t>GNL3L</t>
  </si>
  <si>
    <t>DDX18</t>
  </si>
  <si>
    <t>ASF1B</t>
  </si>
  <si>
    <t>KLHL11</t>
  </si>
  <si>
    <t>INTS10</t>
  </si>
  <si>
    <t>DNAAF2</t>
  </si>
  <si>
    <t>PNPO</t>
  </si>
  <si>
    <t>ARMC1</t>
  </si>
  <si>
    <t>POLR3E</t>
  </si>
  <si>
    <t>SDAD1</t>
  </si>
  <si>
    <t>TMEM38B</t>
  </si>
  <si>
    <t>MTPAP</t>
  </si>
  <si>
    <t>RLIM</t>
  </si>
  <si>
    <t>HAUS2</t>
  </si>
  <si>
    <t>NLE1</t>
  </si>
  <si>
    <t>KBTBD4</t>
  </si>
  <si>
    <t>NECAP2</t>
  </si>
  <si>
    <t>POLR3B</t>
  </si>
  <si>
    <t>RBM22</t>
  </si>
  <si>
    <t>GPATCH2</t>
  </si>
  <si>
    <t>ATP5SL</t>
  </si>
  <si>
    <t>WDR70</t>
  </si>
  <si>
    <t>MED9</t>
  </si>
  <si>
    <t>ARGLU1</t>
  </si>
  <si>
    <t>TMEM248</t>
  </si>
  <si>
    <t>TMEM242</t>
  </si>
  <si>
    <t>SLTM</t>
  </si>
  <si>
    <t>ZNHIT6</t>
  </si>
  <si>
    <t>FKBP14</t>
  </si>
  <si>
    <t>PAG1</t>
  </si>
  <si>
    <t>C14orf119</t>
  </si>
  <si>
    <t>CCDC109B</t>
  </si>
  <si>
    <t>PIH1D1</t>
  </si>
  <si>
    <t>FAM118A</t>
  </si>
  <si>
    <t>RMND1</t>
  </si>
  <si>
    <t>PAK1IP1</t>
  </si>
  <si>
    <t>HIF1AN</t>
  </si>
  <si>
    <t>OXSM</t>
  </si>
  <si>
    <t>GID8</t>
  </si>
  <si>
    <t>C1orf123</t>
  </si>
  <si>
    <t>NMRK1</t>
  </si>
  <si>
    <t>ASB6</t>
  </si>
  <si>
    <t>THG1L</t>
  </si>
  <si>
    <t>C4orf27</t>
  </si>
  <si>
    <t>IRAK4</t>
  </si>
  <si>
    <t>UCKL1</t>
  </si>
  <si>
    <t>GEMIN8</t>
  </si>
  <si>
    <t>TMEM160</t>
  </si>
  <si>
    <t>TXNL4B</t>
  </si>
  <si>
    <t>C1orf109</t>
  </si>
  <si>
    <t>TRNAU1AP</t>
  </si>
  <si>
    <t>COMMD8</t>
  </si>
  <si>
    <t>NDUFB11</t>
  </si>
  <si>
    <t>MRPL16</t>
  </si>
  <si>
    <t>NHP2</t>
  </si>
  <si>
    <t>FAM206A</t>
  </si>
  <si>
    <t>OCIAD1</t>
  </si>
  <si>
    <t>ADPRHL2</t>
  </si>
  <si>
    <t>MARCH5</t>
  </si>
  <si>
    <t>LYAR</t>
  </si>
  <si>
    <t>IMPAD1</t>
  </si>
  <si>
    <t>MED29</t>
  </si>
  <si>
    <t>DUS2L</t>
  </si>
  <si>
    <t>CMTM6</t>
  </si>
  <si>
    <t>WBP1L</t>
  </si>
  <si>
    <t>SIRT5</t>
  </si>
  <si>
    <t>GFOD1</t>
  </si>
  <si>
    <t>MIOS</t>
  </si>
  <si>
    <t>CWC25</t>
  </si>
  <si>
    <t>DCAF16</t>
  </si>
  <si>
    <t>TRMT1</t>
  </si>
  <si>
    <t>FBXL12</t>
  </si>
  <si>
    <t>GDAP2</t>
  </si>
  <si>
    <t>NDE1</t>
  </si>
  <si>
    <t>ANKRD10</t>
  </si>
  <si>
    <t>BRE</t>
  </si>
  <si>
    <t>QPCTL</t>
  </si>
  <si>
    <t>ARL15</t>
  </si>
  <si>
    <t>KCTD5</t>
  </si>
  <si>
    <t>CDKN2AIP</t>
  </si>
  <si>
    <t>ALKBH4</t>
  </si>
  <si>
    <t>NSMCE4A</t>
  </si>
  <si>
    <t>GAR1</t>
  </si>
  <si>
    <t>PPP4R2</t>
  </si>
  <si>
    <t>DDX56</t>
  </si>
  <si>
    <t>SPHK1</t>
  </si>
  <si>
    <t>TERF2IP</t>
  </si>
  <si>
    <t>UTP6</t>
  </si>
  <si>
    <t>COA4</t>
  </si>
  <si>
    <t>MRPL39</t>
  </si>
  <si>
    <t>MLTK</t>
  </si>
  <si>
    <t>TMOD3</t>
  </si>
  <si>
    <t>BET1L</t>
  </si>
  <si>
    <t>MIS18A</t>
  </si>
  <si>
    <t>NKIRAS1</t>
  </si>
  <si>
    <t>UGGT2</t>
  </si>
  <si>
    <t>UGGT1</t>
  </si>
  <si>
    <t>CDK12</t>
  </si>
  <si>
    <t>FASTKD2</t>
  </si>
  <si>
    <t>SLC25A37</t>
  </si>
  <si>
    <t>GTSE1</t>
  </si>
  <si>
    <t>TECR</t>
  </si>
  <si>
    <t>ERAP1</t>
  </si>
  <si>
    <t>UBAP1</t>
  </si>
  <si>
    <t>ACTR10</t>
  </si>
  <si>
    <t>USE1</t>
  </si>
  <si>
    <t>CISD1</t>
  </si>
  <si>
    <t>GGA3</t>
  </si>
  <si>
    <t>C9orf78</t>
  </si>
  <si>
    <t>CLIC5</t>
  </si>
  <si>
    <t>FAM120A</t>
  </si>
  <si>
    <t>MOCS1</t>
  </si>
  <si>
    <t>GDE1</t>
  </si>
  <si>
    <t>WWOX</t>
  </si>
  <si>
    <t>SMARCAL1</t>
  </si>
  <si>
    <t>GLTP</t>
  </si>
  <si>
    <t>SPG21</t>
  </si>
  <si>
    <t>NINJ2</t>
  </si>
  <si>
    <t>UBP1</t>
  </si>
  <si>
    <t>IGF2BP1</t>
  </si>
  <si>
    <t>COQ3</t>
  </si>
  <si>
    <t>MTCH1</t>
  </si>
  <si>
    <t>NUDT4</t>
  </si>
  <si>
    <t>HSPBP1</t>
  </si>
  <si>
    <t>MAT2B</t>
  </si>
  <si>
    <t>ITSN2</t>
  </si>
  <si>
    <t>NCKIPSD</t>
  </si>
  <si>
    <t>TMOD2</t>
  </si>
  <si>
    <t>OGFR</t>
  </si>
  <si>
    <t>MPP6</t>
  </si>
  <si>
    <t>CHMP5</t>
  </si>
  <si>
    <t>COMMD9</t>
  </si>
  <si>
    <t>CWC15</t>
  </si>
  <si>
    <t>THYN1</t>
  </si>
  <si>
    <t>CCDC59</t>
  </si>
  <si>
    <t>NDUFAF4</t>
  </si>
  <si>
    <t>PTPLAD1</t>
  </si>
  <si>
    <t>MED11</t>
  </si>
  <si>
    <t>CCDC167</t>
  </si>
  <si>
    <t>EMC3</t>
  </si>
  <si>
    <t>PDP1</t>
  </si>
  <si>
    <t>KCMF1</t>
  </si>
  <si>
    <t>VAPA</t>
  </si>
  <si>
    <t>TBC1D7</t>
  </si>
  <si>
    <t>RNF181</t>
  </si>
  <si>
    <t>GSKIP</t>
  </si>
  <si>
    <t>COX16</t>
  </si>
  <si>
    <t>CXXC1</t>
  </si>
  <si>
    <t>ABRACL</t>
  </si>
  <si>
    <t>ZNRD1</t>
  </si>
  <si>
    <t>ACTR3B</t>
  </si>
  <si>
    <t>SIRPG</t>
  </si>
  <si>
    <t>CAMSAP3</t>
  </si>
  <si>
    <t>KIAA1522</t>
  </si>
  <si>
    <t>POGK</t>
  </si>
  <si>
    <t>CCDC88C</t>
  </si>
  <si>
    <t>LRFN1</t>
  </si>
  <si>
    <t>VPS18</t>
  </si>
  <si>
    <t>RCC2</t>
  </si>
  <si>
    <t>KIAA1468</t>
  </si>
  <si>
    <t>DIP2B</t>
  </si>
  <si>
    <t>BCCIP</t>
  </si>
  <si>
    <t>ABI3</t>
  </si>
  <si>
    <t>CTTNBP2NL</t>
  </si>
  <si>
    <t>KIAA1430</t>
  </si>
  <si>
    <t>TMEM181</t>
  </si>
  <si>
    <t>CHD7</t>
  </si>
  <si>
    <t>HEATR5B</t>
  </si>
  <si>
    <t>RRBP1</t>
  </si>
  <si>
    <t>CPSF2</t>
  </si>
  <si>
    <t>LARS</t>
  </si>
  <si>
    <t>PDP2</t>
  </si>
  <si>
    <t>TXNDC16</t>
  </si>
  <si>
    <t>RCOR3</t>
  </si>
  <si>
    <t>MYEF2</t>
  </si>
  <si>
    <t>EIF2AK4</t>
  </si>
  <si>
    <t>TBC1D14</t>
  </si>
  <si>
    <t>CGN</t>
  </si>
  <si>
    <t>RBM27</t>
  </si>
  <si>
    <t>KANSL3</t>
  </si>
  <si>
    <t>ANKFY1</t>
  </si>
  <si>
    <t>RERE</t>
  </si>
  <si>
    <t>PSMC3IP</t>
  </si>
  <si>
    <t>DPM3</t>
  </si>
  <si>
    <t>ZNF219</t>
  </si>
  <si>
    <t>UVRAG</t>
  </si>
  <si>
    <t>ATXN10</t>
  </si>
  <si>
    <t>MBD2</t>
  </si>
  <si>
    <t>NCDN</t>
  </si>
  <si>
    <t>TFIP11</t>
  </si>
  <si>
    <t>EPS15L1</t>
  </si>
  <si>
    <t>DNMT3B</t>
  </si>
  <si>
    <t>ORC3</t>
  </si>
  <si>
    <t>SAE1</t>
  </si>
  <si>
    <t>COPG2</t>
  </si>
  <si>
    <t>RNF7</t>
  </si>
  <si>
    <t>PI4KB</t>
  </si>
  <si>
    <t>MRC2</t>
  </si>
  <si>
    <t>CRNN</t>
  </si>
  <si>
    <t>MTRR</t>
  </si>
  <si>
    <t>UXT</t>
  </si>
  <si>
    <t>ARPP21</t>
  </si>
  <si>
    <t>ASH2L</t>
  </si>
  <si>
    <t>DHCR7</t>
  </si>
  <si>
    <t>SPAST</t>
  </si>
  <si>
    <t>METTL1</t>
  </si>
  <si>
    <t>VPS29</t>
  </si>
  <si>
    <t>GRHPR</t>
  </si>
  <si>
    <t>RPS6KB2</t>
  </si>
  <si>
    <t>RNF14</t>
  </si>
  <si>
    <t>SUCO</t>
  </si>
  <si>
    <t>UBA2</t>
  </si>
  <si>
    <t>FAM8A1</t>
  </si>
  <si>
    <t>NXF1</t>
  </si>
  <si>
    <t>SEL1L</t>
  </si>
  <si>
    <t>B4GALT7</t>
  </si>
  <si>
    <t>PEF1</t>
  </si>
  <si>
    <t>BIN2</t>
  </si>
  <si>
    <t>ZMYM2</t>
  </si>
  <si>
    <t>COPS7A</t>
  </si>
  <si>
    <t>AASS</t>
  </si>
  <si>
    <t>CLIP2</t>
  </si>
  <si>
    <t>UQCR10</t>
  </si>
  <si>
    <t>MTFP1</t>
  </si>
  <si>
    <t>TJP2</t>
  </si>
  <si>
    <t>MALT1</t>
  </si>
  <si>
    <t>STK17A</t>
  </si>
  <si>
    <t>CFDP1</t>
  </si>
  <si>
    <t>ZNF629</t>
  </si>
  <si>
    <t>DAXX</t>
  </si>
  <si>
    <t>FTSJ1</t>
  </si>
  <si>
    <t>VTI1B</t>
  </si>
  <si>
    <t>STK39</t>
  </si>
  <si>
    <t>ADD3</t>
  </si>
  <si>
    <t>FBXL17</t>
  </si>
  <si>
    <t>LRWD1</t>
  </si>
  <si>
    <t>NIPSNAP3A</t>
  </si>
  <si>
    <t>CGGBP1</t>
  </si>
  <si>
    <t>ABCF2</t>
  </si>
  <si>
    <t>TUBGCP4</t>
  </si>
  <si>
    <t>SERGEF</t>
  </si>
  <si>
    <t>CHRNA9</t>
  </si>
  <si>
    <t>WARS2</t>
  </si>
  <si>
    <t>LIMD1</t>
  </si>
  <si>
    <t>SEC63</t>
  </si>
  <si>
    <t>CACFD1</t>
  </si>
  <si>
    <t>SLC2A6</t>
  </si>
  <si>
    <t>ZC3H7B</t>
  </si>
  <si>
    <t>TCF20</t>
  </si>
  <si>
    <t>NDRG3</t>
  </si>
  <si>
    <t>SEPT3</t>
  </si>
  <si>
    <t>ARMCX3</t>
  </si>
  <si>
    <t>SWAP70</t>
  </si>
  <si>
    <t>SUN2</t>
  </si>
  <si>
    <t>SS18L2</t>
  </si>
  <si>
    <t>LAMTOR3</t>
  </si>
  <si>
    <t>LIMA1</t>
  </si>
  <si>
    <t>AFF4</t>
  </si>
  <si>
    <t>SRP68</t>
  </si>
  <si>
    <t>MKRN1</t>
  </si>
  <si>
    <t>CHORDC1</t>
  </si>
  <si>
    <t>TBK1</t>
  </si>
  <si>
    <t>SEPT9</t>
  </si>
  <si>
    <t>UBQLN2</t>
  </si>
  <si>
    <t>PCYOX1</t>
  </si>
  <si>
    <t>DDX20</t>
  </si>
  <si>
    <t>SHPK</t>
  </si>
  <si>
    <t>DPP7</t>
  </si>
  <si>
    <t>POLG2</t>
  </si>
  <si>
    <t>TMEM2</t>
  </si>
  <si>
    <t>NARF</t>
  </si>
  <si>
    <t>BCAP29</t>
  </si>
  <si>
    <t>CYB5R1</t>
  </si>
  <si>
    <t>ZNHIT2</t>
  </si>
  <si>
    <t>PFDN2</t>
  </si>
  <si>
    <t>GPN3</t>
  </si>
  <si>
    <t>PUF60</t>
  </si>
  <si>
    <t>NRBP1</t>
  </si>
  <si>
    <t>ENOPH1</t>
  </si>
  <si>
    <t>EVL</t>
  </si>
  <si>
    <t>NDUFA12</t>
  </si>
  <si>
    <t>EIF2B4</t>
  </si>
  <si>
    <t>ATP6V1H</t>
  </si>
  <si>
    <t>IPO11</t>
  </si>
  <si>
    <t>TRMT112</t>
  </si>
  <si>
    <t>FTSJ2</t>
  </si>
  <si>
    <t>CD84</t>
  </si>
  <si>
    <t>LCMT1</t>
  </si>
  <si>
    <t>VPS51</t>
  </si>
  <si>
    <t>BAZ1B</t>
  </si>
  <si>
    <t>ATPIF1</t>
  </si>
  <si>
    <t>ZDHHC2</t>
  </si>
  <si>
    <t>AK3</t>
  </si>
  <si>
    <t>SCOC</t>
  </si>
  <si>
    <t>FKBPL</t>
  </si>
  <si>
    <t>LNPEP</t>
  </si>
  <si>
    <t>CNOT7</t>
  </si>
  <si>
    <t>TSPYL4</t>
  </si>
  <si>
    <t>GGT7</t>
  </si>
  <si>
    <t>NAGK</t>
  </si>
  <si>
    <t>TRMT6</t>
  </si>
  <si>
    <t>MOSPD1</t>
  </si>
  <si>
    <t>GNPTG</t>
  </si>
  <si>
    <t>TSR3</t>
  </si>
  <si>
    <t>SLC25A13</t>
  </si>
  <si>
    <t>TUBE1</t>
  </si>
  <si>
    <t>LEF1</t>
  </si>
  <si>
    <t>DBNL</t>
  </si>
  <si>
    <t>DCTN4</t>
  </si>
  <si>
    <t>CDC23</t>
  </si>
  <si>
    <t>ANAPC7</t>
  </si>
  <si>
    <t>ANAPC4</t>
  </si>
  <si>
    <t>ANAPC2</t>
  </si>
  <si>
    <t>GGA2</t>
  </si>
  <si>
    <t>GGA1</t>
  </si>
  <si>
    <t>STOML2</t>
  </si>
  <si>
    <t>NAGPA</t>
  </si>
  <si>
    <t>VPS28</t>
  </si>
  <si>
    <t>LSM7</t>
  </si>
  <si>
    <t>ING1</t>
  </si>
  <si>
    <t>DBR1</t>
  </si>
  <si>
    <t>HN1</t>
  </si>
  <si>
    <t>FBXO9</t>
  </si>
  <si>
    <t>AKAP11</t>
  </si>
  <si>
    <t>MRTO4</t>
  </si>
  <si>
    <t>CPSF3</t>
  </si>
  <si>
    <t>APPL1</t>
  </si>
  <si>
    <t>TLK1</t>
  </si>
  <si>
    <t>GPATCH8</t>
  </si>
  <si>
    <t>NXT1</t>
  </si>
  <si>
    <t>PCTP</t>
  </si>
  <si>
    <t>RALY</t>
  </si>
  <si>
    <t>GTF3C4</t>
  </si>
  <si>
    <t>C14orf1</t>
  </si>
  <si>
    <t>PACSIN3</t>
  </si>
  <si>
    <t>FBXO5</t>
  </si>
  <si>
    <t>FBXO4</t>
  </si>
  <si>
    <t>ACAD8</t>
  </si>
  <si>
    <t>AMFR</t>
  </si>
  <si>
    <t>AGO2</t>
  </si>
  <si>
    <t>VAV3</t>
  </si>
  <si>
    <t>NUP50</t>
  </si>
  <si>
    <t>ZHX1</t>
  </si>
  <si>
    <t>CDV3</t>
  </si>
  <si>
    <t>CNOT11</t>
  </si>
  <si>
    <t>INTS6</t>
  </si>
  <si>
    <t>BAG5</t>
  </si>
  <si>
    <t>AGO1</t>
  </si>
  <si>
    <t>RAB21</t>
  </si>
  <si>
    <t>RAB22A</t>
  </si>
  <si>
    <t>PNMA2</t>
  </si>
  <si>
    <t>PSME2</t>
  </si>
  <si>
    <t>MKLN1</t>
  </si>
  <si>
    <t>RAB23</t>
  </si>
  <si>
    <t>MCTS1</t>
  </si>
  <si>
    <t>ZDHHC8</t>
  </si>
  <si>
    <t>OGDHL</t>
  </si>
  <si>
    <t>MTUS1</t>
  </si>
  <si>
    <t>PALD1</t>
  </si>
  <si>
    <t>SLC39A10</t>
  </si>
  <si>
    <t>ASAP1</t>
  </si>
  <si>
    <t>MKL2</t>
  </si>
  <si>
    <t>ZBTB21</t>
  </si>
  <si>
    <t>ZMIZ1</t>
  </si>
  <si>
    <t>ANKRD50</t>
  </si>
  <si>
    <t>PRR12</t>
  </si>
  <si>
    <t>TBC1D24</t>
  </si>
  <si>
    <t>ISY1</t>
  </si>
  <si>
    <t>PPM1H</t>
  </si>
  <si>
    <t>HECTD1</t>
  </si>
  <si>
    <t>MYO5B</t>
  </si>
  <si>
    <t>CORO1C</t>
  </si>
  <si>
    <t>TPX2</t>
  </si>
  <si>
    <t>NOB1</t>
  </si>
  <si>
    <t>AKAP8L</t>
  </si>
  <si>
    <t>MAFF</t>
  </si>
  <si>
    <t>ANAPC10</t>
  </si>
  <si>
    <t>MGAT4A</t>
  </si>
  <si>
    <t>NOTCH3</t>
  </si>
  <si>
    <t>NFU1</t>
  </si>
  <si>
    <t>PRPF19</t>
  </si>
  <si>
    <t>SUFU</t>
  </si>
  <si>
    <t>NENF</t>
  </si>
  <si>
    <t>NOL7</t>
  </si>
  <si>
    <t>SNX12</t>
  </si>
  <si>
    <t>SYNRG</t>
  </si>
  <si>
    <t>NDRG2</t>
  </si>
  <si>
    <t>VPS4A</t>
  </si>
  <si>
    <t>G3BP2</t>
  </si>
  <si>
    <t>ARHGAP26</t>
  </si>
  <si>
    <t>STUB1</t>
  </si>
  <si>
    <t>PACSIN2</t>
  </si>
  <si>
    <t>MAGED2</t>
  </si>
  <si>
    <t>SNX6</t>
  </si>
  <si>
    <t>DUSP12</t>
  </si>
  <si>
    <t>STX8</t>
  </si>
  <si>
    <t>ING4</t>
  </si>
  <si>
    <t>PSMD13</t>
  </si>
  <si>
    <t>FAF1</t>
  </si>
  <si>
    <t>PROCR</t>
  </si>
  <si>
    <t>PPIE</t>
  </si>
  <si>
    <t>DIMT1</t>
  </si>
  <si>
    <t>TIMELESS</t>
  </si>
  <si>
    <t>COPS3</t>
  </si>
  <si>
    <t>RABL2B</t>
  </si>
  <si>
    <t>MINPP1</t>
  </si>
  <si>
    <t>RPL26L1</t>
  </si>
  <si>
    <t>WDR3</t>
  </si>
  <si>
    <t>TTF2</t>
  </si>
  <si>
    <t>NSFL1C</t>
  </si>
  <si>
    <t>C19orf53</t>
  </si>
  <si>
    <t>COG5</t>
  </si>
  <si>
    <t>SLC12A4</t>
  </si>
  <si>
    <t>SCAF8</t>
  </si>
  <si>
    <t>PPP6R1</t>
  </si>
  <si>
    <t>TRIM33</t>
  </si>
  <si>
    <t>TNRC6B</t>
  </si>
  <si>
    <t>PLCL2</t>
  </si>
  <si>
    <t>SMG5</t>
  </si>
  <si>
    <t>EXOC7</t>
  </si>
  <si>
    <t>USP22</t>
  </si>
  <si>
    <t>USP24</t>
  </si>
  <si>
    <t>AGTPBP1</t>
  </si>
  <si>
    <t>HPS5</t>
  </si>
  <si>
    <t>SHOC2</t>
  </si>
  <si>
    <t>SRRM2</t>
  </si>
  <si>
    <t>PA2G4</t>
  </si>
  <si>
    <t>SPG7</t>
  </si>
  <si>
    <t>BAIAP2</t>
  </si>
  <si>
    <t>SMC3</t>
  </si>
  <si>
    <t>CHMP2B</t>
  </si>
  <si>
    <t>TNN</t>
  </si>
  <si>
    <t>SCML2</t>
  </si>
  <si>
    <t>ZNF148</t>
  </si>
  <si>
    <t>MTMR6</t>
  </si>
  <si>
    <t>NIP7</t>
  </si>
  <si>
    <t>GNE</t>
  </si>
  <si>
    <t>RUVBL2</t>
  </si>
  <si>
    <t>CDYL</t>
  </si>
  <si>
    <t>PIN4</t>
  </si>
  <si>
    <t>POMP</t>
  </si>
  <si>
    <t>GINS2</t>
  </si>
  <si>
    <t>CHKB</t>
  </si>
  <si>
    <t>PLAA</t>
  </si>
  <si>
    <t>RUVBL1</t>
  </si>
  <si>
    <t>NUDC</t>
  </si>
  <si>
    <t>BCS1L</t>
  </si>
  <si>
    <t>VDAC3</t>
  </si>
  <si>
    <t>CFL2</t>
  </si>
  <si>
    <t>ITM2B</t>
  </si>
  <si>
    <t>SLC5A6</t>
  </si>
  <si>
    <t>ASF1A</t>
  </si>
  <si>
    <t>DRG1</t>
  </si>
  <si>
    <t>TRAPPC4</t>
  </si>
  <si>
    <t>CNPY2</t>
  </si>
  <si>
    <t>UST</t>
  </si>
  <si>
    <t>EXOG</t>
  </si>
  <si>
    <t>EXOC6B</t>
  </si>
  <si>
    <t>AKAP2</t>
  </si>
  <si>
    <t>CARD8</t>
  </si>
  <si>
    <t>ATP11B</t>
  </si>
  <si>
    <t>POFUT2</t>
  </si>
  <si>
    <t>DLGAP4</t>
  </si>
  <si>
    <t>STK38L</t>
  </si>
  <si>
    <t>FNDC3A</t>
  </si>
  <si>
    <t>NISCH</t>
  </si>
  <si>
    <t>PIKFYVE</t>
  </si>
  <si>
    <t>USP20</t>
  </si>
  <si>
    <t>KDM2A</t>
  </si>
  <si>
    <t>DIS3</t>
  </si>
  <si>
    <t>LRCH1</t>
  </si>
  <si>
    <t>RCL1</t>
  </si>
  <si>
    <t>ATP8A1</t>
  </si>
  <si>
    <t>GSTK1</t>
  </si>
  <si>
    <t>LAMTOR2</t>
  </si>
  <si>
    <t>MRPS28</t>
  </si>
  <si>
    <t>COA3</t>
  </si>
  <si>
    <t>DDX52</t>
  </si>
  <si>
    <t>POLR1D</t>
  </si>
  <si>
    <t>CRYL1</t>
  </si>
  <si>
    <t>TMA7</t>
  </si>
  <si>
    <t>POLDIP2</t>
  </si>
  <si>
    <t>AP3M1</t>
  </si>
  <si>
    <t>YBX2</t>
  </si>
  <si>
    <t>MAP3K2</t>
  </si>
  <si>
    <t>LEMD3</t>
  </si>
  <si>
    <t>COG6</t>
  </si>
  <si>
    <t>THRAP3</t>
  </si>
  <si>
    <t>MED16</t>
  </si>
  <si>
    <t>NOP58</t>
  </si>
  <si>
    <t>GIT1</t>
  </si>
  <si>
    <t>POLR3K</t>
  </si>
  <si>
    <t>SUGT1</t>
  </si>
  <si>
    <t>YARS2</t>
  </si>
  <si>
    <t>COQ6</t>
  </si>
  <si>
    <t>AMDHD2</t>
  </si>
  <si>
    <t>NOSIP</t>
  </si>
  <si>
    <t>DERA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</si>
  <si>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</si>
  <si>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</si>
  <si>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</si>
  <si>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</si>
  <si>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</si>
  <si>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</si>
  <si>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</si>
  <si>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</si>
  <si>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RBMX2</t>
  </si>
  <si>
    <t>DHRS7</t>
  </si>
  <si>
    <t>MRPS2</t>
  </si>
  <si>
    <t>MOB4</t>
  </si>
  <si>
    <t>RRP7A</t>
  </si>
  <si>
    <t>SBDS</t>
  </si>
  <si>
    <t>TMED5</t>
  </si>
  <si>
    <t>TMED7</t>
  </si>
  <si>
    <t>SF3B14</t>
  </si>
  <si>
    <t>MRPL11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</si>
  <si>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</si>
  <si>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</si>
  <si>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</si>
  <si>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</si>
  <si>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</si>
  <si>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</si>
  <si>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</si>
  <si>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</si>
  <si>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FIS1</t>
  </si>
  <si>
    <t>MRPS23</t>
  </si>
  <si>
    <t>HDGFRP3</t>
  </si>
  <si>
    <t>BOLA1</t>
  </si>
  <si>
    <t>CHMP3</t>
  </si>
  <si>
    <t>STRAP</t>
  </si>
  <si>
    <t>C22orf28</t>
  </si>
  <si>
    <t>FBXO7</t>
  </si>
  <si>
    <t>RAP2C</t>
  </si>
  <si>
    <t>SIT1</t>
  </si>
  <si>
    <t>RABGAP1</t>
  </si>
  <si>
    <t>TMED3</t>
  </si>
  <si>
    <t>TSC22D4</t>
  </si>
  <si>
    <t>DOPEY2</t>
  </si>
  <si>
    <t>ZNF330</t>
  </si>
  <si>
    <t>NOC2L</t>
  </si>
  <si>
    <t>RPL36</t>
  </si>
  <si>
    <t>RWDD3</t>
  </si>
  <si>
    <t>CCDC9</t>
  </si>
  <si>
    <t>CHTOP</t>
  </si>
  <si>
    <t>SAMHD1</t>
  </si>
  <si>
    <t>FAM32A</t>
  </si>
  <si>
    <t>KNSTRN</t>
  </si>
  <si>
    <t>HBS1L</t>
  </si>
  <si>
    <t>PRKAB1</t>
  </si>
  <si>
    <t>ATP6V0A2</t>
  </si>
  <si>
    <t>TLN1</t>
  </si>
  <si>
    <t>RAD54L2</t>
  </si>
  <si>
    <t>VPRBP</t>
  </si>
  <si>
    <t>KDM3A</t>
  </si>
  <si>
    <t>MFHAS1</t>
  </si>
  <si>
    <t>DAAM1</t>
  </si>
  <si>
    <t>PLXND1</t>
  </si>
  <si>
    <t>FAM21C</t>
  </si>
  <si>
    <t>WDR7</t>
  </si>
  <si>
    <t>TLN2</t>
  </si>
  <si>
    <t>AIM1</t>
  </si>
  <si>
    <t>TRAF6</t>
  </si>
  <si>
    <t>MAP4K5</t>
  </si>
  <si>
    <t>HYOU1</t>
  </si>
  <si>
    <t>ATG4B</t>
  </si>
  <si>
    <t>WIPI2</t>
  </si>
  <si>
    <t>TELO2</t>
  </si>
  <si>
    <t>AFG3L2</t>
  </si>
  <si>
    <t>KLF12</t>
  </si>
  <si>
    <t>ARIH1</t>
  </si>
  <si>
    <t>LSM5</t>
  </si>
  <si>
    <t>LSM4</t>
  </si>
  <si>
    <t>RNF114</t>
  </si>
  <si>
    <t>SAMM50</t>
  </si>
  <si>
    <t>PRRC2C</t>
  </si>
  <si>
    <t>LRRC42</t>
  </si>
  <si>
    <t>HSPB11</t>
  </si>
  <si>
    <t>PPME1</t>
  </si>
  <si>
    <t>TIMM22</t>
  </si>
  <si>
    <t>ZSCAN21</t>
  </si>
  <si>
    <t>YTHDF2</t>
  </si>
  <si>
    <t>CTDP1</t>
  </si>
  <si>
    <t>PAXBP1</t>
  </si>
  <si>
    <t>NME7</t>
  </si>
  <si>
    <t>SUPT16H</t>
  </si>
  <si>
    <t>UTP18</t>
  </si>
  <si>
    <t>TIMM10B</t>
  </si>
  <si>
    <t>TIMM9</t>
  </si>
  <si>
    <t>UCHL5</t>
  </si>
  <si>
    <t>CD2AP</t>
  </si>
  <si>
    <t>ATP6V1D</t>
  </si>
  <si>
    <t>TIMM13</t>
  </si>
  <si>
    <t>SRPRB</t>
  </si>
  <si>
    <t>N6AMT1</t>
  </si>
  <si>
    <t>ORC6</t>
  </si>
  <si>
    <t>COL4A3BP</t>
  </si>
  <si>
    <t>GMPPB</t>
  </si>
  <si>
    <t>GTF3C3</t>
  </si>
  <si>
    <t>TRAPPC1</t>
  </si>
  <si>
    <t>TRPV2</t>
  </si>
  <si>
    <t>RBM8A</t>
  </si>
  <si>
    <t>DNAJC15</t>
  </si>
  <si>
    <t>USP16</t>
  </si>
  <si>
    <t>TSSC4</t>
  </si>
  <si>
    <t>IER3IP1</t>
  </si>
  <si>
    <t>ZNF706</t>
  </si>
  <si>
    <t>MAGED1</t>
  </si>
  <si>
    <t>SNX9</t>
  </si>
  <si>
    <t>SNX8</t>
  </si>
  <si>
    <t>SNX5</t>
  </si>
  <si>
    <t>FLVCR1</t>
  </si>
  <si>
    <t>NUBP2</t>
  </si>
  <si>
    <t>HEBP2</t>
  </si>
  <si>
    <t>HCFC2</t>
  </si>
  <si>
    <t>UBIAD1</t>
  </si>
  <si>
    <t>MRFAP1</t>
  </si>
  <si>
    <t>LRRFIP2</t>
  </si>
  <si>
    <t>PSAT1</t>
  </si>
  <si>
    <t>SLC25A15</t>
  </si>
  <si>
    <t>NPTN</t>
  </si>
  <si>
    <t>SPIN1</t>
  </si>
  <si>
    <t>KPTN</t>
  </si>
  <si>
    <t>SLC12A7</t>
  </si>
  <si>
    <t>ALG5</t>
  </si>
  <si>
    <t>MRPS18B</t>
  </si>
  <si>
    <t>COPG1</t>
  </si>
  <si>
    <t>AUP1</t>
  </si>
  <si>
    <t>FKBP7</t>
  </si>
  <si>
    <t>ARL5A</t>
  </si>
  <si>
    <t>GMEB1</t>
  </si>
  <si>
    <t>CLIC4</t>
  </si>
  <si>
    <t>NFS1</t>
  </si>
  <si>
    <t>C16orf80</t>
  </si>
  <si>
    <t>SAR1B</t>
  </si>
  <si>
    <t>ARFGEF2</t>
  </si>
  <si>
    <t>ARFGEF1</t>
  </si>
  <si>
    <t>MAD1L1</t>
  </si>
  <si>
    <t>STK24</t>
  </si>
  <si>
    <t>DYNC1LI1</t>
  </si>
  <si>
    <t>CHCHD2</t>
  </si>
  <si>
    <t>XRCC6BP1</t>
  </si>
  <si>
    <t>EPN1</t>
  </si>
  <si>
    <t>TEX264</t>
  </si>
  <si>
    <t>CEPT1</t>
  </si>
  <si>
    <t>DNMT3A</t>
  </si>
  <si>
    <t>OAS3</t>
  </si>
  <si>
    <t>IKBKG</t>
  </si>
  <si>
    <t>CSNK1G3</t>
  </si>
  <si>
    <t>SLC30A1</t>
  </si>
  <si>
    <t>NDUFB9</t>
  </si>
  <si>
    <t>COX11</t>
  </si>
  <si>
    <t>SQRDL</t>
  </si>
  <si>
    <t>NCOA3</t>
  </si>
  <si>
    <t>NUMBL</t>
  </si>
  <si>
    <t>DDX49</t>
  </si>
  <si>
    <t>CAPN7</t>
  </si>
  <si>
    <t>WASF2</t>
  </si>
  <si>
    <t>FAM169A</t>
  </si>
  <si>
    <t>ENPP4</t>
  </si>
  <si>
    <t>ZHX2</t>
  </si>
  <si>
    <t>MORC2</t>
  </si>
  <si>
    <t>IVNS1ABP</t>
  </si>
  <si>
    <t>PSMD8</t>
  </si>
  <si>
    <t>H6PD</t>
  </si>
  <si>
    <t>BMI1</t>
  </si>
  <si>
    <t>RANBP10</t>
  </si>
  <si>
    <t>FBXO44</t>
  </si>
  <si>
    <t>YTHDF3</t>
  </si>
  <si>
    <t>C16orf74</t>
  </si>
  <si>
    <t>DENND4C</t>
  </si>
  <si>
    <t>PSMC3</t>
  </si>
  <si>
    <t>TMEM219</t>
  </si>
  <si>
    <t>A0AVT1</t>
  </si>
  <si>
    <t>A0JNW5</t>
  </si>
  <si>
    <t>A0MZ66-4</t>
  </si>
  <si>
    <t>A0PJW6</t>
  </si>
  <si>
    <t>A1A4S6</t>
  </si>
  <si>
    <t>A1L0T0</t>
  </si>
  <si>
    <t>A1L188</t>
  </si>
  <si>
    <t>A1X283</t>
  </si>
  <si>
    <t>A2A274</t>
  </si>
  <si>
    <t>A2A2D0</t>
  </si>
  <si>
    <t>A2A2G4</t>
  </si>
  <si>
    <t>A2A2Q9</t>
  </si>
  <si>
    <t>A2A2V1</t>
  </si>
  <si>
    <t>A2A3N6</t>
  </si>
  <si>
    <t>A2ABK1</t>
  </si>
  <si>
    <t>A2RRP1</t>
  </si>
  <si>
    <t>A2RU67</t>
  </si>
  <si>
    <t>A2RUC4</t>
  </si>
  <si>
    <t>A2VDF0-2</t>
  </si>
  <si>
    <t>A3KMH1-3</t>
  </si>
  <si>
    <t>A3KN83-3</t>
  </si>
  <si>
    <t>A4D161-2</t>
  </si>
  <si>
    <t>A4D1E9</t>
  </si>
  <si>
    <t>A4D1U4</t>
  </si>
  <si>
    <t>A4D1W8</t>
  </si>
  <si>
    <t>A4D2B0</t>
  </si>
  <si>
    <t>A5LHX3</t>
  </si>
  <si>
    <t>A5PLL7</t>
  </si>
  <si>
    <t>A5YKK6</t>
  </si>
  <si>
    <t>A6NC98</t>
  </si>
  <si>
    <t>A6NDG6</t>
  </si>
  <si>
    <t>A6NDU8</t>
  </si>
  <si>
    <t>A6NED2</t>
  </si>
  <si>
    <t>A6NEM2</t>
  </si>
  <si>
    <t>A6NEM5</t>
  </si>
  <si>
    <t>A6NF51</t>
  </si>
  <si>
    <t>A6NFI3</t>
  </si>
  <si>
    <t>A6NFX8</t>
  </si>
  <si>
    <t>A6NG32</t>
  </si>
  <si>
    <t>A6NG79</t>
  </si>
  <si>
    <t>A6NGP5</t>
  </si>
  <si>
    <t>A6NHB5</t>
  </si>
  <si>
    <t>A6NHL2-2</t>
  </si>
  <si>
    <t>A6NHQ2</t>
  </si>
  <si>
    <t>A6NHR9</t>
  </si>
  <si>
    <t>A6NHX0</t>
  </si>
  <si>
    <t>A6NIH7</t>
  </si>
  <si>
    <t>A6NIW2</t>
  </si>
  <si>
    <t>A6NIZ0</t>
  </si>
  <si>
    <t>A6NJ78</t>
  </si>
  <si>
    <t>A6NJ97</t>
  </si>
  <si>
    <t>A6NK58</t>
  </si>
  <si>
    <t>A6NKD9</t>
  </si>
  <si>
    <t>A6NKF9</t>
  </si>
  <si>
    <t>A6NLH6</t>
  </si>
  <si>
    <t>A6NMH6</t>
  </si>
  <si>
    <t>A6NML8</t>
  </si>
  <si>
    <t>A6NMN0</t>
  </si>
  <si>
    <t>A6NMQ1</t>
  </si>
  <si>
    <t>A6NMY3</t>
  </si>
  <si>
    <t>A6NN80</t>
  </si>
  <si>
    <t>A6PW57</t>
  </si>
  <si>
    <t>A6QL63</t>
  </si>
  <si>
    <t>A8K0B5</t>
  </si>
  <si>
    <t>A8K0M9</t>
  </si>
  <si>
    <t>A8K186</t>
  </si>
  <si>
    <t>A8MPS7</t>
  </si>
  <si>
    <t>A8MQ02</t>
  </si>
  <si>
    <t>A8MQ14</t>
  </si>
  <si>
    <t>A8MT02</t>
  </si>
  <si>
    <t>A8MTG8</t>
  </si>
  <si>
    <t>A8MTY9</t>
  </si>
  <si>
    <t>A8MTZ6</t>
  </si>
  <si>
    <t>A8MUA9</t>
  </si>
  <si>
    <t>A8MUB1</t>
  </si>
  <si>
    <t>A8MUM1</t>
  </si>
  <si>
    <t>A8MV73</t>
  </si>
  <si>
    <t>A8MVW0</t>
  </si>
  <si>
    <t>A8MVZ6</t>
  </si>
  <si>
    <t>A8MW61</t>
  </si>
  <si>
    <t>A8MXP9</t>
  </si>
  <si>
    <t>A8MYN5</t>
  </si>
  <si>
    <t>A8MZ84</t>
  </si>
  <si>
    <t>A9UHW6</t>
  </si>
  <si>
    <t>A9Z1X7</t>
  </si>
  <si>
    <t>B0AZU2</t>
  </si>
  <si>
    <t>B0FLL2</t>
  </si>
  <si>
    <t>B0I1T2</t>
  </si>
  <si>
    <t>B0QXZ8</t>
  </si>
  <si>
    <t>B0QY89</t>
  </si>
  <si>
    <t>B0QY95</t>
  </si>
  <si>
    <t>B0QYI3</t>
  </si>
  <si>
    <t>B0QYK0</t>
  </si>
  <si>
    <t>B0UX83</t>
  </si>
  <si>
    <t>B0UXB6</t>
  </si>
  <si>
    <t>B0UZY3</t>
  </si>
  <si>
    <t>B0V043</t>
  </si>
  <si>
    <t>B0YIW2</t>
  </si>
  <si>
    <t>B0YJ81</t>
  </si>
  <si>
    <t>B1AHC6</t>
  </si>
  <si>
    <t>B1AHD1</t>
  </si>
  <si>
    <t>B1AJU2</t>
  </si>
  <si>
    <t>B1AJY7</t>
  </si>
  <si>
    <t>B1AK13</t>
  </si>
  <si>
    <t>B1AK44</t>
  </si>
  <si>
    <t>B1AKC9</t>
  </si>
  <si>
    <t>B1AKJ5</t>
  </si>
  <si>
    <t>B1AKJ6</t>
  </si>
  <si>
    <t>B1AKL4</t>
  </si>
  <si>
    <t>B1AKN7</t>
  </si>
  <si>
    <t>B1AKP2</t>
  </si>
  <si>
    <t>B1AKR6</t>
  </si>
  <si>
    <t>B1AKZ5</t>
  </si>
  <si>
    <t>B1AL69</t>
  </si>
  <si>
    <t>B1ALH6</t>
  </si>
  <si>
    <t>B1ALK7</t>
  </si>
  <si>
    <t>B1ALM5</t>
  </si>
  <si>
    <t>B1AMF0</t>
  </si>
  <si>
    <t>B1AMS2</t>
  </si>
  <si>
    <t>B1AMU7</t>
  </si>
  <si>
    <t>B1AMW1</t>
  </si>
  <si>
    <t>B1AN48</t>
  </si>
  <si>
    <t>B1AN89</t>
  </si>
  <si>
    <t>B1AN99</t>
  </si>
  <si>
    <t>B1ANH0</t>
  </si>
  <si>
    <t>B1AQP1</t>
  </si>
  <si>
    <t>B1AZV3</t>
  </si>
  <si>
    <t>B2WTI3</t>
  </si>
  <si>
    <t>B3FL70</t>
  </si>
  <si>
    <t>B3KNQ0</t>
  </si>
  <si>
    <t>B3KPJ4</t>
  </si>
  <si>
    <t>B3KRR0</t>
  </si>
  <si>
    <t>B3KS98</t>
  </si>
  <si>
    <t>B3KSH1</t>
  </si>
  <si>
    <t>B3KSI9</t>
  </si>
  <si>
    <t>B3KUK2</t>
  </si>
  <si>
    <t>B3KUV7</t>
  </si>
  <si>
    <t>B3KVH8</t>
  </si>
  <si>
    <t>B3KXW5</t>
  </si>
  <si>
    <t>B3KY83</t>
  </si>
  <si>
    <t>B3KY94</t>
  </si>
  <si>
    <t>B4DDF4</t>
  </si>
  <si>
    <t>B4DDY8</t>
  </si>
  <si>
    <t>B4DE60</t>
  </si>
  <si>
    <t>B4DEB8</t>
  </si>
  <si>
    <t>B4DEX5</t>
  </si>
  <si>
    <t>B4DEZ3</t>
  </si>
  <si>
    <t>B4DF47</t>
  </si>
  <si>
    <t>B4DF64</t>
  </si>
  <si>
    <t>B4DFI9</t>
  </si>
  <si>
    <t>B4DGU4</t>
  </si>
  <si>
    <t>B4DGX2</t>
  </si>
  <si>
    <t>B4DH26</t>
  </si>
  <si>
    <t>B4DH53</t>
  </si>
  <si>
    <t>B4DH70</t>
  </si>
  <si>
    <t>B4DHJ7</t>
  </si>
  <si>
    <t>B4DHT5</t>
  </si>
  <si>
    <t>B4DJA5</t>
  </si>
  <si>
    <t>B4DJI5</t>
  </si>
  <si>
    <t>B4DJN2</t>
  </si>
  <si>
    <t>B4DJN5</t>
  </si>
  <si>
    <t>B4DJP7</t>
  </si>
  <si>
    <t>B4DJV2</t>
  </si>
  <si>
    <t>B4DJZ1</t>
  </si>
  <si>
    <t>B4DKF9</t>
  </si>
  <si>
    <t>B4DL54</t>
  </si>
  <si>
    <t>B4DLN1</t>
  </si>
  <si>
    <t>B4DLT4</t>
  </si>
  <si>
    <t>B4DLU3</t>
  </si>
  <si>
    <t>B4DLZ9</t>
  </si>
  <si>
    <t>B4DMM8</t>
  </si>
  <si>
    <t>B4DN34</t>
  </si>
  <si>
    <t>B4DNW0</t>
  </si>
  <si>
    <t>B4DP21</t>
  </si>
  <si>
    <t>B4DPI2</t>
  </si>
  <si>
    <t>B4DPY8</t>
  </si>
  <si>
    <t>B4DQE7</t>
  </si>
  <si>
    <t>B4DQI6</t>
  </si>
  <si>
    <t>B4DQJ8</t>
  </si>
  <si>
    <t>B4DR12</t>
  </si>
  <si>
    <t>B4DR61</t>
  </si>
  <si>
    <t>B4DRL9</t>
  </si>
  <si>
    <t>B4DRN8</t>
  </si>
  <si>
    <t>B4DS52</t>
  </si>
  <si>
    <t>B4DSD4</t>
  </si>
  <si>
    <t>B4DSS8</t>
  </si>
  <si>
    <t>B4DT77</t>
  </si>
  <si>
    <t>B4DT96</t>
  </si>
  <si>
    <t>B4DTZ6</t>
  </si>
  <si>
    <t>B4DUB9</t>
  </si>
  <si>
    <t>B4DVE7</t>
  </si>
  <si>
    <t>B4DVN5</t>
  </si>
  <si>
    <t>B4DVY1</t>
  </si>
  <si>
    <t>B4DWF2</t>
  </si>
  <si>
    <t>B4DWI1</t>
  </si>
  <si>
    <t>B4DXP9</t>
  </si>
  <si>
    <t>B4DXZ6</t>
  </si>
  <si>
    <t>B4DYB4</t>
  </si>
  <si>
    <t>B4DZH6</t>
  </si>
  <si>
    <t>B4E0E3</t>
  </si>
  <si>
    <t>B4E0T2</t>
  </si>
  <si>
    <t>B4E0T7</t>
  </si>
  <si>
    <t>B4E0Y9</t>
  </si>
  <si>
    <t>B4E1G1</t>
  </si>
  <si>
    <t>B4E1Q4</t>
  </si>
  <si>
    <t>B4E241</t>
  </si>
  <si>
    <t>B4E2S7</t>
  </si>
  <si>
    <t>B4E2V5</t>
  </si>
  <si>
    <t>B4E2X3</t>
  </si>
  <si>
    <t>B4E3Q1</t>
  </si>
  <si>
    <t>B4E3Q4</t>
  </si>
  <si>
    <t>B5MBW9</t>
  </si>
  <si>
    <t>B5MBX5</t>
  </si>
  <si>
    <t>B5MC51</t>
  </si>
  <si>
    <t>B5MC53</t>
  </si>
  <si>
    <t>B5MCD7</t>
  </si>
  <si>
    <t>B5MCF9</t>
  </si>
  <si>
    <t>B5MCN7</t>
  </si>
  <si>
    <t>B5MCT7</t>
  </si>
  <si>
    <t>B5MCT9</t>
  </si>
  <si>
    <t>B5MD23</t>
  </si>
  <si>
    <t>B5MDB6</t>
  </si>
  <si>
    <t>B5MDE0</t>
  </si>
  <si>
    <t>B5MDU6</t>
  </si>
  <si>
    <t>B7WNT5</t>
  </si>
  <si>
    <t>B7WP27</t>
  </si>
  <si>
    <t>B7WPE2</t>
  </si>
  <si>
    <t>B7Z1R5</t>
  </si>
  <si>
    <t>B7Z254</t>
  </si>
  <si>
    <t>B7Z2B2</t>
  </si>
  <si>
    <t>B7Z2S5</t>
  </si>
  <si>
    <t>B7Z3I9</t>
  </si>
  <si>
    <t>B7Z3K1</t>
  </si>
  <si>
    <t>B7Z3P1</t>
  </si>
  <si>
    <t>B7Z3P4</t>
  </si>
  <si>
    <t>B7Z463</t>
  </si>
  <si>
    <t>B7Z4K6</t>
  </si>
  <si>
    <t>B7Z4R0</t>
  </si>
  <si>
    <t>B7Z4R5</t>
  </si>
  <si>
    <t>B7Z4T2</t>
  </si>
  <si>
    <t>B7Z4V9</t>
  </si>
  <si>
    <t>B7Z4W5</t>
  </si>
  <si>
    <t>B7Z5G4</t>
  </si>
  <si>
    <t>B7Z5W1</t>
  </si>
  <si>
    <t>B7Z662</t>
  </si>
  <si>
    <t>B7Z6B8</t>
  </si>
  <si>
    <t>B7Z6M4</t>
  </si>
  <si>
    <t>B7Z779</t>
  </si>
  <si>
    <t>B7Z798</t>
  </si>
  <si>
    <t>B7Z7G5</t>
  </si>
  <si>
    <t>B7Z7H3</t>
  </si>
  <si>
    <t>B7Z7X8</t>
  </si>
  <si>
    <t>B7Z815</t>
  </si>
  <si>
    <t>B7Z817</t>
  </si>
  <si>
    <t>B7Z902</t>
  </si>
  <si>
    <t>B7Z9I3</t>
  </si>
  <si>
    <t>B7Z9S8</t>
  </si>
  <si>
    <t>B7ZAA0</t>
  </si>
  <si>
    <t>B7ZC38</t>
  </si>
  <si>
    <t>B7ZKK9</t>
  </si>
  <si>
    <t>B7ZKP8</t>
  </si>
  <si>
    <t>B7ZKQ9</t>
  </si>
  <si>
    <t>B7ZL88</t>
  </si>
  <si>
    <t>B7ZLM8</t>
  </si>
  <si>
    <t>B7ZLZ0</t>
  </si>
  <si>
    <t>B7ZLZ2</t>
  </si>
  <si>
    <t>B8X2Z3</t>
  </si>
  <si>
    <t>B8ZZI7</t>
  </si>
  <si>
    <t>B8ZZN6</t>
  </si>
  <si>
    <t>B8ZZQ6</t>
  </si>
  <si>
    <t>B8ZZU6</t>
  </si>
  <si>
    <t>B8ZZV9</t>
  </si>
  <si>
    <t>B9A008</t>
  </si>
  <si>
    <t>B9A018</t>
  </si>
  <si>
    <t>B9A054</t>
  </si>
  <si>
    <t>B9A057</t>
  </si>
  <si>
    <t>B9EGH5</t>
  </si>
  <si>
    <t>C0H5X6</t>
  </si>
  <si>
    <t>C0H5Y7</t>
  </si>
  <si>
    <t>C1IDX9</t>
  </si>
  <si>
    <t>C4AMC7</t>
  </si>
  <si>
    <t>C7C5T7</t>
  </si>
  <si>
    <t>C9IZW8</t>
  </si>
  <si>
    <t>C9J0I9</t>
  </si>
  <si>
    <t>C9J0J7</t>
  </si>
  <si>
    <t>C9J0K6</t>
  </si>
  <si>
    <t>C9J191</t>
  </si>
  <si>
    <t>C9J1K8</t>
  </si>
  <si>
    <t>C9J1X0</t>
  </si>
  <si>
    <t>C9J212</t>
  </si>
  <si>
    <t>C9J2P0</t>
  </si>
  <si>
    <t>C9J2P9</t>
  </si>
  <si>
    <t>C9J2U4</t>
  </si>
  <si>
    <t>C9J2Y9</t>
  </si>
  <si>
    <t>C9J381</t>
  </si>
  <si>
    <t>C9J384</t>
  </si>
  <si>
    <t>C9J3D7</t>
  </si>
  <si>
    <t>C9J3G2</t>
  </si>
  <si>
    <t>C9J4S7</t>
  </si>
  <si>
    <t>C9J5C3</t>
  </si>
  <si>
    <t>C9J5W6</t>
  </si>
  <si>
    <t>C9J6N5</t>
  </si>
  <si>
    <t>C9J6N9</t>
  </si>
  <si>
    <t>C9J6W2</t>
  </si>
  <si>
    <t>C9J712</t>
  </si>
  <si>
    <t>C9J7E5</t>
  </si>
  <si>
    <t>C9J7K9</t>
  </si>
  <si>
    <t>C9J8B8</t>
  </si>
  <si>
    <t>C9J929</t>
  </si>
  <si>
    <t>C9J975</t>
  </si>
  <si>
    <t>C9J9K3</t>
  </si>
  <si>
    <t>C9JA07</t>
  </si>
  <si>
    <t>C9JA08</t>
  </si>
  <si>
    <t>C9JA28</t>
  </si>
  <si>
    <t>C9JAB2</t>
  </si>
  <si>
    <t>C9JAX1</t>
  </si>
  <si>
    <t>C9JB13</t>
  </si>
  <si>
    <t>C9JBL1</t>
  </si>
  <si>
    <t>C9JBY7</t>
  </si>
  <si>
    <t>C9JCC6</t>
  </si>
  <si>
    <t>C9JCU6</t>
  </si>
  <si>
    <t>C9JDZ2</t>
  </si>
  <si>
    <t>C9JE12</t>
  </si>
  <si>
    <t>C9JE82</t>
  </si>
  <si>
    <t>C9JE98</t>
  </si>
  <si>
    <t>C9JEH7</t>
  </si>
  <si>
    <t>C9JEL3</t>
  </si>
  <si>
    <t>C9JF58</t>
  </si>
  <si>
    <t>C9JF66</t>
  </si>
  <si>
    <t>C9JFE4</t>
  </si>
  <si>
    <t>C9JFR7</t>
  </si>
  <si>
    <t>C9JG41</t>
  </si>
  <si>
    <t>C9JG97</t>
  </si>
  <si>
    <t>C9JIF9</t>
  </si>
  <si>
    <t>C9JIZ6</t>
  </si>
  <si>
    <t>C9JJ19</t>
  </si>
  <si>
    <t>C9JJN9</t>
  </si>
  <si>
    <t>C9JJU1</t>
  </si>
  <si>
    <t>C9JLU1</t>
  </si>
  <si>
    <t>C9JLV4</t>
  </si>
  <si>
    <t>C9JNE2</t>
  </si>
  <si>
    <t>C9JP00</t>
  </si>
  <si>
    <t>C9JP16</t>
  </si>
  <si>
    <t>C9JPL0</t>
  </si>
  <si>
    <t>C9JPP2</t>
  </si>
  <si>
    <t>C9JPX5</t>
  </si>
  <si>
    <t>C9JQ41</t>
  </si>
  <si>
    <t>C9JQV0</t>
  </si>
  <si>
    <t>C9JRY4</t>
  </si>
  <si>
    <t>C9JRZ6</t>
  </si>
  <si>
    <t>C9JRZ8-2</t>
  </si>
  <si>
    <t>C9JTB0</t>
  </si>
  <si>
    <t>C9JTC0</t>
  </si>
  <si>
    <t>C9JVP0</t>
  </si>
  <si>
    <t>C9JXA2</t>
  </si>
  <si>
    <t>C9JXB8</t>
  </si>
  <si>
    <t>C9JXX7</t>
  </si>
  <si>
    <t>C9JY06</t>
  </si>
  <si>
    <t>C9JYJ0</t>
  </si>
  <si>
    <t>C9JYM0</t>
  </si>
  <si>
    <t>C9JYN0</t>
  </si>
  <si>
    <t>C9JYQ9</t>
  </si>
  <si>
    <t>C9JZR4</t>
  </si>
  <si>
    <t>C9JZR7</t>
  </si>
  <si>
    <t>C9JZY6</t>
  </si>
  <si>
    <t>C9K044</t>
  </si>
  <si>
    <t>C9K0X5</t>
  </si>
  <si>
    <t>D0FY33</t>
  </si>
  <si>
    <t>D3DPN2</t>
  </si>
  <si>
    <t>D3DQV9</t>
  </si>
  <si>
    <t>D3DWF9</t>
  </si>
  <si>
    <t>D3K174</t>
  </si>
  <si>
    <t>D3YHP0</t>
  </si>
  <si>
    <t>D3YTB1</t>
  </si>
  <si>
    <t>D3YTE0</t>
  </si>
  <si>
    <t>D3YTE1</t>
  </si>
  <si>
    <t>D3YTG6</t>
  </si>
  <si>
    <t>D3YTI9</t>
  </si>
  <si>
    <t>D6R992</t>
  </si>
  <si>
    <t>D6R9P3</t>
  </si>
  <si>
    <t>D6R9U7</t>
  </si>
  <si>
    <t>D6R9Z7</t>
  </si>
  <si>
    <t>D6RA89</t>
  </si>
  <si>
    <t>D6RAD4</t>
  </si>
  <si>
    <t>D6RAR3</t>
  </si>
  <si>
    <t>D6RAT4</t>
  </si>
  <si>
    <t>D6RB34</t>
  </si>
  <si>
    <t>D6RB81</t>
  </si>
  <si>
    <t>D6RBW1</t>
  </si>
  <si>
    <t>D6RCD0</t>
  </si>
  <si>
    <t>D6RCD9</t>
  </si>
  <si>
    <t>D6RCM8</t>
  </si>
  <si>
    <t>D6RD17</t>
  </si>
  <si>
    <t>D6RD25</t>
  </si>
  <si>
    <t>D6RDV0</t>
  </si>
  <si>
    <t>D6RDY9</t>
  </si>
  <si>
    <t>D6REA0</t>
  </si>
  <si>
    <t>D6REB5</t>
  </si>
  <si>
    <t>D6REL0</t>
  </si>
  <si>
    <t>D6REL5</t>
  </si>
  <si>
    <t>D6REM4</t>
  </si>
  <si>
    <t>D6REX3</t>
  </si>
  <si>
    <t>D6RF48</t>
  </si>
  <si>
    <t>D6RFG8</t>
  </si>
  <si>
    <t>D6RGI3</t>
  </si>
  <si>
    <t>D6RH17</t>
  </si>
  <si>
    <t>D6RHD3</t>
  </si>
  <si>
    <t>D6RHG7</t>
  </si>
  <si>
    <t>D6RHI7</t>
  </si>
  <si>
    <t>D6RHI9</t>
  </si>
  <si>
    <t>D6RI11</t>
  </si>
  <si>
    <t>D6RIE3</t>
  </si>
  <si>
    <t>D6RIE5</t>
  </si>
  <si>
    <t>D6RIF6</t>
  </si>
  <si>
    <t>D6RJ07</t>
  </si>
  <si>
    <t>D6RJ90</t>
  </si>
  <si>
    <t>D6W592</t>
  </si>
  <si>
    <t>E2QRF9</t>
  </si>
  <si>
    <t>E2QRH7</t>
  </si>
  <si>
    <t>E5RFE7</t>
  </si>
  <si>
    <t>E5RFJ1</t>
  </si>
  <si>
    <t>E5RFU2</t>
  </si>
  <si>
    <t>E5RFX7</t>
  </si>
  <si>
    <t>E5RG04</t>
  </si>
  <si>
    <t>E5RG17</t>
  </si>
  <si>
    <t>E5RG44</t>
  </si>
  <si>
    <t>E5RGQ3</t>
  </si>
  <si>
    <t>E5RGW4</t>
  </si>
  <si>
    <t>E5RGX5</t>
  </si>
  <si>
    <t>E5RHC1</t>
  </si>
  <si>
    <t>E5RHG8</t>
  </si>
  <si>
    <t>E5RHG9</t>
  </si>
  <si>
    <t>E5RI52</t>
  </si>
  <si>
    <t>E5RI87</t>
  </si>
  <si>
    <t>E5RIH5</t>
  </si>
  <si>
    <t>E5RIP7</t>
  </si>
  <si>
    <t>E5RIY0</t>
  </si>
  <si>
    <t>E5RJ08</t>
  </si>
  <si>
    <t>E5RJ99</t>
  </si>
  <si>
    <t>E5RJI7</t>
  </si>
  <si>
    <t>E5RJJ7</t>
  </si>
  <si>
    <t>E5RJR5</t>
  </si>
  <si>
    <t>E5RK82</t>
  </si>
  <si>
    <t>E7EM50</t>
  </si>
  <si>
    <t>E7EM64</t>
  </si>
  <si>
    <t>E7EM95</t>
  </si>
  <si>
    <t>E7EMA9</t>
  </si>
  <si>
    <t>E7EMD6</t>
  </si>
  <si>
    <t>E7EMM4</t>
  </si>
  <si>
    <t>E7EMN6</t>
  </si>
  <si>
    <t>E7EMV7</t>
  </si>
  <si>
    <t>E7EN19</t>
  </si>
  <si>
    <t>E7EN67</t>
  </si>
  <si>
    <t>E7EN73</t>
  </si>
  <si>
    <t>E7ENA9</t>
  </si>
  <si>
    <t>E7ENK0</t>
  </si>
  <si>
    <t>E7ENR4</t>
  </si>
  <si>
    <t>E7ENU4</t>
  </si>
  <si>
    <t>E7ENW2</t>
  </si>
  <si>
    <t>E7ENX6</t>
  </si>
  <si>
    <t>E7EP17</t>
  </si>
  <si>
    <t>E7EP72</t>
  </si>
  <si>
    <t>E7EPB3</t>
  </si>
  <si>
    <t>E7EPD0</t>
  </si>
  <si>
    <t>E7EPF0</t>
  </si>
  <si>
    <t>E7EPL4</t>
  </si>
  <si>
    <t>E7EPT4</t>
  </si>
  <si>
    <t>E7EQ45</t>
  </si>
  <si>
    <t>E7EQ69</t>
  </si>
  <si>
    <t>E7EQB2</t>
  </si>
  <si>
    <t>E7EQH1</t>
  </si>
  <si>
    <t>E7EQL8</t>
  </si>
  <si>
    <t>E7EQN6</t>
  </si>
  <si>
    <t>E7EQR8</t>
  </si>
  <si>
    <t>E7EQT4</t>
  </si>
  <si>
    <t>E7EQV9</t>
  </si>
  <si>
    <t>E7EQY4</t>
  </si>
  <si>
    <t>E7EQZ4</t>
  </si>
  <si>
    <t>E7ER81</t>
  </si>
  <si>
    <t>E7ERC6</t>
  </si>
  <si>
    <t>E7ERR0</t>
  </si>
  <si>
    <t>E7ERS3</t>
  </si>
  <si>
    <t>E7ERU0</t>
  </si>
  <si>
    <t>E7ES43</t>
  </si>
  <si>
    <t>E7ESC9</t>
  </si>
  <si>
    <t>E7ESL0</t>
  </si>
  <si>
    <t>E7ESM9</t>
  </si>
  <si>
    <t>E7ESU6</t>
  </si>
  <si>
    <t>E7ESU7</t>
  </si>
  <si>
    <t>E7ESZ7</t>
  </si>
  <si>
    <t>E7ET15</t>
  </si>
  <si>
    <t>E7ET31</t>
  </si>
  <si>
    <t>E7ETB3</t>
  </si>
  <si>
    <t>E7ETK0</t>
  </si>
  <si>
    <t>E7ETM6</t>
  </si>
  <si>
    <t>E7ETP9</t>
  </si>
  <si>
    <t>E7ETU5</t>
  </si>
  <si>
    <t>E7ETY4</t>
  </si>
  <si>
    <t>E7ETZ4</t>
  </si>
  <si>
    <t>E7ETZ8</t>
  </si>
  <si>
    <t>E7EU09</t>
  </si>
  <si>
    <t>E7EU13</t>
  </si>
  <si>
    <t>E7EU23</t>
  </si>
  <si>
    <t>E7EU35</t>
  </si>
  <si>
    <t>E7EU96</t>
  </si>
  <si>
    <t>E7EUC7</t>
  </si>
  <si>
    <t>E7EUE1</t>
  </si>
  <si>
    <t>E7EUG4</t>
  </si>
  <si>
    <t>E7EUM5</t>
  </si>
  <si>
    <t>E7EUY5</t>
  </si>
  <si>
    <t>E7EV01</t>
  </si>
  <si>
    <t>E7EV46</t>
  </si>
  <si>
    <t>E7EVA0</t>
  </si>
  <si>
    <t>E7EVC7</t>
  </si>
  <si>
    <t>E7EVH9</t>
  </si>
  <si>
    <t>E7EVJ5</t>
  </si>
  <si>
    <t>E7EVK2</t>
  </si>
  <si>
    <t>E7EVM2</t>
  </si>
  <si>
    <t>E7EVT1</t>
  </si>
  <si>
    <t>E7EVZ3</t>
  </si>
  <si>
    <t>E7EW26</t>
  </si>
  <si>
    <t>E7EW32</t>
  </si>
  <si>
    <t>E7EW77</t>
  </si>
  <si>
    <t>E7EW84</t>
  </si>
  <si>
    <t>E7EWM3</t>
  </si>
  <si>
    <t>E7EWW0</t>
  </si>
  <si>
    <t>E7EX01</t>
  </si>
  <si>
    <t>E7EX17</t>
  </si>
  <si>
    <t>E7EX73</t>
  </si>
  <si>
    <t>E7EX90</t>
  </si>
  <si>
    <t>E9PAU2</t>
  </si>
  <si>
    <t>E9PB28</t>
  </si>
  <si>
    <t>E9PB61</t>
  </si>
  <si>
    <t>E9PBJ0</t>
  </si>
  <si>
    <t>E9PBJ5</t>
  </si>
  <si>
    <t>E9PC26</t>
  </si>
  <si>
    <t>E9PC50</t>
  </si>
  <si>
    <t>E9PC62</t>
  </si>
  <si>
    <t>E9PC74</t>
  </si>
  <si>
    <t>E9PC87</t>
  </si>
  <si>
    <t>E9PCH4</t>
  </si>
  <si>
    <t>E9PCQ3</t>
  </si>
  <si>
    <t>E9PCV0</t>
  </si>
  <si>
    <t>E9PCW1</t>
  </si>
  <si>
    <t>E9PD50</t>
  </si>
  <si>
    <t>E9PD55</t>
  </si>
  <si>
    <t>E9PDF6</t>
  </si>
  <si>
    <t>E9PDR0</t>
  </si>
  <si>
    <t>E9PDU5</t>
  </si>
  <si>
    <t>E9PEC4</t>
  </si>
  <si>
    <t>E9PEE8</t>
  </si>
  <si>
    <t>E9PEL9</t>
  </si>
  <si>
    <t>E9PEN8</t>
  </si>
  <si>
    <t>E9PER1</t>
  </si>
  <si>
    <t>E9PEZ3</t>
  </si>
  <si>
    <t>E9PF18</t>
  </si>
  <si>
    <t>E9PF19</t>
  </si>
  <si>
    <t>E9PFK9</t>
  </si>
  <si>
    <t>E9PFP8</t>
  </si>
  <si>
    <t>E9PFR3</t>
  </si>
  <si>
    <t>E9PFU9</t>
  </si>
  <si>
    <t>E9PG19</t>
  </si>
  <si>
    <t>E9PG22</t>
  </si>
  <si>
    <t>E9PG35</t>
  </si>
  <si>
    <t>E9PGC0</t>
  </si>
  <si>
    <t>E9PGC8</t>
  </si>
  <si>
    <t>E9PGE5</t>
  </si>
  <si>
    <t>E9PGF9</t>
  </si>
  <si>
    <t>E9PGQ0</t>
  </si>
  <si>
    <t>E9PGQ4</t>
  </si>
  <si>
    <t>E9PGT1</t>
  </si>
  <si>
    <t>E9PGT3</t>
  </si>
  <si>
    <t>E9PGT6</t>
  </si>
  <si>
    <t>E9PH29</t>
  </si>
  <si>
    <t>E9PHG5</t>
  </si>
  <si>
    <t>E9PHY5</t>
  </si>
  <si>
    <t>E9PI30</t>
  </si>
  <si>
    <t>E9PI68</t>
  </si>
  <si>
    <t>E9PIE4</t>
  </si>
  <si>
    <t>E9PIM6</t>
  </si>
  <si>
    <t>E9PIP3</t>
  </si>
  <si>
    <t>E9PJ24</t>
  </si>
  <si>
    <t>E9PJ55</t>
  </si>
  <si>
    <t>E9PJ81</t>
  </si>
  <si>
    <t>E9PJB2</t>
  </si>
  <si>
    <t>E9PJD7</t>
  </si>
  <si>
    <t>E9PJK1</t>
  </si>
  <si>
    <t>E9PJM3</t>
  </si>
  <si>
    <t>E9PK01</t>
  </si>
  <si>
    <t>E9PK67</t>
  </si>
  <si>
    <t>E9PK91</t>
  </si>
  <si>
    <t>E9PKA7</t>
  </si>
  <si>
    <t>E9PKC0</t>
  </si>
  <si>
    <t>E9PKE4</t>
  </si>
  <si>
    <t>E9PKG1</t>
  </si>
  <si>
    <t>E9PKN9</t>
  </si>
  <si>
    <t>E9PKQ5</t>
  </si>
  <si>
    <t>E9PKV2</t>
  </si>
  <si>
    <t>E9PKV8</t>
  </si>
  <si>
    <t>E9PKZ0</t>
  </si>
  <si>
    <t>E9PL10</t>
  </si>
  <si>
    <t>E9PL17</t>
  </si>
  <si>
    <t>E9PL33</t>
  </si>
  <si>
    <t>E9PL57</t>
  </si>
  <si>
    <t>E9PLD3</t>
  </si>
  <si>
    <t>E9PLJ2</t>
  </si>
  <si>
    <t>E9PLK3</t>
  </si>
  <si>
    <t>E9PLL6</t>
  </si>
  <si>
    <t>E9PLM7</t>
  </si>
  <si>
    <t>E9PM46</t>
  </si>
  <si>
    <t>E9PM92</t>
  </si>
  <si>
    <t>E9PMH5</t>
  </si>
  <si>
    <t>E9PMI6</t>
  </si>
  <si>
    <t>E9PMJ2</t>
  </si>
  <si>
    <t>E9PMM3</t>
  </si>
  <si>
    <t>E9PMQ6</t>
  </si>
  <si>
    <t>E9PMR4</t>
  </si>
  <si>
    <t>E9PMS6</t>
  </si>
  <si>
    <t>E9PMU5</t>
  </si>
  <si>
    <t>E9PN39</t>
  </si>
  <si>
    <t>E9PN89</t>
  </si>
  <si>
    <t>E9PND3</t>
  </si>
  <si>
    <t>E9PNP3</t>
  </si>
  <si>
    <t>E9PNT2</t>
  </si>
  <si>
    <t>E9PNW4</t>
  </si>
  <si>
    <t>E9PP40</t>
  </si>
  <si>
    <t>E9PPU0</t>
  </si>
  <si>
    <t>E9PPZ9</t>
  </si>
  <si>
    <t>E9PQ62</t>
  </si>
  <si>
    <t>E9PQ63</t>
  </si>
  <si>
    <t>E9PQY3</t>
  </si>
  <si>
    <t>E9PQZ2</t>
  </si>
  <si>
    <t>E9PR30</t>
  </si>
  <si>
    <t>E9PR46</t>
  </si>
  <si>
    <t>E9PR76</t>
  </si>
  <si>
    <t>E9PRK7</t>
  </si>
  <si>
    <t>E9PRM7</t>
  </si>
  <si>
    <t>E9PRY8</t>
  </si>
  <si>
    <t>E9PS17</t>
  </si>
  <si>
    <t>E9PS38</t>
  </si>
  <si>
    <t>E9PS47</t>
  </si>
  <si>
    <t>E9PS74</t>
  </si>
  <si>
    <t>E9PSB8</t>
  </si>
  <si>
    <t>E9PSH8</t>
  </si>
  <si>
    <t>E9PSI1</t>
  </si>
  <si>
    <t>F2Z2A7</t>
  </si>
  <si>
    <t>F2Z2B9</t>
  </si>
  <si>
    <t>F2Z2U4</t>
  </si>
  <si>
    <t>F2Z2U8</t>
  </si>
  <si>
    <t>F2Z2V1</t>
  </si>
  <si>
    <t>F2Z2W7</t>
  </si>
  <si>
    <t>F2Z2X4</t>
  </si>
  <si>
    <t>F2Z3A6</t>
  </si>
  <si>
    <t>F2Z3I4</t>
  </si>
  <si>
    <t>F2Z3L0</t>
  </si>
  <si>
    <t>F5GWD3</t>
  </si>
  <si>
    <t>F5GWH5</t>
  </si>
  <si>
    <t>F5GWI9</t>
  </si>
  <si>
    <t>F5GWJ5</t>
  </si>
  <si>
    <t>F5GWT4</t>
  </si>
  <si>
    <t>F5GWU7</t>
  </si>
  <si>
    <t>F5GWX5</t>
  </si>
  <si>
    <t>F5GWY5</t>
  </si>
  <si>
    <t>F5GX09</t>
  </si>
  <si>
    <t>F5GX28</t>
  </si>
  <si>
    <t>F5GX68</t>
  </si>
  <si>
    <t>F5GX82</t>
  </si>
  <si>
    <t>F5GXA6</t>
  </si>
  <si>
    <t>F5GXC3</t>
  </si>
  <si>
    <t>F5GXC8</t>
  </si>
  <si>
    <t>F5GXE4</t>
  </si>
  <si>
    <t>F5GXF9</t>
  </si>
  <si>
    <t>F5GXI4</t>
  </si>
  <si>
    <t>F5GXJ4</t>
  </si>
  <si>
    <t>F5GXK8</t>
  </si>
  <si>
    <t>F5GXU7</t>
  </si>
  <si>
    <t>F5GXX5</t>
  </si>
  <si>
    <t>F5GY92</t>
  </si>
  <si>
    <t>F5GY99</t>
  </si>
  <si>
    <t>F5GYC4</t>
  </si>
  <si>
    <t>F5GYE0</t>
  </si>
  <si>
    <t>F5GYN4</t>
  </si>
  <si>
    <t>F5GYQ1</t>
  </si>
  <si>
    <t>F5GYV3</t>
  </si>
  <si>
    <t>F5GZ78</t>
  </si>
  <si>
    <t>F5GZ90</t>
  </si>
  <si>
    <t>F5GZG6</t>
  </si>
  <si>
    <t>F5GZK1</t>
  </si>
  <si>
    <t>F5GZL6</t>
  </si>
  <si>
    <t>F5GZS0</t>
  </si>
  <si>
    <t>F5GZS6</t>
  </si>
  <si>
    <t>F5GZX9</t>
  </si>
  <si>
    <t>F5H012</t>
  </si>
  <si>
    <t>F5H029</t>
  </si>
  <si>
    <t>F5H050</t>
  </si>
  <si>
    <t>F5H081</t>
  </si>
  <si>
    <t>F5H0B0</t>
  </si>
  <si>
    <t>F5H0F9</t>
  </si>
  <si>
    <t>F5H0I3</t>
  </si>
  <si>
    <t>F5H0L8</t>
  </si>
  <si>
    <t>F5H0Q6</t>
  </si>
  <si>
    <t>F5H0R1</t>
  </si>
  <si>
    <t>F5H136</t>
  </si>
  <si>
    <t>F5H148</t>
  </si>
  <si>
    <t>F5H1B8</t>
  </si>
  <si>
    <t>F5H1D6</t>
  </si>
  <si>
    <t>F5H1F3</t>
  </si>
  <si>
    <t>F5H1G9</t>
  </si>
  <si>
    <t>F5H1L4</t>
  </si>
  <si>
    <t>F5H1N7</t>
  </si>
  <si>
    <t>F5H1R7</t>
  </si>
  <si>
    <t>F5H1U2</t>
  </si>
  <si>
    <t>F5H1Z6</t>
  </si>
  <si>
    <t>F5H254</t>
  </si>
  <si>
    <t>F5H269</t>
  </si>
  <si>
    <t>F5H2H5</t>
  </si>
  <si>
    <t>F5H2J3</t>
  </si>
  <si>
    <t>F5H2Q7</t>
  </si>
  <si>
    <t>F5H2S7</t>
  </si>
  <si>
    <t>F5H2U2</t>
  </si>
  <si>
    <t>F5H2X7</t>
  </si>
  <si>
    <t>F5H315</t>
  </si>
  <si>
    <t>F5H365</t>
  </si>
  <si>
    <t>F5H450</t>
  </si>
  <si>
    <t>F5H4G7</t>
  </si>
  <si>
    <t>F5H4S8</t>
  </si>
  <si>
    <t>F5H4V9</t>
  </si>
  <si>
    <t>F5H523</t>
  </si>
  <si>
    <t>F5H527</t>
  </si>
  <si>
    <t>F5H569</t>
  </si>
  <si>
    <t>F5H577</t>
  </si>
  <si>
    <t>F5H5D3</t>
  </si>
  <si>
    <t>F5H5I6</t>
  </si>
  <si>
    <t>F5H5M7</t>
  </si>
  <si>
    <t>F5H5N0</t>
  </si>
  <si>
    <t>F5H5N1</t>
  </si>
  <si>
    <t>F5H5P2</t>
  </si>
  <si>
    <t>F5H5R8</t>
  </si>
  <si>
    <t>F5H604</t>
  </si>
  <si>
    <t>F5H620</t>
  </si>
  <si>
    <t>F5H631</t>
  </si>
  <si>
    <t>F5H6G7</t>
  </si>
  <si>
    <t>F5H6S1</t>
  </si>
  <si>
    <t>F5H6U2</t>
  </si>
  <si>
    <t>F5H715</t>
  </si>
  <si>
    <t>F5H721</t>
  </si>
  <si>
    <t>F5H7N9</t>
  </si>
  <si>
    <t>F5H7Z9</t>
  </si>
  <si>
    <t>F5H801</t>
  </si>
  <si>
    <t>F5H827</t>
  </si>
  <si>
    <t>F5H860</t>
  </si>
  <si>
    <t>F5H874</t>
  </si>
  <si>
    <t>F5H877</t>
  </si>
  <si>
    <t>F5H897</t>
  </si>
  <si>
    <t>F5H8H2</t>
  </si>
  <si>
    <t>F5H8J3</t>
  </si>
  <si>
    <t>F5H8L0</t>
  </si>
  <si>
    <t>F5H8L4</t>
  </si>
  <si>
    <t>F6PQP6</t>
  </si>
  <si>
    <t>F6RAJ7</t>
  </si>
  <si>
    <t>F6T1Q0</t>
  </si>
  <si>
    <t>F6TDL0</t>
  </si>
  <si>
    <t>F6U1T9</t>
  </si>
  <si>
    <t>F6VZ39</t>
  </si>
  <si>
    <t>F6WCX7</t>
  </si>
  <si>
    <t>F6XY72</t>
  </si>
  <si>
    <t>F8VP51</t>
  </si>
  <si>
    <t>F8VP89</t>
  </si>
  <si>
    <t>F8VPD4</t>
  </si>
  <si>
    <t>F8VQD4</t>
  </si>
  <si>
    <t>F8VQX6</t>
  </si>
  <si>
    <t>F8VQY2</t>
  </si>
  <si>
    <t>F8VQZ7</t>
  </si>
  <si>
    <t>F8VR27</t>
  </si>
  <si>
    <t>F8VRE8</t>
  </si>
  <si>
    <t>F8VRH9</t>
  </si>
  <si>
    <t>F8VS02</t>
  </si>
  <si>
    <t>F8VS47</t>
  </si>
  <si>
    <t>F8VSL3</t>
  </si>
  <si>
    <t>F8VSZ4</t>
  </si>
  <si>
    <t>F8VTS6</t>
  </si>
  <si>
    <t>F8VU11</t>
  </si>
  <si>
    <t>F8VU90</t>
  </si>
  <si>
    <t>F8VUW5</t>
  </si>
  <si>
    <t>F8VV32</t>
  </si>
  <si>
    <t>F8VV52</t>
  </si>
  <si>
    <t>F8VV59</t>
  </si>
  <si>
    <t>F8VVA7</t>
  </si>
  <si>
    <t>F8VVN7</t>
  </si>
  <si>
    <t>F8VW96</t>
  </si>
  <si>
    <t>F8VWA6</t>
  </si>
  <si>
    <t>F8VWA9</t>
  </si>
  <si>
    <t>F8VWL0</t>
  </si>
  <si>
    <t>F8VX04</t>
  </si>
  <si>
    <t>F8VX22</t>
  </si>
  <si>
    <t>F8VXG7</t>
  </si>
  <si>
    <t>F8VXK3</t>
  </si>
  <si>
    <t>F8VYK6</t>
  </si>
  <si>
    <t>F8VYN9</t>
  </si>
  <si>
    <t>F8VZH8</t>
  </si>
  <si>
    <t>F8VZJ2</t>
  </si>
  <si>
    <t>F8VZY9</t>
  </si>
  <si>
    <t>F8W038</t>
  </si>
  <si>
    <t>F8W052</t>
  </si>
  <si>
    <t>F8W0A9</t>
  </si>
  <si>
    <t>F8W0J6</t>
  </si>
  <si>
    <t>F8W0Q9</t>
  </si>
  <si>
    <t>F8W0R1</t>
  </si>
  <si>
    <t>F8W126</t>
  </si>
  <si>
    <t>F8W181</t>
  </si>
  <si>
    <t>F8W689</t>
  </si>
  <si>
    <t>F8W6I7</t>
  </si>
  <si>
    <t>F8W6N3</t>
  </si>
  <si>
    <t>F8W6N8</t>
  </si>
  <si>
    <t>F8W6Q3</t>
  </si>
  <si>
    <t>F8W6T6</t>
  </si>
  <si>
    <t>F8W787</t>
  </si>
  <si>
    <t>F8W7D0</t>
  </si>
  <si>
    <t>F8W7G7</t>
  </si>
  <si>
    <t>F8W7Q4</t>
  </si>
  <si>
    <t>F8W840</t>
  </si>
  <si>
    <t>F8W872</t>
  </si>
  <si>
    <t>F8W881</t>
  </si>
  <si>
    <t>F8W8D3</t>
  </si>
  <si>
    <t>F8W8F9</t>
  </si>
  <si>
    <t>F8W8G5</t>
  </si>
  <si>
    <t>F8W8I6</t>
  </si>
  <si>
    <t>F8W8K9</t>
  </si>
  <si>
    <t>F8W914</t>
  </si>
  <si>
    <t>F8W946</t>
  </si>
  <si>
    <t>F8W966</t>
  </si>
  <si>
    <t>F8W9A8</t>
  </si>
  <si>
    <t>F8W9R9</t>
  </si>
  <si>
    <t>F8W9X7</t>
  </si>
  <si>
    <t>F8WA11</t>
  </si>
  <si>
    <t>F8WA39</t>
  </si>
  <si>
    <t>F8WAB8</t>
  </si>
  <si>
    <t>F8WAD8</t>
  </si>
  <si>
    <t>F8WAF5</t>
  </si>
  <si>
    <t>F8WAK8</t>
  </si>
  <si>
    <t>F8WBK5</t>
  </si>
  <si>
    <t>F8WC47</t>
  </si>
  <si>
    <t>F8WC89</t>
  </si>
  <si>
    <t>F8WCD0</t>
  </si>
  <si>
    <t>F8WCF6</t>
  </si>
  <si>
    <t>F8WCP0</t>
  </si>
  <si>
    <t>F8WD04</t>
  </si>
  <si>
    <t>F8WD19</t>
  </si>
  <si>
    <t>F8WE74</t>
  </si>
  <si>
    <t>F8WE88</t>
  </si>
  <si>
    <t>F8WEC0</t>
  </si>
  <si>
    <t>F8WF93</t>
  </si>
  <si>
    <t>F8WJN3</t>
  </si>
  <si>
    <t>G1K394</t>
  </si>
  <si>
    <t>G3V0H6</t>
  </si>
  <si>
    <t>G3V0I5</t>
  </si>
  <si>
    <t>G3V0I6</t>
  </si>
  <si>
    <t>G3V167</t>
  </si>
  <si>
    <t>G3V1A6</t>
  </si>
  <si>
    <t>G3V1D3</t>
  </si>
  <si>
    <t>G3V1P3</t>
  </si>
  <si>
    <t>G3V1Q4</t>
  </si>
  <si>
    <t>G3V1S9</t>
  </si>
  <si>
    <t>G3V1U5</t>
  </si>
  <si>
    <t>G3V1X5</t>
  </si>
  <si>
    <t>G3V203</t>
  </si>
  <si>
    <t>G3V2F7</t>
  </si>
  <si>
    <t>G3V2U7</t>
  </si>
  <si>
    <t>G3V325</t>
  </si>
  <si>
    <t>G3V3C1</t>
  </si>
  <si>
    <t>G3V3G9</t>
  </si>
  <si>
    <t>G3V3I4</t>
  </si>
  <si>
    <t>G3V3J9</t>
  </si>
  <si>
    <t>G3V3R7</t>
  </si>
  <si>
    <t>G3V3U6</t>
  </si>
  <si>
    <t>G3V439</t>
  </si>
  <si>
    <t>G3V4J7</t>
  </si>
  <si>
    <t>G3V4K3</t>
  </si>
  <si>
    <t>G3V4P7</t>
  </si>
  <si>
    <t>G3V4W0</t>
  </si>
  <si>
    <t>G3V529</t>
  </si>
  <si>
    <t>G3V583</t>
  </si>
  <si>
    <t>G3V597</t>
  </si>
  <si>
    <t>G3V599</t>
  </si>
  <si>
    <t>G3V5T0</t>
  </si>
  <si>
    <t>G3V5T9</t>
  </si>
  <si>
    <t>G3XAA0</t>
  </si>
  <si>
    <t>G3XAC1</t>
  </si>
  <si>
    <t>G3XAE9</t>
  </si>
  <si>
    <t>G3XAI9</t>
  </si>
  <si>
    <t>G3XAN4</t>
  </si>
  <si>
    <t>G3XAN8</t>
  </si>
  <si>
    <t>G3XAP3</t>
  </si>
  <si>
    <t>G5E933</t>
  </si>
  <si>
    <t>G5E948</t>
  </si>
  <si>
    <t>G5E994</t>
  </si>
  <si>
    <t>G5E9A6</t>
  </si>
  <si>
    <t>G5E9E7</t>
  </si>
  <si>
    <t>G5E9F3</t>
  </si>
  <si>
    <t>G5E9L8</t>
  </si>
  <si>
    <t>G5E9P1</t>
  </si>
  <si>
    <t>G5E9W9</t>
  </si>
  <si>
    <t>G5EA07</t>
  </si>
  <si>
    <t>G5EA25</t>
  </si>
  <si>
    <t>G5EA30</t>
  </si>
  <si>
    <t>G5EA36</t>
  </si>
  <si>
    <t>G5EA52</t>
  </si>
  <si>
    <t>G8JL95</t>
  </si>
  <si>
    <t>G8JL98</t>
  </si>
  <si>
    <t>G8JLA2</t>
  </si>
  <si>
    <t>G8JLB3</t>
  </si>
  <si>
    <t>G8JLB6</t>
  </si>
  <si>
    <t>G8JLD3</t>
  </si>
  <si>
    <t>G8JLH2</t>
  </si>
  <si>
    <t>G8JLI5</t>
  </si>
  <si>
    <t>G8JLK4</t>
  </si>
  <si>
    <t>G8JLL2</t>
  </si>
  <si>
    <t>G8JLL7</t>
  </si>
  <si>
    <t>H0UI80</t>
  </si>
  <si>
    <t>H0Y2M0</t>
  </si>
  <si>
    <t>H0Y2P9</t>
  </si>
  <si>
    <t>H0Y322</t>
  </si>
  <si>
    <t>H0Y384</t>
  </si>
  <si>
    <t>H0Y3R4</t>
  </si>
  <si>
    <t>H0Y412</t>
  </si>
  <si>
    <t>H0Y494</t>
  </si>
  <si>
    <t>H0Y4G9</t>
  </si>
  <si>
    <t>H0Y530</t>
  </si>
  <si>
    <t>H0Y547</t>
  </si>
  <si>
    <t>H0Y5C2</t>
  </si>
  <si>
    <t>H0Y5J5</t>
  </si>
  <si>
    <t>H0Y5Y0</t>
  </si>
  <si>
    <t>H0Y614</t>
  </si>
  <si>
    <t>H0Y6A0</t>
  </si>
  <si>
    <t>H0Y6C3</t>
  </si>
  <si>
    <t>H0Y6K2</t>
  </si>
  <si>
    <t>H0Y6Y6</t>
  </si>
  <si>
    <t>H0Y7A7</t>
  </si>
  <si>
    <t>H0Y7P7</t>
  </si>
  <si>
    <t>H0Y7S3</t>
  </si>
  <si>
    <t>H0Y870</t>
  </si>
  <si>
    <t>H0Y8F2</t>
  </si>
  <si>
    <t>H0Y8H1</t>
  </si>
  <si>
    <t>H0Y8W3</t>
  </si>
  <si>
    <t>H0Y912</t>
  </si>
  <si>
    <t>H0Y9B8</t>
  </si>
  <si>
    <t>H0Y9N0</t>
  </si>
  <si>
    <t>H0Y9S9</t>
  </si>
  <si>
    <t>H0Y9T5</t>
  </si>
  <si>
    <t>H0Y9X1</t>
  </si>
  <si>
    <t>H0Y9Z5</t>
  </si>
  <si>
    <t>H0YA20</t>
  </si>
  <si>
    <t>H0YA52</t>
  </si>
  <si>
    <t>H0YA68</t>
  </si>
  <si>
    <t>H0YAS8</t>
  </si>
  <si>
    <t>H0YAV1</t>
  </si>
  <si>
    <t>H0YBC7</t>
  </si>
  <si>
    <t>H0YBI6</t>
  </si>
  <si>
    <t>H0YBP1</t>
  </si>
  <si>
    <t>H0YBZ4</t>
  </si>
  <si>
    <t>H0YC40</t>
  </si>
  <si>
    <t>H0YCP7</t>
  </si>
  <si>
    <t>H0YCY3</t>
  </si>
  <si>
    <t>H0YDD3</t>
  </si>
  <si>
    <t>H0YDS0</t>
  </si>
  <si>
    <t>H0YDU8</t>
  </si>
  <si>
    <t>H0YE91</t>
  </si>
  <si>
    <t>H0YEB6</t>
  </si>
  <si>
    <t>H0YEF3</t>
  </si>
  <si>
    <t>H0YF29</t>
  </si>
  <si>
    <t>H0YFN7</t>
  </si>
  <si>
    <t>H0YGR4</t>
  </si>
  <si>
    <t>H0YGT9</t>
  </si>
  <si>
    <t>H0YH80</t>
  </si>
  <si>
    <t>H0YH87</t>
  </si>
  <si>
    <t>H0YHG0</t>
  </si>
  <si>
    <t>H0YIV9</t>
  </si>
  <si>
    <t>H0YJB9</t>
  </si>
  <si>
    <t>H0YJF7</t>
  </si>
  <si>
    <t>H0YK48</t>
  </si>
  <si>
    <t>H0YK61</t>
  </si>
  <si>
    <t>H0YKJ9</t>
  </si>
  <si>
    <t>H0YL70</t>
  </si>
  <si>
    <t>H0YLA4</t>
  </si>
  <si>
    <t>H0YLB5</t>
  </si>
  <si>
    <t>H0YLF2</t>
  </si>
  <si>
    <t>H0YLW6</t>
  </si>
  <si>
    <t>H0YLX2</t>
  </si>
  <si>
    <t>H0YMB3</t>
  </si>
  <si>
    <t>H0YMJ0</t>
  </si>
  <si>
    <t>H0YMM4</t>
  </si>
  <si>
    <t>H0YN33</t>
  </si>
  <si>
    <t>H0YNG3</t>
  </si>
  <si>
    <t>H0YNH6</t>
  </si>
  <si>
    <t>H0YNU5</t>
  </si>
  <si>
    <t>H3BLU2</t>
  </si>
  <si>
    <t>H3BLU9</t>
  </si>
  <si>
    <t>H3BLV0</t>
  </si>
  <si>
    <t>H3BLW6</t>
  </si>
  <si>
    <t>H3BLZ8</t>
  </si>
  <si>
    <t>H3BM14</t>
  </si>
  <si>
    <t>H3BM67</t>
  </si>
  <si>
    <t>H3BM84</t>
  </si>
  <si>
    <t>H3BMM3</t>
  </si>
  <si>
    <t>H3BMM5</t>
  </si>
  <si>
    <t>H3BMQ0</t>
  </si>
  <si>
    <t>H3BN98</t>
  </si>
  <si>
    <t>H3BNE3</t>
  </si>
  <si>
    <t>H3BNF1</t>
  </si>
  <si>
    <t>H3BNT4</t>
  </si>
  <si>
    <t>H3BNU9</t>
  </si>
  <si>
    <t>H3BP13</t>
  </si>
  <si>
    <t>H3BP20</t>
  </si>
  <si>
    <t>H3BP28</t>
  </si>
  <si>
    <t>H3BP77</t>
  </si>
  <si>
    <t>H3BPB8</t>
  </si>
  <si>
    <t>H3BPC4</t>
  </si>
  <si>
    <t>H3BPE1</t>
  </si>
  <si>
    <t>H3BPZ0</t>
  </si>
  <si>
    <t>H3BQA0</t>
  </si>
  <si>
    <t>H3BQM0</t>
  </si>
  <si>
    <t>H3BQV3</t>
  </si>
  <si>
    <t>H3BR82</t>
  </si>
  <si>
    <t>H3BRF9</t>
  </si>
  <si>
    <t>H3BRL3</t>
  </si>
  <si>
    <t>H3BRN4</t>
  </si>
  <si>
    <t>H3BRS1</t>
  </si>
  <si>
    <t>H3BRV0</t>
  </si>
  <si>
    <t>H3BRY6</t>
  </si>
  <si>
    <t>H3BS01</t>
  </si>
  <si>
    <t>H3BS06</t>
  </si>
  <si>
    <t>H3BSM7</t>
  </si>
  <si>
    <t>H3BSW6</t>
  </si>
  <si>
    <t>H3BT91</t>
  </si>
  <si>
    <t>H3BTB7</t>
  </si>
  <si>
    <t>H3BTL1</t>
  </si>
  <si>
    <t>H3BTN5</t>
  </si>
  <si>
    <t>H3BTR4</t>
  </si>
  <si>
    <t>H3BTX0</t>
  </si>
  <si>
    <t>H3BTX7</t>
  </si>
  <si>
    <t>H3BU23</t>
  </si>
  <si>
    <t>H3BU49</t>
  </si>
  <si>
    <t>H3BV80</t>
  </si>
  <si>
    <t>H6UMI1</t>
  </si>
  <si>
    <t>H7BXD5</t>
  </si>
  <si>
    <t>H7BXF4</t>
  </si>
  <si>
    <t>H7BXF5</t>
  </si>
  <si>
    <t>H7BXH2</t>
  </si>
  <si>
    <t>H7BXH9</t>
  </si>
  <si>
    <t>H7BXI1</t>
  </si>
  <si>
    <t>H7BXI5</t>
  </si>
  <si>
    <t>H7BXL1</t>
  </si>
  <si>
    <t>H7BXR8</t>
  </si>
  <si>
    <t>H7BXW7</t>
  </si>
  <si>
    <t>H7BXY3</t>
  </si>
  <si>
    <t>H7BY22</t>
  </si>
  <si>
    <t>H7BY58</t>
  </si>
  <si>
    <t>H7BY84</t>
  </si>
  <si>
    <t>H7BYE5</t>
  </si>
  <si>
    <t>H7BYP4</t>
  </si>
  <si>
    <t>H7BYY1</t>
  </si>
  <si>
    <t>H7BZ11</t>
  </si>
  <si>
    <t>H7BZJ3</t>
  </si>
  <si>
    <t>H7BZT4</t>
  </si>
  <si>
    <t>H7C0S3</t>
  </si>
  <si>
    <t>H7C0V4</t>
  </si>
  <si>
    <t>H7C128</t>
  </si>
  <si>
    <t>H7C155</t>
  </si>
  <si>
    <t>H7C173</t>
  </si>
  <si>
    <t>H7C1F9</t>
  </si>
  <si>
    <t>H7C1I0</t>
  </si>
  <si>
    <t>H7C1Q1</t>
  </si>
  <si>
    <t>H7C1U3</t>
  </si>
  <si>
    <t>H7C1U8</t>
  </si>
  <si>
    <t>H7C285</t>
  </si>
  <si>
    <t>H7C3A6</t>
  </si>
  <si>
    <t>H7C3D5</t>
  </si>
  <si>
    <t>H7C3D8</t>
  </si>
  <si>
    <t>H7C3P4</t>
  </si>
  <si>
    <t>H7C3T2</t>
  </si>
  <si>
    <t>H7C417</t>
  </si>
  <si>
    <t>H7C484</t>
  </si>
  <si>
    <t>H7C494</t>
  </si>
  <si>
    <t>H7C4X9</t>
  </si>
  <si>
    <t>H7C560</t>
  </si>
  <si>
    <t>H7C561</t>
  </si>
  <si>
    <t>H7C5F7</t>
  </si>
  <si>
    <t>H7C5G1</t>
  </si>
  <si>
    <t>H7C5R8</t>
  </si>
  <si>
    <t>H9KV44</t>
  </si>
  <si>
    <t>H9KV59</t>
  </si>
  <si>
    <t>H9KVB8</t>
  </si>
  <si>
    <t>I3L097</t>
  </si>
  <si>
    <t>I3L0B8</t>
  </si>
  <si>
    <t>I3L0C1</t>
  </si>
  <si>
    <t>I3L0K1</t>
  </si>
  <si>
    <t>I3L0L6</t>
  </si>
  <si>
    <t>I3L0N3</t>
  </si>
  <si>
    <t>I3L0U5</t>
  </si>
  <si>
    <t>I3L112</t>
  </si>
  <si>
    <t>I3L1B5</t>
  </si>
  <si>
    <t>I3L1H5</t>
  </si>
  <si>
    <t>I3L1K6</t>
  </si>
  <si>
    <t>I3L1L3</t>
  </si>
  <si>
    <t>I3L1P8</t>
  </si>
  <si>
    <t>I3L1Q3</t>
  </si>
  <si>
    <t>I3L232</t>
  </si>
  <si>
    <t>I3L2B0</t>
  </si>
  <si>
    <t>I3L2C7</t>
  </si>
  <si>
    <t>I3L2J0</t>
  </si>
  <si>
    <t>I3L2J8</t>
  </si>
  <si>
    <t>I3L2L5</t>
  </si>
  <si>
    <t>I3L3A8</t>
  </si>
  <si>
    <t>I3L3B4</t>
  </si>
  <si>
    <t>I3L413</t>
  </si>
  <si>
    <t>I3L448</t>
  </si>
  <si>
    <t>I3L4C3</t>
  </si>
  <si>
    <t>I3L4J3</t>
  </si>
  <si>
    <t>I3L4X3</t>
  </si>
  <si>
    <t>I3L4X7</t>
  </si>
  <si>
    <t>J3KMW4</t>
  </si>
  <si>
    <t>J3KMW8</t>
  </si>
  <si>
    <t>J3KMX2</t>
  </si>
  <si>
    <t>J3KMY5</t>
  </si>
  <si>
    <t>J3KMZ7</t>
  </si>
  <si>
    <t>J3KMZ9</t>
  </si>
  <si>
    <t>J3KN16</t>
  </si>
  <si>
    <t>J3KN27</t>
  </si>
  <si>
    <t>J3KN29</t>
  </si>
  <si>
    <t>J3KN32</t>
  </si>
  <si>
    <t>J3KN47</t>
  </si>
  <si>
    <t>J3KN59</t>
  </si>
  <si>
    <t>J3KN66</t>
  </si>
  <si>
    <t>J3KN67</t>
  </si>
  <si>
    <t>J3KN69</t>
  </si>
  <si>
    <t>J3KNA0</t>
  </si>
  <si>
    <t>J3KNB8</t>
  </si>
  <si>
    <t>J3KNF4</t>
  </si>
  <si>
    <t>J3KNF5</t>
  </si>
  <si>
    <t>J3KNF8</t>
  </si>
  <si>
    <t>J3KNG8</t>
  </si>
  <si>
    <t>J3KNI1</t>
  </si>
  <si>
    <t>J3KNL2</t>
  </si>
  <si>
    <t>J3KNL3</t>
  </si>
  <si>
    <t>J3KNL6</t>
  </si>
  <si>
    <t>J3KNN3</t>
  </si>
  <si>
    <t>J3KNN5</t>
  </si>
  <si>
    <t>J3KNN7</t>
  </si>
  <si>
    <t>J3KNP4</t>
  </si>
  <si>
    <t>J3KNR0</t>
  </si>
  <si>
    <t>J3KNV1</t>
  </si>
  <si>
    <t>J3KNW4</t>
  </si>
  <si>
    <t>J3KNZ9</t>
  </si>
  <si>
    <t>J3KP15</t>
  </si>
  <si>
    <t>J3KP19</t>
  </si>
  <si>
    <t>J3KP22</t>
  </si>
  <si>
    <t>J3KP26</t>
  </si>
  <si>
    <t>J3KP75</t>
  </si>
  <si>
    <t>J3KPC5</t>
  </si>
  <si>
    <t>J3KPD3</t>
  </si>
  <si>
    <t>J3KPF9</t>
  </si>
  <si>
    <t>J3KPG6</t>
  </si>
  <si>
    <t>J3KPK1</t>
  </si>
  <si>
    <t>J3KPL1</t>
  </si>
  <si>
    <t>J3KPN1</t>
  </si>
  <si>
    <t>J3KPP7</t>
  </si>
  <si>
    <t>J3KPQ4</t>
  </si>
  <si>
    <t>J3KPS0</t>
  </si>
  <si>
    <t>J3KPT4</t>
  </si>
  <si>
    <t>J3KPW7</t>
  </si>
  <si>
    <t>J3KPY9</t>
  </si>
  <si>
    <t>J3KPZ4</t>
  </si>
  <si>
    <t>J3KPZ8</t>
  </si>
  <si>
    <t>J3KQ32</t>
  </si>
  <si>
    <t>J3KQ34</t>
  </si>
  <si>
    <t>J3KQ45</t>
  </si>
  <si>
    <t>J3KQ48</t>
  </si>
  <si>
    <t>J3KQ72</t>
  </si>
  <si>
    <t>J3KQ88</t>
  </si>
  <si>
    <t>J3KQ97</t>
  </si>
  <si>
    <t>J3KQA4</t>
  </si>
  <si>
    <t>J3KQB0</t>
  </si>
  <si>
    <t>J3KQD0</t>
  </si>
  <si>
    <t>J3KQE5</t>
  </si>
  <si>
    <t>J3KQG4</t>
  </si>
  <si>
    <t>J3KQJ1</t>
  </si>
  <si>
    <t>J3KQL8</t>
  </si>
  <si>
    <t>J3KQS6</t>
  </si>
  <si>
    <t>J3KR15</t>
  </si>
  <si>
    <t>J3KR33</t>
  </si>
  <si>
    <t>J3KR35</t>
  </si>
  <si>
    <t>J3KR72</t>
  </si>
  <si>
    <t>J3KR97</t>
  </si>
  <si>
    <t>J3KRC8</t>
  </si>
  <si>
    <t>J3KRP6</t>
  </si>
  <si>
    <t>J3KS05</t>
  </si>
  <si>
    <t>J3KS15</t>
  </si>
  <si>
    <t>J3KS81</t>
  </si>
  <si>
    <t>J3KTA1</t>
  </si>
  <si>
    <t>J3KTL1</t>
  </si>
  <si>
    <t>J3KTL2</t>
  </si>
  <si>
    <t>J3QK89</t>
  </si>
  <si>
    <t>J3QL56</t>
  </si>
  <si>
    <t>J3QL71</t>
  </si>
  <si>
    <t>J3QLC9</t>
  </si>
  <si>
    <t>J3QLM1</t>
  </si>
  <si>
    <t>J3QLS3</t>
  </si>
  <si>
    <t>J3QLV8</t>
  </si>
  <si>
    <t>J3QQJ0</t>
  </si>
  <si>
    <t>J3QQJ5</t>
  </si>
  <si>
    <t>J3QQK6</t>
  </si>
  <si>
    <t>J3QQT2</t>
  </si>
  <si>
    <t>J3QQX3</t>
  </si>
  <si>
    <t>J3QQY0</t>
  </si>
  <si>
    <t>J3QR01</t>
  </si>
  <si>
    <t>J3QR07</t>
  </si>
  <si>
    <t>J3QR09</t>
  </si>
  <si>
    <t>J3QR77</t>
  </si>
  <si>
    <t>J3QRD1</t>
  </si>
  <si>
    <t>J3QRM9</t>
  </si>
  <si>
    <t>J3QRS3</t>
  </si>
  <si>
    <t>J3QRS9</t>
  </si>
  <si>
    <t>J3QRU4</t>
  </si>
  <si>
    <t>J3QSH4</t>
  </si>
  <si>
    <t>J3QT56</t>
  </si>
  <si>
    <t>J3QT87</t>
  </si>
  <si>
    <t>J3QTA2</t>
  </si>
  <si>
    <t>J3QTA6</t>
  </si>
  <si>
    <t>J3QTL0</t>
  </si>
  <si>
    <t>J3QTV4</t>
  </si>
  <si>
    <t>J9JIC5</t>
  </si>
  <si>
    <t>J9JID7</t>
  </si>
  <si>
    <t>J9JIE6</t>
  </si>
  <si>
    <t>K4DI92</t>
  </si>
  <si>
    <t>K4DI93</t>
  </si>
  <si>
    <t>K7EID0</t>
  </si>
  <si>
    <t>K7EIG1</t>
  </si>
  <si>
    <t>K7EIJ0</t>
  </si>
  <si>
    <t>K7EIN2</t>
  </si>
  <si>
    <t>K7EIU8</t>
  </si>
  <si>
    <t>K7EIX2</t>
  </si>
  <si>
    <t>K7EIY4</t>
  </si>
  <si>
    <t>K7EJ78</t>
  </si>
  <si>
    <t>K7EJB9</t>
  </si>
  <si>
    <t>K7EJH0</t>
  </si>
  <si>
    <t>K7EJQ7</t>
  </si>
  <si>
    <t>K7EK00</t>
  </si>
  <si>
    <t>K7EK07</t>
  </si>
  <si>
    <t>K7EK99</t>
  </si>
  <si>
    <t>K7EKE6</t>
  </si>
  <si>
    <t>K7EKI0</t>
  </si>
  <si>
    <t>K7EKI8</t>
  </si>
  <si>
    <t>K7EKQ4</t>
  </si>
  <si>
    <t>K7EKW3</t>
  </si>
  <si>
    <t>K7EL68</t>
  </si>
  <si>
    <t>K7EL81</t>
  </si>
  <si>
    <t>K7ELL7</t>
  </si>
  <si>
    <t>K7EM02</t>
  </si>
  <si>
    <t>K7EM09</t>
  </si>
  <si>
    <t>K7EM38</t>
  </si>
  <si>
    <t>K7EMK7</t>
  </si>
  <si>
    <t>K7EMM8</t>
  </si>
  <si>
    <t>K7EMV5</t>
  </si>
  <si>
    <t>K7EN05</t>
  </si>
  <si>
    <t>K7EN88</t>
  </si>
  <si>
    <t>K7ENF0</t>
  </si>
  <si>
    <t>K7ENL9</t>
  </si>
  <si>
    <t>K7ENR6</t>
  </si>
  <si>
    <t>K7ENV7</t>
  </si>
  <si>
    <t>K7EP90</t>
  </si>
  <si>
    <t>K7EQE7</t>
  </si>
  <si>
    <t>K7EQR1</t>
  </si>
  <si>
    <t>K7EQU4</t>
  </si>
  <si>
    <t>K7EQW8</t>
  </si>
  <si>
    <t>K7ER00</t>
  </si>
  <si>
    <t>K7ER95</t>
  </si>
  <si>
    <t>K7ERF1</t>
  </si>
  <si>
    <t>K7ERH3</t>
  </si>
  <si>
    <t>K7ERQ0</t>
  </si>
  <si>
    <t>K7ERU0</t>
  </si>
  <si>
    <t>K7ERV4</t>
  </si>
  <si>
    <t>K7ES11</t>
  </si>
  <si>
    <t>K7ES84</t>
  </si>
  <si>
    <t>K7ESE3</t>
  </si>
  <si>
    <t>K7ESG9</t>
  </si>
  <si>
    <t>K7ESI9</t>
  </si>
  <si>
    <t>K7ESP4</t>
  </si>
  <si>
    <t>M0QWZ7</t>
  </si>
  <si>
    <t>M0QX35</t>
  </si>
  <si>
    <t>M0QX57</t>
  </si>
  <si>
    <t>M0QXA7</t>
  </si>
  <si>
    <t>M0QXZ5</t>
  </si>
  <si>
    <t>M0QY97</t>
  </si>
  <si>
    <t>M0QYD2</t>
  </si>
  <si>
    <t>M0QYM7</t>
  </si>
  <si>
    <t>M0QYS1</t>
  </si>
  <si>
    <t>M0QZ12</t>
  </si>
  <si>
    <t>M0QZ22</t>
  </si>
  <si>
    <t>M0QZI3</t>
  </si>
  <si>
    <t>M0QZL8</t>
  </si>
  <si>
    <t>M0QZM1</t>
  </si>
  <si>
    <t>M0QZP6</t>
  </si>
  <si>
    <t>M0QZR4</t>
  </si>
  <si>
    <t>M0QZW1</t>
  </si>
  <si>
    <t>M0R042</t>
  </si>
  <si>
    <t>M0R087</t>
  </si>
  <si>
    <t>M0R0B4</t>
  </si>
  <si>
    <t>M0R0F0</t>
  </si>
  <si>
    <t>M0R0N4</t>
  </si>
  <si>
    <t>M0R150</t>
  </si>
  <si>
    <t>M0R226</t>
  </si>
  <si>
    <t>M0R2A0</t>
  </si>
  <si>
    <t>M0R2B7</t>
  </si>
  <si>
    <t>M0R2P6</t>
  </si>
  <si>
    <t>M0R300</t>
  </si>
  <si>
    <t>M0R3D4</t>
  </si>
  <si>
    <t>O00116</t>
  </si>
  <si>
    <t>O00124-3</t>
  </si>
  <si>
    <t>O00139</t>
  </si>
  <si>
    <t>O00148</t>
  </si>
  <si>
    <t>O00151</t>
  </si>
  <si>
    <t>O00154-4</t>
  </si>
  <si>
    <t>O00161</t>
  </si>
  <si>
    <t>O00165</t>
  </si>
  <si>
    <t>O00170</t>
  </si>
  <si>
    <t>O00178</t>
  </si>
  <si>
    <t>O00180</t>
  </si>
  <si>
    <t>O00186</t>
  </si>
  <si>
    <t>O00214</t>
  </si>
  <si>
    <t>O00217</t>
  </si>
  <si>
    <t>O00221</t>
  </si>
  <si>
    <t>O00231</t>
  </si>
  <si>
    <t>O00232</t>
  </si>
  <si>
    <t>O00244</t>
  </si>
  <si>
    <t>O00255-2</t>
  </si>
  <si>
    <t>O00257</t>
  </si>
  <si>
    <t>O00264</t>
  </si>
  <si>
    <t>O00267-2</t>
  </si>
  <si>
    <t>O00273</t>
  </si>
  <si>
    <t>O00273-2</t>
  </si>
  <si>
    <t>O00287</t>
  </si>
  <si>
    <t>O00291</t>
  </si>
  <si>
    <t>O00299</t>
  </si>
  <si>
    <t>O00308</t>
  </si>
  <si>
    <t>O00329</t>
  </si>
  <si>
    <t>O00330</t>
  </si>
  <si>
    <t>O00391</t>
  </si>
  <si>
    <t>O00399</t>
  </si>
  <si>
    <t>O00400</t>
  </si>
  <si>
    <t>O00401</t>
  </si>
  <si>
    <t>O00410</t>
  </si>
  <si>
    <t>O00418</t>
  </si>
  <si>
    <t>O00422</t>
  </si>
  <si>
    <t>O00425</t>
  </si>
  <si>
    <t>O00429</t>
  </si>
  <si>
    <t>O00429-2</t>
  </si>
  <si>
    <t>O00429-3</t>
  </si>
  <si>
    <t>O00429-4</t>
  </si>
  <si>
    <t>O00442</t>
  </si>
  <si>
    <t>O00459</t>
  </si>
  <si>
    <t>O00462</t>
  </si>
  <si>
    <t>O00463</t>
  </si>
  <si>
    <t>O00471</t>
  </si>
  <si>
    <t>O00479</t>
  </si>
  <si>
    <t>O00481</t>
  </si>
  <si>
    <t>O00483</t>
  </si>
  <si>
    <t>O00487</t>
  </si>
  <si>
    <t>O00488</t>
  </si>
  <si>
    <t>O00499-6</t>
  </si>
  <si>
    <t>O00505</t>
  </si>
  <si>
    <t>O00506</t>
  </si>
  <si>
    <t>O00512</t>
  </si>
  <si>
    <t>O00534</t>
  </si>
  <si>
    <t>O00560</t>
  </si>
  <si>
    <t>O00566</t>
  </si>
  <si>
    <t>O00567</t>
  </si>
  <si>
    <t>O00571</t>
  </si>
  <si>
    <t>O00623</t>
  </si>
  <si>
    <t>O00629</t>
  </si>
  <si>
    <t>O00716-2</t>
  </si>
  <si>
    <t>O00743</t>
  </si>
  <si>
    <t>O00754-2</t>
  </si>
  <si>
    <t>O00762-2</t>
  </si>
  <si>
    <t>O00764</t>
  </si>
  <si>
    <t>O00767</t>
  </si>
  <si>
    <t>O14497</t>
  </si>
  <si>
    <t>O14519-2</t>
  </si>
  <si>
    <t>O14523</t>
  </si>
  <si>
    <t>O14524-2</t>
  </si>
  <si>
    <t>O14530</t>
  </si>
  <si>
    <t>O14545</t>
  </si>
  <si>
    <t>O14548</t>
  </si>
  <si>
    <t>O14561</t>
  </si>
  <si>
    <t>O14569</t>
  </si>
  <si>
    <t>O14578-4</t>
  </si>
  <si>
    <t>O14579</t>
  </si>
  <si>
    <t>O14602</t>
  </si>
  <si>
    <t>O14617-4</t>
  </si>
  <si>
    <t>O14656</t>
  </si>
  <si>
    <t>O14657</t>
  </si>
  <si>
    <t>O14662-2</t>
  </si>
  <si>
    <t>O14672</t>
  </si>
  <si>
    <t>O14686</t>
  </si>
  <si>
    <t>O14732-2</t>
  </si>
  <si>
    <t>O14734</t>
  </si>
  <si>
    <t>O14737</t>
  </si>
  <si>
    <t>O14744</t>
  </si>
  <si>
    <t>O14745</t>
  </si>
  <si>
    <t>O14757</t>
  </si>
  <si>
    <t>O14763-2</t>
  </si>
  <si>
    <t>O14772</t>
  </si>
  <si>
    <t>O14773-2</t>
  </si>
  <si>
    <t>O14775-3</t>
  </si>
  <si>
    <t>O14776-2</t>
  </si>
  <si>
    <t>O14777</t>
  </si>
  <si>
    <t>O14787-2</t>
  </si>
  <si>
    <t>O14802</t>
  </si>
  <si>
    <t>O14818</t>
  </si>
  <si>
    <t>O14828</t>
  </si>
  <si>
    <t>O14841</t>
  </si>
  <si>
    <t>O14867</t>
  </si>
  <si>
    <t>O14893-2</t>
  </si>
  <si>
    <t>O14907</t>
  </si>
  <si>
    <t>O14908</t>
  </si>
  <si>
    <t>O14920</t>
  </si>
  <si>
    <t>O14925</t>
  </si>
  <si>
    <t>O14929</t>
  </si>
  <si>
    <t>O14933</t>
  </si>
  <si>
    <t>O14949</t>
  </si>
  <si>
    <t>O14964</t>
  </si>
  <si>
    <t>O14965</t>
  </si>
  <si>
    <t>O14966</t>
  </si>
  <si>
    <t>O14967</t>
  </si>
  <si>
    <t>O14974-4</t>
  </si>
  <si>
    <t>O14975-2</t>
  </si>
  <si>
    <t>O14976</t>
  </si>
  <si>
    <t>O14979</t>
  </si>
  <si>
    <t>O14980</t>
  </si>
  <si>
    <t>O14981</t>
  </si>
  <si>
    <t>O15014</t>
  </si>
  <si>
    <t>O15015</t>
  </si>
  <si>
    <t>O15020-2</t>
  </si>
  <si>
    <t>O15040</t>
  </si>
  <si>
    <t>O15047</t>
  </si>
  <si>
    <t>O15056</t>
  </si>
  <si>
    <t>O15066</t>
  </si>
  <si>
    <t>O15067</t>
  </si>
  <si>
    <t>O15084</t>
  </si>
  <si>
    <t>O15085</t>
  </si>
  <si>
    <t>O15111</t>
  </si>
  <si>
    <t>O15116</t>
  </si>
  <si>
    <t>O15117</t>
  </si>
  <si>
    <t>O15118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</si>
  <si>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</si>
  <si>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</si>
  <si>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</si>
  <si>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</si>
  <si>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</si>
  <si>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</si>
  <si>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</si>
  <si>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</si>
  <si>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O15165-5</t>
  </si>
  <si>
    <t>O15173</t>
  </si>
  <si>
    <t>O15197-3</t>
  </si>
  <si>
    <t>O15212</t>
  </si>
  <si>
    <t>O15213</t>
  </si>
  <si>
    <t>O15228</t>
  </si>
  <si>
    <t>O15234</t>
  </si>
  <si>
    <t>O15235</t>
  </si>
  <si>
    <t>O15254</t>
  </si>
  <si>
    <t>O15258</t>
  </si>
  <si>
    <t>O15269</t>
  </si>
  <si>
    <t>O15270</t>
  </si>
  <si>
    <t>O15294-3</t>
  </si>
  <si>
    <t>O15305</t>
  </si>
  <si>
    <t>O15344</t>
  </si>
  <si>
    <t>O15347</t>
  </si>
  <si>
    <t>O15355</t>
  </si>
  <si>
    <t>O15379</t>
  </si>
  <si>
    <t>O15381</t>
  </si>
  <si>
    <t>O15382</t>
  </si>
  <si>
    <t>O15392-4</t>
  </si>
  <si>
    <t>O15397</t>
  </si>
  <si>
    <t>O15400-2</t>
  </si>
  <si>
    <t>O15427</t>
  </si>
  <si>
    <t>O15431</t>
  </si>
  <si>
    <t>O15439-2</t>
  </si>
  <si>
    <t>O15446</t>
  </si>
  <si>
    <t>O15498</t>
  </si>
  <si>
    <t>O15503</t>
  </si>
  <si>
    <t>O15511</t>
  </si>
  <si>
    <t>O15514</t>
  </si>
  <si>
    <t>O15530</t>
  </si>
  <si>
    <t>O15541</t>
  </si>
  <si>
    <t>O43143</t>
  </si>
  <si>
    <t>O43148</t>
  </si>
  <si>
    <t>O43149</t>
  </si>
  <si>
    <t>O43150-2</t>
  </si>
  <si>
    <t>O43156</t>
  </si>
  <si>
    <t>O43164-2</t>
  </si>
  <si>
    <t>O43172-2</t>
  </si>
  <si>
    <t>O43175</t>
  </si>
  <si>
    <t>O43181</t>
  </si>
  <si>
    <t>O43237</t>
  </si>
  <si>
    <t>O43242</t>
  </si>
  <si>
    <t>O43252</t>
  </si>
  <si>
    <t>O43264</t>
  </si>
  <si>
    <t>O43286</t>
  </si>
  <si>
    <t>O43290</t>
  </si>
  <si>
    <t>O43291</t>
  </si>
  <si>
    <t>O43293</t>
  </si>
  <si>
    <t>O43295</t>
  </si>
  <si>
    <t>O43299</t>
  </si>
  <si>
    <t>O43310</t>
  </si>
  <si>
    <t>O43310-2</t>
  </si>
  <si>
    <t>O43314-2</t>
  </si>
  <si>
    <t>O43318-2</t>
  </si>
  <si>
    <t>O43324</t>
  </si>
  <si>
    <t>O43390</t>
  </si>
  <si>
    <t>O43395</t>
  </si>
  <si>
    <t>O43396</t>
  </si>
  <si>
    <t>O43399</t>
  </si>
  <si>
    <t>O43402</t>
  </si>
  <si>
    <t>O43422</t>
  </si>
  <si>
    <t>O43427-2</t>
  </si>
  <si>
    <t>O43432</t>
  </si>
  <si>
    <t>O43447</t>
  </si>
  <si>
    <t>O43448</t>
  </si>
  <si>
    <t>O43464-3</t>
  </si>
  <si>
    <t>O43482</t>
  </si>
  <si>
    <t>O43488</t>
  </si>
  <si>
    <t>O43502</t>
  </si>
  <si>
    <t>O43504</t>
  </si>
  <si>
    <t>O43505</t>
  </si>
  <si>
    <t>O43513</t>
  </si>
  <si>
    <t>O43516</t>
  </si>
  <si>
    <t>O43524</t>
  </si>
  <si>
    <t>O43542</t>
  </si>
  <si>
    <t>O43566</t>
  </si>
  <si>
    <t>O43567</t>
  </si>
  <si>
    <t>O43583</t>
  </si>
  <si>
    <t>O43592</t>
  </si>
  <si>
    <t>O43598</t>
  </si>
  <si>
    <t>O43615</t>
  </si>
  <si>
    <t>O43617</t>
  </si>
  <si>
    <t>O43633</t>
  </si>
  <si>
    <t>O43639</t>
  </si>
  <si>
    <t>O43665-2</t>
  </si>
  <si>
    <t>O43674</t>
  </si>
  <si>
    <t>O43676</t>
  </si>
  <si>
    <t>O43678</t>
  </si>
  <si>
    <t>O43681</t>
  </si>
  <si>
    <t>O43684</t>
  </si>
  <si>
    <t>O43707</t>
  </si>
  <si>
    <t>O43708</t>
  </si>
  <si>
    <t>O43709</t>
  </si>
  <si>
    <t>O43715</t>
  </si>
  <si>
    <t>O43719</t>
  </si>
  <si>
    <t>O43736-2</t>
  </si>
  <si>
    <t>O43752</t>
  </si>
  <si>
    <t>O43760</t>
  </si>
  <si>
    <t>O43765</t>
  </si>
  <si>
    <t>O43766</t>
  </si>
  <si>
    <t>O43768-2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</si>
  <si>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</si>
  <si>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</si>
  <si>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</si>
  <si>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</si>
  <si>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</si>
  <si>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</si>
  <si>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</si>
  <si>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</si>
  <si>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O43823</t>
  </si>
  <si>
    <t>O43824</t>
  </si>
  <si>
    <t>O43829</t>
  </si>
  <si>
    <t>O43837</t>
  </si>
  <si>
    <t>O43852</t>
  </si>
  <si>
    <t>O43861-2</t>
  </si>
  <si>
    <t>O43865</t>
  </si>
  <si>
    <t>O43909</t>
  </si>
  <si>
    <t>O43913</t>
  </si>
  <si>
    <t>O43920</t>
  </si>
  <si>
    <t>O43924</t>
  </si>
  <si>
    <t>O43933</t>
  </si>
  <si>
    <t>O60216</t>
  </si>
  <si>
    <t>O60218</t>
  </si>
  <si>
    <t>O60220</t>
  </si>
  <si>
    <t>O60231</t>
  </si>
  <si>
    <t>O60234</t>
  </si>
  <si>
    <t>O60239</t>
  </si>
  <si>
    <t>O60244</t>
  </si>
  <si>
    <t>O60256</t>
  </si>
  <si>
    <t>O60262</t>
  </si>
  <si>
    <t>O60264</t>
  </si>
  <si>
    <t>O60271-4</t>
  </si>
  <si>
    <t>O60287</t>
  </si>
  <si>
    <t>O60294</t>
  </si>
  <si>
    <t>O60306</t>
  </si>
  <si>
    <t>O60307</t>
  </si>
  <si>
    <t>O60313-2</t>
  </si>
  <si>
    <t>O60331-4</t>
  </si>
  <si>
    <t>O60333-2</t>
  </si>
  <si>
    <t>O60337-5</t>
  </si>
  <si>
    <t>O60341</t>
  </si>
  <si>
    <t>O60343-2</t>
  </si>
  <si>
    <t>O60344-4</t>
  </si>
  <si>
    <t>O60353-2</t>
  </si>
  <si>
    <t>O60427</t>
  </si>
  <si>
    <t>O60443</t>
  </si>
  <si>
    <t>O60476</t>
  </si>
  <si>
    <t>O60488-2</t>
  </si>
  <si>
    <t>O60493</t>
  </si>
  <si>
    <t>O60496</t>
  </si>
  <si>
    <t>O60504-2</t>
  </si>
  <si>
    <t>O60506-3</t>
  </si>
  <si>
    <t>O60508</t>
  </si>
  <si>
    <t>O60518</t>
  </si>
  <si>
    <t>O60524-4</t>
  </si>
  <si>
    <t>O60547</t>
  </si>
  <si>
    <t>O60551</t>
  </si>
  <si>
    <t>O60563</t>
  </si>
  <si>
    <t>O60566</t>
  </si>
  <si>
    <t>O60568</t>
  </si>
  <si>
    <t>O60583-2</t>
  </si>
  <si>
    <t>O60613</t>
  </si>
  <si>
    <t>O60645-3</t>
  </si>
  <si>
    <t>O60664</t>
  </si>
  <si>
    <t>O60664-3</t>
  </si>
  <si>
    <t>O60671</t>
  </si>
  <si>
    <t>O60675</t>
  </si>
  <si>
    <t>O60678</t>
  </si>
  <si>
    <t>O60701</t>
  </si>
  <si>
    <t>O60704</t>
  </si>
  <si>
    <t>O60711</t>
  </si>
  <si>
    <t>O60725</t>
  </si>
  <si>
    <t>O60739</t>
  </si>
  <si>
    <t>O60749</t>
  </si>
  <si>
    <t>O60763</t>
  </si>
  <si>
    <t>O60783</t>
  </si>
  <si>
    <t>O60826</t>
  </si>
  <si>
    <t>O60828</t>
  </si>
  <si>
    <t>O60830</t>
  </si>
  <si>
    <t>O60831</t>
  </si>
  <si>
    <t>O60832</t>
  </si>
  <si>
    <t>O60841</t>
  </si>
  <si>
    <t>O60861</t>
  </si>
  <si>
    <t>O60869</t>
  </si>
  <si>
    <t>O60870</t>
  </si>
  <si>
    <t>O60880</t>
  </si>
  <si>
    <t>O60880-4</t>
  </si>
  <si>
    <t>O60884</t>
  </si>
  <si>
    <t>O60885</t>
  </si>
  <si>
    <t>O60888-3</t>
  </si>
  <si>
    <t>O60906</t>
  </si>
  <si>
    <t>O60925</t>
  </si>
  <si>
    <t>O60927</t>
  </si>
  <si>
    <t>O60930</t>
  </si>
  <si>
    <t>O60934</t>
  </si>
  <si>
    <t>O60942</t>
  </si>
  <si>
    <t>O75027</t>
  </si>
  <si>
    <t>O75044</t>
  </si>
  <si>
    <t>O75054</t>
  </si>
  <si>
    <t>O75061-3</t>
  </si>
  <si>
    <t>O75063</t>
  </si>
  <si>
    <t>O75071</t>
  </si>
  <si>
    <t>O75083</t>
  </si>
  <si>
    <t>O75113</t>
  </si>
  <si>
    <t>O75116</t>
  </si>
  <si>
    <t>O75131</t>
  </si>
  <si>
    <t>O75143-2</t>
  </si>
  <si>
    <t>O75145-2</t>
  </si>
  <si>
    <t>O75146</t>
  </si>
  <si>
    <t>O75150</t>
  </si>
  <si>
    <t>O75151</t>
  </si>
  <si>
    <t>O75152</t>
  </si>
  <si>
    <t>O75155</t>
  </si>
  <si>
    <t>O75157-2</t>
  </si>
  <si>
    <t>O75164</t>
  </si>
  <si>
    <t>O75165</t>
  </si>
  <si>
    <t>O75170-4</t>
  </si>
  <si>
    <t>O75175</t>
  </si>
  <si>
    <t>O75177</t>
  </si>
  <si>
    <t>O75179-2</t>
  </si>
  <si>
    <t>O75190</t>
  </si>
  <si>
    <t>O75191</t>
  </si>
  <si>
    <t>O75208</t>
  </si>
  <si>
    <t>O75223</t>
  </si>
  <si>
    <t>O75264</t>
  </si>
  <si>
    <t>O75306</t>
  </si>
  <si>
    <t>O75312</t>
  </si>
  <si>
    <t>O75317</t>
  </si>
  <si>
    <t>O75323</t>
  </si>
  <si>
    <t>O75326</t>
  </si>
  <si>
    <t>O75330-2</t>
  </si>
  <si>
    <t>O75340</t>
  </si>
  <si>
    <t>O75347</t>
  </si>
  <si>
    <t>O75348</t>
  </si>
  <si>
    <t>O75351</t>
  </si>
  <si>
    <t>O75356</t>
  </si>
  <si>
    <t>O75362</t>
  </si>
  <si>
    <t>O75367-2</t>
  </si>
  <si>
    <t>O75368</t>
  </si>
  <si>
    <t>O75369-8</t>
  </si>
  <si>
    <t>O75376</t>
  </si>
  <si>
    <t>O75379-2</t>
  </si>
  <si>
    <t>O75380</t>
  </si>
  <si>
    <t>O75381-2</t>
  </si>
  <si>
    <t>O75382-2</t>
  </si>
  <si>
    <t>O75386</t>
  </si>
  <si>
    <t>O75387</t>
  </si>
  <si>
    <t>O75391</t>
  </si>
  <si>
    <t>O75394</t>
  </si>
  <si>
    <t>O75396</t>
  </si>
  <si>
    <t>O75400</t>
  </si>
  <si>
    <t>O75419-2</t>
  </si>
  <si>
    <t>O75420</t>
  </si>
  <si>
    <t>O75427</t>
  </si>
  <si>
    <t>O75436</t>
  </si>
  <si>
    <t>O75438</t>
  </si>
  <si>
    <t>O75439</t>
  </si>
  <si>
    <t>O75446</t>
  </si>
  <si>
    <t>O75449</t>
  </si>
  <si>
    <t>O75475</t>
  </si>
  <si>
    <t>O75477</t>
  </si>
  <si>
    <t>O75489</t>
  </si>
  <si>
    <t>O75503</t>
  </si>
  <si>
    <t>O75506</t>
  </si>
  <si>
    <t>O75521-2</t>
  </si>
  <si>
    <t>O75525</t>
  </si>
  <si>
    <t>O75528</t>
  </si>
  <si>
    <t>O75530</t>
  </si>
  <si>
    <t>O75531</t>
  </si>
  <si>
    <t>O75533</t>
  </si>
  <si>
    <t>O75534</t>
  </si>
  <si>
    <t>O75554</t>
  </si>
  <si>
    <t>O75570</t>
  </si>
  <si>
    <t>O75582</t>
  </si>
  <si>
    <t>O75600</t>
  </si>
  <si>
    <t>O75607</t>
  </si>
  <si>
    <t>O75608-2</t>
  </si>
  <si>
    <t>O75616</t>
  </si>
  <si>
    <t>O75643</t>
  </si>
  <si>
    <t>O75648</t>
  </si>
  <si>
    <t>O75663</t>
  </si>
  <si>
    <t>O75688</t>
  </si>
  <si>
    <t>O75691</t>
  </si>
  <si>
    <t>O75694-2</t>
  </si>
  <si>
    <t>O75695</t>
  </si>
  <si>
    <t>O75717</t>
  </si>
  <si>
    <t>O75746</t>
  </si>
  <si>
    <t>O75781</t>
  </si>
  <si>
    <t>O75791</t>
  </si>
  <si>
    <t>O75792</t>
  </si>
  <si>
    <t>O75794</t>
  </si>
  <si>
    <t>O75808</t>
  </si>
  <si>
    <t>O75818</t>
  </si>
  <si>
    <t>O75821</t>
  </si>
  <si>
    <t>O75822</t>
  </si>
  <si>
    <t>O75828</t>
  </si>
  <si>
    <t>O75843</t>
  </si>
  <si>
    <t>O75844</t>
  </si>
  <si>
    <t>O75865</t>
  </si>
  <si>
    <t>O75874</t>
  </si>
  <si>
    <t>O75882</t>
  </si>
  <si>
    <t>O75884</t>
  </si>
  <si>
    <t>O75886</t>
  </si>
  <si>
    <t>O75896</t>
  </si>
  <si>
    <t>O75909</t>
  </si>
  <si>
    <t>O75915</t>
  </si>
  <si>
    <t>O75925</t>
  </si>
  <si>
    <t>O75928-2</t>
  </si>
  <si>
    <t>O75934</t>
  </si>
  <si>
    <t>O75935</t>
  </si>
  <si>
    <t>O75937</t>
  </si>
  <si>
    <t>O75940</t>
  </si>
  <si>
    <t>O75943-4</t>
  </si>
  <si>
    <t>O75947</t>
  </si>
  <si>
    <t>O75955</t>
  </si>
  <si>
    <t>O75962-2</t>
  </si>
  <si>
    <t>O75964</t>
  </si>
  <si>
    <t>O75973</t>
  </si>
  <si>
    <t>O75976</t>
  </si>
  <si>
    <t>O75995</t>
  </si>
  <si>
    <t>O76003</t>
  </si>
  <si>
    <t>O76024</t>
  </si>
  <si>
    <t>O76031</t>
  </si>
  <si>
    <t>O76054-4</t>
  </si>
  <si>
    <t>O76071</t>
  </si>
  <si>
    <t>O76080</t>
  </si>
  <si>
    <t>O76094</t>
  </si>
  <si>
    <t>O76095-2</t>
  </si>
  <si>
    <t>O76096</t>
  </si>
  <si>
    <t>O94762</t>
  </si>
  <si>
    <t>O94763</t>
  </si>
  <si>
    <t>O94766</t>
  </si>
  <si>
    <t>O94768</t>
  </si>
  <si>
    <t>O94776</t>
  </si>
  <si>
    <t>O94782</t>
  </si>
  <si>
    <t>O94804</t>
  </si>
  <si>
    <t>O94819</t>
  </si>
  <si>
    <t>O94826</t>
  </si>
  <si>
    <t>O94829</t>
  </si>
  <si>
    <t>O94830</t>
  </si>
  <si>
    <t>O94832</t>
  </si>
  <si>
    <t>O94855</t>
  </si>
  <si>
    <t>O94864-2</t>
  </si>
  <si>
    <t>O94874</t>
  </si>
  <si>
    <t>O94880</t>
  </si>
  <si>
    <t>O94886</t>
  </si>
  <si>
    <t>O94888</t>
  </si>
  <si>
    <t>O94889</t>
  </si>
  <si>
    <t>O94900</t>
  </si>
  <si>
    <t>O94903</t>
  </si>
  <si>
    <t>O94905</t>
  </si>
  <si>
    <t>O94906</t>
  </si>
  <si>
    <t>O94913</t>
  </si>
  <si>
    <t>O94919</t>
  </si>
  <si>
    <t>O94925</t>
  </si>
  <si>
    <t>O94925-3</t>
  </si>
  <si>
    <t>O94927</t>
  </si>
  <si>
    <t>O94952-1</t>
  </si>
  <si>
    <t>O94966-7</t>
  </si>
  <si>
    <t>O94967-2</t>
  </si>
  <si>
    <t>O94973</t>
  </si>
  <si>
    <t>O94973-2</t>
  </si>
  <si>
    <t>O94992</t>
  </si>
  <si>
    <t>O95059</t>
  </si>
  <si>
    <t>O95067</t>
  </si>
  <si>
    <t>O95081</t>
  </si>
  <si>
    <t>O95104</t>
  </si>
  <si>
    <t>O95139</t>
  </si>
  <si>
    <t>O95140</t>
  </si>
  <si>
    <t>O95155-2</t>
  </si>
  <si>
    <t>O95159</t>
  </si>
  <si>
    <t>O95163</t>
  </si>
  <si>
    <t>O95167</t>
  </si>
  <si>
    <t>O95168</t>
  </si>
  <si>
    <t>O95182</t>
  </si>
  <si>
    <t>O95183</t>
  </si>
  <si>
    <t>O95197-2</t>
  </si>
  <si>
    <t>O95202</t>
  </si>
  <si>
    <t>O95218-2</t>
  </si>
  <si>
    <t>O95219</t>
  </si>
  <si>
    <t>O95229</t>
  </si>
  <si>
    <t>O95231</t>
  </si>
  <si>
    <t>O95232</t>
  </si>
  <si>
    <t>O95235</t>
  </si>
  <si>
    <t>O95239</t>
  </si>
  <si>
    <t>O95251-4</t>
  </si>
  <si>
    <t>O95292</t>
  </si>
  <si>
    <t>O95295</t>
  </si>
  <si>
    <t>O95297-2</t>
  </si>
  <si>
    <t>O95298-2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</si>
  <si>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</si>
  <si>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</si>
  <si>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</si>
  <si>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</si>
  <si>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</si>
  <si>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</si>
  <si>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</si>
  <si>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</si>
  <si>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O95391</t>
  </si>
  <si>
    <t>O95394</t>
  </si>
  <si>
    <t>O95396</t>
  </si>
  <si>
    <t>O95400</t>
  </si>
  <si>
    <t>O95402</t>
  </si>
  <si>
    <t>O95405</t>
  </si>
  <si>
    <t>O95429-2</t>
  </si>
  <si>
    <t>O95433</t>
  </si>
  <si>
    <t>O95453-2</t>
  </si>
  <si>
    <t>O95456</t>
  </si>
  <si>
    <t>O95466-2</t>
  </si>
  <si>
    <t>O95470</t>
  </si>
  <si>
    <t>O95475</t>
  </si>
  <si>
    <t>O95486</t>
  </si>
  <si>
    <t>O95487-2</t>
  </si>
  <si>
    <t>O95544</t>
  </si>
  <si>
    <t>O95551</t>
  </si>
  <si>
    <t>O95568</t>
  </si>
  <si>
    <t>O95571</t>
  </si>
  <si>
    <t>O95573</t>
  </si>
  <si>
    <t>O95602</t>
  </si>
  <si>
    <t>O95619</t>
  </si>
  <si>
    <t>O95620</t>
  </si>
  <si>
    <t>O95628-3</t>
  </si>
  <si>
    <t>O95630</t>
  </si>
  <si>
    <t>O95639-3</t>
  </si>
  <si>
    <t>O95671-2</t>
  </si>
  <si>
    <t>O95674</t>
  </si>
  <si>
    <t>O95684</t>
  </si>
  <si>
    <t>O95685</t>
  </si>
  <si>
    <t>O95716</t>
  </si>
  <si>
    <t>O95721</t>
  </si>
  <si>
    <t>O95747</t>
  </si>
  <si>
    <t>O95749</t>
  </si>
  <si>
    <t>O95758-1</t>
  </si>
  <si>
    <t>O95777</t>
  </si>
  <si>
    <t>O95782-2</t>
  </si>
  <si>
    <t>O95786</t>
  </si>
  <si>
    <t>O95801</t>
  </si>
  <si>
    <t>O95807</t>
  </si>
  <si>
    <t>O95816</t>
  </si>
  <si>
    <t>O95817</t>
  </si>
  <si>
    <t>O95822</t>
  </si>
  <si>
    <t>O95825</t>
  </si>
  <si>
    <t>O95831-3</t>
  </si>
  <si>
    <t>O95834-2</t>
  </si>
  <si>
    <t>O95837</t>
  </si>
  <si>
    <t>O95848</t>
  </si>
  <si>
    <t>O95857</t>
  </si>
  <si>
    <t>O95861</t>
  </si>
  <si>
    <t>O95864</t>
  </si>
  <si>
    <t>O95865</t>
  </si>
  <si>
    <t>O95873</t>
  </si>
  <si>
    <t>O95881</t>
  </si>
  <si>
    <t>O95905-2</t>
  </si>
  <si>
    <t>O95926</t>
  </si>
  <si>
    <t>O95980</t>
  </si>
  <si>
    <t>O95983-2</t>
  </si>
  <si>
    <t>O95985-3</t>
  </si>
  <si>
    <t>O95989</t>
  </si>
  <si>
    <t>O95997</t>
  </si>
  <si>
    <t>O95999</t>
  </si>
  <si>
    <t>O96000</t>
  </si>
  <si>
    <t>O96006</t>
  </si>
  <si>
    <t>O96007</t>
  </si>
  <si>
    <t>O96008</t>
  </si>
  <si>
    <t>O96011</t>
  </si>
  <si>
    <t>O96013</t>
  </si>
  <si>
    <t>O96017</t>
  </si>
  <si>
    <t>O96018</t>
  </si>
  <si>
    <t>O96019</t>
  </si>
  <si>
    <t>O96028-5</t>
  </si>
  <si>
    <t>O96033</t>
  </si>
  <si>
    <t>P00167-2</t>
  </si>
  <si>
    <t>P00326</t>
  </si>
  <si>
    <t>P00338</t>
  </si>
  <si>
    <t>P00352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</si>
  <si>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</si>
  <si>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</si>
  <si>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</si>
  <si>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</si>
  <si>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</si>
  <si>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</si>
  <si>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</si>
  <si>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</si>
  <si>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</si>
  <si>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</si>
  <si>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P00558</t>
  </si>
  <si>
    <t>P00813</t>
  </si>
  <si>
    <t>P00846</t>
  </si>
  <si>
    <t>P00966</t>
  </si>
  <si>
    <t>P01009-2</t>
  </si>
  <si>
    <t>P01023</t>
  </si>
  <si>
    <t>P01024</t>
  </si>
  <si>
    <t>P01034</t>
  </si>
  <si>
    <t>P01037</t>
  </si>
  <si>
    <t>P01111</t>
  </si>
  <si>
    <t>P01112</t>
  </si>
  <si>
    <t>P01116-2</t>
  </si>
  <si>
    <t>P01137</t>
  </si>
  <si>
    <t>P01344</t>
  </si>
  <si>
    <t>P01730</t>
  </si>
  <si>
    <t>P01733</t>
  </si>
  <si>
    <t>P01737</t>
  </si>
  <si>
    <t>P01777</t>
  </si>
  <si>
    <t>P01833</t>
  </si>
  <si>
    <t>P01834</t>
  </si>
  <si>
    <t>P01848</t>
  </si>
  <si>
    <t>P01850</t>
  </si>
  <si>
    <t>P01857</t>
  </si>
  <si>
    <t>P01876</t>
  </si>
  <si>
    <t>P01889</t>
  </si>
  <si>
    <t>P02008</t>
  </si>
  <si>
    <t>P02545</t>
  </si>
  <si>
    <t>P02763</t>
  </si>
  <si>
    <t>P02766</t>
  </si>
  <si>
    <t>P02786</t>
  </si>
  <si>
    <t>P02792</t>
  </si>
  <si>
    <t>P02794</t>
  </si>
  <si>
    <t>P02795</t>
  </si>
  <si>
    <t>P02814</t>
  </si>
  <si>
    <t>P03897</t>
  </si>
  <si>
    <t>P03928</t>
  </si>
  <si>
    <t>P03971</t>
  </si>
  <si>
    <t>P03973</t>
  </si>
  <si>
    <t>P04040</t>
  </si>
  <si>
    <t>P04053-2</t>
  </si>
  <si>
    <t>P04066</t>
  </si>
  <si>
    <t>P04075</t>
  </si>
  <si>
    <t>P04080</t>
  </si>
  <si>
    <t>P04083</t>
  </si>
  <si>
    <t>P04114</t>
  </si>
  <si>
    <t>P04150-7</t>
  </si>
  <si>
    <t>P04181</t>
  </si>
  <si>
    <t>P04183</t>
  </si>
  <si>
    <t>P04234</t>
  </si>
  <si>
    <t>P04264</t>
  </si>
  <si>
    <t>P04275</t>
  </si>
  <si>
    <t>P04350</t>
  </si>
  <si>
    <t>P04406</t>
  </si>
  <si>
    <t>P04406-2</t>
  </si>
  <si>
    <t>P04424</t>
  </si>
  <si>
    <t>P04632</t>
  </si>
  <si>
    <t>P04745</t>
  </si>
  <si>
    <t>P04792</t>
  </si>
  <si>
    <t>P04818</t>
  </si>
  <si>
    <t>P04843</t>
  </si>
  <si>
    <t>P04844</t>
  </si>
  <si>
    <t>P04899</t>
  </si>
  <si>
    <t>P04920-2</t>
  </si>
  <si>
    <t>P04921-2</t>
  </si>
  <si>
    <t>P05023-4</t>
  </si>
  <si>
    <t>P05062</t>
  </si>
  <si>
    <t>P05089-3</t>
  </si>
  <si>
    <t>P05106</t>
  </si>
  <si>
    <t>P05107</t>
  </si>
  <si>
    <t>P05109</t>
  </si>
  <si>
    <t>P05114</t>
  </si>
  <si>
    <t>P05120</t>
  </si>
  <si>
    <t>P05141</t>
  </si>
  <si>
    <t>P05161</t>
  </si>
  <si>
    <t>P05165-2</t>
  </si>
  <si>
    <t>P05198</t>
  </si>
  <si>
    <t>P05204</t>
  </si>
  <si>
    <t>P05362</t>
  </si>
  <si>
    <t>P05386</t>
  </si>
  <si>
    <t>P05387</t>
  </si>
  <si>
    <t>P05388</t>
  </si>
  <si>
    <t>P05412</t>
  </si>
  <si>
    <t>P05455</t>
  </si>
  <si>
    <t>P05556</t>
  </si>
  <si>
    <t>P05771-2</t>
  </si>
  <si>
    <t>P06126</t>
  </si>
  <si>
    <t>P06127</t>
  </si>
  <si>
    <t>P06132</t>
  </si>
  <si>
    <t>P06213-2</t>
  </si>
  <si>
    <t>P06239</t>
  </si>
  <si>
    <t>P06241-2</t>
  </si>
  <si>
    <t>P06280</t>
  </si>
  <si>
    <t>P06396-2</t>
  </si>
  <si>
    <t>P06400</t>
  </si>
  <si>
    <t>P06493</t>
  </si>
  <si>
    <t>P06576</t>
  </si>
  <si>
    <t>P06702</t>
  </si>
  <si>
    <t>P06729</t>
  </si>
  <si>
    <t>P06733</t>
  </si>
  <si>
    <t>P06733-2</t>
  </si>
  <si>
    <t>P06744</t>
  </si>
  <si>
    <t>P06746</t>
  </si>
  <si>
    <t>P06748</t>
  </si>
  <si>
    <t>P06748-3</t>
  </si>
  <si>
    <t>P06753-2</t>
  </si>
  <si>
    <t>P06753-3</t>
  </si>
  <si>
    <t>P06753-5</t>
  </si>
  <si>
    <t>P06756-3</t>
  </si>
  <si>
    <t>P06899</t>
  </si>
  <si>
    <t>P07099</t>
  </si>
  <si>
    <t>P07108</t>
  </si>
  <si>
    <t>P07195</t>
  </si>
  <si>
    <t>P07203</t>
  </si>
  <si>
    <t>P07205</t>
  </si>
  <si>
    <t>P07237</t>
  </si>
  <si>
    <t>P07305-2</t>
  </si>
  <si>
    <t>P07339</t>
  </si>
  <si>
    <t>P07355</t>
  </si>
  <si>
    <t>P07384</t>
  </si>
  <si>
    <t>P07686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</si>
  <si>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</si>
  <si>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</si>
  <si>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</si>
  <si>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</si>
  <si>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</si>
  <si>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</si>
  <si>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</si>
  <si>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</si>
  <si>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P07954-2</t>
  </si>
  <si>
    <t>P08047</t>
  </si>
  <si>
    <t>P08107</t>
  </si>
  <si>
    <t>P08133</t>
  </si>
  <si>
    <t>P08237</t>
  </si>
  <si>
    <t>P08238</t>
  </si>
  <si>
    <t>P08240</t>
  </si>
  <si>
    <t>P08243-2</t>
  </si>
  <si>
    <t>P08397-2</t>
  </si>
  <si>
    <t>P08559</t>
  </si>
  <si>
    <t>P08567</t>
  </si>
  <si>
    <t>P08574</t>
  </si>
  <si>
    <t>P08575</t>
  </si>
  <si>
    <t>P08579</t>
  </si>
  <si>
    <t>P08582</t>
  </si>
  <si>
    <t>P08590</t>
  </si>
  <si>
    <t>P08621-2</t>
  </si>
  <si>
    <t>P08648</t>
  </si>
  <si>
    <t>P08651-4</t>
  </si>
  <si>
    <t>P08670</t>
  </si>
  <si>
    <t>P08754</t>
  </si>
  <si>
    <t>P08758</t>
  </si>
  <si>
    <t>P09012</t>
  </si>
  <si>
    <t>P09104</t>
  </si>
  <si>
    <t>P09110</t>
  </si>
  <si>
    <t>P09132</t>
  </si>
  <si>
    <t>P09211</t>
  </si>
  <si>
    <t>P09234</t>
  </si>
  <si>
    <t>P09326</t>
  </si>
  <si>
    <t>P09382</t>
  </si>
  <si>
    <t>P09417</t>
  </si>
  <si>
    <t>P09429</t>
  </si>
  <si>
    <t>P09471-2</t>
  </si>
  <si>
    <t>P09486</t>
  </si>
  <si>
    <t>P09488</t>
  </si>
  <si>
    <t>P09496-2</t>
  </si>
  <si>
    <t>P09497-2</t>
  </si>
  <si>
    <t>P09525</t>
  </si>
  <si>
    <t>P09543-2</t>
  </si>
  <si>
    <t>P09564</t>
  </si>
  <si>
    <t>P09622</t>
  </si>
  <si>
    <t>P09661</t>
  </si>
  <si>
    <t>P09668</t>
  </si>
  <si>
    <t>P09669</t>
  </si>
  <si>
    <t>P09693</t>
  </si>
  <si>
    <t>P09874</t>
  </si>
  <si>
    <t>P09960</t>
  </si>
  <si>
    <t>P09972</t>
  </si>
  <si>
    <t>P0C7P0</t>
  </si>
  <si>
    <t>P0C7P4</t>
  </si>
  <si>
    <t>P0C7T5</t>
  </si>
  <si>
    <t>P0C7V0</t>
  </si>
  <si>
    <t>P0CAP2</t>
  </si>
  <si>
    <t>P0CG06</t>
  </si>
  <si>
    <t>P0CG12</t>
  </si>
  <si>
    <t>P0CG13</t>
  </si>
  <si>
    <t>P0CW22</t>
  </si>
  <si>
    <t>P0DJ93</t>
  </si>
  <si>
    <t>P10109</t>
  </si>
  <si>
    <t>P10155</t>
  </si>
  <si>
    <t>P10176</t>
  </si>
  <si>
    <t>P10253</t>
  </si>
  <si>
    <t>P10301</t>
  </si>
  <si>
    <t>P10316</t>
  </si>
  <si>
    <t>P10398</t>
  </si>
  <si>
    <t>P10412</t>
  </si>
  <si>
    <t>P10515</t>
  </si>
  <si>
    <t>P10586-2</t>
  </si>
  <si>
    <t>P10599</t>
  </si>
  <si>
    <t>P10606</t>
  </si>
  <si>
    <t>P10619</t>
  </si>
  <si>
    <t>P10636-4</t>
  </si>
  <si>
    <t>P10644</t>
  </si>
  <si>
    <t>P10721-2</t>
  </si>
  <si>
    <t>P10746</t>
  </si>
  <si>
    <t>P10747</t>
  </si>
  <si>
    <t>P10768</t>
  </si>
  <si>
    <t>P10809</t>
  </si>
  <si>
    <t>P11021</t>
  </si>
  <si>
    <t>P11047</t>
  </si>
  <si>
    <t>P11142</t>
  </si>
  <si>
    <t>P11166</t>
  </si>
  <si>
    <t>P11169</t>
  </si>
  <si>
    <t>P11171-2</t>
  </si>
  <si>
    <t>P11171-4</t>
  </si>
  <si>
    <t>P11172</t>
  </si>
  <si>
    <t>P11177-2</t>
  </si>
  <si>
    <t>P11182</t>
  </si>
  <si>
    <t>P11216</t>
  </si>
  <si>
    <t>P11233</t>
  </si>
  <si>
    <t>P11234</t>
  </si>
  <si>
    <t>P11274</t>
  </si>
  <si>
    <t>P11279</t>
  </si>
  <si>
    <t>P11387</t>
  </si>
  <si>
    <t>P11388</t>
  </si>
  <si>
    <t>P11413</t>
  </si>
  <si>
    <t>P11441</t>
  </si>
  <si>
    <t>P11498</t>
  </si>
  <si>
    <t>P11586</t>
  </si>
  <si>
    <t>P11717</t>
  </si>
  <si>
    <t>P11766</t>
  </si>
  <si>
    <t>P11802</t>
  </si>
  <si>
    <t>P11831</t>
  </si>
  <si>
    <t>P11908-2</t>
  </si>
  <si>
    <t>P11926</t>
  </si>
  <si>
    <t>P11940</t>
  </si>
  <si>
    <t>P12004</t>
  </si>
  <si>
    <t>P12081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</si>
  <si>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</si>
  <si>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</si>
  <si>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</si>
  <si>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</si>
  <si>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</si>
  <si>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</si>
  <si>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</si>
  <si>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</si>
  <si>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P12544-2</t>
  </si>
  <si>
    <t>P12755</t>
  </si>
  <si>
    <t>P12814</t>
  </si>
  <si>
    <t>P12882</t>
  </si>
  <si>
    <t>P12931</t>
  </si>
  <si>
    <t>P12955</t>
  </si>
  <si>
    <t>P12956</t>
  </si>
  <si>
    <t>P13010</t>
  </si>
  <si>
    <t>P13051</t>
  </si>
  <si>
    <t>P13056</t>
  </si>
  <si>
    <t>P13073</t>
  </si>
  <si>
    <t>P13284</t>
  </si>
  <si>
    <t>P13489</t>
  </si>
  <si>
    <t>P13498</t>
  </si>
  <si>
    <t>P13598</t>
  </si>
  <si>
    <t>P13612</t>
  </si>
  <si>
    <t>P13637</t>
  </si>
  <si>
    <t>P13639</t>
  </si>
  <si>
    <t>P13667</t>
  </si>
  <si>
    <t>P13674-2</t>
  </si>
  <si>
    <t>P13693</t>
  </si>
  <si>
    <t>P13796</t>
  </si>
  <si>
    <t>P13804</t>
  </si>
  <si>
    <t>P13807-2</t>
  </si>
  <si>
    <t>P13861</t>
  </si>
  <si>
    <t>P13929-2</t>
  </si>
  <si>
    <t>P13984</t>
  </si>
  <si>
    <t>P13994</t>
  </si>
  <si>
    <t>P13995</t>
  </si>
  <si>
    <t>P14136-3</t>
  </si>
  <si>
    <t>P14151</t>
  </si>
  <si>
    <t>P14174</t>
  </si>
  <si>
    <t>P14209-3</t>
  </si>
  <si>
    <t>P14317</t>
  </si>
  <si>
    <t>P14324-2</t>
  </si>
  <si>
    <t>P14550</t>
  </si>
  <si>
    <t>P14618</t>
  </si>
  <si>
    <t>P14618-2</t>
  </si>
  <si>
    <t>P14621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</si>
  <si>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</si>
  <si>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</si>
  <si>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</si>
  <si>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</si>
  <si>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</si>
  <si>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</si>
  <si>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</si>
  <si>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</si>
  <si>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P14921</t>
  </si>
  <si>
    <t>P14923</t>
  </si>
  <si>
    <t>P14927</t>
  </si>
  <si>
    <t>P15056</t>
  </si>
  <si>
    <t>P15090</t>
  </si>
  <si>
    <t>P15104</t>
  </si>
  <si>
    <t>P15121</t>
  </si>
  <si>
    <t>P15151-3</t>
  </si>
  <si>
    <t>P15153</t>
  </si>
  <si>
    <t>P15170-2</t>
  </si>
  <si>
    <t>P15289</t>
  </si>
  <si>
    <t>P15311</t>
  </si>
  <si>
    <t>P15374</t>
  </si>
  <si>
    <t>P15428</t>
  </si>
  <si>
    <t>P15498</t>
  </si>
  <si>
    <t>P15529-16</t>
  </si>
  <si>
    <t>P15531</t>
  </si>
  <si>
    <t>P15813</t>
  </si>
  <si>
    <t>P15848</t>
  </si>
  <si>
    <t>P15880</t>
  </si>
  <si>
    <t>P15882</t>
  </si>
  <si>
    <t>P15907</t>
  </si>
  <si>
    <t>P15923-2</t>
  </si>
  <si>
    <t>P15924</t>
  </si>
  <si>
    <t>P15927</t>
  </si>
  <si>
    <t>P16035</t>
  </si>
  <si>
    <t>P16150</t>
  </si>
  <si>
    <t>P16219</t>
  </si>
  <si>
    <t>P16220</t>
  </si>
  <si>
    <t>P16278-3</t>
  </si>
  <si>
    <t>P16284-3</t>
  </si>
  <si>
    <t>P16298</t>
  </si>
  <si>
    <t>P16333</t>
  </si>
  <si>
    <t>P16383</t>
  </si>
  <si>
    <t>P16389-2</t>
  </si>
  <si>
    <t>P16401</t>
  </si>
  <si>
    <t>P16435</t>
  </si>
  <si>
    <t>P16455</t>
  </si>
  <si>
    <t>P16591-3</t>
  </si>
  <si>
    <t>P16615</t>
  </si>
  <si>
    <t>P16885</t>
  </si>
  <si>
    <t>P16930</t>
  </si>
  <si>
    <t>P16949</t>
  </si>
  <si>
    <t>P16989</t>
  </si>
  <si>
    <t>P17026</t>
  </si>
  <si>
    <t>P17028</t>
  </si>
  <si>
    <t>P17050</t>
  </si>
  <si>
    <t>P17066</t>
  </si>
  <si>
    <t>P17096</t>
  </si>
  <si>
    <t>P17098</t>
  </si>
  <si>
    <t>P17152</t>
  </si>
  <si>
    <t>P17174</t>
  </si>
  <si>
    <t>P17181</t>
  </si>
  <si>
    <t>P17252</t>
  </si>
  <si>
    <t>P17275</t>
  </si>
  <si>
    <t>P17480</t>
  </si>
  <si>
    <t>P17483</t>
  </si>
  <si>
    <t>P17535</t>
  </si>
  <si>
    <t>P17542-3</t>
  </si>
  <si>
    <t>P17544-4</t>
  </si>
  <si>
    <t>P17568</t>
  </si>
  <si>
    <t>P17600-2</t>
  </si>
  <si>
    <t>P17612</t>
  </si>
  <si>
    <t>P17706-2</t>
  </si>
  <si>
    <t>P17707</t>
  </si>
  <si>
    <t>P17812</t>
  </si>
  <si>
    <t>P17844</t>
  </si>
  <si>
    <t>P17858</t>
  </si>
  <si>
    <t>P17900</t>
  </si>
  <si>
    <t>P17987</t>
  </si>
  <si>
    <t>P18031</t>
  </si>
  <si>
    <t>P18065</t>
  </si>
  <si>
    <t>P18074</t>
  </si>
  <si>
    <t>P18077</t>
  </si>
  <si>
    <t>P18084</t>
  </si>
  <si>
    <t>P18085</t>
  </si>
  <si>
    <t>P18124</t>
  </si>
  <si>
    <t>P18146</t>
  </si>
  <si>
    <t>P18206-2</t>
  </si>
  <si>
    <t>P18583-2</t>
  </si>
  <si>
    <t>P18615</t>
  </si>
  <si>
    <t>P18669</t>
  </si>
  <si>
    <t>P18754-2</t>
  </si>
  <si>
    <t>P18846</t>
  </si>
  <si>
    <t>P18858</t>
  </si>
  <si>
    <t>P18859</t>
  </si>
  <si>
    <t>P18887</t>
  </si>
  <si>
    <t>P19022</t>
  </si>
  <si>
    <t>P19174</t>
  </si>
  <si>
    <t>P19338</t>
  </si>
  <si>
    <t>P19387</t>
  </si>
  <si>
    <t>P19388</t>
  </si>
  <si>
    <t>P19397</t>
  </si>
  <si>
    <t>P19447</t>
  </si>
  <si>
    <t>P19525</t>
  </si>
  <si>
    <t>P19532</t>
  </si>
  <si>
    <t>P19623</t>
  </si>
  <si>
    <t>P19784</t>
  </si>
  <si>
    <t>P19835</t>
  </si>
  <si>
    <t>P19838</t>
  </si>
  <si>
    <t>P20020-5</t>
  </si>
  <si>
    <t>P20042</t>
  </si>
  <si>
    <t>P20061</t>
  </si>
  <si>
    <t>P20248</t>
  </si>
  <si>
    <t>P20290</t>
  </si>
  <si>
    <t>P20290-2</t>
  </si>
  <si>
    <t>P20336</t>
  </si>
  <si>
    <t>P20337</t>
  </si>
  <si>
    <t>P20338</t>
  </si>
  <si>
    <t>P20340</t>
  </si>
  <si>
    <t>P20340-2</t>
  </si>
  <si>
    <t>P20618</t>
  </si>
  <si>
    <t>P20645</t>
  </si>
  <si>
    <t>P20671</t>
  </si>
  <si>
    <t>P20674</t>
  </si>
  <si>
    <t>P20700</t>
  </si>
  <si>
    <t>P20701</t>
  </si>
  <si>
    <t>P20774</t>
  </si>
  <si>
    <t>P20962</t>
  </si>
  <si>
    <t>P20963</t>
  </si>
  <si>
    <t>P21127-8</t>
  </si>
  <si>
    <t>P21266</t>
  </si>
  <si>
    <t>P21281</t>
  </si>
  <si>
    <t>P21283</t>
  </si>
  <si>
    <t>P21291</t>
  </si>
  <si>
    <t>P21333-2</t>
  </si>
  <si>
    <t>P21399</t>
  </si>
  <si>
    <t>P21549</t>
  </si>
  <si>
    <t>P21580</t>
  </si>
  <si>
    <t>P21796</t>
  </si>
  <si>
    <t>P21912</t>
  </si>
  <si>
    <t>P21953</t>
  </si>
  <si>
    <t>P21964-2</t>
  </si>
  <si>
    <t>P22033</t>
  </si>
  <si>
    <t>P22059</t>
  </si>
  <si>
    <t>P22087</t>
  </si>
  <si>
    <t>P22102</t>
  </si>
  <si>
    <t>P22234</t>
  </si>
  <si>
    <t>P22307</t>
  </si>
  <si>
    <t>P22314</t>
  </si>
  <si>
    <t>P22570-5</t>
  </si>
  <si>
    <t>P22626</t>
  </si>
  <si>
    <t>P22670</t>
  </si>
  <si>
    <t>P22681</t>
  </si>
  <si>
    <t>P22694-4</t>
  </si>
  <si>
    <t>P22695</t>
  </si>
  <si>
    <t>P22830</t>
  </si>
  <si>
    <t>P23025</t>
  </si>
  <si>
    <t>P23109-2</t>
  </si>
  <si>
    <t>P23193</t>
  </si>
  <si>
    <t>P23246</t>
  </si>
  <si>
    <t>P23258</t>
  </si>
  <si>
    <t>P23284</t>
  </si>
  <si>
    <t>P23368</t>
  </si>
  <si>
    <t>P23378</t>
  </si>
  <si>
    <t>P23381</t>
  </si>
  <si>
    <t>P23396</t>
  </si>
  <si>
    <t>P23434</t>
  </si>
  <si>
    <t>P23458</t>
  </si>
  <si>
    <t>P23469-3</t>
  </si>
  <si>
    <t>P23497</t>
  </si>
  <si>
    <t>P23511-2</t>
  </si>
  <si>
    <t>P23526</t>
  </si>
  <si>
    <t>P23527</t>
  </si>
  <si>
    <t>P23528</t>
  </si>
  <si>
    <t>P23610</t>
  </si>
  <si>
    <t>P23634-7</t>
  </si>
  <si>
    <t>P23743</t>
  </si>
  <si>
    <t>P23771</t>
  </si>
  <si>
    <t>P23786</t>
  </si>
  <si>
    <t>P23919</t>
  </si>
  <si>
    <t>P23921</t>
  </si>
  <si>
    <t>P24001-2</t>
  </si>
  <si>
    <t>P24298</t>
  </si>
  <si>
    <t>P24311</t>
  </si>
  <si>
    <t>P24534</t>
  </si>
  <si>
    <t>P24588</t>
  </si>
  <si>
    <t>P24666</t>
  </si>
  <si>
    <t>P24666-2</t>
  </si>
  <si>
    <t>P24752</t>
  </si>
  <si>
    <t>P24928</t>
  </si>
  <si>
    <t>P25054-2</t>
  </si>
  <si>
    <t>P25098</t>
  </si>
  <si>
    <t>P25116</t>
  </si>
  <si>
    <t>P25205</t>
  </si>
  <si>
    <t>P25325</t>
  </si>
  <si>
    <t>P25398</t>
  </si>
  <si>
    <t>P25445-6</t>
  </si>
  <si>
    <t>P25490</t>
  </si>
  <si>
    <t>P25685</t>
  </si>
  <si>
    <t>P25686</t>
  </si>
  <si>
    <t>P25705</t>
  </si>
  <si>
    <t>P25705-2</t>
  </si>
  <si>
    <t>P25774-2</t>
  </si>
  <si>
    <t>P25786</t>
  </si>
  <si>
    <t>P25787</t>
  </si>
  <si>
    <t>P25788-2</t>
  </si>
  <si>
    <t>P25789</t>
  </si>
  <si>
    <t>P25815</t>
  </si>
  <si>
    <t>P26006</t>
  </si>
  <si>
    <t>P26038</t>
  </si>
  <si>
    <t>P26196</t>
  </si>
  <si>
    <t>P26358</t>
  </si>
  <si>
    <t>P26368-2</t>
  </si>
  <si>
    <t>P26373</t>
  </si>
  <si>
    <t>P26374</t>
  </si>
  <si>
    <t>P26440</t>
  </si>
  <si>
    <t>P26447</t>
  </si>
  <si>
    <t>P26572</t>
  </si>
  <si>
    <t>P26583</t>
  </si>
  <si>
    <t>P26599</t>
  </si>
  <si>
    <t>P26639</t>
  </si>
  <si>
    <t>P26641</t>
  </si>
  <si>
    <t>P26885</t>
  </si>
  <si>
    <t>P27144</t>
  </si>
  <si>
    <t>P27348</t>
  </si>
  <si>
    <t>P27361</t>
  </si>
  <si>
    <t>P27449</t>
  </si>
  <si>
    <t>P27540-2</t>
  </si>
  <si>
    <t>P27544-2</t>
  </si>
  <si>
    <t>P27635</t>
  </si>
  <si>
    <t>P27694</t>
  </si>
  <si>
    <t>P27695</t>
  </si>
  <si>
    <t>P27701</t>
  </si>
  <si>
    <t>P27797</t>
  </si>
  <si>
    <t>P27815</t>
  </si>
  <si>
    <t>P27816-5</t>
  </si>
  <si>
    <t>P27824</t>
  </si>
  <si>
    <t>P27986</t>
  </si>
  <si>
    <t>P28062</t>
  </si>
  <si>
    <t>P28065</t>
  </si>
  <si>
    <t>P28066</t>
  </si>
  <si>
    <t>P28070</t>
  </si>
  <si>
    <t>P28072</t>
  </si>
  <si>
    <t>P28074</t>
  </si>
  <si>
    <t>P28161</t>
  </si>
  <si>
    <t>P28331-4</t>
  </si>
  <si>
    <t>P28482</t>
  </si>
  <si>
    <t>P28702</t>
  </si>
  <si>
    <t>P28715</t>
  </si>
  <si>
    <t>P28749</t>
  </si>
  <si>
    <t>P28799</t>
  </si>
  <si>
    <t>P28838</t>
  </si>
  <si>
    <t>P28907</t>
  </si>
  <si>
    <t>P28908</t>
  </si>
  <si>
    <t>P29016</t>
  </si>
  <si>
    <t>P29083</t>
  </si>
  <si>
    <t>P29084</t>
  </si>
  <si>
    <t>P29144</t>
  </si>
  <si>
    <t>P29218</t>
  </si>
  <si>
    <t>P29350</t>
  </si>
  <si>
    <t>P29353-7</t>
  </si>
  <si>
    <t>P29372-5</t>
  </si>
  <si>
    <t>P29374-3</t>
  </si>
  <si>
    <t>P29401</t>
  </si>
  <si>
    <t>P29590</t>
  </si>
  <si>
    <t>P29692-3</t>
  </si>
  <si>
    <t>P29728-2</t>
  </si>
  <si>
    <t>P29965</t>
  </si>
  <si>
    <t>P29966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</si>
  <si>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</si>
  <si>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</si>
  <si>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</si>
  <si>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</si>
  <si>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</si>
  <si>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</si>
  <si>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</si>
  <si>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</si>
  <si>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</si>
  <si>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</si>
  <si>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</si>
  <si>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</si>
  <si>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</si>
  <si>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</si>
  <si>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</si>
  <si>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P30203-5</t>
  </si>
  <si>
    <t>P30260</t>
  </si>
  <si>
    <t>P30281</t>
  </si>
  <si>
    <t>P30291</t>
  </si>
  <si>
    <t>P30405</t>
  </si>
  <si>
    <t>P30419</t>
  </si>
  <si>
    <t>P30493</t>
  </si>
  <si>
    <t>P30495</t>
  </si>
  <si>
    <t>P30504</t>
  </si>
  <si>
    <t>P30519</t>
  </si>
  <si>
    <t>P30520</t>
  </si>
  <si>
    <t>P30533</t>
  </si>
  <si>
    <t>P30566</t>
  </si>
  <si>
    <t>P30613-2</t>
  </si>
  <si>
    <t>P30622-2</t>
  </si>
  <si>
    <t>P30679</t>
  </si>
  <si>
    <t>P30685</t>
  </si>
  <si>
    <t>P30740</t>
  </si>
  <si>
    <t>P30793</t>
  </si>
  <si>
    <t>P30825</t>
  </si>
  <si>
    <t>P31146</t>
  </si>
  <si>
    <t>P31150</t>
  </si>
  <si>
    <t>P31151</t>
  </si>
  <si>
    <t>P31153</t>
  </si>
  <si>
    <t>P31321</t>
  </si>
  <si>
    <t>P31323</t>
  </si>
  <si>
    <t>P31327</t>
  </si>
  <si>
    <t>P31350</t>
  </si>
  <si>
    <t>P31641</t>
  </si>
  <si>
    <t>P31689</t>
  </si>
  <si>
    <t>P31749</t>
  </si>
  <si>
    <t>P31751</t>
  </si>
  <si>
    <t>P31785</t>
  </si>
  <si>
    <t>P31930</t>
  </si>
  <si>
    <t>P31937</t>
  </si>
  <si>
    <t>P31939</t>
  </si>
  <si>
    <t>P31942-2</t>
  </si>
  <si>
    <t>P31946-2</t>
  </si>
  <si>
    <t>P31947-2</t>
  </si>
  <si>
    <t>P31948</t>
  </si>
  <si>
    <t>P31949</t>
  </si>
  <si>
    <t>P32019-3</t>
  </si>
  <si>
    <t>P32119</t>
  </si>
  <si>
    <t>P32121</t>
  </si>
  <si>
    <t>P32189-1</t>
  </si>
  <si>
    <t>P32321-2</t>
  </si>
  <si>
    <t>P32322</t>
  </si>
  <si>
    <t>P32455</t>
  </si>
  <si>
    <t>P32519-2</t>
  </si>
  <si>
    <t>P32780</t>
  </si>
  <si>
    <t>P32856-3</t>
  </si>
  <si>
    <t>P32929</t>
  </si>
  <si>
    <t>P32942</t>
  </si>
  <si>
    <t>P32969</t>
  </si>
  <si>
    <t>P33121</t>
  </si>
  <si>
    <t>P33176</t>
  </si>
  <si>
    <t>P33240-2</t>
  </si>
  <si>
    <t>P33241</t>
  </si>
  <si>
    <t>P33316</t>
  </si>
  <si>
    <t>P33316-2</t>
  </si>
  <si>
    <t>P33527</t>
  </si>
  <si>
    <t>P33552</t>
  </si>
  <si>
    <t>P33897</t>
  </si>
  <si>
    <t>P33908</t>
  </si>
  <si>
    <t>P33981-2</t>
  </si>
  <si>
    <t>P33991</t>
  </si>
  <si>
    <t>P33992</t>
  </si>
  <si>
    <t>P33993</t>
  </si>
  <si>
    <t>P34059</t>
  </si>
  <si>
    <t>P34896-2</t>
  </si>
  <si>
    <t>P34897-3</t>
  </si>
  <si>
    <t>P34932</t>
  </si>
  <si>
    <t>P34947</t>
  </si>
  <si>
    <t>P34972</t>
  </si>
  <si>
    <t>P35219</t>
  </si>
  <si>
    <t>P35221</t>
  </si>
  <si>
    <t>P35227</t>
  </si>
  <si>
    <t>P35232</t>
  </si>
  <si>
    <t>P35236-2</t>
  </si>
  <si>
    <t>P35237</t>
  </si>
  <si>
    <t>P35240-5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</si>
  <si>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</si>
  <si>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</si>
  <si>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</si>
  <si>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</si>
  <si>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</si>
  <si>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</si>
  <si>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</si>
  <si>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</si>
  <si>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P35321</t>
  </si>
  <si>
    <t>P35408</t>
  </si>
  <si>
    <t>P35520</t>
  </si>
  <si>
    <t>P35573</t>
  </si>
  <si>
    <t>P35579</t>
  </si>
  <si>
    <t>P35580</t>
  </si>
  <si>
    <t>P35606</t>
  </si>
  <si>
    <t>P35610</t>
  </si>
  <si>
    <t>P35611</t>
  </si>
  <si>
    <t>P35612</t>
  </si>
  <si>
    <t>P35613-2</t>
  </si>
  <si>
    <t>P35626</t>
  </si>
  <si>
    <t>P35637-2</t>
  </si>
  <si>
    <t>P35658-2</t>
  </si>
  <si>
    <t>P35659</t>
  </si>
  <si>
    <t>P35754</t>
  </si>
  <si>
    <t>P35790</t>
  </si>
  <si>
    <t>P35813</t>
  </si>
  <si>
    <t>P35998</t>
  </si>
  <si>
    <t>P36404</t>
  </si>
  <si>
    <t>P36405</t>
  </si>
  <si>
    <t>P36406-3</t>
  </si>
  <si>
    <t>P36507</t>
  </si>
  <si>
    <t>P36542</t>
  </si>
  <si>
    <t>P36543</t>
  </si>
  <si>
    <t>P36551</t>
  </si>
  <si>
    <t>P36578</t>
  </si>
  <si>
    <t>P36639-4</t>
  </si>
  <si>
    <t>P36871</t>
  </si>
  <si>
    <t>P36873-2</t>
  </si>
  <si>
    <t>P36915</t>
  </si>
  <si>
    <t>P36954</t>
  </si>
  <si>
    <t>P36957</t>
  </si>
  <si>
    <t>P36969-2</t>
  </si>
  <si>
    <t>P37108</t>
  </si>
  <si>
    <t>P37198</t>
  </si>
  <si>
    <t>P37235</t>
  </si>
  <si>
    <t>P37268</t>
  </si>
  <si>
    <t>P37275-3</t>
  </si>
  <si>
    <t>P37802</t>
  </si>
  <si>
    <t>P37837</t>
  </si>
  <si>
    <t>P38117</t>
  </si>
  <si>
    <t>P38159</t>
  </si>
  <si>
    <t>P38159-2</t>
  </si>
  <si>
    <t>P38571-2</t>
  </si>
  <si>
    <t>P38646</t>
  </si>
  <si>
    <t>P38919</t>
  </si>
  <si>
    <t>P38935</t>
  </si>
  <si>
    <t>P39019</t>
  </si>
  <si>
    <t>P39023</t>
  </si>
  <si>
    <t>P39656</t>
  </si>
  <si>
    <t>P39687</t>
  </si>
  <si>
    <t>P39748</t>
  </si>
  <si>
    <t>P39880-3</t>
  </si>
  <si>
    <t>P40121</t>
  </si>
  <si>
    <t>P40222</t>
  </si>
  <si>
    <t>P40227</t>
  </si>
  <si>
    <t>P40306</t>
  </si>
  <si>
    <t>P40337-3</t>
  </si>
  <si>
    <t>P40425</t>
  </si>
  <si>
    <t>P40692</t>
  </si>
  <si>
    <t>P40763</t>
  </si>
  <si>
    <t>P40818</t>
  </si>
  <si>
    <t>P40925</t>
  </si>
  <si>
    <t>P40926</t>
  </si>
  <si>
    <t>P40937</t>
  </si>
  <si>
    <t>P40938</t>
  </si>
  <si>
    <t>P40939</t>
  </si>
  <si>
    <t>P41091</t>
  </si>
  <si>
    <t>P41134</t>
  </si>
  <si>
    <t>P41208</t>
  </si>
  <si>
    <t>P41212</t>
  </si>
  <si>
    <t>P41214</t>
  </si>
  <si>
    <t>P41223</t>
  </si>
  <si>
    <t>P41227</t>
  </si>
  <si>
    <t>P41229-3</t>
  </si>
  <si>
    <t>P41240</t>
  </si>
  <si>
    <t>P41250</t>
  </si>
  <si>
    <t>P41252</t>
  </si>
  <si>
    <t>P41440</t>
  </si>
  <si>
    <t>P41567</t>
  </si>
  <si>
    <t>P41743</t>
  </si>
  <si>
    <t>P42025</t>
  </si>
  <si>
    <t>P42166</t>
  </si>
  <si>
    <t>P42167</t>
  </si>
  <si>
    <t>P42167-2</t>
  </si>
  <si>
    <t>P42224</t>
  </si>
  <si>
    <t>P42226</t>
  </si>
  <si>
    <t>P42285</t>
  </si>
  <si>
    <t>P42330</t>
  </si>
  <si>
    <t>P42331-5</t>
  </si>
  <si>
    <t>P42336</t>
  </si>
  <si>
    <t>P42338</t>
  </si>
  <si>
    <t>P42345</t>
  </si>
  <si>
    <t>P42566</t>
  </si>
  <si>
    <t>P42574</t>
  </si>
  <si>
    <t>P42575</t>
  </si>
  <si>
    <t>P42677</t>
  </si>
  <si>
    <t>P42684-6</t>
  </si>
  <si>
    <t>P42695</t>
  </si>
  <si>
    <t>P42704</t>
  </si>
  <si>
    <t>P42765</t>
  </si>
  <si>
    <t>P42766</t>
  </si>
  <si>
    <t>P42768</t>
  </si>
  <si>
    <t>P42773</t>
  </si>
  <si>
    <t>P42785</t>
  </si>
  <si>
    <t>P42858</t>
  </si>
  <si>
    <t>P42892-3</t>
  </si>
  <si>
    <t>P42898</t>
  </si>
  <si>
    <t>P43003-2</t>
  </si>
  <si>
    <t>P43007</t>
  </si>
  <si>
    <t>P43034</t>
  </si>
  <si>
    <t>P43155-2</t>
  </si>
  <si>
    <t>P43250-2</t>
  </si>
  <si>
    <t>P43307</t>
  </si>
  <si>
    <t>P43378</t>
  </si>
  <si>
    <t>P43403</t>
  </si>
  <si>
    <t>P43487</t>
  </si>
  <si>
    <t>P43490</t>
  </si>
  <si>
    <t>P43686</t>
  </si>
  <si>
    <t>P43897</t>
  </si>
  <si>
    <t>P45880</t>
  </si>
  <si>
    <t>P45954</t>
  </si>
  <si>
    <t>P45973</t>
  </si>
  <si>
    <t>P45974-2</t>
  </si>
  <si>
    <t>P45983-3</t>
  </si>
  <si>
    <t>P45984-2</t>
  </si>
  <si>
    <t>P45985</t>
  </si>
  <si>
    <t>P46013</t>
  </si>
  <si>
    <t>P46060</t>
  </si>
  <si>
    <t>P46063</t>
  </si>
  <si>
    <t>P46087</t>
  </si>
  <si>
    <t>P46100-4</t>
  </si>
  <si>
    <t>P46108</t>
  </si>
  <si>
    <t>P46109</t>
  </si>
  <si>
    <t>P46199</t>
  </si>
  <si>
    <t>P46527</t>
  </si>
  <si>
    <t>P46531</t>
  </si>
  <si>
    <t>P46734</t>
  </si>
  <si>
    <t>P46736-2</t>
  </si>
  <si>
    <t>P46777</t>
  </si>
  <si>
    <t>P46778</t>
  </si>
  <si>
    <t>P46779</t>
  </si>
  <si>
    <t>P46781</t>
  </si>
  <si>
    <t>P46783</t>
  </si>
  <si>
    <t>P46926</t>
  </si>
  <si>
    <t>P46934-4</t>
  </si>
  <si>
    <t>P46939</t>
  </si>
  <si>
    <t>P46940</t>
  </si>
  <si>
    <t>P46976-2</t>
  </si>
  <si>
    <t>P46977</t>
  </si>
  <si>
    <t>P47224</t>
  </si>
  <si>
    <t>P47755</t>
  </si>
  <si>
    <t>P47756-2</t>
  </si>
  <si>
    <t>P47813</t>
  </si>
  <si>
    <t>P47897</t>
  </si>
  <si>
    <t>P47914</t>
  </si>
  <si>
    <t>P47974</t>
  </si>
  <si>
    <t>P47985</t>
  </si>
  <si>
    <t>P48029-3</t>
  </si>
  <si>
    <t>P48047</t>
  </si>
  <si>
    <t>P48059-5</t>
  </si>
  <si>
    <t>P48147</t>
  </si>
  <si>
    <t>P48200</t>
  </si>
  <si>
    <t>P48380-3</t>
  </si>
  <si>
    <t>P48444</t>
  </si>
  <si>
    <t>P48449</t>
  </si>
  <si>
    <t>P48454</t>
  </si>
  <si>
    <t>P48506</t>
  </si>
  <si>
    <t>P48507</t>
  </si>
  <si>
    <t>P48553</t>
  </si>
  <si>
    <t>P48634</t>
  </si>
  <si>
    <t>P48637</t>
  </si>
  <si>
    <t>P48643</t>
  </si>
  <si>
    <t>P48651</t>
  </si>
  <si>
    <t>P48723</t>
  </si>
  <si>
    <t>P48729</t>
  </si>
  <si>
    <t>P48730-2</t>
  </si>
  <si>
    <t>P48735</t>
  </si>
  <si>
    <t>P48736</t>
  </si>
  <si>
    <t>P48739</t>
  </si>
  <si>
    <t>P48960-2</t>
  </si>
  <si>
    <t>P49005</t>
  </si>
  <si>
    <t>P49006</t>
  </si>
  <si>
    <t>P49069</t>
  </si>
  <si>
    <t>P49116</t>
  </si>
  <si>
    <t>P49137</t>
  </si>
  <si>
    <t>P49189</t>
  </si>
  <si>
    <t>P49207</t>
  </si>
  <si>
    <t>P49247</t>
  </si>
  <si>
    <t>P49257</t>
  </si>
  <si>
    <t>P49281-2</t>
  </si>
  <si>
    <t>P49321</t>
  </si>
  <si>
    <t>P49327</t>
  </si>
  <si>
    <t>P49336-2</t>
  </si>
  <si>
    <t>P49354</t>
  </si>
  <si>
    <t>P49356</t>
  </si>
  <si>
    <t>P49366</t>
  </si>
  <si>
    <t>P49368</t>
  </si>
  <si>
    <t>P49406</t>
  </si>
  <si>
    <t>P49411</t>
  </si>
  <si>
    <t>P49427</t>
  </si>
  <si>
    <t>P49454</t>
  </si>
  <si>
    <t>P49458</t>
  </si>
  <si>
    <t>P49459</t>
  </si>
  <si>
    <t>P49585</t>
  </si>
  <si>
    <t>P49588</t>
  </si>
  <si>
    <t>P49589-3</t>
  </si>
  <si>
    <t>P49591</t>
  </si>
  <si>
    <t>P49642</t>
  </si>
  <si>
    <t>P49643</t>
  </si>
  <si>
    <t>P49674</t>
  </si>
  <si>
    <t>P49711</t>
  </si>
  <si>
    <t>P49720</t>
  </si>
  <si>
    <t>P49721</t>
  </si>
  <si>
    <t>P49736</t>
  </si>
  <si>
    <t>P49748</t>
  </si>
  <si>
    <t>P49750-4</t>
  </si>
  <si>
    <t>P49755</t>
  </si>
  <si>
    <t>P49756</t>
  </si>
  <si>
    <t>P49757-4</t>
  </si>
  <si>
    <t>P49768-2</t>
  </si>
  <si>
    <t>P49770</t>
  </si>
  <si>
    <t>P49773</t>
  </si>
  <si>
    <t>P49789</t>
  </si>
  <si>
    <t>P49790</t>
  </si>
  <si>
    <t>P49792</t>
  </si>
  <si>
    <t>P49795</t>
  </si>
  <si>
    <t>P49840</t>
  </si>
  <si>
    <t>P49841</t>
  </si>
  <si>
    <t>P49902</t>
  </si>
  <si>
    <t>P49903</t>
  </si>
  <si>
    <t>P49914</t>
  </si>
  <si>
    <t>P49915</t>
  </si>
  <si>
    <t>P49916</t>
  </si>
  <si>
    <t>P49917</t>
  </si>
  <si>
    <t>P49959</t>
  </si>
  <si>
    <t>P50053</t>
  </si>
  <si>
    <t>P50148</t>
  </si>
  <si>
    <t>P50150</t>
  </si>
  <si>
    <t>P50151</t>
  </si>
  <si>
    <t>P50213</t>
  </si>
  <si>
    <t>P50219</t>
  </si>
  <si>
    <t>P50238</t>
  </si>
  <si>
    <t>P50336</t>
  </si>
  <si>
    <t>P50402</t>
  </si>
  <si>
    <t>P50416</t>
  </si>
  <si>
    <t>P50440-3</t>
  </si>
  <si>
    <t>P50443</t>
  </si>
  <si>
    <t>P50452</t>
  </si>
  <si>
    <t>P50454</t>
  </si>
  <si>
    <t>P50502</t>
  </si>
  <si>
    <t>P50552</t>
  </si>
  <si>
    <t>P50570-4</t>
  </si>
  <si>
    <t>P50579</t>
  </si>
  <si>
    <t>P50583</t>
  </si>
  <si>
    <t>P50747</t>
  </si>
  <si>
    <t>P50748</t>
  </si>
  <si>
    <t>P50749</t>
  </si>
  <si>
    <t>P50750</t>
  </si>
  <si>
    <t>P50851</t>
  </si>
  <si>
    <t>P50895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</si>
  <si>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</si>
  <si>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</si>
  <si>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</si>
  <si>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</si>
  <si>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</si>
  <si>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</si>
  <si>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</si>
  <si>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</si>
  <si>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P51157</t>
  </si>
  <si>
    <t>P51159</t>
  </si>
  <si>
    <t>P51398-2</t>
  </si>
  <si>
    <t>P51452</t>
  </si>
  <si>
    <t>P51513-5</t>
  </si>
  <si>
    <t>P51531</t>
  </si>
  <si>
    <t>P51553</t>
  </si>
  <si>
    <t>P51570</t>
  </si>
  <si>
    <t>P51571</t>
  </si>
  <si>
    <t>P51572</t>
  </si>
  <si>
    <t>P51580</t>
  </si>
  <si>
    <t>P51608</t>
  </si>
  <si>
    <t>P51610-2</t>
  </si>
  <si>
    <t>P51649</t>
  </si>
  <si>
    <t>P51659</t>
  </si>
  <si>
    <t>P51665</t>
  </si>
  <si>
    <t>P51668</t>
  </si>
  <si>
    <t>P51688</t>
  </si>
  <si>
    <t>P51692</t>
  </si>
  <si>
    <t>P51790-4</t>
  </si>
  <si>
    <t>P51795</t>
  </si>
  <si>
    <t>P51797</t>
  </si>
  <si>
    <t>P51798-2</t>
  </si>
  <si>
    <t>P51809</t>
  </si>
  <si>
    <t>P51828</t>
  </si>
  <si>
    <t>P51858</t>
  </si>
  <si>
    <t>P51948-2</t>
  </si>
  <si>
    <t>P51970</t>
  </si>
  <si>
    <t>P51991</t>
  </si>
  <si>
    <t>P52272-2</t>
  </si>
  <si>
    <t>P52292</t>
  </si>
  <si>
    <t>P52294</t>
  </si>
  <si>
    <t>P52298</t>
  </si>
  <si>
    <t>P52306</t>
  </si>
  <si>
    <t>P52306-4</t>
  </si>
  <si>
    <t>P52435</t>
  </si>
  <si>
    <t>P52564</t>
  </si>
  <si>
    <t>P52565</t>
  </si>
  <si>
    <t>P52566</t>
  </si>
  <si>
    <t>P52594-2</t>
  </si>
  <si>
    <t>P52597</t>
  </si>
  <si>
    <t>P52630-4</t>
  </si>
  <si>
    <t>P52655</t>
  </si>
  <si>
    <t>P52657</t>
  </si>
  <si>
    <t>P52732</t>
  </si>
  <si>
    <t>P52735-3</t>
  </si>
  <si>
    <t>P52756</t>
  </si>
  <si>
    <t>P52758</t>
  </si>
  <si>
    <t>P52788</t>
  </si>
  <si>
    <t>P52789</t>
  </si>
  <si>
    <t>P52798-2</t>
  </si>
  <si>
    <t>P52815</t>
  </si>
  <si>
    <t>P52888</t>
  </si>
  <si>
    <t>P52907</t>
  </si>
  <si>
    <t>P52943</t>
  </si>
  <si>
    <t>P52948-5</t>
  </si>
  <si>
    <t>P53004</t>
  </si>
  <si>
    <t>P53007</t>
  </si>
  <si>
    <t>P53350</t>
  </si>
  <si>
    <t>P53365</t>
  </si>
  <si>
    <t>P53367-2</t>
  </si>
  <si>
    <t>P53384-2</t>
  </si>
  <si>
    <t>P53396</t>
  </si>
  <si>
    <t>P53567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</si>
  <si>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</si>
  <si>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</si>
  <si>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</si>
  <si>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</si>
  <si>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</si>
  <si>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</si>
  <si>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</si>
  <si>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</si>
  <si>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P53675-2</t>
  </si>
  <si>
    <t>P53701</t>
  </si>
  <si>
    <t>P53778</t>
  </si>
  <si>
    <t>P53794</t>
  </si>
  <si>
    <t>P53801</t>
  </si>
  <si>
    <t>P53803</t>
  </si>
  <si>
    <t>P53814-5</t>
  </si>
  <si>
    <t>P53985</t>
  </si>
  <si>
    <t>P53990-2</t>
  </si>
  <si>
    <t>P53992</t>
  </si>
  <si>
    <t>P53999</t>
  </si>
  <si>
    <t>P54098</t>
  </si>
  <si>
    <t>P54136</t>
  </si>
  <si>
    <t>P54136-2</t>
  </si>
  <si>
    <t>P54259</t>
  </si>
  <si>
    <t>P54278</t>
  </si>
  <si>
    <t>P54284-3</t>
  </si>
  <si>
    <t>P54577</t>
  </si>
  <si>
    <t>P54578</t>
  </si>
  <si>
    <t>P54619-2</t>
  </si>
  <si>
    <t>P54652</t>
  </si>
  <si>
    <t>P54687</t>
  </si>
  <si>
    <t>P54709</t>
  </si>
  <si>
    <t>P54710-2</t>
  </si>
  <si>
    <t>P54727</t>
  </si>
  <si>
    <t>P54819</t>
  </si>
  <si>
    <t>P54868</t>
  </si>
  <si>
    <t>P54886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</si>
  <si>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</si>
  <si>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</si>
  <si>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</si>
  <si>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</si>
  <si>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</si>
  <si>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</si>
  <si>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</si>
  <si>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</si>
  <si>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P55084</t>
  </si>
  <si>
    <t>P55145</t>
  </si>
  <si>
    <t>P55160</t>
  </si>
  <si>
    <t>P55199</t>
  </si>
  <si>
    <t>P55210</t>
  </si>
  <si>
    <t>P55211</t>
  </si>
  <si>
    <t>P55212</t>
  </si>
  <si>
    <t>P55263</t>
  </si>
  <si>
    <t>P55273</t>
  </si>
  <si>
    <t>P55283</t>
  </si>
  <si>
    <t>P55327-2</t>
  </si>
  <si>
    <t>P55735</t>
  </si>
  <si>
    <t>P55771</t>
  </si>
  <si>
    <t>P55789</t>
  </si>
  <si>
    <t>P55795</t>
  </si>
  <si>
    <t>P55809</t>
  </si>
  <si>
    <t>P55884</t>
  </si>
  <si>
    <t>P55899</t>
  </si>
  <si>
    <t>P55957</t>
  </si>
  <si>
    <t>P56134-3</t>
  </si>
  <si>
    <t>P56159-2</t>
  </si>
  <si>
    <t>P56181</t>
  </si>
  <si>
    <t>P56181-2</t>
  </si>
  <si>
    <t>P56182</t>
  </si>
  <si>
    <t>P56192</t>
  </si>
  <si>
    <t>P56199</t>
  </si>
  <si>
    <t>P56211</t>
  </si>
  <si>
    <t>P56270-2</t>
  </si>
  <si>
    <t>P56277</t>
  </si>
  <si>
    <t>P56282</t>
  </si>
  <si>
    <t>P56377</t>
  </si>
  <si>
    <t>P56378</t>
  </si>
  <si>
    <t>P56381</t>
  </si>
  <si>
    <t>P56385</t>
  </si>
  <si>
    <t>P56524</t>
  </si>
  <si>
    <t>P56537</t>
  </si>
  <si>
    <t>P56556</t>
  </si>
  <si>
    <t>P56559</t>
  </si>
  <si>
    <t>P56589</t>
  </si>
  <si>
    <t>P56937-3</t>
  </si>
  <si>
    <t>P56962</t>
  </si>
  <si>
    <t>P57060</t>
  </si>
  <si>
    <t>P57075-2</t>
  </si>
  <si>
    <t>P57076</t>
  </si>
  <si>
    <t>P57081-2</t>
  </si>
  <si>
    <t>P57088</t>
  </si>
  <si>
    <t>P57105</t>
  </si>
  <si>
    <t>P57737-3</t>
  </si>
  <si>
    <t>P57740</t>
  </si>
  <si>
    <t>P57768</t>
  </si>
  <si>
    <t>P57772</t>
  </si>
  <si>
    <t>P58004</t>
  </si>
  <si>
    <t>P58546</t>
  </si>
  <si>
    <t>P58557-2</t>
  </si>
  <si>
    <t>P58876</t>
  </si>
  <si>
    <t>P59190</t>
  </si>
  <si>
    <t>P59666</t>
  </si>
  <si>
    <t>P60059</t>
  </si>
  <si>
    <t>P60174</t>
  </si>
  <si>
    <t>P60228</t>
  </si>
  <si>
    <t>P60468</t>
  </si>
  <si>
    <t>P60510</t>
  </si>
  <si>
    <t>P60520</t>
  </si>
  <si>
    <t>P60602</t>
  </si>
  <si>
    <t>P60604-2</t>
  </si>
  <si>
    <t>P60709</t>
  </si>
  <si>
    <t>P60763</t>
  </si>
  <si>
    <t>P60842</t>
  </si>
  <si>
    <t>P60866</t>
  </si>
  <si>
    <t>P60891</t>
  </si>
  <si>
    <t>P60896</t>
  </si>
  <si>
    <t>P60900</t>
  </si>
  <si>
    <t>P60903</t>
  </si>
  <si>
    <t>P60953</t>
  </si>
  <si>
    <t>P60953-1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</si>
  <si>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</si>
  <si>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</si>
  <si>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</si>
  <si>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</si>
  <si>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</si>
  <si>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</si>
  <si>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</si>
  <si>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</si>
  <si>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</si>
  <si>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</si>
  <si>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</si>
  <si>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</si>
  <si>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</si>
  <si>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</si>
  <si>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</si>
  <si>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</si>
  <si>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</si>
  <si>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</si>
  <si>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</si>
  <si>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</si>
  <si>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P61204</t>
  </si>
  <si>
    <t>P61221</t>
  </si>
  <si>
    <t>P61224</t>
  </si>
  <si>
    <t>P61244-2</t>
  </si>
  <si>
    <t>P61247</t>
  </si>
  <si>
    <t>P61254</t>
  </si>
  <si>
    <t>P61289</t>
  </si>
  <si>
    <t>P61326</t>
  </si>
  <si>
    <t>P61353</t>
  </si>
  <si>
    <t>P61457</t>
  </si>
  <si>
    <t>P61513</t>
  </si>
  <si>
    <t>P61586</t>
  </si>
  <si>
    <t>P61599</t>
  </si>
  <si>
    <t>P61604</t>
  </si>
  <si>
    <t>P61758</t>
  </si>
  <si>
    <t>P61764</t>
  </si>
  <si>
    <t>P61769</t>
  </si>
  <si>
    <t>P61925</t>
  </si>
  <si>
    <t>P61927</t>
  </si>
  <si>
    <t>P61962</t>
  </si>
  <si>
    <t>P61964</t>
  </si>
  <si>
    <t>P61966</t>
  </si>
  <si>
    <t>P61968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</si>
  <si>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</si>
  <si>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</si>
  <si>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</si>
  <si>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</si>
  <si>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</si>
  <si>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</si>
  <si>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</si>
  <si>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</si>
  <si>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P62166</t>
  </si>
  <si>
    <t>P62191</t>
  </si>
  <si>
    <t>P62195-2</t>
  </si>
  <si>
    <t>P62241</t>
  </si>
  <si>
    <t>P62244</t>
  </si>
  <si>
    <t>P62249</t>
  </si>
  <si>
    <t>P62253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</si>
  <si>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</si>
  <si>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</si>
  <si>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</si>
  <si>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</si>
  <si>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</si>
  <si>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</si>
  <si>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</si>
  <si>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</si>
  <si>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</si>
  <si>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</si>
  <si>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</si>
  <si>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</si>
  <si>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</si>
  <si>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</si>
  <si>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</si>
  <si>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</si>
  <si>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</si>
  <si>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P62341</t>
  </si>
  <si>
    <t>P62380</t>
  </si>
  <si>
    <t>P62424</t>
  </si>
  <si>
    <t>P62487</t>
  </si>
  <si>
    <t>P62495</t>
  </si>
  <si>
    <t>P62633-2</t>
  </si>
  <si>
    <t>P62633-3</t>
  </si>
  <si>
    <t>P62633-4</t>
  </si>
  <si>
    <t>P62633-5</t>
  </si>
  <si>
    <t>P62699</t>
  </si>
  <si>
    <t>P62701</t>
  </si>
  <si>
    <t>P62714</t>
  </si>
  <si>
    <t>P62750</t>
  </si>
  <si>
    <t>P62753</t>
  </si>
  <si>
    <t>P62805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</si>
  <si>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</si>
  <si>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</si>
  <si>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</si>
  <si>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</si>
  <si>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</si>
  <si>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</si>
  <si>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</si>
  <si>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</si>
  <si>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P62875</t>
  </si>
  <si>
    <t>P62877</t>
  </si>
  <si>
    <t>P62879</t>
  </si>
  <si>
    <t>P62888</t>
  </si>
  <si>
    <t>P62899</t>
  </si>
  <si>
    <t>P62906</t>
  </si>
  <si>
    <t>P62913-2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</si>
  <si>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</si>
  <si>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</si>
  <si>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</si>
  <si>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</si>
  <si>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</si>
  <si>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</si>
  <si>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</si>
  <si>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</si>
  <si>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</t>
  </si>
  <si>
    <t>P63092-3</t>
  </si>
  <si>
    <t>P63104</t>
  </si>
  <si>
    <t>P63146</t>
  </si>
  <si>
    <t>P63151</t>
  </si>
  <si>
    <t>P63167</t>
  </si>
  <si>
    <t>P63172</t>
  </si>
  <si>
    <t>P63173</t>
  </si>
  <si>
    <t>P63218</t>
  </si>
  <si>
    <t>P63220</t>
  </si>
  <si>
    <t>P63241</t>
  </si>
  <si>
    <t>P63244</t>
  </si>
  <si>
    <t>P63261</t>
  </si>
  <si>
    <t>P63272</t>
  </si>
  <si>
    <t>P67775</t>
  </si>
  <si>
    <t>P67809</t>
  </si>
  <si>
    <t>P67936</t>
  </si>
  <si>
    <t>P68036</t>
  </si>
  <si>
    <t>P68104</t>
  </si>
  <si>
    <t>P68133</t>
  </si>
  <si>
    <t>P68363</t>
  </si>
  <si>
    <t>P68371</t>
  </si>
  <si>
    <t>P68402</t>
  </si>
  <si>
    <t>P68871</t>
  </si>
  <si>
    <t>P69905</t>
  </si>
  <si>
    <t>P78316</t>
  </si>
  <si>
    <t>P78318</t>
  </si>
  <si>
    <t>P78330</t>
  </si>
  <si>
    <t>P78332</t>
  </si>
  <si>
    <t>P78345</t>
  </si>
  <si>
    <t>P78346</t>
  </si>
  <si>
    <t>P78347-2</t>
  </si>
  <si>
    <t>P78356</t>
  </si>
  <si>
    <t>P78362</t>
  </si>
  <si>
    <t>P78371</t>
  </si>
  <si>
    <t>P78382-2</t>
  </si>
  <si>
    <t>P78406</t>
  </si>
  <si>
    <t>P78410-3</t>
  </si>
  <si>
    <t>P78417</t>
  </si>
  <si>
    <t>P78527</t>
  </si>
  <si>
    <t>P78536</t>
  </si>
  <si>
    <t>P78537-2</t>
  </si>
  <si>
    <t>P78540</t>
  </si>
  <si>
    <t>P78549</t>
  </si>
  <si>
    <t>P79522-2</t>
  </si>
  <si>
    <t>P80217</t>
  </si>
  <si>
    <t>P80297</t>
  </si>
  <si>
    <t>P80303</t>
  </si>
  <si>
    <t>P81605</t>
  </si>
  <si>
    <t>P82094</t>
  </si>
  <si>
    <t>P82664</t>
  </si>
  <si>
    <t>P82673</t>
  </si>
  <si>
    <t>P82909</t>
  </si>
  <si>
    <t>P82912-2</t>
  </si>
  <si>
    <t>P82921</t>
  </si>
  <si>
    <t>P82932</t>
  </si>
  <si>
    <t>P82933</t>
  </si>
  <si>
    <t>P82979</t>
  </si>
  <si>
    <t>P83111</t>
  </si>
  <si>
    <t>P83436</t>
  </si>
  <si>
    <t>P83876</t>
  </si>
  <si>
    <t>P84022</t>
  </si>
  <si>
    <t>P84085</t>
  </si>
  <si>
    <t>P84090</t>
  </si>
  <si>
    <t>P84095</t>
  </si>
  <si>
    <t>P84101-4</t>
  </si>
  <si>
    <t>P84157</t>
  </si>
  <si>
    <t>P84157-2</t>
  </si>
  <si>
    <t>P85037</t>
  </si>
  <si>
    <t>P86791</t>
  </si>
  <si>
    <t>P98155-2</t>
  </si>
  <si>
    <t>P98170</t>
  </si>
  <si>
    <t>P98172</t>
  </si>
  <si>
    <t>P98173-3</t>
  </si>
  <si>
    <t>P98175-2</t>
  </si>
  <si>
    <t>P98179</t>
  </si>
  <si>
    <t>Q00013-2</t>
  </si>
  <si>
    <t>Q00059</t>
  </si>
  <si>
    <t>Q00169</t>
  </si>
  <si>
    <t>Q00266</t>
  </si>
  <si>
    <t>Q00325-2</t>
  </si>
  <si>
    <t>Q00341</t>
  </si>
  <si>
    <t>Q00403</t>
  </si>
  <si>
    <t>Q00534</t>
  </si>
  <si>
    <t>Q00535</t>
  </si>
  <si>
    <t>Q00536</t>
  </si>
  <si>
    <t>Q00577</t>
  </si>
  <si>
    <t>Q00610-2</t>
  </si>
  <si>
    <t>Q00653-4</t>
  </si>
  <si>
    <t>Q00688</t>
  </si>
  <si>
    <t>Q00765</t>
  </si>
  <si>
    <t>Q00796</t>
  </si>
  <si>
    <t>Q00839-2</t>
  </si>
  <si>
    <t>Q01081</t>
  </si>
  <si>
    <t>Q01082</t>
  </si>
  <si>
    <t>Q01082-3</t>
  </si>
  <si>
    <t>Q01085-2</t>
  </si>
  <si>
    <t>Q01105-2</t>
  </si>
  <si>
    <t>Q01151</t>
  </si>
  <si>
    <t>Q01167</t>
  </si>
  <si>
    <t>Q01196</t>
  </si>
  <si>
    <t>Q01415</t>
  </si>
  <si>
    <t>Q01432</t>
  </si>
  <si>
    <t>Q01433</t>
  </si>
  <si>
    <t>Q01459</t>
  </si>
  <si>
    <t>Q01469</t>
  </si>
  <si>
    <t>Q01518-2</t>
  </si>
  <si>
    <t>Q01543</t>
  </si>
  <si>
    <t>Q01546</t>
  </si>
  <si>
    <t>Q01581</t>
  </si>
  <si>
    <t>Q01650</t>
  </si>
  <si>
    <t>Q01658</t>
  </si>
  <si>
    <t>Q01664</t>
  </si>
  <si>
    <t>Q01780-2</t>
  </si>
  <si>
    <t>Q01813</t>
  </si>
  <si>
    <t>Q01826</t>
  </si>
  <si>
    <t>Q01968</t>
  </si>
  <si>
    <t>Q01970</t>
  </si>
  <si>
    <t>Q02040</t>
  </si>
  <si>
    <t>Q02083-2</t>
  </si>
  <si>
    <t>Q02127</t>
  </si>
  <si>
    <t>Q02224-3</t>
  </si>
  <si>
    <t>Q02241</t>
  </si>
  <si>
    <t>Q02252</t>
  </si>
  <si>
    <t>Q02338</t>
  </si>
  <si>
    <t>Q02383</t>
  </si>
  <si>
    <t>Q02410</t>
  </si>
  <si>
    <t>Q02446</t>
  </si>
  <si>
    <t>Q02447-3</t>
  </si>
  <si>
    <t>Q02535</t>
  </si>
  <si>
    <t>Q02543</t>
  </si>
  <si>
    <t>Q02750</t>
  </si>
  <si>
    <t>Q02790</t>
  </si>
  <si>
    <t>Q02809</t>
  </si>
  <si>
    <t>Q02818</t>
  </si>
  <si>
    <t>Q02833-3</t>
  </si>
  <si>
    <t>Q02880-2</t>
  </si>
  <si>
    <t>Q03013</t>
  </si>
  <si>
    <t>Q03111</t>
  </si>
  <si>
    <t>Q03164-2</t>
  </si>
  <si>
    <t>Q03405</t>
  </si>
  <si>
    <t>Q03519</t>
  </si>
  <si>
    <t>Q04446</t>
  </si>
  <si>
    <t>Q04656-5</t>
  </si>
  <si>
    <t>Q04721</t>
  </si>
  <si>
    <t>Q04726-3</t>
  </si>
  <si>
    <t>Q04759</t>
  </si>
  <si>
    <t>Q04760-2</t>
  </si>
  <si>
    <t>Q04837</t>
  </si>
  <si>
    <t>Q04917</t>
  </si>
  <si>
    <t>Q04941</t>
  </si>
  <si>
    <t>Q05048</t>
  </si>
  <si>
    <t>Q05086-3</t>
  </si>
  <si>
    <t>Q05193-3</t>
  </si>
  <si>
    <t>Q05519-2</t>
  </si>
  <si>
    <t>Q05639</t>
  </si>
  <si>
    <t>Q05655</t>
  </si>
  <si>
    <t>Q05932-3</t>
  </si>
  <si>
    <t>Q05D32</t>
  </si>
  <si>
    <t>Q06124</t>
  </si>
  <si>
    <t>Q06136</t>
  </si>
  <si>
    <t>Q06203</t>
  </si>
  <si>
    <t>Q06210-2</t>
  </si>
  <si>
    <t>Q06265</t>
  </si>
  <si>
    <t>Q06323</t>
  </si>
  <si>
    <t>Q06330-4</t>
  </si>
  <si>
    <t>Q06481</t>
  </si>
  <si>
    <t>Q06546</t>
  </si>
  <si>
    <t>Q06547-2</t>
  </si>
  <si>
    <t>Q06587</t>
  </si>
  <si>
    <t>Q06609</t>
  </si>
  <si>
    <t>Q06787-6</t>
  </si>
  <si>
    <t>Q06830</t>
  </si>
  <si>
    <t>Q06945</t>
  </si>
  <si>
    <t>Q07021</t>
  </si>
  <si>
    <t>Q07065</t>
  </si>
  <si>
    <t>Q07108</t>
  </si>
  <si>
    <t>Q07666</t>
  </si>
  <si>
    <t>Q07820-2</t>
  </si>
  <si>
    <t>Q07866-3</t>
  </si>
  <si>
    <t>Q07866-6</t>
  </si>
  <si>
    <t>Q07960</t>
  </si>
  <si>
    <t>Q08170</t>
  </si>
  <si>
    <t>Q08209-2</t>
  </si>
  <si>
    <t>Q08211</t>
  </si>
  <si>
    <t>Q08257</t>
  </si>
  <si>
    <t>Q08357</t>
  </si>
  <si>
    <t>Q08378</t>
  </si>
  <si>
    <t>Q08379</t>
  </si>
  <si>
    <t>Q08380</t>
  </si>
  <si>
    <t>Q08426-2</t>
  </si>
  <si>
    <t>Q08722</t>
  </si>
  <si>
    <t>Q08752</t>
  </si>
  <si>
    <t>Q08881</t>
  </si>
  <si>
    <t>Q08945</t>
  </si>
  <si>
    <t>Q08AD1-2</t>
  </si>
  <si>
    <t>Q08AF3</t>
  </si>
  <si>
    <t>Q08AG7</t>
  </si>
  <si>
    <t>Q08AM6</t>
  </si>
  <si>
    <t>Q08E86</t>
  </si>
  <si>
    <t>Q08J23</t>
  </si>
  <si>
    <t>Q09028-3</t>
  </si>
  <si>
    <t>Q09161</t>
  </si>
  <si>
    <t>Q09328</t>
  </si>
  <si>
    <t>Q09472</t>
  </si>
  <si>
    <t>Q09666</t>
  </si>
  <si>
    <t>Q0GE19</t>
  </si>
  <si>
    <t>Q0PNE2</t>
  </si>
  <si>
    <t>Q0VD83</t>
  </si>
  <si>
    <t>Q0VDF9</t>
  </si>
  <si>
    <t>Q0VDG4</t>
  </si>
  <si>
    <t>Q0VGL1</t>
  </si>
  <si>
    <t>Q10469</t>
  </si>
  <si>
    <t>Q10471</t>
  </si>
  <si>
    <t>Q10567-2</t>
  </si>
  <si>
    <t>Q10567-3</t>
  </si>
  <si>
    <t>Q10570</t>
  </si>
  <si>
    <t>Q10589</t>
  </si>
  <si>
    <t>Q10713</t>
  </si>
  <si>
    <t>Q12765</t>
  </si>
  <si>
    <t>Q12768</t>
  </si>
  <si>
    <t>Q12769</t>
  </si>
  <si>
    <t>Q12770</t>
  </si>
  <si>
    <t>Q12788</t>
  </si>
  <si>
    <t>Q12789-3</t>
  </si>
  <si>
    <t>Q12792</t>
  </si>
  <si>
    <t>Q12797-10</t>
  </si>
  <si>
    <t>Q12802-4</t>
  </si>
  <si>
    <t>Q12824-2</t>
  </si>
  <si>
    <t>Q12830-4</t>
  </si>
  <si>
    <t>Q12834</t>
  </si>
  <si>
    <t>Q12846</t>
  </si>
  <si>
    <t>Q12872</t>
  </si>
  <si>
    <t>Q12874</t>
  </si>
  <si>
    <t>Q12882</t>
  </si>
  <si>
    <t>Q12888</t>
  </si>
  <si>
    <t>Q12893</t>
  </si>
  <si>
    <t>Q12894</t>
  </si>
  <si>
    <t>Q12899</t>
  </si>
  <si>
    <t>Q12904</t>
  </si>
  <si>
    <t>Q12905</t>
  </si>
  <si>
    <t>Q12906-7</t>
  </si>
  <si>
    <t>Q12907</t>
  </si>
  <si>
    <t>Q12912-2</t>
  </si>
  <si>
    <t>Q12933-3</t>
  </si>
  <si>
    <t>Q12955</t>
  </si>
  <si>
    <t>Q12959-5</t>
  </si>
  <si>
    <t>Q12962</t>
  </si>
  <si>
    <t>Q12972</t>
  </si>
  <si>
    <t>Q12974</t>
  </si>
  <si>
    <t>Q12979-4</t>
  </si>
  <si>
    <t>Q12981</t>
  </si>
  <si>
    <t>Q12986</t>
  </si>
  <si>
    <t>Q12996</t>
  </si>
  <si>
    <t>Q13011</t>
  </si>
  <si>
    <t>Q13015</t>
  </si>
  <si>
    <t>Q13017-2</t>
  </si>
  <si>
    <t>Q13033</t>
  </si>
  <si>
    <t>Q13033-2</t>
  </si>
  <si>
    <t>Q13042-3</t>
  </si>
  <si>
    <t>Q13043</t>
  </si>
  <si>
    <t>Q13045</t>
  </si>
  <si>
    <t>Q13045-2</t>
  </si>
  <si>
    <t>Q13049</t>
  </si>
  <si>
    <t>Q13057</t>
  </si>
  <si>
    <t>Q13085</t>
  </si>
  <si>
    <t>Q13094</t>
  </si>
  <si>
    <t>Q13107-2</t>
  </si>
  <si>
    <t>Q13111</t>
  </si>
  <si>
    <t>Q13112</t>
  </si>
  <si>
    <t>Q13123</t>
  </si>
  <si>
    <t>Q13131</t>
  </si>
  <si>
    <t>Q13136</t>
  </si>
  <si>
    <t>Q13148</t>
  </si>
  <si>
    <t>Q13151</t>
  </si>
  <si>
    <t>Q13153</t>
  </si>
  <si>
    <t>Q13155</t>
  </si>
  <si>
    <t>Q13158</t>
  </si>
  <si>
    <t>Q13162</t>
  </si>
  <si>
    <t>Q13163-4</t>
  </si>
  <si>
    <t>Q13164-2</t>
  </si>
  <si>
    <t>Q13177</t>
  </si>
  <si>
    <t>Q13185</t>
  </si>
  <si>
    <t>Q13188</t>
  </si>
  <si>
    <t>Q13190-2</t>
  </si>
  <si>
    <t>Q13200</t>
  </si>
  <si>
    <t>Q13216</t>
  </si>
  <si>
    <t>Q13217</t>
  </si>
  <si>
    <t>Q13228-2</t>
  </si>
  <si>
    <t>Q13242</t>
  </si>
  <si>
    <t>Q13243</t>
  </si>
  <si>
    <t>Q13247-3</t>
  </si>
  <si>
    <t>Q13257</t>
  </si>
  <si>
    <t>Q13263</t>
  </si>
  <si>
    <t>Q13277-2</t>
  </si>
  <si>
    <t>Q13283</t>
  </si>
  <si>
    <t>Q13287</t>
  </si>
  <si>
    <t>Q13303</t>
  </si>
  <si>
    <t>Q13303-2</t>
  </si>
  <si>
    <t>Q13308</t>
  </si>
  <si>
    <t>Q13309</t>
  </si>
  <si>
    <t>Q13310-3</t>
  </si>
  <si>
    <t>Q13325</t>
  </si>
  <si>
    <t>Q13330-3</t>
  </si>
  <si>
    <t>Q13332-6</t>
  </si>
  <si>
    <t>Q13347</t>
  </si>
  <si>
    <t>Q13356</t>
  </si>
  <si>
    <t>Q13362-2</t>
  </si>
  <si>
    <t>Q13362-3</t>
  </si>
  <si>
    <t>Q13362-4</t>
  </si>
  <si>
    <t>Q13363</t>
  </si>
  <si>
    <t>Q13371</t>
  </si>
  <si>
    <t>Q13395</t>
  </si>
  <si>
    <t>Q13405</t>
  </si>
  <si>
    <t>Q13409-3</t>
  </si>
  <si>
    <t>Q13416</t>
  </si>
  <si>
    <t>Q13418</t>
  </si>
  <si>
    <t>Q13422</t>
  </si>
  <si>
    <t>Q13422-2</t>
  </si>
  <si>
    <t>Q13423</t>
  </si>
  <si>
    <t>Q13426</t>
  </si>
  <si>
    <t>Q13426-2</t>
  </si>
  <si>
    <t>Q13427</t>
  </si>
  <si>
    <t>Q13428-3</t>
  </si>
  <si>
    <t>Q13432-2</t>
  </si>
  <si>
    <t>Q13433</t>
  </si>
  <si>
    <t>Q13435</t>
  </si>
  <si>
    <t>Q13438-4</t>
  </si>
  <si>
    <t>Q13439-3</t>
  </si>
  <si>
    <t>Q13442</t>
  </si>
  <si>
    <t>Q13445</t>
  </si>
  <si>
    <t>Q13451</t>
  </si>
  <si>
    <t>Q13464</t>
  </si>
  <si>
    <t>Q13469-3</t>
  </si>
  <si>
    <t>Q13472-2</t>
  </si>
  <si>
    <t>Q13492-2</t>
  </si>
  <si>
    <t>Q13496</t>
  </si>
  <si>
    <t>Q13501</t>
  </si>
  <si>
    <t>Q13503</t>
  </si>
  <si>
    <t>Q13505-3</t>
  </si>
  <si>
    <t>Q13509</t>
  </si>
  <si>
    <t>Q13526</t>
  </si>
  <si>
    <t>Q13535-2</t>
  </si>
  <si>
    <t>Q13541</t>
  </si>
  <si>
    <t>Q13542</t>
  </si>
  <si>
    <t>Q13546</t>
  </si>
  <si>
    <t>Q13547</t>
  </si>
  <si>
    <t>Q13564</t>
  </si>
  <si>
    <t>Q13572</t>
  </si>
  <si>
    <t>Q13573</t>
  </si>
  <si>
    <t>Q13574</t>
  </si>
  <si>
    <t>Q13576</t>
  </si>
  <si>
    <t>Q13586</t>
  </si>
  <si>
    <t>Q13588</t>
  </si>
  <si>
    <t>Q13596</t>
  </si>
  <si>
    <t>Q13608</t>
  </si>
  <si>
    <t>Q13610</t>
  </si>
  <si>
    <t>Q13614</t>
  </si>
  <si>
    <t>Q13615-3</t>
  </si>
  <si>
    <t>Q13616</t>
  </si>
  <si>
    <t>Q13617</t>
  </si>
  <si>
    <t>Q13618</t>
  </si>
  <si>
    <t>Q13619</t>
  </si>
  <si>
    <t>Q13625-2</t>
  </si>
  <si>
    <t>Q13627-2</t>
  </si>
  <si>
    <t>Q13630</t>
  </si>
  <si>
    <t>Q13642-1</t>
  </si>
  <si>
    <t>Q13643</t>
  </si>
  <si>
    <t>Q13686</t>
  </si>
  <si>
    <t>Q13724</t>
  </si>
  <si>
    <t>Q13740-2</t>
  </si>
  <si>
    <t>Q13769</t>
  </si>
  <si>
    <t>Q13795</t>
  </si>
  <si>
    <t>Q13813</t>
  </si>
  <si>
    <t>Q13813-2</t>
  </si>
  <si>
    <t>Q13825</t>
  </si>
  <si>
    <t>Q13838</t>
  </si>
  <si>
    <t>Q13867</t>
  </si>
  <si>
    <t>Q13868</t>
  </si>
  <si>
    <t>Q13884</t>
  </si>
  <si>
    <t>Q13885</t>
  </si>
  <si>
    <t>Q13895</t>
  </si>
  <si>
    <t>Q13905</t>
  </si>
  <si>
    <t>Q13907</t>
  </si>
  <si>
    <t>Q13948</t>
  </si>
  <si>
    <t>Q13951</t>
  </si>
  <si>
    <t>Q13951-2</t>
  </si>
  <si>
    <t>Q13952-3</t>
  </si>
  <si>
    <t>Q14004-2</t>
  </si>
  <si>
    <t>Q14005-3</t>
  </si>
  <si>
    <t>Q14008-2</t>
  </si>
  <si>
    <t>Q14011</t>
  </si>
  <si>
    <t>Q14019</t>
  </si>
  <si>
    <t>Q14061</t>
  </si>
  <si>
    <t>Q14088</t>
  </si>
  <si>
    <t>Q14103-3</t>
  </si>
  <si>
    <t>Q14103-4</t>
  </si>
  <si>
    <t>Q14108</t>
  </si>
  <si>
    <t>Q14114</t>
  </si>
  <si>
    <t>Q14117</t>
  </si>
  <si>
    <t>Q14118</t>
  </si>
  <si>
    <t>Q14126</t>
  </si>
  <si>
    <t>Q14135</t>
  </si>
  <si>
    <t>Q14137</t>
  </si>
  <si>
    <t>Q14139</t>
  </si>
  <si>
    <t>Q14145</t>
  </si>
  <si>
    <t>Q14146</t>
  </si>
  <si>
    <t>Q14147</t>
  </si>
  <si>
    <t>Q14149</t>
  </si>
  <si>
    <t>Q14151</t>
  </si>
  <si>
    <t>Q14152</t>
  </si>
  <si>
    <t>Q14153</t>
  </si>
  <si>
    <t>Q14157-1</t>
  </si>
  <si>
    <t>Q14157-3</t>
  </si>
  <si>
    <t>Q14160</t>
  </si>
  <si>
    <t>Q14161</t>
  </si>
  <si>
    <t>Q14165</t>
  </si>
  <si>
    <t>Q14166</t>
  </si>
  <si>
    <t>Q14181</t>
  </si>
  <si>
    <t>Q14183</t>
  </si>
  <si>
    <t>Q14188</t>
  </si>
  <si>
    <t>Q14204</t>
  </si>
  <si>
    <t>Q14232</t>
  </si>
  <si>
    <t>Q14240</t>
  </si>
  <si>
    <t>Q14241</t>
  </si>
  <si>
    <t>Q14242</t>
  </si>
  <si>
    <t>Q14247</t>
  </si>
  <si>
    <t>Q14249</t>
  </si>
  <si>
    <t>Q14254</t>
  </si>
  <si>
    <t>Q14257</t>
  </si>
  <si>
    <t>Q14258</t>
  </si>
  <si>
    <t>Q14289-2</t>
  </si>
  <si>
    <t>Q14315-2</t>
  </si>
  <si>
    <t>Q14318-2</t>
  </si>
  <si>
    <t>Q14320</t>
  </si>
  <si>
    <t>Q14331</t>
  </si>
  <si>
    <t>Q14332</t>
  </si>
  <si>
    <t>Q14344</t>
  </si>
  <si>
    <t>Q14353</t>
  </si>
  <si>
    <t>Q14376</t>
  </si>
  <si>
    <t>Q14444</t>
  </si>
  <si>
    <t>Q14457</t>
  </si>
  <si>
    <t>Q14469</t>
  </si>
  <si>
    <t>Q14493-2</t>
  </si>
  <si>
    <t>Q14498-2</t>
  </si>
  <si>
    <t>Q14517</t>
  </si>
  <si>
    <t>Q14520-2</t>
  </si>
  <si>
    <t>Q14527</t>
  </si>
  <si>
    <t>Q14534</t>
  </si>
  <si>
    <t>Q14554</t>
  </si>
  <si>
    <t>Q14558-2</t>
  </si>
  <si>
    <t>Q14562</t>
  </si>
  <si>
    <t>Q14566</t>
  </si>
  <si>
    <t>Q14644</t>
  </si>
  <si>
    <t>Q14651</t>
  </si>
  <si>
    <t>Q14653</t>
  </si>
  <si>
    <t>Q14657</t>
  </si>
  <si>
    <t>Q14669-2</t>
  </si>
  <si>
    <t>Q14671</t>
  </si>
  <si>
    <t>Q14676</t>
  </si>
  <si>
    <t>Q14677</t>
  </si>
  <si>
    <t>Q14677-3</t>
  </si>
  <si>
    <t>Q14680-5</t>
  </si>
  <si>
    <t>Q14683</t>
  </si>
  <si>
    <t>Q14684-2</t>
  </si>
  <si>
    <t>Q14686</t>
  </si>
  <si>
    <t>Q14687-2</t>
  </si>
  <si>
    <t>Q14690</t>
  </si>
  <si>
    <t>Q14691</t>
  </si>
  <si>
    <t>Q14692</t>
  </si>
  <si>
    <t>Q14694</t>
  </si>
  <si>
    <t>Q14696</t>
  </si>
  <si>
    <t>Q14697</t>
  </si>
  <si>
    <t>Q14697-2</t>
  </si>
  <si>
    <t>Q14699</t>
  </si>
  <si>
    <t>Q14739</t>
  </si>
  <si>
    <t>Q14746-2</t>
  </si>
  <si>
    <t>Q14761</t>
  </si>
  <si>
    <t>Q14789</t>
  </si>
  <si>
    <t>Q14790-2</t>
  </si>
  <si>
    <t>Q147X3</t>
  </si>
  <si>
    <t>Q14807</t>
  </si>
  <si>
    <t>Q14814-4</t>
  </si>
  <si>
    <t>Q14847</t>
  </si>
  <si>
    <t>Q14894</t>
  </si>
  <si>
    <t>Q14964</t>
  </si>
  <si>
    <t>Q14966</t>
  </si>
  <si>
    <t>Q14974</t>
  </si>
  <si>
    <t>Q14978-2</t>
  </si>
  <si>
    <t>Q14980-2</t>
  </si>
  <si>
    <t>Q14990</t>
  </si>
  <si>
    <t>Q14997</t>
  </si>
  <si>
    <t>Q14BN4-2</t>
  </si>
  <si>
    <t>Q14C86-5</t>
  </si>
  <si>
    <t>Q14CX7</t>
  </si>
  <si>
    <t>Q15003</t>
  </si>
  <si>
    <t>Q15004</t>
  </si>
  <si>
    <t>Q15006</t>
  </si>
  <si>
    <t>Q15007</t>
  </si>
  <si>
    <t>Q15008</t>
  </si>
  <si>
    <t>Q15011-3</t>
  </si>
  <si>
    <t>Q15013</t>
  </si>
  <si>
    <t>Q15014</t>
  </si>
  <si>
    <t>Q15018</t>
  </si>
  <si>
    <t>Q15019-2</t>
  </si>
  <si>
    <t>Q15020</t>
  </si>
  <si>
    <t>Q15021</t>
  </si>
  <si>
    <t>Q15022</t>
  </si>
  <si>
    <t>Q15024</t>
  </si>
  <si>
    <t>Q15027</t>
  </si>
  <si>
    <t>Q15029-2</t>
  </si>
  <si>
    <t>Q15031</t>
  </si>
  <si>
    <t>Q15032-2</t>
  </si>
  <si>
    <t>Q15036-2</t>
  </si>
  <si>
    <t>Q15042</t>
  </si>
  <si>
    <t>Q15043-2</t>
  </si>
  <si>
    <t>Q15046</t>
  </si>
  <si>
    <t>Q15050</t>
  </si>
  <si>
    <t>Q15052</t>
  </si>
  <si>
    <t>Q15056</t>
  </si>
  <si>
    <t>Q15056-2</t>
  </si>
  <si>
    <t>Q15057</t>
  </si>
  <si>
    <t>Q15058</t>
  </si>
  <si>
    <t>Q15059</t>
  </si>
  <si>
    <t>Q15061</t>
  </si>
  <si>
    <t>Q15067-2</t>
  </si>
  <si>
    <t>Q15072</t>
  </si>
  <si>
    <t>Q15075</t>
  </si>
  <si>
    <t>Q15102</t>
  </si>
  <si>
    <t>Q15118</t>
  </si>
  <si>
    <t>Q15119</t>
  </si>
  <si>
    <t>Q15120</t>
  </si>
  <si>
    <t>Q15125</t>
  </si>
  <si>
    <t>Q15126</t>
  </si>
  <si>
    <t>Q15149</t>
  </si>
  <si>
    <t>Q15149-3</t>
  </si>
  <si>
    <t>Q15154-2</t>
  </si>
  <si>
    <t>Q15155</t>
  </si>
  <si>
    <t>Q15170-2</t>
  </si>
  <si>
    <t>Q15172</t>
  </si>
  <si>
    <t>Q15173-2</t>
  </si>
  <si>
    <t>Q15181</t>
  </si>
  <si>
    <t>Q15208</t>
  </si>
  <si>
    <t>Q15223</t>
  </si>
  <si>
    <t>Q15233</t>
  </si>
  <si>
    <t>Q15257</t>
  </si>
  <si>
    <t>Q15269</t>
  </si>
  <si>
    <t>Q15274</t>
  </si>
  <si>
    <t>Q15276</t>
  </si>
  <si>
    <t>Q15283-2</t>
  </si>
  <si>
    <t>Q15286</t>
  </si>
  <si>
    <t>Q15291</t>
  </si>
  <si>
    <t>Q15293</t>
  </si>
  <si>
    <t>Q15311</t>
  </si>
  <si>
    <t>Q15334</t>
  </si>
  <si>
    <t>Q15345</t>
  </si>
  <si>
    <t>Q15363</t>
  </si>
  <si>
    <t>Q15365</t>
  </si>
  <si>
    <t>Q15366-2</t>
  </si>
  <si>
    <t>Q15366-3</t>
  </si>
  <si>
    <t>Q15370</t>
  </si>
  <si>
    <t>Q15382</t>
  </si>
  <si>
    <t>Q15386</t>
  </si>
  <si>
    <t>Q15388</t>
  </si>
  <si>
    <t>Q15393</t>
  </si>
  <si>
    <t>Q15398-3</t>
  </si>
  <si>
    <t>Q15404</t>
  </si>
  <si>
    <t>Q15417</t>
  </si>
  <si>
    <t>Q15424</t>
  </si>
  <si>
    <t>Q15427</t>
  </si>
  <si>
    <t>Q15428</t>
  </si>
  <si>
    <t>Q15435</t>
  </si>
  <si>
    <t>Q15437</t>
  </si>
  <si>
    <t>Q15438-2</t>
  </si>
  <si>
    <t>Q15459</t>
  </si>
  <si>
    <t>Q15477</t>
  </si>
  <si>
    <t>Q15506</t>
  </si>
  <si>
    <t>Q15526-2</t>
  </si>
  <si>
    <t>Q15527</t>
  </si>
  <si>
    <t>Q15542</t>
  </si>
  <si>
    <t>Q15544</t>
  </si>
  <si>
    <t>Q15545</t>
  </si>
  <si>
    <t>Q15554</t>
  </si>
  <si>
    <t>Q15555-4</t>
  </si>
  <si>
    <t>Q15560-2</t>
  </si>
  <si>
    <t>Q15596</t>
  </si>
  <si>
    <t>Q15599</t>
  </si>
  <si>
    <t>Q15628</t>
  </si>
  <si>
    <t>Q15637-5</t>
  </si>
  <si>
    <t>Q15637-6</t>
  </si>
  <si>
    <t>Q15642-2</t>
  </si>
  <si>
    <t>Q15643</t>
  </si>
  <si>
    <t>Q15645</t>
  </si>
  <si>
    <t>Q15648</t>
  </si>
  <si>
    <t>Q15649</t>
  </si>
  <si>
    <t>Q15650</t>
  </si>
  <si>
    <t>Q15652-3</t>
  </si>
  <si>
    <t>Q15691</t>
  </si>
  <si>
    <t>Q15714</t>
  </si>
  <si>
    <t>Q15717</t>
  </si>
  <si>
    <t>Q15738</t>
  </si>
  <si>
    <t>Q15743</t>
  </si>
  <si>
    <t>Q15746-4</t>
  </si>
  <si>
    <t>Q15750-2</t>
  </si>
  <si>
    <t>Q15751</t>
  </si>
  <si>
    <t>Q15758</t>
  </si>
  <si>
    <t>Q15759</t>
  </si>
  <si>
    <t>Q15771</t>
  </si>
  <si>
    <t>Q15773</t>
  </si>
  <si>
    <t>Q15777-2</t>
  </si>
  <si>
    <t>Q15785</t>
  </si>
  <si>
    <t>Q15796-2</t>
  </si>
  <si>
    <t>Q15800</t>
  </si>
  <si>
    <t>Q15813</t>
  </si>
  <si>
    <t>Q15814</t>
  </si>
  <si>
    <t>Q15819</t>
  </si>
  <si>
    <t>Q15831-2</t>
  </si>
  <si>
    <t>Q15833</t>
  </si>
  <si>
    <t>Q15836</t>
  </si>
  <si>
    <t>Q15853-2</t>
  </si>
  <si>
    <t>Q15904</t>
  </si>
  <si>
    <t>Q15906</t>
  </si>
  <si>
    <t>Q15907</t>
  </si>
  <si>
    <t>Q15910</t>
  </si>
  <si>
    <t>Q15942</t>
  </si>
  <si>
    <t>Q15973-4</t>
  </si>
  <si>
    <t>Q16134</t>
  </si>
  <si>
    <t>Q16143</t>
  </si>
  <si>
    <t>Q16181</t>
  </si>
  <si>
    <t>Q16181-2</t>
  </si>
  <si>
    <t>Q16186</t>
  </si>
  <si>
    <t>Q16204</t>
  </si>
  <si>
    <t>Q16222-2</t>
  </si>
  <si>
    <t>Q16254</t>
  </si>
  <si>
    <t>Q16401-2</t>
  </si>
  <si>
    <t>Q16512</t>
  </si>
  <si>
    <t>Q16513-2</t>
  </si>
  <si>
    <t>Q16514-2</t>
  </si>
  <si>
    <t>Q16526</t>
  </si>
  <si>
    <t>Q16531</t>
  </si>
  <si>
    <t>Q16539</t>
  </si>
  <si>
    <t>Q16543</t>
  </si>
  <si>
    <t>Q16555</t>
  </si>
  <si>
    <t>Q16566</t>
  </si>
  <si>
    <t>Q16576</t>
  </si>
  <si>
    <t>Q16576-2</t>
  </si>
  <si>
    <t>Q16587-5</t>
  </si>
  <si>
    <t>Q16594</t>
  </si>
  <si>
    <t>Q16625-4</t>
  </si>
  <si>
    <t>Q16626</t>
  </si>
  <si>
    <t>Q16643</t>
  </si>
  <si>
    <t>Q16644</t>
  </si>
  <si>
    <t>Q16656-2</t>
  </si>
  <si>
    <t>Q16658</t>
  </si>
  <si>
    <t>Q16666-2</t>
  </si>
  <si>
    <t>Q16670-2</t>
  </si>
  <si>
    <t>Q16706</t>
  </si>
  <si>
    <t>Q16718</t>
  </si>
  <si>
    <t>Q16740</t>
  </si>
  <si>
    <t>Q16762</t>
  </si>
  <si>
    <t>Q16763</t>
  </si>
  <si>
    <t>Q16775</t>
  </si>
  <si>
    <t>Q16778</t>
  </si>
  <si>
    <t>Q16795</t>
  </si>
  <si>
    <t>Q16822</t>
  </si>
  <si>
    <t>Q16854</t>
  </si>
  <si>
    <t>Q16864</t>
  </si>
  <si>
    <t>Q16891-2</t>
  </si>
  <si>
    <t>Q17R31-2</t>
  </si>
  <si>
    <t>Q17RN3</t>
  </si>
  <si>
    <t>Q17RU2</t>
  </si>
  <si>
    <t>Q1ED39</t>
  </si>
  <si>
    <t>Q1KMD3</t>
  </si>
  <si>
    <t>Q1MSJ5-1</t>
  </si>
  <si>
    <t>Q1W6H9</t>
  </si>
  <si>
    <t>Q27J81-2</t>
  </si>
  <si>
    <t>Q29718</t>
  </si>
  <si>
    <t>Q29940</t>
  </si>
  <si>
    <t>Q29963</t>
  </si>
  <si>
    <t>Q29RF7</t>
  </si>
  <si>
    <t>Q2KHT3</t>
  </si>
  <si>
    <t>Q2M296-2</t>
  </si>
  <si>
    <t>Q2M296-4</t>
  </si>
  <si>
    <t>Q2M2I8-2</t>
  </si>
  <si>
    <t>Q2M389</t>
  </si>
  <si>
    <t>Q2NKX8</t>
  </si>
  <si>
    <t>Q2NL82</t>
  </si>
  <si>
    <t>Q2NL98</t>
  </si>
  <si>
    <t>Q2T9J0</t>
  </si>
  <si>
    <t>Q2TAA5</t>
  </si>
  <si>
    <t>Q2TAL8</t>
  </si>
  <si>
    <t>Q2TAM5</t>
  </si>
  <si>
    <t>Q2TAY7</t>
  </si>
  <si>
    <t>Q2TBE0</t>
  </si>
  <si>
    <t>Q2VPB7</t>
  </si>
  <si>
    <t>Q2VPS2</t>
  </si>
  <si>
    <t>Q32MZ4-2</t>
  </si>
  <si>
    <t>Q32MZ4-3</t>
  </si>
  <si>
    <t>Q32MZ4-4</t>
  </si>
  <si>
    <t>Q32MZ9</t>
  </si>
  <si>
    <t>Q32P28</t>
  </si>
  <si>
    <t>Q32P41</t>
  </si>
  <si>
    <t>Q32Q12</t>
  </si>
  <si>
    <t>Q3B726</t>
  </si>
  <si>
    <t>Q3B7J2</t>
  </si>
  <si>
    <t>Q3B7T1-5</t>
  </si>
  <si>
    <t>Q3KQU3-4</t>
  </si>
  <si>
    <t>Q3KQV9</t>
  </si>
  <si>
    <t>Q3KRA6</t>
  </si>
  <si>
    <t>Q3KRA9</t>
  </si>
  <si>
    <t>Q3LIE5</t>
  </si>
  <si>
    <t>Q3LXA3</t>
  </si>
  <si>
    <t>Q3MHD2</t>
  </si>
  <si>
    <t>Q3MII6</t>
  </si>
  <si>
    <t>Q3MIT2</t>
  </si>
  <si>
    <t>Q3SXM5</t>
  </si>
  <si>
    <t>Q3SXY8</t>
  </si>
  <si>
    <t>Q3T906</t>
  </si>
  <si>
    <t>Q3V6T2-2</t>
  </si>
  <si>
    <t>Q3YEC7</t>
  </si>
  <si>
    <t>Q3ZAQ7</t>
  </si>
  <si>
    <t>Q3ZCM7</t>
  </si>
  <si>
    <t>Q3ZCQ3</t>
  </si>
  <si>
    <t>Q3ZCQ8</t>
  </si>
  <si>
    <t>Q3ZCV1</t>
  </si>
  <si>
    <t>Q3ZCW2</t>
  </si>
  <si>
    <t>Q49AR2</t>
  </si>
  <si>
    <t>Q49B96</t>
  </si>
  <si>
    <t>Q4G0F5</t>
  </si>
  <si>
    <t>Q4G0I0</t>
  </si>
  <si>
    <t>Q4G0J3</t>
  </si>
  <si>
    <t>Q4G0N4</t>
  </si>
  <si>
    <t>Q4G0W3</t>
  </si>
  <si>
    <t>Q4G148-2</t>
  </si>
  <si>
    <t>Q4G176</t>
  </si>
  <si>
    <t>Q4J6C6-4</t>
  </si>
  <si>
    <t>Q4KMP7</t>
  </si>
  <si>
    <t>Q4KMQ2-3</t>
  </si>
  <si>
    <t>Q4KWH8-3</t>
  </si>
  <si>
    <t>Q4LDG9</t>
  </si>
  <si>
    <t>Q4LE39-3</t>
  </si>
  <si>
    <t>Q4TT34</t>
  </si>
  <si>
    <t>Q4V328</t>
  </si>
  <si>
    <t>Q4VC05</t>
  </si>
  <si>
    <t>Q4VC05-2</t>
  </si>
  <si>
    <t>Q4VXZ8</t>
  </si>
  <si>
    <t>Q4ZIN3-2</t>
  </si>
  <si>
    <t>Q504Q3-2</t>
  </si>
  <si>
    <t>Q504U0</t>
  </si>
  <si>
    <t>Q52LA3</t>
  </si>
  <si>
    <t>Q52LJ0-2</t>
  </si>
  <si>
    <t>Q53EL6-2</t>
  </si>
  <si>
    <t>Q53ET0</t>
  </si>
  <si>
    <t>Q53EZ4</t>
  </si>
  <si>
    <t>Q53F19</t>
  </si>
  <si>
    <t>Q53FA7</t>
  </si>
  <si>
    <t>Q53GQ0</t>
  </si>
  <si>
    <t>Q53GS7-2</t>
  </si>
  <si>
    <t>Q53H12</t>
  </si>
  <si>
    <t>Q53H47</t>
  </si>
  <si>
    <t>Q53H80</t>
  </si>
  <si>
    <t>Q53H82</t>
  </si>
  <si>
    <t>Q53H96</t>
  </si>
  <si>
    <t>Q53HL2</t>
  </si>
  <si>
    <t>Q53QZ3</t>
  </si>
  <si>
    <t>Q53S33</t>
  </si>
  <si>
    <t>Q53T59</t>
  </si>
  <si>
    <t>Q53TN4-3</t>
  </si>
  <si>
    <t>Q562F6-2</t>
  </si>
  <si>
    <t>Q562R1</t>
  </si>
  <si>
    <t>Q567Q0</t>
  </si>
  <si>
    <t>Q567V2-2</t>
  </si>
  <si>
    <t>Q56VL3</t>
  </si>
  <si>
    <t>Q587I9</t>
  </si>
  <si>
    <t>Q587J8</t>
  </si>
  <si>
    <t>Q58A45</t>
  </si>
  <si>
    <t>Q58FF8</t>
  </si>
  <si>
    <t>Q58FG1</t>
  </si>
  <si>
    <t>Q59GN2</t>
  </si>
  <si>
    <t>Q5BJF2</t>
  </si>
  <si>
    <t>Q5BKU9</t>
  </si>
  <si>
    <t>Q5BKX5</t>
  </si>
  <si>
    <t>Q5BKZ1</t>
  </si>
  <si>
    <t>Q5CZ79</t>
  </si>
  <si>
    <t>Q5D1E8</t>
  </si>
  <si>
    <t>Q5EBL8</t>
  </si>
  <si>
    <t>Q5EBM0</t>
  </si>
  <si>
    <t>Q5F1R6</t>
  </si>
  <si>
    <t>Q5FBB7-5</t>
  </si>
  <si>
    <t>Q5FWF5-2</t>
  </si>
  <si>
    <t>Q5GLZ8-3</t>
  </si>
  <si>
    <t>Q5H8X8</t>
  </si>
  <si>
    <t>Q5H937</t>
  </si>
  <si>
    <t>Q5HY62</t>
  </si>
  <si>
    <t>Q5HYA8-3</t>
  </si>
  <si>
    <t>Q5HYI8</t>
  </si>
  <si>
    <t>Q5HYK3</t>
  </si>
  <si>
    <t>Q5JP53</t>
  </si>
  <si>
    <t>Q5JPE7-2</t>
  </si>
  <si>
    <t>Q5JPI3-2</t>
  </si>
  <si>
    <t>Q5JPI9</t>
  </si>
  <si>
    <t>Q5JR08</t>
  </si>
  <si>
    <t>Q5JRA6</t>
  </si>
  <si>
    <t>Q5JRI1</t>
  </si>
  <si>
    <t>Q5JRX3</t>
  </si>
  <si>
    <t>Q5JS37-2</t>
  </si>
  <si>
    <t>Q5JS54</t>
  </si>
  <si>
    <t>Q5JSH3-2</t>
  </si>
  <si>
    <t>Q5JSL0</t>
  </si>
  <si>
    <t>Q5JSP0</t>
  </si>
  <si>
    <t>Q5JSZ5</t>
  </si>
  <si>
    <t>Q5JTD0-2</t>
  </si>
  <si>
    <t>Q5JTH9-2</t>
  </si>
  <si>
    <t>Q5JTJ3-3</t>
  </si>
  <si>
    <t>Q5JTV1</t>
  </si>
  <si>
    <t>Q5JTV8</t>
  </si>
  <si>
    <t>Q5JTZ9</t>
  </si>
  <si>
    <t>Q5JU69</t>
  </si>
  <si>
    <t>Q5JUL1</t>
  </si>
  <si>
    <t>Q5JUR7</t>
  </si>
  <si>
    <t>Q5JUW8</t>
  </si>
  <si>
    <t>Q5JVF3-3</t>
  </si>
  <si>
    <t>Q5JVP3</t>
  </si>
  <si>
    <t>Q5JVS0</t>
  </si>
  <si>
    <t>Q5JVZ5</t>
  </si>
  <si>
    <t>Q5JW02</t>
  </si>
  <si>
    <t>Q5JW30</t>
  </si>
  <si>
    <t>Q5JWB9</t>
  </si>
  <si>
    <t>Q5JWT2</t>
  </si>
  <si>
    <t>Q5JY65</t>
  </si>
  <si>
    <t>Q5K651</t>
  </si>
  <si>
    <t>Q5M775-5</t>
  </si>
  <si>
    <t>Q5MIZ7-3</t>
  </si>
  <si>
    <t>Q5MNZ6</t>
  </si>
  <si>
    <t>Q5QJ74</t>
  </si>
  <si>
    <t>Q5QJE6</t>
  </si>
  <si>
    <t>Q5QNY5</t>
  </si>
  <si>
    <t>Q5QNZ2</t>
  </si>
  <si>
    <t>Q5QP56</t>
  </si>
  <si>
    <t>Q5QP82-2</t>
  </si>
  <si>
    <t>Q5QPK2</t>
  </si>
  <si>
    <t>Q5QPM7</t>
  </si>
  <si>
    <t>Q5R372-4</t>
  </si>
  <si>
    <t>Q5R3B4</t>
  </si>
  <si>
    <t>Q5RI15</t>
  </si>
  <si>
    <t>Q5RJ85</t>
  </si>
  <si>
    <t>Q5RKV6</t>
  </si>
  <si>
    <t>Q5RL73</t>
  </si>
  <si>
    <t>Q5SGD2</t>
  </si>
  <si>
    <t>Q5SQI0-5</t>
  </si>
  <si>
    <t>Q5SR47</t>
  </si>
  <si>
    <t>Q5SR56</t>
  </si>
  <si>
    <t>Q5SRE5</t>
  </si>
  <si>
    <t>Q5SRI9</t>
  </si>
  <si>
    <t>Q5SRN5</t>
  </si>
  <si>
    <t>Q5SRQ6</t>
  </si>
  <si>
    <t>Q5SSJ5</t>
  </si>
  <si>
    <t>Q5ST30</t>
  </si>
  <si>
    <t>Q5STX8</t>
  </si>
  <si>
    <t>Q5SVK8</t>
  </si>
  <si>
    <t>Q5SW79</t>
  </si>
  <si>
    <t>Q5SW96</t>
  </si>
  <si>
    <t>Q5SWX3</t>
  </si>
  <si>
    <t>Q5SWX8-3</t>
  </si>
  <si>
    <t>Q5SXM2</t>
  </si>
  <si>
    <t>Q5SXM8</t>
  </si>
  <si>
    <t>Q5SZE3</t>
  </si>
  <si>
    <t>Q5SZR4</t>
  </si>
  <si>
    <t>Q5T0D9</t>
  </si>
  <si>
    <t>Q5T0N5-3</t>
  </si>
  <si>
    <t>Q5T0Q6</t>
  </si>
  <si>
    <t>Q5T0V0</t>
  </si>
  <si>
    <t>Q5T114</t>
  </si>
  <si>
    <t>Q5T123</t>
  </si>
  <si>
    <t>Q5T160</t>
  </si>
  <si>
    <t>Q5T171</t>
  </si>
  <si>
    <t>Q5T1M5</t>
  </si>
  <si>
    <t>Q5T1V6</t>
  </si>
  <si>
    <t>Q5T1Z4</t>
  </si>
  <si>
    <t>Q5T200</t>
  </si>
  <si>
    <t>Q5T266</t>
  </si>
  <si>
    <t>Q5T280</t>
  </si>
  <si>
    <t>Q5T2E6</t>
  </si>
  <si>
    <t>Q5T2R2-3</t>
  </si>
  <si>
    <t>Q5T321</t>
  </si>
  <si>
    <t>Q5T3I0</t>
  </si>
  <si>
    <t>Q5T3J3-2</t>
  </si>
  <si>
    <t>Q5T427</t>
  </si>
  <si>
    <t>Q5T440</t>
  </si>
  <si>
    <t>Q5T447</t>
  </si>
  <si>
    <t>Q5T4F4-7</t>
  </si>
  <si>
    <t>Q5T4S7-3</t>
  </si>
  <si>
    <t>Q5T4U5</t>
  </si>
  <si>
    <t>Q5T593</t>
  </si>
  <si>
    <t>Q5T5C0-3</t>
  </si>
  <si>
    <t>Q5T5Y3</t>
  </si>
  <si>
    <t>Q5T670</t>
  </si>
  <si>
    <t>Q5T6F2</t>
  </si>
  <si>
    <t>Q5T6J7</t>
  </si>
  <si>
    <t>Q5T6N4</t>
  </si>
  <si>
    <t>Q5T6V5</t>
  </si>
  <si>
    <t>Q5T7A4</t>
  </si>
  <si>
    <t>Q5T7M9</t>
  </si>
  <si>
    <t>Q5T7V8</t>
  </si>
  <si>
    <t>Q5T7W0-2</t>
  </si>
  <si>
    <t>Q5T8D3-2</t>
  </si>
  <si>
    <t>Q5T8I0</t>
  </si>
  <si>
    <t>Q5T8P6-3</t>
  </si>
  <si>
    <t>Q5T8T7</t>
  </si>
  <si>
    <t>Q5T8U5</t>
  </si>
  <si>
    <t>Q5T911</t>
  </si>
  <si>
    <t>Q5T9C2-2</t>
  </si>
  <si>
    <t>Q5TA02</t>
  </si>
  <si>
    <t>Q5TA45-3</t>
  </si>
  <si>
    <t>Q5TA50</t>
  </si>
  <si>
    <t>Q5TAL2</t>
  </si>
  <si>
    <t>Q5TAX3</t>
  </si>
  <si>
    <t>Q5TBB1</t>
  </si>
  <si>
    <t>Q5TBP5</t>
  </si>
  <si>
    <t>Q5TCJ5</t>
  </si>
  <si>
    <t>Q5TD07</t>
  </si>
  <si>
    <t>Q5TDG9</t>
  </si>
  <si>
    <t>Q5TDH0</t>
  </si>
  <si>
    <t>Q5TEU4</t>
  </si>
  <si>
    <t>Q5TF39</t>
  </si>
  <si>
    <t>Q5TFE4</t>
  </si>
  <si>
    <t>Q5THK1-3</t>
  </si>
  <si>
    <t>Q5THR1</t>
  </si>
  <si>
    <t>Q5TIE1</t>
  </si>
  <si>
    <t>Q5TIH2</t>
  </si>
  <si>
    <t>Q5TZA2</t>
  </si>
  <si>
    <t>Q5U5Q3</t>
  </si>
  <si>
    <t>Q5U5X0</t>
  </si>
  <si>
    <t>Q5UIP0-2</t>
  </si>
  <si>
    <t>Q5VIR6-4</t>
  </si>
  <si>
    <t>Q5VSL9</t>
  </si>
  <si>
    <t>Q5VST6</t>
  </si>
  <si>
    <t>Q5VSY0-2</t>
  </si>
  <si>
    <t>Q5VT06</t>
  </si>
  <si>
    <t>Q5VT52</t>
  </si>
  <si>
    <t>Q5VT94</t>
  </si>
  <si>
    <t>Q5VTL8</t>
  </si>
  <si>
    <t>Q5VTR2</t>
  </si>
  <si>
    <t>Q5VU58</t>
  </si>
  <si>
    <t>Q5VU97</t>
  </si>
  <si>
    <t>Q5VUE5</t>
  </si>
  <si>
    <t>Q5VUM1</t>
  </si>
  <si>
    <t>Q5VV42</t>
  </si>
  <si>
    <t>Q5VV50</t>
  </si>
  <si>
    <t>Q5VV89</t>
  </si>
  <si>
    <t>Q5VVD7</t>
  </si>
  <si>
    <t>Q5VVJ2</t>
  </si>
  <si>
    <t>Q5VVQ6-2</t>
  </si>
  <si>
    <t>Q5VVW5</t>
  </si>
  <si>
    <t>Q5VW32</t>
  </si>
  <si>
    <t>Q5VW36</t>
  </si>
  <si>
    <t>Q5VWC4</t>
  </si>
  <si>
    <t>Q5VWG9</t>
  </si>
  <si>
    <t>Q5VWJ9</t>
  </si>
  <si>
    <t>Q5VWP2</t>
  </si>
  <si>
    <t>Q5VWQ0</t>
  </si>
  <si>
    <t>Q5VWZ2</t>
  </si>
  <si>
    <t>Q5VY93</t>
  </si>
  <si>
    <t>Q5VYB9</t>
  </si>
  <si>
    <t>Q5VYH8</t>
  </si>
  <si>
    <t>Q5VYS8-6</t>
  </si>
  <si>
    <t>Q5VZE5</t>
  </si>
  <si>
    <t>Q5VZI3-2</t>
  </si>
  <si>
    <t>Q5W015</t>
  </si>
  <si>
    <t>Q5W0B1</t>
  </si>
  <si>
    <t>Q5W0V3</t>
  </si>
  <si>
    <t>Q5W0Z9-3</t>
  </si>
  <si>
    <t>Q5W111-2</t>
  </si>
  <si>
    <t>Q5W145</t>
  </si>
  <si>
    <t>Q5XKP0</t>
  </si>
  <si>
    <t>Q5XPI4</t>
  </si>
  <si>
    <t>Q5XUX1-3</t>
  </si>
  <si>
    <t>Q63HN8</t>
  </si>
  <si>
    <t>Q63HQ0</t>
  </si>
  <si>
    <t>Q641Q2</t>
  </si>
  <si>
    <t>Q643R3</t>
  </si>
  <si>
    <t>Q658Y4</t>
  </si>
  <si>
    <t>Q659C4</t>
  </si>
  <si>
    <t>Q66GS9</t>
  </si>
  <si>
    <t>Q66K14-2</t>
  </si>
  <si>
    <t>Q66K64</t>
  </si>
  <si>
    <t>Q66LE6</t>
  </si>
  <si>
    <t>Q66PJ3</t>
  </si>
  <si>
    <t>Q66S35</t>
  </si>
  <si>
    <t>Q674X7-3</t>
  </si>
  <si>
    <t>Q684P5-3</t>
  </si>
  <si>
    <t>Q68CP9-3</t>
  </si>
  <si>
    <t>Q68CQ4</t>
  </si>
  <si>
    <t>Q68D10-2</t>
  </si>
  <si>
    <t>Q68D20</t>
  </si>
  <si>
    <t>Q68D85</t>
  </si>
  <si>
    <t>Q68D91</t>
  </si>
  <si>
    <t>Q68DH5</t>
  </si>
  <si>
    <t>Q68E01-2</t>
  </si>
  <si>
    <t>Q68EM7</t>
  </si>
  <si>
    <t>Q69YH5</t>
  </si>
  <si>
    <t>Q69YL0</t>
  </si>
  <si>
    <t>Q69YN2</t>
  </si>
  <si>
    <t>Q69YN4</t>
  </si>
  <si>
    <t>Q69YQ0-2</t>
  </si>
  <si>
    <t>Q69YU5</t>
  </si>
  <si>
    <t>Q6BDS2</t>
  </si>
  <si>
    <t>Q6DD87</t>
  </si>
  <si>
    <t>Q6DD88</t>
  </si>
  <si>
    <t>Q6DHV7</t>
  </si>
  <si>
    <t>Q6DKJ4</t>
  </si>
  <si>
    <t>Q6DKK2</t>
  </si>
  <si>
    <t>Q6DU44</t>
  </si>
  <si>
    <t>Q6EEV4-2</t>
  </si>
  <si>
    <t>Q6FI81</t>
  </si>
  <si>
    <t>Q6FIF0-2</t>
  </si>
  <si>
    <t>Q6GMV2</t>
  </si>
  <si>
    <t>Q6GMV3</t>
  </si>
  <si>
    <t>Q6GQQ9-2</t>
  </si>
  <si>
    <t>Q6GYA4</t>
  </si>
  <si>
    <t>Q6GYQ0-4</t>
  </si>
  <si>
    <t>Q6I9Y2</t>
  </si>
  <si>
    <t>Q6IA17</t>
  </si>
  <si>
    <t>Q6IA69</t>
  </si>
  <si>
    <t>Q6IA86-3</t>
  </si>
  <si>
    <t>Q6IAA8</t>
  </si>
  <si>
    <t>Q6IAN0</t>
  </si>
  <si>
    <t>Q6IBS0</t>
  </si>
  <si>
    <t>Q6IBW4-2</t>
  </si>
  <si>
    <t>Q6IC98</t>
  </si>
  <si>
    <t>Q6ICB0</t>
  </si>
  <si>
    <t>Q6ICH7</t>
  </si>
  <si>
    <t>Q6IN85</t>
  </si>
  <si>
    <t>Q6IPR3</t>
  </si>
  <si>
    <t>Q6IPU0</t>
  </si>
  <si>
    <t>Q6IQ19</t>
  </si>
  <si>
    <t>Q6IQ22</t>
  </si>
  <si>
    <t>Q6IQ49-2</t>
  </si>
  <si>
    <t>Q6J164</t>
  </si>
  <si>
    <t>Q6JBY9</t>
  </si>
  <si>
    <t>Q6JHV3</t>
  </si>
  <si>
    <t>Q6JQN1</t>
  </si>
  <si>
    <t>Q6KC79-2</t>
  </si>
  <si>
    <t>Q6KCM7-2</t>
  </si>
  <si>
    <t>Q6MZP7</t>
  </si>
  <si>
    <t>Q6N043-2</t>
  </si>
  <si>
    <t>Q6N063</t>
  </si>
  <si>
    <t>Q6N069</t>
  </si>
  <si>
    <t>Q6NS38</t>
  </si>
  <si>
    <t>Q6NSJ5</t>
  </si>
  <si>
    <t>Q6NT16</t>
  </si>
  <si>
    <t>Q6NUK1</t>
  </si>
  <si>
    <t>Q6NUK4</t>
  </si>
  <si>
    <t>Q6NUM9</t>
  </si>
  <si>
    <t>Q6NUQ1</t>
  </si>
  <si>
    <t>Q6NUQ4-2</t>
  </si>
  <si>
    <t>Q6NUS6</t>
  </si>
  <si>
    <t>Q6NVY1</t>
  </si>
  <si>
    <t>Q6NXE6-2</t>
  </si>
  <si>
    <t>Q6NXT1</t>
  </si>
  <si>
    <t>Q6NXT6</t>
  </si>
  <si>
    <t>Q6NYC8</t>
  </si>
  <si>
    <t>Q6NZY4</t>
  </si>
  <si>
    <t>Q6P087-2</t>
  </si>
  <si>
    <t>Q6P161</t>
  </si>
  <si>
    <t>Q6P179</t>
  </si>
  <si>
    <t>Q6P1J9</t>
  </si>
  <si>
    <t>Q6P1K2-4</t>
  </si>
  <si>
    <t>Q6P1K8</t>
  </si>
  <si>
    <t>Q6P1L5</t>
  </si>
  <si>
    <t>Q6P1L8</t>
  </si>
  <si>
    <t>Q6P1M0</t>
  </si>
  <si>
    <t>Q6P1N0-2</t>
  </si>
  <si>
    <t>Q6P1Q9</t>
  </si>
  <si>
    <t>Q6P1R3-3</t>
  </si>
  <si>
    <t>Q6P1R4</t>
  </si>
  <si>
    <t>Q6P1X5</t>
  </si>
  <si>
    <t>Q6P275</t>
  </si>
  <si>
    <t>Q6P2C8</t>
  </si>
  <si>
    <t>Q6P2E9</t>
  </si>
  <si>
    <t>Q6P2H3-2</t>
  </si>
  <si>
    <t>Q6P2I3</t>
  </si>
  <si>
    <t>Q6P2P2</t>
  </si>
  <si>
    <t>Q6P2Q9</t>
  </si>
  <si>
    <t>Q6P3S1-5</t>
  </si>
  <si>
    <t>Q6P3S6</t>
  </si>
  <si>
    <t>Q6P3W7</t>
  </si>
  <si>
    <t>Q6P3X3</t>
  </si>
  <si>
    <t>Q6P499-2</t>
  </si>
  <si>
    <t>Q6P4A7</t>
  </si>
  <si>
    <t>Q6P4E1-2</t>
  </si>
  <si>
    <t>Q6P4F2</t>
  </si>
  <si>
    <t>Q6P4I2</t>
  </si>
  <si>
    <t>Q6P4Q7</t>
  </si>
  <si>
    <t>Q6P4R8-3</t>
  </si>
  <si>
    <t>Q6P582</t>
  </si>
  <si>
    <t>Q6P587</t>
  </si>
  <si>
    <t>Q6P5X5</t>
  </si>
  <si>
    <t>Q6P6B1</t>
  </si>
  <si>
    <t>Q6P6B7-2</t>
  </si>
  <si>
    <t>Q6P6C2-3</t>
  </si>
  <si>
    <t>Q6P9B6</t>
  </si>
  <si>
    <t>Q6P9B9</t>
  </si>
  <si>
    <t>Q6P9H5</t>
  </si>
  <si>
    <t>Q6PCB0-2</t>
  </si>
  <si>
    <t>Q6PCB5</t>
  </si>
  <si>
    <t>Q6PCD5</t>
  </si>
  <si>
    <t>Q6PCE3</t>
  </si>
  <si>
    <t>Q6PD62</t>
  </si>
  <si>
    <t>Q6PD74</t>
  </si>
  <si>
    <t>Q6PGN9-2</t>
  </si>
  <si>
    <t>Q6PGP7</t>
  </si>
  <si>
    <t>Q6PH81</t>
  </si>
  <si>
    <t>Q6PHR2</t>
  </si>
  <si>
    <t>Q6PI48</t>
  </si>
  <si>
    <t>Q6PI78</t>
  </si>
  <si>
    <t>Q6PI98</t>
  </si>
  <si>
    <t>Q6PID6</t>
  </si>
  <si>
    <t>Q6PII3</t>
  </si>
  <si>
    <t>Q6PIJ6-2</t>
  </si>
  <si>
    <t>Q6PIR0</t>
  </si>
  <si>
    <t>Q6PIW4-2</t>
  </si>
  <si>
    <t>Q6PJ61</t>
  </si>
  <si>
    <t>Q6PJ69</t>
  </si>
  <si>
    <t>Q6PJG2</t>
  </si>
  <si>
    <t>Q6PJG6</t>
  </si>
  <si>
    <t>Q6PJI9</t>
  </si>
  <si>
    <t>Q6PJT7-3</t>
  </si>
  <si>
    <t>Q6PJT7-9</t>
  </si>
  <si>
    <t>Q6PJW8</t>
  </si>
  <si>
    <t>Q6PK18</t>
  </si>
  <si>
    <t>Q6PKG0</t>
  </si>
  <si>
    <t>Q6PL24</t>
  </si>
  <si>
    <t>Q6PML9</t>
  </si>
  <si>
    <t>Q6QNY0</t>
  </si>
  <si>
    <t>Q6QNY1</t>
  </si>
  <si>
    <t>Q6R327</t>
  </si>
  <si>
    <t>Q6RFH5</t>
  </si>
  <si>
    <t>Q6RW13-2</t>
  </si>
  <si>
    <t>Q6S8J3</t>
  </si>
  <si>
    <t>Q6SJ93-2</t>
  </si>
  <si>
    <t>Q6STE5-2</t>
  </si>
  <si>
    <t>Q6UB35</t>
  </si>
  <si>
    <t>Q6UB99</t>
  </si>
  <si>
    <t>Q6ULP2-5</t>
  </si>
  <si>
    <t>Q6UN15</t>
  </si>
  <si>
    <t>Q6UUV7-3</t>
  </si>
  <si>
    <t>Q6UUV9-3</t>
  </si>
  <si>
    <t>Q6UVJ0</t>
  </si>
  <si>
    <t>Q6UW56</t>
  </si>
  <si>
    <t>Q6UW63</t>
  </si>
  <si>
    <t>Q6UWE0</t>
  </si>
  <si>
    <t>Q6UWI4</t>
  </si>
  <si>
    <t>Q6UWP2</t>
  </si>
  <si>
    <t>Q6UWP7-3</t>
  </si>
  <si>
    <t>Q6UWS5</t>
  </si>
  <si>
    <t>Q6UWU4</t>
  </si>
  <si>
    <t>Q6UX04</t>
  </si>
  <si>
    <t>Q6UX07</t>
  </si>
  <si>
    <t>Q6UXB8-2</t>
  </si>
  <si>
    <t>Q6UXD5-3</t>
  </si>
  <si>
    <t>Q6UXH1-4</t>
  </si>
  <si>
    <t>Q6UXN9</t>
  </si>
  <si>
    <t>Q6UXV4</t>
  </si>
  <si>
    <t>Q6V1X1-3</t>
  </si>
  <si>
    <t>Q6VY07</t>
  </si>
  <si>
    <t>Q6W2J9-4</t>
  </si>
  <si>
    <t>Q6WCQ1-2</t>
  </si>
  <si>
    <t>Q6WKZ4</t>
  </si>
  <si>
    <t>Q6XQN6</t>
  </si>
  <si>
    <t>Q6Y1H2</t>
  </si>
  <si>
    <t>Q6Y288</t>
  </si>
  <si>
    <t>Q6Y2X3</t>
  </si>
  <si>
    <t>Q6Y7W6-4</t>
  </si>
  <si>
    <t>Q6YHU6-3</t>
  </si>
  <si>
    <t>Q6YN16</t>
  </si>
  <si>
    <t>Q6YP21-3</t>
  </si>
  <si>
    <t>Q6ZMG9</t>
  </si>
  <si>
    <t>Q6ZMI0</t>
  </si>
  <si>
    <t>Q6ZN04</t>
  </si>
  <si>
    <t>Q6ZN18-2</t>
  </si>
  <si>
    <t>Q6ZN50</t>
  </si>
  <si>
    <t>Q6ZNA5</t>
  </si>
  <si>
    <t>Q6ZNB6</t>
  </si>
  <si>
    <t>Q6ZNW5</t>
  </si>
  <si>
    <t>Q6ZPD9</t>
  </si>
  <si>
    <t>Q6ZRI6-2</t>
  </si>
  <si>
    <t>Q6ZRP7</t>
  </si>
  <si>
    <t>Q6ZRS2-3</t>
  </si>
  <si>
    <t>Q6ZS86</t>
  </si>
  <si>
    <t>Q6ZSJ8</t>
  </si>
  <si>
    <t>Q6ZSS7</t>
  </si>
  <si>
    <t>Q6ZT21-2</t>
  </si>
  <si>
    <t>Q6ZT62</t>
  </si>
  <si>
    <t>Q6ZUT1</t>
  </si>
  <si>
    <t>Q6ZVK8</t>
  </si>
  <si>
    <t>Q6ZVM7</t>
  </si>
  <si>
    <t>Q6ZW49-4</t>
  </si>
  <si>
    <t>Q6ZWL3-2</t>
  </si>
  <si>
    <t>Q6ZWT7</t>
  </si>
  <si>
    <t>Q6ZXV5-2</t>
  </si>
  <si>
    <t>Q6ZYL4</t>
  </si>
  <si>
    <t>Q709C8-3</t>
  </si>
  <si>
    <t>Q70IA6</t>
  </si>
  <si>
    <t>Q70J99</t>
  </si>
  <si>
    <t>Q70UQ0</t>
  </si>
  <si>
    <t>Q70UQ0-4</t>
  </si>
  <si>
    <t>Q70Z53-2</t>
  </si>
  <si>
    <t>Q712K3</t>
  </si>
  <si>
    <t>Q71F23</t>
  </si>
  <si>
    <t>Q71RC2-6</t>
  </si>
  <si>
    <t>Q71SY5-2</t>
  </si>
  <si>
    <t>Q71U36-2</t>
  </si>
  <si>
    <t>Q71UI9</t>
  </si>
  <si>
    <t>Q75QN2</t>
  </si>
  <si>
    <t>Q765P7</t>
  </si>
  <si>
    <t>Q76FK4-4</t>
  </si>
  <si>
    <t>Q7KYR7</t>
  </si>
  <si>
    <t>Q7KZ85</t>
  </si>
  <si>
    <t>Q7KZF4</t>
  </si>
  <si>
    <t>Q7KZN9-2</t>
  </si>
  <si>
    <t>Q7L014</t>
  </si>
  <si>
    <t>Q7L099-2</t>
  </si>
  <si>
    <t>Q7L099-4</t>
  </si>
  <si>
    <t>Q7L0J3-2</t>
  </si>
  <si>
    <t>Q7L0Y3</t>
  </si>
  <si>
    <t>Q7L1Q6</t>
  </si>
  <si>
    <t>Q7L1T6</t>
  </si>
  <si>
    <t>Q7L211</t>
  </si>
  <si>
    <t>Q7L266</t>
  </si>
  <si>
    <t>Q7L273</t>
  </si>
  <si>
    <t>Q7L2H7</t>
  </si>
  <si>
    <t>Q7L2J0</t>
  </si>
  <si>
    <t>Q7L2Z9</t>
  </si>
  <si>
    <t>Q7L3S4</t>
  </si>
  <si>
    <t>Q7L3T8</t>
  </si>
  <si>
    <t>Q7L4I2</t>
  </si>
  <si>
    <t>Q7L4P6-2</t>
  </si>
  <si>
    <t>Q7L523</t>
  </si>
  <si>
    <t>Q7L576</t>
  </si>
  <si>
    <t>Q7L5D6</t>
  </si>
  <si>
    <t>Q7L5N7</t>
  </si>
  <si>
    <t>Q7L5Y1</t>
  </si>
  <si>
    <t>Q7L5Y9</t>
  </si>
  <si>
    <t>Q7L775</t>
  </si>
  <si>
    <t>Q7L7L0</t>
  </si>
  <si>
    <t>Q7L7X3</t>
  </si>
  <si>
    <t>Q7L8J4</t>
  </si>
  <si>
    <t>Q7L8L6</t>
  </si>
  <si>
    <t>Q7L8W6</t>
  </si>
  <si>
    <t>Q7L9B9</t>
  </si>
  <si>
    <t>Q7LBC6</t>
  </si>
  <si>
    <t>Q7LBR1</t>
  </si>
  <si>
    <t>Q7LGA3</t>
  </si>
  <si>
    <t>Q7RTN6-6</t>
  </si>
  <si>
    <t>Q7RTP0</t>
  </si>
  <si>
    <t>Q7RTP6</t>
  </si>
  <si>
    <t>Q7RTS9</t>
  </si>
  <si>
    <t>Q7RTV0</t>
  </si>
  <si>
    <t>Q7Z2E3-7</t>
  </si>
  <si>
    <t>Q7Z2K6</t>
  </si>
  <si>
    <t>Q7Z2K8</t>
  </si>
  <si>
    <t>Q7Z2T5</t>
  </si>
  <si>
    <t>Q7Z2W4</t>
  </si>
  <si>
    <t>Q7Z2Z2</t>
  </si>
  <si>
    <t>Q7Z309</t>
  </si>
  <si>
    <t>Q7Z392</t>
  </si>
  <si>
    <t>Q7Z3C6-2</t>
  </si>
  <si>
    <t>Q7Z3D4</t>
  </si>
  <si>
    <t>Q7Z3D6-2</t>
  </si>
  <si>
    <t>Q7Z3E2</t>
  </si>
  <si>
    <t>Q7Z3K3-5</t>
  </si>
  <si>
    <t>Q7Z3T8</t>
  </si>
  <si>
    <t>Q7Z3Z2</t>
  </si>
  <si>
    <t>Q7Z417</t>
  </si>
  <si>
    <t>Q7Z422-2</t>
  </si>
  <si>
    <t>Q7Z434</t>
  </si>
  <si>
    <t>Q7Z449</t>
  </si>
  <si>
    <t>Q7Z478</t>
  </si>
  <si>
    <t>Q7Z4G1</t>
  </si>
  <si>
    <t>Q7Z4G4-2</t>
  </si>
  <si>
    <t>Q7Z4H3</t>
  </si>
  <si>
    <t>Q7Z4H7-3</t>
  </si>
  <si>
    <t>Q7Z4Q2</t>
  </si>
  <si>
    <t>Q7Z4V5</t>
  </si>
  <si>
    <t>Q7Z4V5-2</t>
  </si>
  <si>
    <t>Q7Z4W1</t>
  </si>
  <si>
    <t>Q7Z5G4</t>
  </si>
  <si>
    <t>Q7Z5K2</t>
  </si>
  <si>
    <t>Q7Z5L9-2</t>
  </si>
  <si>
    <t>Q7Z5R6</t>
  </si>
  <si>
    <t>Q7Z5U6</t>
  </si>
  <si>
    <t>Q7Z5W3</t>
  </si>
  <si>
    <t>Q7Z6B0-2</t>
  </si>
  <si>
    <t>Q7Z6E9</t>
  </si>
  <si>
    <t>Q7Z6I6</t>
  </si>
  <si>
    <t>Q7Z6I8</t>
  </si>
  <si>
    <t>Q7Z6J8</t>
  </si>
  <si>
    <t>Q7Z6J9</t>
  </si>
  <si>
    <t>Q7Z6K3</t>
  </si>
  <si>
    <t>Q7Z6L1</t>
  </si>
  <si>
    <t>Q7Z6M1</t>
  </si>
  <si>
    <t>Q7Z6M2</t>
  </si>
  <si>
    <t>Q7Z6M4</t>
  </si>
  <si>
    <t>Q7Z6P3</t>
  </si>
  <si>
    <t>Q7Z6V5</t>
  </si>
  <si>
    <t>Q7Z6Z7-2</t>
  </si>
  <si>
    <t>Q7Z7A3</t>
  </si>
  <si>
    <t>Q7Z7A4-2</t>
  </si>
  <si>
    <t>Q7Z7C8</t>
  </si>
  <si>
    <t>Q7Z7E8</t>
  </si>
  <si>
    <t>Q7Z7F0</t>
  </si>
  <si>
    <t>Q7Z7F7</t>
  </si>
  <si>
    <t>Q7Z7G8-2</t>
  </si>
  <si>
    <t>Q7Z7H5-3</t>
  </si>
  <si>
    <t>Q7Z7H8</t>
  </si>
  <si>
    <t>Q7Z7K6-3</t>
  </si>
  <si>
    <t>Q7Z7L1</t>
  </si>
  <si>
    <t>Q7Z7L7</t>
  </si>
  <si>
    <t>Q7Z7L8</t>
  </si>
  <si>
    <t>Q7Z7L9</t>
  </si>
  <si>
    <t>Q7Z7N9</t>
  </si>
  <si>
    <t>Q86SF2</t>
  </si>
  <si>
    <t>Q86SK9-2</t>
  </si>
  <si>
    <t>Q86SQ9-3</t>
  </si>
  <si>
    <t>Q86SX6</t>
  </si>
  <si>
    <t>Q86SZ2</t>
  </si>
  <si>
    <t>Q86T03</t>
  </si>
  <si>
    <t>Q86T13</t>
  </si>
  <si>
    <t>Q86TB9-4</t>
  </si>
  <si>
    <t>Q86TI0-2</t>
  </si>
  <si>
    <t>Q86TI2-2</t>
  </si>
  <si>
    <t>Q86TM6-2</t>
  </si>
  <si>
    <t>Q86TN4</t>
  </si>
  <si>
    <t>Q86TP1</t>
  </si>
  <si>
    <t>Q86TU7</t>
  </si>
  <si>
    <t>Q86TV2</t>
  </si>
  <si>
    <t>Q86U06-4</t>
  </si>
  <si>
    <t>Q86U28</t>
  </si>
  <si>
    <t>Q86U38</t>
  </si>
  <si>
    <t>Q86U44</t>
  </si>
  <si>
    <t>Q86U70-3</t>
  </si>
  <si>
    <t>Q86U86-5</t>
  </si>
  <si>
    <t>Q86U90</t>
  </si>
  <si>
    <t>Q86UA1</t>
  </si>
  <si>
    <t>Q86UA6-3</t>
  </si>
  <si>
    <t>Q86UD0</t>
  </si>
  <si>
    <t>Q86UE4</t>
  </si>
  <si>
    <t>Q86UE8-2</t>
  </si>
  <si>
    <t>Q86UF1</t>
  </si>
  <si>
    <t>Q86UK7-2</t>
  </si>
  <si>
    <t>Q86UL3</t>
  </si>
  <si>
    <t>Q86UN3</t>
  </si>
  <si>
    <t>Q86UP2</t>
  </si>
  <si>
    <t>Q86US8</t>
  </si>
  <si>
    <t>Q86UT8</t>
  </si>
  <si>
    <t>Q86UU0-4</t>
  </si>
  <si>
    <t>Q86UV5</t>
  </si>
  <si>
    <t>Q86UX3</t>
  </si>
  <si>
    <t>Q86UX7-2</t>
  </si>
  <si>
    <t>Q86UY0</t>
  </si>
  <si>
    <t>Q86UY6</t>
  </si>
  <si>
    <t>Q86UY8-2</t>
  </si>
  <si>
    <t>Q86V21</t>
  </si>
  <si>
    <t>Q86V42</t>
  </si>
  <si>
    <t>Q86V48-2</t>
  </si>
  <si>
    <t>Q86V59-2</t>
  </si>
  <si>
    <t>Q86V85</t>
  </si>
  <si>
    <t>Q86V87</t>
  </si>
  <si>
    <t>Q86V88</t>
  </si>
  <si>
    <t>Q86VD7</t>
  </si>
  <si>
    <t>Q86VN1-2</t>
  </si>
  <si>
    <t>Q86VP1-2</t>
  </si>
  <si>
    <t>Q86VP6</t>
  </si>
  <si>
    <t>Q86VQ1</t>
  </si>
  <si>
    <t>Q86VQ2</t>
  </si>
  <si>
    <t>Q86VR2</t>
  </si>
  <si>
    <t>Q86VS8</t>
  </si>
  <si>
    <t>Q86VU5</t>
  </si>
  <si>
    <t>Q86VW0</t>
  </si>
  <si>
    <t>Q86VX2-2</t>
  </si>
  <si>
    <t>Q86VX9</t>
  </si>
  <si>
    <t>Q86VY4</t>
  </si>
  <si>
    <t>Q86VZ1</t>
  </si>
  <si>
    <t>Q86W33</t>
  </si>
  <si>
    <t>Q86W42</t>
  </si>
  <si>
    <t>Q86W50</t>
  </si>
  <si>
    <t>Q86W56</t>
  </si>
  <si>
    <t>Q86W92-4</t>
  </si>
  <si>
    <t>Q86WA6-2</t>
  </si>
  <si>
    <t>Q86WA8</t>
  </si>
  <si>
    <t>Q86WC4</t>
  </si>
  <si>
    <t>Q86WJ1</t>
  </si>
  <si>
    <t>Q86WQ0</t>
  </si>
  <si>
    <t>Q86WR0</t>
  </si>
  <si>
    <t>Q86WV1-2</t>
  </si>
  <si>
    <t>Q86WV6</t>
  </si>
  <si>
    <t>Q86WV7</t>
  </si>
  <si>
    <t>Q86WX3</t>
  </si>
  <si>
    <t>Q86X02</t>
  </si>
  <si>
    <t>Q86X10</t>
  </si>
  <si>
    <t>Q86X27</t>
  </si>
  <si>
    <t>Q86X53</t>
  </si>
  <si>
    <t>Q86X55-1</t>
  </si>
  <si>
    <t>Q86X76-2</t>
  </si>
  <si>
    <t>Q86X83</t>
  </si>
  <si>
    <t>Q86X95</t>
  </si>
  <si>
    <t>Q86XI2</t>
  </si>
  <si>
    <t>Q86XK3-3</t>
  </si>
  <si>
    <t>Q86XP1</t>
  </si>
  <si>
    <t>Q86XP3</t>
  </si>
  <si>
    <t>Q86XZ4</t>
  </si>
  <si>
    <t>Q86Y01</t>
  </si>
  <si>
    <t>Q86Y07-4</t>
  </si>
  <si>
    <t>Q86Y37</t>
  </si>
  <si>
    <t>Q86Y39</t>
  </si>
  <si>
    <t>Q86Y56</t>
  </si>
  <si>
    <t>Q86Y79</t>
  </si>
  <si>
    <t>Q86Y82</t>
  </si>
  <si>
    <t>Q86YH6</t>
  </si>
  <si>
    <t>Q86YM7</t>
  </si>
  <si>
    <t>Q86YN1-2</t>
  </si>
  <si>
    <t>Q86YP4</t>
  </si>
  <si>
    <t>Q86YR5-4</t>
  </si>
  <si>
    <t>Q86YS3</t>
  </si>
  <si>
    <t>Q86YS6</t>
  </si>
  <si>
    <t>Q86YS7</t>
  </si>
  <si>
    <t>Q86YT6</t>
  </si>
  <si>
    <t>Q86YV0</t>
  </si>
  <si>
    <t>Q8IU81</t>
  </si>
  <si>
    <t>Q8IU85-2</t>
  </si>
  <si>
    <t>Q8IUE6</t>
  </si>
  <si>
    <t>Q8IUF8</t>
  </si>
  <si>
    <t>Q8IUH3-3</t>
  </si>
  <si>
    <t>Q8IUH4</t>
  </si>
  <si>
    <t>Q8IUH5</t>
  </si>
  <si>
    <t>Q8IUI8</t>
  </si>
  <si>
    <t>Q8IUQ4</t>
  </si>
  <si>
    <t>Q8IUR0</t>
  </si>
  <si>
    <t>Q8IUW5</t>
  </si>
  <si>
    <t>Q8IUX1-4</t>
  </si>
  <si>
    <t>Q8IUX7</t>
  </si>
  <si>
    <t>Q8IUZ5</t>
  </si>
  <si>
    <t>Q8IV04</t>
  </si>
  <si>
    <t>Q8IV08</t>
  </si>
  <si>
    <t>Q8IV36-2</t>
  </si>
  <si>
    <t>Q8IV38</t>
  </si>
  <si>
    <t>Q8IV48</t>
  </si>
  <si>
    <t>Q8IV50</t>
  </si>
  <si>
    <t>Q8IV53-2</t>
  </si>
  <si>
    <t>Q8IV63-3</t>
  </si>
  <si>
    <t>Q8IVB5</t>
  </si>
  <si>
    <t>Q8IVD9</t>
  </si>
  <si>
    <t>Q8IVF2-3</t>
  </si>
  <si>
    <t>Q8IVH4</t>
  </si>
  <si>
    <t>Q8IVR6</t>
  </si>
  <si>
    <t>Q8IVS2</t>
  </si>
  <si>
    <t>Q8IVV7</t>
  </si>
  <si>
    <t>Q8IW19</t>
  </si>
  <si>
    <t>Q8IW41-2</t>
  </si>
  <si>
    <t>Q8IW45</t>
  </si>
  <si>
    <t>Q8IWA0</t>
  </si>
  <si>
    <t>Q8IWA4</t>
  </si>
  <si>
    <t>Q8IWB1</t>
  </si>
  <si>
    <t>Q8IWB7</t>
  </si>
  <si>
    <t>Q8IWB9</t>
  </si>
  <si>
    <t>Q8IWC1-2</t>
  </si>
  <si>
    <t>Q8IWD4</t>
  </si>
  <si>
    <t>Q8IWE4</t>
  </si>
  <si>
    <t>Q8IWF6</t>
  </si>
  <si>
    <t>Q8IWJ2</t>
  </si>
  <si>
    <t>Q8IWS0</t>
  </si>
  <si>
    <t>Q8IWT6</t>
  </si>
  <si>
    <t>Q8IWV7</t>
  </si>
  <si>
    <t>Q8IWV8</t>
  </si>
  <si>
    <t>Q8IWY9</t>
  </si>
  <si>
    <t>Q8IWZ3-6</t>
  </si>
  <si>
    <t>Q8IWZ8</t>
  </si>
  <si>
    <t>Q8IX12-2</t>
  </si>
  <si>
    <t>Q8IX18-3</t>
  </si>
  <si>
    <t>Q8IX90</t>
  </si>
  <si>
    <t>Q8IXB1</t>
  </si>
  <si>
    <t>Q8IXI1</t>
  </si>
  <si>
    <t>Q8IXI2-2</t>
  </si>
  <si>
    <t>Q8IXJ6-2</t>
  </si>
  <si>
    <t>Q8IXK2</t>
  </si>
  <si>
    <t>Q8IXM6</t>
  </si>
  <si>
    <t>Q8IXN7</t>
  </si>
  <si>
    <t>Q8IXQ3</t>
  </si>
  <si>
    <t>Q8IXQ4</t>
  </si>
  <si>
    <t>Q8IXQ5-2</t>
  </si>
  <si>
    <t>Q8IXT5</t>
  </si>
  <si>
    <t>Q8IY17-2</t>
  </si>
  <si>
    <t>Q8IY18</t>
  </si>
  <si>
    <t>Q8IY21</t>
  </si>
  <si>
    <t>Q8IY22</t>
  </si>
  <si>
    <t>Q8IY37</t>
  </si>
  <si>
    <t>Q8IY95-2</t>
  </si>
  <si>
    <t>Q8IYB1</t>
  </si>
  <si>
    <t>Q8IYB5-3</t>
  </si>
  <si>
    <t>Q8IYB7</t>
  </si>
  <si>
    <t>Q8IYB8</t>
  </si>
  <si>
    <t>Q8IYD1</t>
  </si>
  <si>
    <t>Q8IYH5-4</t>
  </si>
  <si>
    <t>Q8IYI6</t>
  </si>
  <si>
    <t>Q8IYJ3</t>
  </si>
  <si>
    <t>Q8IYL3</t>
  </si>
  <si>
    <t>Q8IYN2</t>
  </si>
  <si>
    <t>Q8IYQ7</t>
  </si>
  <si>
    <t>Q8IYS1</t>
  </si>
  <si>
    <t>Q8IYS2</t>
  </si>
  <si>
    <t>Q8IYT2</t>
  </si>
  <si>
    <t>Q8IYU8</t>
  </si>
  <si>
    <t>Q8IYW5</t>
  </si>
  <si>
    <t>Q8IZ07</t>
  </si>
  <si>
    <t>Q8IZ21-3</t>
  </si>
  <si>
    <t>Q8IZ40</t>
  </si>
  <si>
    <t>Q8IZ68</t>
  </si>
  <si>
    <t>Q8IZ73</t>
  </si>
  <si>
    <t>Q8IZ81</t>
  </si>
  <si>
    <t>Q8IZ83</t>
  </si>
  <si>
    <t>Q8IZD4</t>
  </si>
  <si>
    <t>Q8IZE3-2</t>
  </si>
  <si>
    <t>Q8IZH2-2</t>
  </si>
  <si>
    <t>Q8IZM8</t>
  </si>
  <si>
    <t>Q8IZQ5</t>
  </si>
  <si>
    <t>Q8IZR5-3</t>
  </si>
  <si>
    <t>Q8N0T1</t>
  </si>
  <si>
    <t>Q8N0U4</t>
  </si>
  <si>
    <t>Q8N0U8</t>
  </si>
  <si>
    <t>Q8N0V3</t>
  </si>
  <si>
    <t>Q8N0W3</t>
  </si>
  <si>
    <t>Q8N0X4</t>
  </si>
  <si>
    <t>Q8N0X7</t>
  </si>
  <si>
    <t>Q8N0Z6</t>
  </si>
  <si>
    <t>Q8N108-17</t>
  </si>
  <si>
    <t>Q8N122</t>
  </si>
  <si>
    <t>Q8N129</t>
  </si>
  <si>
    <t>Q8N142</t>
  </si>
  <si>
    <t>Q8N163</t>
  </si>
  <si>
    <t>Q8N183</t>
  </si>
  <si>
    <t>Q8N1B4</t>
  </si>
  <si>
    <t>Q8N1F7</t>
  </si>
  <si>
    <t>Q8N1G1</t>
  </si>
  <si>
    <t>Q8N1G2</t>
  </si>
  <si>
    <t>Q8N1G4</t>
  </si>
  <si>
    <t>Q8N1K5</t>
  </si>
  <si>
    <t>Q8N1S5-2</t>
  </si>
  <si>
    <t>Q8N201</t>
  </si>
  <si>
    <t>Q8N257</t>
  </si>
  <si>
    <t>Q8N2F6-3</t>
  </si>
  <si>
    <t>Q8N2G8-3</t>
  </si>
  <si>
    <t>Q8N2K0</t>
  </si>
  <si>
    <t>Q8N2W9</t>
  </si>
  <si>
    <t>Q8N2Z9</t>
  </si>
  <si>
    <t>Q8N300</t>
  </si>
  <si>
    <t>Q8N302</t>
  </si>
  <si>
    <t>Q8N335</t>
  </si>
  <si>
    <t>Q8N344</t>
  </si>
  <si>
    <t>Q8N357</t>
  </si>
  <si>
    <t>Q8N371</t>
  </si>
  <si>
    <t>Q8N3C0</t>
  </si>
  <si>
    <t>Q8N3D4</t>
  </si>
  <si>
    <t>Q8N3F8</t>
  </si>
  <si>
    <t>Q8N3X1</t>
  </si>
  <si>
    <t>Q8N3Z3</t>
  </si>
  <si>
    <t>Q8N442</t>
  </si>
  <si>
    <t>Q8N465</t>
  </si>
  <si>
    <t>Q8N488</t>
  </si>
  <si>
    <t>Q8N490</t>
  </si>
  <si>
    <t>Q8N490-2</t>
  </si>
  <si>
    <t>Q8N4C8-5</t>
  </si>
  <si>
    <t>Q8N4H5</t>
  </si>
  <si>
    <t>Q8N4P3</t>
  </si>
  <si>
    <t>Q8N4Q0</t>
  </si>
  <si>
    <t>Q8N4Q1</t>
  </si>
  <si>
    <t>Q8N4S0</t>
  </si>
  <si>
    <t>Q8N4T8</t>
  </si>
  <si>
    <t>Q8N4V1</t>
  </si>
  <si>
    <t>Q8N543</t>
  </si>
  <si>
    <t>Q8N567</t>
  </si>
  <si>
    <t>Q8N573-2</t>
  </si>
  <si>
    <t>Q8N584-2</t>
  </si>
  <si>
    <t>Q8N5A5-2</t>
  </si>
  <si>
    <t>Q8N5C6</t>
  </si>
  <si>
    <t>Q8N5C7</t>
  </si>
  <si>
    <t>Q8N5F7</t>
  </si>
  <si>
    <t>Q8N5G0-2</t>
  </si>
  <si>
    <t>Q8N5G2</t>
  </si>
  <si>
    <t>Q8N5I4</t>
  </si>
  <si>
    <t>Q8N5I9</t>
  </si>
  <si>
    <t>Q8N5K1</t>
  </si>
  <si>
    <t>Q8N5L8</t>
  </si>
  <si>
    <t>Q8N5M1</t>
  </si>
  <si>
    <t>Q8N5M9</t>
  </si>
  <si>
    <t>Q8N5N7</t>
  </si>
  <si>
    <t>Q8N5P1</t>
  </si>
  <si>
    <t>Q8N5Y8</t>
  </si>
  <si>
    <t>Q8N5Z5-2</t>
  </si>
  <si>
    <t>Q8N608-4</t>
  </si>
  <si>
    <t>Q8N655</t>
  </si>
  <si>
    <t>Q8N668</t>
  </si>
  <si>
    <t>Q8N684</t>
  </si>
  <si>
    <t>Q8N697</t>
  </si>
  <si>
    <t>Q8N6H7</t>
  </si>
  <si>
    <t>Q8N6M0</t>
  </si>
  <si>
    <t>Q8N6N3</t>
  </si>
  <si>
    <t>Q8N6N7</t>
  </si>
  <si>
    <t>Q8N6Q8</t>
  </si>
  <si>
    <t>Q8N6S5</t>
  </si>
  <si>
    <t>Q8N6T3</t>
  </si>
  <si>
    <t>Q8N6T7</t>
  </si>
  <si>
    <t>Q8N766-3</t>
  </si>
  <si>
    <t>Q8N806</t>
  </si>
  <si>
    <t>Q8N8A6</t>
  </si>
  <si>
    <t>Q8N8R3</t>
  </si>
  <si>
    <t>Q8N8R5</t>
  </si>
  <si>
    <t>Q8N8S7-2</t>
  </si>
  <si>
    <t>Q8N8Y2</t>
  </si>
  <si>
    <t>Q8N8Z6-2</t>
  </si>
  <si>
    <t>Q8N954</t>
  </si>
  <si>
    <t>Q8N960</t>
  </si>
  <si>
    <t>Q8N983-4</t>
  </si>
  <si>
    <t>Q8N999</t>
  </si>
  <si>
    <t>Q8N9A8-2</t>
  </si>
  <si>
    <t>Q8N9F7</t>
  </si>
  <si>
    <t>Q8N9M1</t>
  </si>
  <si>
    <t>Q8N9M5</t>
  </si>
  <si>
    <t>Q8N9N7</t>
  </si>
  <si>
    <t>Q8N9N8</t>
  </si>
  <si>
    <t>Q8N9Q2</t>
  </si>
  <si>
    <t>Q8N9R8</t>
  </si>
  <si>
    <t>Q8N9V3-2</t>
  </si>
  <si>
    <t>Q8NAF0</t>
  </si>
  <si>
    <t>Q8NAT1</t>
  </si>
  <si>
    <t>Q8NAV1</t>
  </si>
  <si>
    <t>Q8NB15-2</t>
  </si>
  <si>
    <t>Q8NB16</t>
  </si>
  <si>
    <t>Q8NB37</t>
  </si>
  <si>
    <t>Q8NB42-2</t>
  </si>
  <si>
    <t>Q8NB46</t>
  </si>
  <si>
    <t>Q8NB49-3</t>
  </si>
  <si>
    <t>Q8NB90</t>
  </si>
  <si>
    <t>Q8NBA8</t>
  </si>
  <si>
    <t>Q8NBF2</t>
  </si>
  <si>
    <t>Q8NBF6</t>
  </si>
  <si>
    <t>Q8NBI6</t>
  </si>
  <si>
    <t>Q8NBJ4-2</t>
  </si>
  <si>
    <t>Q8NBJ5</t>
  </si>
  <si>
    <t>Q8NBK3-4</t>
  </si>
  <si>
    <t>Q8NBL1</t>
  </si>
  <si>
    <t>Q8NBM4-4</t>
  </si>
  <si>
    <t>Q8NBM8</t>
  </si>
  <si>
    <t>Q8NBN3</t>
  </si>
  <si>
    <t>Q8NBP0</t>
  </si>
  <si>
    <t>Q8NBU5</t>
  </si>
  <si>
    <t>Q8NBX0</t>
  </si>
  <si>
    <t>Q8NBZ0</t>
  </si>
  <si>
    <t>Q8NBZ7</t>
  </si>
  <si>
    <t>Q8NC51</t>
  </si>
  <si>
    <t>Q8NC51-2</t>
  </si>
  <si>
    <t>Q8NC54</t>
  </si>
  <si>
    <t>Q8NC56</t>
  </si>
  <si>
    <t>Q8NC60</t>
  </si>
  <si>
    <t>Q8NC96</t>
  </si>
  <si>
    <t>Q8NCA5-2</t>
  </si>
  <si>
    <t>Q8NCC3</t>
  </si>
  <si>
    <t>Q8NCE0-2</t>
  </si>
  <si>
    <t>Q8NCE2-2</t>
  </si>
  <si>
    <t>Q8NCF5</t>
  </si>
  <si>
    <t>Q8NCG7-4</t>
  </si>
  <si>
    <t>Q8NCN4</t>
  </si>
  <si>
    <t>Q8NCN5</t>
  </si>
  <si>
    <t>Q8NCR0</t>
  </si>
  <si>
    <t>Q8NCW5</t>
  </si>
  <si>
    <t>Q8ND04</t>
  </si>
  <si>
    <t>Q8ND24</t>
  </si>
  <si>
    <t>Q8ND25</t>
  </si>
  <si>
    <t>Q8ND56-2</t>
  </si>
  <si>
    <t>Q8ND76-3</t>
  </si>
  <si>
    <t>Q8ND83</t>
  </si>
  <si>
    <t>Q8NDC0</t>
  </si>
  <si>
    <t>Q8NDD1-2</t>
  </si>
  <si>
    <t>Q8NDD1-3</t>
  </si>
  <si>
    <t>Q8NDI1-3</t>
  </si>
  <si>
    <t>Q8NDT2</t>
  </si>
  <si>
    <t>Q8NDV3-2</t>
  </si>
  <si>
    <t>Q8NDZ4</t>
  </si>
  <si>
    <t>Q8NE00</t>
  </si>
  <si>
    <t>Q8NE01</t>
  </si>
  <si>
    <t>Q8NE71</t>
  </si>
  <si>
    <t>Q8NE86-3</t>
  </si>
  <si>
    <t>Q8NEB9</t>
  </si>
  <si>
    <t>Q8NEC7</t>
  </si>
  <si>
    <t>Q8NEF9</t>
  </si>
  <si>
    <t>Q8NEL9-2</t>
  </si>
  <si>
    <t>Q8NEM2</t>
  </si>
  <si>
    <t>Q8NEN9</t>
  </si>
  <si>
    <t>Q8NEZ2-2</t>
  </si>
  <si>
    <t>Q8NEZ5</t>
  </si>
  <si>
    <t>Q8NF37</t>
  </si>
  <si>
    <t>Q8NFC6</t>
  </si>
  <si>
    <t>Q8NFF5-2</t>
  </si>
  <si>
    <t>Q8NFH3</t>
  </si>
  <si>
    <t>Q8NFH4</t>
  </si>
  <si>
    <t>Q8NFI3</t>
  </si>
  <si>
    <t>Q8NFQ8</t>
  </si>
  <si>
    <t>Q8NFU3</t>
  </si>
  <si>
    <t>Q8NFU5</t>
  </si>
  <si>
    <t>Q8NFV4-4</t>
  </si>
  <si>
    <t>Q8NFW8</t>
  </si>
  <si>
    <t>Q8NFY9</t>
  </si>
  <si>
    <t>Q8NFZ8</t>
  </si>
  <si>
    <t>Q8NG11-2</t>
  </si>
  <si>
    <t>Q8NG68</t>
  </si>
  <si>
    <t>Q8NHG7</t>
  </si>
  <si>
    <t>Q8NHG8</t>
  </si>
  <si>
    <t>Q8NHP6</t>
  </si>
  <si>
    <t>Q8NHP8</t>
  </si>
  <si>
    <t>Q8NHQ9</t>
  </si>
  <si>
    <t>Q8NHU6</t>
  </si>
  <si>
    <t>Q8NHV1</t>
  </si>
  <si>
    <t>Q8NHV4</t>
  </si>
  <si>
    <t>Q8NHZ8</t>
  </si>
  <si>
    <t>Q8NI08-2</t>
  </si>
  <si>
    <t>Q8NI22-2</t>
  </si>
  <si>
    <t>Q8NI27</t>
  </si>
  <si>
    <t>Q8NI36</t>
  </si>
  <si>
    <t>Q8NI37</t>
  </si>
  <si>
    <t>Q8TA86</t>
  </si>
  <si>
    <t>Q8TAA3-5</t>
  </si>
  <si>
    <t>Q8TAA5</t>
  </si>
  <si>
    <t>Q8TAA9-2</t>
  </si>
  <si>
    <t>Q8TAC1</t>
  </si>
  <si>
    <t>Q8TAD8</t>
  </si>
  <si>
    <t>Q8TAE8</t>
  </si>
  <si>
    <t>Q8TAF3</t>
  </si>
  <si>
    <t>Q8TAP6</t>
  </si>
  <si>
    <t>Q8TAP8</t>
  </si>
  <si>
    <t>Q8TAP9</t>
  </si>
  <si>
    <t>Q8TAQ2</t>
  </si>
  <si>
    <t>Q8TAT6</t>
  </si>
  <si>
    <t>Q8TAV0</t>
  </si>
  <si>
    <t>Q8TAY7</t>
  </si>
  <si>
    <t>Q8TB03</t>
  </si>
  <si>
    <t>Q8TB22-3</t>
  </si>
  <si>
    <t>Q8TB36</t>
  </si>
  <si>
    <t>Q8TB37</t>
  </si>
  <si>
    <t>Q8TB52</t>
  </si>
  <si>
    <t>Q8TB61-3</t>
  </si>
  <si>
    <t>Q8TB72-3</t>
  </si>
  <si>
    <t>Q8TB96</t>
  </si>
  <si>
    <t>Q8TBA6-2</t>
  </si>
  <si>
    <t>Q8TBB5-3</t>
  </si>
  <si>
    <t>Q8TBC4</t>
  </si>
  <si>
    <t>Q8TBE9</t>
  </si>
  <si>
    <t>Q8TBF4</t>
  </si>
  <si>
    <t>Q8TBM8</t>
  </si>
  <si>
    <t>Q8TBN0</t>
  </si>
  <si>
    <t>Q8TBP6</t>
  </si>
  <si>
    <t>Q8TBQ9</t>
  </si>
  <si>
    <t>Q8TBX8</t>
  </si>
  <si>
    <t>Q8TBZ3</t>
  </si>
  <si>
    <t>Q8TBZ6</t>
  </si>
  <si>
    <t>Q8TC07-2</t>
  </si>
  <si>
    <t>Q8TC12</t>
  </si>
  <si>
    <t>Q8TC24</t>
  </si>
  <si>
    <t>Q8TCA0</t>
  </si>
  <si>
    <t>Q8TCD1</t>
  </si>
  <si>
    <t>Q8TCD5</t>
  </si>
  <si>
    <t>Q8TCE6-2</t>
  </si>
  <si>
    <t>Q8TCG1</t>
  </si>
  <si>
    <t>Q8TCG2</t>
  </si>
  <si>
    <t>Q8TCJ2</t>
  </si>
  <si>
    <t>Q8TCS8</t>
  </si>
  <si>
    <t>Q8TCT6-3</t>
  </si>
  <si>
    <t>Q8TCT8</t>
  </si>
  <si>
    <t>Q8TCT9-5</t>
  </si>
  <si>
    <t>Q8TCY9</t>
  </si>
  <si>
    <t>Q8TCZ2-6</t>
  </si>
  <si>
    <t>Q8TD08-2</t>
  </si>
  <si>
    <t>Q8TD16-2</t>
  </si>
  <si>
    <t>Q8TD19</t>
  </si>
  <si>
    <t>Q8TD30</t>
  </si>
  <si>
    <t>Q8TD55-2</t>
  </si>
  <si>
    <t>Q8TDB6</t>
  </si>
  <si>
    <t>Q8TDC3</t>
  </si>
  <si>
    <t>Q8TDD1</t>
  </si>
  <si>
    <t>Q8TDH9</t>
  </si>
  <si>
    <t>Q8TDI0</t>
  </si>
  <si>
    <t>Q8TDJ6</t>
  </si>
  <si>
    <t>Q8TDQ7</t>
  </si>
  <si>
    <t>Q8TDW0</t>
  </si>
  <si>
    <t>Q8TDX7</t>
  </si>
  <si>
    <t>Q8TDY2-2</t>
  </si>
  <si>
    <t>Q8TDZ2</t>
  </si>
  <si>
    <t>Q8TE04-2</t>
  </si>
  <si>
    <t>Q8TEA1</t>
  </si>
  <si>
    <t>Q8TEA7-3</t>
  </si>
  <si>
    <t>Q8TEA8</t>
  </si>
  <si>
    <t>Q8TEB1-2</t>
  </si>
  <si>
    <t>Q8TED0</t>
  </si>
  <si>
    <t>Q8TEH3</t>
  </si>
  <si>
    <t>Q8TEM1</t>
  </si>
  <si>
    <t>Q8TEQ0-2</t>
  </si>
  <si>
    <t>Q8TEQ6</t>
  </si>
  <si>
    <t>Q8TEQ8</t>
  </si>
  <si>
    <t>Q8TEW0-7</t>
  </si>
  <si>
    <t>Q8TEX9</t>
  </si>
  <si>
    <t>Q8TF01</t>
  </si>
  <si>
    <t>Q8TF05-2</t>
  </si>
  <si>
    <t>Q8TF42</t>
  </si>
  <si>
    <t>Q8TF44</t>
  </si>
  <si>
    <t>Q8TF71</t>
  </si>
  <si>
    <t>Q8TF74</t>
  </si>
  <si>
    <t>Q8WTS1</t>
  </si>
  <si>
    <t>Q8WTS6</t>
  </si>
  <si>
    <t>Q8WTW3</t>
  </si>
  <si>
    <t>Q8WU10</t>
  </si>
  <si>
    <t>Q8WU39</t>
  </si>
  <si>
    <t>Q8WU76-2</t>
  </si>
  <si>
    <t>Q8WU79</t>
  </si>
  <si>
    <t>Q8WU90</t>
  </si>
  <si>
    <t>Q8WUA2</t>
  </si>
  <si>
    <t>Q8WUA8</t>
  </si>
  <si>
    <t>Q8WUB8-3</t>
  </si>
  <si>
    <t>Q8WUD1</t>
  </si>
  <si>
    <t>Q8WUF5</t>
  </si>
  <si>
    <t>Q8WUF8-3</t>
  </si>
  <si>
    <t>Q8WUH1</t>
  </si>
  <si>
    <t>Q8WUH2</t>
  </si>
  <si>
    <t>Q8WUH6</t>
  </si>
  <si>
    <t>Q8WUI4-3</t>
  </si>
  <si>
    <t>Q8WUJ0</t>
  </si>
  <si>
    <t>Q8WUM0</t>
  </si>
  <si>
    <t>Q8WUM4</t>
  </si>
  <si>
    <t>Q8WUM9</t>
  </si>
  <si>
    <t>Q8WUN7</t>
  </si>
  <si>
    <t>Q8WUR7</t>
  </si>
  <si>
    <t>Q8WUX2</t>
  </si>
  <si>
    <t>Q8WUX9</t>
  </si>
  <si>
    <t>Q8WUY1</t>
  </si>
  <si>
    <t>Q8WUY8</t>
  </si>
  <si>
    <t>Q8WV22</t>
  </si>
  <si>
    <t>Q8WV24</t>
  </si>
  <si>
    <t>Q8WV74</t>
  </si>
  <si>
    <t>Q8WV92</t>
  </si>
  <si>
    <t>Q8WVB6</t>
  </si>
  <si>
    <t>Q8WVC0</t>
  </si>
  <si>
    <t>Q8WVD3</t>
  </si>
  <si>
    <t>Q8WVD5</t>
  </si>
  <si>
    <t>Q8WVE0</t>
  </si>
  <si>
    <t>Q8WVJ2</t>
  </si>
  <si>
    <t>Q8WVK2</t>
  </si>
  <si>
    <t>Q8WVK7</t>
  </si>
  <si>
    <t>Q8WVL7</t>
  </si>
  <si>
    <t>Q8WVM0</t>
  </si>
  <si>
    <t>Q8WVM8</t>
  </si>
  <si>
    <t>Q8WVQ1</t>
  </si>
  <si>
    <t>Q8WVT3</t>
  </si>
  <si>
    <t>Q8WVX9</t>
  </si>
  <si>
    <t>Q8WVY7</t>
  </si>
  <si>
    <t>Q8WVZ9</t>
  </si>
  <si>
    <t>Q8WW01</t>
  </si>
  <si>
    <t>Q8WW12</t>
  </si>
  <si>
    <t>Q8WW59</t>
  </si>
  <si>
    <t>Q8WWB7-2</t>
  </si>
  <si>
    <t>Q8WWC4</t>
  </si>
  <si>
    <t>Q8WWH5</t>
  </si>
  <si>
    <t>Q8WWI5</t>
  </si>
  <si>
    <t>Q8WWK9-5</t>
  </si>
  <si>
    <t>Q8WWL7</t>
  </si>
  <si>
    <t>Q8WWM7</t>
  </si>
  <si>
    <t>Q8WWP7</t>
  </si>
  <si>
    <t>Q8WWV3</t>
  </si>
  <si>
    <t>Q8WWW0-2</t>
  </si>
  <si>
    <t>Q8WWX9</t>
  </si>
  <si>
    <t>Q8WWY3</t>
  </si>
  <si>
    <t>Q8WX92</t>
  </si>
  <si>
    <t>Q8WX93-3</t>
  </si>
  <si>
    <t>Q8WXA9-2</t>
  </si>
  <si>
    <t>Q8WXD5</t>
  </si>
  <si>
    <t>Q8WXE0</t>
  </si>
  <si>
    <t>Q8WXE1-5</t>
  </si>
  <si>
    <t>Q8WXF1</t>
  </si>
  <si>
    <t>Q8WXG6-7</t>
  </si>
  <si>
    <t>Q8WXH0</t>
  </si>
  <si>
    <t>Q8WXI9</t>
  </si>
  <si>
    <t>Q8WXX0</t>
  </si>
  <si>
    <t>Q8WXX5</t>
  </si>
  <si>
    <t>Q8WY22</t>
  </si>
  <si>
    <t>Q8WY54-2</t>
  </si>
  <si>
    <t>Q8WYA6</t>
  </si>
  <si>
    <t>Q8WYH8</t>
  </si>
  <si>
    <t>Q8WYN0-3</t>
  </si>
  <si>
    <t>Q8WYP5</t>
  </si>
  <si>
    <t>Q8WYQ5-3</t>
  </si>
  <si>
    <t>Q8WYQ7</t>
  </si>
  <si>
    <t>Q8WZ82</t>
  </si>
  <si>
    <t>Q8WZA0</t>
  </si>
  <si>
    <t>Q8WZA9</t>
  </si>
  <si>
    <t>Q92466</t>
  </si>
  <si>
    <t>Q92482-2</t>
  </si>
  <si>
    <t>Q92499</t>
  </si>
  <si>
    <t>Q92503-3</t>
  </si>
  <si>
    <t>Q92504</t>
  </si>
  <si>
    <t>Q92506</t>
  </si>
  <si>
    <t>Q92508</t>
  </si>
  <si>
    <t>Q92520</t>
  </si>
  <si>
    <t>Q92522</t>
  </si>
  <si>
    <t>Q92526</t>
  </si>
  <si>
    <t>Q92536</t>
  </si>
  <si>
    <t>Q92537</t>
  </si>
  <si>
    <t>Q92538</t>
  </si>
  <si>
    <t>Q92541</t>
  </si>
  <si>
    <t>Q92544</t>
  </si>
  <si>
    <t>Q92546</t>
  </si>
  <si>
    <t>Q92547</t>
  </si>
  <si>
    <t>Q92551</t>
  </si>
  <si>
    <t>Q92552</t>
  </si>
  <si>
    <t>Q92556</t>
  </si>
  <si>
    <t>Q92558</t>
  </si>
  <si>
    <t>Q92567-2</t>
  </si>
  <si>
    <t>Q92572</t>
  </si>
  <si>
    <t>Q92575</t>
  </si>
  <si>
    <t>Q92576-2</t>
  </si>
  <si>
    <t>Q92581-2</t>
  </si>
  <si>
    <t>Q92585</t>
  </si>
  <si>
    <t>Q92597</t>
  </si>
  <si>
    <t>Q92598-2</t>
  </si>
  <si>
    <t>Q92600</t>
  </si>
  <si>
    <t>Q92608</t>
  </si>
  <si>
    <t>Q92609</t>
  </si>
  <si>
    <t>Q92611</t>
  </si>
  <si>
    <t>Q92613</t>
  </si>
  <si>
    <t>Q92614-2</t>
  </si>
  <si>
    <t>Q92615</t>
  </si>
  <si>
    <t>Q92616</t>
  </si>
  <si>
    <t>Q92619</t>
  </si>
  <si>
    <t>Q92620</t>
  </si>
  <si>
    <t>Q92621</t>
  </si>
  <si>
    <t>Q92623</t>
  </si>
  <si>
    <t>Q92626</t>
  </si>
  <si>
    <t>Q92636</t>
  </si>
  <si>
    <t>Q92665</t>
  </si>
  <si>
    <t>Q92667</t>
  </si>
  <si>
    <t>Q92673</t>
  </si>
  <si>
    <t>Q92686</t>
  </si>
  <si>
    <t>Q92688-2</t>
  </si>
  <si>
    <t>Q92692</t>
  </si>
  <si>
    <t>Q92692-2</t>
  </si>
  <si>
    <t>Q92696</t>
  </si>
  <si>
    <t>Q92734-2</t>
  </si>
  <si>
    <t>Q92738</t>
  </si>
  <si>
    <t>Q92747</t>
  </si>
  <si>
    <t>Q92759</t>
  </si>
  <si>
    <t>Q92766</t>
  </si>
  <si>
    <t>Q92771</t>
  </si>
  <si>
    <t>Q92783-2</t>
  </si>
  <si>
    <t>Q92784</t>
  </si>
  <si>
    <t>Q92785</t>
  </si>
  <si>
    <t>Q92793</t>
  </si>
  <si>
    <t>Q92797</t>
  </si>
  <si>
    <t>Q92804-2</t>
  </si>
  <si>
    <t>Q92820</t>
  </si>
  <si>
    <t>Q92828</t>
  </si>
  <si>
    <t>Q92834-4</t>
  </si>
  <si>
    <t>Q92843-2</t>
  </si>
  <si>
    <t>Q92844</t>
  </si>
  <si>
    <t>Q92851-4</t>
  </si>
  <si>
    <t>Q92854</t>
  </si>
  <si>
    <t>Q92859-3</t>
  </si>
  <si>
    <t>Q92871</t>
  </si>
  <si>
    <t>Q92878</t>
  </si>
  <si>
    <t>Q92882</t>
  </si>
  <si>
    <t>Q92889</t>
  </si>
  <si>
    <t>Q92890</t>
  </si>
  <si>
    <t>Q92896</t>
  </si>
  <si>
    <t>Q92900</t>
  </si>
  <si>
    <t>Q92905</t>
  </si>
  <si>
    <t>Q92917</t>
  </si>
  <si>
    <t>Q92922</t>
  </si>
  <si>
    <t>Q92930</t>
  </si>
  <si>
    <t>Q92934</t>
  </si>
  <si>
    <t>Q92945</t>
  </si>
  <si>
    <t>Q92947</t>
  </si>
  <si>
    <t>Q92968</t>
  </si>
  <si>
    <t>Q92973-2</t>
  </si>
  <si>
    <t>Q92979</t>
  </si>
  <si>
    <t>Q92990</t>
  </si>
  <si>
    <t>Q92994-5</t>
  </si>
  <si>
    <t>Q92995</t>
  </si>
  <si>
    <t>Q93008-1</t>
  </si>
  <si>
    <t>Q93015</t>
  </si>
  <si>
    <t>Q93034</t>
  </si>
  <si>
    <t>Q93052</t>
  </si>
  <si>
    <t>Q93063</t>
  </si>
  <si>
    <t>Q93075</t>
  </si>
  <si>
    <t>Q93084-2</t>
  </si>
  <si>
    <t>Q93096</t>
  </si>
  <si>
    <t>Q93100-4</t>
  </si>
  <si>
    <t>Q969E2-2</t>
  </si>
  <si>
    <t>Q969E4</t>
  </si>
  <si>
    <t>Q969E8</t>
  </si>
  <si>
    <t>Q969F2</t>
  </si>
  <si>
    <t>Q969G3-2</t>
  </si>
  <si>
    <t>Q969G6</t>
  </si>
  <si>
    <t>Q969H6</t>
  </si>
  <si>
    <t>Q969H8</t>
  </si>
  <si>
    <t>Q969M1</t>
  </si>
  <si>
    <t>Q969M3</t>
  </si>
  <si>
    <t>Q969N2-5</t>
  </si>
  <si>
    <t>Q969P0-3</t>
  </si>
  <si>
    <t>Q969Q0</t>
  </si>
  <si>
    <t>Q969Q5</t>
  </si>
  <si>
    <t>Q969R5</t>
  </si>
  <si>
    <t>Q969R8</t>
  </si>
  <si>
    <t>Q969S3</t>
  </si>
  <si>
    <t>Q969S9-2</t>
  </si>
  <si>
    <t>Q969T7-2</t>
  </si>
  <si>
    <t>Q969V3-2</t>
  </si>
  <si>
    <t>Q969V5</t>
  </si>
  <si>
    <t>Q969X0</t>
  </si>
  <si>
    <t>Q969X5-2</t>
  </si>
  <si>
    <t>Q969X6</t>
  </si>
  <si>
    <t>Q969Y2-3</t>
  </si>
  <si>
    <t>Q969Z0</t>
  </si>
  <si>
    <t>Q96A19</t>
  </si>
  <si>
    <t>Q96A29-2</t>
  </si>
  <si>
    <t>Q96A33</t>
  </si>
  <si>
    <t>Q96A47</t>
  </si>
  <si>
    <t>Q96A49</t>
  </si>
  <si>
    <t>Q96A65</t>
  </si>
  <si>
    <t>Q96A73</t>
  </si>
  <si>
    <t>Q96AB6</t>
  </si>
  <si>
    <t>Q96AC1</t>
  </si>
  <si>
    <t>Q96AE4</t>
  </si>
  <si>
    <t>Q96AE4-2</t>
  </si>
  <si>
    <t>Q96AG3</t>
  </si>
  <si>
    <t>Q96AG4</t>
  </si>
  <si>
    <t>Q96AJ9-1</t>
  </si>
  <si>
    <t>Q96AP0-2</t>
  </si>
  <si>
    <t>Q96AQ6-2</t>
  </si>
  <si>
    <t>Q96AQ8</t>
  </si>
  <si>
    <t>Q96AT1</t>
  </si>
  <si>
    <t>Q96AT9</t>
  </si>
  <si>
    <t>Q96AX2-4</t>
  </si>
  <si>
    <t>Q96B01</t>
  </si>
  <si>
    <t>Q96B23-2</t>
  </si>
  <si>
    <t>Q96B26</t>
  </si>
  <si>
    <t>Q96B36</t>
  </si>
  <si>
    <t>Q96B45</t>
  </si>
  <si>
    <t>Q96B49</t>
  </si>
  <si>
    <t>Q96B70</t>
  </si>
  <si>
    <t>Q96B97</t>
  </si>
  <si>
    <t>Q96BH1</t>
  </si>
  <si>
    <t>Q96BI3</t>
  </si>
  <si>
    <t>Q96BK5</t>
  </si>
  <si>
    <t>Q96BM9</t>
  </si>
  <si>
    <t>Q96BN8</t>
  </si>
  <si>
    <t>Q96BP2</t>
  </si>
  <si>
    <t>Q96BP3</t>
  </si>
  <si>
    <t>Q96BR5</t>
  </si>
  <si>
    <t>Q96BT7</t>
  </si>
  <si>
    <t>Q96BW1</t>
  </si>
  <si>
    <t>Q96BW5-2</t>
  </si>
  <si>
    <t>Q96BX8</t>
  </si>
  <si>
    <t>Q96BY7</t>
  </si>
  <si>
    <t>Q96BZ8</t>
  </si>
  <si>
    <t>Q96BZ9</t>
  </si>
  <si>
    <t>Q96C01</t>
  </si>
  <si>
    <t>Q96C19</t>
  </si>
  <si>
    <t>Q96C36</t>
  </si>
  <si>
    <t>Q96C57</t>
  </si>
  <si>
    <t>Q96C86</t>
  </si>
  <si>
    <t>Q96C90</t>
  </si>
  <si>
    <t>Q96CB8</t>
  </si>
  <si>
    <t>Q96CB9</t>
  </si>
  <si>
    <t>Q96CD0</t>
  </si>
  <si>
    <t>Q96CD2</t>
  </si>
  <si>
    <t>Q96CG3</t>
  </si>
  <si>
    <t>Q96CN4-2</t>
  </si>
  <si>
    <t>Q96CN7</t>
  </si>
  <si>
    <t>Q96CN9</t>
  </si>
  <si>
    <t>Q96CP2</t>
  </si>
  <si>
    <t>Q96CS2</t>
  </si>
  <si>
    <t>Q96CS3</t>
  </si>
  <si>
    <t>Q96CT7</t>
  </si>
  <si>
    <t>Q96CU9</t>
  </si>
  <si>
    <t>Q96CV9-3</t>
  </si>
  <si>
    <t>Q96CW1-2</t>
  </si>
  <si>
    <t>Q96CW5</t>
  </si>
  <si>
    <t>Q96CW6</t>
  </si>
  <si>
    <t>Q96CX2</t>
  </si>
  <si>
    <t>Q96CX6</t>
  </si>
  <si>
    <t>Q96D05</t>
  </si>
  <si>
    <t>Q96D31-2</t>
  </si>
  <si>
    <t>Q96D53</t>
  </si>
  <si>
    <t>Q96D71-3</t>
  </si>
  <si>
    <t>Q96D96-4</t>
  </si>
  <si>
    <t>Q96DA2</t>
  </si>
  <si>
    <t>Q96DA6</t>
  </si>
  <si>
    <t>Q96DB5</t>
  </si>
  <si>
    <t>Q96DC9</t>
  </si>
  <si>
    <t>Q96DE5</t>
  </si>
  <si>
    <t>Q96DF8</t>
  </si>
  <si>
    <t>Q96DH6-2</t>
  </si>
  <si>
    <t>Q96DI7</t>
  </si>
  <si>
    <t>Q96DR7</t>
  </si>
  <si>
    <t>Q96DT6</t>
  </si>
  <si>
    <t>Q96DU3-2</t>
  </si>
  <si>
    <t>Q96DV4</t>
  </si>
  <si>
    <t>Q96DX4</t>
  </si>
  <si>
    <t>Q96DX7</t>
  </si>
  <si>
    <t>Q96DZ1</t>
  </si>
  <si>
    <t>Q96E09</t>
  </si>
  <si>
    <t>Q96E11-3</t>
  </si>
  <si>
    <t>Q96E14</t>
  </si>
  <si>
    <t>Q96E22</t>
  </si>
  <si>
    <t>Q96E40-2</t>
  </si>
  <si>
    <t>Q96E52</t>
  </si>
  <si>
    <t>Q96EA4</t>
  </si>
  <si>
    <t>Q96EB1</t>
  </si>
  <si>
    <t>Q96EB6</t>
  </si>
  <si>
    <t>Q96EC8</t>
  </si>
  <si>
    <t>Q96EE3</t>
  </si>
  <si>
    <t>Q96EH3</t>
  </si>
  <si>
    <t>Q96EK4</t>
  </si>
  <si>
    <t>Q96EK5</t>
  </si>
  <si>
    <t>Q96EK6</t>
  </si>
  <si>
    <t>Q96EK9</t>
  </si>
  <si>
    <t>Q96EL2</t>
  </si>
  <si>
    <t>Q96EL3</t>
  </si>
  <si>
    <t>Q96EM0</t>
  </si>
  <si>
    <t>Q96EP0</t>
  </si>
  <si>
    <t>Q96EP5</t>
  </si>
  <si>
    <t>Q96EQ0</t>
  </si>
  <si>
    <t>Q96ER3</t>
  </si>
  <si>
    <t>Q96ER9</t>
  </si>
  <si>
    <t>Q96ES7</t>
  </si>
  <si>
    <t>Q96EU6-2</t>
  </si>
  <si>
    <t>Q96EV2</t>
  </si>
  <si>
    <t>Q96EV8-2</t>
  </si>
  <si>
    <t>Q96EW2</t>
  </si>
  <si>
    <t>Q96EX1</t>
  </si>
  <si>
    <t>Q96EX3</t>
  </si>
  <si>
    <t>Q96EY1</t>
  </si>
  <si>
    <t>Q96EY5</t>
  </si>
  <si>
    <t>Q96EY7</t>
  </si>
  <si>
    <t>Q96EY8</t>
  </si>
  <si>
    <t>Q96EY9</t>
  </si>
  <si>
    <t>Q96F15</t>
  </si>
  <si>
    <t>Q96F24-2</t>
  </si>
  <si>
    <t>Q96F44-3</t>
  </si>
  <si>
    <t>Q96F46</t>
  </si>
  <si>
    <t>Q96F63</t>
  </si>
  <si>
    <t>Q96F86</t>
  </si>
  <si>
    <t>Q96FC9-3</t>
  </si>
  <si>
    <t>Q96FF9</t>
  </si>
  <si>
    <t>Q96FH0</t>
  </si>
  <si>
    <t>Q96FJ0</t>
  </si>
  <si>
    <t>Q96FJ2</t>
  </si>
  <si>
    <t>Q96FK6</t>
  </si>
  <si>
    <t>Q96FN4</t>
  </si>
  <si>
    <t>Q96FN9</t>
  </si>
  <si>
    <t>Q96FS4</t>
  </si>
  <si>
    <t>Q96FV9</t>
  </si>
  <si>
    <t>Q96FX2</t>
  </si>
  <si>
    <t>Q96FX7</t>
  </si>
  <si>
    <t>Q96FZ2</t>
  </si>
  <si>
    <t>Q96FZ7</t>
  </si>
  <si>
    <t>Q96G03</t>
  </si>
  <si>
    <t>Q96G25</t>
  </si>
  <si>
    <t>Q96G28</t>
  </si>
  <si>
    <t>Q96G46</t>
  </si>
  <si>
    <t>Q96G61</t>
  </si>
  <si>
    <t>Q96G74-3</t>
  </si>
  <si>
    <t>Q96GA3</t>
  </si>
  <si>
    <t>Q96GD0</t>
  </si>
  <si>
    <t>Q96GD4</t>
  </si>
  <si>
    <t>Q96GF1</t>
  </si>
  <si>
    <t>Q96GG9</t>
  </si>
  <si>
    <t>Q96GK7</t>
  </si>
  <si>
    <t>Q96GM5</t>
  </si>
  <si>
    <t>Q96GM8</t>
  </si>
  <si>
    <t>Q96GQ7</t>
  </si>
  <si>
    <t>Q96GS4</t>
  </si>
  <si>
    <t>Q96GS6</t>
  </si>
  <si>
    <t>Q96GW9</t>
  </si>
  <si>
    <t>Q96GX2</t>
  </si>
  <si>
    <t>Q96GX5-2</t>
  </si>
  <si>
    <t>Q96GX9</t>
  </si>
  <si>
    <t>Q96GX9-3</t>
  </si>
  <si>
    <t>Q96GY0</t>
  </si>
  <si>
    <t>Q96H20</t>
  </si>
  <si>
    <t>Q96H22-4</t>
  </si>
  <si>
    <t>Q96H79</t>
  </si>
  <si>
    <t>Q96H86-2</t>
  </si>
  <si>
    <t>Q96HA4-4</t>
  </si>
  <si>
    <t>Q96HC4</t>
  </si>
  <si>
    <t>Q96HD9</t>
  </si>
  <si>
    <t>Q96HE7</t>
  </si>
  <si>
    <t>Q96HJ9</t>
  </si>
  <si>
    <t>Q96HJ9-2</t>
  </si>
  <si>
    <t>Q96HN2</t>
  </si>
  <si>
    <t>Q96HQ2</t>
  </si>
  <si>
    <t>Q96HR3</t>
  </si>
  <si>
    <t>Q96HR8-2</t>
  </si>
  <si>
    <t>Q96HR9</t>
  </si>
  <si>
    <t>Q96HS1</t>
  </si>
  <si>
    <t>Q96HW7</t>
  </si>
  <si>
    <t>Q96HY6</t>
  </si>
  <si>
    <t>Q96HY7</t>
  </si>
  <si>
    <t>Q96I15</t>
  </si>
  <si>
    <t>Q96I24</t>
  </si>
  <si>
    <t>Q96I25</t>
  </si>
  <si>
    <t>Q96I36</t>
  </si>
  <si>
    <t>Q96I59</t>
  </si>
  <si>
    <t>Q96I99</t>
  </si>
  <si>
    <t>Q96IF1</t>
  </si>
  <si>
    <t>Q96IJ6</t>
  </si>
  <si>
    <t>Q96IK1</t>
  </si>
  <si>
    <t>Q96IQ9-2</t>
  </si>
  <si>
    <t>Q96IR2</t>
  </si>
  <si>
    <t>Q96IU2</t>
  </si>
  <si>
    <t>Q96IU4</t>
  </si>
  <si>
    <t>Q96IV0-5</t>
  </si>
  <si>
    <t>Q96IX5</t>
  </si>
  <si>
    <t>Q96IY1</t>
  </si>
  <si>
    <t>Q96IZ0</t>
  </si>
  <si>
    <t>Q96IZ7-2</t>
  </si>
  <si>
    <t>Q96J01</t>
  </si>
  <si>
    <t>Q96J02-2</t>
  </si>
  <si>
    <t>Q96J84-2</t>
  </si>
  <si>
    <t>Q96J88-2</t>
  </si>
  <si>
    <t>Q96JB2</t>
  </si>
  <si>
    <t>Q96JB5</t>
  </si>
  <si>
    <t>Q96JC1-2</t>
  </si>
  <si>
    <t>Q96JC9</t>
  </si>
  <si>
    <t>Q96JG6</t>
  </si>
  <si>
    <t>Q96JH7</t>
  </si>
  <si>
    <t>Q96JJ7</t>
  </si>
  <si>
    <t>Q96JM3</t>
  </si>
  <si>
    <t>Q96JP5</t>
  </si>
  <si>
    <t>Q96JQ2</t>
  </si>
  <si>
    <t>Q96JY6</t>
  </si>
  <si>
    <t>Q96K19-2</t>
  </si>
  <si>
    <t>Q96K31</t>
  </si>
  <si>
    <t>Q96K80</t>
  </si>
  <si>
    <t>Q96KA5-2</t>
  </si>
  <si>
    <t>Q96KB5</t>
  </si>
  <si>
    <t>Q96KC8</t>
  </si>
  <si>
    <t>Q96KM6</t>
  </si>
  <si>
    <t>Q96KP1</t>
  </si>
  <si>
    <t>Q96KP4</t>
  </si>
  <si>
    <t>Q96KQ4</t>
  </si>
  <si>
    <t>Q96KR1</t>
  </si>
  <si>
    <t>Q96L50</t>
  </si>
  <si>
    <t>Q96L91-4</t>
  </si>
  <si>
    <t>Q96L92-3</t>
  </si>
  <si>
    <t>Q96L93-6</t>
  </si>
  <si>
    <t>Q96LA8</t>
  </si>
  <si>
    <t>Q96LJ7</t>
  </si>
  <si>
    <t>Q96LR5</t>
  </si>
  <si>
    <t>Q96LT7</t>
  </si>
  <si>
    <t>Q96LU5</t>
  </si>
  <si>
    <t>Q96LW7-2</t>
  </si>
  <si>
    <t>Q96M20-2</t>
  </si>
  <si>
    <t>Q96M27</t>
  </si>
  <si>
    <t>Q96MC6</t>
  </si>
  <si>
    <t>Q96MD7-1</t>
  </si>
  <si>
    <t>Q96ME1-4</t>
  </si>
  <si>
    <t>Q96MG7</t>
  </si>
  <si>
    <t>Q96MG8</t>
  </si>
  <si>
    <t>Q96MH2</t>
  </si>
  <si>
    <t>Q96MH6</t>
  </si>
  <si>
    <t>Q96MX3</t>
  </si>
  <si>
    <t>Q96MX6</t>
  </si>
  <si>
    <t>Q96MY1</t>
  </si>
  <si>
    <t>Q96N11-2</t>
  </si>
  <si>
    <t>Q96N16</t>
  </si>
  <si>
    <t>Q96N46</t>
  </si>
  <si>
    <t>Q96N66-2</t>
  </si>
  <si>
    <t>Q96N67-4</t>
  </si>
  <si>
    <t>Q96NB1</t>
  </si>
  <si>
    <t>Q96NB2</t>
  </si>
  <si>
    <t>Q96NB3</t>
  </si>
  <si>
    <t>Q96NC0</t>
  </si>
  <si>
    <t>Q96NJ6</t>
  </si>
  <si>
    <t>Q96NL8</t>
  </si>
  <si>
    <t>Q96NT0</t>
  </si>
  <si>
    <t>Q96NT1</t>
  </si>
  <si>
    <t>Q96P11-2</t>
  </si>
  <si>
    <t>Q96P16</t>
  </si>
  <si>
    <t>Q96P70</t>
  </si>
  <si>
    <t>Q96PD2</t>
  </si>
  <si>
    <t>Q96PE7</t>
  </si>
  <si>
    <t>Q96PK6</t>
  </si>
  <si>
    <t>Q96PM5</t>
  </si>
  <si>
    <t>Q96PU4</t>
  </si>
  <si>
    <t>Q96PU5-2</t>
  </si>
  <si>
    <t>Q96PU8-9</t>
  </si>
  <si>
    <t>Q96PV6-2</t>
  </si>
  <si>
    <t>Q96PY6-2</t>
  </si>
  <si>
    <t>Q96PZ0</t>
  </si>
  <si>
    <t>Q96PZ2</t>
  </si>
  <si>
    <t>Q96Q05-3</t>
  </si>
  <si>
    <t>Q96Q11-2</t>
  </si>
  <si>
    <t>Q96Q45-2</t>
  </si>
  <si>
    <t>Q96Q83</t>
  </si>
  <si>
    <t>Q96QC0</t>
  </si>
  <si>
    <t>Q96QD8</t>
  </si>
  <si>
    <t>Q96QE2</t>
  </si>
  <si>
    <t>Q96QF0-2</t>
  </si>
  <si>
    <t>Q96QK1</t>
  </si>
  <si>
    <t>Q96QR8</t>
  </si>
  <si>
    <t>Q96QV1</t>
  </si>
  <si>
    <t>Q96QZ7-6</t>
  </si>
  <si>
    <t>Q96R06</t>
  </si>
  <si>
    <t>Q96RD7-2</t>
  </si>
  <si>
    <t>Q96RE7</t>
  </si>
  <si>
    <t>Q96RG2</t>
  </si>
  <si>
    <t>Q96RL7-4</t>
  </si>
  <si>
    <t>Q96RN5-3</t>
  </si>
  <si>
    <t>Q96RP9</t>
  </si>
  <si>
    <t>Q96RR1</t>
  </si>
  <si>
    <t>Q96RR4-2</t>
  </si>
  <si>
    <t>Q96RS0</t>
  </si>
  <si>
    <t>Q96RS6</t>
  </si>
  <si>
    <t>Q96RT1-7</t>
  </si>
  <si>
    <t>Q96S19</t>
  </si>
  <si>
    <t>Q96S44</t>
  </si>
  <si>
    <t>Q96S52</t>
  </si>
  <si>
    <t>Q96S55-2</t>
  </si>
  <si>
    <t>Q96S59</t>
  </si>
  <si>
    <t>Q96S66</t>
  </si>
  <si>
    <t>Q96S82</t>
  </si>
  <si>
    <t>Q96S90</t>
  </si>
  <si>
    <t>Q96S94</t>
  </si>
  <si>
    <t>Q96S97</t>
  </si>
  <si>
    <t>Q96S99</t>
  </si>
  <si>
    <t>Q96SB3</t>
  </si>
  <si>
    <t>Q96SB4</t>
  </si>
  <si>
    <t>Q96SB8</t>
  </si>
  <si>
    <t>Q96SI1</t>
  </si>
  <si>
    <t>Q96SK2-2</t>
  </si>
  <si>
    <t>Q96SL8</t>
  </si>
  <si>
    <t>Q96SN7</t>
  </si>
  <si>
    <t>Q96ST2</t>
  </si>
  <si>
    <t>Q96ST3</t>
  </si>
  <si>
    <t>Q96SZ5</t>
  </si>
  <si>
    <t>Q96T37-2</t>
  </si>
  <si>
    <t>Q96T51</t>
  </si>
  <si>
    <t>Q96T58</t>
  </si>
  <si>
    <t>Q96T60</t>
  </si>
  <si>
    <t>Q96T76</t>
  </si>
  <si>
    <t>Q96T83</t>
  </si>
  <si>
    <t>Q96T88</t>
  </si>
  <si>
    <t>Q96TA1-2</t>
  </si>
  <si>
    <t>Q96TA2-3</t>
  </si>
  <si>
    <t>Q96TC7</t>
  </si>
  <si>
    <t>Q99081</t>
  </si>
  <si>
    <t>Q99417</t>
  </si>
  <si>
    <t>Q99426</t>
  </si>
  <si>
    <t>Q99436</t>
  </si>
  <si>
    <t>Q99442</t>
  </si>
  <si>
    <t>Q99447</t>
  </si>
  <si>
    <t>Q99459</t>
  </si>
  <si>
    <t>Q99460</t>
  </si>
  <si>
    <t>Q99470</t>
  </si>
  <si>
    <t>Q99471</t>
  </si>
  <si>
    <t>Q99487</t>
  </si>
  <si>
    <t>Q99490-2</t>
  </si>
  <si>
    <t>Q99496</t>
  </si>
  <si>
    <t>Q99497</t>
  </si>
  <si>
    <t>Q99501</t>
  </si>
  <si>
    <t>Q99504-2</t>
  </si>
  <si>
    <t>Q99519</t>
  </si>
  <si>
    <t>Q99523</t>
  </si>
  <si>
    <t>Q99536</t>
  </si>
  <si>
    <t>Q99543</t>
  </si>
  <si>
    <t>Q99549</t>
  </si>
  <si>
    <t>Q99567</t>
  </si>
  <si>
    <t>Q99570</t>
  </si>
  <si>
    <t>Q99575</t>
  </si>
  <si>
    <t>Q99583</t>
  </si>
  <si>
    <t>Q99595</t>
  </si>
  <si>
    <t>Q99598</t>
  </si>
  <si>
    <t>Q99608</t>
  </si>
  <si>
    <t>Q99611</t>
  </si>
  <si>
    <t>Q99614</t>
  </si>
  <si>
    <t>Q99615</t>
  </si>
  <si>
    <t>Q99618</t>
  </si>
  <si>
    <t>Q99622</t>
  </si>
  <si>
    <t>Q99623</t>
  </si>
  <si>
    <t>Q99633</t>
  </si>
  <si>
    <t>Q99638</t>
  </si>
  <si>
    <t>Q99653</t>
  </si>
  <si>
    <t>Q99661</t>
  </si>
  <si>
    <t>Q99674</t>
  </si>
  <si>
    <t>Q99704</t>
  </si>
  <si>
    <t>Q99707</t>
  </si>
  <si>
    <t>Q99714</t>
  </si>
  <si>
    <t>Q99719</t>
  </si>
  <si>
    <t>Q99720-4</t>
  </si>
  <si>
    <t>Q99733</t>
  </si>
  <si>
    <t>Q99747</t>
  </si>
  <si>
    <t>Q99757</t>
  </si>
  <si>
    <t>Q99766</t>
  </si>
  <si>
    <t>Q99795</t>
  </si>
  <si>
    <t>Q99797</t>
  </si>
  <si>
    <t>Q99805</t>
  </si>
  <si>
    <t>Q99808</t>
  </si>
  <si>
    <t>Q99816</t>
  </si>
  <si>
    <t>Q99829</t>
  </si>
  <si>
    <t>Q99832</t>
  </si>
  <si>
    <t>Q99856</t>
  </si>
  <si>
    <t>Q99879</t>
  </si>
  <si>
    <t>Q99952-2</t>
  </si>
  <si>
    <t>Q99956</t>
  </si>
  <si>
    <t>Q99961</t>
  </si>
  <si>
    <t>Q99963-4</t>
  </si>
  <si>
    <t>Q99986</t>
  </si>
  <si>
    <t>Q99996-5</t>
  </si>
  <si>
    <t>Q9BPW8</t>
  </si>
  <si>
    <t>Q9BPX3</t>
  </si>
  <si>
    <t>Q9BPX5</t>
  </si>
  <si>
    <t>Q9BPX7</t>
  </si>
  <si>
    <t>Q9BPZ3</t>
  </si>
  <si>
    <t>Q9BQ04</t>
  </si>
  <si>
    <t>Q9BQ39</t>
  </si>
  <si>
    <t>Q9BQ52</t>
  </si>
  <si>
    <t>Q9BQ61</t>
  </si>
  <si>
    <t>Q9BQ67</t>
  </si>
  <si>
    <t>Q9BQ69</t>
  </si>
  <si>
    <t>Q9BQ70</t>
  </si>
  <si>
    <t>Q9BQ95</t>
  </si>
  <si>
    <t>Q9BQA1</t>
  </si>
  <si>
    <t>Q9BQA9-2</t>
  </si>
  <si>
    <t>Q9BQC3</t>
  </si>
  <si>
    <t>Q9BQE9-4</t>
  </si>
  <si>
    <t>Q9BQF6-5</t>
  </si>
  <si>
    <t>Q9BQI0</t>
  </si>
  <si>
    <t>Q9BQI3-2</t>
  </si>
  <si>
    <t>Q9BQP7</t>
  </si>
  <si>
    <t>Q9BR61</t>
  </si>
  <si>
    <t>Q9BR76</t>
  </si>
  <si>
    <t>Q9BRA0-2</t>
  </si>
  <si>
    <t>Q9BRA2</t>
  </si>
  <si>
    <t>Q9BRB3-2</t>
  </si>
  <si>
    <t>Q9BRD0</t>
  </si>
  <si>
    <t>Q9BRF8</t>
  </si>
  <si>
    <t>Q9BRG1</t>
  </si>
  <si>
    <t>Q9BRJ2</t>
  </si>
  <si>
    <t>Q9BRK5</t>
  </si>
  <si>
    <t>Q9BRL6-2</t>
  </si>
  <si>
    <t>Q9BRP1</t>
  </si>
  <si>
    <t>Q9BRP4</t>
  </si>
  <si>
    <t>Q9BRP8-2</t>
  </si>
  <si>
    <t>Q9BRR0-2</t>
  </si>
  <si>
    <t>Q9BRR6-2</t>
  </si>
  <si>
    <t>Q9BRR8</t>
  </si>
  <si>
    <t>Q9BRS2</t>
  </si>
  <si>
    <t>Q9BRT2</t>
  </si>
  <si>
    <t>Q9BRT3</t>
  </si>
  <si>
    <t>Q9BRT9</t>
  </si>
  <si>
    <t>Q9BRV8</t>
  </si>
  <si>
    <t>Q9BRX2</t>
  </si>
  <si>
    <t>Q9BRX5</t>
  </si>
  <si>
    <t>Q9BRX8-2</t>
  </si>
  <si>
    <t>Q9BRX9</t>
  </si>
  <si>
    <t>Q9BRZ2</t>
  </si>
  <si>
    <t>Q9BS26</t>
  </si>
  <si>
    <t>Q9BSB4</t>
  </si>
  <si>
    <t>Q9BSD7</t>
  </si>
  <si>
    <t>Q9BSE4</t>
  </si>
  <si>
    <t>Q9BSF4</t>
  </si>
  <si>
    <t>Q9BSH4</t>
  </si>
  <si>
    <t>Q9BSH5</t>
  </si>
  <si>
    <t>Q9BSI4-2</t>
  </si>
  <si>
    <t>Q9BSJ5-3</t>
  </si>
  <si>
    <t>Q9BSJ8</t>
  </si>
  <si>
    <t>Q9BSK2</t>
  </si>
  <si>
    <t>Q9BSL1</t>
  </si>
  <si>
    <t>Q9BSR8</t>
  </si>
  <si>
    <t>Q9BSU1</t>
  </si>
  <si>
    <t>Q9BSV6</t>
  </si>
  <si>
    <t>Q9BSW2-2</t>
  </si>
  <si>
    <t>Q9BSY9-2</t>
  </si>
  <si>
    <t>Q9BT09</t>
  </si>
  <si>
    <t>Q9BT22</t>
  </si>
  <si>
    <t>Q9BT23</t>
  </si>
  <si>
    <t>Q9BT25-2</t>
  </si>
  <si>
    <t>Q9BT30</t>
  </si>
  <si>
    <t>Q9BT73</t>
  </si>
  <si>
    <t>Q9BT78</t>
  </si>
  <si>
    <t>Q9BT92</t>
  </si>
  <si>
    <t>Q9BTA9</t>
  </si>
  <si>
    <t>Q9BTA9-5</t>
  </si>
  <si>
    <t>Q9BTC0</t>
  </si>
  <si>
    <t>Q9BTE1</t>
  </si>
  <si>
    <t>Q9BTE3-2</t>
  </si>
  <si>
    <t>Q9BTE6</t>
  </si>
  <si>
    <t>Q9BTE7</t>
  </si>
  <si>
    <t>Q9BTL3</t>
  </si>
  <si>
    <t>Q9BTN0</t>
  </si>
  <si>
    <t>Q9BTT0</t>
  </si>
  <si>
    <t>Q9BTT4</t>
  </si>
  <si>
    <t>Q9BTT6</t>
  </si>
  <si>
    <t>Q9BTU6</t>
  </si>
  <si>
    <t>Q9BTV4</t>
  </si>
  <si>
    <t>Q9BTV5</t>
  </si>
  <si>
    <t>Q9BTV6</t>
  </si>
  <si>
    <t>Q9BTV7</t>
  </si>
  <si>
    <t>Q9BTX1-4</t>
  </si>
  <si>
    <t>Q9BTX7</t>
  </si>
  <si>
    <t>Q9BTY7</t>
  </si>
  <si>
    <t>Q9BTZ2</t>
  </si>
  <si>
    <t>Q9BU02</t>
  </si>
  <si>
    <t>Q9BU23-2</t>
  </si>
  <si>
    <t>Q9BU61</t>
  </si>
  <si>
    <t>Q9BU64</t>
  </si>
  <si>
    <t>Q9BU76-3</t>
  </si>
  <si>
    <t>Q9BU89</t>
  </si>
  <si>
    <t>Q9BUA3</t>
  </si>
  <si>
    <t>Q9BUB5-2</t>
  </si>
  <si>
    <t>Q9BUB7</t>
  </si>
  <si>
    <t>Q9BUE0</t>
  </si>
  <si>
    <t>Q9BUF5</t>
  </si>
  <si>
    <t>Q9BUH6</t>
  </si>
  <si>
    <t>Q9BUI4</t>
  </si>
  <si>
    <t>Q9BUJ2-2</t>
  </si>
  <si>
    <t>Q9BUL9</t>
  </si>
  <si>
    <t>Q9BUN5</t>
  </si>
  <si>
    <t>Q9BUP0</t>
  </si>
  <si>
    <t>Q9BUQ8</t>
  </si>
  <si>
    <t>Q9BUR4</t>
  </si>
  <si>
    <t>Q9BUT1</t>
  </si>
  <si>
    <t>Q9BUT9</t>
  </si>
  <si>
    <t>Q9BUW7</t>
  </si>
  <si>
    <t>Q9BV10</t>
  </si>
  <si>
    <t>Q9BV19</t>
  </si>
  <si>
    <t>Q9BV20</t>
  </si>
  <si>
    <t>Q9BV23</t>
  </si>
  <si>
    <t>Q9BV38</t>
  </si>
  <si>
    <t>Q9BV44</t>
  </si>
  <si>
    <t>Q9BV57</t>
  </si>
  <si>
    <t>Q9BV68-2</t>
  </si>
  <si>
    <t>Q9BV79</t>
  </si>
  <si>
    <t>Q9BV81</t>
  </si>
  <si>
    <t>Q9BV86</t>
  </si>
  <si>
    <t>Q9BVA0</t>
  </si>
  <si>
    <t>Q9BVC3</t>
  </si>
  <si>
    <t>Q9BVC4</t>
  </si>
  <si>
    <t>Q9BVC5</t>
  </si>
  <si>
    <t>Q9BVC6</t>
  </si>
  <si>
    <t>Q9BVI0</t>
  </si>
  <si>
    <t>Q9BVI4</t>
  </si>
  <si>
    <t>Q9BVJ6</t>
  </si>
  <si>
    <t>Q9BVK6</t>
  </si>
  <si>
    <t>Q9BVL2-3</t>
  </si>
  <si>
    <t>Q9BVL4</t>
  </si>
  <si>
    <t>Q9BVM4</t>
  </si>
  <si>
    <t>Q9BVP2-2</t>
  </si>
  <si>
    <t>Q9BVQ7</t>
  </si>
  <si>
    <t>Q9BVS4</t>
  </si>
  <si>
    <t>Q9BVS5</t>
  </si>
  <si>
    <t>Q9BVV7</t>
  </si>
  <si>
    <t>Q9BVW5</t>
  </si>
  <si>
    <t>Q9BW19</t>
  </si>
  <si>
    <t>Q9BW27</t>
  </si>
  <si>
    <t>Q9BW60</t>
  </si>
  <si>
    <t>Q9BW61</t>
  </si>
  <si>
    <t>Q9BW62</t>
  </si>
  <si>
    <t>Q9BW71</t>
  </si>
  <si>
    <t>Q9BW83</t>
  </si>
  <si>
    <t>Q9BW85</t>
  </si>
  <si>
    <t>Q9BW91-2</t>
  </si>
  <si>
    <t>Q9BW92</t>
  </si>
  <si>
    <t>Q9BWD1</t>
  </si>
  <si>
    <t>Q9BWE0</t>
  </si>
  <si>
    <t>Q9BWF3</t>
  </si>
  <si>
    <t>Q9BWG6</t>
  </si>
  <si>
    <t>Q9BWH2</t>
  </si>
  <si>
    <t>Q9BWH6</t>
  </si>
  <si>
    <t>Q9BWJ5</t>
  </si>
  <si>
    <t>Q9BWK5</t>
  </si>
  <si>
    <t>Q9BWM7</t>
  </si>
  <si>
    <t>Q9BWT3</t>
  </si>
  <si>
    <t>Q9BWT6</t>
  </si>
  <si>
    <t>Q9BWU0</t>
  </si>
  <si>
    <t>Q9BWW4-2</t>
  </si>
  <si>
    <t>Q9BX40</t>
  </si>
  <si>
    <t>Q9BX63</t>
  </si>
  <si>
    <t>Q9BX66-9</t>
  </si>
  <si>
    <t>Q9BX67</t>
  </si>
  <si>
    <t>Q9BX68</t>
  </si>
  <si>
    <t>Q9BX95</t>
  </si>
  <si>
    <t>Q9BXB4</t>
  </si>
  <si>
    <t>Q9BXF6</t>
  </si>
  <si>
    <t>Q9BXH1-2</t>
  </si>
  <si>
    <t>Q9BXI6</t>
  </si>
  <si>
    <t>Q9BXJ9</t>
  </si>
  <si>
    <t>Q9BXK1</t>
  </si>
  <si>
    <t>Q9BXK5</t>
  </si>
  <si>
    <t>Q9BXL5</t>
  </si>
  <si>
    <t>Q9BXL7</t>
  </si>
  <si>
    <t>Q9BXP2</t>
  </si>
  <si>
    <t>Q9BXP5-4</t>
  </si>
  <si>
    <t>Q9BXR0</t>
  </si>
  <si>
    <t>Q9BXS5</t>
  </si>
  <si>
    <t>Q9BXS6-2</t>
  </si>
  <si>
    <t>Q9BXV9</t>
  </si>
  <si>
    <t>Q9BXW6</t>
  </si>
  <si>
    <t>Q9BXW7-2</t>
  </si>
  <si>
    <t>Q9BXW9-2</t>
  </si>
  <si>
    <t>Q9BXY0</t>
  </si>
  <si>
    <t>Q9BY27</t>
  </si>
  <si>
    <t>Q9BY32</t>
  </si>
  <si>
    <t>Q9BY42</t>
  </si>
  <si>
    <t>Q9BY43</t>
  </si>
  <si>
    <t>Q9BY44</t>
  </si>
  <si>
    <t>Q9BY49</t>
  </si>
  <si>
    <t>Q9BY77</t>
  </si>
  <si>
    <t>Q9BYB4</t>
  </si>
  <si>
    <t>Q9BYC5</t>
  </si>
  <si>
    <t>Q9BYC8</t>
  </si>
  <si>
    <t>Q9BYD6</t>
  </si>
  <si>
    <t>Q9BYG5</t>
  </si>
  <si>
    <t>Q9BYM8</t>
  </si>
  <si>
    <t>Q9BYN0</t>
  </si>
  <si>
    <t>Q9BYN8</t>
  </si>
  <si>
    <t>Q9BYT3</t>
  </si>
  <si>
    <t>Q9BYT8</t>
  </si>
  <si>
    <t>Q9BYV8</t>
  </si>
  <si>
    <t>Q9BYW2</t>
  </si>
  <si>
    <t>Q9BYX2-3</t>
  </si>
  <si>
    <t>Q9BZ23-3</t>
  </si>
  <si>
    <t>Q9BZ67-2</t>
  </si>
  <si>
    <t>Q9BZ95-3</t>
  </si>
  <si>
    <t>Q9BZA5</t>
  </si>
  <si>
    <t>Q9BZD2</t>
  </si>
  <si>
    <t>Q9BZD4</t>
  </si>
  <si>
    <t>Q9BZE1</t>
  </si>
  <si>
    <t>Q9BZE2</t>
  </si>
  <si>
    <t>Q9BZE4</t>
  </si>
  <si>
    <t>Q9BZE9</t>
  </si>
  <si>
    <t>Q9BZF1-3</t>
  </si>
  <si>
    <t>Q9BZH6</t>
  </si>
  <si>
    <t>Q9BZI7-2</t>
  </si>
  <si>
    <t>Q9BZK7</t>
  </si>
  <si>
    <t>Q9BZL1</t>
  </si>
  <si>
    <t>Q9BZM1</t>
  </si>
  <si>
    <t>Q9BZM5</t>
  </si>
  <si>
    <t>Q9BZX2</t>
  </si>
  <si>
    <t>Q9BZZ5</t>
  </si>
  <si>
    <t>Q9BZZ5-2</t>
  </si>
  <si>
    <t>Q9C005</t>
  </si>
  <si>
    <t>Q9C026</t>
  </si>
  <si>
    <t>Q9C037-2</t>
  </si>
  <si>
    <t>Q9C073</t>
  </si>
  <si>
    <t>Q9C0B0</t>
  </si>
  <si>
    <t>Q9C0B1</t>
  </si>
  <si>
    <t>Q9C0B5-2</t>
  </si>
  <si>
    <t>Q9C0B7</t>
  </si>
  <si>
    <t>Q9C0C2</t>
  </si>
  <si>
    <t>Q9C0C4</t>
  </si>
  <si>
    <t>Q9C0C9</t>
  </si>
  <si>
    <t>Q9C0D3</t>
  </si>
  <si>
    <t>Q9C0D5-2</t>
  </si>
  <si>
    <t>Q9C0F1</t>
  </si>
  <si>
    <t>Q9C0H2-2</t>
  </si>
  <si>
    <t>Q9C0I1</t>
  </si>
  <si>
    <t>Q9C0J8</t>
  </si>
  <si>
    <t>Q9C0K0-2</t>
  </si>
  <si>
    <t>Q9C0K1-2</t>
  </si>
  <si>
    <t>Q9C0K7-2</t>
  </si>
  <si>
    <t>Q9GZL7</t>
  </si>
  <si>
    <t>Q9GZN1</t>
  </si>
  <si>
    <t>Q9GZN8</t>
  </si>
  <si>
    <t>Q9GZP4</t>
  </si>
  <si>
    <t>Q9GZP9</t>
  </si>
  <si>
    <t>Q9GZQ3</t>
  </si>
  <si>
    <t>Q9GZS1-2</t>
  </si>
  <si>
    <t>Q9GZS3</t>
  </si>
  <si>
    <t>Q9GZT3-2</t>
  </si>
  <si>
    <t>Q9GZT6-2</t>
  </si>
  <si>
    <t>Q9GZT8-2</t>
  </si>
  <si>
    <t>Q9GZT9</t>
  </si>
  <si>
    <t>Q9GZU8</t>
  </si>
  <si>
    <t>Q9GZX9</t>
  </si>
  <si>
    <t>Q9GZY8-2</t>
  </si>
  <si>
    <t>Q9GZY8-4</t>
  </si>
  <si>
    <t>Q9GZZ9</t>
  </si>
  <si>
    <t>Q9H008</t>
  </si>
  <si>
    <t>Q9H019-3</t>
  </si>
  <si>
    <t>Q9H061</t>
  </si>
  <si>
    <t>Q9H074</t>
  </si>
  <si>
    <t>Q9H078-2</t>
  </si>
  <si>
    <t>Q9H081</t>
  </si>
  <si>
    <t>Q9H082</t>
  </si>
  <si>
    <t>Q9H089</t>
  </si>
  <si>
    <t>Q9H0A0</t>
  </si>
  <si>
    <t>Q9H0A8</t>
  </si>
  <si>
    <t>Q9H0B6</t>
  </si>
  <si>
    <t>Q9H0C8</t>
  </si>
  <si>
    <t>Q9H0D6</t>
  </si>
  <si>
    <t>Q9H0E2</t>
  </si>
  <si>
    <t>Q9H0F6-2</t>
  </si>
  <si>
    <t>Q9H0F7</t>
  </si>
  <si>
    <t>Q9H0G5</t>
  </si>
  <si>
    <t>Q9H0H5</t>
  </si>
  <si>
    <t>Q9H0J9</t>
  </si>
  <si>
    <t>Q9H0K6</t>
  </si>
  <si>
    <t>Q9H0L4</t>
  </si>
  <si>
    <t>Q9H0P0</t>
  </si>
  <si>
    <t>Q9H0R4</t>
  </si>
  <si>
    <t>Q9H0R6</t>
  </si>
  <si>
    <t>Q9H0S4-2</t>
  </si>
  <si>
    <t>Q9H0U3</t>
  </si>
  <si>
    <t>Q9H0U4</t>
  </si>
  <si>
    <t>Q9H0U9</t>
  </si>
  <si>
    <t>Q9H0V9</t>
  </si>
  <si>
    <t>Q9H0W8</t>
  </si>
  <si>
    <t>Q9H0W9</t>
  </si>
  <si>
    <t>Q9H0X4</t>
  </si>
  <si>
    <t>Q9H115</t>
  </si>
  <si>
    <t>Q9H147</t>
  </si>
  <si>
    <t>Q9H173</t>
  </si>
  <si>
    <t>Q9H1A3-2</t>
  </si>
  <si>
    <t>Q9H1A4</t>
  </si>
  <si>
    <t>Q9H1B7</t>
  </si>
  <si>
    <t>Q9H1D9</t>
  </si>
  <si>
    <t>Q9H1E3</t>
  </si>
  <si>
    <t>Q9H1E5</t>
  </si>
  <si>
    <t>Q9H1I8-3</t>
  </si>
  <si>
    <t>Q9H1J1-2</t>
  </si>
  <si>
    <t>Q9H1K0</t>
  </si>
  <si>
    <t>Q9H1K1</t>
  </si>
  <si>
    <t>Q9H1Y0</t>
  </si>
  <si>
    <t>Q9H1Z4</t>
  </si>
  <si>
    <t>Q9H204</t>
  </si>
  <si>
    <t>Q9H223</t>
  </si>
  <si>
    <t>Q9H246</t>
  </si>
  <si>
    <t>Q9H254-4</t>
  </si>
  <si>
    <t>Q9H267</t>
  </si>
  <si>
    <t>Q9H269</t>
  </si>
  <si>
    <t>Q9H270</t>
  </si>
  <si>
    <t>Q9H2C0</t>
  </si>
  <si>
    <t>Q9H2D1</t>
  </si>
  <si>
    <t>Q9H2D6-5</t>
  </si>
  <si>
    <t>Q9H2G2-2</t>
  </si>
  <si>
    <t>Q9H2H8</t>
  </si>
  <si>
    <t>Q9H2J4</t>
  </si>
  <si>
    <t>Q9H2K0</t>
  </si>
  <si>
    <t>Q9H2K8</t>
  </si>
  <si>
    <t>Q9H2M9</t>
  </si>
  <si>
    <t>Q9H2P0</t>
  </si>
  <si>
    <t>Q9H2P9</t>
  </si>
  <si>
    <t>Q9H2U2</t>
  </si>
  <si>
    <t>Q9H2W2</t>
  </si>
  <si>
    <t>Q9H2W6</t>
  </si>
  <si>
    <t>Q9H2Y7</t>
  </si>
  <si>
    <t>Q9H300</t>
  </si>
  <si>
    <t>Q9H307</t>
  </si>
  <si>
    <t>Q9H330-2</t>
  </si>
  <si>
    <t>Q9H3C7</t>
  </si>
  <si>
    <t>Q9H3F6</t>
  </si>
  <si>
    <t>Q9H3G5</t>
  </si>
  <si>
    <t>Q9H3H1</t>
  </si>
  <si>
    <t>Q9H3H3-2</t>
  </si>
  <si>
    <t>Q9H3H5-2</t>
  </si>
  <si>
    <t>Q9H3K6</t>
  </si>
  <si>
    <t>Q9H3N1</t>
  </si>
  <si>
    <t>Q9H3P2</t>
  </si>
  <si>
    <t>Q9H3P7</t>
  </si>
  <si>
    <t>Q9H3R5</t>
  </si>
  <si>
    <t>Q9H3S7</t>
  </si>
  <si>
    <t>Q9H3U1-2</t>
  </si>
  <si>
    <t>Q9H3U5-3</t>
  </si>
  <si>
    <t>Q9H3Z4-2</t>
  </si>
  <si>
    <t>Q9H400</t>
  </si>
  <si>
    <t>Q9H410</t>
  </si>
  <si>
    <t>Q9H425</t>
  </si>
  <si>
    <t>Q9H444</t>
  </si>
  <si>
    <t>Q9H467</t>
  </si>
  <si>
    <t>Q9H477</t>
  </si>
  <si>
    <t>Q9H488</t>
  </si>
  <si>
    <t>Q9H490-2</t>
  </si>
  <si>
    <t>Q9H496</t>
  </si>
  <si>
    <t>Q9H497</t>
  </si>
  <si>
    <t>Q9H4A4</t>
  </si>
  <si>
    <t>Q9H4A5</t>
  </si>
  <si>
    <t>Q9H4A6</t>
  </si>
  <si>
    <t>Q9H4B0</t>
  </si>
  <si>
    <t>Q9H4E7</t>
  </si>
  <si>
    <t>Q9H4G4</t>
  </si>
  <si>
    <t>Q9H4H8-2</t>
  </si>
  <si>
    <t>Q9H4I2</t>
  </si>
  <si>
    <t>Q9H4L5-2</t>
  </si>
  <si>
    <t>Q9H4L7-2</t>
  </si>
  <si>
    <t>Q9H4M9</t>
  </si>
  <si>
    <t>Q9H4P4-2</t>
  </si>
  <si>
    <t>Q9H4X1-2</t>
  </si>
  <si>
    <t>Q9H4Z3</t>
  </si>
  <si>
    <t>Q9H501</t>
  </si>
  <si>
    <t>Q9H553</t>
  </si>
  <si>
    <t>Q9H583</t>
  </si>
  <si>
    <t>Q9H5K3</t>
  </si>
  <si>
    <t>Q9H5N1</t>
  </si>
  <si>
    <t>Q9H5Q4</t>
  </si>
  <si>
    <t>Q9H5V9-3</t>
  </si>
  <si>
    <t>Q9H5X1</t>
  </si>
  <si>
    <t>Q9H6D7</t>
  </si>
  <si>
    <t>Q9H6E4</t>
  </si>
  <si>
    <t>Q9H6F5</t>
  </si>
  <si>
    <t>Q9H6H4</t>
  </si>
  <si>
    <t>Q9H6K1</t>
  </si>
  <si>
    <t>Q9H6K4</t>
  </si>
  <si>
    <t>Q9H6L2</t>
  </si>
  <si>
    <t>Q9H6L5</t>
  </si>
  <si>
    <t>Q9H6P5</t>
  </si>
  <si>
    <t>Q9H6Q4</t>
  </si>
  <si>
    <t>Q9H6R0</t>
  </si>
  <si>
    <t>Q9H6R4-4</t>
  </si>
  <si>
    <t>Q9H6R6-2</t>
  </si>
  <si>
    <t>Q9H6S0</t>
  </si>
  <si>
    <t>Q9H6T3</t>
  </si>
  <si>
    <t>Q9H6U6-2</t>
  </si>
  <si>
    <t>Q9H6U8</t>
  </si>
  <si>
    <t>Q9H6W3</t>
  </si>
  <si>
    <t>Q9H6X2</t>
  </si>
  <si>
    <t>Q9H6Y2</t>
  </si>
  <si>
    <t>Q9H6Z4-3</t>
  </si>
  <si>
    <t>Q9H773</t>
  </si>
  <si>
    <t>Q9H777</t>
  </si>
  <si>
    <t>Q9H7B4</t>
  </si>
  <si>
    <t>Q9H7D7-2</t>
  </si>
  <si>
    <t>Q9H7E2-3</t>
  </si>
  <si>
    <t>Q9H7E9</t>
  </si>
  <si>
    <t>Q9H7F0</t>
  </si>
  <si>
    <t>Q9H7F4</t>
  </si>
  <si>
    <t>Q9H7H0-3</t>
  </si>
  <si>
    <t>Q9H7J1</t>
  </si>
  <si>
    <t>Q9H7L9</t>
  </si>
  <si>
    <t>Q9H7M9</t>
  </si>
  <si>
    <t>Q9H7N4</t>
  </si>
  <si>
    <t>Q9H7U1-3</t>
  </si>
  <si>
    <t>Q9H7X3</t>
  </si>
  <si>
    <t>Q9H7Z3</t>
  </si>
  <si>
    <t>Q9H7Z6</t>
  </si>
  <si>
    <t>Q9H7Z7</t>
  </si>
  <si>
    <t>Q9H813</t>
  </si>
  <si>
    <t>Q9H814</t>
  </si>
  <si>
    <t>Q9H832</t>
  </si>
  <si>
    <t>Q9H845</t>
  </si>
  <si>
    <t>Q9H857-2</t>
  </si>
  <si>
    <t>Q9H867-2</t>
  </si>
  <si>
    <t>Q9H871</t>
  </si>
  <si>
    <t>Q9H875</t>
  </si>
  <si>
    <t>Q9H8G2</t>
  </si>
  <si>
    <t>Q9H8H0</t>
  </si>
  <si>
    <t>Q9H8M2-2</t>
  </si>
  <si>
    <t>Q9H8M5-3</t>
  </si>
  <si>
    <t>Q9H8M7</t>
  </si>
  <si>
    <t>Q9H8P0</t>
  </si>
  <si>
    <t>Q9H8S9</t>
  </si>
  <si>
    <t>Q9H8U3</t>
  </si>
  <si>
    <t>Q9H8W3</t>
  </si>
  <si>
    <t>Q9H8W4</t>
  </si>
  <si>
    <t>Q9H8Y5</t>
  </si>
  <si>
    <t>Q9H8Y8</t>
  </si>
  <si>
    <t>Q9H900</t>
  </si>
  <si>
    <t>Q9H903-1</t>
  </si>
  <si>
    <t>Q9H910-2</t>
  </si>
  <si>
    <t>Q9H936</t>
  </si>
  <si>
    <t>Q9H944</t>
  </si>
  <si>
    <t>Q9H974</t>
  </si>
  <si>
    <t>Q9H977</t>
  </si>
  <si>
    <t>Q9H981</t>
  </si>
  <si>
    <t>Q9H993</t>
  </si>
  <si>
    <t>Q9H999</t>
  </si>
  <si>
    <t>Q9H9A5-2</t>
  </si>
  <si>
    <t>Q9H9A6</t>
  </si>
  <si>
    <t>Q9H9A7</t>
  </si>
  <si>
    <t>Q9H9B4</t>
  </si>
  <si>
    <t>Q9H9F9</t>
  </si>
  <si>
    <t>Q9H9G7</t>
  </si>
  <si>
    <t>Q9H9H4</t>
  </si>
  <si>
    <t>Q9H9P8</t>
  </si>
  <si>
    <t>Q9H9Q4</t>
  </si>
  <si>
    <t>Q9H9S5</t>
  </si>
  <si>
    <t>Q9H9T3-2</t>
  </si>
  <si>
    <t>Q9H9V9-2</t>
  </si>
  <si>
    <t>Q9H9Y4</t>
  </si>
  <si>
    <t>Q9H9Y6</t>
  </si>
  <si>
    <t>Q9HA38-2</t>
  </si>
  <si>
    <t>Q9HA47-3</t>
  </si>
  <si>
    <t>Q9HA64</t>
  </si>
  <si>
    <t>Q9HA65</t>
  </si>
  <si>
    <t>Q9HA77</t>
  </si>
  <si>
    <t>Q9HA92</t>
  </si>
  <si>
    <t>Q9HAB8</t>
  </si>
  <si>
    <t>Q9HAD4</t>
  </si>
  <si>
    <t>Q9HAF1-2</t>
  </si>
  <si>
    <t>Q9HAJ7</t>
  </si>
  <si>
    <t>Q9HAN9</t>
  </si>
  <si>
    <t>Q9HAT2-2</t>
  </si>
  <si>
    <t>Q9HAT8</t>
  </si>
  <si>
    <t>Q9HAU5</t>
  </si>
  <si>
    <t>Q9HAV4</t>
  </si>
  <si>
    <t>Q9HAV7</t>
  </si>
  <si>
    <t>Q9HAW4</t>
  </si>
  <si>
    <t>Q9HB07</t>
  </si>
  <si>
    <t>Q9HB09</t>
  </si>
  <si>
    <t>Q9HB19</t>
  </si>
  <si>
    <t>Q9HB20</t>
  </si>
  <si>
    <t>Q9HB21</t>
  </si>
  <si>
    <t>Q9HB40</t>
  </si>
  <si>
    <t>Q9HB71</t>
  </si>
  <si>
    <t>Q9HB90</t>
  </si>
  <si>
    <t>Q9HBD4</t>
  </si>
  <si>
    <t>Q9HBF4</t>
  </si>
  <si>
    <t>Q9HBH0</t>
  </si>
  <si>
    <t>Q9HBH1</t>
  </si>
  <si>
    <t>Q9HBH5</t>
  </si>
  <si>
    <t>Q9HBI0</t>
  </si>
  <si>
    <t>Q9HBL7</t>
  </si>
  <si>
    <t>Q9HBL8</t>
  </si>
  <si>
    <t>Q9HBM1</t>
  </si>
  <si>
    <t>Q9HBM6</t>
  </si>
  <si>
    <t>Q9HBM8</t>
  </si>
  <si>
    <t>Q9HBR0</t>
  </si>
  <si>
    <t>Q9HBU6</t>
  </si>
  <si>
    <t>Q9HC21</t>
  </si>
  <si>
    <t>Q9HC35</t>
  </si>
  <si>
    <t>Q9HC36</t>
  </si>
  <si>
    <t>Q9HC38-2</t>
  </si>
  <si>
    <t>Q9HC44</t>
  </si>
  <si>
    <t>Q9HC52</t>
  </si>
  <si>
    <t>Q9HCC0</t>
  </si>
  <si>
    <t>Q9HCD5</t>
  </si>
  <si>
    <t>Q9HCE1</t>
  </si>
  <si>
    <t>Q9HCE5</t>
  </si>
  <si>
    <t>Q9HCJ0</t>
  </si>
  <si>
    <t>Q9HCJ1</t>
  </si>
  <si>
    <t>Q9HCJ3-2</t>
  </si>
  <si>
    <t>Q9HCK8</t>
  </si>
  <si>
    <t>Q9HCL2</t>
  </si>
  <si>
    <t>Q9HCL3</t>
  </si>
  <si>
    <t>Q9HCN3</t>
  </si>
  <si>
    <t>Q9HCN4</t>
  </si>
  <si>
    <t>Q9HCN8</t>
  </si>
  <si>
    <t>Q9HCP0-2</t>
  </si>
  <si>
    <t>Q9HCU5</t>
  </si>
  <si>
    <t>Q9HD15</t>
  </si>
  <si>
    <t>Q9HD20-2</t>
  </si>
  <si>
    <t>Q9HD26</t>
  </si>
  <si>
    <t>Q9HD34</t>
  </si>
  <si>
    <t>Q9HD40</t>
  </si>
  <si>
    <t>Q9HD42</t>
  </si>
  <si>
    <t>Q9HD45</t>
  </si>
  <si>
    <t>Q9HD47</t>
  </si>
  <si>
    <t>Q9HD89</t>
  </si>
  <si>
    <t>Q9HDC5</t>
  </si>
  <si>
    <t>Q9HDC9</t>
  </si>
  <si>
    <t>Q9NP58-4</t>
  </si>
  <si>
    <t>Q9NP66</t>
  </si>
  <si>
    <t>Q9NP72</t>
  </si>
  <si>
    <t>Q9NP73-2</t>
  </si>
  <si>
    <t>Q9NP77</t>
  </si>
  <si>
    <t>Q9NP79</t>
  </si>
  <si>
    <t>Q9NP92</t>
  </si>
  <si>
    <t>Q9NPA0</t>
  </si>
  <si>
    <t>Q9NPA3</t>
  </si>
  <si>
    <t>Q9NPA8-2</t>
  </si>
  <si>
    <t>Q9NPB8</t>
  </si>
  <si>
    <t>Q9NPD3</t>
  </si>
  <si>
    <t>Q9NPD7</t>
  </si>
  <si>
    <t>Q9NPD8</t>
  </si>
  <si>
    <t>Q9NPE2</t>
  </si>
  <si>
    <t>Q9NPE3</t>
  </si>
  <si>
    <t>Q9NPF0</t>
  </si>
  <si>
    <t>Q9NPF4</t>
  </si>
  <si>
    <t>Q9NPH0</t>
  </si>
  <si>
    <t>Q9NPH3</t>
  </si>
  <si>
    <t>Q9NPI6</t>
  </si>
  <si>
    <t>Q9NPJ3-2</t>
  </si>
  <si>
    <t>Q9NPJ8-3</t>
  </si>
  <si>
    <t>Q9NPL8</t>
  </si>
  <si>
    <t>Q9NPQ8-4</t>
  </si>
  <si>
    <t>Q9NPR9</t>
  </si>
  <si>
    <t>Q9NQ29</t>
  </si>
  <si>
    <t>Q9NQ34</t>
  </si>
  <si>
    <t>Q9NQ55-2</t>
  </si>
  <si>
    <t>Q9NQ88</t>
  </si>
  <si>
    <t>Q9NQ92</t>
  </si>
  <si>
    <t>Q9NQC3</t>
  </si>
  <si>
    <t>Q9NQC3-5</t>
  </si>
  <si>
    <t>Q9NQE9</t>
  </si>
  <si>
    <t>Q9NQG1</t>
  </si>
  <si>
    <t>Q9NQG5</t>
  </si>
  <si>
    <t>Q9NQH7-2</t>
  </si>
  <si>
    <t>Q9NQP4</t>
  </si>
  <si>
    <t>Q9NQR4</t>
  </si>
  <si>
    <t>Q9NQS1</t>
  </si>
  <si>
    <t>Q9NQT4</t>
  </si>
  <si>
    <t>Q9NQT5</t>
  </si>
  <si>
    <t>Q9NQT8</t>
  </si>
  <si>
    <t>Q9NQW6</t>
  </si>
  <si>
    <t>Q9NQW7-3</t>
  </si>
  <si>
    <t>Q9NQX3</t>
  </si>
  <si>
    <t>Q9NQZ2</t>
  </si>
  <si>
    <t>Q9NQZ5</t>
  </si>
  <si>
    <t>Q9NQZ6-3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</si>
  <si>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</si>
  <si>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</si>
  <si>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</si>
  <si>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</si>
  <si>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</si>
  <si>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</si>
  <si>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</si>
  <si>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</si>
  <si>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Q9NR55</t>
  </si>
  <si>
    <t>Q9NR77</t>
  </si>
  <si>
    <t>Q9NRA2</t>
  </si>
  <si>
    <t>Q9NRD5</t>
  </si>
  <si>
    <t>Q9NRF9</t>
  </si>
  <si>
    <t>Q9NRG0</t>
  </si>
  <si>
    <t>Q9NRG4</t>
  </si>
  <si>
    <t>Q9NRG7-2</t>
  </si>
  <si>
    <t>Q9NRG9</t>
  </si>
  <si>
    <t>Q9NRH1</t>
  </si>
  <si>
    <t>Q9NRK6</t>
  </si>
  <si>
    <t>Q9NRL2-2</t>
  </si>
  <si>
    <t>Q9NRL3</t>
  </si>
  <si>
    <t>Q9NRN7</t>
  </si>
  <si>
    <t>Q9NRN9</t>
  </si>
  <si>
    <t>Q9NRP0</t>
  </si>
  <si>
    <t>Q9NRP2</t>
  </si>
  <si>
    <t>Q9NRP4</t>
  </si>
  <si>
    <t>Q9NRR5</t>
  </si>
  <si>
    <t>Q9NRR8</t>
  </si>
  <si>
    <t>Q9NRS6</t>
  </si>
  <si>
    <t>Q9NRV9</t>
  </si>
  <si>
    <t>Q9NRW1</t>
  </si>
  <si>
    <t>Q9NRW7</t>
  </si>
  <si>
    <t>Q9NRX1</t>
  </si>
  <si>
    <t>Q9NRX4</t>
  </si>
  <si>
    <t>Q9NRY2</t>
  </si>
  <si>
    <t>Q9NRY4</t>
  </si>
  <si>
    <t>Q9NRY5</t>
  </si>
  <si>
    <t>Q9NRY6</t>
  </si>
  <si>
    <t>Q9NRZ5</t>
  </si>
  <si>
    <t>Q9NRZ7-2</t>
  </si>
  <si>
    <t>Q9NRZ9-2</t>
  </si>
  <si>
    <t>Q9NS69</t>
  </si>
  <si>
    <t>Q9NS86</t>
  </si>
  <si>
    <t>Q9NS87</t>
  </si>
  <si>
    <t>Q9NS91</t>
  </si>
  <si>
    <t>Q9NS93</t>
  </si>
  <si>
    <t>Q9NSA3</t>
  </si>
  <si>
    <t>Q9NSB8-2</t>
  </si>
  <si>
    <t>Q9NSC5-5</t>
  </si>
  <si>
    <t>Q9NSD9</t>
  </si>
  <si>
    <t>Q9NSE4</t>
  </si>
  <si>
    <t>Q9NSI2-2</t>
  </si>
  <si>
    <t>Q9NSI8-3</t>
  </si>
  <si>
    <t>Q9NSK0</t>
  </si>
  <si>
    <t>Q9NSU2-2</t>
  </si>
  <si>
    <t>Q9NSY1</t>
  </si>
  <si>
    <t>Q9NT62</t>
  </si>
  <si>
    <t>Q9NTG7</t>
  </si>
  <si>
    <t>Q9NTI5-2</t>
  </si>
  <si>
    <t>Q9NTJ3</t>
  </si>
  <si>
    <t>Q9NTJ5</t>
  </si>
  <si>
    <t>Q9NTK5-2</t>
  </si>
  <si>
    <t>Q9NTM9</t>
  </si>
  <si>
    <t>Q9NTN3</t>
  </si>
  <si>
    <t>Q9NTX5-2</t>
  </si>
  <si>
    <t>Q9NTZ6</t>
  </si>
  <si>
    <t>Q9NU19</t>
  </si>
  <si>
    <t>Q9NU22</t>
  </si>
  <si>
    <t>Q9NU23</t>
  </si>
  <si>
    <t>Q9NUB1-2</t>
  </si>
  <si>
    <t>Q9NUD5</t>
  </si>
  <si>
    <t>Q9NUE0</t>
  </si>
  <si>
    <t>Q9NUG6</t>
  </si>
  <si>
    <t>Q9NUJ1</t>
  </si>
  <si>
    <t>Q9NUL5-3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</si>
  <si>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</si>
  <si>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</si>
  <si>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</si>
  <si>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</si>
  <si>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</si>
  <si>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</si>
  <si>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</si>
  <si>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</si>
  <si>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</si>
  <si>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</si>
  <si>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Q9NUS5</t>
  </si>
  <si>
    <t>Q9NUU7</t>
  </si>
  <si>
    <t>Q9NUW8</t>
  </si>
  <si>
    <t>Q9NUX5-2</t>
  </si>
  <si>
    <t>Q9NV06</t>
  </si>
  <si>
    <t>Q9NV31</t>
  </si>
  <si>
    <t>Q9NV35</t>
  </si>
  <si>
    <t>Q9NV56</t>
  </si>
  <si>
    <t>Q9NV70-2</t>
  </si>
  <si>
    <t>Q9NV88-3</t>
  </si>
  <si>
    <t>Q9NV96</t>
  </si>
  <si>
    <t>Q9NVA1</t>
  </si>
  <si>
    <t>Q9NVA4</t>
  </si>
  <si>
    <t>Q9NVC3</t>
  </si>
  <si>
    <t>Q9NVC6</t>
  </si>
  <si>
    <t>Q9NVE7</t>
  </si>
  <si>
    <t>Q9NVF7</t>
  </si>
  <si>
    <t>Q9NVG8</t>
  </si>
  <si>
    <t>Q9NVH0</t>
  </si>
  <si>
    <t>Q9NVH1</t>
  </si>
  <si>
    <t>Q9NVH2-3</t>
  </si>
  <si>
    <t>Q9NVH6-7</t>
  </si>
  <si>
    <t>Q9NVI1</t>
  </si>
  <si>
    <t>Q9NVI7-2</t>
  </si>
  <si>
    <t>Q9NVJ2</t>
  </si>
  <si>
    <t>Q9NVK5-2</t>
  </si>
  <si>
    <t>Q9NVM4-3</t>
  </si>
  <si>
    <t>Q9NVM6</t>
  </si>
  <si>
    <t>Q9NVM9</t>
  </si>
  <si>
    <t>Q9NVN8</t>
  </si>
  <si>
    <t>Q9NVP1</t>
  </si>
  <si>
    <t>Q9NVP2</t>
  </si>
  <si>
    <t>Q9NVR0</t>
  </si>
  <si>
    <t>Q9NVR2</t>
  </si>
  <si>
    <t>Q9NVR5</t>
  </si>
  <si>
    <t>Q9NVS9</t>
  </si>
  <si>
    <t>Q9NVT9</t>
  </si>
  <si>
    <t>Q9NVU0-5</t>
  </si>
  <si>
    <t>Q9NVU7</t>
  </si>
  <si>
    <t>Q9NVV0</t>
  </si>
  <si>
    <t>Q9NVV4</t>
  </si>
  <si>
    <t>Q9NVW2</t>
  </si>
  <si>
    <t>Q9NVX0-2</t>
  </si>
  <si>
    <t>Q9NVX2</t>
  </si>
  <si>
    <t>Q9NVX7</t>
  </si>
  <si>
    <t>Q9NVZ3</t>
  </si>
  <si>
    <t>Q9NW08-2</t>
  </si>
  <si>
    <t>Q9NW64</t>
  </si>
  <si>
    <t>Q9NW75-2</t>
  </si>
  <si>
    <t>Q9NW81</t>
  </si>
  <si>
    <t>Q9NW82</t>
  </si>
  <si>
    <t>Q9NWA0</t>
  </si>
  <si>
    <t>Q9NWB6</t>
  </si>
  <si>
    <t>Q9NWD8</t>
  </si>
  <si>
    <t>Q9NWH2</t>
  </si>
  <si>
    <t>Q9NWH9</t>
  </si>
  <si>
    <t>Q9NWK9</t>
  </si>
  <si>
    <t>Q9NWM8</t>
  </si>
  <si>
    <t>Q9NWQ8</t>
  </si>
  <si>
    <t>Q9NWQ9</t>
  </si>
  <si>
    <t>Q9NWR8</t>
  </si>
  <si>
    <t>Q9NWS0</t>
  </si>
  <si>
    <t>Q9NWS6</t>
  </si>
  <si>
    <t>Q9NWS8</t>
  </si>
  <si>
    <t>Q9NWT1</t>
  </si>
  <si>
    <t>Q9NWT6</t>
  </si>
  <si>
    <t>Q9NWU1</t>
  </si>
  <si>
    <t>Q9NWU2</t>
  </si>
  <si>
    <t>Q9NWV4</t>
  </si>
  <si>
    <t>Q9NWW6</t>
  </si>
  <si>
    <t>Q9NWX5</t>
  </si>
  <si>
    <t>Q9NWX6</t>
  </si>
  <si>
    <t>Q9NWY4</t>
  </si>
  <si>
    <t>Q9NWZ3</t>
  </si>
  <si>
    <t>Q9NWZ5</t>
  </si>
  <si>
    <t>Q9NWZ8</t>
  </si>
  <si>
    <t>Q9NX00</t>
  </si>
  <si>
    <t>Q9NX01</t>
  </si>
  <si>
    <t>Q9NX04</t>
  </si>
  <si>
    <t>Q9NX07</t>
  </si>
  <si>
    <t>Q9NX08</t>
  </si>
  <si>
    <t>Q9NX14-2</t>
  </si>
  <si>
    <t>Q9NX20</t>
  </si>
  <si>
    <t>Q9NX24</t>
  </si>
  <si>
    <t>Q9NX38</t>
  </si>
  <si>
    <t>Q9NX40</t>
  </si>
  <si>
    <t>Q9NX46</t>
  </si>
  <si>
    <t>Q9NX47</t>
  </si>
  <si>
    <t>Q9NX55</t>
  </si>
  <si>
    <t>Q9NX58</t>
  </si>
  <si>
    <t>Q9NX62</t>
  </si>
  <si>
    <t>Q9NX70</t>
  </si>
  <si>
    <t>Q9NX74</t>
  </si>
  <si>
    <t>Q9NX76</t>
  </si>
  <si>
    <t>Q9NX94</t>
  </si>
  <si>
    <t>Q9NXA8</t>
  </si>
  <si>
    <t>Q9NXC2</t>
  </si>
  <si>
    <t>Q9NXC5</t>
  </si>
  <si>
    <t>Q9NXE8</t>
  </si>
  <si>
    <t>Q9NXF7</t>
  </si>
  <si>
    <t>Q9NXH9</t>
  </si>
  <si>
    <t>Q9NXK8</t>
  </si>
  <si>
    <t>Q9NXN4-2</t>
  </si>
  <si>
    <t>Q9NXR1-2</t>
  </si>
  <si>
    <t>Q9NXR5</t>
  </si>
  <si>
    <t>Q9NXR7</t>
  </si>
  <si>
    <t>Q9NXS2</t>
  </si>
  <si>
    <t>Q9NXU5</t>
  </si>
  <si>
    <t>Q9NXV2</t>
  </si>
  <si>
    <t>Q9NXV6</t>
  </si>
  <si>
    <t>Q9NXW9</t>
  </si>
  <si>
    <t>Q9NXX6</t>
  </si>
  <si>
    <t>Q9NY12-2</t>
  </si>
  <si>
    <t>Q9NY27</t>
  </si>
  <si>
    <t>Q9NY93-2</t>
  </si>
  <si>
    <t>Q9NYA1</t>
  </si>
  <si>
    <t>Q9NYB0</t>
  </si>
  <si>
    <t>Q9NYF8-2</t>
  </si>
  <si>
    <t>Q9NYH9</t>
  </si>
  <si>
    <t>Q9NYJ1</t>
  </si>
  <si>
    <t>Q9NYK5</t>
  </si>
  <si>
    <t>Q9NYL2</t>
  </si>
  <si>
    <t>Q9NYL2-2</t>
  </si>
  <si>
    <t>Q9NYL9</t>
  </si>
  <si>
    <t>Q9NYM9</t>
  </si>
  <si>
    <t>Q9NYP9</t>
  </si>
  <si>
    <t>Q9NYS0</t>
  </si>
  <si>
    <t>Q9NYU1</t>
  </si>
  <si>
    <t>Q9NYU2-2</t>
  </si>
  <si>
    <t>Q9NYV4-2</t>
  </si>
  <si>
    <t>Q9NYY8</t>
  </si>
  <si>
    <t>Q9NYZ2</t>
  </si>
  <si>
    <t>Q9NYZ3</t>
  </si>
  <si>
    <t>Q9NZ01</t>
  </si>
  <si>
    <t>Q9NZ08</t>
  </si>
  <si>
    <t>Q9NZ09</t>
  </si>
  <si>
    <t>Q9NZ32</t>
  </si>
  <si>
    <t>Q9NZ43</t>
  </si>
  <si>
    <t>Q9NZ45</t>
  </si>
  <si>
    <t>Q9NZ52</t>
  </si>
  <si>
    <t>Q9NZ63</t>
  </si>
  <si>
    <t>Q9NZA1-3</t>
  </si>
  <si>
    <t>Q9NZB2</t>
  </si>
  <si>
    <t>Q9NZB8-2</t>
  </si>
  <si>
    <t>Q9NZC3</t>
  </si>
  <si>
    <t>Q9NZC7</t>
  </si>
  <si>
    <t>Q9NZC9</t>
  </si>
  <si>
    <t>Q9NZD2</t>
  </si>
  <si>
    <t>Q9NZD8-2</t>
  </si>
  <si>
    <t>Q9NZG7</t>
  </si>
  <si>
    <t>Q9NZI7</t>
  </si>
  <si>
    <t>Q9NZI8</t>
  </si>
  <si>
    <t>Q9NZJ6</t>
  </si>
  <si>
    <t>Q9NZJ7-2</t>
  </si>
  <si>
    <t>Q9NZJ9</t>
  </si>
  <si>
    <t>Q9NZJ9-2</t>
  </si>
  <si>
    <t>Q9NZL4</t>
  </si>
  <si>
    <t>Q9NZL9</t>
  </si>
  <si>
    <t>Q9NZL9-2</t>
  </si>
  <si>
    <t>Q9NZM3-2</t>
  </si>
  <si>
    <t>Q9NZQ3-3</t>
  </si>
  <si>
    <t>Q9NZR1</t>
  </si>
  <si>
    <t>Q9NZT2-2</t>
  </si>
  <si>
    <t>Q9NZW5</t>
  </si>
  <si>
    <t>Q9NZZ3</t>
  </si>
  <si>
    <t>Q9P000</t>
  </si>
  <si>
    <t>Q9P013</t>
  </si>
  <si>
    <t>Q9P016</t>
  </si>
  <si>
    <t>Q9P031</t>
  </si>
  <si>
    <t>Q9P032</t>
  </si>
  <si>
    <t>Q9P035</t>
  </si>
  <si>
    <t>Q9P086</t>
  </si>
  <si>
    <t>Q9P0B6</t>
  </si>
  <si>
    <t>Q9P0I2</t>
  </si>
  <si>
    <t>Q9P0J1</t>
  </si>
  <si>
    <t>Q9P0J7</t>
  </si>
  <si>
    <t>Q9P0L0</t>
  </si>
  <si>
    <t>Q9P0N9-3</t>
  </si>
  <si>
    <t>Q9P0P0</t>
  </si>
  <si>
    <t>Q9P0R6</t>
  </si>
  <si>
    <t>Q9P0S2</t>
  </si>
  <si>
    <t>Q9P0U4</t>
  </si>
  <si>
    <t>Q9P1F3</t>
  </si>
  <si>
    <t>Q9P1U0</t>
  </si>
  <si>
    <t>Q9P1U1</t>
  </si>
  <si>
    <t>Q9P1W8-4</t>
  </si>
  <si>
    <t>Q9P1Y5</t>
  </si>
  <si>
    <t>Q9P206-2</t>
  </si>
  <si>
    <t>Q9P215</t>
  </si>
  <si>
    <t>Q9P219</t>
  </si>
  <si>
    <t>Q9P244</t>
  </si>
  <si>
    <t>Q9P253</t>
  </si>
  <si>
    <t>Q9P258</t>
  </si>
  <si>
    <t>Q9P260</t>
  </si>
  <si>
    <t>Q9P265</t>
  </si>
  <si>
    <t>Q9P270</t>
  </si>
  <si>
    <t>Q9P287</t>
  </si>
  <si>
    <t>Q9P287-2</t>
  </si>
  <si>
    <t>Q9P2A4-2</t>
  </si>
  <si>
    <t>Q9P2B4</t>
  </si>
  <si>
    <t>Q9P2B7</t>
  </si>
  <si>
    <t>Q9P2C4</t>
  </si>
  <si>
    <t>Q9P2D1</t>
  </si>
  <si>
    <t>Q9P2D3-3</t>
  </si>
  <si>
    <t>Q9P2E9</t>
  </si>
  <si>
    <t>Q9P2I0</t>
  </si>
  <si>
    <t>Q9P2J5</t>
  </si>
  <si>
    <t>Q9P2J9</t>
  </si>
  <si>
    <t>Q9P2K2</t>
  </si>
  <si>
    <t>Q9P2K3-4</t>
  </si>
  <si>
    <t>Q9P2K5</t>
  </si>
  <si>
    <t>Q9P2K8-2</t>
  </si>
  <si>
    <t>Q9P2M4</t>
  </si>
  <si>
    <t>Q9P2M7</t>
  </si>
  <si>
    <t>Q9P2N5</t>
  </si>
  <si>
    <t>Q9P2N6-3</t>
  </si>
  <si>
    <t>Q9P2R3</t>
  </si>
  <si>
    <t>Q9P2R6</t>
  </si>
  <si>
    <t>Q9P2W1</t>
  </si>
  <si>
    <t>Q9P2X0</t>
  </si>
  <si>
    <t>Q9P2Y4</t>
  </si>
  <si>
    <t>Q9P2Y5</t>
  </si>
  <si>
    <t>Q9UBB4</t>
  </si>
  <si>
    <t>Q9UBB5</t>
  </si>
  <si>
    <t>Q9UBB6-2</t>
  </si>
  <si>
    <t>Q9UBB9</t>
  </si>
  <si>
    <t>Q9UBC2-2</t>
  </si>
  <si>
    <t>Q9UBC2-4</t>
  </si>
  <si>
    <t>Q9UBC3-7</t>
  </si>
  <si>
    <t>Q9UBD5-2</t>
  </si>
  <si>
    <t>Q9UBE0</t>
  </si>
  <si>
    <t>Q9UBF2</t>
  </si>
  <si>
    <t>Q9UBF6</t>
  </si>
  <si>
    <t>Q9UBF8-2</t>
  </si>
  <si>
    <t>Q9UBG0</t>
  </si>
  <si>
    <t>Q9UBG3</t>
  </si>
  <si>
    <t>Q9UBK8-2</t>
  </si>
  <si>
    <t>Q9UBK9</t>
  </si>
  <si>
    <t>Q9UBL0</t>
  </si>
  <si>
    <t>Q9UBL3-3</t>
  </si>
  <si>
    <t>Q9UBM7</t>
  </si>
  <si>
    <t>Q9UBP0-3</t>
  </si>
  <si>
    <t>Q9UBP6</t>
  </si>
  <si>
    <t>Q9UBQ0</t>
  </si>
  <si>
    <t>Q9UBQ7</t>
  </si>
  <si>
    <t>Q9UBS0</t>
  </si>
  <si>
    <t>Q9UBS4</t>
  </si>
  <si>
    <t>Q9UBS8</t>
  </si>
  <si>
    <t>Q9UBS9</t>
  </si>
  <si>
    <t>Q9UBT2</t>
  </si>
  <si>
    <t>Q9UBU6</t>
  </si>
  <si>
    <t>Q9UBU9</t>
  </si>
  <si>
    <t>Q9UBV2</t>
  </si>
  <si>
    <t>Q9UBV7</t>
  </si>
  <si>
    <t>Q9UBV8</t>
  </si>
  <si>
    <t>Q9UBW5</t>
  </si>
  <si>
    <t>Q9UBW7</t>
  </si>
  <si>
    <t>Q9UBW8</t>
  </si>
  <si>
    <t>Q9UBX3</t>
  </si>
  <si>
    <t>Q9UDR5</t>
  </si>
  <si>
    <t>Q9UDT6-2</t>
  </si>
  <si>
    <t>Q9UDW1</t>
  </si>
  <si>
    <t>Q9UDX5</t>
  </si>
  <si>
    <t>Q9UDY2-6</t>
  </si>
  <si>
    <t>Q9UDY8-2</t>
  </si>
  <si>
    <t>Q9UEE5</t>
  </si>
  <si>
    <t>Q9UEE9</t>
  </si>
  <si>
    <t>Q9UEG4</t>
  </si>
  <si>
    <t>Q9UEL6</t>
  </si>
  <si>
    <t>Q9UER7-2</t>
  </si>
  <si>
    <t>Q9UET6-2</t>
  </si>
  <si>
    <t>Q9UEU0</t>
  </si>
  <si>
    <t>Q9UEW8</t>
  </si>
  <si>
    <t>Q9UEY8-2</t>
  </si>
  <si>
    <t>Q9UF56</t>
  </si>
  <si>
    <t>Q9UFC0</t>
  </si>
  <si>
    <t>Q9UFN0</t>
  </si>
  <si>
    <t>Q9UFW8</t>
  </si>
  <si>
    <t>Q9UG63</t>
  </si>
  <si>
    <t>Q9UGJ1-2</t>
  </si>
  <si>
    <t>Q9UGK8</t>
  </si>
  <si>
    <t>Q9UGM1</t>
  </si>
  <si>
    <t>Q9UGM6</t>
  </si>
  <si>
    <t>Q9UGP4</t>
  </si>
  <si>
    <t>Q9UGP8</t>
  </si>
  <si>
    <t>Q9UGQ2-2</t>
  </si>
  <si>
    <t>Q9UGQ3-2</t>
  </si>
  <si>
    <t>Q9UGR2-2</t>
  </si>
  <si>
    <t>Q9UGU0-2</t>
  </si>
  <si>
    <t>Q9UGV2</t>
  </si>
  <si>
    <t>Q9UH03-2</t>
  </si>
  <si>
    <t>Q9UH62</t>
  </si>
  <si>
    <t>Q9UH65</t>
  </si>
  <si>
    <t>Q9UH99</t>
  </si>
  <si>
    <t>Q9UHA2</t>
  </si>
  <si>
    <t>Q9UHA4</t>
  </si>
  <si>
    <t>Q9UHB6</t>
  </si>
  <si>
    <t>Q9UHB6-4</t>
  </si>
  <si>
    <t>Q9UHB7</t>
  </si>
  <si>
    <t>Q9UHB9</t>
  </si>
  <si>
    <t>Q9UHC7-4</t>
  </si>
  <si>
    <t>Q9UHD1</t>
  </si>
  <si>
    <t>Q9UHD2</t>
  </si>
  <si>
    <t>Q9UHD8</t>
  </si>
  <si>
    <t>Q9UHD9</t>
  </si>
  <si>
    <t>Q9UHG3</t>
  </si>
  <si>
    <t>Q9UHI6</t>
  </si>
  <si>
    <t>Q9UHJ6</t>
  </si>
  <si>
    <t>Q9UHL4</t>
  </si>
  <si>
    <t>Q9UHN1</t>
  </si>
  <si>
    <t>Q9UHN6-2</t>
  </si>
  <si>
    <t>Q9UHQ1</t>
  </si>
  <si>
    <t>Q9UHQ4</t>
  </si>
  <si>
    <t>Q9UHQ9</t>
  </si>
  <si>
    <t>Q9UHR6</t>
  </si>
  <si>
    <t>Q9UHV9</t>
  </si>
  <si>
    <t>Q9UHW5</t>
  </si>
  <si>
    <t>Q9UHX1</t>
  </si>
  <si>
    <t>Q9UHX1-2</t>
  </si>
  <si>
    <t>Q9UHY1</t>
  </si>
  <si>
    <t>Q9UHY7</t>
  </si>
  <si>
    <t>Q9UI08-2</t>
  </si>
  <si>
    <t>Q9UI09</t>
  </si>
  <si>
    <t>Q9UI10</t>
  </si>
  <si>
    <t>Q9UI10-3</t>
  </si>
  <si>
    <t>Q9UI12-2</t>
  </si>
  <si>
    <t>Q9UI26</t>
  </si>
  <si>
    <t>Q9UI30</t>
  </si>
  <si>
    <t>Q9UI43</t>
  </si>
  <si>
    <t>Q9UIB8-3</t>
  </si>
  <si>
    <t>Q9UIC8</t>
  </si>
  <si>
    <t>Q9UID3</t>
  </si>
  <si>
    <t>Q9UIG0-2</t>
  </si>
  <si>
    <t>Q9UII2</t>
  </si>
  <si>
    <t>Q9UIJ5</t>
  </si>
  <si>
    <t>Q9UIJ7</t>
  </si>
  <si>
    <t>Q9UIL1-3</t>
  </si>
  <si>
    <t>Q9UIM3</t>
  </si>
  <si>
    <t>Q9UIQ6-3</t>
  </si>
  <si>
    <t>Q9UIV1</t>
  </si>
  <si>
    <t>Q9UJ04</t>
  </si>
  <si>
    <t>Q9UJ14</t>
  </si>
  <si>
    <t>Q9UJ70</t>
  </si>
  <si>
    <t>Q9UJA5</t>
  </si>
  <si>
    <t>Q9UJG1-2</t>
  </si>
  <si>
    <t>Q9UJJ9</t>
  </si>
  <si>
    <t>Q9UJK0</t>
  </si>
  <si>
    <t>Q9UJS0</t>
  </si>
  <si>
    <t>Q9UJT0</t>
  </si>
  <si>
    <t>Q9UJU2</t>
  </si>
  <si>
    <t>Q9UJU6</t>
  </si>
  <si>
    <t>Q9UJU6-2</t>
  </si>
  <si>
    <t>Q9UJW0</t>
  </si>
  <si>
    <t>Q9UJX2</t>
  </si>
  <si>
    <t>Q9UJX3</t>
  </si>
  <si>
    <t>Q9UJX5</t>
  </si>
  <si>
    <t>Q9UJX6-2</t>
  </si>
  <si>
    <t>Q9UJY4</t>
  </si>
  <si>
    <t>Q9UJY5-4</t>
  </si>
  <si>
    <t>Q9UJZ1</t>
  </si>
  <si>
    <t>Q9UK23-2</t>
  </si>
  <si>
    <t>Q9UK41</t>
  </si>
  <si>
    <t>Q9UK45</t>
  </si>
  <si>
    <t>Q9UK53-3</t>
  </si>
  <si>
    <t>Q9UK59</t>
  </si>
  <si>
    <t>Q9UK76</t>
  </si>
  <si>
    <t>Q9UK97-3</t>
  </si>
  <si>
    <t>Q9UKA4</t>
  </si>
  <si>
    <t>Q9UKD2</t>
  </si>
  <si>
    <t>Q9UKF6</t>
  </si>
  <si>
    <t>Q9UKG1</t>
  </si>
  <si>
    <t>Q9UKI8-5</t>
  </si>
  <si>
    <t>Q9UKJ3</t>
  </si>
  <si>
    <t>Q9UKK6</t>
  </si>
  <si>
    <t>Q9UKL6</t>
  </si>
  <si>
    <t>Q9UKM9</t>
  </si>
  <si>
    <t>Q9UKN8</t>
  </si>
  <si>
    <t>Q9UKR5</t>
  </si>
  <si>
    <t>Q9UKS6</t>
  </si>
  <si>
    <t>Q9UKT4-2</t>
  </si>
  <si>
    <t>Q9UKT5</t>
  </si>
  <si>
    <t>Q9UKU7</t>
  </si>
  <si>
    <t>Q9UKV5</t>
  </si>
  <si>
    <t>Q9UKV8</t>
  </si>
  <si>
    <t>Q9UKW4</t>
  </si>
  <si>
    <t>Q9UKX7</t>
  </si>
  <si>
    <t>Q9UKY1</t>
  </si>
  <si>
    <t>Q9UKY7</t>
  </si>
  <si>
    <t>Q9UKZ1</t>
  </si>
  <si>
    <t>Q9UL03-3</t>
  </si>
  <si>
    <t>Q9UL15</t>
  </si>
  <si>
    <t>Q9UL18</t>
  </si>
  <si>
    <t>Q9UL25</t>
  </si>
  <si>
    <t>Q9UL26</t>
  </si>
  <si>
    <t>Q9UL42</t>
  </si>
  <si>
    <t>Q9UL46</t>
  </si>
  <si>
    <t>Q9UL63</t>
  </si>
  <si>
    <t>Q9ULC3</t>
  </si>
  <si>
    <t>Q9ULC4</t>
  </si>
  <si>
    <t>Q9ULC8-2</t>
  </si>
  <si>
    <t>Q9ULD0</t>
  </si>
  <si>
    <t>Q9ULD2-4</t>
  </si>
  <si>
    <t>Q9ULE6</t>
  </si>
  <si>
    <t>Q9ULF5</t>
  </si>
  <si>
    <t>Q9ULH1</t>
  </si>
  <si>
    <t>Q9ULH7-4</t>
  </si>
  <si>
    <t>Q9ULJ3-2</t>
  </si>
  <si>
    <t>Q9ULJ6</t>
  </si>
  <si>
    <t>Q9ULJ7</t>
  </si>
  <si>
    <t>Q9ULL5-3</t>
  </si>
  <si>
    <t>Q9ULP9-2</t>
  </si>
  <si>
    <t>Q9ULR0</t>
  </si>
  <si>
    <t>Q9ULR3</t>
  </si>
  <si>
    <t>Q9ULT8</t>
  </si>
  <si>
    <t>Q9ULV0</t>
  </si>
  <si>
    <t>Q9ULV4</t>
  </si>
  <si>
    <t>Q9ULW0</t>
  </si>
  <si>
    <t>Q9ULX3</t>
  </si>
  <si>
    <t>Q9ULX6</t>
  </si>
  <si>
    <t>Q9ULX9-2</t>
  </si>
  <si>
    <t>Q9UM13</t>
  </si>
  <si>
    <t>Q9UM21</t>
  </si>
  <si>
    <t>Q9UM47</t>
  </si>
  <si>
    <t>Q9UMS0-3</t>
  </si>
  <si>
    <t>Q9UMS4</t>
  </si>
  <si>
    <t>Q9UMX0</t>
  </si>
  <si>
    <t>Q9UMX1-2</t>
  </si>
  <si>
    <t>Q9UMX5</t>
  </si>
  <si>
    <t>Q9UMY1</t>
  </si>
  <si>
    <t>Q9UMY4-2</t>
  </si>
  <si>
    <t>Q9UMZ2-4</t>
  </si>
  <si>
    <t>Q9UMZ2-5</t>
  </si>
  <si>
    <t>Q9UN36-2</t>
  </si>
  <si>
    <t>Q9UN37</t>
  </si>
  <si>
    <t>Q9UN86-2</t>
  </si>
  <si>
    <t>Q9UNA1-2</t>
  </si>
  <si>
    <t>Q9UNE7</t>
  </si>
  <si>
    <t>Q9UNF0</t>
  </si>
  <si>
    <t>Q9UNF0-2</t>
  </si>
  <si>
    <t>Q9UNF1</t>
  </si>
  <si>
    <t>Q9UNH7</t>
  </si>
  <si>
    <t>Q9UNI6</t>
  </si>
  <si>
    <t>Q9UNK0</t>
  </si>
  <si>
    <t>Q9UNL4-3</t>
  </si>
  <si>
    <t>Q9UNM6</t>
  </si>
  <si>
    <t>Q9UNN5</t>
  </si>
  <si>
    <t>Q9UNN8</t>
  </si>
  <si>
    <t>Q9UNP9</t>
  </si>
  <si>
    <t>Q9UNQ2</t>
  </si>
  <si>
    <t>Q9UNS1-2</t>
  </si>
  <si>
    <t>Q9UNS2</t>
  </si>
  <si>
    <t>Q9UNT1-2</t>
  </si>
  <si>
    <t>Q9UNW1</t>
  </si>
  <si>
    <t>Q9UNX3</t>
  </si>
  <si>
    <t>Q9UNX4</t>
  </si>
  <si>
    <t>Q9UNY4</t>
  </si>
  <si>
    <t>Q9UNZ2</t>
  </si>
  <si>
    <t>Q9UNZ5</t>
  </si>
  <si>
    <t>Q9UP83</t>
  </si>
  <si>
    <t>Q9UP95-5</t>
  </si>
  <si>
    <t>Q9UPN6</t>
  </si>
  <si>
    <t>Q9UPN7</t>
  </si>
  <si>
    <t>Q9UPN9</t>
  </si>
  <si>
    <t>Q9UPN9-2</t>
  </si>
  <si>
    <t>Q9UPQ9-1</t>
  </si>
  <si>
    <t>Q9UPR0</t>
  </si>
  <si>
    <t>Q9UPR3</t>
  </si>
  <si>
    <t>Q9UPT5-1</t>
  </si>
  <si>
    <t>Q9UPT9</t>
  </si>
  <si>
    <t>Q9UPU5</t>
  </si>
  <si>
    <t>Q9UPW5</t>
  </si>
  <si>
    <t>Q9UPZ3-2</t>
  </si>
  <si>
    <t>Q9UQ13-2</t>
  </si>
  <si>
    <t>Q9UQ35</t>
  </si>
  <si>
    <t>Q9UQ80</t>
  </si>
  <si>
    <t>Q9UQ90</t>
  </si>
  <si>
    <t>Q9UQB8-3</t>
  </si>
  <si>
    <t>Q9UQE7</t>
  </si>
  <si>
    <t>Q9UQN3</t>
  </si>
  <si>
    <t>Q9UQP3</t>
  </si>
  <si>
    <t>Q9UQR0</t>
  </si>
  <si>
    <t>Q9UQR1</t>
  </si>
  <si>
    <t>Q9Y217</t>
  </si>
  <si>
    <t>Q9Y221</t>
  </si>
  <si>
    <t>Q9Y223-3</t>
  </si>
  <si>
    <t>Q9Y224</t>
  </si>
  <si>
    <t>Q9Y228</t>
  </si>
  <si>
    <t>Q9Y230</t>
  </si>
  <si>
    <t>Q9Y232-2</t>
  </si>
  <si>
    <t>Q9Y237</t>
  </si>
  <si>
    <t>Q9Y244</t>
  </si>
  <si>
    <t>Q9Y248</t>
  </si>
  <si>
    <t>Q9Y259</t>
  </si>
  <si>
    <t>Q9Y263</t>
  </si>
  <si>
    <t>Q9Y265</t>
  </si>
  <si>
    <t>Q9Y266</t>
  </si>
  <si>
    <t>Q9Y276</t>
  </si>
  <si>
    <t>Q9Y277</t>
  </si>
  <si>
    <t>Q9Y281</t>
  </si>
  <si>
    <t>Q9Y287</t>
  </si>
  <si>
    <t>Q9Y289</t>
  </si>
  <si>
    <t>Q9Y294</t>
  </si>
  <si>
    <t>Q9Y295</t>
  </si>
  <si>
    <t>Q9Y296</t>
  </si>
  <si>
    <t>Q9Y2B0</t>
  </si>
  <si>
    <t>Q9Y2C2</t>
  </si>
  <si>
    <t>Q9Y2C4</t>
  </si>
  <si>
    <t>Q9Y2D4</t>
  </si>
  <si>
    <t>Q9Y2D5-6</t>
  </si>
  <si>
    <t>Q9Y2G2-4</t>
  </si>
  <si>
    <t>Q9Y2G3</t>
  </si>
  <si>
    <t>Q9Y2G5</t>
  </si>
  <si>
    <t>Q9Y2H0-3</t>
  </si>
  <si>
    <t>Q9Y2H1</t>
  </si>
  <si>
    <t>Q9Y2H6-2</t>
  </si>
  <si>
    <t>Q9Y2I1</t>
  </si>
  <si>
    <t>Q9Y2I7</t>
  </si>
  <si>
    <t>Q9Y2K6</t>
  </si>
  <si>
    <t>Q9Y2K7</t>
  </si>
  <si>
    <t>Q9Y2L1</t>
  </si>
  <si>
    <t>Q9Y2L9-2</t>
  </si>
  <si>
    <t>Q9Y2P8</t>
  </si>
  <si>
    <t>Q9Y2Q0-3</t>
  </si>
  <si>
    <t>Q9Y2Q3</t>
  </si>
  <si>
    <t>Q9Y2Q5</t>
  </si>
  <si>
    <t>Q9Y2Q9</t>
  </si>
  <si>
    <t>Q9Y2R0</t>
  </si>
  <si>
    <t>Q9Y2R4</t>
  </si>
  <si>
    <t>Q9Y2S0</t>
  </si>
  <si>
    <t>Q9Y2S0-2</t>
  </si>
  <si>
    <t>Q9Y2S2-2</t>
  </si>
  <si>
    <t>Q9Y2S6</t>
  </si>
  <si>
    <t>Q9Y2S7</t>
  </si>
  <si>
    <t>Q9Y2T2</t>
  </si>
  <si>
    <t>Q9Y2T7</t>
  </si>
  <si>
    <t>Q9Y2U5</t>
  </si>
  <si>
    <t>Q9Y2U8</t>
  </si>
  <si>
    <t>Q9Y2V2</t>
  </si>
  <si>
    <t>Q9Y2V7-2</t>
  </si>
  <si>
    <t>Q9Y2W1</t>
  </si>
  <si>
    <t>Q9Y2X0-2</t>
  </si>
  <si>
    <t>Q9Y2X3</t>
  </si>
  <si>
    <t>Q9Y2X7</t>
  </si>
  <si>
    <t>Q9Y2Y1</t>
  </si>
  <si>
    <t>Q9Y2Z0</t>
  </si>
  <si>
    <t>Q9Y2Z0-2</t>
  </si>
  <si>
    <t>Q9Y2Z4</t>
  </si>
  <si>
    <t>Q9Y2Z9-3</t>
  </si>
  <si>
    <t>Q9Y303</t>
  </si>
  <si>
    <t>Q9Y314</t>
  </si>
  <si>
    <t>Q9Y315</t>
  </si>
  <si>
    <t>Q9Y316</t>
  </si>
  <si>
    <t>Q9Y320-2</t>
  </si>
  <si>
    <t>Q9Y333</t>
  </si>
  <si>
    <t>Q9Y371</t>
  </si>
  <si>
    <t>Q9Y375</t>
  </si>
  <si>
    <t>Q9Y376</t>
  </si>
  <si>
    <t>Q9Y383</t>
  </si>
  <si>
    <t>Q9Y385</t>
  </si>
  <si>
    <t>Q9Y388</t>
  </si>
  <si>
    <t>Q9Y394-2</t>
  </si>
  <si>
    <t>Q9Y399</t>
  </si>
  <si>
    <t>Q9Y3A3-3</t>
  </si>
  <si>
    <t>Q9Y3A4</t>
  </si>
  <si>
    <t>Q9Y3A5</t>
  </si>
  <si>
    <t>Q9Y3A6</t>
  </si>
  <si>
    <t>Q9Y3B3</t>
  </si>
  <si>
    <t>Q9Y3B4</t>
  </si>
  <si>
    <t>Q9Y3B7-2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</si>
  <si>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</si>
  <si>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</si>
  <si>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</si>
  <si>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</si>
  <si>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</si>
  <si>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</si>
  <si>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</si>
  <si>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</si>
  <si>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Q9Y3D6</t>
  </si>
  <si>
    <t>Q9Y3D8</t>
  </si>
  <si>
    <t>Q9Y3D9</t>
  </si>
  <si>
    <t>Q9Y3E1</t>
  </si>
  <si>
    <t>Q9Y3E2</t>
  </si>
  <si>
    <t>Q9Y3E7-4</t>
  </si>
  <si>
    <t>Q9Y3F4</t>
  </si>
  <si>
    <t>Q9Y3I0</t>
  </si>
  <si>
    <t>Q9Y3I1-3</t>
  </si>
  <si>
    <t>Q9Y3L3</t>
  </si>
  <si>
    <t>Q9Y3L5</t>
  </si>
  <si>
    <t>Q9Y3P8</t>
  </si>
  <si>
    <t>Q9Y3P9</t>
  </si>
  <si>
    <t>Q9Y3Q3</t>
  </si>
  <si>
    <t>Q9Y3Q8</t>
  </si>
  <si>
    <t>Q9Y3R5-2</t>
  </si>
  <si>
    <t>Q9Y3S2</t>
  </si>
  <si>
    <t>Q9Y3T9</t>
  </si>
  <si>
    <t>Q9Y3U8</t>
  </si>
  <si>
    <t>Q9Y3V2-2</t>
  </si>
  <si>
    <t>Q9Y3X0</t>
  </si>
  <si>
    <t>Q9Y3Y2-4</t>
  </si>
  <si>
    <t>Q9Y3Z3-4</t>
  </si>
  <si>
    <t>Q9Y421</t>
  </si>
  <si>
    <t>Q9Y448</t>
  </si>
  <si>
    <t>Q9Y450</t>
  </si>
  <si>
    <t>Q9Y450-2</t>
  </si>
  <si>
    <t>Q9Y478</t>
  </si>
  <si>
    <t>Q9Y487</t>
  </si>
  <si>
    <t>Q9Y490</t>
  </si>
  <si>
    <t>Q9Y4B4</t>
  </si>
  <si>
    <t>Q9Y4B6-2</t>
  </si>
  <si>
    <t>Q9Y4C1</t>
  </si>
  <si>
    <t>Q9Y4C4</t>
  </si>
  <si>
    <t>Q9Y4D1-2</t>
  </si>
  <si>
    <t>Q9Y4D7-2</t>
  </si>
  <si>
    <t>Q9Y4E1-2</t>
  </si>
  <si>
    <t>Q9Y4E6-2</t>
  </si>
  <si>
    <t>Q9Y4G6</t>
  </si>
  <si>
    <t>Q9Y4K1</t>
  </si>
  <si>
    <t>Q9Y4K3</t>
  </si>
  <si>
    <t>Q9Y4K4</t>
  </si>
  <si>
    <t>Q9Y4L1</t>
  </si>
  <si>
    <t>Q9Y4P1-6</t>
  </si>
  <si>
    <t>Q9Y4P8-3</t>
  </si>
  <si>
    <t>Q9Y4R8</t>
  </si>
  <si>
    <t>Q9Y4W6</t>
  </si>
  <si>
    <t>Q9Y4X4</t>
  </si>
  <si>
    <t>Q9Y4X5</t>
  </si>
  <si>
    <t>Q9Y4Y9</t>
  </si>
  <si>
    <t>Q9Y4Z0</t>
  </si>
  <si>
    <t>Q9Y508</t>
  </si>
  <si>
    <t>Q9Y512</t>
  </si>
  <si>
    <t>Q9Y520-5</t>
  </si>
  <si>
    <t>Q9Y546</t>
  </si>
  <si>
    <t>Q9Y547</t>
  </si>
  <si>
    <t>Q9Y570</t>
  </si>
  <si>
    <t>Q9Y584</t>
  </si>
  <si>
    <t>Q9Y5A6</t>
  </si>
  <si>
    <t>Q9Y5A9</t>
  </si>
  <si>
    <t>Q9Y5B0</t>
  </si>
  <si>
    <t>Q9Y5B6</t>
  </si>
  <si>
    <t>Q9Y5B8</t>
  </si>
  <si>
    <t>Q9Y5B9</t>
  </si>
  <si>
    <t>Q9Y5J1</t>
  </si>
  <si>
    <t>Q9Y5J6</t>
  </si>
  <si>
    <t>Q9Y5J7</t>
  </si>
  <si>
    <t>Q9Y5K5-2</t>
  </si>
  <si>
    <t>Q9Y5K6</t>
  </si>
  <si>
    <t>Q9Y5K8</t>
  </si>
  <si>
    <t>Q9Y5L4</t>
  </si>
  <si>
    <t>Q9Y5M8</t>
  </si>
  <si>
    <t>Q9Y5N5</t>
  </si>
  <si>
    <t>Q9Y5N6</t>
  </si>
  <si>
    <t>Q9Y5P4-2</t>
  </si>
  <si>
    <t>Q9Y5P6</t>
  </si>
  <si>
    <t>Q9Y5Q9</t>
  </si>
  <si>
    <t>Q9Y5R8</t>
  </si>
  <si>
    <t>Q9Y5S1</t>
  </si>
  <si>
    <t>Q9Y5S9</t>
  </si>
  <si>
    <t>Q9Y5T4</t>
  </si>
  <si>
    <t>Q9Y5T5-2</t>
  </si>
  <si>
    <t>Q9Y5U2-2</t>
  </si>
  <si>
    <t>Q9Y5U9</t>
  </si>
  <si>
    <t>Q9Y5V0</t>
  </si>
  <si>
    <t>Q9Y5V3</t>
  </si>
  <si>
    <t>Q9Y5X1</t>
  </si>
  <si>
    <t>Q9Y5X2</t>
  </si>
  <si>
    <t>Q9Y5X3</t>
  </si>
  <si>
    <t>Q9Y5Y0</t>
  </si>
  <si>
    <t>Q9Y5Y2</t>
  </si>
  <si>
    <t>Q9Y5Z4</t>
  </si>
  <si>
    <t>Q9Y5Z7</t>
  </si>
  <si>
    <t>Q9Y5Z9-2</t>
  </si>
  <si>
    <t>Q9Y605</t>
  </si>
  <si>
    <t>Q9Y608-4</t>
  </si>
  <si>
    <t>Q9Y617</t>
  </si>
  <si>
    <t>Q9Y619</t>
  </si>
  <si>
    <t>Q9Y639-1</t>
  </si>
  <si>
    <t>Q9Y657</t>
  </si>
  <si>
    <t>Q9Y664</t>
  </si>
  <si>
    <t>Q9Y666</t>
  </si>
  <si>
    <t>Q9Y673</t>
  </si>
  <si>
    <t>Q9Y676</t>
  </si>
  <si>
    <t>Q9Y678</t>
  </si>
  <si>
    <t>Q9Y679-2</t>
  </si>
  <si>
    <t>Q9Y680-2</t>
  </si>
  <si>
    <t>Q9Y689-2</t>
  </si>
  <si>
    <t>Q9Y692-2</t>
  </si>
  <si>
    <t>Q9Y696</t>
  </si>
  <si>
    <t>Q9Y697-2</t>
  </si>
  <si>
    <t>Q9Y6A4</t>
  </si>
  <si>
    <t>Q9Y6A5</t>
  </si>
  <si>
    <t>Q9Y6B6</t>
  </si>
  <si>
    <t>Q9Y6C9</t>
  </si>
  <si>
    <t>Q9Y6D5</t>
  </si>
  <si>
    <t>Q9Y6D6</t>
  </si>
  <si>
    <t>Q9Y6D9</t>
  </si>
  <si>
    <t>Q9Y6E0-2</t>
  </si>
  <si>
    <t>Q9Y6G9</t>
  </si>
  <si>
    <t>Q9Y6H1</t>
  </si>
  <si>
    <t>Q9Y6H3</t>
  </si>
  <si>
    <t>Q9Y6I3</t>
  </si>
  <si>
    <t>Q9Y6I9</t>
  </si>
  <si>
    <t>Q9Y6K0</t>
  </si>
  <si>
    <t>Q9Y6K1</t>
  </si>
  <si>
    <t>Q9Y6K5</t>
  </si>
  <si>
    <t>Q9Y6K9</t>
  </si>
  <si>
    <t>Q9Y6M4</t>
  </si>
  <si>
    <t>Q9Y6M5</t>
  </si>
  <si>
    <t>Q9Y6M9</t>
  </si>
  <si>
    <t>Q9Y6N1</t>
  </si>
  <si>
    <t>Q9Y6N5</t>
  </si>
  <si>
    <t>Q9Y6Q9-5</t>
  </si>
  <si>
    <t>Q9Y6R0</t>
  </si>
  <si>
    <t>Q9Y6V7</t>
  </si>
  <si>
    <t>Q9Y6W3</t>
  </si>
  <si>
    <t>Q9Y6W5</t>
  </si>
  <si>
    <t>Q9Y6X4</t>
  </si>
  <si>
    <t>Q9Y6X5</t>
  </si>
  <si>
    <t>Q9Y6X8</t>
  </si>
  <si>
    <t>Q9Y6X9</t>
  </si>
  <si>
    <t>Q9Y6Y0</t>
  </si>
  <si>
    <t>R4GMR5</t>
  </si>
  <si>
    <t>R4GMU1</t>
  </si>
  <si>
    <t>R4GMX3</t>
  </si>
  <si>
    <t>R4GMX8</t>
  </si>
  <si>
    <t>R4GMZ8</t>
  </si>
  <si>
    <t>R4GN55</t>
  </si>
  <si>
    <t>R4GN89</t>
  </si>
  <si>
    <t>R4GNB2</t>
  </si>
  <si>
    <t>R4GNH3</t>
  </si>
  <si>
    <t>R4GNJ4</t>
  </si>
  <si>
    <t>norm_FC_TMT126_H.sapiens_Jurkat_P015963</t>
  </si>
  <si>
    <t>norm_FC_TMT127L_H.sapiens_Jurkat_P015963</t>
  </si>
  <si>
    <t>norm_FC_TMT127H_H.sapiens_Jurkat_P015963</t>
  </si>
  <si>
    <t>norm_FC_TMT128L_H.sapiens_Jurkat_P015963</t>
  </si>
  <si>
    <t>norm_FC_TMT128H_H.sapiens_Jurkat_P015963</t>
  </si>
  <si>
    <t>norm_FC_TMT129L_H.sapiens_Jurkat_P015963</t>
  </si>
  <si>
    <t>norm_FC_TMT129H_H.sapiens_Jurkat_P015963</t>
  </si>
  <si>
    <t>norm_FC_TMT130L_H.sapiens_Jurkat_P015963</t>
  </si>
  <si>
    <t>norm_FC_TMT130H_H.sapiens_Jurkat_P015963</t>
  </si>
  <si>
    <t>norm_FC_TMT131L_H.sapiens_Jurkat_P015963</t>
  </si>
  <si>
    <t>a_H.sapiens_Jurkat_P015963</t>
  </si>
  <si>
    <t>b_H.sapiens_Jurkat_P015963</t>
  </si>
  <si>
    <t>meltPoint_H.sapiens_Jurkat_P015963</t>
  </si>
  <si>
    <t>inflPoint_H.sapiens_Jurkat_P015963</t>
  </si>
  <si>
    <t>slope_H.sapiens_Jurkat_P015963</t>
  </si>
  <si>
    <t>plateau_H.sapiens_Jurkat_P015963</t>
  </si>
  <si>
    <t>R_sq_H.sapiens_Jurkat_P015963</t>
  </si>
  <si>
    <t>protein_identified_in_H.sapiens_Jurkat_P015963</t>
  </si>
  <si>
    <t>model_converged_H.sapiens_Jurkat_P015963</t>
  </si>
  <si>
    <t>sufficient_data_for_fit_H.sapiens_Jurkat_P015963</t>
  </si>
  <si>
    <t>Proteinname_H.sapiens_Jurkat_P015963</t>
  </si>
  <si>
    <t>numSpec_H.sapiens_Jurkat_P015963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</si>
</sst>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000"/>
  <sheetViews>
    <sheetView tabSelected="1" workbookViewId="0">
      <selection sqref="A1:XFD1"/>
    </sheetView>
  </sheetViews>
  <sheetFormatPr defaultRowHeight="15" x14ac:dyDescent="0.25"/>
  <sheetData>
    <row r="1" spans="1:28" s="2" customFormat="1" ht="90" x14ac:dyDescent="0.25">
      <c r="A1" s="1" t="s">
        <v>0</v>
      </c>
      <c r="B1" s="1" t="s">
        <v>34711</v>
      </c>
      <c r="C1" s="1" t="s">
        <v>34712</v>
      </c>
      <c r="D1" s="1" t="s">
        <v>34713</v>
      </c>
      <c r="E1" s="1" t="s">
        <v>34714</v>
      </c>
      <c r="F1" s="1" t="s">
        <v>34715</v>
      </c>
      <c r="G1" s="1" t="s">
        <v>34716</v>
      </c>
      <c r="H1" s="1" t="s">
        <v>34717</v>
      </c>
      <c r="I1" s="1" t="s">
        <v>34718</v>
      </c>
      <c r="J1" s="1" t="s">
        <v>34719</v>
      </c>
      <c r="K1" s="1" t="s">
        <v>34720</v>
      </c>
      <c r="L1" s="1" t="s">
        <v>34721</v>
      </c>
      <c r="M1" s="1" t="s">
        <v>34722</v>
      </c>
      <c r="N1" s="1" t="s">
        <v>34723</v>
      </c>
      <c r="O1" s="1" t="s">
        <v>34724</v>
      </c>
      <c r="P1" s="1" t="s">
        <v>34725</v>
      </c>
      <c r="Q1" s="1" t="s">
        <v>34726</v>
      </c>
      <c r="R1" s="1" t="s">
        <v>34727</v>
      </c>
      <c r="S1" s="1" t="s">
        <v>1</v>
      </c>
      <c r="T1" s="1" t="s">
        <v>34728</v>
      </c>
      <c r="U1" s="1" t="s">
        <v>34729</v>
      </c>
      <c r="V1" s="1" t="s">
        <v>34730</v>
      </c>
      <c r="W1" s="1" t="s">
        <v>34731</v>
      </c>
      <c r="X1" s="1" t="s">
        <v>34732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0.99999676499088797</v>
      </c>
      <c r="C2">
        <v>0.98797424503054898</v>
      </c>
      <c r="D2">
        <v>0.91249740466628904</v>
      </c>
      <c r="E2">
        <v>0.47383230058283898</v>
      </c>
      <c r="F2">
        <v>0.19777993791241399</v>
      </c>
      <c r="G2">
        <v>0.14041710309455499</v>
      </c>
      <c r="H2">
        <v>6.2592152976561899E-2</v>
      </c>
      <c r="I2">
        <v>6.1657544597109398E-2</v>
      </c>
      <c r="J2">
        <v>5.6630159217695403E-2</v>
      </c>
      <c r="K2">
        <v>5.1312570564001E-2</v>
      </c>
      <c r="L2">
        <v>1335.5172370026401</v>
      </c>
      <c r="M2">
        <v>27.081379011975098</v>
      </c>
      <c r="N2">
        <v>49.584443833614799</v>
      </c>
      <c r="O2">
        <v>49.048430357258702</v>
      </c>
      <c r="P2">
        <v>-0.12858948295577499</v>
      </c>
      <c r="Q2">
        <v>6.8430160372527304E-2</v>
      </c>
      <c r="R2">
        <v>0.99710235434243799</v>
      </c>
      <c r="S2" t="s">
        <v>7005</v>
      </c>
      <c r="T2" t="s">
        <v>14004</v>
      </c>
      <c r="U2" t="s">
        <v>14004</v>
      </c>
      <c r="V2" t="s">
        <v>14004</v>
      </c>
      <c r="W2" t="s">
        <v>14006</v>
      </c>
      <c r="X2">
        <v>37</v>
      </c>
      <c r="Y2" t="s">
        <v>20942</v>
      </c>
      <c r="Z2" t="s">
        <v>27712</v>
      </c>
      <c r="AA2">
        <v>0.36470730606327162</v>
      </c>
      <c r="AB2" t="str">
        <f>HYPERLINK("Melting_Curves/meltCurve_A0AVT1_UBA6.pdf", "Melting_Curves/meltCurve_A0AVT1_UBA6.pdf")</f>
        <v>Melting_Curves/meltCurve_A0AVT1_UBA6.pdf</v>
      </c>
    </row>
    <row r="3" spans="1:28" x14ac:dyDescent="0.25">
      <c r="A3" t="s">
        <v>7</v>
      </c>
      <c r="B3">
        <v>0.99999676499088797</v>
      </c>
      <c r="C3">
        <v>1.06905559497859</v>
      </c>
      <c r="D3">
        <v>1.0368541310980199</v>
      </c>
      <c r="E3">
        <v>1.11382860985484</v>
      </c>
      <c r="F3">
        <v>0.93150281838355997</v>
      </c>
      <c r="G3">
        <v>0.29200331206528901</v>
      </c>
      <c r="H3">
        <v>0.11661224588245001</v>
      </c>
      <c r="I3">
        <v>0.14139349544850799</v>
      </c>
      <c r="J3">
        <v>0.17464686517511099</v>
      </c>
      <c r="K3">
        <v>0.17348619730985701</v>
      </c>
      <c r="L3">
        <v>3476.3494067858301</v>
      </c>
      <c r="M3">
        <v>62.841110127876703</v>
      </c>
      <c r="N3">
        <v>55.638680077665299</v>
      </c>
      <c r="O3">
        <v>55.263729315167801</v>
      </c>
      <c r="P3">
        <v>-0.24127600047106501</v>
      </c>
      <c r="Q3">
        <v>0.15126852466221499</v>
      </c>
      <c r="R3">
        <v>0.98819156841676803</v>
      </c>
      <c r="S3" t="s">
        <v>7006</v>
      </c>
      <c r="T3" t="s">
        <v>14004</v>
      </c>
      <c r="U3" t="s">
        <v>14004</v>
      </c>
      <c r="V3" t="s">
        <v>14004</v>
      </c>
      <c r="W3" t="s">
        <v>14007</v>
      </c>
      <c r="X3">
        <v>6</v>
      </c>
      <c r="Y3" t="s">
        <v>20943</v>
      </c>
      <c r="Z3" t="s">
        <v>27713</v>
      </c>
      <c r="AA3">
        <v>0.58598637683159849</v>
      </c>
      <c r="AB3" t="str">
        <f>HYPERLINK("Melting_Curves/meltCurve_A0JNW5_UHRF1BP1L.pdf", "Melting_Curves/meltCurve_A0JNW5_UHRF1BP1L.pdf")</f>
        <v>Melting_Curves/meltCurve_A0JNW5_UHRF1BP1L.pdf</v>
      </c>
    </row>
    <row r="4" spans="1:28" x14ac:dyDescent="0.25">
      <c r="A4" t="s">
        <v>8</v>
      </c>
      <c r="B4">
        <v>0.99999676499088797</v>
      </c>
      <c r="C4">
        <v>0.93377897676370902</v>
      </c>
      <c r="D4">
        <v>0.76211386727517205</v>
      </c>
      <c r="E4">
        <v>0.28543057107034697</v>
      </c>
      <c r="F4">
        <v>0.22142708168625</v>
      </c>
      <c r="G4">
        <v>0.120272859658852</v>
      </c>
      <c r="H4">
        <v>7.6192990974053798E-2</v>
      </c>
      <c r="I4">
        <v>7.5664632542644605E-2</v>
      </c>
      <c r="J4">
        <v>7.8956279000010801E-2</v>
      </c>
      <c r="K4">
        <v>6.0342933151901999E-2</v>
      </c>
      <c r="L4">
        <v>1192.04475233785</v>
      </c>
      <c r="M4">
        <v>25.015484021419802</v>
      </c>
      <c r="N4">
        <v>48.012639476057799</v>
      </c>
      <c r="O4">
        <v>47.350884710184602</v>
      </c>
      <c r="P4">
        <v>-0.12077215541422</v>
      </c>
      <c r="Q4">
        <v>8.5591676774143796E-2</v>
      </c>
      <c r="R4">
        <v>0.99233299951272502</v>
      </c>
      <c r="S4" t="s">
        <v>7007</v>
      </c>
      <c r="T4" t="s">
        <v>14004</v>
      </c>
      <c r="U4" t="s">
        <v>14004</v>
      </c>
      <c r="V4" t="s">
        <v>14004</v>
      </c>
      <c r="W4" t="s">
        <v>14008</v>
      </c>
      <c r="X4">
        <v>18</v>
      </c>
      <c r="Y4" t="s">
        <v>20944</v>
      </c>
      <c r="Z4" t="s">
        <v>27714</v>
      </c>
      <c r="AA4">
        <v>0.32691956422972368</v>
      </c>
      <c r="AB4" t="str">
        <f>HYPERLINK("Melting_Curves/meltCurve_A0MZ66_4_KIAA1598.pdf", "Melting_Curves/meltCurve_A0MZ66_4_KIAA1598.pdf")</f>
        <v>Melting_Curves/meltCurve_A0MZ66_4_KIAA1598.pdf</v>
      </c>
    </row>
    <row r="5" spans="1:28" x14ac:dyDescent="0.25">
      <c r="A5" t="s">
        <v>9</v>
      </c>
      <c r="B5">
        <v>0.99999676499088797</v>
      </c>
      <c r="C5">
        <v>0.97987259373093805</v>
      </c>
      <c r="D5">
        <v>1.0637186960487901</v>
      </c>
      <c r="E5">
        <v>1.0631768716096901</v>
      </c>
      <c r="F5">
        <v>0.45970076511166202</v>
      </c>
      <c r="G5">
        <v>0.33340799007726302</v>
      </c>
      <c r="H5">
        <v>0.13046992942412899</v>
      </c>
      <c r="I5">
        <v>0.144587638106773</v>
      </c>
      <c r="J5">
        <v>0.13370430897216801</v>
      </c>
      <c r="K5">
        <v>0.12400332156742799</v>
      </c>
      <c r="L5">
        <v>3293.9167152506502</v>
      </c>
      <c r="M5">
        <v>62.465302501083698</v>
      </c>
      <c r="N5">
        <v>53.083850586449799</v>
      </c>
      <c r="O5">
        <v>52.677977135648902</v>
      </c>
      <c r="P5">
        <v>-0.24619240453824801</v>
      </c>
      <c r="Q5">
        <v>0.16952850833489999</v>
      </c>
      <c r="R5">
        <v>0.97578860869584805</v>
      </c>
      <c r="S5" t="s">
        <v>7008</v>
      </c>
      <c r="T5" t="s">
        <v>14004</v>
      </c>
      <c r="U5" t="s">
        <v>14004</v>
      </c>
      <c r="V5" t="s">
        <v>14004</v>
      </c>
      <c r="W5" t="s">
        <v>14009</v>
      </c>
      <c r="X5">
        <v>2</v>
      </c>
      <c r="Y5" t="s">
        <v>20945</v>
      </c>
      <c r="Z5" t="s">
        <v>27715</v>
      </c>
      <c r="AA5">
        <v>0.52321416511188856</v>
      </c>
      <c r="AB5" t="str">
        <f>HYPERLINK("Melting_Curves/meltCurve_A0PJW6_TMEM223.pdf", "Melting_Curves/meltCurve_A0PJW6_TMEM223.pdf")</f>
        <v>Melting_Curves/meltCurve_A0PJW6_TMEM223.pdf</v>
      </c>
    </row>
    <row r="6" spans="1:28" x14ac:dyDescent="0.25">
      <c r="A6" t="s">
        <v>10</v>
      </c>
      <c r="B6">
        <v>0.99999676499088797</v>
      </c>
      <c r="C6">
        <v>1.0996653537988901</v>
      </c>
      <c r="D6">
        <v>0.99498915152043599</v>
      </c>
      <c r="E6">
        <v>0.82277678653102204</v>
      </c>
      <c r="F6">
        <v>0.426313800905467</v>
      </c>
      <c r="G6">
        <v>0.32682271718429401</v>
      </c>
      <c r="H6">
        <v>0.18608072342356999</v>
      </c>
      <c r="I6">
        <v>0.18226995972933699</v>
      </c>
      <c r="J6">
        <v>0.113382763769191</v>
      </c>
      <c r="K6">
        <v>0.14608980842768199</v>
      </c>
      <c r="L6">
        <v>1265.6366119016</v>
      </c>
      <c r="M6">
        <v>24.288333038822199</v>
      </c>
      <c r="N6">
        <v>52.924411070842801</v>
      </c>
      <c r="O6">
        <v>51.759445304294097</v>
      </c>
      <c r="P6">
        <v>-9.9001029353442405E-2</v>
      </c>
      <c r="Q6">
        <v>0.156111525252321</v>
      </c>
      <c r="R6">
        <v>0.98508412728363604</v>
      </c>
      <c r="S6" t="s">
        <v>7009</v>
      </c>
      <c r="T6" t="s">
        <v>14004</v>
      </c>
      <c r="U6" t="s">
        <v>14004</v>
      </c>
      <c r="V6" t="s">
        <v>14004</v>
      </c>
      <c r="W6" t="s">
        <v>14010</v>
      </c>
      <c r="X6">
        <v>2</v>
      </c>
      <c r="Y6" t="s">
        <v>20946</v>
      </c>
      <c r="Z6" t="s">
        <v>27716</v>
      </c>
      <c r="AA6">
        <v>0.50487830788643551</v>
      </c>
      <c r="AB6" t="str">
        <f>HYPERLINK("Melting_Curves/meltCurve_A1A4S6_ARHGAP10.pdf", "Melting_Curves/meltCurve_A1A4S6_ARHGAP10.pdf")</f>
        <v>Melting_Curves/meltCurve_A1A4S6_ARHGAP10.pdf</v>
      </c>
    </row>
    <row r="7" spans="1:28" x14ac:dyDescent="0.25">
      <c r="A7" t="s">
        <v>11</v>
      </c>
      <c r="B7">
        <v>0.99999676499088797</v>
      </c>
      <c r="C7">
        <v>1.13259408447271</v>
      </c>
      <c r="D7">
        <v>1.0095723006692101</v>
      </c>
      <c r="E7">
        <v>0.96860019477373505</v>
      </c>
      <c r="F7">
        <v>0.76822618421821998</v>
      </c>
      <c r="G7">
        <v>0.70299222999844202</v>
      </c>
      <c r="H7">
        <v>0.29097375141869097</v>
      </c>
      <c r="I7">
        <v>0.23513961453354101</v>
      </c>
      <c r="J7">
        <v>0.19968019710641999</v>
      </c>
      <c r="K7">
        <v>0.164881495202399</v>
      </c>
      <c r="L7">
        <v>1111.4185596064799</v>
      </c>
      <c r="M7">
        <v>19.345592459823902</v>
      </c>
      <c r="N7">
        <v>58.375105650400997</v>
      </c>
      <c r="O7">
        <v>56.8474237816271</v>
      </c>
      <c r="P7">
        <v>-7.3855320045754499E-2</v>
      </c>
      <c r="Q7">
        <v>0.13193068755797999</v>
      </c>
      <c r="R7">
        <v>0.97256404414772801</v>
      </c>
      <c r="S7" t="s">
        <v>7010</v>
      </c>
      <c r="T7" t="s">
        <v>14004</v>
      </c>
      <c r="U7" t="s">
        <v>14004</v>
      </c>
      <c r="V7" t="s">
        <v>14004</v>
      </c>
      <c r="W7" t="s">
        <v>14011</v>
      </c>
      <c r="X7">
        <v>15</v>
      </c>
      <c r="Y7" t="s">
        <v>20947</v>
      </c>
      <c r="Z7" t="s">
        <v>27717</v>
      </c>
      <c r="AA7">
        <v>0.64755009672011943</v>
      </c>
      <c r="AB7" t="str">
        <f>HYPERLINK("Melting_Curves/meltCurve_A1L0T0_ILVBL.pdf", "Melting_Curves/meltCurve_A1L0T0_ILVBL.pdf")</f>
        <v>Melting_Curves/meltCurve_A1L0T0_ILVBL.pdf</v>
      </c>
    </row>
    <row r="8" spans="1:28" x14ac:dyDescent="0.25">
      <c r="A8" t="s">
        <v>12</v>
      </c>
      <c r="B8">
        <v>0.99999676499088797</v>
      </c>
      <c r="C8">
        <v>0.95623351116274502</v>
      </c>
      <c r="D8">
        <v>0.87619377100120599</v>
      </c>
      <c r="E8">
        <v>0.78724582403440702</v>
      </c>
      <c r="F8">
        <v>0.56469987644469</v>
      </c>
      <c r="G8">
        <v>0.59823288165927602</v>
      </c>
      <c r="H8">
        <v>0.31843288318969099</v>
      </c>
      <c r="I8">
        <v>0.32753186889361302</v>
      </c>
      <c r="J8">
        <v>0.37989447702797502</v>
      </c>
      <c r="K8">
        <v>0.259716630495617</v>
      </c>
      <c r="L8">
        <v>584.77259484490605</v>
      </c>
      <c r="M8">
        <v>10.9564685093086</v>
      </c>
      <c r="N8">
        <v>56.708716386730103</v>
      </c>
      <c r="O8">
        <v>51.686791498489598</v>
      </c>
      <c r="P8">
        <v>-4.0418798628702401E-2</v>
      </c>
      <c r="Q8">
        <v>0.23756366751862601</v>
      </c>
      <c r="R8">
        <v>0.96267488204347096</v>
      </c>
      <c r="S8" t="s">
        <v>7011</v>
      </c>
      <c r="T8" t="s">
        <v>14004</v>
      </c>
      <c r="U8" t="s">
        <v>14004</v>
      </c>
      <c r="V8" t="s">
        <v>14004</v>
      </c>
      <c r="W8" t="s">
        <v>14012</v>
      </c>
      <c r="X8">
        <v>2</v>
      </c>
      <c r="Y8" t="s">
        <v>20948</v>
      </c>
      <c r="Z8" t="s">
        <v>27718</v>
      </c>
      <c r="AA8">
        <v>0.60046512349882164</v>
      </c>
      <c r="AB8" t="str">
        <f>HYPERLINK("Melting_Curves/meltCurve_A1L188_C17orf89.pdf", "Melting_Curves/meltCurve_A1L188_C17orf89.pdf")</f>
        <v>Melting_Curves/meltCurve_A1L188_C17orf89.pdf</v>
      </c>
    </row>
    <row r="9" spans="1:28" x14ac:dyDescent="0.25">
      <c r="A9" t="s">
        <v>13</v>
      </c>
      <c r="B9">
        <v>0.99999676499088797</v>
      </c>
      <c r="C9">
        <v>0.93769861767875695</v>
      </c>
      <c r="D9">
        <v>0.63530043779674095</v>
      </c>
      <c r="E9">
        <v>0.25652179058160601</v>
      </c>
      <c r="F9">
        <v>0.18779429488402999</v>
      </c>
      <c r="G9">
        <v>0.132307377790328</v>
      </c>
      <c r="H9">
        <v>6.6368402135051005E-2</v>
      </c>
      <c r="I9">
        <v>5.8683120512846E-2</v>
      </c>
      <c r="J9">
        <v>5.6540571547694402E-2</v>
      </c>
      <c r="K9">
        <v>5.6766813488260501E-2</v>
      </c>
      <c r="L9">
        <v>1102.2186459555101</v>
      </c>
      <c r="M9">
        <v>23.485388298642</v>
      </c>
      <c r="N9">
        <v>47.265570490276801</v>
      </c>
      <c r="O9">
        <v>46.595804839325197</v>
      </c>
      <c r="P9">
        <v>-0.11638771887399101</v>
      </c>
      <c r="Q9">
        <v>7.6347269663726403E-2</v>
      </c>
      <c r="R9">
        <v>0.99365729219816401</v>
      </c>
      <c r="S9" t="s">
        <v>7012</v>
      </c>
      <c r="T9" t="s">
        <v>14004</v>
      </c>
      <c r="U9" t="s">
        <v>14004</v>
      </c>
      <c r="V9" t="s">
        <v>14004</v>
      </c>
      <c r="W9" t="s">
        <v>14013</v>
      </c>
      <c r="X9">
        <v>7</v>
      </c>
      <c r="Y9" t="s">
        <v>20949</v>
      </c>
      <c r="Z9" t="s">
        <v>27719</v>
      </c>
      <c r="AA9">
        <v>0.29926182219615061</v>
      </c>
      <c r="AB9" t="str">
        <f>HYPERLINK("Melting_Curves/meltCurve_A1X283_SH3PXD2B.pdf", "Melting_Curves/meltCurve_A1X283_SH3PXD2B.pdf")</f>
        <v>Melting_Curves/meltCurve_A1X283_SH3PXD2B.pdf</v>
      </c>
    </row>
    <row r="10" spans="1:28" x14ac:dyDescent="0.25">
      <c r="A10" t="s">
        <v>14</v>
      </c>
      <c r="B10">
        <v>0.99999676499088797</v>
      </c>
      <c r="C10">
        <v>0.921833777933738</v>
      </c>
      <c r="D10">
        <v>0.84150644858345303</v>
      </c>
      <c r="E10">
        <v>0.71876574764888401</v>
      </c>
      <c r="F10">
        <v>0.187562153307851</v>
      </c>
      <c r="G10">
        <v>0.13246028288665701</v>
      </c>
      <c r="H10">
        <v>5.9831875661485699E-2</v>
      </c>
      <c r="I10">
        <v>6.1616823667821702E-2</v>
      </c>
      <c r="J10">
        <v>5.3401849952683302E-2</v>
      </c>
      <c r="K10">
        <v>4.2175341371978398E-2</v>
      </c>
      <c r="L10">
        <v>1338.0026863605599</v>
      </c>
      <c r="M10">
        <v>26.439335684479001</v>
      </c>
      <c r="N10">
        <v>50.805989673069703</v>
      </c>
      <c r="O10">
        <v>50.319670665458901</v>
      </c>
      <c r="P10">
        <v>-0.12488240730486699</v>
      </c>
      <c r="Q10">
        <v>4.9299267415981902E-2</v>
      </c>
      <c r="R10">
        <v>0.98385321608665</v>
      </c>
      <c r="S10" t="s">
        <v>7013</v>
      </c>
      <c r="T10" t="s">
        <v>14004</v>
      </c>
      <c r="U10" t="s">
        <v>14004</v>
      </c>
      <c r="V10" t="s">
        <v>14004</v>
      </c>
      <c r="W10" t="s">
        <v>14014</v>
      </c>
      <c r="X10">
        <v>36</v>
      </c>
      <c r="Y10" t="s">
        <v>20950</v>
      </c>
      <c r="Z10" t="s">
        <v>27720</v>
      </c>
      <c r="AA10">
        <v>0.39307031313802437</v>
      </c>
      <c r="AB10" t="str">
        <f>HYPERLINK("Melting_Curves/meltCurve_A2A274_ACO2.pdf", "Melting_Curves/meltCurve_A2A274_ACO2.pdf")</f>
        <v>Melting_Curves/meltCurve_A2A274_ACO2.pdf</v>
      </c>
    </row>
    <row r="11" spans="1:28" x14ac:dyDescent="0.25">
      <c r="A11" t="s">
        <v>15</v>
      </c>
      <c r="B11">
        <v>0.99999676499088797</v>
      </c>
      <c r="C11">
        <v>0.976633366449284</v>
      </c>
      <c r="D11">
        <v>0.77886929479495604</v>
      </c>
      <c r="E11">
        <v>0.92400159861338305</v>
      </c>
      <c r="F11">
        <v>0.48849921328006501</v>
      </c>
      <c r="G11">
        <v>1.74742255680434</v>
      </c>
      <c r="H11">
        <v>0.35249989117381603</v>
      </c>
      <c r="I11">
        <v>0.43540789462931201</v>
      </c>
      <c r="J11">
        <v>0.440374792135384</v>
      </c>
      <c r="K11">
        <v>0.51764028200787504</v>
      </c>
      <c r="L11">
        <v>14748.8356317215</v>
      </c>
      <c r="M11">
        <v>250</v>
      </c>
      <c r="N11">
        <v>59.486056387319003</v>
      </c>
      <c r="O11">
        <v>58.991564782086598</v>
      </c>
      <c r="P11">
        <v>-0.59709711774890295</v>
      </c>
      <c r="Q11">
        <v>0.43642088454423</v>
      </c>
      <c r="R11">
        <v>0.44849865601540601</v>
      </c>
      <c r="S11" t="s">
        <v>7014</v>
      </c>
      <c r="T11" t="s">
        <v>14004</v>
      </c>
      <c r="U11" t="s">
        <v>14004</v>
      </c>
      <c r="V11" t="s">
        <v>14004</v>
      </c>
      <c r="W11" t="s">
        <v>14015</v>
      </c>
      <c r="X11">
        <v>23</v>
      </c>
      <c r="Y11" t="s">
        <v>20951</v>
      </c>
      <c r="Z11" t="s">
        <v>27721</v>
      </c>
      <c r="AA11">
        <v>0.79332517985571782</v>
      </c>
      <c r="AB11" t="str">
        <f>HYPERLINK("Melting_Curves/meltCurve_A2A2D0_STMN1.pdf", "Melting_Curves/meltCurve_A2A2D0_STMN1.pdf")</f>
        <v>Melting_Curves/meltCurve_A2A2D0_STMN1.pdf</v>
      </c>
    </row>
    <row r="12" spans="1:28" x14ac:dyDescent="0.25">
      <c r="A12" t="s">
        <v>16</v>
      </c>
      <c r="B12">
        <v>0.99999676499088797</v>
      </c>
      <c r="C12">
        <v>0.93408556211737603</v>
      </c>
      <c r="D12">
        <v>1.01310301143105</v>
      </c>
      <c r="E12">
        <v>1.1183318597429499</v>
      </c>
      <c r="F12">
        <v>0.53465631881275999</v>
      </c>
      <c r="G12">
        <v>0.12740227135895801</v>
      </c>
      <c r="H12">
        <v>0</v>
      </c>
      <c r="I12">
        <v>0</v>
      </c>
      <c r="J12">
        <v>0</v>
      </c>
      <c r="K12">
        <v>0</v>
      </c>
      <c r="L12">
        <v>2765.6281406964799</v>
      </c>
      <c r="M12">
        <v>51.785772679121202</v>
      </c>
      <c r="N12">
        <v>53.435514876278603</v>
      </c>
      <c r="O12">
        <v>53.3257337352779</v>
      </c>
      <c r="P12">
        <v>-0.23926168236395101</v>
      </c>
      <c r="Q12">
        <v>1.44945332949852E-2</v>
      </c>
      <c r="R12">
        <v>0.986706664440402</v>
      </c>
      <c r="S12" t="s">
        <v>7015</v>
      </c>
      <c r="T12" t="s">
        <v>14004</v>
      </c>
      <c r="U12" t="s">
        <v>14004</v>
      </c>
      <c r="V12" t="s">
        <v>14004</v>
      </c>
      <c r="W12" t="s">
        <v>14016</v>
      </c>
      <c r="X12">
        <v>3</v>
      </c>
      <c r="Y12" t="s">
        <v>20952</v>
      </c>
      <c r="Z12" t="s">
        <v>27722</v>
      </c>
      <c r="AA12">
        <v>0.45702001957327032</v>
      </c>
      <c r="AB12" t="str">
        <f>HYPERLINK("Melting_Curves/meltCurve_A2A2G4_ALG6.pdf", "Melting_Curves/meltCurve_A2A2G4_ALG6.pdf")</f>
        <v>Melting_Curves/meltCurve_A2A2G4_ALG6.pdf</v>
      </c>
    </row>
    <row r="13" spans="1:28" x14ac:dyDescent="0.25">
      <c r="A13" t="s">
        <v>17</v>
      </c>
      <c r="B13">
        <v>0.99999676499088797</v>
      </c>
      <c r="C13">
        <v>0.89339948747501696</v>
      </c>
      <c r="D13">
        <v>0.70560795736197801</v>
      </c>
      <c r="E13">
        <v>0.51814840938506201</v>
      </c>
      <c r="F13">
        <v>0.36206461220423802</v>
      </c>
      <c r="G13">
        <v>0.20429413992539999</v>
      </c>
      <c r="H13">
        <v>0.10636490040626401</v>
      </c>
      <c r="I13">
        <v>8.0653660978528399E-2</v>
      </c>
      <c r="J13">
        <v>6.8852736789959706E-2</v>
      </c>
      <c r="K13">
        <v>5.5068855604044203E-2</v>
      </c>
      <c r="L13">
        <v>607.01235201462202</v>
      </c>
      <c r="M13">
        <v>12.1820580239965</v>
      </c>
      <c r="N13">
        <v>50.031987697899197</v>
      </c>
      <c r="O13">
        <v>48.542684101875103</v>
      </c>
      <c r="P13">
        <v>-6.1235637009782802E-2</v>
      </c>
      <c r="Q13">
        <v>2.4182054532766201E-2</v>
      </c>
      <c r="R13">
        <v>0.99592996123018795</v>
      </c>
      <c r="S13" t="s">
        <v>7016</v>
      </c>
      <c r="T13" t="s">
        <v>14004</v>
      </c>
      <c r="U13" t="s">
        <v>14004</v>
      </c>
      <c r="V13" t="s">
        <v>14004</v>
      </c>
      <c r="W13" t="s">
        <v>14017</v>
      </c>
      <c r="X13">
        <v>3</v>
      </c>
      <c r="Y13" t="s">
        <v>20953</v>
      </c>
      <c r="Z13" t="s">
        <v>27723</v>
      </c>
      <c r="AA13">
        <v>0.37718803092911402</v>
      </c>
      <c r="AB13" t="str">
        <f>HYPERLINK("Melting_Curves/meltCurve_A2A2Q9_AAR2.pdf", "Melting_Curves/meltCurve_A2A2Q9_AAR2.pdf")</f>
        <v>Melting_Curves/meltCurve_A2A2Q9_AAR2.pdf</v>
      </c>
    </row>
    <row r="14" spans="1:28" x14ac:dyDescent="0.25">
      <c r="A14" t="s">
        <v>18</v>
      </c>
      <c r="B14">
        <v>0.99999676499088797</v>
      </c>
      <c r="C14">
        <v>1.01019876066112</v>
      </c>
      <c r="D14">
        <v>0.99095338712966297</v>
      </c>
      <c r="E14">
        <v>1.1035621379130001</v>
      </c>
      <c r="F14">
        <v>0.83444876030236204</v>
      </c>
      <c r="G14">
        <v>1.0467513275234099</v>
      </c>
      <c r="H14">
        <v>0.79693628459515498</v>
      </c>
      <c r="I14">
        <v>0.81321095840632895</v>
      </c>
      <c r="J14">
        <v>0.79942065981548704</v>
      </c>
      <c r="K14">
        <v>0.95605062839009403</v>
      </c>
      <c r="L14">
        <v>5620.7657937341601</v>
      </c>
      <c r="M14">
        <v>95.711679322319995</v>
      </c>
      <c r="O14">
        <v>58.700370760024299</v>
      </c>
      <c r="P14">
        <v>-6.5033309320951693E-2</v>
      </c>
      <c r="Q14">
        <v>0.84045915112945702</v>
      </c>
      <c r="R14">
        <v>0.491803590376512</v>
      </c>
      <c r="S14" t="s">
        <v>7017</v>
      </c>
      <c r="T14" t="s">
        <v>14004</v>
      </c>
      <c r="U14" t="s">
        <v>14004</v>
      </c>
      <c r="V14" t="s">
        <v>14004</v>
      </c>
      <c r="W14" t="s">
        <v>14018</v>
      </c>
      <c r="X14">
        <v>2</v>
      </c>
      <c r="Y14" t="s">
        <v>20954</v>
      </c>
      <c r="Z14" t="s">
        <v>27724</v>
      </c>
      <c r="AA14">
        <v>0.94015697089837247</v>
      </c>
      <c r="AB14" t="str">
        <f>HYPERLINK("Melting_Curves/meltCurve_A2A2V1_PRNP.pdf", "Melting_Curves/meltCurve_A2A2V1_PRNP.pdf")</f>
        <v>Melting_Curves/meltCurve_A2A2V1_PRNP.pdf</v>
      </c>
    </row>
    <row r="15" spans="1:28" x14ac:dyDescent="0.25">
      <c r="A15" t="s">
        <v>19</v>
      </c>
      <c r="B15">
        <v>0.99999676499088797</v>
      </c>
      <c r="C15">
        <v>0.96817613431529803</v>
      </c>
      <c r="D15">
        <v>0.98633240334274996</v>
      </c>
      <c r="E15">
        <v>0.812106669825298</v>
      </c>
      <c r="F15">
        <v>0.151587080485622</v>
      </c>
      <c r="G15">
        <v>0.118855888808959</v>
      </c>
      <c r="H15">
        <v>3.0505722480990601E-2</v>
      </c>
      <c r="I15">
        <v>5.4101096413420202E-2</v>
      </c>
      <c r="J15">
        <v>4.07578557739137E-2</v>
      </c>
      <c r="K15">
        <v>2.9825910480197101E-2</v>
      </c>
      <c r="L15">
        <v>2524.6966244079899</v>
      </c>
      <c r="M15">
        <v>49.521052165418901</v>
      </c>
      <c r="N15">
        <v>51.096204900412701</v>
      </c>
      <c r="O15">
        <v>50.899364809694099</v>
      </c>
      <c r="P15">
        <v>-0.230518575939124</v>
      </c>
      <c r="Q15">
        <v>5.2262695761043101E-2</v>
      </c>
      <c r="R15">
        <v>0.99678609736618795</v>
      </c>
      <c r="S15" t="s">
        <v>7018</v>
      </c>
      <c r="T15" t="s">
        <v>14004</v>
      </c>
      <c r="U15" t="s">
        <v>14004</v>
      </c>
      <c r="V15" t="s">
        <v>14004</v>
      </c>
      <c r="W15" t="s">
        <v>14019</v>
      </c>
      <c r="X15">
        <v>11</v>
      </c>
      <c r="Y15" t="s">
        <v>20955</v>
      </c>
      <c r="Z15" t="s">
        <v>27725</v>
      </c>
      <c r="AA15">
        <v>0.40137979693779452</v>
      </c>
      <c r="AB15" t="str">
        <f>HYPERLINK("Melting_Curves/meltCurve_A2A3N6_PIPSL.pdf", "Melting_Curves/meltCurve_A2A3N6_PIPSL.pdf")</f>
        <v>Melting_Curves/meltCurve_A2A3N6_PIPSL.pdf</v>
      </c>
    </row>
    <row r="16" spans="1:28" x14ac:dyDescent="0.25">
      <c r="A16" t="s">
        <v>20</v>
      </c>
      <c r="B16">
        <v>0.99999676499088797</v>
      </c>
      <c r="C16">
        <v>0.80411829299910698</v>
      </c>
      <c r="D16">
        <v>0.68688517977275398</v>
      </c>
      <c r="E16">
        <v>0.43146735988467699</v>
      </c>
      <c r="F16">
        <v>0.296823479923772</v>
      </c>
      <c r="G16">
        <v>0.140645976441967</v>
      </c>
      <c r="H16">
        <v>0.14229378314996699</v>
      </c>
      <c r="I16">
        <v>0.14490493090425499</v>
      </c>
      <c r="J16">
        <v>0.20044387255593399</v>
      </c>
      <c r="K16">
        <v>0.172044409482037</v>
      </c>
      <c r="L16">
        <v>749.12891515938998</v>
      </c>
      <c r="M16">
        <v>15.832782339029601</v>
      </c>
      <c r="N16">
        <v>48.360764802128202</v>
      </c>
      <c r="O16">
        <v>46.579561076430501</v>
      </c>
      <c r="P16">
        <v>-7.2665484813253703E-2</v>
      </c>
      <c r="Q16">
        <v>0.144951771326085</v>
      </c>
      <c r="R16">
        <v>0.98500409033713898</v>
      </c>
      <c r="S16" t="s">
        <v>7019</v>
      </c>
      <c r="T16" t="s">
        <v>14004</v>
      </c>
      <c r="U16" t="s">
        <v>14004</v>
      </c>
      <c r="V16" t="s">
        <v>14004</v>
      </c>
      <c r="W16" t="s">
        <v>14020</v>
      </c>
      <c r="X16">
        <v>14</v>
      </c>
      <c r="Y16" t="s">
        <v>20956</v>
      </c>
      <c r="Z16" t="s">
        <v>27726</v>
      </c>
      <c r="AA16">
        <v>0.37384327776177823</v>
      </c>
      <c r="AB16" t="str">
        <f>HYPERLINK("Melting_Curves/meltCurve_A2ABK1_NELFE.pdf", "Melting_Curves/meltCurve_A2ABK1_NELFE.pdf")</f>
        <v>Melting_Curves/meltCurve_A2ABK1_NELFE.pdf</v>
      </c>
    </row>
    <row r="17" spans="1:28" x14ac:dyDescent="0.25">
      <c r="A17" t="s">
        <v>21</v>
      </c>
      <c r="B17">
        <v>0.99999676499088797</v>
      </c>
      <c r="C17">
        <v>1.04737911232751</v>
      </c>
      <c r="D17">
        <v>0.583524457105838</v>
      </c>
      <c r="E17">
        <v>0.305283845258422</v>
      </c>
      <c r="F17">
        <v>0.23032686737969399</v>
      </c>
      <c r="G17">
        <v>0.20526577047627101</v>
      </c>
      <c r="H17">
        <v>9.9317554461340204E-2</v>
      </c>
      <c r="I17">
        <v>0.107985561939608</v>
      </c>
      <c r="J17">
        <v>7.8802511388149504E-2</v>
      </c>
      <c r="K17">
        <v>8.3446182039387501E-2</v>
      </c>
      <c r="L17">
        <v>1249.4293904144299</v>
      </c>
      <c r="M17">
        <v>26.751430801706501</v>
      </c>
      <c r="N17">
        <v>47.224648161766801</v>
      </c>
      <c r="O17">
        <v>46.446494501475797</v>
      </c>
      <c r="P17">
        <v>-0.12563752036727499</v>
      </c>
      <c r="Q17">
        <v>0.12746910923902299</v>
      </c>
      <c r="R17">
        <v>0.97151965237069404</v>
      </c>
      <c r="S17" t="s">
        <v>7020</v>
      </c>
      <c r="T17" t="s">
        <v>14004</v>
      </c>
      <c r="U17" t="s">
        <v>14004</v>
      </c>
      <c r="V17" t="s">
        <v>14004</v>
      </c>
      <c r="W17" t="s">
        <v>14021</v>
      </c>
      <c r="X17">
        <v>8</v>
      </c>
      <c r="Y17" t="s">
        <v>20957</v>
      </c>
      <c r="Z17" t="s">
        <v>27727</v>
      </c>
      <c r="AA17">
        <v>0.32923064395308987</v>
      </c>
      <c r="AB17" t="str">
        <f>HYPERLINK("Melting_Curves/meltCurve_A2RRP1_NBAS.pdf", "Melting_Curves/meltCurve_A2RRP1_NBAS.pdf")</f>
        <v>Melting_Curves/meltCurve_A2RRP1_NBAS.pdf</v>
      </c>
    </row>
    <row r="18" spans="1:28" x14ac:dyDescent="0.25">
      <c r="A18" t="s">
        <v>22</v>
      </c>
      <c r="B18">
        <v>0.99999676499088797</v>
      </c>
      <c r="C18">
        <v>1.23400251940549</v>
      </c>
      <c r="D18">
        <v>1.0959319151878699</v>
      </c>
      <c r="E18">
        <v>0.99979931715730996</v>
      </c>
      <c r="F18">
        <v>0.91240898814651705</v>
      </c>
      <c r="G18">
        <v>0.88205820411890201</v>
      </c>
      <c r="H18">
        <v>0.67995173196312897</v>
      </c>
      <c r="I18">
        <v>0.58633437748938</v>
      </c>
      <c r="J18">
        <v>0.52820555455142604</v>
      </c>
      <c r="K18">
        <v>0.61501577052325795</v>
      </c>
      <c r="L18">
        <v>1491.74638602767</v>
      </c>
      <c r="M18">
        <v>25.5142612737313</v>
      </c>
      <c r="O18">
        <v>58.111538299767197</v>
      </c>
      <c r="P18">
        <v>-4.8636040838358E-2</v>
      </c>
      <c r="Q18">
        <v>0.55690975082717797</v>
      </c>
      <c r="R18">
        <v>0.85909042452733797</v>
      </c>
      <c r="S18" t="s">
        <v>7021</v>
      </c>
      <c r="T18" t="s">
        <v>14004</v>
      </c>
      <c r="U18" t="s">
        <v>14004</v>
      </c>
      <c r="V18" t="s">
        <v>14004</v>
      </c>
      <c r="W18" t="s">
        <v>14022</v>
      </c>
      <c r="X18">
        <v>4</v>
      </c>
      <c r="Y18" t="s">
        <v>20958</v>
      </c>
      <c r="Z18" t="s">
        <v>27728</v>
      </c>
      <c r="AA18">
        <v>0.83332617957957533</v>
      </c>
      <c r="AB18" t="str">
        <f>HYPERLINK("Melting_Curves/meltCurve_A2RU67_KIAA1467.pdf", "Melting_Curves/meltCurve_A2RU67_KIAA1467.pdf")</f>
        <v>Melting_Curves/meltCurve_A2RU67_KIAA1467.pdf</v>
      </c>
    </row>
    <row r="19" spans="1:28" x14ac:dyDescent="0.25">
      <c r="A19" t="s">
        <v>23</v>
      </c>
      <c r="B19">
        <v>0.99999676499088797</v>
      </c>
      <c r="C19">
        <v>1.02662126537446</v>
      </c>
      <c r="D19">
        <v>0.938396446693335</v>
      </c>
      <c r="E19">
        <v>0.66202660548388303</v>
      </c>
      <c r="F19">
        <v>0.37840190821418601</v>
      </c>
      <c r="G19">
        <v>0.23205420935646801</v>
      </c>
      <c r="H19">
        <v>9.5753682600418402E-2</v>
      </c>
      <c r="I19">
        <v>0.14755133100024101</v>
      </c>
      <c r="J19">
        <v>0.113815626481666</v>
      </c>
      <c r="K19">
        <v>9.2023111555868203E-2</v>
      </c>
      <c r="L19">
        <v>1065.35623776541</v>
      </c>
      <c r="M19">
        <v>20.868572947641901</v>
      </c>
      <c r="N19">
        <v>51.636648555987399</v>
      </c>
      <c r="O19">
        <v>50.588903662150102</v>
      </c>
      <c r="P19">
        <v>-9.2258925962764804E-2</v>
      </c>
      <c r="Q19">
        <v>0.105420459993827</v>
      </c>
      <c r="R19">
        <v>0.99544282793063898</v>
      </c>
      <c r="S19" t="s">
        <v>7022</v>
      </c>
      <c r="T19" t="s">
        <v>14004</v>
      </c>
      <c r="U19" t="s">
        <v>14004</v>
      </c>
      <c r="V19" t="s">
        <v>14004</v>
      </c>
      <c r="W19" t="s">
        <v>14023</v>
      </c>
      <c r="X19">
        <v>2</v>
      </c>
      <c r="Y19" t="s">
        <v>20959</v>
      </c>
      <c r="Z19" t="s">
        <v>27729</v>
      </c>
      <c r="AA19">
        <v>0.44640910786902199</v>
      </c>
      <c r="AB19" t="str">
        <f>HYPERLINK("Melting_Curves/meltCurve_A2RUC4_TYW5.pdf", "Melting_Curves/meltCurve_A2RUC4_TYW5.pdf")</f>
        <v>Melting_Curves/meltCurve_A2RUC4_TYW5.pdf</v>
      </c>
    </row>
    <row r="20" spans="1:28" x14ac:dyDescent="0.25">
      <c r="A20" t="s">
        <v>24</v>
      </c>
      <c r="B20">
        <v>0.99999676499088797</v>
      </c>
      <c r="C20">
        <v>1.0894818314882799</v>
      </c>
      <c r="D20">
        <v>1.0577225706477</v>
      </c>
      <c r="E20">
        <v>0.89722674604448005</v>
      </c>
      <c r="F20">
        <v>0.84357011045491204</v>
      </c>
      <c r="G20">
        <v>0.58614170193829596</v>
      </c>
      <c r="H20">
        <v>0.328120652614874</v>
      </c>
      <c r="I20">
        <v>0.34460330493060698</v>
      </c>
      <c r="J20">
        <v>0.34112609415265999</v>
      </c>
      <c r="K20">
        <v>0.38249455932807602</v>
      </c>
      <c r="L20">
        <v>1517.8070090006599</v>
      </c>
      <c r="M20">
        <v>27.399276102875501</v>
      </c>
      <c r="N20">
        <v>57.732871146524701</v>
      </c>
      <c r="O20">
        <v>55.103313296578101</v>
      </c>
      <c r="P20">
        <v>-8.2656941122581595E-2</v>
      </c>
      <c r="Q20">
        <v>0.33507312365209202</v>
      </c>
      <c r="R20">
        <v>0.97423392008454301</v>
      </c>
      <c r="S20" t="s">
        <v>7023</v>
      </c>
      <c r="T20" t="s">
        <v>14004</v>
      </c>
      <c r="U20" t="s">
        <v>14004</v>
      </c>
      <c r="V20" t="s">
        <v>14004</v>
      </c>
      <c r="W20" t="s">
        <v>14024</v>
      </c>
      <c r="X20">
        <v>4</v>
      </c>
      <c r="Y20" t="s">
        <v>20960</v>
      </c>
      <c r="Z20" t="s">
        <v>27730</v>
      </c>
      <c r="AA20">
        <v>0.68153502066158944</v>
      </c>
      <c r="AB20" t="str">
        <f>HYPERLINK("Melting_Curves/meltCurve_A2VDF0_2_FUOM.pdf", "Melting_Curves/meltCurve_A2VDF0_2_FUOM.pdf")</f>
        <v>Melting_Curves/meltCurve_A2VDF0_2_FUOM.pdf</v>
      </c>
    </row>
    <row r="21" spans="1:28" x14ac:dyDescent="0.25">
      <c r="A21" t="s">
        <v>25</v>
      </c>
      <c r="B21">
        <v>0.99999676499088797</v>
      </c>
      <c r="C21">
        <v>1.0245577532196499</v>
      </c>
      <c r="D21">
        <v>1.00034115615358</v>
      </c>
      <c r="E21">
        <v>1.0277518238766301</v>
      </c>
      <c r="F21">
        <v>0.43332164688452002</v>
      </c>
      <c r="G21">
        <v>0.264633583150511</v>
      </c>
      <c r="H21">
        <v>0.114543431175971</v>
      </c>
      <c r="I21">
        <v>0.18449281482661301</v>
      </c>
      <c r="J21">
        <v>0.148921087202529</v>
      </c>
      <c r="K21">
        <v>0.137794018732874</v>
      </c>
      <c r="L21">
        <v>3931.5923127024398</v>
      </c>
      <c r="M21">
        <v>74.645384230450105</v>
      </c>
      <c r="N21">
        <v>52.962657202715398</v>
      </c>
      <c r="O21">
        <v>52.632501174294298</v>
      </c>
      <c r="P21">
        <v>-0.29468535183317002</v>
      </c>
      <c r="Q21">
        <v>0.16886893565344499</v>
      </c>
      <c r="R21">
        <v>0.99068540158457097</v>
      </c>
      <c r="S21" t="s">
        <v>7024</v>
      </c>
      <c r="T21" t="s">
        <v>14004</v>
      </c>
      <c r="U21" t="s">
        <v>14004</v>
      </c>
      <c r="V21" t="s">
        <v>14004</v>
      </c>
      <c r="W21" t="s">
        <v>14025</v>
      </c>
      <c r="X21">
        <v>28</v>
      </c>
      <c r="Y21" t="s">
        <v>20961</v>
      </c>
      <c r="Z21" t="s">
        <v>27731</v>
      </c>
      <c r="AA21">
        <v>0.52075439361838671</v>
      </c>
      <c r="AB21" t="str">
        <f>HYPERLINK("Melting_Curves/meltCurve_A3KMH1_3_VWA8.pdf", "Melting_Curves/meltCurve_A3KMH1_3_VWA8.pdf")</f>
        <v>Melting_Curves/meltCurve_A3KMH1_3_VWA8.pdf</v>
      </c>
    </row>
    <row r="22" spans="1:28" x14ac:dyDescent="0.25">
      <c r="A22" t="s">
        <v>26</v>
      </c>
      <c r="B22">
        <v>0.99999676499088797</v>
      </c>
      <c r="C22">
        <v>0.97772191456885404</v>
      </c>
      <c r="D22">
        <v>0.90532723594383102</v>
      </c>
      <c r="E22">
        <v>0.82262234887663999</v>
      </c>
      <c r="F22">
        <v>0.31123177050068002</v>
      </c>
      <c r="G22">
        <v>0.192911169946651</v>
      </c>
      <c r="H22">
        <v>9.5300948983331704E-2</v>
      </c>
      <c r="I22">
        <v>8.6761660686360501E-2</v>
      </c>
      <c r="J22">
        <v>8.6843645664945096E-2</v>
      </c>
      <c r="K22">
        <v>6.5835271672855994E-2</v>
      </c>
      <c r="L22">
        <v>1543.5110308020601</v>
      </c>
      <c r="M22">
        <v>29.932283574194098</v>
      </c>
      <c r="N22">
        <v>51.9000273753729</v>
      </c>
      <c r="O22">
        <v>51.338215076260497</v>
      </c>
      <c r="P22">
        <v>-0.13301723100110199</v>
      </c>
      <c r="Q22">
        <v>8.7430054538676402E-2</v>
      </c>
      <c r="R22">
        <v>0.99279610359808901</v>
      </c>
      <c r="S22" t="s">
        <v>7025</v>
      </c>
      <c r="T22" t="s">
        <v>14004</v>
      </c>
      <c r="U22" t="s">
        <v>14004</v>
      </c>
      <c r="V22" t="s">
        <v>14004</v>
      </c>
      <c r="W22" t="s">
        <v>14026</v>
      </c>
      <c r="X22">
        <v>28</v>
      </c>
      <c r="Y22" t="s">
        <v>20962</v>
      </c>
      <c r="Z22" t="s">
        <v>27732</v>
      </c>
      <c r="AA22">
        <v>0.44509640580719129</v>
      </c>
      <c r="AB22" t="str">
        <f>HYPERLINK("Melting_Curves/meltCurve_A3KN83_3_SBNO1.pdf", "Melting_Curves/meltCurve_A3KN83_3_SBNO1.pdf")</f>
        <v>Melting_Curves/meltCurve_A3KN83_3_SBNO1.pdf</v>
      </c>
    </row>
    <row r="23" spans="1:28" x14ac:dyDescent="0.25">
      <c r="A23" t="s">
        <v>27</v>
      </c>
      <c r="B23">
        <v>0.99999676499088797</v>
      </c>
      <c r="C23">
        <v>0.94412148108857397</v>
      </c>
      <c r="D23">
        <v>0.78360962305342396</v>
      </c>
      <c r="E23">
        <v>0.58588821608059105</v>
      </c>
      <c r="F23">
        <v>0.31227811165936997</v>
      </c>
      <c r="G23">
        <v>0.1663622899936</v>
      </c>
      <c r="H23">
        <v>7.4899832084976206E-2</v>
      </c>
      <c r="I23">
        <v>9.3051352334156998E-2</v>
      </c>
      <c r="J23">
        <v>9.8256542515434697E-2</v>
      </c>
      <c r="K23">
        <v>0.17368086227698701</v>
      </c>
      <c r="L23">
        <v>874.70989452833498</v>
      </c>
      <c r="M23">
        <v>17.6119633311516</v>
      </c>
      <c r="N23">
        <v>50.254944209108103</v>
      </c>
      <c r="O23">
        <v>49.038630063138903</v>
      </c>
      <c r="P23">
        <v>-8.1414192224172094E-2</v>
      </c>
      <c r="Q23">
        <v>9.3292329472589794E-2</v>
      </c>
      <c r="R23">
        <v>0.99047878863722105</v>
      </c>
      <c r="S23" t="s">
        <v>7026</v>
      </c>
      <c r="T23" t="s">
        <v>14004</v>
      </c>
      <c r="U23" t="s">
        <v>14004</v>
      </c>
      <c r="V23" t="s">
        <v>14004</v>
      </c>
      <c r="W23" t="s">
        <v>14027</v>
      </c>
      <c r="X23">
        <v>5</v>
      </c>
      <c r="Y23" t="s">
        <v>20963</v>
      </c>
      <c r="Z23" t="s">
        <v>27733</v>
      </c>
      <c r="AA23">
        <v>0.40162258236403281</v>
      </c>
      <c r="AB23" t="str">
        <f>HYPERLINK("Melting_Curves/meltCurve_A4D161_2_FAM221A.pdf", "Melting_Curves/meltCurve_A4D161_2_FAM221A.pdf")</f>
        <v>Melting_Curves/meltCurve_A4D161_2_FAM221A.pdf</v>
      </c>
    </row>
    <row r="24" spans="1:28" x14ac:dyDescent="0.25">
      <c r="A24" t="s">
        <v>28</v>
      </c>
      <c r="B24">
        <v>0.99999676499088797</v>
      </c>
      <c r="C24">
        <v>0.95111429220325105</v>
      </c>
      <c r="D24">
        <v>0.82117628767149498</v>
      </c>
      <c r="E24">
        <v>0.376778449135317</v>
      </c>
      <c r="F24">
        <v>0.25240243470713603</v>
      </c>
      <c r="G24">
        <v>0.14804471739422201</v>
      </c>
      <c r="H24">
        <v>6.9559439728456601E-2</v>
      </c>
      <c r="I24">
        <v>4.4854736313592901E-2</v>
      </c>
      <c r="J24">
        <v>3.2855693954833003E-2</v>
      </c>
      <c r="K24">
        <v>3.9676205932771998E-2</v>
      </c>
      <c r="L24">
        <v>978.55389905478705</v>
      </c>
      <c r="M24">
        <v>20.073975533901599</v>
      </c>
      <c r="N24">
        <v>49.018369691754401</v>
      </c>
      <c r="O24">
        <v>48.271380767689003</v>
      </c>
      <c r="P24">
        <v>-9.8507387654975104E-2</v>
      </c>
      <c r="Q24">
        <v>5.2517966490099398E-2</v>
      </c>
      <c r="R24">
        <v>0.99148893664739501</v>
      </c>
      <c r="S24" t="s">
        <v>7027</v>
      </c>
      <c r="T24" t="s">
        <v>14004</v>
      </c>
      <c r="U24" t="s">
        <v>14004</v>
      </c>
      <c r="V24" t="s">
        <v>14004</v>
      </c>
      <c r="W24" t="s">
        <v>14028</v>
      </c>
      <c r="X24">
        <v>5</v>
      </c>
      <c r="Y24" t="s">
        <v>20964</v>
      </c>
      <c r="Z24" t="s">
        <v>27734</v>
      </c>
      <c r="AA24">
        <v>0.34199091047047059</v>
      </c>
      <c r="AB24" t="str">
        <f>HYPERLINK("Melting_Curves/meltCurve_A4D1E9_GTPBP10.pdf", "Melting_Curves/meltCurve_A4D1E9_GTPBP10.pdf")</f>
        <v>Melting_Curves/meltCurve_A4D1E9_GTPBP10.pdf</v>
      </c>
    </row>
    <row r="25" spans="1:28" x14ac:dyDescent="0.25">
      <c r="A25" t="s">
        <v>29</v>
      </c>
      <c r="B25">
        <v>0.99999676499088797</v>
      </c>
      <c r="C25">
        <v>0.94725235997107504</v>
      </c>
      <c r="D25">
        <v>1.00658673297832</v>
      </c>
      <c r="E25">
        <v>1.1302646445189499</v>
      </c>
      <c r="F25">
        <v>0.76542673251717497</v>
      </c>
      <c r="G25">
        <v>0.43376792878336101</v>
      </c>
      <c r="H25">
        <v>0.14028162108474701</v>
      </c>
      <c r="I25">
        <v>0.14594838544491301</v>
      </c>
      <c r="J25">
        <v>0.122711058044649</v>
      </c>
      <c r="K25">
        <v>0.107622646049159</v>
      </c>
      <c r="L25">
        <v>1738.5482208435999</v>
      </c>
      <c r="M25">
        <v>31.3271242160796</v>
      </c>
      <c r="N25">
        <v>55.960554199392199</v>
      </c>
      <c r="O25">
        <v>55.271904294670598</v>
      </c>
      <c r="P25">
        <v>-0.12549017343917901</v>
      </c>
      <c r="Q25">
        <v>0.114372175899506</v>
      </c>
      <c r="R25">
        <v>0.98169037409971005</v>
      </c>
      <c r="S25" t="s">
        <v>7028</v>
      </c>
      <c r="T25" t="s">
        <v>14004</v>
      </c>
      <c r="U25" t="s">
        <v>14004</v>
      </c>
      <c r="V25" t="s">
        <v>14004</v>
      </c>
      <c r="W25" t="s">
        <v>14029</v>
      </c>
      <c r="X25">
        <v>4</v>
      </c>
      <c r="Y25" t="s">
        <v>20965</v>
      </c>
      <c r="Z25" t="s">
        <v>27735</v>
      </c>
      <c r="AA25">
        <v>0.57727987492719524</v>
      </c>
      <c r="AB25" t="str">
        <f>HYPERLINK("Melting_Curves/meltCurve_A4D1U4_LCHN.pdf", "Melting_Curves/meltCurve_A4D1U4_LCHN.pdf")</f>
        <v>Melting_Curves/meltCurve_A4D1U4_LCHN.pdf</v>
      </c>
    </row>
    <row r="26" spans="1:28" x14ac:dyDescent="0.25">
      <c r="A26" t="s">
        <v>30</v>
      </c>
      <c r="B26">
        <v>0.99999676499088797</v>
      </c>
      <c r="C26">
        <v>1.0371719898407601</v>
      </c>
      <c r="D26">
        <v>1.00265469838354</v>
      </c>
      <c r="E26">
        <v>0.75840723507928698</v>
      </c>
      <c r="F26">
        <v>0.76307062424819405</v>
      </c>
      <c r="G26">
        <v>0.536483273713658</v>
      </c>
      <c r="H26">
        <v>0.41313617011788001</v>
      </c>
      <c r="I26">
        <v>0.35422789547632799</v>
      </c>
      <c r="J26">
        <v>0.35507588847122201</v>
      </c>
      <c r="K26">
        <v>0.408616545426567</v>
      </c>
      <c r="L26">
        <v>842.24846270442504</v>
      </c>
      <c r="M26">
        <v>15.689490945745099</v>
      </c>
      <c r="N26">
        <v>57.928466375810899</v>
      </c>
      <c r="O26">
        <v>52.8329271533891</v>
      </c>
      <c r="P26">
        <v>-4.8878003989215102E-2</v>
      </c>
      <c r="Q26">
        <v>0.34168690662553403</v>
      </c>
      <c r="R26">
        <v>0.96703014039560697</v>
      </c>
      <c r="S26" t="s">
        <v>7029</v>
      </c>
      <c r="T26" t="s">
        <v>14004</v>
      </c>
      <c r="U26" t="s">
        <v>14004</v>
      </c>
      <c r="V26" t="s">
        <v>14004</v>
      </c>
      <c r="W26" t="s">
        <v>14030</v>
      </c>
      <c r="X26">
        <v>3</v>
      </c>
      <c r="Y26" t="s">
        <v>20966</v>
      </c>
      <c r="Z26" t="s">
        <v>27736</v>
      </c>
      <c r="AA26">
        <v>0.65486881628210203</v>
      </c>
      <c r="AB26" t="str">
        <f>HYPERLINK("Melting_Curves/meltCurve_A4D1W8_UCC1.pdf", "Melting_Curves/meltCurve_A4D1W8_UCC1.pdf")</f>
        <v>Melting_Curves/meltCurve_A4D1W8_UCC1.pdf</v>
      </c>
    </row>
    <row r="27" spans="1:28" x14ac:dyDescent="0.25">
      <c r="A27" t="s">
        <v>31</v>
      </c>
      <c r="B27">
        <v>0.99999676499088797</v>
      </c>
      <c r="C27">
        <v>1.0175106711517099</v>
      </c>
      <c r="D27">
        <v>1.01632868315921</v>
      </c>
      <c r="E27">
        <v>1.0526153760678401</v>
      </c>
      <c r="F27">
        <v>0.84555169958342802</v>
      </c>
      <c r="G27">
        <v>0.73043613237997196</v>
      </c>
      <c r="H27">
        <v>0.384666486088314</v>
      </c>
      <c r="I27">
        <v>0.38704717355098001</v>
      </c>
      <c r="J27">
        <v>0.359033193172206</v>
      </c>
      <c r="K27">
        <v>0.43178055819838501</v>
      </c>
      <c r="L27">
        <v>1676.9060440507301</v>
      </c>
      <c r="M27">
        <v>29.593315398761401</v>
      </c>
      <c r="N27">
        <v>59.396387120851202</v>
      </c>
      <c r="O27">
        <v>56.408167423188097</v>
      </c>
      <c r="P27">
        <v>-8.2396114049062205E-2</v>
      </c>
      <c r="Q27">
        <v>0.37177950801989301</v>
      </c>
      <c r="R27">
        <v>0.97488592628864501</v>
      </c>
      <c r="S27" t="s">
        <v>7030</v>
      </c>
      <c r="T27" t="s">
        <v>14004</v>
      </c>
      <c r="U27" t="s">
        <v>14004</v>
      </c>
      <c r="V27" t="s">
        <v>14004</v>
      </c>
      <c r="W27" t="s">
        <v>14031</v>
      </c>
      <c r="X27">
        <v>4</v>
      </c>
      <c r="Y27" t="s">
        <v>20967</v>
      </c>
      <c r="Z27" t="s">
        <v>27737</v>
      </c>
      <c r="AA27">
        <v>0.72504874163680355</v>
      </c>
      <c r="AB27" t="str">
        <f>HYPERLINK("Melting_Curves/meltCurve_A4D2B0_MBLAC1.pdf", "Melting_Curves/meltCurve_A4D2B0_MBLAC1.pdf")</f>
        <v>Melting_Curves/meltCurve_A4D2B0_MBLAC1.pdf</v>
      </c>
    </row>
    <row r="28" spans="1:28" x14ac:dyDescent="0.25">
      <c r="A28" t="s">
        <v>32</v>
      </c>
      <c r="B28">
        <v>0.99999676499088797</v>
      </c>
      <c r="C28">
        <v>1.3780742244764901</v>
      </c>
      <c r="D28">
        <v>1.2186324298279201</v>
      </c>
      <c r="E28">
        <v>0.83474020615869804</v>
      </c>
      <c r="F28">
        <v>0.32691510703153198</v>
      </c>
      <c r="G28">
        <v>0.18576013024325799</v>
      </c>
      <c r="H28">
        <v>0</v>
      </c>
      <c r="I28">
        <v>0</v>
      </c>
      <c r="J28">
        <v>0.10709401366916201</v>
      </c>
      <c r="K28">
        <v>4.0950182787045E-2</v>
      </c>
      <c r="L28">
        <v>1855.93203292198</v>
      </c>
      <c r="M28">
        <v>35.709794633167498</v>
      </c>
      <c r="N28">
        <v>52.138531258060098</v>
      </c>
      <c r="O28">
        <v>51.810446222039602</v>
      </c>
      <c r="P28">
        <v>-0.16305677299345001</v>
      </c>
      <c r="Q28">
        <v>5.37030210649641E-2</v>
      </c>
      <c r="R28">
        <v>0.91934050291314495</v>
      </c>
      <c r="S28" t="s">
        <v>7031</v>
      </c>
      <c r="T28" t="s">
        <v>14004</v>
      </c>
      <c r="U28" t="s">
        <v>14004</v>
      </c>
      <c r="V28" t="s">
        <v>14004</v>
      </c>
      <c r="W28" t="s">
        <v>14032</v>
      </c>
      <c r="X28">
        <v>1</v>
      </c>
      <c r="Y28" t="s">
        <v>20968</v>
      </c>
      <c r="Z28" t="s">
        <v>27738</v>
      </c>
      <c r="AA28">
        <v>0.4356264439943397</v>
      </c>
      <c r="AB28" t="str">
        <f>HYPERLINK("Melting_Curves/meltCurve_A5LHX3_PSMB11.pdf", "Melting_Curves/meltCurve_A5LHX3_PSMB11.pdf")</f>
        <v>Melting_Curves/meltCurve_A5LHX3_PSMB11.pdf</v>
      </c>
    </row>
    <row r="29" spans="1:28" x14ac:dyDescent="0.25">
      <c r="A29" t="s">
        <v>33</v>
      </c>
      <c r="B29">
        <v>0.99999676499088797</v>
      </c>
      <c r="C29">
        <v>0.89592128779550495</v>
      </c>
      <c r="D29">
        <v>1.00796668359675</v>
      </c>
      <c r="E29">
        <v>1.4428406610375</v>
      </c>
      <c r="F29">
        <v>1.3045420475946701</v>
      </c>
      <c r="G29">
        <v>1.1669692417231501</v>
      </c>
      <c r="H29">
        <v>0.73119389864275197</v>
      </c>
      <c r="I29">
        <v>0.72282174855277503</v>
      </c>
      <c r="J29">
        <v>0.43064111011110101</v>
      </c>
      <c r="K29">
        <v>0.47737893747615501</v>
      </c>
      <c r="L29">
        <v>2043.8135781076701</v>
      </c>
      <c r="M29">
        <v>32.630262235583203</v>
      </c>
      <c r="N29">
        <v>66.978008232209007</v>
      </c>
      <c r="O29">
        <v>62.401677505628498</v>
      </c>
      <c r="P29">
        <v>-7.3244195368670606E-2</v>
      </c>
      <c r="Q29">
        <v>0.43971773110561901</v>
      </c>
      <c r="R29">
        <v>0.63927698656623999</v>
      </c>
      <c r="S29" t="s">
        <v>7032</v>
      </c>
      <c r="T29" t="s">
        <v>14004</v>
      </c>
      <c r="U29" t="s">
        <v>14004</v>
      </c>
      <c r="V29" t="s">
        <v>14004</v>
      </c>
      <c r="W29" t="s">
        <v>14033</v>
      </c>
      <c r="X29">
        <v>3</v>
      </c>
      <c r="Y29" t="s">
        <v>20969</v>
      </c>
      <c r="Z29" t="s">
        <v>27739</v>
      </c>
      <c r="AA29">
        <v>0.86459017926044945</v>
      </c>
      <c r="AB29" t="str">
        <f>HYPERLINK("Melting_Curves/meltCurve_A5PLL7_TMEM189.pdf", "Melting_Curves/meltCurve_A5PLL7_TMEM189.pdf")</f>
        <v>Melting_Curves/meltCurve_A5PLL7_TMEM189.pdf</v>
      </c>
    </row>
    <row r="30" spans="1:28" x14ac:dyDescent="0.25">
      <c r="A30" t="s">
        <v>34</v>
      </c>
      <c r="B30">
        <v>0.99999676499088797</v>
      </c>
      <c r="C30">
        <v>1.0111091566425301</v>
      </c>
      <c r="D30">
        <v>0.96934457398853302</v>
      </c>
      <c r="E30">
        <v>0.71516717713216404</v>
      </c>
      <c r="F30">
        <v>0.243906482641291</v>
      </c>
      <c r="G30">
        <v>0.17408305477616901</v>
      </c>
      <c r="H30">
        <v>8.2100800099300097E-2</v>
      </c>
      <c r="I30">
        <v>8.0989478589598901E-2</v>
      </c>
      <c r="J30">
        <v>7.79198611048251E-2</v>
      </c>
      <c r="K30">
        <v>7.1540460169982695E-2</v>
      </c>
      <c r="L30">
        <v>1602.51369875675</v>
      </c>
      <c r="M30">
        <v>31.545157734142801</v>
      </c>
      <c r="N30">
        <v>51.1080129213817</v>
      </c>
      <c r="O30">
        <v>50.597778463540898</v>
      </c>
      <c r="P30">
        <v>-0.14239546021417199</v>
      </c>
      <c r="Q30">
        <v>8.6407428852691995E-2</v>
      </c>
      <c r="R30">
        <v>0.99740969575136196</v>
      </c>
      <c r="S30" t="s">
        <v>7033</v>
      </c>
      <c r="T30" t="s">
        <v>14004</v>
      </c>
      <c r="U30" t="s">
        <v>14004</v>
      </c>
      <c r="V30" t="s">
        <v>14004</v>
      </c>
      <c r="W30" t="s">
        <v>14034</v>
      </c>
      <c r="X30">
        <v>38</v>
      </c>
      <c r="Y30" t="s">
        <v>20970</v>
      </c>
      <c r="Z30" t="s">
        <v>27740</v>
      </c>
      <c r="AA30">
        <v>0.42049564006917689</v>
      </c>
      <c r="AB30" t="str">
        <f>HYPERLINK("Melting_Curves/meltCurve_A5YKK6_CNOT1.pdf", "Melting_Curves/meltCurve_A5YKK6_CNOT1.pdf")</f>
        <v>Melting_Curves/meltCurve_A5YKK6_CNOT1.pdf</v>
      </c>
    </row>
    <row r="31" spans="1:28" x14ac:dyDescent="0.25">
      <c r="A31" t="s">
        <v>35</v>
      </c>
      <c r="B31">
        <v>0.99999676499088797</v>
      </c>
      <c r="C31">
        <v>0.90370683187557799</v>
      </c>
      <c r="D31">
        <v>0.66136532927236202</v>
      </c>
      <c r="E31">
        <v>0.36393232245277002</v>
      </c>
      <c r="F31">
        <v>0.26610663178910399</v>
      </c>
      <c r="G31">
        <v>0.18835154116528599</v>
      </c>
      <c r="H31">
        <v>4.2941787898676899E-2</v>
      </c>
      <c r="I31">
        <v>3.4332487809349402E-2</v>
      </c>
      <c r="J31">
        <v>6.6204111767939805E-2</v>
      </c>
      <c r="K31">
        <v>4.5127627669094998E-2</v>
      </c>
      <c r="L31">
        <v>739.29116735764399</v>
      </c>
      <c r="M31">
        <v>15.382515265821</v>
      </c>
      <c r="N31">
        <v>48.354609574146501</v>
      </c>
      <c r="O31">
        <v>47.270238842762403</v>
      </c>
      <c r="P31">
        <v>-7.7727727835492103E-2</v>
      </c>
      <c r="Q31">
        <v>4.4663366193531798E-2</v>
      </c>
      <c r="R31">
        <v>0.98878310482899501</v>
      </c>
      <c r="S31" t="s">
        <v>7034</v>
      </c>
      <c r="T31" t="s">
        <v>14004</v>
      </c>
      <c r="U31" t="s">
        <v>14004</v>
      </c>
      <c r="V31" t="s">
        <v>14004</v>
      </c>
      <c r="W31" t="s">
        <v>14035</v>
      </c>
      <c r="X31">
        <v>8</v>
      </c>
      <c r="Y31" t="s">
        <v>20971</v>
      </c>
      <c r="Z31" t="s">
        <v>27741</v>
      </c>
      <c r="AA31">
        <v>0.32466639149300891</v>
      </c>
      <c r="AB31" t="str">
        <f>HYPERLINK("Melting_Curves/meltCurve_A6NC98_CCDC88B.pdf", "Melting_Curves/meltCurve_A6NC98_CCDC88B.pdf")</f>
        <v>Melting_Curves/meltCurve_A6NC98_CCDC88B.pdf</v>
      </c>
    </row>
    <row r="32" spans="1:28" x14ac:dyDescent="0.25">
      <c r="A32" t="s">
        <v>36</v>
      </c>
      <c r="B32">
        <v>0.99999676499088797</v>
      </c>
      <c r="C32">
        <v>0.95739749764478399</v>
      </c>
      <c r="D32">
        <v>0.93586429626651302</v>
      </c>
      <c r="E32">
        <v>0.92341154824613503</v>
      </c>
      <c r="F32">
        <v>0.96114794594609099</v>
      </c>
      <c r="G32">
        <v>0.74005878196211805</v>
      </c>
      <c r="H32">
        <v>0.43398225185098799</v>
      </c>
      <c r="I32">
        <v>0.24031306664511201</v>
      </c>
      <c r="J32">
        <v>0.117795233532294</v>
      </c>
      <c r="K32">
        <v>0.101739697202034</v>
      </c>
      <c r="L32">
        <v>1221.8534478379599</v>
      </c>
      <c r="M32">
        <v>20.482928514659999</v>
      </c>
      <c r="N32">
        <v>59.933377188340202</v>
      </c>
      <c r="O32">
        <v>59.092429538589997</v>
      </c>
      <c r="P32">
        <v>-8.2690099487487803E-2</v>
      </c>
      <c r="Q32">
        <v>4.5797705944856701E-2</v>
      </c>
      <c r="R32">
        <v>0.99124287385186205</v>
      </c>
      <c r="S32" t="s">
        <v>7035</v>
      </c>
      <c r="T32" t="s">
        <v>14004</v>
      </c>
      <c r="U32" t="s">
        <v>14004</v>
      </c>
      <c r="V32" t="s">
        <v>14004</v>
      </c>
      <c r="W32" t="s">
        <v>14036</v>
      </c>
      <c r="X32">
        <v>11</v>
      </c>
      <c r="Y32" t="s">
        <v>20972</v>
      </c>
      <c r="Z32" t="s">
        <v>27742</v>
      </c>
      <c r="AA32">
        <v>0.67939333350916375</v>
      </c>
      <c r="AB32" t="str">
        <f>HYPERLINK("Melting_Curves/meltCurve_A6NDG6_PGP.pdf", "Melting_Curves/meltCurve_A6NDG6_PGP.pdf")</f>
        <v>Melting_Curves/meltCurve_A6NDG6_PGP.pdf</v>
      </c>
    </row>
    <row r="33" spans="1:28" x14ac:dyDescent="0.25">
      <c r="A33" t="s">
        <v>37</v>
      </c>
      <c r="B33">
        <v>0.99999676499088797</v>
      </c>
      <c r="C33">
        <v>0.94112811053266199</v>
      </c>
      <c r="D33">
        <v>0.840083289228301</v>
      </c>
      <c r="E33">
        <v>0.44806462903116401</v>
      </c>
      <c r="F33">
        <v>0.21720861306559899</v>
      </c>
      <c r="G33">
        <v>9.1588154212870199E-2</v>
      </c>
      <c r="H33">
        <v>5.6918440442526398E-2</v>
      </c>
      <c r="I33">
        <v>5.1239710112648898E-2</v>
      </c>
      <c r="J33">
        <v>5.4757864812582401E-2</v>
      </c>
      <c r="K33">
        <v>5.4014438964265298E-2</v>
      </c>
      <c r="L33">
        <v>1071.6345776277201</v>
      </c>
      <c r="M33">
        <v>21.846670519050502</v>
      </c>
      <c r="N33">
        <v>49.289432398116801</v>
      </c>
      <c r="O33">
        <v>48.647083649616299</v>
      </c>
      <c r="P33">
        <v>-0.106678313694028</v>
      </c>
      <c r="Q33">
        <v>4.9837871834974297E-2</v>
      </c>
      <c r="R33">
        <v>0.99877976699080295</v>
      </c>
      <c r="S33" t="s">
        <v>7036</v>
      </c>
      <c r="T33" t="s">
        <v>14004</v>
      </c>
      <c r="U33" t="s">
        <v>14004</v>
      </c>
      <c r="V33" t="s">
        <v>14004</v>
      </c>
      <c r="W33" t="s">
        <v>14037</v>
      </c>
      <c r="X33">
        <v>3</v>
      </c>
      <c r="Y33" t="s">
        <v>20973</v>
      </c>
      <c r="Z33" t="s">
        <v>27743</v>
      </c>
      <c r="AA33">
        <v>0.34766126704253791</v>
      </c>
      <c r="AB33" t="str">
        <f>HYPERLINK("Melting_Curves/meltCurve_A6NDU8_C5orf51.pdf", "Melting_Curves/meltCurve_A6NDU8_C5orf51.pdf")</f>
        <v>Melting_Curves/meltCurve_A6NDU8_C5orf51.pdf</v>
      </c>
    </row>
    <row r="34" spans="1:28" x14ac:dyDescent="0.25">
      <c r="A34" t="s">
        <v>38</v>
      </c>
      <c r="B34">
        <v>0.99999676499088797</v>
      </c>
      <c r="C34">
        <v>1.01903906755787</v>
      </c>
      <c r="D34">
        <v>0.97479160632345396</v>
      </c>
      <c r="E34">
        <v>0.99713097528068795</v>
      </c>
      <c r="F34">
        <v>0.70250426287281498</v>
      </c>
      <c r="G34">
        <v>0.38285742451184601</v>
      </c>
      <c r="H34">
        <v>0.195876214361345</v>
      </c>
      <c r="I34">
        <v>0.16652052523261801</v>
      </c>
      <c r="J34">
        <v>0.16869056340003799</v>
      </c>
      <c r="K34">
        <v>0.14542640021321501</v>
      </c>
      <c r="L34">
        <v>1527.9387467434999</v>
      </c>
      <c r="M34">
        <v>27.989242739775499</v>
      </c>
      <c r="N34">
        <v>55.320193323439099</v>
      </c>
      <c r="O34">
        <v>54.313827914220298</v>
      </c>
      <c r="P34">
        <v>-0.10894021177768599</v>
      </c>
      <c r="Q34">
        <v>0.154402411050995</v>
      </c>
      <c r="R34">
        <v>0.99733298312482299</v>
      </c>
      <c r="S34" t="s">
        <v>7037</v>
      </c>
      <c r="T34" t="s">
        <v>14004</v>
      </c>
      <c r="U34" t="s">
        <v>14004</v>
      </c>
      <c r="V34" t="s">
        <v>14004</v>
      </c>
      <c r="W34" t="s">
        <v>14038</v>
      </c>
      <c r="X34">
        <v>4</v>
      </c>
      <c r="Y34" t="s">
        <v>20974</v>
      </c>
      <c r="Z34" t="s">
        <v>27744</v>
      </c>
      <c r="AA34">
        <v>0.57202157765225392</v>
      </c>
      <c r="AB34" t="str">
        <f>HYPERLINK("Melting_Curves/meltCurve_A6NED2_RCCD1.pdf", "Melting_Curves/meltCurve_A6NED2_RCCD1.pdf")</f>
        <v>Melting_Curves/meltCurve_A6NED2_RCCD1.pdf</v>
      </c>
    </row>
    <row r="35" spans="1:28" x14ac:dyDescent="0.25">
      <c r="A35" t="s">
        <v>39</v>
      </c>
      <c r="B35">
        <v>0.99999676499088797</v>
      </c>
      <c r="C35">
        <v>0.88919135439353503</v>
      </c>
      <c r="D35">
        <v>0.81938582476728805</v>
      </c>
      <c r="E35">
        <v>0.69828671849452695</v>
      </c>
      <c r="F35">
        <v>0.39224070107076398</v>
      </c>
      <c r="G35">
        <v>0.169155332129309</v>
      </c>
      <c r="H35">
        <v>7.10118687027253E-2</v>
      </c>
      <c r="I35">
        <v>6.9751710963204899E-2</v>
      </c>
      <c r="J35">
        <v>7.4121554395573094E-2</v>
      </c>
      <c r="K35">
        <v>7.2162070620515606E-2</v>
      </c>
      <c r="L35">
        <v>797.483557002937</v>
      </c>
      <c r="M35">
        <v>15.5428663677793</v>
      </c>
      <c r="N35">
        <v>51.506472329782099</v>
      </c>
      <c r="O35">
        <v>50.481829061700502</v>
      </c>
      <c r="P35">
        <v>-7.4748954708810003E-2</v>
      </c>
      <c r="Q35">
        <v>2.8973874431697098E-2</v>
      </c>
      <c r="R35">
        <v>0.98987220584665303</v>
      </c>
      <c r="S35" t="s">
        <v>7038</v>
      </c>
      <c r="T35" t="s">
        <v>14004</v>
      </c>
      <c r="U35" t="s">
        <v>14004</v>
      </c>
      <c r="V35" t="s">
        <v>14004</v>
      </c>
      <c r="W35" t="s">
        <v>14039</v>
      </c>
      <c r="X35">
        <v>47</v>
      </c>
      <c r="Y35" t="s">
        <v>20975</v>
      </c>
      <c r="Z35" t="s">
        <v>27745</v>
      </c>
      <c r="AA35">
        <v>0.41597023917259468</v>
      </c>
      <c r="AB35" t="str">
        <f>HYPERLINK("Melting_Curves/meltCurve_A6NEM2_HCFC1.pdf", "Melting_Curves/meltCurve_A6NEM2_HCFC1.pdf")</f>
        <v>Melting_Curves/meltCurve_A6NEM2_HCFC1.pdf</v>
      </c>
    </row>
    <row r="36" spans="1:28" x14ac:dyDescent="0.25">
      <c r="A36" t="s">
        <v>40</v>
      </c>
      <c r="B36">
        <v>0.99999676499088797</v>
      </c>
      <c r="C36">
        <v>1.1121914121829399</v>
      </c>
      <c r="D36">
        <v>1.15278099436279</v>
      </c>
      <c r="E36">
        <v>1.0674016299337199</v>
      </c>
      <c r="F36">
        <v>0.36089016843384703</v>
      </c>
      <c r="G36">
        <v>0.22822093963028101</v>
      </c>
      <c r="H36">
        <v>0.103107013643559</v>
      </c>
      <c r="I36">
        <v>0.101128000506243</v>
      </c>
      <c r="J36">
        <v>0.119631873682948</v>
      </c>
      <c r="K36">
        <v>8.8109911371423003E-2</v>
      </c>
      <c r="L36">
        <v>10015.4732190864</v>
      </c>
      <c r="M36">
        <v>189.270435956114</v>
      </c>
      <c r="N36">
        <v>52.999050718175504</v>
      </c>
      <c r="O36">
        <v>52.9102976919458</v>
      </c>
      <c r="P36">
        <v>-0.77979370158455596</v>
      </c>
      <c r="Q36">
        <v>0.12803885093520601</v>
      </c>
      <c r="R36">
        <v>0.97434236993409196</v>
      </c>
      <c r="S36" t="s">
        <v>7039</v>
      </c>
      <c r="T36" t="s">
        <v>14004</v>
      </c>
      <c r="U36" t="s">
        <v>14004</v>
      </c>
      <c r="V36" t="s">
        <v>14004</v>
      </c>
      <c r="W36" t="s">
        <v>14040</v>
      </c>
      <c r="X36">
        <v>6</v>
      </c>
      <c r="Y36" t="s">
        <v>20976</v>
      </c>
      <c r="Z36" t="s">
        <v>27746</v>
      </c>
      <c r="AA36">
        <v>0.50359445488858134</v>
      </c>
      <c r="AB36" t="str">
        <f>HYPERLINK("Melting_Curves/meltCurve_A6NEM5_PIGK.pdf", "Melting_Curves/meltCurve_A6NEM5_PIGK.pdf")</f>
        <v>Melting_Curves/meltCurve_A6NEM5_PIGK.pdf</v>
      </c>
    </row>
    <row r="37" spans="1:28" x14ac:dyDescent="0.25">
      <c r="A37" t="s">
        <v>41</v>
      </c>
      <c r="B37">
        <v>0.99999676499088797</v>
      </c>
      <c r="C37">
        <v>1.3787341241873201</v>
      </c>
      <c r="D37">
        <v>1.0326041743625001</v>
      </c>
      <c r="E37">
        <v>0.797733062031873</v>
      </c>
      <c r="F37">
        <v>0.82392207691780905</v>
      </c>
      <c r="G37">
        <v>0.78383017715829195</v>
      </c>
      <c r="H37">
        <v>0.62696654065141899</v>
      </c>
      <c r="I37">
        <v>0.450352401378317</v>
      </c>
      <c r="J37">
        <v>0.56874904946162197</v>
      </c>
      <c r="K37">
        <v>0.27698069245253898</v>
      </c>
      <c r="L37">
        <v>597.68929182105899</v>
      </c>
      <c r="M37">
        <v>9.5829215179273195</v>
      </c>
      <c r="N37">
        <v>64.453419591888903</v>
      </c>
      <c r="O37">
        <v>59.835628170852701</v>
      </c>
      <c r="P37">
        <v>-3.47262338897956E-2</v>
      </c>
      <c r="Q37">
        <v>0.133175441749075</v>
      </c>
      <c r="R37">
        <v>0.77051542516429405</v>
      </c>
      <c r="S37" t="s">
        <v>7040</v>
      </c>
      <c r="T37" t="s">
        <v>14004</v>
      </c>
      <c r="U37" t="s">
        <v>14004</v>
      </c>
      <c r="V37" t="s">
        <v>14004</v>
      </c>
      <c r="W37" t="s">
        <v>14041</v>
      </c>
      <c r="X37">
        <v>17</v>
      </c>
      <c r="Y37" t="s">
        <v>20977</v>
      </c>
      <c r="Z37" t="s">
        <v>27747</v>
      </c>
      <c r="AA37">
        <v>0.75559187349680579</v>
      </c>
      <c r="AB37" t="str">
        <f>HYPERLINK("Melting_Curves/meltCurve_A6NF51_BPNT1.pdf", "Melting_Curves/meltCurve_A6NF51_BPNT1.pdf")</f>
        <v>Melting_Curves/meltCurve_A6NF51_BPNT1.pdf</v>
      </c>
    </row>
    <row r="38" spans="1:28" x14ac:dyDescent="0.25">
      <c r="A38" t="s">
        <v>42</v>
      </c>
      <c r="B38">
        <v>0.99999676499088797</v>
      </c>
      <c r="C38">
        <v>0.88623496414732505</v>
      </c>
      <c r="D38">
        <v>0.83607184491789799</v>
      </c>
      <c r="E38">
        <v>0.35555792978909301</v>
      </c>
      <c r="F38">
        <v>1.5078750627409201</v>
      </c>
      <c r="G38">
        <v>0.21417306252514801</v>
      </c>
      <c r="H38">
        <v>0.15705731501543299</v>
      </c>
      <c r="I38">
        <v>0.15350159332507199</v>
      </c>
      <c r="J38">
        <v>0.162612022245468</v>
      </c>
      <c r="K38">
        <v>0.16626641225923</v>
      </c>
      <c r="L38">
        <v>14048.242111134599</v>
      </c>
      <c r="M38">
        <v>250</v>
      </c>
      <c r="N38">
        <v>56.279694256935301</v>
      </c>
      <c r="O38">
        <v>56.189372494799201</v>
      </c>
      <c r="P38">
        <v>-0.93449855691025197</v>
      </c>
      <c r="Q38">
        <v>0.159857801234942</v>
      </c>
      <c r="R38">
        <v>0.65615636447868297</v>
      </c>
      <c r="S38" t="s">
        <v>7041</v>
      </c>
      <c r="T38" t="s">
        <v>14004</v>
      </c>
      <c r="U38" t="s">
        <v>14004</v>
      </c>
      <c r="V38" t="s">
        <v>14004</v>
      </c>
      <c r="W38" t="s">
        <v>14042</v>
      </c>
      <c r="X38">
        <v>2</v>
      </c>
      <c r="Y38" t="s">
        <v>20978</v>
      </c>
      <c r="Z38" t="s">
        <v>27748</v>
      </c>
      <c r="AA38">
        <v>0.61342052464864627</v>
      </c>
      <c r="AB38" t="str">
        <f>HYPERLINK("Melting_Curves/meltCurve_A6NFI3_ZNF316.pdf", "Melting_Curves/meltCurve_A6NFI3_ZNF316.pdf")</f>
        <v>Melting_Curves/meltCurve_A6NFI3_ZNF316.pdf</v>
      </c>
    </row>
    <row r="39" spans="1:28" x14ac:dyDescent="0.25">
      <c r="A39" t="s">
        <v>43</v>
      </c>
      <c r="B39">
        <v>0.99999676499088797</v>
      </c>
      <c r="C39">
        <v>0.89797527127517696</v>
      </c>
      <c r="D39">
        <v>0.94170160293979999</v>
      </c>
      <c r="E39">
        <v>1.0387381959656199</v>
      </c>
      <c r="F39">
        <v>1.0849477495658899</v>
      </c>
      <c r="G39">
        <v>0.95574177286022899</v>
      </c>
      <c r="H39">
        <v>0.69581240118923804</v>
      </c>
      <c r="I39">
        <v>0.69081854579332302</v>
      </c>
      <c r="J39">
        <v>0.61454090969422004</v>
      </c>
      <c r="K39">
        <v>0.88360002211032396</v>
      </c>
      <c r="L39">
        <v>14294.720872300901</v>
      </c>
      <c r="M39">
        <v>250</v>
      </c>
      <c r="O39">
        <v>57.175225751907902</v>
      </c>
      <c r="P39">
        <v>-0.30477257925267198</v>
      </c>
      <c r="Q39">
        <v>0.72119295047152698</v>
      </c>
      <c r="R39">
        <v>0.73305104520049102</v>
      </c>
      <c r="S39" t="s">
        <v>7042</v>
      </c>
      <c r="T39" t="s">
        <v>14004</v>
      </c>
      <c r="U39" t="s">
        <v>14004</v>
      </c>
      <c r="V39" t="s">
        <v>14004</v>
      </c>
      <c r="W39" t="s">
        <v>14043</v>
      </c>
      <c r="X39">
        <v>11</v>
      </c>
      <c r="Y39" t="s">
        <v>20979</v>
      </c>
      <c r="Z39" t="s">
        <v>27749</v>
      </c>
      <c r="AA39">
        <v>0.88087405554272291</v>
      </c>
      <c r="AB39" t="str">
        <f>HYPERLINK("Melting_Curves/meltCurve_A6NFX8_NUDT5.pdf", "Melting_Curves/meltCurve_A6NFX8_NUDT5.pdf")</f>
        <v>Melting_Curves/meltCurve_A6NFX8_NUDT5.pdf</v>
      </c>
    </row>
    <row r="40" spans="1:28" x14ac:dyDescent="0.25">
      <c r="A40" t="s">
        <v>44</v>
      </c>
      <c r="B40">
        <v>0.99999676499088797</v>
      </c>
      <c r="C40">
        <v>1.10380744530164</v>
      </c>
      <c r="D40">
        <v>1.04709848582841</v>
      </c>
      <c r="E40">
        <v>0.78938793619556102</v>
      </c>
      <c r="F40">
        <v>0.78139723075082901</v>
      </c>
      <c r="G40">
        <v>0.51264490682822506</v>
      </c>
      <c r="H40">
        <v>0.25083310786575103</v>
      </c>
      <c r="I40">
        <v>0.17381043083428599</v>
      </c>
      <c r="J40">
        <v>0.16560498823102801</v>
      </c>
      <c r="K40">
        <v>0.25780362647718302</v>
      </c>
      <c r="L40">
        <v>1057.0103436325001</v>
      </c>
      <c r="M40">
        <v>19.095608578999901</v>
      </c>
      <c r="N40">
        <v>56.514499108096402</v>
      </c>
      <c r="O40">
        <v>54.757244594436401</v>
      </c>
      <c r="P40">
        <v>-7.3041654728218705E-2</v>
      </c>
      <c r="Q40">
        <v>0.16223596551031599</v>
      </c>
      <c r="R40">
        <v>0.96456707056080904</v>
      </c>
      <c r="S40" t="s">
        <v>7043</v>
      </c>
      <c r="T40" t="s">
        <v>14004</v>
      </c>
      <c r="U40" t="s">
        <v>14004</v>
      </c>
      <c r="V40" t="s">
        <v>14004</v>
      </c>
      <c r="W40" t="s">
        <v>14044</v>
      </c>
      <c r="X40">
        <v>4</v>
      </c>
      <c r="Y40" t="s">
        <v>20980</v>
      </c>
      <c r="Z40" t="s">
        <v>27750</v>
      </c>
      <c r="AA40">
        <v>0.60278420854236403</v>
      </c>
      <c r="AB40" t="str">
        <f>HYPERLINK("Melting_Curves/meltCurve_A6NG32_CHMP1A.pdf", "Melting_Curves/meltCurve_A6NG32_CHMP1A.pdf")</f>
        <v>Melting_Curves/meltCurve_A6NG32_CHMP1A.pdf</v>
      </c>
    </row>
    <row r="41" spans="1:28" x14ac:dyDescent="0.25">
      <c r="A41" t="s">
        <v>45</v>
      </c>
      <c r="B41">
        <v>0.99999676499088797</v>
      </c>
      <c r="C41">
        <v>0.99012205913582496</v>
      </c>
      <c r="D41">
        <v>0.930148745360038</v>
      </c>
      <c r="E41">
        <v>0.76965314237682003</v>
      </c>
      <c r="F41">
        <v>0.51458577586912702</v>
      </c>
      <c r="G41">
        <v>0.45832674976958399</v>
      </c>
      <c r="H41">
        <v>0.24912434597798599</v>
      </c>
      <c r="I41">
        <v>0.36258235891612001</v>
      </c>
      <c r="J41">
        <v>0.33560057035006002</v>
      </c>
      <c r="K41">
        <v>0.33962122017096702</v>
      </c>
      <c r="L41">
        <v>1037.7129082501399</v>
      </c>
      <c r="M41">
        <v>20.295682311561102</v>
      </c>
      <c r="N41">
        <v>53.8588562148989</v>
      </c>
      <c r="O41">
        <v>50.641117198008899</v>
      </c>
      <c r="P41">
        <v>-6.8012243385152799E-2</v>
      </c>
      <c r="Q41">
        <v>0.32121320700011302</v>
      </c>
      <c r="R41">
        <v>0.98157814976584201</v>
      </c>
      <c r="S41" t="s">
        <v>7044</v>
      </c>
      <c r="T41" t="s">
        <v>14004</v>
      </c>
      <c r="U41" t="s">
        <v>14004</v>
      </c>
      <c r="V41" t="s">
        <v>14004</v>
      </c>
      <c r="W41" t="s">
        <v>14045</v>
      </c>
      <c r="X41">
        <v>9</v>
      </c>
      <c r="Y41" t="s">
        <v>20981</v>
      </c>
      <c r="Z41" t="s">
        <v>27751</v>
      </c>
      <c r="AA41">
        <v>0.58220228711994082</v>
      </c>
      <c r="AB41" t="str">
        <f>HYPERLINK("Melting_Curves/meltCurve_A6NG79_PRCC.pdf", "Melting_Curves/meltCurve_A6NG79_PRCC.pdf")</f>
        <v>Melting_Curves/meltCurve_A6NG79_PRCC.pdf</v>
      </c>
    </row>
    <row r="42" spans="1:28" x14ac:dyDescent="0.25">
      <c r="A42" t="s">
        <v>46</v>
      </c>
      <c r="B42">
        <v>0.99999676499088797</v>
      </c>
      <c r="C42">
        <v>1.1130740976750999</v>
      </c>
      <c r="D42">
        <v>1.1652226043544001</v>
      </c>
      <c r="E42">
        <v>1.0458123930455701</v>
      </c>
      <c r="F42">
        <v>0.747120792243822</v>
      </c>
      <c r="G42">
        <v>0.70070335353857205</v>
      </c>
      <c r="H42">
        <v>0.60323428211806596</v>
      </c>
      <c r="I42">
        <v>0.70520661303537702</v>
      </c>
      <c r="J42">
        <v>0.69232884265889405</v>
      </c>
      <c r="K42">
        <v>0.84311839825780999</v>
      </c>
      <c r="L42">
        <v>13199.4514854266</v>
      </c>
      <c r="M42">
        <v>250</v>
      </c>
      <c r="O42">
        <v>52.794427249815797</v>
      </c>
      <c r="P42">
        <v>-0.34459331847518898</v>
      </c>
      <c r="Q42">
        <v>0.70891829030944098</v>
      </c>
      <c r="R42">
        <v>0.80496124971090899</v>
      </c>
      <c r="S42" t="s">
        <v>7045</v>
      </c>
      <c r="T42" t="s">
        <v>14004</v>
      </c>
      <c r="U42" t="s">
        <v>14004</v>
      </c>
      <c r="V42" t="s">
        <v>14004</v>
      </c>
      <c r="W42" t="s">
        <v>14046</v>
      </c>
      <c r="X42">
        <v>19</v>
      </c>
      <c r="Y42" t="s">
        <v>20982</v>
      </c>
      <c r="Z42" t="s">
        <v>27752</v>
      </c>
      <c r="AA42">
        <v>0.83311883620496507</v>
      </c>
      <c r="AB42" t="str">
        <f>HYPERLINK("Melting_Curves/meltCurve_A6NGP5_HN1L.pdf", "Melting_Curves/meltCurve_A6NGP5_HN1L.pdf")</f>
        <v>Melting_Curves/meltCurve_A6NGP5_HN1L.pdf</v>
      </c>
    </row>
    <row r="43" spans="1:28" x14ac:dyDescent="0.25">
      <c r="A43" t="s">
        <v>47</v>
      </c>
      <c r="B43">
        <v>0.99999676499088797</v>
      </c>
      <c r="C43">
        <v>0.850435191045957</v>
      </c>
      <c r="D43">
        <v>0.71536851567213</v>
      </c>
      <c r="E43">
        <v>0.64591648261933599</v>
      </c>
      <c r="F43">
        <v>0.42107827622280702</v>
      </c>
      <c r="G43">
        <v>0.39336935194551498</v>
      </c>
      <c r="H43">
        <v>0.16019984751298899</v>
      </c>
      <c r="I43">
        <v>0.18582699689162899</v>
      </c>
      <c r="J43">
        <v>0.17642422622685899</v>
      </c>
      <c r="K43">
        <v>0.162999293231468</v>
      </c>
      <c r="L43">
        <v>503.170309445778</v>
      </c>
      <c r="M43">
        <v>9.8902679078731595</v>
      </c>
      <c r="N43">
        <v>51.873956372388001</v>
      </c>
      <c r="O43">
        <v>48.926393809439901</v>
      </c>
      <c r="P43">
        <v>-4.6179001544246402E-2</v>
      </c>
      <c r="Q43">
        <v>8.6687492721209305E-2</v>
      </c>
      <c r="R43">
        <v>0.97734082194296501</v>
      </c>
      <c r="S43" t="s">
        <v>7046</v>
      </c>
      <c r="T43" t="s">
        <v>14004</v>
      </c>
      <c r="U43" t="s">
        <v>14004</v>
      </c>
      <c r="V43" t="s">
        <v>14004</v>
      </c>
      <c r="W43" t="s">
        <v>14047</v>
      </c>
      <c r="X43">
        <v>5</v>
      </c>
      <c r="Y43" t="s">
        <v>20983</v>
      </c>
      <c r="Z43" t="s">
        <v>27753</v>
      </c>
      <c r="AA43">
        <v>0.45670007578833499</v>
      </c>
      <c r="AB43" t="str">
        <f>HYPERLINK("Melting_Curves/meltCurve_A6NHB5_ZMYM3.pdf", "Melting_Curves/meltCurve_A6NHB5_ZMYM3.pdf")</f>
        <v>Melting_Curves/meltCurve_A6NHB5_ZMYM3.pdf</v>
      </c>
    </row>
    <row r="44" spans="1:28" x14ac:dyDescent="0.25">
      <c r="A44" t="s">
        <v>48</v>
      </c>
      <c r="B44">
        <v>0.99999676499088797</v>
      </c>
      <c r="C44">
        <v>0.92844823535193999</v>
      </c>
      <c r="D44">
        <v>1.23824773921361</v>
      </c>
      <c r="E44">
        <v>1.8972351268477401</v>
      </c>
      <c r="F44">
        <v>1.2737850946420499</v>
      </c>
      <c r="G44">
        <v>1.42642612906333</v>
      </c>
      <c r="H44">
        <v>0.25936384522433498</v>
      </c>
      <c r="I44">
        <v>0.14841190547292499</v>
      </c>
      <c r="J44">
        <v>0.12820558041218599</v>
      </c>
      <c r="K44">
        <v>0.102036362910934</v>
      </c>
      <c r="L44">
        <v>15000</v>
      </c>
      <c r="M44">
        <v>248.42658160348401</v>
      </c>
      <c r="N44">
        <v>60.450800969547501</v>
      </c>
      <c r="O44">
        <v>60.376093304334503</v>
      </c>
      <c r="P44">
        <v>-0.89882746045666695</v>
      </c>
      <c r="Q44">
        <v>0.126217566674142</v>
      </c>
      <c r="R44">
        <v>0.69669976415754697</v>
      </c>
      <c r="S44" t="s">
        <v>7047</v>
      </c>
      <c r="T44" t="s">
        <v>14004</v>
      </c>
      <c r="U44" t="s">
        <v>14004</v>
      </c>
      <c r="V44" t="s">
        <v>14004</v>
      </c>
      <c r="W44" t="s">
        <v>14048</v>
      </c>
      <c r="X44">
        <v>8</v>
      </c>
      <c r="Y44" t="s">
        <v>20984</v>
      </c>
      <c r="Z44" t="s">
        <v>27754</v>
      </c>
      <c r="AA44">
        <v>0.71990121981655697</v>
      </c>
      <c r="AB44" t="str">
        <f>HYPERLINK("Melting_Curves/meltCurve_A6NHL2_2_TUBAL3.pdf", "Melting_Curves/meltCurve_A6NHL2_2_TUBAL3.pdf")</f>
        <v>Melting_Curves/meltCurve_A6NHL2_2_TUBAL3.pdf</v>
      </c>
    </row>
    <row r="45" spans="1:28" x14ac:dyDescent="0.25">
      <c r="A45" t="s">
        <v>49</v>
      </c>
      <c r="B45">
        <v>0.99999676499088797</v>
      </c>
      <c r="C45">
        <v>1.27826205594241</v>
      </c>
      <c r="D45">
        <v>1.08664027276945</v>
      </c>
      <c r="E45">
        <v>0.94847347180827302</v>
      </c>
      <c r="F45">
        <v>0.38071031121458099</v>
      </c>
      <c r="G45">
        <v>0.212090183933244</v>
      </c>
      <c r="H45">
        <v>8.1305326536219399E-2</v>
      </c>
      <c r="I45">
        <v>6.9334159904627907E-2</v>
      </c>
      <c r="J45">
        <v>5.2310993596043701E-2</v>
      </c>
      <c r="K45">
        <v>5.0770522074979597E-2</v>
      </c>
      <c r="L45">
        <v>2138.5023092783199</v>
      </c>
      <c r="M45">
        <v>40.786860050649402</v>
      </c>
      <c r="N45">
        <v>52.659090317495199</v>
      </c>
      <c r="O45">
        <v>52.305591873736397</v>
      </c>
      <c r="P45">
        <v>-0.17917072501619599</v>
      </c>
      <c r="Q45">
        <v>8.0918428354534194E-2</v>
      </c>
      <c r="R45">
        <v>0.95671474255364097</v>
      </c>
      <c r="S45" t="s">
        <v>7048</v>
      </c>
      <c r="T45" t="s">
        <v>14004</v>
      </c>
      <c r="U45" t="s">
        <v>14004</v>
      </c>
      <c r="V45" t="s">
        <v>14004</v>
      </c>
      <c r="W45" t="s">
        <v>14049</v>
      </c>
      <c r="X45">
        <v>2</v>
      </c>
      <c r="Y45" t="s">
        <v>20985</v>
      </c>
      <c r="Z45" t="s">
        <v>27755</v>
      </c>
      <c r="AA45">
        <v>0.46496089157562331</v>
      </c>
      <c r="AB45" t="str">
        <f>HYPERLINK("Melting_Curves/meltCurve_A6NHQ2_FBLL1.pdf", "Melting_Curves/meltCurve_A6NHQ2_FBLL1.pdf")</f>
        <v>Melting_Curves/meltCurve_A6NHQ2_FBLL1.pdf</v>
      </c>
    </row>
    <row r="46" spans="1:28" x14ac:dyDescent="0.25">
      <c r="A46" t="s">
        <v>50</v>
      </c>
      <c r="B46">
        <v>0.99999676499088797</v>
      </c>
      <c r="C46">
        <v>0.89076225187158498</v>
      </c>
      <c r="D46">
        <v>0.46655056706620002</v>
      </c>
      <c r="E46">
        <v>0.22113943748447901</v>
      </c>
      <c r="F46">
        <v>0.14166948913888699</v>
      </c>
      <c r="G46">
        <v>0.117378260394921</v>
      </c>
      <c r="H46">
        <v>6.0561045255307297E-2</v>
      </c>
      <c r="I46">
        <v>6.2466029319633701E-2</v>
      </c>
      <c r="J46">
        <v>4.6614966912202002E-2</v>
      </c>
      <c r="K46">
        <v>3.6217885200199099E-2</v>
      </c>
      <c r="L46">
        <v>1145.01900313274</v>
      </c>
      <c r="M46">
        <v>25.014137422678999</v>
      </c>
      <c r="N46">
        <v>46.064763526072603</v>
      </c>
      <c r="O46">
        <v>45.485316455817298</v>
      </c>
      <c r="P46">
        <v>-0.12747395825528501</v>
      </c>
      <c r="Q46">
        <v>7.2825622866927106E-2</v>
      </c>
      <c r="R46">
        <v>0.99141774833114404</v>
      </c>
      <c r="S46" t="s">
        <v>7049</v>
      </c>
      <c r="T46" t="s">
        <v>14004</v>
      </c>
      <c r="U46" t="s">
        <v>14004</v>
      </c>
      <c r="V46" t="s">
        <v>14004</v>
      </c>
      <c r="W46" t="s">
        <v>14050</v>
      </c>
      <c r="X46">
        <v>32</v>
      </c>
      <c r="Y46" t="s">
        <v>20986</v>
      </c>
      <c r="Z46" t="s">
        <v>27756</v>
      </c>
      <c r="AA46">
        <v>0.25996569868169228</v>
      </c>
      <c r="AB46" t="str">
        <f>HYPERLINK("Melting_Curves/meltCurve_A6NHR9_SMCHD1.pdf", "Melting_Curves/meltCurve_A6NHR9_SMCHD1.pdf")</f>
        <v>Melting_Curves/meltCurve_A6NHR9_SMCHD1.pdf</v>
      </c>
    </row>
    <row r="47" spans="1:28" x14ac:dyDescent="0.25">
      <c r="A47" t="s">
        <v>51</v>
      </c>
      <c r="B47">
        <v>0.99999676499088797</v>
      </c>
      <c r="C47">
        <v>0.90964692993000595</v>
      </c>
      <c r="D47">
        <v>0.878629986409319</v>
      </c>
      <c r="E47">
        <v>0.93233266607282805</v>
      </c>
      <c r="F47">
        <v>0.91010982852400701</v>
      </c>
      <c r="G47">
        <v>0.65902478827172895</v>
      </c>
      <c r="H47">
        <v>0.18849164301555901</v>
      </c>
      <c r="I47">
        <v>0.100534275439251</v>
      </c>
      <c r="J47">
        <v>6.4611401163923401E-2</v>
      </c>
      <c r="K47">
        <v>4.3180417143677201E-2</v>
      </c>
      <c r="L47">
        <v>1742.06494481545</v>
      </c>
      <c r="M47">
        <v>30.173933384970901</v>
      </c>
      <c r="N47">
        <v>57.903408944265998</v>
      </c>
      <c r="O47">
        <v>57.482299136265702</v>
      </c>
      <c r="P47">
        <v>-0.12569115378204199</v>
      </c>
      <c r="Q47">
        <v>4.2223606479949098E-2</v>
      </c>
      <c r="R47">
        <v>0.98174347761825298</v>
      </c>
      <c r="S47" t="s">
        <v>7050</v>
      </c>
      <c r="T47" t="s">
        <v>14004</v>
      </c>
      <c r="U47" t="s">
        <v>14004</v>
      </c>
      <c r="V47" t="s">
        <v>14004</v>
      </c>
      <c r="W47" t="s">
        <v>14051</v>
      </c>
      <c r="X47">
        <v>2</v>
      </c>
      <c r="Y47" t="s">
        <v>20987</v>
      </c>
      <c r="Z47" t="s">
        <v>27757</v>
      </c>
      <c r="AA47">
        <v>0.61467091725483214</v>
      </c>
      <c r="AB47" t="str">
        <f>HYPERLINK("Melting_Curves/meltCurve_A6NHX0_GATSL2.pdf", "Melting_Curves/meltCurve_A6NHX0_GATSL2.pdf")</f>
        <v>Melting_Curves/meltCurve_A6NHX0_GATSL2.pdf</v>
      </c>
    </row>
    <row r="48" spans="1:28" x14ac:dyDescent="0.25">
      <c r="A48" t="s">
        <v>52</v>
      </c>
      <c r="B48">
        <v>0.99999676499088797</v>
      </c>
      <c r="C48">
        <v>0.964643202776725</v>
      </c>
      <c r="D48">
        <v>0.92998236170264004</v>
      </c>
      <c r="E48">
        <v>0.90638000246919004</v>
      </c>
      <c r="F48">
        <v>0.54985884381289296</v>
      </c>
      <c r="G48">
        <v>0.30147321711505498</v>
      </c>
      <c r="H48">
        <v>0.149776560362577</v>
      </c>
      <c r="I48">
        <v>0.140609521763739</v>
      </c>
      <c r="J48">
        <v>0.123378703083615</v>
      </c>
      <c r="K48">
        <v>0.11256051620506199</v>
      </c>
      <c r="L48">
        <v>1256.11213109137</v>
      </c>
      <c r="M48">
        <v>23.551034132939002</v>
      </c>
      <c r="N48">
        <v>53.934061332696302</v>
      </c>
      <c r="O48">
        <v>52.955687266479103</v>
      </c>
      <c r="P48">
        <v>-9.8402945186811905E-2</v>
      </c>
      <c r="Q48">
        <v>0.11495945519628301</v>
      </c>
      <c r="R48">
        <v>0.99592582105211402</v>
      </c>
      <c r="S48" t="s">
        <v>7051</v>
      </c>
      <c r="T48" t="s">
        <v>14004</v>
      </c>
      <c r="U48" t="s">
        <v>14004</v>
      </c>
      <c r="V48" t="s">
        <v>14004</v>
      </c>
      <c r="W48" t="s">
        <v>14052</v>
      </c>
      <c r="X48">
        <v>11</v>
      </c>
      <c r="Y48" t="s">
        <v>20988</v>
      </c>
      <c r="Z48" t="s">
        <v>27758</v>
      </c>
      <c r="AA48">
        <v>0.51749663652440292</v>
      </c>
      <c r="AB48" t="str">
        <f>HYPERLINK("Melting_Curves/meltCurve_A6NIH7_UNC119B.pdf", "Melting_Curves/meltCurve_A6NIH7_UNC119B.pdf")</f>
        <v>Melting_Curves/meltCurve_A6NIH7_UNC119B.pdf</v>
      </c>
    </row>
    <row r="49" spans="1:28" x14ac:dyDescent="0.25">
      <c r="A49" t="s">
        <v>53</v>
      </c>
      <c r="B49">
        <v>0.99999676499088797</v>
      </c>
      <c r="C49">
        <v>1.00679871088003</v>
      </c>
      <c r="D49">
        <v>0.83233159186721795</v>
      </c>
      <c r="E49">
        <v>0.48182101857981602</v>
      </c>
      <c r="F49">
        <v>0.18302773218907101</v>
      </c>
      <c r="G49">
        <v>0.144625991514686</v>
      </c>
      <c r="H49">
        <v>6.7852894180358503E-2</v>
      </c>
      <c r="I49">
        <v>0.14074944371508799</v>
      </c>
      <c r="J49">
        <v>0.139432305324349</v>
      </c>
      <c r="K49">
        <v>3.3234629534813903E-2</v>
      </c>
      <c r="L49">
        <v>1241.14405215129</v>
      </c>
      <c r="M49">
        <v>25.368821475026799</v>
      </c>
      <c r="N49">
        <v>49.337641041927803</v>
      </c>
      <c r="O49">
        <v>48.623032535817899</v>
      </c>
      <c r="P49">
        <v>-0.117942312780016</v>
      </c>
      <c r="Q49">
        <v>9.5797187625943206E-2</v>
      </c>
      <c r="R49">
        <v>0.99219358024176696</v>
      </c>
      <c r="S49" t="s">
        <v>7052</v>
      </c>
      <c r="T49" t="s">
        <v>14004</v>
      </c>
      <c r="U49" t="s">
        <v>14004</v>
      </c>
      <c r="V49" t="s">
        <v>14004</v>
      </c>
      <c r="W49" t="s">
        <v>14053</v>
      </c>
      <c r="X49">
        <v>2</v>
      </c>
      <c r="Y49" t="s">
        <v>20989</v>
      </c>
      <c r="Z49" t="s">
        <v>27759</v>
      </c>
      <c r="AA49">
        <v>0.37253739868836372</v>
      </c>
      <c r="AB49" t="str">
        <f>HYPERLINK("Melting_Curves/meltCurve_A6NIW2_DOCK11.pdf", "Melting_Curves/meltCurve_A6NIW2_DOCK11.pdf")</f>
        <v>Melting_Curves/meltCurve_A6NIW2_DOCK11.pdf</v>
      </c>
    </row>
    <row r="50" spans="1:28" x14ac:dyDescent="0.25">
      <c r="A50" t="s">
        <v>54</v>
      </c>
      <c r="B50">
        <v>0.99999676499088797</v>
      </c>
      <c r="C50">
        <v>1.0349881065839299</v>
      </c>
      <c r="D50">
        <v>0.95412131624227403</v>
      </c>
      <c r="E50">
        <v>0.72298198399953095</v>
      </c>
      <c r="F50">
        <v>0.47535600388233801</v>
      </c>
      <c r="G50">
        <v>0.319593637280149</v>
      </c>
      <c r="H50">
        <v>0.23730715373470701</v>
      </c>
      <c r="I50">
        <v>0.33117342278103401</v>
      </c>
      <c r="J50">
        <v>0.31765905146955598</v>
      </c>
      <c r="K50">
        <v>0.28235197128718598</v>
      </c>
      <c r="L50">
        <v>1285.6873557711699</v>
      </c>
      <c r="M50">
        <v>25.379865087557501</v>
      </c>
      <c r="N50">
        <v>52.438330640694197</v>
      </c>
      <c r="O50">
        <v>50.346394107801103</v>
      </c>
      <c r="P50">
        <v>-8.9631513715375796E-2</v>
      </c>
      <c r="Q50">
        <v>0.28879562788563601</v>
      </c>
      <c r="R50">
        <v>0.99076202043605999</v>
      </c>
      <c r="S50" t="s">
        <v>7053</v>
      </c>
      <c r="T50" t="s">
        <v>14004</v>
      </c>
      <c r="U50" t="s">
        <v>14004</v>
      </c>
      <c r="V50" t="s">
        <v>14004</v>
      </c>
      <c r="W50" t="s">
        <v>14054</v>
      </c>
      <c r="X50">
        <v>5</v>
      </c>
      <c r="Y50" t="s">
        <v>20990</v>
      </c>
      <c r="Z50" t="s">
        <v>27760</v>
      </c>
      <c r="AA50">
        <v>0.54766974310587568</v>
      </c>
      <c r="AB50" t="str">
        <f>HYPERLINK("Melting_Curves/meltCurve_A6NIZ0_NDEL1.pdf", "Melting_Curves/meltCurve_A6NIZ0_NDEL1.pdf")</f>
        <v>Melting_Curves/meltCurve_A6NIZ0_NDEL1.pdf</v>
      </c>
    </row>
    <row r="51" spans="1:28" x14ac:dyDescent="0.25">
      <c r="A51" t="s">
        <v>55</v>
      </c>
      <c r="B51">
        <v>0.99999676499088797</v>
      </c>
      <c r="C51">
        <v>0.98538667773898503</v>
      </c>
      <c r="D51">
        <v>0.80679789390482404</v>
      </c>
      <c r="E51">
        <v>0.23919621396028301</v>
      </c>
      <c r="F51">
        <v>0.17900942143938101</v>
      </c>
      <c r="G51">
        <v>0.110829422299975</v>
      </c>
      <c r="H51">
        <v>4.3346301421548099E-2</v>
      </c>
      <c r="I51">
        <v>4.38537446480778E-2</v>
      </c>
      <c r="J51">
        <v>3.5526331399584402E-2</v>
      </c>
      <c r="K51">
        <v>2.7291295986857401E-2</v>
      </c>
      <c r="L51">
        <v>1608.54209418444</v>
      </c>
      <c r="M51">
        <v>33.702961551111898</v>
      </c>
      <c r="N51">
        <v>47.921456942517601</v>
      </c>
      <c r="O51">
        <v>47.559936468810399</v>
      </c>
      <c r="P51">
        <v>-0.165840073426506</v>
      </c>
      <c r="Q51">
        <v>6.3902928317496097E-2</v>
      </c>
      <c r="R51">
        <v>0.99118742646149904</v>
      </c>
      <c r="S51" t="s">
        <v>7054</v>
      </c>
      <c r="T51" t="s">
        <v>14004</v>
      </c>
      <c r="U51" t="s">
        <v>14004</v>
      </c>
      <c r="V51" t="s">
        <v>14004</v>
      </c>
      <c r="W51" t="s">
        <v>14055</v>
      </c>
      <c r="X51">
        <v>7</v>
      </c>
      <c r="Y51" t="s">
        <v>20991</v>
      </c>
      <c r="Z51" t="s">
        <v>27761</v>
      </c>
      <c r="AA51">
        <v>0.30942006605786798</v>
      </c>
      <c r="AB51" t="str">
        <f>HYPERLINK("Melting_Curves/meltCurve_A6NJ78_METTL15.pdf", "Melting_Curves/meltCurve_A6NJ78_METTL15.pdf")</f>
        <v>Melting_Curves/meltCurve_A6NJ78_METTL15.pdf</v>
      </c>
    </row>
    <row r="52" spans="1:28" x14ac:dyDescent="0.25">
      <c r="A52" t="s">
        <v>56</v>
      </c>
      <c r="B52">
        <v>0.99999676499088797</v>
      </c>
      <c r="C52">
        <v>0.73963817535448195</v>
      </c>
      <c r="D52">
        <v>0.52051115945617898</v>
      </c>
      <c r="E52">
        <v>0.33175569693875401</v>
      </c>
      <c r="F52">
        <v>0.215009416934068</v>
      </c>
      <c r="G52">
        <v>9.9895820926104106E-2</v>
      </c>
      <c r="H52">
        <v>1.32754050364534E-2</v>
      </c>
      <c r="I52">
        <v>1.89878652626582E-2</v>
      </c>
      <c r="J52">
        <v>1.1255532337155099E-2</v>
      </c>
      <c r="K52">
        <v>2.4341042432711599E-2</v>
      </c>
      <c r="L52">
        <v>624.75030065758995</v>
      </c>
      <c r="M52">
        <v>13.343701845463601</v>
      </c>
      <c r="N52">
        <v>46.832051303206903</v>
      </c>
      <c r="O52">
        <v>45.805835244987499</v>
      </c>
      <c r="P52">
        <v>-7.2713024886897598E-2</v>
      </c>
      <c r="Q52">
        <v>1.732013056702E-3</v>
      </c>
      <c r="R52">
        <v>0.98644890552315401</v>
      </c>
      <c r="S52" t="s">
        <v>7055</v>
      </c>
      <c r="T52" t="s">
        <v>14004</v>
      </c>
      <c r="U52" t="s">
        <v>14004</v>
      </c>
      <c r="V52" t="s">
        <v>14004</v>
      </c>
      <c r="W52" t="s">
        <v>14056</v>
      </c>
      <c r="X52">
        <v>2</v>
      </c>
      <c r="Y52" t="s">
        <v>20992</v>
      </c>
      <c r="Z52" t="s">
        <v>27762</v>
      </c>
      <c r="AA52">
        <v>0.26339813939392642</v>
      </c>
      <c r="AB52" t="str">
        <f>HYPERLINK("Melting_Curves/meltCurve_A6NJ97_C13orf23.pdf", "Melting_Curves/meltCurve_A6NJ97_C13orf23.pdf")</f>
        <v>Melting_Curves/meltCurve_A6NJ97_C13orf23.pdf</v>
      </c>
    </row>
    <row r="53" spans="1:28" x14ac:dyDescent="0.25">
      <c r="A53" t="s">
        <v>57</v>
      </c>
      <c r="B53">
        <v>0.99999676499088797</v>
      </c>
      <c r="C53">
        <v>1.04549410587165</v>
      </c>
      <c r="D53">
        <v>1.0442864335263</v>
      </c>
      <c r="E53">
        <v>1.14947925801692</v>
      </c>
      <c r="F53">
        <v>1.1357371125889</v>
      </c>
      <c r="G53">
        <v>0.746839025499618</v>
      </c>
      <c r="H53">
        <v>0.34323168626593498</v>
      </c>
      <c r="I53">
        <v>0.18504267275615</v>
      </c>
      <c r="J53">
        <v>0.12670354615315299</v>
      </c>
      <c r="K53">
        <v>0.11451535751082501</v>
      </c>
      <c r="L53">
        <v>2082.7401522045602</v>
      </c>
      <c r="M53">
        <v>35.498013835285597</v>
      </c>
      <c r="N53">
        <v>59.157812888150602</v>
      </c>
      <c r="O53">
        <v>58.486732561354401</v>
      </c>
      <c r="P53">
        <v>-0.13255178936560399</v>
      </c>
      <c r="Q53">
        <v>0.12643021194635801</v>
      </c>
      <c r="R53">
        <v>0.96928336681490701</v>
      </c>
      <c r="S53" t="s">
        <v>7056</v>
      </c>
      <c r="T53" t="s">
        <v>14004</v>
      </c>
      <c r="U53" t="s">
        <v>14004</v>
      </c>
      <c r="V53" t="s">
        <v>14004</v>
      </c>
      <c r="W53" t="s">
        <v>14057</v>
      </c>
      <c r="X53">
        <v>3</v>
      </c>
      <c r="Y53" t="s">
        <v>20993</v>
      </c>
      <c r="Z53" t="s">
        <v>27763</v>
      </c>
      <c r="AA53">
        <v>0.67441590176885136</v>
      </c>
      <c r="AB53" t="str">
        <f>HYPERLINK("Melting_Curves/meltCurve_A6NK58_LIPT2.pdf", "Melting_Curves/meltCurve_A6NK58_LIPT2.pdf")</f>
        <v>Melting_Curves/meltCurve_A6NK58_LIPT2.pdf</v>
      </c>
    </row>
    <row r="54" spans="1:28" x14ac:dyDescent="0.25">
      <c r="A54" t="s">
        <v>58</v>
      </c>
      <c r="B54">
        <v>0.99999676499088797</v>
      </c>
      <c r="C54">
        <v>0.86407429647267198</v>
      </c>
      <c r="D54">
        <v>0.66796426680584398</v>
      </c>
      <c r="E54">
        <v>0.450909628056821</v>
      </c>
      <c r="F54">
        <v>0.37871779027339197</v>
      </c>
      <c r="G54">
        <v>0.287645034236932</v>
      </c>
      <c r="H54">
        <v>0.229270964604852</v>
      </c>
      <c r="I54">
        <v>0.309678397563588</v>
      </c>
      <c r="J54">
        <v>0.35890834821999101</v>
      </c>
      <c r="K54">
        <v>0.39762359514356599</v>
      </c>
      <c r="L54">
        <v>965.83402915872898</v>
      </c>
      <c r="M54">
        <v>20.955580443030701</v>
      </c>
      <c r="N54">
        <v>48.4226639663245</v>
      </c>
      <c r="O54">
        <v>45.676026905401898</v>
      </c>
      <c r="P54">
        <v>-7.8244758243700502E-2</v>
      </c>
      <c r="Q54">
        <v>0.31783074229021202</v>
      </c>
      <c r="R54">
        <v>0.96732526724322399</v>
      </c>
      <c r="S54" t="s">
        <v>7057</v>
      </c>
      <c r="T54" t="s">
        <v>14004</v>
      </c>
      <c r="U54" t="s">
        <v>14004</v>
      </c>
      <c r="V54" t="s">
        <v>14004</v>
      </c>
      <c r="W54" t="s">
        <v>14058</v>
      </c>
      <c r="X54">
        <v>7</v>
      </c>
      <c r="Y54" t="s">
        <v>20994</v>
      </c>
      <c r="Z54" t="s">
        <v>27764</v>
      </c>
      <c r="AA54">
        <v>0.46571971817816682</v>
      </c>
      <c r="AB54" t="str">
        <f>HYPERLINK("Melting_Curves/meltCurve_A6NKD9_CCDC85C.pdf", "Melting_Curves/meltCurve_A6NKD9_CCDC85C.pdf")</f>
        <v>Melting_Curves/meltCurve_A6NKD9_CCDC85C.pdf</v>
      </c>
    </row>
    <row r="55" spans="1:28" x14ac:dyDescent="0.25">
      <c r="A55" t="s">
        <v>59</v>
      </c>
      <c r="B55">
        <v>0.99999676499088797</v>
      </c>
      <c r="C55">
        <v>1.0386407052090501</v>
      </c>
      <c r="D55">
        <v>1.00305783865773</v>
      </c>
      <c r="E55">
        <v>0.91402452235402898</v>
      </c>
      <c r="F55">
        <v>0.53680516682984603</v>
      </c>
      <c r="G55">
        <v>0.17438461170135999</v>
      </c>
      <c r="H55">
        <v>8.0391224245984105E-2</v>
      </c>
      <c r="I55">
        <v>8.2428997848521299E-2</v>
      </c>
      <c r="J55">
        <v>7.1337264634978997E-2</v>
      </c>
      <c r="K55">
        <v>5.0340609904419097E-2</v>
      </c>
      <c r="L55">
        <v>1696.9561441385599</v>
      </c>
      <c r="M55">
        <v>31.884178557469099</v>
      </c>
      <c r="N55">
        <v>53.456324798970101</v>
      </c>
      <c r="O55">
        <v>53.014463636324898</v>
      </c>
      <c r="P55">
        <v>-0.140570809968253</v>
      </c>
      <c r="Q55">
        <v>6.5085152899135496E-2</v>
      </c>
      <c r="R55">
        <v>0.99886430455334596</v>
      </c>
      <c r="S55" t="s">
        <v>7058</v>
      </c>
      <c r="T55" t="s">
        <v>14004</v>
      </c>
      <c r="U55" t="s">
        <v>14004</v>
      </c>
      <c r="V55" t="s">
        <v>14004</v>
      </c>
      <c r="W55" t="s">
        <v>14059</v>
      </c>
      <c r="X55">
        <v>3</v>
      </c>
      <c r="Y55" t="s">
        <v>20995</v>
      </c>
      <c r="Z55" t="s">
        <v>27765</v>
      </c>
      <c r="AA55">
        <v>0.48254564527274812</v>
      </c>
      <c r="AB55" t="str">
        <f>HYPERLINK("Melting_Curves/meltCurve_A6NKF9_GPR89C.pdf", "Melting_Curves/meltCurve_A6NKF9_GPR89C.pdf")</f>
        <v>Melting_Curves/meltCurve_A6NKF9_GPR89C.pdf</v>
      </c>
    </row>
    <row r="56" spans="1:28" x14ac:dyDescent="0.25">
      <c r="A56" t="s">
        <v>60</v>
      </c>
      <c r="B56">
        <v>0.99999676499088797</v>
      </c>
      <c r="C56">
        <v>1.2928480308069601</v>
      </c>
      <c r="D56">
        <v>1.0472322257253801</v>
      </c>
      <c r="E56">
        <v>1.12280389431621</v>
      </c>
      <c r="F56">
        <v>0.83363481233923498</v>
      </c>
      <c r="G56">
        <v>0.495832010872576</v>
      </c>
      <c r="H56">
        <v>0.14107184820013799</v>
      </c>
      <c r="I56">
        <v>0.17345266428045999</v>
      </c>
      <c r="J56">
        <v>0.17797626151829599</v>
      </c>
      <c r="K56">
        <v>0.14368173284505101</v>
      </c>
      <c r="L56">
        <v>1960.6476941841199</v>
      </c>
      <c r="M56">
        <v>35.035244500064898</v>
      </c>
      <c r="N56">
        <v>56.525759098246397</v>
      </c>
      <c r="O56">
        <v>55.780771447094899</v>
      </c>
      <c r="P56">
        <v>-0.13387440856862001</v>
      </c>
      <c r="Q56">
        <v>0.147419512815223</v>
      </c>
      <c r="R56">
        <v>0.94182002367373696</v>
      </c>
      <c r="S56" t="s">
        <v>7059</v>
      </c>
      <c r="T56" t="s">
        <v>14004</v>
      </c>
      <c r="U56" t="s">
        <v>14004</v>
      </c>
      <c r="V56" t="s">
        <v>14004</v>
      </c>
      <c r="W56" t="s">
        <v>14060</v>
      </c>
      <c r="X56">
        <v>1</v>
      </c>
      <c r="Y56" t="s">
        <v>20996</v>
      </c>
      <c r="Z56" t="s">
        <v>27766</v>
      </c>
      <c r="AA56">
        <v>0.60529725968384562</v>
      </c>
      <c r="AB56" t="str">
        <f>HYPERLINK("Melting_Curves/meltCurve_A6NLH6_CNIH4.pdf", "Melting_Curves/meltCurve_A6NLH6_CNIH4.pdf")</f>
        <v>Melting_Curves/meltCurve_A6NLH6_CNIH4.pdf</v>
      </c>
    </row>
    <row r="57" spans="1:28" x14ac:dyDescent="0.25">
      <c r="A57" t="s">
        <v>61</v>
      </c>
      <c r="B57">
        <v>0.99999676499088797</v>
      </c>
      <c r="C57">
        <v>0.93988775711401495</v>
      </c>
      <c r="D57">
        <v>0.956255242204746</v>
      </c>
      <c r="E57">
        <v>0.96223204807350504</v>
      </c>
      <c r="F57">
        <v>0.76701050563731199</v>
      </c>
      <c r="G57">
        <v>0.416905167788718</v>
      </c>
      <c r="H57">
        <v>0.20739434597447501</v>
      </c>
      <c r="I57">
        <v>0.11801125943001201</v>
      </c>
      <c r="J57">
        <v>6.4511453469392993E-2</v>
      </c>
      <c r="K57">
        <v>7.8414824106954606E-2</v>
      </c>
      <c r="L57">
        <v>1255.97105138999</v>
      </c>
      <c r="M57">
        <v>22.5409484548058</v>
      </c>
      <c r="N57">
        <v>56.061940727527301</v>
      </c>
      <c r="O57">
        <v>55.286555282283203</v>
      </c>
      <c r="P57">
        <v>-9.5374913185083607E-2</v>
      </c>
      <c r="Q57">
        <v>6.4308670481652105E-2</v>
      </c>
      <c r="R57">
        <v>0.99591711905048796</v>
      </c>
      <c r="S57" t="s">
        <v>7060</v>
      </c>
      <c r="T57" t="s">
        <v>14004</v>
      </c>
      <c r="U57" t="s">
        <v>14004</v>
      </c>
      <c r="V57" t="s">
        <v>14004</v>
      </c>
      <c r="W57" t="s">
        <v>14061</v>
      </c>
      <c r="X57">
        <v>15</v>
      </c>
      <c r="Y57" t="s">
        <v>20997</v>
      </c>
      <c r="Z57" t="s">
        <v>27767</v>
      </c>
      <c r="AA57">
        <v>0.56479643653296463</v>
      </c>
      <c r="AB57" t="str">
        <f>HYPERLINK("Melting_Curves/meltCurve_A6NMH6_SEPT8.pdf", "Melting_Curves/meltCurve_A6NMH6_SEPT8.pdf")</f>
        <v>Melting_Curves/meltCurve_A6NMH6_SEPT8.pdf</v>
      </c>
    </row>
    <row r="58" spans="1:28" x14ac:dyDescent="0.25">
      <c r="A58" t="s">
        <v>62</v>
      </c>
      <c r="B58">
        <v>0.99999676499088797</v>
      </c>
      <c r="C58">
        <v>0.99287250327131005</v>
      </c>
      <c r="D58">
        <v>0.59751416644892097</v>
      </c>
      <c r="E58">
        <v>0.30718403373090197</v>
      </c>
      <c r="F58">
        <v>0.26675359838109602</v>
      </c>
      <c r="G58">
        <v>0.175807820341427</v>
      </c>
      <c r="H58">
        <v>0.11216024786613001</v>
      </c>
      <c r="I58">
        <v>9.7788048723267504E-2</v>
      </c>
      <c r="J58">
        <v>9.1188480636012703E-2</v>
      </c>
      <c r="K58">
        <v>6.1604162839309903E-2</v>
      </c>
      <c r="L58">
        <v>1032.2111469394299</v>
      </c>
      <c r="M58">
        <v>21.992247678296199</v>
      </c>
      <c r="N58">
        <v>47.494409123073702</v>
      </c>
      <c r="O58">
        <v>46.552326271798101</v>
      </c>
      <c r="P58">
        <v>-0.104636185181082</v>
      </c>
      <c r="Q58">
        <v>0.11406073164559299</v>
      </c>
      <c r="R58">
        <v>0.97818382541144899</v>
      </c>
      <c r="S58" t="s">
        <v>7061</v>
      </c>
      <c r="T58" t="s">
        <v>14004</v>
      </c>
      <c r="U58" t="s">
        <v>14004</v>
      </c>
      <c r="V58" t="s">
        <v>14004</v>
      </c>
      <c r="W58" t="s">
        <v>14062</v>
      </c>
      <c r="X58">
        <v>12</v>
      </c>
      <c r="Y58" t="s">
        <v>20998</v>
      </c>
      <c r="Z58" t="s">
        <v>27768</v>
      </c>
      <c r="AA58">
        <v>0.32939677934724959</v>
      </c>
      <c r="AB58" t="str">
        <f>HYPERLINK("Melting_Curves/meltCurve_A6NML8_DIAPH2.pdf", "Melting_Curves/meltCurve_A6NML8_DIAPH2.pdf")</f>
        <v>Melting_Curves/meltCurve_A6NML8_DIAPH2.pdf</v>
      </c>
    </row>
    <row r="59" spans="1:28" x14ac:dyDescent="0.25">
      <c r="A59" t="s">
        <v>63</v>
      </c>
      <c r="B59">
        <v>0.99999676499088797</v>
      </c>
      <c r="C59">
        <v>0.95033158655401495</v>
      </c>
      <c r="D59">
        <v>0.85589699735599101</v>
      </c>
      <c r="E59">
        <v>0.76506100893203899</v>
      </c>
      <c r="F59">
        <v>0.27976873898000298</v>
      </c>
      <c r="G59">
        <v>0.165911090939627</v>
      </c>
      <c r="H59">
        <v>0.114969640577451</v>
      </c>
      <c r="I59">
        <v>0.101233969913352</v>
      </c>
      <c r="J59">
        <v>4.6322492903654401E-2</v>
      </c>
      <c r="K59">
        <v>3.9712949511900603E-2</v>
      </c>
      <c r="L59">
        <v>1190.59583452437</v>
      </c>
      <c r="M59">
        <v>23.269696729298801</v>
      </c>
      <c r="N59">
        <v>51.468225655421001</v>
      </c>
      <c r="O59">
        <v>50.791714323973501</v>
      </c>
      <c r="P59">
        <v>-0.107202507391548</v>
      </c>
      <c r="Q59">
        <v>6.4035877741020195E-2</v>
      </c>
      <c r="R59">
        <v>0.98728868721907503</v>
      </c>
      <c r="S59" t="s">
        <v>7062</v>
      </c>
      <c r="T59" t="s">
        <v>14004</v>
      </c>
      <c r="U59" t="s">
        <v>14004</v>
      </c>
      <c r="V59" t="s">
        <v>14004</v>
      </c>
      <c r="W59" t="s">
        <v>14063</v>
      </c>
      <c r="X59">
        <v>3</v>
      </c>
      <c r="Y59" t="s">
        <v>20999</v>
      </c>
      <c r="Z59" t="s">
        <v>27769</v>
      </c>
      <c r="AA59">
        <v>0.42211398953430668</v>
      </c>
      <c r="AB59" t="str">
        <f>HYPERLINK("Melting_Curves/meltCurve_A6NMN0_PHKA1.pdf", "Melting_Curves/meltCurve_A6NMN0_PHKA1.pdf")</f>
        <v>Melting_Curves/meltCurve_A6NMN0_PHKA1.pdf</v>
      </c>
    </row>
    <row r="60" spans="1:28" x14ac:dyDescent="0.25">
      <c r="A60" t="s">
        <v>64</v>
      </c>
      <c r="B60">
        <v>0.99999676499088797</v>
      </c>
      <c r="C60">
        <v>0.89114323114023197</v>
      </c>
      <c r="D60">
        <v>0.72928933047789402</v>
      </c>
      <c r="E60">
        <v>0.39173158548765702</v>
      </c>
      <c r="F60">
        <v>0.196357450718389</v>
      </c>
      <c r="G60">
        <v>0.14993941952155401</v>
      </c>
      <c r="H60">
        <v>7.9176144539093093E-2</v>
      </c>
      <c r="I60">
        <v>7.2896534092923099E-2</v>
      </c>
      <c r="J60">
        <v>6.7289992921931704E-2</v>
      </c>
      <c r="K60">
        <v>5.1332002208312799E-2</v>
      </c>
      <c r="L60">
        <v>876.64111618011304</v>
      </c>
      <c r="M60">
        <v>18.229476054132899</v>
      </c>
      <c r="N60">
        <v>48.449039237483902</v>
      </c>
      <c r="O60">
        <v>47.521720260644301</v>
      </c>
      <c r="P60">
        <v>-8.9832969247977804E-2</v>
      </c>
      <c r="Q60">
        <v>6.3315510704034697E-2</v>
      </c>
      <c r="R60">
        <v>0.99799035320090501</v>
      </c>
      <c r="S60" t="s">
        <v>7063</v>
      </c>
      <c r="T60" t="s">
        <v>14004</v>
      </c>
      <c r="U60" t="s">
        <v>14004</v>
      </c>
      <c r="V60" t="s">
        <v>14004</v>
      </c>
      <c r="W60" t="s">
        <v>14064</v>
      </c>
      <c r="X60">
        <v>27</v>
      </c>
      <c r="Y60" t="s">
        <v>21000</v>
      </c>
      <c r="Z60" t="s">
        <v>27770</v>
      </c>
      <c r="AA60">
        <v>0.33202706584513619</v>
      </c>
      <c r="AB60" t="str">
        <f>HYPERLINK("Melting_Curves/meltCurve_A6NMQ1_POLA1.pdf", "Melting_Curves/meltCurve_A6NMQ1_POLA1.pdf")</f>
        <v>Melting_Curves/meltCurve_A6NMQ1_POLA1.pdf</v>
      </c>
    </row>
    <row r="61" spans="1:28" x14ac:dyDescent="0.25">
      <c r="A61" t="s">
        <v>65</v>
      </c>
      <c r="B61">
        <v>0.99999676499088797</v>
      </c>
      <c r="C61">
        <v>0.72216536307578005</v>
      </c>
      <c r="D61">
        <v>0.62925107953625303</v>
      </c>
      <c r="E61">
        <v>0.23646659646270901</v>
      </c>
      <c r="F61">
        <v>0.11216350089671399</v>
      </c>
      <c r="G61">
        <v>3.5275887821357801E-3</v>
      </c>
      <c r="H61">
        <v>0</v>
      </c>
      <c r="I61">
        <v>0</v>
      </c>
      <c r="J61">
        <v>0</v>
      </c>
      <c r="K61">
        <v>0</v>
      </c>
      <c r="L61">
        <v>810.84399159074496</v>
      </c>
      <c r="M61">
        <v>17.392366797034502</v>
      </c>
      <c r="N61">
        <v>46.620676141057203</v>
      </c>
      <c r="O61">
        <v>46.017449564668702</v>
      </c>
      <c r="P61">
        <v>-9.4493228388577793E-2</v>
      </c>
      <c r="Q61">
        <v>0</v>
      </c>
      <c r="R61">
        <v>0.98427513815296797</v>
      </c>
      <c r="S61" t="s">
        <v>7064</v>
      </c>
      <c r="T61" t="s">
        <v>14004</v>
      </c>
      <c r="U61" t="s">
        <v>14004</v>
      </c>
      <c r="V61" t="s">
        <v>14004</v>
      </c>
      <c r="W61" t="s">
        <v>14065</v>
      </c>
      <c r="X61">
        <v>1</v>
      </c>
      <c r="Y61" t="s">
        <v>21001</v>
      </c>
      <c r="Z61" t="s">
        <v>27771</v>
      </c>
      <c r="AA61">
        <v>0.24099374127186801</v>
      </c>
      <c r="AB61" t="str">
        <f>HYPERLINK("Melting_Curves/meltCurve_A6NMY3_ALMS1.pdf", "Melting_Curves/meltCurve_A6NMY3_ALMS1.pdf")</f>
        <v>Melting_Curves/meltCurve_A6NMY3_ALMS1.pdf</v>
      </c>
    </row>
    <row r="62" spans="1:28" x14ac:dyDescent="0.25">
      <c r="A62" t="s">
        <v>66</v>
      </c>
      <c r="B62">
        <v>0.99999676499088797</v>
      </c>
      <c r="C62">
        <v>0.96452710030566602</v>
      </c>
      <c r="D62">
        <v>0.87165566714919296</v>
      </c>
      <c r="E62">
        <v>0.22464876479172299</v>
      </c>
      <c r="F62">
        <v>6.7767186322885101E-2</v>
      </c>
      <c r="G62">
        <v>3.4569659415433399E-2</v>
      </c>
      <c r="H62">
        <v>1.71168845321449E-2</v>
      </c>
      <c r="I62">
        <v>4.8136192905282099E-3</v>
      </c>
      <c r="J62">
        <v>0</v>
      </c>
      <c r="K62">
        <v>1.25549595742866E-2</v>
      </c>
      <c r="L62">
        <v>1966.4858636613999</v>
      </c>
      <c r="M62">
        <v>40.924111076406398</v>
      </c>
      <c r="N62">
        <v>48.096185159513702</v>
      </c>
      <c r="O62">
        <v>47.937700534613498</v>
      </c>
      <c r="P62">
        <v>-0.209488898081161</v>
      </c>
      <c r="Q62">
        <v>1.8437121595488899E-2</v>
      </c>
      <c r="R62">
        <v>0.99846125818657805</v>
      </c>
      <c r="S62" t="s">
        <v>7065</v>
      </c>
      <c r="T62" t="s">
        <v>14004</v>
      </c>
      <c r="U62" t="s">
        <v>14004</v>
      </c>
      <c r="V62" t="s">
        <v>14004</v>
      </c>
      <c r="W62" t="s">
        <v>14066</v>
      </c>
      <c r="X62">
        <v>62</v>
      </c>
      <c r="Y62" t="s">
        <v>21002</v>
      </c>
      <c r="Z62" t="s">
        <v>27772</v>
      </c>
      <c r="AA62">
        <v>0.28500984801544382</v>
      </c>
      <c r="AB62" t="str">
        <f>HYPERLINK("Melting_Curves/meltCurve_A6NN80_ANXA6.pdf", "Melting_Curves/meltCurve_A6NN80_ANXA6.pdf")</f>
        <v>Melting_Curves/meltCurve_A6NN80_ANXA6.pdf</v>
      </c>
    </row>
    <row r="63" spans="1:28" x14ac:dyDescent="0.25">
      <c r="A63" t="s">
        <v>67</v>
      </c>
      <c r="B63">
        <v>0.99999676499088797</v>
      </c>
      <c r="C63">
        <v>0.951946239471815</v>
      </c>
      <c r="D63">
        <v>0.98465950559363202</v>
      </c>
      <c r="E63">
        <v>0.82455911716542696</v>
      </c>
      <c r="F63">
        <v>0.136384939016504</v>
      </c>
      <c r="G63">
        <v>0.118402679869724</v>
      </c>
      <c r="H63">
        <v>5.2011590929091099E-2</v>
      </c>
      <c r="I63">
        <v>8.2682730674359897E-2</v>
      </c>
      <c r="J63">
        <v>4.1288854032496998E-2</v>
      </c>
      <c r="K63">
        <v>0</v>
      </c>
      <c r="L63">
        <v>2771.8833009630898</v>
      </c>
      <c r="M63">
        <v>54.421249868082803</v>
      </c>
      <c r="N63">
        <v>51.047838711642498</v>
      </c>
      <c r="O63">
        <v>50.8652059066684</v>
      </c>
      <c r="P63">
        <v>-0.25217505300784399</v>
      </c>
      <c r="Q63">
        <v>5.72118035205888E-2</v>
      </c>
      <c r="R63">
        <v>0.99455096323641501</v>
      </c>
      <c r="S63" t="s">
        <v>7066</v>
      </c>
      <c r="T63" t="s">
        <v>14004</v>
      </c>
      <c r="U63" t="s">
        <v>14004</v>
      </c>
      <c r="V63" t="s">
        <v>14004</v>
      </c>
      <c r="W63" t="s">
        <v>14067</v>
      </c>
      <c r="X63">
        <v>9</v>
      </c>
      <c r="Y63" t="s">
        <v>21003</v>
      </c>
      <c r="Z63" t="s">
        <v>27773</v>
      </c>
      <c r="AA63">
        <v>0.40260809179473189</v>
      </c>
      <c r="AB63" t="str">
        <f>HYPERLINK("Melting_Curves/meltCurve_A6PW57_PIP5K1A.pdf", "Melting_Curves/meltCurve_A6PW57_PIP5K1A.pdf")</f>
        <v>Melting_Curves/meltCurve_A6PW57_PIP5K1A.pdf</v>
      </c>
    </row>
    <row r="64" spans="1:28" x14ac:dyDescent="0.25">
      <c r="A64" t="s">
        <v>68</v>
      </c>
      <c r="B64">
        <v>0.99999676499088797</v>
      </c>
      <c r="C64">
        <v>0.99986235837836202</v>
      </c>
      <c r="D64">
        <v>0.95390042657349305</v>
      </c>
      <c r="E64">
        <v>0.63359782902242201</v>
      </c>
      <c r="F64">
        <v>0.25548494099639601</v>
      </c>
      <c r="G64">
        <v>0.16607395440418801</v>
      </c>
      <c r="H64">
        <v>9.80010398987987E-2</v>
      </c>
      <c r="I64">
        <v>9.6150220370674597E-2</v>
      </c>
      <c r="J64">
        <v>8.6315949946206297E-2</v>
      </c>
      <c r="K64">
        <v>7.8860667672307996E-2</v>
      </c>
      <c r="L64">
        <v>1383.3431643684601</v>
      </c>
      <c r="M64">
        <v>27.474676459205</v>
      </c>
      <c r="N64">
        <v>50.731418316825497</v>
      </c>
      <c r="O64">
        <v>50.0852885874097</v>
      </c>
      <c r="P64">
        <v>-0.124336395876572</v>
      </c>
      <c r="Q64">
        <v>9.3366456332711303E-2</v>
      </c>
      <c r="R64">
        <v>0.998757296819339</v>
      </c>
      <c r="S64" t="s">
        <v>7067</v>
      </c>
      <c r="T64" t="s">
        <v>14004</v>
      </c>
      <c r="U64" t="s">
        <v>14004</v>
      </c>
      <c r="V64" t="s">
        <v>14004</v>
      </c>
      <c r="W64" t="s">
        <v>14068</v>
      </c>
      <c r="X64">
        <v>6</v>
      </c>
      <c r="Y64" t="s">
        <v>21004</v>
      </c>
      <c r="Z64" t="s">
        <v>27774</v>
      </c>
      <c r="AA64">
        <v>0.41287945170966922</v>
      </c>
      <c r="AB64" t="str">
        <f>HYPERLINK("Melting_Curves/meltCurve_A6QL63_BTBD11.pdf", "Melting_Curves/meltCurve_A6QL63_BTBD11.pdf")</f>
        <v>Melting_Curves/meltCurve_A6QL63_BTBD11.pdf</v>
      </c>
    </row>
    <row r="65" spans="1:28" x14ac:dyDescent="0.25">
      <c r="A65" t="s">
        <v>69</v>
      </c>
      <c r="B65">
        <v>0.99999676499088797</v>
      </c>
      <c r="C65">
        <v>1.0009733502904801</v>
      </c>
      <c r="D65">
        <v>0.97866517371718997</v>
      </c>
      <c r="E65">
        <v>1.05272672781873</v>
      </c>
      <c r="F65">
        <v>1.0253188727364699</v>
      </c>
      <c r="G65">
        <v>0.30634012195584198</v>
      </c>
      <c r="H65">
        <v>0.110243339133778</v>
      </c>
      <c r="I65">
        <v>0.12548336936672699</v>
      </c>
      <c r="J65">
        <v>0.25215604545696602</v>
      </c>
      <c r="K65">
        <v>0.143201897445385</v>
      </c>
      <c r="L65">
        <v>14112.475053890401</v>
      </c>
      <c r="M65">
        <v>250</v>
      </c>
      <c r="N65">
        <v>56.5356273638535</v>
      </c>
      <c r="O65">
        <v>56.446282736715297</v>
      </c>
      <c r="P65">
        <v>-0.93255562170087003</v>
      </c>
      <c r="Q65">
        <v>0.157771152742575</v>
      </c>
      <c r="R65">
        <v>0.99058348574029398</v>
      </c>
      <c r="S65" t="s">
        <v>7068</v>
      </c>
      <c r="T65" t="s">
        <v>14004</v>
      </c>
      <c r="U65" t="s">
        <v>14004</v>
      </c>
      <c r="V65" t="s">
        <v>14004</v>
      </c>
      <c r="W65" t="s">
        <v>14069</v>
      </c>
      <c r="X65">
        <v>2</v>
      </c>
      <c r="Y65" t="s">
        <v>21005</v>
      </c>
      <c r="Z65" t="s">
        <v>27775</v>
      </c>
      <c r="AA65">
        <v>0.61967394112488527</v>
      </c>
      <c r="AB65" t="str">
        <f>HYPERLINK("Melting_Curves/meltCurve_A8K0B5_ZBTB8OS.pdf", "Melting_Curves/meltCurve_A8K0B5_ZBTB8OS.pdf")</f>
        <v>Melting_Curves/meltCurve_A8K0B5_ZBTB8OS.pdf</v>
      </c>
    </row>
    <row r="66" spans="1:28" x14ac:dyDescent="0.25">
      <c r="A66" t="s">
        <v>70</v>
      </c>
      <c r="B66">
        <v>0.99999676499088797</v>
      </c>
      <c r="C66">
        <v>1.0817672856313501</v>
      </c>
      <c r="D66">
        <v>1.04259665899863</v>
      </c>
      <c r="E66">
        <v>0.699965004572628</v>
      </c>
      <c r="F66">
        <v>0.47297973854185199</v>
      </c>
      <c r="G66">
        <v>0.38101230940909703</v>
      </c>
      <c r="H66">
        <v>0.313245761850032</v>
      </c>
      <c r="I66">
        <v>0.28288167894154698</v>
      </c>
      <c r="J66">
        <v>0.31945379021294901</v>
      </c>
      <c r="K66">
        <v>0.16240377469464201</v>
      </c>
      <c r="L66">
        <v>1225.8064376735699</v>
      </c>
      <c r="M66">
        <v>24.046414905736999</v>
      </c>
      <c r="N66">
        <v>52.7115508814748</v>
      </c>
      <c r="O66">
        <v>50.628067485436901</v>
      </c>
      <c r="P66">
        <v>-8.6278084922760706E-2</v>
      </c>
      <c r="Q66">
        <v>0.27340136415829702</v>
      </c>
      <c r="R66">
        <v>0.966438377436447</v>
      </c>
      <c r="S66" t="s">
        <v>7069</v>
      </c>
      <c r="T66" t="s">
        <v>14004</v>
      </c>
      <c r="U66" t="s">
        <v>14004</v>
      </c>
      <c r="V66" t="s">
        <v>14004</v>
      </c>
      <c r="W66" t="s">
        <v>14070</v>
      </c>
      <c r="X66">
        <v>2</v>
      </c>
      <c r="Y66" t="s">
        <v>21006</v>
      </c>
      <c r="Z66" t="s">
        <v>27776</v>
      </c>
      <c r="AA66">
        <v>0.54633899622423587</v>
      </c>
      <c r="AB66" t="str">
        <f>HYPERLINK("Melting_Curves/meltCurve_A8K0M9_SELK.pdf", "Melting_Curves/meltCurve_A8K0M9_SELK.pdf")</f>
        <v>Melting_Curves/meltCurve_A8K0M9_SELK.pdf</v>
      </c>
    </row>
    <row r="67" spans="1:28" x14ac:dyDescent="0.25">
      <c r="A67" t="s">
        <v>71</v>
      </c>
      <c r="B67">
        <v>0.99999676499088797</v>
      </c>
      <c r="C67">
        <v>0.89920663022150804</v>
      </c>
      <c r="D67">
        <v>0.88359965151823205</v>
      </c>
      <c r="E67">
        <v>1.0123769867374399</v>
      </c>
      <c r="F67">
        <v>1.24573236030874</v>
      </c>
      <c r="G67">
        <v>2.0195863186277401</v>
      </c>
      <c r="H67">
        <v>2.8841034889621899</v>
      </c>
      <c r="I67">
        <v>6.5573037359696498</v>
      </c>
      <c r="J67">
        <v>4.4381893030974497</v>
      </c>
      <c r="K67">
        <v>2.2984641302250202</v>
      </c>
      <c r="L67">
        <v>13301.8163711712</v>
      </c>
      <c r="M67">
        <v>250</v>
      </c>
      <c r="O67">
        <v>53.203848606560101</v>
      </c>
      <c r="P67">
        <v>0.58736339197107601</v>
      </c>
      <c r="Q67">
        <v>1.5</v>
      </c>
      <c r="R67">
        <v>-0.17495813735305199</v>
      </c>
      <c r="S67" t="s">
        <v>7070</v>
      </c>
      <c r="T67" t="s">
        <v>14004</v>
      </c>
      <c r="U67" t="s">
        <v>14004</v>
      </c>
      <c r="V67" t="s">
        <v>14004</v>
      </c>
      <c r="W67" t="s">
        <v>14071</v>
      </c>
      <c r="X67">
        <v>1</v>
      </c>
      <c r="Y67" t="s">
        <v>21007</v>
      </c>
      <c r="Z67" t="s">
        <v>27777</v>
      </c>
      <c r="AA67">
        <v>1.2798322196271681</v>
      </c>
      <c r="AB67" t="str">
        <f>HYPERLINK("Melting_Curves/meltCurve_A8K186_ZNF276.pdf", "Melting_Curves/meltCurve_A8K186_ZNF276.pdf")</f>
        <v>Melting_Curves/meltCurve_A8K186_ZNF276.pdf</v>
      </c>
    </row>
    <row r="68" spans="1:28" x14ac:dyDescent="0.25">
      <c r="A68" t="s">
        <v>72</v>
      </c>
      <c r="B68">
        <v>0.99999676499088797</v>
      </c>
      <c r="C68">
        <v>0.98469245156569596</v>
      </c>
      <c r="D68">
        <v>0.83965320026178503</v>
      </c>
      <c r="E68">
        <v>0.77363450401699596</v>
      </c>
      <c r="F68">
        <v>0.54763510201971599</v>
      </c>
      <c r="G68">
        <v>0.32286403009597298</v>
      </c>
      <c r="H68">
        <v>0.14418973243743999</v>
      </c>
      <c r="I68">
        <v>0.163976696630729</v>
      </c>
      <c r="J68">
        <v>0.17026406385374501</v>
      </c>
      <c r="K68">
        <v>0.17294480383850799</v>
      </c>
      <c r="L68">
        <v>829.009537155251</v>
      </c>
      <c r="M68">
        <v>15.787702280399699</v>
      </c>
      <c r="N68">
        <v>53.455878726245103</v>
      </c>
      <c r="O68">
        <v>51.689014991137199</v>
      </c>
      <c r="P68">
        <v>-6.7057700831286704E-2</v>
      </c>
      <c r="Q68">
        <v>0.121883612990871</v>
      </c>
      <c r="R68">
        <v>0.98814982077087898</v>
      </c>
      <c r="S68" t="s">
        <v>7071</v>
      </c>
      <c r="T68" t="s">
        <v>14004</v>
      </c>
      <c r="U68" t="s">
        <v>14004</v>
      </c>
      <c r="V68" t="s">
        <v>14004</v>
      </c>
      <c r="W68" t="s">
        <v>14072</v>
      </c>
      <c r="X68">
        <v>3</v>
      </c>
      <c r="Y68" t="s">
        <v>21008</v>
      </c>
      <c r="Z68" t="s">
        <v>27778</v>
      </c>
      <c r="AA68">
        <v>0.50590984806558814</v>
      </c>
      <c r="AB68" t="str">
        <f>HYPERLINK("Melting_Curves/meltCurve_A8MPS7_YDJC.pdf", "Melting_Curves/meltCurve_A8MPS7_YDJC.pdf")</f>
        <v>Melting_Curves/meltCurve_A8MPS7_YDJC.pdf</v>
      </c>
    </row>
    <row r="69" spans="1:28" x14ac:dyDescent="0.25">
      <c r="A69" t="s">
        <v>73</v>
      </c>
      <c r="B69">
        <v>0.99999676499088797</v>
      </c>
      <c r="C69">
        <v>0.95825475160796003</v>
      </c>
      <c r="D69">
        <v>0.93277274019602896</v>
      </c>
      <c r="E69">
        <v>0.70694899210439199</v>
      </c>
      <c r="F69">
        <v>0.29356507311736102</v>
      </c>
      <c r="G69">
        <v>0.24497980572181</v>
      </c>
      <c r="H69">
        <v>0.12527374944918901</v>
      </c>
      <c r="I69">
        <v>0.14798704799144199</v>
      </c>
      <c r="J69">
        <v>0.175961166261725</v>
      </c>
      <c r="K69">
        <v>0.160388880442736</v>
      </c>
      <c r="L69">
        <v>1423.6354322843199</v>
      </c>
      <c r="M69">
        <v>28.166160359886799</v>
      </c>
      <c r="N69">
        <v>51.232133647224799</v>
      </c>
      <c r="O69">
        <v>50.291456696255302</v>
      </c>
      <c r="P69">
        <v>-0.11796888156261</v>
      </c>
      <c r="Q69">
        <v>0.15746031475601099</v>
      </c>
      <c r="R69">
        <v>0.99413394879838002</v>
      </c>
      <c r="S69" t="s">
        <v>7072</v>
      </c>
      <c r="T69" t="s">
        <v>14004</v>
      </c>
      <c r="U69" t="s">
        <v>14004</v>
      </c>
      <c r="V69" t="s">
        <v>14004</v>
      </c>
      <c r="W69" t="s">
        <v>14073</v>
      </c>
      <c r="X69">
        <v>6</v>
      </c>
      <c r="Y69" t="s">
        <v>21009</v>
      </c>
      <c r="Z69" t="s">
        <v>27779</v>
      </c>
      <c r="AA69">
        <v>0.45955827317402742</v>
      </c>
      <c r="AB69" t="str">
        <f>HYPERLINK("Melting_Curves/meltCurve_A8MQ02_MLLT4.pdf", "Melting_Curves/meltCurve_A8MQ02_MLLT4.pdf")</f>
        <v>Melting_Curves/meltCurve_A8MQ02_MLLT4.pdf</v>
      </c>
    </row>
    <row r="70" spans="1:28" x14ac:dyDescent="0.25">
      <c r="A70" t="s">
        <v>74</v>
      </c>
      <c r="B70">
        <v>0.99999676499088797</v>
      </c>
      <c r="C70">
        <v>0.87219912513386399</v>
      </c>
      <c r="D70">
        <v>0.791885413328553</v>
      </c>
      <c r="E70">
        <v>0.61066177506127595</v>
      </c>
      <c r="F70">
        <v>0.364341292548086</v>
      </c>
      <c r="G70">
        <v>0.44262718482378599</v>
      </c>
      <c r="H70">
        <v>0.334557652957161</v>
      </c>
      <c r="I70">
        <v>0.40176797474160197</v>
      </c>
      <c r="J70">
        <v>0.39111852437926398</v>
      </c>
      <c r="K70">
        <v>0.34346206362706599</v>
      </c>
      <c r="L70">
        <v>846.80728974813098</v>
      </c>
      <c r="M70">
        <v>17.7874860381907</v>
      </c>
      <c r="N70">
        <v>51.307514896933597</v>
      </c>
      <c r="O70">
        <v>47.017439813861202</v>
      </c>
      <c r="P70">
        <v>-6.0402422613877599E-2</v>
      </c>
      <c r="Q70">
        <v>0.36138931914236</v>
      </c>
      <c r="R70">
        <v>0.968395590160811</v>
      </c>
      <c r="S70" t="s">
        <v>7073</v>
      </c>
      <c r="T70" t="s">
        <v>14004</v>
      </c>
      <c r="U70" t="s">
        <v>14004</v>
      </c>
      <c r="V70" t="s">
        <v>14004</v>
      </c>
      <c r="W70" t="s">
        <v>14074</v>
      </c>
      <c r="X70">
        <v>1</v>
      </c>
      <c r="Y70" t="s">
        <v>21010</v>
      </c>
      <c r="Z70" t="s">
        <v>27780</v>
      </c>
      <c r="AA70">
        <v>0.535091414650258</v>
      </c>
      <c r="AB70" t="str">
        <f>HYPERLINK("Melting_Curves/meltCurve_A8MQ14_ZNF850.pdf", "Melting_Curves/meltCurve_A8MQ14_ZNF850.pdf")</f>
        <v>Melting_Curves/meltCurve_A8MQ14_ZNF850.pdf</v>
      </c>
    </row>
    <row r="71" spans="1:28" x14ac:dyDescent="0.25">
      <c r="A71" t="s">
        <v>75</v>
      </c>
      <c r="B71">
        <v>0.99999676499088797</v>
      </c>
      <c r="C71">
        <v>1.00691700160272</v>
      </c>
      <c r="D71">
        <v>1.36043805825024</v>
      </c>
      <c r="E71">
        <v>1.4042079664503799</v>
      </c>
      <c r="F71">
        <v>0.66223441739275701</v>
      </c>
      <c r="G71">
        <v>1.4433098046424899</v>
      </c>
      <c r="H71">
        <v>0.62121779582570802</v>
      </c>
      <c r="I71">
        <v>1.60142769030643</v>
      </c>
      <c r="J71">
        <v>2.73262457115456</v>
      </c>
      <c r="K71">
        <v>2.7408937872600201</v>
      </c>
      <c r="L71">
        <v>2879.5337097546699</v>
      </c>
      <c r="M71">
        <v>46.182828157669299</v>
      </c>
      <c r="O71">
        <v>62.234174564398103</v>
      </c>
      <c r="P71">
        <v>9.2760292857981694E-2</v>
      </c>
      <c r="Q71">
        <v>1.5</v>
      </c>
      <c r="R71">
        <v>0.206792713187234</v>
      </c>
      <c r="S71" t="s">
        <v>7074</v>
      </c>
      <c r="T71" t="s">
        <v>14004</v>
      </c>
      <c r="U71" t="s">
        <v>14004</v>
      </c>
      <c r="V71" t="s">
        <v>14004</v>
      </c>
      <c r="W71" t="s">
        <v>14075</v>
      </c>
      <c r="X71">
        <v>1</v>
      </c>
      <c r="Y71" t="s">
        <v>21011</v>
      </c>
      <c r="Z71" t="s">
        <v>27781</v>
      </c>
      <c r="AA71">
        <v>1.126065525454534</v>
      </c>
      <c r="AB71" t="str">
        <f>HYPERLINK("Melting_Curves/meltCurve_A8MT02_SNRPB.pdf", "Melting_Curves/meltCurve_A8MT02_SNRPB.pdf")</f>
        <v>Melting_Curves/meltCurve_A8MT02_SNRPB.pdf</v>
      </c>
    </row>
    <row r="72" spans="1:28" x14ac:dyDescent="0.25">
      <c r="A72" t="s">
        <v>76</v>
      </c>
      <c r="B72">
        <v>0.99999676499088797</v>
      </c>
      <c r="C72">
        <v>0.96594460786328795</v>
      </c>
      <c r="D72">
        <v>0.94779767929766501</v>
      </c>
      <c r="E72">
        <v>0.893998908837081</v>
      </c>
      <c r="F72">
        <v>0.67937294690990302</v>
      </c>
      <c r="G72">
        <v>0.41416801925263402</v>
      </c>
      <c r="H72">
        <v>0.16898481330778201</v>
      </c>
      <c r="I72">
        <v>0.15752747256789201</v>
      </c>
      <c r="J72">
        <v>0.145990703564881</v>
      </c>
      <c r="K72">
        <v>0.127710481255983</v>
      </c>
      <c r="L72">
        <v>1098.9607493017299</v>
      </c>
      <c r="M72">
        <v>20.101910122982801</v>
      </c>
      <c r="N72">
        <v>55.349637700419102</v>
      </c>
      <c r="O72">
        <v>54.137065128613102</v>
      </c>
      <c r="P72">
        <v>-8.2672123999031899E-2</v>
      </c>
      <c r="Q72">
        <v>0.10944117237225</v>
      </c>
      <c r="R72">
        <v>0.99648217550737594</v>
      </c>
      <c r="S72" t="s">
        <v>7075</v>
      </c>
      <c r="T72" t="s">
        <v>14004</v>
      </c>
      <c r="U72" t="s">
        <v>14004</v>
      </c>
      <c r="V72" t="s">
        <v>14004</v>
      </c>
      <c r="W72" t="s">
        <v>14076</v>
      </c>
      <c r="X72">
        <v>10</v>
      </c>
      <c r="Y72" t="s">
        <v>21012</v>
      </c>
      <c r="Z72" t="s">
        <v>27782</v>
      </c>
      <c r="AA72">
        <v>0.55676784899372511</v>
      </c>
      <c r="AB72" t="str">
        <f>HYPERLINK("Melting_Curves/meltCurve_A8MTG8_ARMC8.pdf", "Melting_Curves/meltCurve_A8MTG8_ARMC8.pdf")</f>
        <v>Melting_Curves/meltCurve_A8MTG8_ARMC8.pdf</v>
      </c>
    </row>
    <row r="73" spans="1:28" x14ac:dyDescent="0.25">
      <c r="A73" t="s">
        <v>77</v>
      </c>
      <c r="B73">
        <v>0.99999676499088797</v>
      </c>
      <c r="C73">
        <v>1.09379432177015</v>
      </c>
      <c r="D73">
        <v>0.96723435907012201</v>
      </c>
      <c r="E73">
        <v>0.72625695489789299</v>
      </c>
      <c r="F73">
        <v>0.29750016269943502</v>
      </c>
      <c r="G73">
        <v>0.266073921997106</v>
      </c>
      <c r="H73">
        <v>7.3772138546367105E-2</v>
      </c>
      <c r="I73">
        <v>7.4733153942049296E-2</v>
      </c>
      <c r="J73">
        <v>0.102885076310844</v>
      </c>
      <c r="K73">
        <v>5.6817947305074099E-2</v>
      </c>
      <c r="L73">
        <v>1284.8722183411701</v>
      </c>
      <c r="M73">
        <v>25.082304783866199</v>
      </c>
      <c r="N73">
        <v>51.621464172979103</v>
      </c>
      <c r="O73">
        <v>50.903952205906698</v>
      </c>
      <c r="P73">
        <v>-0.112424487288087</v>
      </c>
      <c r="Q73">
        <v>8.7360622818780098E-2</v>
      </c>
      <c r="R73">
        <v>0.98404744922480303</v>
      </c>
      <c r="S73" t="s">
        <v>7076</v>
      </c>
      <c r="T73" t="s">
        <v>14004</v>
      </c>
      <c r="U73" t="s">
        <v>14004</v>
      </c>
      <c r="V73" t="s">
        <v>14004</v>
      </c>
      <c r="W73" t="s">
        <v>14077</v>
      </c>
      <c r="X73">
        <v>6</v>
      </c>
      <c r="Y73" t="s">
        <v>21013</v>
      </c>
      <c r="Z73" t="s">
        <v>27783</v>
      </c>
      <c r="AA73">
        <v>0.43708963144070262</v>
      </c>
      <c r="AB73" t="str">
        <f>HYPERLINK("Melting_Curves/meltCurve_A8MTY9_DSCR3.pdf", "Melting_Curves/meltCurve_A8MTY9_DSCR3.pdf")</f>
        <v>Melting_Curves/meltCurve_A8MTY9_DSCR3.pdf</v>
      </c>
    </row>
    <row r="74" spans="1:28" x14ac:dyDescent="0.25">
      <c r="A74" t="s">
        <v>78</v>
      </c>
      <c r="B74">
        <v>0.99999676499088797</v>
      </c>
      <c r="C74">
        <v>0.81786036742629797</v>
      </c>
      <c r="D74">
        <v>0.74475424398744705</v>
      </c>
      <c r="E74">
        <v>0.78301512985145105</v>
      </c>
      <c r="F74">
        <v>0.54801465960771301</v>
      </c>
      <c r="G74">
        <v>0.46404350208329798</v>
      </c>
      <c r="H74">
        <v>0.27934311250133997</v>
      </c>
      <c r="I74">
        <v>0.27534130368359599</v>
      </c>
      <c r="J74">
        <v>0.29932046969903398</v>
      </c>
      <c r="K74">
        <v>0.34355811501639999</v>
      </c>
      <c r="L74">
        <v>477.23870817199997</v>
      </c>
      <c r="M74">
        <v>9.2586501362872493</v>
      </c>
      <c r="N74">
        <v>54.7493167358801</v>
      </c>
      <c r="O74">
        <v>49.3117205496239</v>
      </c>
      <c r="P74">
        <v>-3.7145548151982198E-2</v>
      </c>
      <c r="Q74">
        <v>0.20916470104440699</v>
      </c>
      <c r="R74">
        <v>0.93886572198614204</v>
      </c>
      <c r="S74" t="s">
        <v>7077</v>
      </c>
      <c r="T74" t="s">
        <v>14004</v>
      </c>
      <c r="U74" t="s">
        <v>14004</v>
      </c>
      <c r="V74" t="s">
        <v>14004</v>
      </c>
      <c r="W74" t="s">
        <v>14078</v>
      </c>
      <c r="X74">
        <v>3</v>
      </c>
      <c r="Y74" t="s">
        <v>21014</v>
      </c>
      <c r="Z74" t="s">
        <v>27784</v>
      </c>
      <c r="AA74">
        <v>0.54765533823066126</v>
      </c>
      <c r="AB74" t="str">
        <f>HYPERLINK("Melting_Curves/meltCurve_A8MTZ6_S100PBP.pdf", "Melting_Curves/meltCurve_A8MTZ6_S100PBP.pdf")</f>
        <v>Melting_Curves/meltCurve_A8MTZ6_S100PBP.pdf</v>
      </c>
    </row>
    <row r="75" spans="1:28" x14ac:dyDescent="0.25">
      <c r="A75" t="s">
        <v>79</v>
      </c>
      <c r="B75">
        <v>0.99999676499088797</v>
      </c>
      <c r="C75">
        <v>0.76753055039977203</v>
      </c>
      <c r="D75">
        <v>0.58718922266731499</v>
      </c>
      <c r="E75">
        <v>0.42201675726672699</v>
      </c>
      <c r="F75">
        <v>0.51093125455485</v>
      </c>
      <c r="G75">
        <v>0.44597868127245499</v>
      </c>
      <c r="H75">
        <v>0.36140634423961399</v>
      </c>
      <c r="I75">
        <v>0.29243784103054998</v>
      </c>
      <c r="J75">
        <v>0.28119322305218503</v>
      </c>
      <c r="K75">
        <v>0.35255535934614302</v>
      </c>
      <c r="L75">
        <v>739.69250982247604</v>
      </c>
      <c r="M75">
        <v>16.4833211729369</v>
      </c>
      <c r="N75">
        <v>48.428285801844197</v>
      </c>
      <c r="O75">
        <v>44.230326266154997</v>
      </c>
      <c r="P75">
        <v>-6.04882587973724E-2</v>
      </c>
      <c r="Q75">
        <v>0.35080358749255097</v>
      </c>
      <c r="R75">
        <v>0.92187663298590405</v>
      </c>
      <c r="S75" t="s">
        <v>7078</v>
      </c>
      <c r="T75" t="s">
        <v>14004</v>
      </c>
      <c r="U75" t="s">
        <v>14004</v>
      </c>
      <c r="V75" t="s">
        <v>14004</v>
      </c>
      <c r="W75" t="s">
        <v>14079</v>
      </c>
      <c r="X75">
        <v>3</v>
      </c>
      <c r="Y75" t="s">
        <v>21015</v>
      </c>
      <c r="Z75" t="s">
        <v>27785</v>
      </c>
      <c r="AA75">
        <v>0.47357764200698099</v>
      </c>
      <c r="AB75" t="str">
        <f>HYPERLINK("Melting_Curves/meltCurve_A8MUA9_SUMO3.pdf", "Melting_Curves/meltCurve_A8MUA9_SUMO3.pdf")</f>
        <v>Melting_Curves/meltCurve_A8MUA9_SUMO3.pdf</v>
      </c>
    </row>
    <row r="76" spans="1:28" x14ac:dyDescent="0.25">
      <c r="A76" t="s">
        <v>80</v>
      </c>
      <c r="B76">
        <v>0.99999676499088797</v>
      </c>
      <c r="C76">
        <v>1.11091759080555</v>
      </c>
      <c r="D76">
        <v>1.1021390200769201</v>
      </c>
      <c r="E76">
        <v>1.25162359089468</v>
      </c>
      <c r="F76">
        <v>1.0615950831740899</v>
      </c>
      <c r="G76">
        <v>0.799512032297655</v>
      </c>
      <c r="H76">
        <v>0.32855636910632202</v>
      </c>
      <c r="I76">
        <v>0.296126784366671</v>
      </c>
      <c r="J76">
        <v>0.25682863573506198</v>
      </c>
      <c r="K76">
        <v>0.281733873840185</v>
      </c>
      <c r="L76">
        <v>3301.6277608640598</v>
      </c>
      <c r="M76">
        <v>57.138876663389802</v>
      </c>
      <c r="N76">
        <v>58.623458410022401</v>
      </c>
      <c r="O76">
        <v>57.711843185172498</v>
      </c>
      <c r="P76">
        <v>-0.178285774727167</v>
      </c>
      <c r="Q76">
        <v>0.27970590739732298</v>
      </c>
      <c r="R76">
        <v>0.93964909086387405</v>
      </c>
      <c r="S76" t="s">
        <v>7079</v>
      </c>
      <c r="T76" t="s">
        <v>14004</v>
      </c>
      <c r="U76" t="s">
        <v>14004</v>
      </c>
      <c r="V76" t="s">
        <v>14004</v>
      </c>
      <c r="W76" t="s">
        <v>14080</v>
      </c>
      <c r="X76">
        <v>31</v>
      </c>
      <c r="Y76" t="s">
        <v>21016</v>
      </c>
      <c r="Z76" t="s">
        <v>27786</v>
      </c>
      <c r="AA76">
        <v>0.70806270488638989</v>
      </c>
      <c r="AB76" t="str">
        <f>HYPERLINK("Melting_Curves/meltCurve_A8MUB1_TUBA4A.pdf", "Melting_Curves/meltCurve_A8MUB1_TUBA4A.pdf")</f>
        <v>Melting_Curves/meltCurve_A8MUB1_TUBA4A.pdf</v>
      </c>
    </row>
    <row r="77" spans="1:28" x14ac:dyDescent="0.25">
      <c r="A77" t="s">
        <v>81</v>
      </c>
      <c r="B77">
        <v>0.99999676499088797</v>
      </c>
      <c r="C77">
        <v>0.99345822383119597</v>
      </c>
      <c r="D77">
        <v>1.0540679004267399</v>
      </c>
      <c r="E77">
        <v>0.97138498544612795</v>
      </c>
      <c r="F77">
        <v>0.79391899036534896</v>
      </c>
      <c r="G77">
        <v>0.42263016258721398</v>
      </c>
      <c r="H77">
        <v>0.10409627670358799</v>
      </c>
      <c r="I77">
        <v>0.10897735775138299</v>
      </c>
      <c r="J77">
        <v>0.100907718864971</v>
      </c>
      <c r="K77">
        <v>7.7732854680935895E-2</v>
      </c>
      <c r="L77">
        <v>1640.5955304153499</v>
      </c>
      <c r="M77">
        <v>29.499368250733699</v>
      </c>
      <c r="N77">
        <v>55.933507850977101</v>
      </c>
      <c r="O77">
        <v>55.360904519699197</v>
      </c>
      <c r="P77">
        <v>-0.12290339457210001</v>
      </c>
      <c r="Q77">
        <v>7.7404574945712706E-2</v>
      </c>
      <c r="R77">
        <v>0.99644449291903103</v>
      </c>
      <c r="S77" t="s">
        <v>7080</v>
      </c>
      <c r="T77" t="s">
        <v>14004</v>
      </c>
      <c r="U77" t="s">
        <v>14004</v>
      </c>
      <c r="V77" t="s">
        <v>14004</v>
      </c>
      <c r="W77" t="s">
        <v>14081</v>
      </c>
      <c r="X77">
        <v>13</v>
      </c>
      <c r="Y77" t="s">
        <v>21017</v>
      </c>
      <c r="Z77" t="s">
        <v>27787</v>
      </c>
      <c r="AA77">
        <v>0.56394123026389664</v>
      </c>
      <c r="AB77" t="str">
        <f>HYPERLINK("Melting_Curves/meltCurve_A8MUM1_TSSC1.pdf", "Melting_Curves/meltCurve_A8MUM1_TSSC1.pdf")</f>
        <v>Melting_Curves/meltCurve_A8MUM1_TSSC1.pdf</v>
      </c>
    </row>
    <row r="78" spans="1:28" x14ac:dyDescent="0.25">
      <c r="A78" t="s">
        <v>82</v>
      </c>
      <c r="B78">
        <v>0.99999676499088797</v>
      </c>
      <c r="C78">
        <v>0.86310289416893604</v>
      </c>
      <c r="D78">
        <v>0.76022956346376902</v>
      </c>
      <c r="E78">
        <v>0.49890582597553201</v>
      </c>
      <c r="F78">
        <v>0.46953257033957602</v>
      </c>
      <c r="G78">
        <v>0.295525404442054</v>
      </c>
      <c r="H78">
        <v>0.22270960622657299</v>
      </c>
      <c r="I78">
        <v>0.223733418618976</v>
      </c>
      <c r="J78">
        <v>0.23762466709819399</v>
      </c>
      <c r="K78">
        <v>0.26715614286366302</v>
      </c>
      <c r="L78">
        <v>666.21260898337096</v>
      </c>
      <c r="M78">
        <v>13.757288629207199</v>
      </c>
      <c r="N78">
        <v>50.542767883468798</v>
      </c>
      <c r="O78">
        <v>47.437337038545103</v>
      </c>
      <c r="P78">
        <v>-5.6635088117468001E-2</v>
      </c>
      <c r="Q78">
        <v>0.21896320072935399</v>
      </c>
      <c r="R78">
        <v>0.98172825963971599</v>
      </c>
      <c r="S78" t="s">
        <v>7081</v>
      </c>
      <c r="T78" t="s">
        <v>14004</v>
      </c>
      <c r="U78" t="s">
        <v>14004</v>
      </c>
      <c r="V78" t="s">
        <v>14004</v>
      </c>
      <c r="W78" t="s">
        <v>14082</v>
      </c>
      <c r="X78">
        <v>1</v>
      </c>
      <c r="Y78" t="s">
        <v>21018</v>
      </c>
      <c r="Z78" t="s">
        <v>27788</v>
      </c>
      <c r="AA78">
        <v>0.46158357323269839</v>
      </c>
      <c r="AB78" t="str">
        <f>HYPERLINK("Melting_Curves/meltCurve_A8MV73_ATF7IP.pdf", "Melting_Curves/meltCurve_A8MV73_ATF7IP.pdf")</f>
        <v>Melting_Curves/meltCurve_A8MV73_ATF7IP.pdf</v>
      </c>
    </row>
    <row r="79" spans="1:28" x14ac:dyDescent="0.25">
      <c r="A79" t="s">
        <v>83</v>
      </c>
      <c r="B79">
        <v>0.99999676499088797</v>
      </c>
      <c r="C79">
        <v>1.08202813108469</v>
      </c>
      <c r="D79">
        <v>0.95139214427567498</v>
      </c>
      <c r="E79">
        <v>0.80537203552606695</v>
      </c>
      <c r="F79">
        <v>0.72087663975743899</v>
      </c>
      <c r="G79">
        <v>0.48123165364436599</v>
      </c>
      <c r="H79">
        <v>0.30757847043078002</v>
      </c>
      <c r="I79">
        <v>0.39617569592388702</v>
      </c>
      <c r="J79">
        <v>0.46772877500676202</v>
      </c>
      <c r="K79">
        <v>0.44767051597232399</v>
      </c>
      <c r="L79">
        <v>1122.84538130902</v>
      </c>
      <c r="M79">
        <v>21.425355110462402</v>
      </c>
      <c r="N79">
        <v>56.5985187980624</v>
      </c>
      <c r="O79">
        <v>51.957177194683801</v>
      </c>
      <c r="P79">
        <v>-6.2094789868108402E-2</v>
      </c>
      <c r="Q79">
        <v>0.39768745858617099</v>
      </c>
      <c r="R79">
        <v>0.94772073421595604</v>
      </c>
      <c r="S79" t="s">
        <v>7082</v>
      </c>
      <c r="T79" t="s">
        <v>14004</v>
      </c>
      <c r="U79" t="s">
        <v>14004</v>
      </c>
      <c r="V79" t="s">
        <v>14004</v>
      </c>
      <c r="W79" t="s">
        <v>14083</v>
      </c>
      <c r="X79">
        <v>11</v>
      </c>
      <c r="Y79" t="s">
        <v>21019</v>
      </c>
      <c r="Z79" t="s">
        <v>27789</v>
      </c>
      <c r="AA79">
        <v>0.65414670070950531</v>
      </c>
      <c r="AB79" t="str">
        <f>HYPERLINK("Melting_Curves/meltCurve_A8MVW0_FAM171A2.pdf", "Melting_Curves/meltCurve_A8MVW0_FAM171A2.pdf")</f>
        <v>Melting_Curves/meltCurve_A8MVW0_FAM171A2.pdf</v>
      </c>
    </row>
    <row r="80" spans="1:28" x14ac:dyDescent="0.25">
      <c r="A80" t="s">
        <v>84</v>
      </c>
      <c r="B80">
        <v>0.99999676499088797</v>
      </c>
      <c r="C80">
        <v>0.89831054111148401</v>
      </c>
      <c r="D80">
        <v>0.754601821991016</v>
      </c>
      <c r="E80">
        <v>0.44241444194620599</v>
      </c>
      <c r="F80">
        <v>0.328569635170671</v>
      </c>
      <c r="G80">
        <v>0.21380758666149299</v>
      </c>
      <c r="H80">
        <v>0.122789691907757</v>
      </c>
      <c r="I80">
        <v>0.11777420767482701</v>
      </c>
      <c r="J80">
        <v>0.11073946927223401</v>
      </c>
      <c r="K80">
        <v>9.1909203043509205E-2</v>
      </c>
      <c r="L80">
        <v>737.378088794674</v>
      </c>
      <c r="M80">
        <v>15.1256385903874</v>
      </c>
      <c r="N80">
        <v>49.440604834467997</v>
      </c>
      <c r="O80">
        <v>47.921899670244201</v>
      </c>
      <c r="P80">
        <v>-7.1402681700639806E-2</v>
      </c>
      <c r="Q80">
        <v>9.5200271701684797E-2</v>
      </c>
      <c r="R80">
        <v>0.99497435443959603</v>
      </c>
      <c r="S80" t="s">
        <v>7083</v>
      </c>
      <c r="T80" t="s">
        <v>14004</v>
      </c>
      <c r="U80" t="s">
        <v>14004</v>
      </c>
      <c r="V80" t="s">
        <v>14004</v>
      </c>
      <c r="W80" t="s">
        <v>14084</v>
      </c>
      <c r="X80">
        <v>13</v>
      </c>
      <c r="Y80" t="s">
        <v>21020</v>
      </c>
      <c r="Z80" t="s">
        <v>27790</v>
      </c>
      <c r="AA80">
        <v>0.38129546644808709</v>
      </c>
      <c r="AB80" t="str">
        <f>HYPERLINK("Melting_Curves/meltCurve_A8MVZ6_BICD1.pdf", "Melting_Curves/meltCurve_A8MVZ6_BICD1.pdf")</f>
        <v>Melting_Curves/meltCurve_A8MVZ6_BICD1.pdf</v>
      </c>
    </row>
    <row r="81" spans="1:28" x14ac:dyDescent="0.25">
      <c r="A81" t="s">
        <v>85</v>
      </c>
      <c r="B81">
        <v>0.99999676499088797</v>
      </c>
      <c r="C81">
        <v>1.13991675773868</v>
      </c>
      <c r="D81">
        <v>1.0205340356160999</v>
      </c>
      <c r="E81">
        <v>0.95463004938220297</v>
      </c>
      <c r="F81">
        <v>0.77545416814922596</v>
      </c>
      <c r="G81">
        <v>0.62184064478269196</v>
      </c>
      <c r="H81">
        <v>0.36771902689868802</v>
      </c>
      <c r="I81">
        <v>0.28741505116543198</v>
      </c>
      <c r="J81">
        <v>0.21406522713255999</v>
      </c>
      <c r="K81">
        <v>0.190768228963303</v>
      </c>
      <c r="L81">
        <v>977.69542711367399</v>
      </c>
      <c r="M81">
        <v>17.1208832388315</v>
      </c>
      <c r="N81">
        <v>58.411778731209097</v>
      </c>
      <c r="O81">
        <v>56.343438280164897</v>
      </c>
      <c r="P81">
        <v>-6.3887273440708797E-2</v>
      </c>
      <c r="Q81">
        <v>0.15905919765144499</v>
      </c>
      <c r="R81">
        <v>0.98029898779115199</v>
      </c>
      <c r="S81" t="s">
        <v>7084</v>
      </c>
      <c r="T81" t="s">
        <v>14004</v>
      </c>
      <c r="U81" t="s">
        <v>14004</v>
      </c>
      <c r="V81" t="s">
        <v>14004</v>
      </c>
      <c r="W81" t="s">
        <v>14085</v>
      </c>
      <c r="X81">
        <v>13</v>
      </c>
      <c r="Y81" t="s">
        <v>21021</v>
      </c>
      <c r="Z81" t="s">
        <v>27791</v>
      </c>
      <c r="AA81">
        <v>0.65050947042867235</v>
      </c>
      <c r="AB81" t="str">
        <f>HYPERLINK("Melting_Curves/meltCurve_A8MW61_PLRG1.pdf", "Melting_Curves/meltCurve_A8MW61_PLRG1.pdf")</f>
        <v>Melting_Curves/meltCurve_A8MW61_PLRG1.pdf</v>
      </c>
    </row>
    <row r="82" spans="1:28" x14ac:dyDescent="0.25">
      <c r="A82" t="s">
        <v>86</v>
      </c>
      <c r="B82">
        <v>0.99999676499088797</v>
      </c>
      <c r="C82">
        <v>0.81428486227418295</v>
      </c>
      <c r="D82">
        <v>0.39829241591012099</v>
      </c>
      <c r="E82">
        <v>0.26443815232981099</v>
      </c>
      <c r="F82">
        <v>0.204534845764616</v>
      </c>
      <c r="G82">
        <v>0.17846051209559599</v>
      </c>
      <c r="H82">
        <v>0.106423056120483</v>
      </c>
      <c r="I82">
        <v>0.12637248638639001</v>
      </c>
      <c r="J82">
        <v>0.12191192701747</v>
      </c>
      <c r="K82">
        <v>0.113680933019302</v>
      </c>
      <c r="L82">
        <v>1168.53575736174</v>
      </c>
      <c r="M82">
        <v>26.053879869496299</v>
      </c>
      <c r="N82">
        <v>45.441524804360803</v>
      </c>
      <c r="O82">
        <v>44.589013272481303</v>
      </c>
      <c r="P82">
        <v>-0.12509358038224799</v>
      </c>
      <c r="Q82">
        <v>0.143661422829299</v>
      </c>
      <c r="R82">
        <v>0.986474806808319</v>
      </c>
      <c r="S82" t="s">
        <v>7085</v>
      </c>
      <c r="T82" t="s">
        <v>14004</v>
      </c>
      <c r="U82" t="s">
        <v>14004</v>
      </c>
      <c r="V82" t="s">
        <v>14004</v>
      </c>
      <c r="W82" t="s">
        <v>14086</v>
      </c>
      <c r="X82">
        <v>23</v>
      </c>
      <c r="Y82" t="s">
        <v>21022</v>
      </c>
      <c r="Z82" t="s">
        <v>27792</v>
      </c>
      <c r="AA82">
        <v>0.28997213537121719</v>
      </c>
      <c r="AB82" t="str">
        <f>HYPERLINK("Melting_Curves/meltCurve_A8MXP9_MATR3.pdf", "Melting_Curves/meltCurve_A8MXP9_MATR3.pdf")</f>
        <v>Melting_Curves/meltCurve_A8MXP9_MATR3.pdf</v>
      </c>
    </row>
    <row r="83" spans="1:28" x14ac:dyDescent="0.25">
      <c r="A83" t="s">
        <v>87</v>
      </c>
      <c r="B83">
        <v>0.99999676499088797</v>
      </c>
      <c r="C83">
        <v>0.89844160779760596</v>
      </c>
      <c r="D83">
        <v>0.97027177508575402</v>
      </c>
      <c r="E83">
        <v>0.94189995352768896</v>
      </c>
      <c r="F83">
        <v>0.86370937887030996</v>
      </c>
      <c r="G83">
        <v>0.82415381549522504</v>
      </c>
      <c r="H83">
        <v>0.49552929642856097</v>
      </c>
      <c r="I83">
        <v>0.37754083567434499</v>
      </c>
      <c r="J83">
        <v>0.15126726283876701</v>
      </c>
      <c r="K83">
        <v>9.1838888600910995E-2</v>
      </c>
      <c r="L83">
        <v>996.72652848490497</v>
      </c>
      <c r="M83">
        <v>16.3041976623023</v>
      </c>
      <c r="N83">
        <v>61.133123533661902</v>
      </c>
      <c r="O83">
        <v>60.235669471926101</v>
      </c>
      <c r="P83">
        <v>-6.7673314790216002E-2</v>
      </c>
      <c r="Q83">
        <v>0</v>
      </c>
      <c r="R83">
        <v>0.97935629532607305</v>
      </c>
      <c r="S83" t="s">
        <v>7086</v>
      </c>
      <c r="T83" t="s">
        <v>14004</v>
      </c>
      <c r="U83" t="s">
        <v>14004</v>
      </c>
      <c r="V83" t="s">
        <v>14004</v>
      </c>
      <c r="W83" t="s">
        <v>14087</v>
      </c>
      <c r="X83">
        <v>2</v>
      </c>
      <c r="Y83" t="s">
        <v>21023</v>
      </c>
      <c r="Z83" t="s">
        <v>27793</v>
      </c>
      <c r="AA83">
        <v>0.70789683876039533</v>
      </c>
      <c r="AB83" t="str">
        <f>HYPERLINK("Melting_Curves/meltCurve_A8MYN5_ADH1B.pdf", "Melting_Curves/meltCurve_A8MYN5_ADH1B.pdf")</f>
        <v>Melting_Curves/meltCurve_A8MYN5_ADH1B.pdf</v>
      </c>
    </row>
    <row r="84" spans="1:28" x14ac:dyDescent="0.25">
      <c r="A84" t="s">
        <v>88</v>
      </c>
      <c r="B84">
        <v>0.99999676499088797</v>
      </c>
      <c r="C84">
        <v>0.98447404318315002</v>
      </c>
      <c r="D84">
        <v>0.98169935035955103</v>
      </c>
      <c r="E84">
        <v>0.98440494850856797</v>
      </c>
      <c r="F84">
        <v>0.79248195858174397</v>
      </c>
      <c r="G84">
        <v>0.841070283782136</v>
      </c>
      <c r="H84">
        <v>0.59317484491475003</v>
      </c>
      <c r="I84">
        <v>0.60165846964342595</v>
      </c>
      <c r="J84">
        <v>0.46156862128447901</v>
      </c>
      <c r="K84">
        <v>0.61055894344302597</v>
      </c>
      <c r="L84">
        <v>876.92296515111798</v>
      </c>
      <c r="M84">
        <v>15.458224857312301</v>
      </c>
      <c r="O84">
        <v>55.8046339181682</v>
      </c>
      <c r="P84">
        <v>-3.3935362362804901E-2</v>
      </c>
      <c r="Q84">
        <v>0.510013477798679</v>
      </c>
      <c r="R84">
        <v>0.91598921055298399</v>
      </c>
      <c r="S84" t="s">
        <v>7087</v>
      </c>
      <c r="T84" t="s">
        <v>14004</v>
      </c>
      <c r="U84" t="s">
        <v>14004</v>
      </c>
      <c r="V84" t="s">
        <v>14004</v>
      </c>
      <c r="W84" t="s">
        <v>14088</v>
      </c>
      <c r="X84">
        <v>5</v>
      </c>
      <c r="Y84" t="s">
        <v>21024</v>
      </c>
      <c r="Z84" t="s">
        <v>27794</v>
      </c>
      <c r="AA84">
        <v>0.79110268811708095</v>
      </c>
      <c r="AB84" t="str">
        <f>HYPERLINK("Melting_Curves/meltCurve_A8MZ84_LAIR1.pdf", "Melting_Curves/meltCurve_A8MZ84_LAIR1.pdf")</f>
        <v>Melting_Curves/meltCurve_A8MZ84_LAIR1.pdf</v>
      </c>
    </row>
    <row r="85" spans="1:28" x14ac:dyDescent="0.25">
      <c r="A85" t="s">
        <v>89</v>
      </c>
      <c r="B85">
        <v>0.99999676499088797</v>
      </c>
      <c r="C85">
        <v>0.95082362759557504</v>
      </c>
      <c r="D85">
        <v>0.976162328005863</v>
      </c>
      <c r="E85">
        <v>0.91037051694784799</v>
      </c>
      <c r="F85">
        <v>0.63144957765584597</v>
      </c>
      <c r="G85">
        <v>0.320520355943399</v>
      </c>
      <c r="H85">
        <v>0.134820398340529</v>
      </c>
      <c r="I85">
        <v>0.120514711461479</v>
      </c>
      <c r="J85">
        <v>0.12260689480263</v>
      </c>
      <c r="K85">
        <v>9.0970746172781697E-2</v>
      </c>
      <c r="L85">
        <v>1295.14118073481</v>
      </c>
      <c r="M85">
        <v>23.957618280617599</v>
      </c>
      <c r="N85">
        <v>54.542757464828</v>
      </c>
      <c r="O85">
        <v>53.687254533762903</v>
      </c>
      <c r="P85">
        <v>-0.100898038398548</v>
      </c>
      <c r="Q85">
        <v>9.5594170298013301E-2</v>
      </c>
      <c r="R85">
        <v>0.99777784288990801</v>
      </c>
      <c r="S85" t="s">
        <v>7088</v>
      </c>
      <c r="T85" t="s">
        <v>14004</v>
      </c>
      <c r="U85" t="s">
        <v>14004</v>
      </c>
      <c r="V85" t="s">
        <v>14004</v>
      </c>
      <c r="W85" t="s">
        <v>14089</v>
      </c>
      <c r="X85">
        <v>7</v>
      </c>
      <c r="Y85" t="s">
        <v>21025</v>
      </c>
      <c r="Z85" t="s">
        <v>27795</v>
      </c>
      <c r="AA85">
        <v>0.52848696412272966</v>
      </c>
      <c r="AB85" t="str">
        <f>HYPERLINK("Melting_Curves/meltCurve_A9UHW6_MIF4GD.pdf", "Melting_Curves/meltCurve_A9UHW6_MIF4GD.pdf")</f>
        <v>Melting_Curves/meltCurve_A9UHW6_MIF4GD.pdf</v>
      </c>
    </row>
    <row r="86" spans="1:28" x14ac:dyDescent="0.25">
      <c r="A86" t="s">
        <v>90</v>
      </c>
      <c r="B86">
        <v>0.99999676499088797</v>
      </c>
      <c r="C86">
        <v>0.96237287524036397</v>
      </c>
      <c r="D86">
        <v>1.0061671994429899</v>
      </c>
      <c r="E86">
        <v>0.94266011612309497</v>
      </c>
      <c r="F86">
        <v>0.59592547115609995</v>
      </c>
      <c r="G86">
        <v>0.40625574853831498</v>
      </c>
      <c r="H86">
        <v>0.23333991760881201</v>
      </c>
      <c r="I86">
        <v>0.18330829760627901</v>
      </c>
      <c r="J86">
        <v>0.16565788448506599</v>
      </c>
      <c r="K86">
        <v>0.19107289264838301</v>
      </c>
      <c r="L86">
        <v>1234.5775618212001</v>
      </c>
      <c r="M86">
        <v>22.9280103080727</v>
      </c>
      <c r="N86">
        <v>54.874655499425401</v>
      </c>
      <c r="O86">
        <v>53.441230054347997</v>
      </c>
      <c r="P86">
        <v>-8.8521638784178194E-2</v>
      </c>
      <c r="Q86">
        <v>0.174701060251372</v>
      </c>
      <c r="R86">
        <v>0.993483635839853</v>
      </c>
      <c r="S86" t="s">
        <v>7089</v>
      </c>
      <c r="T86" t="s">
        <v>14004</v>
      </c>
      <c r="U86" t="s">
        <v>14004</v>
      </c>
      <c r="V86" t="s">
        <v>14004</v>
      </c>
      <c r="W86" t="s">
        <v>14090</v>
      </c>
      <c r="X86">
        <v>13</v>
      </c>
      <c r="Y86" t="s">
        <v>21026</v>
      </c>
      <c r="Z86" t="s">
        <v>27796</v>
      </c>
      <c r="AA86">
        <v>0.56451652425199983</v>
      </c>
      <c r="AB86" t="str">
        <f>HYPERLINK("Melting_Curves/meltCurve_A9Z1X7_SRRM1.pdf", "Melting_Curves/meltCurve_A9Z1X7_SRRM1.pdf")</f>
        <v>Melting_Curves/meltCurve_A9Z1X7_SRRM1.pdf</v>
      </c>
    </row>
    <row r="87" spans="1:28" x14ac:dyDescent="0.25">
      <c r="A87" t="s">
        <v>91</v>
      </c>
      <c r="B87">
        <v>0.99999676499088797</v>
      </c>
      <c r="C87">
        <v>1.0266890786521601</v>
      </c>
      <c r="D87">
        <v>1.0256647825806999</v>
      </c>
      <c r="E87">
        <v>0.97549481142657601</v>
      </c>
      <c r="F87">
        <v>0.76644783328364396</v>
      </c>
      <c r="G87">
        <v>0.53665465126762302</v>
      </c>
      <c r="H87">
        <v>0.17774429736955399</v>
      </c>
      <c r="I87">
        <v>0.14285790915663099</v>
      </c>
      <c r="J87">
        <v>0.103892395718452</v>
      </c>
      <c r="K87">
        <v>0.11677024809787299</v>
      </c>
      <c r="L87">
        <v>1303.5308770715001</v>
      </c>
      <c r="M87">
        <v>23.1825972820006</v>
      </c>
      <c r="N87">
        <v>56.695869473708697</v>
      </c>
      <c r="O87">
        <v>55.815471116320602</v>
      </c>
      <c r="P87">
        <v>-9.4812539248879002E-2</v>
      </c>
      <c r="Q87">
        <v>8.6916685420827103E-2</v>
      </c>
      <c r="R87">
        <v>0.99472695325233695</v>
      </c>
      <c r="S87" t="s">
        <v>7090</v>
      </c>
      <c r="T87" t="s">
        <v>14004</v>
      </c>
      <c r="U87" t="s">
        <v>14004</v>
      </c>
      <c r="V87" t="s">
        <v>14004</v>
      </c>
      <c r="W87" t="s">
        <v>14091</v>
      </c>
      <c r="X87">
        <v>9</v>
      </c>
      <c r="Y87" t="s">
        <v>21027</v>
      </c>
      <c r="Z87" t="s">
        <v>27797</v>
      </c>
      <c r="AA87">
        <v>0.59028099659054079</v>
      </c>
      <c r="AB87" t="str">
        <f>HYPERLINK("Melting_Curves/meltCurve_B0AZU2_KIAA0930.pdf", "Melting_Curves/meltCurve_B0AZU2_KIAA0930.pdf")</f>
        <v>Melting_Curves/meltCurve_B0AZU2_KIAA0930.pdf</v>
      </c>
    </row>
    <row r="88" spans="1:28" x14ac:dyDescent="0.25">
      <c r="A88" t="s">
        <v>92</v>
      </c>
      <c r="B88">
        <v>0.99999676499088797</v>
      </c>
      <c r="C88">
        <v>0.97193621689373</v>
      </c>
      <c r="D88">
        <v>0.96023962521603101</v>
      </c>
      <c r="E88">
        <v>1.0589972556048399</v>
      </c>
      <c r="F88">
        <v>0.79642957510216394</v>
      </c>
      <c r="G88">
        <v>0.36821734293819303</v>
      </c>
      <c r="H88">
        <v>0.14449160729785401</v>
      </c>
      <c r="I88">
        <v>0.13393123804961499</v>
      </c>
      <c r="J88">
        <v>0.114173771277193</v>
      </c>
      <c r="K88">
        <v>8.6714741417823205E-2</v>
      </c>
      <c r="L88">
        <v>1891.7902036800699</v>
      </c>
      <c r="M88">
        <v>34.229277511348599</v>
      </c>
      <c r="N88">
        <v>55.664692946296597</v>
      </c>
      <c r="O88">
        <v>55.080554028655499</v>
      </c>
      <c r="P88">
        <v>-0.13855300028258699</v>
      </c>
      <c r="Q88">
        <v>0.10818463932259099</v>
      </c>
      <c r="R88">
        <v>0.99433983185131503</v>
      </c>
      <c r="S88" t="s">
        <v>7091</v>
      </c>
      <c r="T88" t="s">
        <v>14004</v>
      </c>
      <c r="U88" t="s">
        <v>14004</v>
      </c>
      <c r="V88" t="s">
        <v>14004</v>
      </c>
      <c r="W88" t="s">
        <v>14092</v>
      </c>
      <c r="X88">
        <v>21</v>
      </c>
      <c r="Y88" t="s">
        <v>21028</v>
      </c>
      <c r="Z88" t="s">
        <v>27798</v>
      </c>
      <c r="AA88">
        <v>0.56667208301029204</v>
      </c>
      <c r="AB88" t="str">
        <f>HYPERLINK("Melting_Curves/meltCurve_B0FLL2_PFKFB2.pdf", "Melting_Curves/meltCurve_B0FLL2_PFKFB2.pdf")</f>
        <v>Melting_Curves/meltCurve_B0FLL2_PFKFB2.pdf</v>
      </c>
    </row>
    <row r="89" spans="1:28" x14ac:dyDescent="0.25">
      <c r="A89" t="s">
        <v>93</v>
      </c>
      <c r="B89">
        <v>0.99999676499088797</v>
      </c>
      <c r="C89">
        <v>1.10735531502439</v>
      </c>
      <c r="D89">
        <v>0.98372858260291196</v>
      </c>
      <c r="E89">
        <v>0.51444129752511103</v>
      </c>
      <c r="F89">
        <v>0.32701480843915898</v>
      </c>
      <c r="G89">
        <v>0.23377035178695801</v>
      </c>
      <c r="H89">
        <v>0.113913217622788</v>
      </c>
      <c r="I89">
        <v>0.106723051991751</v>
      </c>
      <c r="J89">
        <v>9.8960366278337999E-2</v>
      </c>
      <c r="K89">
        <v>8.8526167418710403E-2</v>
      </c>
      <c r="L89">
        <v>1259.33069645202</v>
      </c>
      <c r="M89">
        <v>25.237033931496899</v>
      </c>
      <c r="N89">
        <v>50.452105488514498</v>
      </c>
      <c r="O89">
        <v>49.589959057412898</v>
      </c>
      <c r="P89">
        <v>-0.111880813061584</v>
      </c>
      <c r="Q89">
        <v>0.12064261707858601</v>
      </c>
      <c r="R89">
        <v>0.97613171698836398</v>
      </c>
      <c r="S89" t="s">
        <v>7092</v>
      </c>
      <c r="T89" t="s">
        <v>14004</v>
      </c>
      <c r="U89" t="s">
        <v>14004</v>
      </c>
      <c r="V89" t="s">
        <v>14004</v>
      </c>
      <c r="W89" t="s">
        <v>14093</v>
      </c>
      <c r="X89">
        <v>30</v>
      </c>
      <c r="Y89" t="s">
        <v>21029</v>
      </c>
      <c r="Z89" t="s">
        <v>27799</v>
      </c>
      <c r="AA89">
        <v>0.41853734213400118</v>
      </c>
      <c r="AB89" t="str">
        <f>HYPERLINK("Melting_Curves/meltCurve_B0I1T2_MYO1G.pdf", "Melting_Curves/meltCurve_B0I1T2_MYO1G.pdf")</f>
        <v>Melting_Curves/meltCurve_B0I1T2_MYO1G.pdf</v>
      </c>
    </row>
    <row r="90" spans="1:28" x14ac:dyDescent="0.25">
      <c r="A90" t="s">
        <v>94</v>
      </c>
      <c r="B90">
        <v>0.99999676499088797</v>
      </c>
      <c r="C90">
        <v>0.88053047493184999</v>
      </c>
      <c r="D90">
        <v>0.67188578555993295</v>
      </c>
      <c r="E90">
        <v>0.59880669706447698</v>
      </c>
      <c r="F90">
        <v>0.458936214278449</v>
      </c>
      <c r="G90">
        <v>0.38873267192454403</v>
      </c>
      <c r="H90">
        <v>0.162293506352756</v>
      </c>
      <c r="I90">
        <v>0.16893753690603</v>
      </c>
      <c r="J90">
        <v>0.148029841570885</v>
      </c>
      <c r="K90">
        <v>0.15379052203392901</v>
      </c>
      <c r="L90">
        <v>476.72876371996398</v>
      </c>
      <c r="M90">
        <v>9.34312581273681</v>
      </c>
      <c r="N90">
        <v>51.730717323259199</v>
      </c>
      <c r="O90">
        <v>48.850687084426802</v>
      </c>
      <c r="P90">
        <v>-4.4980286866208398E-2</v>
      </c>
      <c r="Q90">
        <v>5.9871746525422702E-2</v>
      </c>
      <c r="R90">
        <v>0.97636922006241</v>
      </c>
      <c r="S90" t="s">
        <v>7093</v>
      </c>
      <c r="T90" t="s">
        <v>14004</v>
      </c>
      <c r="U90" t="s">
        <v>14004</v>
      </c>
      <c r="V90" t="s">
        <v>14004</v>
      </c>
      <c r="W90" t="s">
        <v>14094</v>
      </c>
      <c r="X90">
        <v>1</v>
      </c>
      <c r="Y90" t="s">
        <v>21030</v>
      </c>
      <c r="Z90" t="s">
        <v>27800</v>
      </c>
      <c r="AA90">
        <v>0.44767633395089967</v>
      </c>
      <c r="AB90" t="str">
        <f>HYPERLINK("Melting_Curves/meltCurve_B0QXZ8_HMGXB4.pdf", "Melting_Curves/meltCurve_B0QXZ8_HMGXB4.pdf")</f>
        <v>Melting_Curves/meltCurve_B0QXZ8_HMGXB4.pdf</v>
      </c>
    </row>
    <row r="91" spans="1:28" x14ac:dyDescent="0.25">
      <c r="A91" t="s">
        <v>95</v>
      </c>
      <c r="B91">
        <v>0.99999676499088797</v>
      </c>
      <c r="C91">
        <v>0.99249890344545399</v>
      </c>
      <c r="D91">
        <v>1.0397145067537199</v>
      </c>
      <c r="E91">
        <v>1.04325658466942</v>
      </c>
      <c r="F91">
        <v>0.39858288321368501</v>
      </c>
      <c r="G91">
        <v>0.201143002531183</v>
      </c>
      <c r="H91">
        <v>9.7027150514159305E-2</v>
      </c>
      <c r="I91">
        <v>0.101354227465554</v>
      </c>
      <c r="J91">
        <v>8.9496351832337603E-2</v>
      </c>
      <c r="K91">
        <v>7.8971439290396503E-2</v>
      </c>
      <c r="L91">
        <v>5473.1979146205304</v>
      </c>
      <c r="M91">
        <v>103.623128064401</v>
      </c>
      <c r="N91">
        <v>52.949742945114899</v>
      </c>
      <c r="O91">
        <v>52.798640835957798</v>
      </c>
      <c r="P91">
        <v>-0.43501157317793998</v>
      </c>
      <c r="Q91">
        <v>0.113401837345342</v>
      </c>
      <c r="R91">
        <v>0.99276154606126399</v>
      </c>
      <c r="S91" t="s">
        <v>7094</v>
      </c>
      <c r="T91" t="s">
        <v>14004</v>
      </c>
      <c r="U91" t="s">
        <v>14004</v>
      </c>
      <c r="V91" t="s">
        <v>14004</v>
      </c>
      <c r="W91" t="s">
        <v>14095</v>
      </c>
      <c r="X91">
        <v>19</v>
      </c>
      <c r="Y91" t="s">
        <v>21031</v>
      </c>
      <c r="Z91" t="s">
        <v>27801</v>
      </c>
      <c r="AA91">
        <v>0.49270354054883542</v>
      </c>
      <c r="AB91" t="str">
        <f>HYPERLINK("Melting_Curves/meltCurve_B0QY89_EIF3L.pdf", "Melting_Curves/meltCurve_B0QY89_EIF3L.pdf")</f>
        <v>Melting_Curves/meltCurve_B0QY89_EIF3L.pdf</v>
      </c>
    </row>
    <row r="92" spans="1:28" x14ac:dyDescent="0.25">
      <c r="A92" t="s">
        <v>96</v>
      </c>
      <c r="B92">
        <v>0.99999676499088797</v>
      </c>
      <c r="C92">
        <v>0.97897253986063004</v>
      </c>
      <c r="D92">
        <v>0.87730204674646695</v>
      </c>
      <c r="E92">
        <v>0.67336712790743802</v>
      </c>
      <c r="F92">
        <v>0.454469742080019</v>
      </c>
      <c r="G92">
        <v>0.244170572434354</v>
      </c>
      <c r="H92">
        <v>0.128415590219596</v>
      </c>
      <c r="I92">
        <v>0.101027040172921</v>
      </c>
      <c r="J92">
        <v>8.29354731628755E-2</v>
      </c>
      <c r="K92">
        <v>0.104897075226282</v>
      </c>
      <c r="L92">
        <v>820.24528920150897</v>
      </c>
      <c r="M92">
        <v>15.856466373526599</v>
      </c>
      <c r="N92">
        <v>52.193275599365698</v>
      </c>
      <c r="O92">
        <v>50.927602913490198</v>
      </c>
      <c r="P92">
        <v>-7.2728269658738201E-2</v>
      </c>
      <c r="Q92">
        <v>6.5725081713304906E-2</v>
      </c>
      <c r="R92">
        <v>0.99848506716826901</v>
      </c>
      <c r="S92" t="s">
        <v>7095</v>
      </c>
      <c r="T92" t="s">
        <v>14004</v>
      </c>
      <c r="U92" t="s">
        <v>14004</v>
      </c>
      <c r="V92" t="s">
        <v>14004</v>
      </c>
      <c r="W92" t="s">
        <v>14096</v>
      </c>
      <c r="X92">
        <v>6</v>
      </c>
      <c r="Y92" t="s">
        <v>21032</v>
      </c>
      <c r="Z92" t="s">
        <v>27802</v>
      </c>
      <c r="AA92">
        <v>0.45030693835469149</v>
      </c>
      <c r="AB92" t="str">
        <f>HYPERLINK("Melting_Curves/meltCurve_B0QY95_SMCR7L.pdf", "Melting_Curves/meltCurve_B0QY95_SMCR7L.pdf")</f>
        <v>Melting_Curves/meltCurve_B0QY95_SMCR7L.pdf</v>
      </c>
    </row>
    <row r="93" spans="1:28" x14ac:dyDescent="0.25">
      <c r="A93" t="s">
        <v>97</v>
      </c>
      <c r="B93">
        <v>0.99999676499088797</v>
      </c>
      <c r="C93">
        <v>0.98697224262977601</v>
      </c>
      <c r="D93">
        <v>0.97315201507235904</v>
      </c>
      <c r="E93">
        <v>0.94727071508221805</v>
      </c>
      <c r="F93">
        <v>0.767916277666992</v>
      </c>
      <c r="G93">
        <v>0.41044022848285999</v>
      </c>
      <c r="H93">
        <v>0.120011078184596</v>
      </c>
      <c r="I93">
        <v>0.12946970331177099</v>
      </c>
      <c r="J93">
        <v>0.113168921127543</v>
      </c>
      <c r="K93">
        <v>9.8829567619151598E-2</v>
      </c>
      <c r="L93">
        <v>1509.28372110956</v>
      </c>
      <c r="M93">
        <v>27.282217597565801</v>
      </c>
      <c r="N93">
        <v>55.741066591138797</v>
      </c>
      <c r="O93">
        <v>55.026490210833998</v>
      </c>
      <c r="P93">
        <v>-0.112437703822797</v>
      </c>
      <c r="Q93">
        <v>9.2889954516685094E-2</v>
      </c>
      <c r="R93">
        <v>0.99764722287384</v>
      </c>
      <c r="S93" t="s">
        <v>7096</v>
      </c>
      <c r="T93" t="s">
        <v>14004</v>
      </c>
      <c r="U93" t="s">
        <v>14004</v>
      </c>
      <c r="V93" t="s">
        <v>14004</v>
      </c>
      <c r="W93" t="s">
        <v>14097</v>
      </c>
      <c r="X93">
        <v>8</v>
      </c>
      <c r="Y93" t="s">
        <v>21033</v>
      </c>
      <c r="Z93" t="s">
        <v>27803</v>
      </c>
      <c r="AA93">
        <v>0.56333745679324509</v>
      </c>
      <c r="AB93" t="str">
        <f>HYPERLINK("Melting_Curves/meltCurve_B0QYI3_TBC1D22A.pdf", "Melting_Curves/meltCurve_B0QYI3_TBC1D22A.pdf")</f>
        <v>Melting_Curves/meltCurve_B0QYI3_TBC1D22A.pdf</v>
      </c>
    </row>
    <row r="94" spans="1:28" x14ac:dyDescent="0.25">
      <c r="A94" t="s">
        <v>98</v>
      </c>
      <c r="B94">
        <v>0.99999676499088797</v>
      </c>
      <c r="C94">
        <v>0.94298739280452104</v>
      </c>
      <c r="D94">
        <v>0.95648884038312099</v>
      </c>
      <c r="E94">
        <v>1.00175450082825</v>
      </c>
      <c r="F94">
        <v>0.85017457212391701</v>
      </c>
      <c r="G94">
        <v>0.79191221818459601</v>
      </c>
      <c r="H94">
        <v>0.60120325638693894</v>
      </c>
      <c r="I94">
        <v>0.52877685828059895</v>
      </c>
      <c r="J94">
        <v>0.42348989862691899</v>
      </c>
      <c r="K94">
        <v>0.53062267915022898</v>
      </c>
      <c r="L94">
        <v>998.08700709177594</v>
      </c>
      <c r="M94">
        <v>17.331641410318301</v>
      </c>
      <c r="N94">
        <v>66.145188108245904</v>
      </c>
      <c r="O94">
        <v>56.837311329393899</v>
      </c>
      <c r="P94">
        <v>-4.2167706142513597E-2</v>
      </c>
      <c r="Q94">
        <v>0.44689329020104201</v>
      </c>
      <c r="R94">
        <v>0.96222885571688499</v>
      </c>
      <c r="S94" t="s">
        <v>7097</v>
      </c>
      <c r="T94" t="s">
        <v>14004</v>
      </c>
      <c r="U94" t="s">
        <v>14004</v>
      </c>
      <c r="V94" t="s">
        <v>14004</v>
      </c>
      <c r="W94" t="s">
        <v>14098</v>
      </c>
      <c r="X94">
        <v>8</v>
      </c>
      <c r="Y94" t="s">
        <v>21034</v>
      </c>
      <c r="Z94" t="s">
        <v>27804</v>
      </c>
      <c r="AA94">
        <v>0.77854554912727802</v>
      </c>
      <c r="AB94" t="str">
        <f>HYPERLINK("Melting_Curves/meltCurve_B0QYK0_EWSR1.pdf", "Melting_Curves/meltCurve_B0QYK0_EWSR1.pdf")</f>
        <v>Melting_Curves/meltCurve_B0QYK0_EWSR1.pdf</v>
      </c>
    </row>
    <row r="95" spans="1:28" x14ac:dyDescent="0.25">
      <c r="A95" t="s">
        <v>99</v>
      </c>
      <c r="B95">
        <v>0.99999676499088797</v>
      </c>
      <c r="C95">
        <v>0.95751742059931899</v>
      </c>
      <c r="D95">
        <v>0.84367988115390502</v>
      </c>
      <c r="E95">
        <v>0.42840201982221099</v>
      </c>
      <c r="F95">
        <v>0.30595082508968202</v>
      </c>
      <c r="G95">
        <v>0.19869284590376099</v>
      </c>
      <c r="H95">
        <v>0.106877882457452</v>
      </c>
      <c r="I95">
        <v>9.4765958251730703E-2</v>
      </c>
      <c r="J95">
        <v>9.5737688248047501E-2</v>
      </c>
      <c r="K95">
        <v>8.9971341744714495E-2</v>
      </c>
      <c r="L95">
        <v>958.75616292791904</v>
      </c>
      <c r="M95">
        <v>19.573511149964901</v>
      </c>
      <c r="N95">
        <v>49.551053633019798</v>
      </c>
      <c r="O95">
        <v>48.479652062214399</v>
      </c>
      <c r="P95">
        <v>-9.0785277339455406E-2</v>
      </c>
      <c r="Q95">
        <v>0.10060436312743801</v>
      </c>
      <c r="R95">
        <v>0.99134644472897404</v>
      </c>
      <c r="S95" t="s">
        <v>7098</v>
      </c>
      <c r="T95" t="s">
        <v>14004</v>
      </c>
      <c r="U95" t="s">
        <v>14004</v>
      </c>
      <c r="V95" t="s">
        <v>14004</v>
      </c>
      <c r="W95" t="s">
        <v>14099</v>
      </c>
      <c r="X95">
        <v>30</v>
      </c>
      <c r="Y95" t="s">
        <v>21035</v>
      </c>
      <c r="Z95" t="s">
        <v>27805</v>
      </c>
      <c r="AA95">
        <v>0.38305780799074951</v>
      </c>
      <c r="AB95" t="str">
        <f>HYPERLINK("Melting_Curves/meltCurve_B0UX83_BAG6.pdf", "Melting_Curves/meltCurve_B0UX83_BAG6.pdf")</f>
        <v>Melting_Curves/meltCurve_B0UX83_BAG6.pdf</v>
      </c>
    </row>
    <row r="96" spans="1:28" x14ac:dyDescent="0.25">
      <c r="A96" t="s">
        <v>100</v>
      </c>
      <c r="B96">
        <v>0.99999676499088797</v>
      </c>
      <c r="C96">
        <v>0.97943188730701802</v>
      </c>
      <c r="D96">
        <v>0.86350564968257504</v>
      </c>
      <c r="E96">
        <v>0.48893083829966899</v>
      </c>
      <c r="F96">
        <v>0.264829868399519</v>
      </c>
      <c r="G96">
        <v>0.16255105460816199</v>
      </c>
      <c r="H96">
        <v>7.9427721893883599E-2</v>
      </c>
      <c r="I96">
        <v>7.4818634065945397E-2</v>
      </c>
      <c r="J96">
        <v>5.9936074055592599E-2</v>
      </c>
      <c r="K96">
        <v>4.1462404307362297E-2</v>
      </c>
      <c r="L96">
        <v>1004.80372171773</v>
      </c>
      <c r="M96">
        <v>20.281938064340899</v>
      </c>
      <c r="N96">
        <v>49.869865578433398</v>
      </c>
      <c r="O96">
        <v>49.067712287378498</v>
      </c>
      <c r="P96">
        <v>-9.6885802712940297E-2</v>
      </c>
      <c r="Q96">
        <v>6.2452624157942997E-2</v>
      </c>
      <c r="R96">
        <v>0.99687471187144505</v>
      </c>
      <c r="S96" t="s">
        <v>7099</v>
      </c>
      <c r="T96" t="s">
        <v>14004</v>
      </c>
      <c r="U96" t="s">
        <v>14004</v>
      </c>
      <c r="V96" t="s">
        <v>14004</v>
      </c>
      <c r="W96" t="s">
        <v>14100</v>
      </c>
      <c r="X96">
        <v>7</v>
      </c>
      <c r="Y96" t="s">
        <v>21036</v>
      </c>
      <c r="Z96" t="s">
        <v>27806</v>
      </c>
      <c r="AA96">
        <v>0.37336975914769382</v>
      </c>
      <c r="AB96" t="str">
        <f>HYPERLINK("Melting_Curves/meltCurve_B0UXB6_ABHD16A.pdf", "Melting_Curves/meltCurve_B0UXB6_ABHD16A.pdf")</f>
        <v>Melting_Curves/meltCurve_B0UXB6_ABHD16A.pdf</v>
      </c>
    </row>
    <row r="97" spans="1:28" x14ac:dyDescent="0.25">
      <c r="A97" t="s">
        <v>101</v>
      </c>
      <c r="B97">
        <v>0.99999676499088797</v>
      </c>
      <c r="C97">
        <v>0.91686181750930695</v>
      </c>
      <c r="D97">
        <v>1.0301303754632101</v>
      </c>
      <c r="E97">
        <v>1.0255328896536899</v>
      </c>
      <c r="F97">
        <v>1.2086732894991501</v>
      </c>
      <c r="G97">
        <v>1.1285992301043699</v>
      </c>
      <c r="H97">
        <v>0.91135528339397298</v>
      </c>
      <c r="I97">
        <v>0.94025391746088705</v>
      </c>
      <c r="J97">
        <v>0.93155929513283697</v>
      </c>
      <c r="K97">
        <v>1.06076116278745</v>
      </c>
      <c r="L97">
        <v>11210.947797826901</v>
      </c>
      <c r="M97">
        <v>250</v>
      </c>
      <c r="O97">
        <v>44.840921038735203</v>
      </c>
      <c r="P97">
        <v>4.1277612143052901E-2</v>
      </c>
      <c r="Q97">
        <v>1.02961481860919</v>
      </c>
      <c r="R97">
        <v>5.4072414894905697E-2</v>
      </c>
      <c r="S97" t="s">
        <v>7100</v>
      </c>
      <c r="T97" t="s">
        <v>14004</v>
      </c>
      <c r="U97" t="s">
        <v>14004</v>
      </c>
      <c r="V97" t="s">
        <v>14004</v>
      </c>
      <c r="W97" t="s">
        <v>14101</v>
      </c>
      <c r="X97">
        <v>1</v>
      </c>
      <c r="Y97" t="s">
        <v>21037</v>
      </c>
      <c r="Z97" t="s">
        <v>27807</v>
      </c>
      <c r="AA97">
        <v>1.0248308880013111</v>
      </c>
      <c r="AB97" t="str">
        <f>HYPERLINK("Melting_Curves/meltCurve_B0UZY3_EHMT2.pdf", "Melting_Curves/meltCurve_B0UZY3_EHMT2.pdf")</f>
        <v>Melting_Curves/meltCurve_B0UZY3_EHMT2.pdf</v>
      </c>
    </row>
    <row r="98" spans="1:28" x14ac:dyDescent="0.25">
      <c r="A98" t="s">
        <v>102</v>
      </c>
      <c r="B98">
        <v>0.99999676499088797</v>
      </c>
      <c r="C98">
        <v>1.0148992377981101</v>
      </c>
      <c r="D98">
        <v>1.0537537709170199</v>
      </c>
      <c r="E98">
        <v>0.77310212091527997</v>
      </c>
      <c r="F98">
        <v>0.26258686797275599</v>
      </c>
      <c r="G98">
        <v>0.193911070387289</v>
      </c>
      <c r="H98">
        <v>9.6143704852823697E-2</v>
      </c>
      <c r="I98">
        <v>0.100986656270614</v>
      </c>
      <c r="J98">
        <v>9.6323635442167099E-2</v>
      </c>
      <c r="K98">
        <v>7.7431320622452199E-2</v>
      </c>
      <c r="L98">
        <v>1900.5157814889999</v>
      </c>
      <c r="M98">
        <v>37.202928963864601</v>
      </c>
      <c r="N98">
        <v>51.415403813537502</v>
      </c>
      <c r="O98">
        <v>50.938183961941199</v>
      </c>
      <c r="P98">
        <v>-0.163181527947768</v>
      </c>
      <c r="Q98">
        <v>0.106291108327109</v>
      </c>
      <c r="R98">
        <v>0.99374789171146405</v>
      </c>
      <c r="S98" t="s">
        <v>7101</v>
      </c>
      <c r="T98" t="s">
        <v>14004</v>
      </c>
      <c r="U98" t="s">
        <v>14004</v>
      </c>
      <c r="V98" t="s">
        <v>14004</v>
      </c>
      <c r="W98" t="s">
        <v>14102</v>
      </c>
      <c r="X98">
        <v>39</v>
      </c>
      <c r="Y98" t="s">
        <v>21038</v>
      </c>
      <c r="Z98" t="s">
        <v>27808</v>
      </c>
      <c r="AA98">
        <v>0.44017142726791941</v>
      </c>
      <c r="AB98" t="str">
        <f>HYPERLINK("Melting_Curves/meltCurve_B0V043_VARS.pdf", "Melting_Curves/meltCurve_B0V043_VARS.pdf")</f>
        <v>Melting_Curves/meltCurve_B0V043_VARS.pdf</v>
      </c>
    </row>
    <row r="99" spans="1:28" x14ac:dyDescent="0.25">
      <c r="A99" t="s">
        <v>103</v>
      </c>
      <c r="B99">
        <v>0.99999676499088797</v>
      </c>
      <c r="C99">
        <v>0.890183424153004</v>
      </c>
      <c r="D99">
        <v>0.91408118447466702</v>
      </c>
      <c r="E99">
        <v>0.71791004421980098</v>
      </c>
      <c r="F99">
        <v>0.68780161157438402</v>
      </c>
      <c r="G99">
        <v>0.61618065589380799</v>
      </c>
      <c r="H99">
        <v>0.44415365977614502</v>
      </c>
      <c r="I99">
        <v>0.42717726357288099</v>
      </c>
      <c r="J99">
        <v>0.46485239889392599</v>
      </c>
      <c r="K99">
        <v>0.37156683682136898</v>
      </c>
      <c r="L99">
        <v>469.88771774609501</v>
      </c>
      <c r="M99">
        <v>8.7690861383565792</v>
      </c>
      <c r="N99">
        <v>60.363833783646101</v>
      </c>
      <c r="O99">
        <v>51.017058742981199</v>
      </c>
      <c r="P99">
        <v>-2.9534280618321099E-2</v>
      </c>
      <c r="Q99">
        <v>0.31324841203525899</v>
      </c>
      <c r="R99">
        <v>0.96581224938292098</v>
      </c>
      <c r="S99" t="s">
        <v>7102</v>
      </c>
      <c r="T99" t="s">
        <v>14004</v>
      </c>
      <c r="U99" t="s">
        <v>14004</v>
      </c>
      <c r="V99" t="s">
        <v>14004</v>
      </c>
      <c r="W99" t="s">
        <v>14103</v>
      </c>
      <c r="X99">
        <v>3</v>
      </c>
      <c r="Y99" t="s">
        <v>21039</v>
      </c>
      <c r="Z99" t="s">
        <v>27809</v>
      </c>
      <c r="AA99">
        <v>0.64824473111598302</v>
      </c>
      <c r="AB99" t="str">
        <f>HYPERLINK("Melting_Curves/meltCurve_B0YIW2_APOC3.pdf", "Melting_Curves/meltCurve_B0YIW2_APOC3.pdf")</f>
        <v>Melting_Curves/meltCurve_B0YIW2_APOC3.pdf</v>
      </c>
    </row>
    <row r="100" spans="1:28" x14ac:dyDescent="0.25">
      <c r="A100" t="s">
        <v>104</v>
      </c>
      <c r="B100">
        <v>0.99999676499088797</v>
      </c>
      <c r="C100">
        <v>1.2665990830528899</v>
      </c>
      <c r="D100">
        <v>1.1850386628281599</v>
      </c>
      <c r="E100">
        <v>1.06757891231381</v>
      </c>
      <c r="F100">
        <v>0.88036341430131404</v>
      </c>
      <c r="G100">
        <v>0.59665822166753302</v>
      </c>
      <c r="H100">
        <v>0.27955296697647503</v>
      </c>
      <c r="I100">
        <v>0.30974760457121697</v>
      </c>
      <c r="J100">
        <v>0.36445892187122397</v>
      </c>
      <c r="K100">
        <v>0.30163102710911999</v>
      </c>
      <c r="L100">
        <v>2114.1611022443999</v>
      </c>
      <c r="M100">
        <v>37.714023563877802</v>
      </c>
      <c r="N100">
        <v>57.509751965933397</v>
      </c>
      <c r="O100">
        <v>55.900781149792799</v>
      </c>
      <c r="P100">
        <v>-0.11687439414857199</v>
      </c>
      <c r="Q100">
        <v>0.30706386029010102</v>
      </c>
      <c r="R100">
        <v>0.91544471090725699</v>
      </c>
      <c r="S100" t="s">
        <v>7103</v>
      </c>
      <c r="T100" t="s">
        <v>14004</v>
      </c>
      <c r="U100" t="s">
        <v>14004</v>
      </c>
      <c r="V100" t="s">
        <v>14004</v>
      </c>
      <c r="W100" t="s">
        <v>14104</v>
      </c>
      <c r="X100">
        <v>1</v>
      </c>
      <c r="Y100" t="s">
        <v>21040</v>
      </c>
      <c r="Z100" t="s">
        <v>27810</v>
      </c>
      <c r="AA100">
        <v>0.68095558575149773</v>
      </c>
      <c r="AB100" t="str">
        <f>HYPERLINK("Melting_Curves/meltCurve_B0YJ81_PTPLA.pdf", "Melting_Curves/meltCurve_B0YJ81_PTPLA.pdf")</f>
        <v>Melting_Curves/meltCurve_B0YJ81_PTPLA.pdf</v>
      </c>
    </row>
    <row r="101" spans="1:28" x14ac:dyDescent="0.25">
      <c r="A101" t="s">
        <v>105</v>
      </c>
      <c r="B101">
        <v>0.99999676499088797</v>
      </c>
      <c r="C101">
        <v>0.98084029344914903</v>
      </c>
      <c r="D101">
        <v>0.76695261412776405</v>
      </c>
      <c r="E101">
        <v>0.38369359080340298</v>
      </c>
      <c r="F101">
        <v>0.17095356218952501</v>
      </c>
      <c r="G101">
        <v>0.106247243452258</v>
      </c>
      <c r="H101">
        <v>5.0233969777589399E-2</v>
      </c>
      <c r="I101">
        <v>5.2218373252428299E-2</v>
      </c>
      <c r="J101">
        <v>7.6603724613311705E-2</v>
      </c>
      <c r="K101">
        <v>5.3814936481099598E-2</v>
      </c>
      <c r="L101">
        <v>1125.57800884977</v>
      </c>
      <c r="M101">
        <v>23.311673547864</v>
      </c>
      <c r="N101">
        <v>48.554855346193399</v>
      </c>
      <c r="O101">
        <v>47.932777974328097</v>
      </c>
      <c r="P101">
        <v>-0.114171093492983</v>
      </c>
      <c r="Q101">
        <v>6.0995650122870303E-2</v>
      </c>
      <c r="R101">
        <v>0.99846298061741501</v>
      </c>
      <c r="S101" t="s">
        <v>7104</v>
      </c>
      <c r="T101" t="s">
        <v>14004</v>
      </c>
      <c r="U101" t="s">
        <v>14004</v>
      </c>
      <c r="V101" t="s">
        <v>14004</v>
      </c>
      <c r="W101" t="s">
        <v>14105</v>
      </c>
      <c r="X101">
        <v>1</v>
      </c>
      <c r="Y101" t="s">
        <v>21041</v>
      </c>
      <c r="Z101" t="s">
        <v>27811</v>
      </c>
      <c r="AA101">
        <v>0.32989700225253538</v>
      </c>
      <c r="AB101" t="str">
        <f>HYPERLINK("Melting_Curves/meltCurve_B1AHC6_PHF21B.pdf", "Melting_Curves/meltCurve_B1AHC6_PHF21B.pdf")</f>
        <v>Melting_Curves/meltCurve_B1AHC6_PHF21B.pdf</v>
      </c>
    </row>
    <row r="102" spans="1:28" x14ac:dyDescent="0.25">
      <c r="A102" t="s">
        <v>106</v>
      </c>
      <c r="B102">
        <v>0.99999676499088797</v>
      </c>
      <c r="C102">
        <v>1.04475311568839</v>
      </c>
      <c r="D102">
        <v>0.99035937128651197</v>
      </c>
      <c r="E102">
        <v>0.778749926551907</v>
      </c>
      <c r="F102">
        <v>0.63749635260284299</v>
      </c>
      <c r="G102">
        <v>0.49534253758417202</v>
      </c>
      <c r="H102">
        <v>0.22828460039409301</v>
      </c>
      <c r="I102">
        <v>0.22547919693273299</v>
      </c>
      <c r="J102">
        <v>0.16760490168753001</v>
      </c>
      <c r="K102">
        <v>0.104347281843922</v>
      </c>
      <c r="L102">
        <v>746.72883043208503</v>
      </c>
      <c r="M102">
        <v>13.545774099319701</v>
      </c>
      <c r="N102">
        <v>55.799029274379002</v>
      </c>
      <c r="O102">
        <v>53.966502429812003</v>
      </c>
      <c r="P102">
        <v>-5.8032331910828697E-2</v>
      </c>
      <c r="Q102">
        <v>7.5333562671721296E-2</v>
      </c>
      <c r="R102">
        <v>0.98729012012839801</v>
      </c>
      <c r="S102" t="s">
        <v>7105</v>
      </c>
      <c r="T102" t="s">
        <v>14004</v>
      </c>
      <c r="U102" t="s">
        <v>14004</v>
      </c>
      <c r="V102" t="s">
        <v>14004</v>
      </c>
      <c r="W102" t="s">
        <v>14106</v>
      </c>
      <c r="X102">
        <v>6</v>
      </c>
      <c r="Y102" t="s">
        <v>21042</v>
      </c>
      <c r="Z102" t="s">
        <v>27812</v>
      </c>
      <c r="AA102">
        <v>0.56102894044366092</v>
      </c>
      <c r="AB102" t="str">
        <f>HYPERLINK("Melting_Curves/meltCurve_B1AHD1_NHP2L1.pdf", "Melting_Curves/meltCurve_B1AHD1_NHP2L1.pdf")</f>
        <v>Melting_Curves/meltCurve_B1AHD1_NHP2L1.pdf</v>
      </c>
    </row>
    <row r="103" spans="1:28" x14ac:dyDescent="0.25">
      <c r="A103" t="s">
        <v>107</v>
      </c>
      <c r="B103">
        <v>0.99999676499088797</v>
      </c>
      <c r="C103">
        <v>0.96129545302184005</v>
      </c>
      <c r="D103">
        <v>0.98376291366695401</v>
      </c>
      <c r="E103">
        <v>0.76582647119676395</v>
      </c>
      <c r="F103">
        <v>0.46000417903498497</v>
      </c>
      <c r="G103">
        <v>0.41280287037888203</v>
      </c>
      <c r="H103">
        <v>0.226588475784777</v>
      </c>
      <c r="I103">
        <v>0.28999435532298301</v>
      </c>
      <c r="J103">
        <v>0.268866340719215</v>
      </c>
      <c r="K103">
        <v>0.256566122927125</v>
      </c>
      <c r="L103">
        <v>1148.00020938495</v>
      </c>
      <c r="M103">
        <v>22.372549390067199</v>
      </c>
      <c r="N103">
        <v>53.085896035259402</v>
      </c>
      <c r="O103">
        <v>50.908217744243998</v>
      </c>
      <c r="P103">
        <v>-8.0956358449520094E-2</v>
      </c>
      <c r="Q103">
        <v>0.26315832403801298</v>
      </c>
      <c r="R103">
        <v>0.98717820228868403</v>
      </c>
      <c r="S103" t="s">
        <v>7106</v>
      </c>
      <c r="T103" t="s">
        <v>14004</v>
      </c>
      <c r="U103" t="s">
        <v>14004</v>
      </c>
      <c r="V103" t="s">
        <v>14004</v>
      </c>
      <c r="W103" t="s">
        <v>14107</v>
      </c>
      <c r="X103">
        <v>12</v>
      </c>
      <c r="Y103" t="s">
        <v>21043</v>
      </c>
      <c r="Z103" t="s">
        <v>27813</v>
      </c>
      <c r="AA103">
        <v>0.54929715278878311</v>
      </c>
      <c r="AB103" t="str">
        <f>HYPERLINK("Melting_Curves/meltCurve_B1AJU2_TRAF3IP3.pdf", "Melting_Curves/meltCurve_B1AJU2_TRAF3IP3.pdf")</f>
        <v>Melting_Curves/meltCurve_B1AJU2_TRAF3IP3.pdf</v>
      </c>
    </row>
    <row r="104" spans="1:28" x14ac:dyDescent="0.25">
      <c r="A104" t="s">
        <v>108</v>
      </c>
      <c r="B104">
        <v>0.99999676499088797</v>
      </c>
      <c r="C104">
        <v>0.92202129095305696</v>
      </c>
      <c r="D104">
        <v>1.01219612948819</v>
      </c>
      <c r="E104">
        <v>0.68941166012565502</v>
      </c>
      <c r="F104">
        <v>0.40586924924943302</v>
      </c>
      <c r="G104">
        <v>0.221536136296347</v>
      </c>
      <c r="H104">
        <v>0.12580212635350799</v>
      </c>
      <c r="I104">
        <v>0.109718309508489</v>
      </c>
      <c r="J104">
        <v>0.10508542643650599</v>
      </c>
      <c r="K104">
        <v>0.106702122270699</v>
      </c>
      <c r="L104">
        <v>1114.72876005439</v>
      </c>
      <c r="M104">
        <v>21.665215829326701</v>
      </c>
      <c r="N104">
        <v>52.001623707072198</v>
      </c>
      <c r="O104">
        <v>51.0201271208104</v>
      </c>
      <c r="P104">
        <v>-9.5307148548489998E-2</v>
      </c>
      <c r="Q104">
        <v>0.102253665044371</v>
      </c>
      <c r="R104">
        <v>0.99164609937896797</v>
      </c>
      <c r="S104" t="s">
        <v>7107</v>
      </c>
      <c r="T104" t="s">
        <v>14004</v>
      </c>
      <c r="U104" t="s">
        <v>14004</v>
      </c>
      <c r="V104" t="s">
        <v>14004</v>
      </c>
      <c r="W104" t="s">
        <v>14108</v>
      </c>
      <c r="X104">
        <v>8</v>
      </c>
      <c r="Y104" t="s">
        <v>21044</v>
      </c>
      <c r="Z104" t="s">
        <v>27814</v>
      </c>
      <c r="AA104">
        <v>0.45569337082602163</v>
      </c>
      <c r="AB104" t="str">
        <f>HYPERLINK("Melting_Curves/meltCurve_B1AJY7_PSMD10.pdf", "Melting_Curves/meltCurve_B1AJY7_PSMD10.pdf")</f>
        <v>Melting_Curves/meltCurve_B1AJY7_PSMD10.pdf</v>
      </c>
    </row>
    <row r="105" spans="1:28" x14ac:dyDescent="0.25">
      <c r="A105" t="s">
        <v>109</v>
      </c>
      <c r="B105">
        <v>0.99999676499088797</v>
      </c>
      <c r="C105">
        <v>1.01840048631667</v>
      </c>
      <c r="D105">
        <v>1.1099928886703501</v>
      </c>
      <c r="E105">
        <v>1.2448349752383501</v>
      </c>
      <c r="F105">
        <v>1.0654890269455899</v>
      </c>
      <c r="G105">
        <v>0.66678780822920303</v>
      </c>
      <c r="H105">
        <v>0.32976660021542198</v>
      </c>
      <c r="I105">
        <v>0.21680401778969999</v>
      </c>
      <c r="J105">
        <v>0.17683641500875399</v>
      </c>
      <c r="K105">
        <v>0.194523271746944</v>
      </c>
      <c r="L105">
        <v>2343.3407229068998</v>
      </c>
      <c r="M105">
        <v>40.748827472584203</v>
      </c>
      <c r="N105">
        <v>58.248920773628399</v>
      </c>
      <c r="O105">
        <v>57.3689823819265</v>
      </c>
      <c r="P105">
        <v>-0.14162274697402699</v>
      </c>
      <c r="Q105">
        <v>0.20245700097910099</v>
      </c>
      <c r="R105">
        <v>0.94907580563171401</v>
      </c>
      <c r="S105" t="s">
        <v>7108</v>
      </c>
      <c r="T105" t="s">
        <v>14004</v>
      </c>
      <c r="U105" t="s">
        <v>14004</v>
      </c>
      <c r="V105" t="s">
        <v>14004</v>
      </c>
      <c r="W105" t="s">
        <v>14109</v>
      </c>
      <c r="X105">
        <v>10</v>
      </c>
      <c r="Y105" t="s">
        <v>21045</v>
      </c>
      <c r="Z105" t="s">
        <v>27815</v>
      </c>
      <c r="AA105">
        <v>0.67088872659945875</v>
      </c>
      <c r="AB105" t="str">
        <f>HYPERLINK("Melting_Curves/meltCurve_B1AK13_HMGCL.pdf", "Melting_Curves/meltCurve_B1AK13_HMGCL.pdf")</f>
        <v>Melting_Curves/meltCurve_B1AK13_HMGCL.pdf</v>
      </c>
    </row>
    <row r="106" spans="1:28" x14ac:dyDescent="0.25">
      <c r="A106" t="s">
        <v>110</v>
      </c>
      <c r="B106">
        <v>0.99999676499088797</v>
      </c>
      <c r="C106">
        <v>1.1378254222816799</v>
      </c>
      <c r="D106">
        <v>0.942401836162998</v>
      </c>
      <c r="E106">
        <v>0.64461036024816099</v>
      </c>
      <c r="F106">
        <v>0.33596083704313001</v>
      </c>
      <c r="G106">
        <v>0.29652967730858598</v>
      </c>
      <c r="H106">
        <v>0.120720164919669</v>
      </c>
      <c r="I106">
        <v>0.107487354118982</v>
      </c>
      <c r="J106">
        <v>8.4502531647741602E-2</v>
      </c>
      <c r="K106">
        <v>7.6199867552925696E-2</v>
      </c>
      <c r="L106">
        <v>1062.09731970862</v>
      </c>
      <c r="M106">
        <v>20.825951345469601</v>
      </c>
      <c r="N106">
        <v>51.549417252567402</v>
      </c>
      <c r="O106">
        <v>50.5355080944096</v>
      </c>
      <c r="P106">
        <v>-9.2753937192599903E-2</v>
      </c>
      <c r="Q106">
        <v>9.9731432701425607E-2</v>
      </c>
      <c r="R106">
        <v>0.97578557048722003</v>
      </c>
      <c r="S106" t="s">
        <v>7109</v>
      </c>
      <c r="T106" t="s">
        <v>14004</v>
      </c>
      <c r="U106" t="s">
        <v>14004</v>
      </c>
      <c r="V106" t="s">
        <v>14004</v>
      </c>
      <c r="W106" t="s">
        <v>14110</v>
      </c>
      <c r="X106">
        <v>3</v>
      </c>
      <c r="Y106" t="s">
        <v>21046</v>
      </c>
      <c r="Z106" t="s">
        <v>27816</v>
      </c>
      <c r="AA106">
        <v>0.44137230398399302</v>
      </c>
      <c r="AB106" t="str">
        <f>HYPERLINK("Melting_Curves/meltCurve_B1AK44_MAD2L2.pdf", "Melting_Curves/meltCurve_B1AK44_MAD2L2.pdf")</f>
        <v>Melting_Curves/meltCurve_B1AK44_MAD2L2.pdf</v>
      </c>
    </row>
    <row r="107" spans="1:28" x14ac:dyDescent="0.25">
      <c r="A107" t="s">
        <v>111</v>
      </c>
      <c r="B107">
        <v>0.99999676499088797</v>
      </c>
      <c r="C107">
        <v>0.95589667598045902</v>
      </c>
      <c r="D107">
        <v>0.95257738816400594</v>
      </c>
      <c r="E107">
        <v>0.82414839118295902</v>
      </c>
      <c r="F107">
        <v>0.53201462406657296</v>
      </c>
      <c r="G107">
        <v>0.29110102516797598</v>
      </c>
      <c r="H107">
        <v>0.130720094607572</v>
      </c>
      <c r="I107">
        <v>0.102249459741741</v>
      </c>
      <c r="J107">
        <v>8.3063800523482001E-2</v>
      </c>
      <c r="K107">
        <v>6.8884273461021703E-2</v>
      </c>
      <c r="L107">
        <v>1005.44634911071</v>
      </c>
      <c r="M107">
        <v>18.8634504536344</v>
      </c>
      <c r="N107">
        <v>53.661971356612902</v>
      </c>
      <c r="O107">
        <v>52.713107646589798</v>
      </c>
      <c r="P107">
        <v>-8.41398838504131E-2</v>
      </c>
      <c r="Q107">
        <v>5.9537314609664098E-2</v>
      </c>
      <c r="R107">
        <v>0.99892966748191503</v>
      </c>
      <c r="S107" t="s">
        <v>7110</v>
      </c>
      <c r="T107" t="s">
        <v>14004</v>
      </c>
      <c r="U107" t="s">
        <v>14004</v>
      </c>
      <c r="V107" t="s">
        <v>14004</v>
      </c>
      <c r="W107" t="s">
        <v>14111</v>
      </c>
      <c r="X107">
        <v>11</v>
      </c>
      <c r="Y107" t="s">
        <v>21047</v>
      </c>
      <c r="Z107" t="s">
        <v>27817</v>
      </c>
      <c r="AA107">
        <v>0.49072111210168379</v>
      </c>
      <c r="AB107" t="str">
        <f>HYPERLINK("Melting_Curves/meltCurve_B1AKC9_EPHB2.pdf", "Melting_Curves/meltCurve_B1AKC9_EPHB2.pdf")</f>
        <v>Melting_Curves/meltCurve_B1AKC9_EPHB2.pdf</v>
      </c>
    </row>
    <row r="108" spans="1:28" x14ac:dyDescent="0.25">
      <c r="A108" t="s">
        <v>112</v>
      </c>
      <c r="B108">
        <v>0.99999676499088797</v>
      </c>
      <c r="C108">
        <v>0.98215866497830695</v>
      </c>
      <c r="D108">
        <v>0.98628996320305096</v>
      </c>
      <c r="E108">
        <v>0.82804343260040403</v>
      </c>
      <c r="F108">
        <v>0.281749227912233</v>
      </c>
      <c r="G108">
        <v>0.17321767281564199</v>
      </c>
      <c r="H108">
        <v>7.9464823022651898E-2</v>
      </c>
      <c r="I108">
        <v>7.4437497604945502E-2</v>
      </c>
      <c r="J108">
        <v>6.4602881638042203E-2</v>
      </c>
      <c r="K108">
        <v>5.6647005186863997E-2</v>
      </c>
      <c r="L108">
        <v>1854.79612524761</v>
      </c>
      <c r="M108">
        <v>36.003833407149102</v>
      </c>
      <c r="N108">
        <v>51.765020601994401</v>
      </c>
      <c r="O108">
        <v>51.358474132407302</v>
      </c>
      <c r="P108">
        <v>-0.16135461190102399</v>
      </c>
      <c r="Q108">
        <v>7.9331317851889502E-2</v>
      </c>
      <c r="R108">
        <v>0.99672674820509199</v>
      </c>
      <c r="S108" t="s">
        <v>7111</v>
      </c>
      <c r="T108" t="s">
        <v>14004</v>
      </c>
      <c r="U108" t="s">
        <v>14004</v>
      </c>
      <c r="V108" t="s">
        <v>14004</v>
      </c>
      <c r="W108" t="s">
        <v>14112</v>
      </c>
      <c r="X108">
        <v>42</v>
      </c>
      <c r="Y108" t="s">
        <v>21048</v>
      </c>
      <c r="Z108" t="s">
        <v>27818</v>
      </c>
      <c r="AA108">
        <v>0.43681519999341362</v>
      </c>
      <c r="AB108" t="str">
        <f>HYPERLINK("Melting_Curves/meltCurve_B1AKJ5_NRD1.pdf", "Melting_Curves/meltCurve_B1AKJ5_NRD1.pdf")</f>
        <v>Melting_Curves/meltCurve_B1AKJ5_NRD1.pdf</v>
      </c>
    </row>
    <row r="109" spans="1:28" x14ac:dyDescent="0.25">
      <c r="A109" t="s">
        <v>113</v>
      </c>
      <c r="B109">
        <v>0.99999676499088797</v>
      </c>
      <c r="C109">
        <v>0.87888418162057003</v>
      </c>
      <c r="D109">
        <v>0.52783136180517798</v>
      </c>
      <c r="E109">
        <v>0.229547230961441</v>
      </c>
      <c r="F109">
        <v>0.193308100126239</v>
      </c>
      <c r="G109">
        <v>0.14339963458876001</v>
      </c>
      <c r="H109">
        <v>8.0673547731977005E-2</v>
      </c>
      <c r="I109">
        <v>8.2325689340810596E-2</v>
      </c>
      <c r="J109">
        <v>7.6716119991909595E-2</v>
      </c>
      <c r="K109">
        <v>5.2653891619097899E-2</v>
      </c>
      <c r="L109">
        <v>1059.9465054115999</v>
      </c>
      <c r="M109">
        <v>23.028038736445801</v>
      </c>
      <c r="N109">
        <v>46.442182722294604</v>
      </c>
      <c r="O109">
        <v>45.685624164664603</v>
      </c>
      <c r="P109">
        <v>-0.114331354914372</v>
      </c>
      <c r="Q109">
        <v>9.27230377001039E-2</v>
      </c>
      <c r="R109">
        <v>0.99160047263015205</v>
      </c>
      <c r="S109" t="s">
        <v>7112</v>
      </c>
      <c r="T109" t="s">
        <v>14004</v>
      </c>
      <c r="U109" t="s">
        <v>14004</v>
      </c>
      <c r="V109" t="s">
        <v>14004</v>
      </c>
      <c r="W109" t="s">
        <v>14113</v>
      </c>
      <c r="X109">
        <v>11</v>
      </c>
      <c r="Y109" t="s">
        <v>21049</v>
      </c>
      <c r="Z109" t="s">
        <v>27819</v>
      </c>
      <c r="AA109">
        <v>0.28515765485188371</v>
      </c>
      <c r="AB109" t="str">
        <f>HYPERLINK("Melting_Curves/meltCurve_B1AKJ6_OSBPL9.pdf", "Melting_Curves/meltCurve_B1AKJ6_OSBPL9.pdf")</f>
        <v>Melting_Curves/meltCurve_B1AKJ6_OSBPL9.pdf</v>
      </c>
    </row>
    <row r="110" spans="1:28" x14ac:dyDescent="0.25">
      <c r="A110" t="s">
        <v>114</v>
      </c>
      <c r="B110">
        <v>0.99999676499088797</v>
      </c>
      <c r="C110">
        <v>0.84369987615554798</v>
      </c>
      <c r="D110">
        <v>0.61871966551566804</v>
      </c>
      <c r="E110">
        <v>0.37066377653627303</v>
      </c>
      <c r="F110">
        <v>0.29819111876001198</v>
      </c>
      <c r="G110">
        <v>0.214750894407534</v>
      </c>
      <c r="H110">
        <v>0.17080476401626801</v>
      </c>
      <c r="I110">
        <v>0.24727690521836601</v>
      </c>
      <c r="J110">
        <v>0.31684699261482502</v>
      </c>
      <c r="K110">
        <v>0.30856904611304098</v>
      </c>
      <c r="L110">
        <v>1020.40598544229</v>
      </c>
      <c r="M110">
        <v>22.268803835756401</v>
      </c>
      <c r="N110">
        <v>47.312983939909401</v>
      </c>
      <c r="O110">
        <v>45.4574993552135</v>
      </c>
      <c r="P110">
        <v>-9.1595195301873697E-2</v>
      </c>
      <c r="Q110">
        <v>0.25211964488105898</v>
      </c>
      <c r="R110">
        <v>0.97495461244648596</v>
      </c>
      <c r="S110" t="s">
        <v>7113</v>
      </c>
      <c r="T110" t="s">
        <v>14004</v>
      </c>
      <c r="U110" t="s">
        <v>14004</v>
      </c>
      <c r="V110" t="s">
        <v>14004</v>
      </c>
      <c r="W110" t="s">
        <v>14114</v>
      </c>
      <c r="X110">
        <v>6</v>
      </c>
      <c r="Y110" t="s">
        <v>21050</v>
      </c>
      <c r="Z110" t="s">
        <v>27820</v>
      </c>
      <c r="AA110">
        <v>0.40639715665925458</v>
      </c>
      <c r="AB110" t="str">
        <f>HYPERLINK("Melting_Curves/meltCurve_B1AKL4_EIF4ENIF1.pdf", "Melting_Curves/meltCurve_B1AKL4_EIF4ENIF1.pdf")</f>
        <v>Melting_Curves/meltCurve_B1AKL4_EIF4ENIF1.pdf</v>
      </c>
    </row>
    <row r="111" spans="1:28" x14ac:dyDescent="0.25">
      <c r="A111" t="s">
        <v>115</v>
      </c>
      <c r="B111">
        <v>0.99999676499088797</v>
      </c>
      <c r="C111">
        <v>0.90299102153914901</v>
      </c>
      <c r="D111">
        <v>0.85369082449303801</v>
      </c>
      <c r="E111">
        <v>0.82462871432497697</v>
      </c>
      <c r="F111">
        <v>0.66427709083174502</v>
      </c>
      <c r="G111">
        <v>0.54414812390999001</v>
      </c>
      <c r="H111">
        <v>0.43002586607840698</v>
      </c>
      <c r="I111">
        <v>0.42089040907616998</v>
      </c>
      <c r="J111">
        <v>0.60170288165600405</v>
      </c>
      <c r="K111">
        <v>0.39877088144401601</v>
      </c>
      <c r="L111">
        <v>626.46415638615804</v>
      </c>
      <c r="M111">
        <v>12.2158456072554</v>
      </c>
      <c r="N111">
        <v>60.610127228130303</v>
      </c>
      <c r="O111">
        <v>49.966699675356701</v>
      </c>
      <c r="P111">
        <v>-3.5231600396973102E-2</v>
      </c>
      <c r="Q111">
        <v>0.42369578293189503</v>
      </c>
      <c r="R111">
        <v>0.91257220866345301</v>
      </c>
      <c r="S111" t="s">
        <v>7114</v>
      </c>
      <c r="T111" t="s">
        <v>14004</v>
      </c>
      <c r="U111" t="s">
        <v>14004</v>
      </c>
      <c r="V111" t="s">
        <v>14004</v>
      </c>
      <c r="W111" t="s">
        <v>14115</v>
      </c>
      <c r="X111">
        <v>2</v>
      </c>
      <c r="Y111" t="s">
        <v>21051</v>
      </c>
      <c r="Z111" t="s">
        <v>27821</v>
      </c>
      <c r="AA111">
        <v>0.65845819191741173</v>
      </c>
      <c r="AB111" t="str">
        <f>HYPERLINK("Melting_Curves/meltCurve_B1AKN7_NFIA.pdf", "Melting_Curves/meltCurve_B1AKN7_NFIA.pdf")</f>
        <v>Melting_Curves/meltCurve_B1AKN7_NFIA.pdf</v>
      </c>
    </row>
    <row r="112" spans="1:28" x14ac:dyDescent="0.25">
      <c r="A112" t="s">
        <v>116</v>
      </c>
      <c r="B112">
        <v>0.99999676499088797</v>
      </c>
      <c r="C112">
        <v>1.1026979659496201</v>
      </c>
      <c r="D112">
        <v>0.96142415593602903</v>
      </c>
      <c r="E112">
        <v>0.97727769728705904</v>
      </c>
      <c r="F112">
        <v>1.09171724374562</v>
      </c>
      <c r="G112">
        <v>1.1226429343826101</v>
      </c>
      <c r="H112">
        <v>1.0617310341158599</v>
      </c>
      <c r="I112">
        <v>0.72088760705868005</v>
      </c>
      <c r="J112">
        <v>0.44956090497696399</v>
      </c>
      <c r="K112">
        <v>1.07369539536995</v>
      </c>
      <c r="L112">
        <v>15000</v>
      </c>
      <c r="M112">
        <v>240.138315436178</v>
      </c>
      <c r="O112">
        <v>62.459668615562002</v>
      </c>
      <c r="P112">
        <v>-0.24236694046059301</v>
      </c>
      <c r="Q112">
        <v>0.74784267504497504</v>
      </c>
      <c r="R112">
        <v>0.42056745063725098</v>
      </c>
      <c r="S112" t="s">
        <v>7115</v>
      </c>
      <c r="T112" t="s">
        <v>14004</v>
      </c>
      <c r="U112" t="s">
        <v>14004</v>
      </c>
      <c r="V112" t="s">
        <v>14004</v>
      </c>
      <c r="W112" t="s">
        <v>14116</v>
      </c>
      <c r="X112">
        <v>1</v>
      </c>
      <c r="Y112" t="s">
        <v>21052</v>
      </c>
      <c r="Z112" t="s">
        <v>27822</v>
      </c>
      <c r="AA112">
        <v>0.93668804909459991</v>
      </c>
      <c r="AB112" t="str">
        <f>HYPERLINK("Melting_Curves/meltCurve_B1AKP2_TSPAN2.pdf", "Melting_Curves/meltCurve_B1AKP2_TSPAN2.pdf")</f>
        <v>Melting_Curves/meltCurve_B1AKP2_TSPAN2.pdf</v>
      </c>
    </row>
    <row r="113" spans="1:28" x14ac:dyDescent="0.25">
      <c r="A113" t="s">
        <v>117</v>
      </c>
      <c r="B113">
        <v>0.99999676499088797</v>
      </c>
      <c r="C113">
        <v>0.99307603272349299</v>
      </c>
      <c r="D113">
        <v>1.0194592095945201</v>
      </c>
      <c r="E113">
        <v>1.0997307014850799</v>
      </c>
      <c r="F113">
        <v>1.1711979498373799</v>
      </c>
      <c r="G113">
        <v>0.97701406685743497</v>
      </c>
      <c r="H113">
        <v>0.67071010529403996</v>
      </c>
      <c r="I113">
        <v>0.52991078850499096</v>
      </c>
      <c r="J113">
        <v>0.46181283965202802</v>
      </c>
      <c r="K113">
        <v>0.42874909020873297</v>
      </c>
      <c r="L113">
        <v>2617.57627968632</v>
      </c>
      <c r="M113">
        <v>43.357377947864897</v>
      </c>
      <c r="N113">
        <v>63.856397699923498</v>
      </c>
      <c r="O113">
        <v>60.244101301730502</v>
      </c>
      <c r="P113">
        <v>-9.8407353433221101E-2</v>
      </c>
      <c r="Q113">
        <v>0.453061613623918</v>
      </c>
      <c r="R113">
        <v>0.94067139928973598</v>
      </c>
      <c r="S113" t="s">
        <v>7116</v>
      </c>
      <c r="T113" t="s">
        <v>14004</v>
      </c>
      <c r="U113" t="s">
        <v>14004</v>
      </c>
      <c r="V113" t="s">
        <v>14004</v>
      </c>
      <c r="W113" t="s">
        <v>14117</v>
      </c>
      <c r="X113">
        <v>4</v>
      </c>
      <c r="Y113" t="s">
        <v>21053</v>
      </c>
      <c r="Z113" t="s">
        <v>27823</v>
      </c>
      <c r="AA113">
        <v>0.8263190735014746</v>
      </c>
      <c r="AB113" t="str">
        <f>HYPERLINK("Melting_Curves/meltCurve_B1AKR6_DYNLRB1.pdf", "Melting_Curves/meltCurve_B1AKR6_DYNLRB1.pdf")</f>
        <v>Melting_Curves/meltCurve_B1AKR6_DYNLRB1.pdf</v>
      </c>
    </row>
    <row r="114" spans="1:28" x14ac:dyDescent="0.25">
      <c r="A114" t="s">
        <v>118</v>
      </c>
      <c r="B114">
        <v>0.99999676499088797</v>
      </c>
      <c r="C114">
        <v>0.838365616608439</v>
      </c>
      <c r="D114">
        <v>0.85013906863191102</v>
      </c>
      <c r="E114">
        <v>0.50560577534780204</v>
      </c>
      <c r="F114">
        <v>0.32597217014853902</v>
      </c>
      <c r="G114">
        <v>0.19236565491357599</v>
      </c>
      <c r="H114">
        <v>0.123562426074468</v>
      </c>
      <c r="I114">
        <v>0.122081373776878</v>
      </c>
      <c r="J114">
        <v>0.117589309165647</v>
      </c>
      <c r="K114">
        <v>0.15002593740831</v>
      </c>
      <c r="L114">
        <v>811.73802463933805</v>
      </c>
      <c r="M114">
        <v>16.482000672508999</v>
      </c>
      <c r="N114">
        <v>50.002933882025403</v>
      </c>
      <c r="O114">
        <v>48.542102277376998</v>
      </c>
      <c r="P114">
        <v>-7.5561905378179806E-2</v>
      </c>
      <c r="Q114">
        <v>0.10989511513295699</v>
      </c>
      <c r="R114">
        <v>0.98654492762008605</v>
      </c>
      <c r="S114" t="s">
        <v>7117</v>
      </c>
      <c r="T114" t="s">
        <v>14004</v>
      </c>
      <c r="U114" t="s">
        <v>14004</v>
      </c>
      <c r="V114" t="s">
        <v>14004</v>
      </c>
      <c r="W114" t="s">
        <v>14118</v>
      </c>
      <c r="X114">
        <v>6</v>
      </c>
      <c r="Y114" t="s">
        <v>21054</v>
      </c>
      <c r="Z114" t="s">
        <v>27824</v>
      </c>
      <c r="AA114">
        <v>0.40256342188194572</v>
      </c>
      <c r="AB114" t="str">
        <f>HYPERLINK("Melting_Curves/meltCurve_B1AKZ5_PEA15.pdf", "Melting_Curves/meltCurve_B1AKZ5_PEA15.pdf")</f>
        <v>Melting_Curves/meltCurve_B1AKZ5_PEA15.pdf</v>
      </c>
    </row>
    <row r="115" spans="1:28" x14ac:dyDescent="0.25">
      <c r="A115" t="s">
        <v>119</v>
      </c>
      <c r="B115">
        <v>0.99999676499088797</v>
      </c>
      <c r="C115">
        <v>0.95436601089679896</v>
      </c>
      <c r="D115">
        <v>0.90236261265958095</v>
      </c>
      <c r="E115">
        <v>0.463093233961336</v>
      </c>
      <c r="F115">
        <v>0.58961214695168995</v>
      </c>
      <c r="G115">
        <v>0.183007861039054</v>
      </c>
      <c r="H115">
        <v>0.116439443453883</v>
      </c>
      <c r="I115">
        <v>0.11106530429485301</v>
      </c>
      <c r="J115">
        <v>0.119238354702686</v>
      </c>
      <c r="K115">
        <v>0.11154845146945799</v>
      </c>
      <c r="L115">
        <v>714.50922824535905</v>
      </c>
      <c r="M115">
        <v>13.997656968290499</v>
      </c>
      <c r="N115">
        <v>51.5976611289015</v>
      </c>
      <c r="O115">
        <v>50.036957384653903</v>
      </c>
      <c r="P115">
        <v>-6.5075871620520601E-2</v>
      </c>
      <c r="Q115">
        <v>6.9625009337989402E-2</v>
      </c>
      <c r="R115">
        <v>0.94370226926221701</v>
      </c>
      <c r="S115" t="s">
        <v>7118</v>
      </c>
      <c r="T115" t="s">
        <v>14004</v>
      </c>
      <c r="U115" t="s">
        <v>14004</v>
      </c>
      <c r="V115" t="s">
        <v>14004</v>
      </c>
      <c r="W115" t="s">
        <v>14119</v>
      </c>
      <c r="X115">
        <v>4</v>
      </c>
      <c r="Y115" t="s">
        <v>21055</v>
      </c>
      <c r="Z115" t="s">
        <v>27825</v>
      </c>
      <c r="AA115">
        <v>0.43615867107636419</v>
      </c>
      <c r="AB115" t="str">
        <f>HYPERLINK("Melting_Curves/meltCurve_B1AL69_CDC37L1.pdf", "Melting_Curves/meltCurve_B1AL69_CDC37L1.pdf")</f>
        <v>Melting_Curves/meltCurve_B1AL69_CDC37L1.pdf</v>
      </c>
    </row>
    <row r="116" spans="1:28" x14ac:dyDescent="0.25">
      <c r="A116" t="s">
        <v>120</v>
      </c>
      <c r="B116">
        <v>0.99999676499088797</v>
      </c>
      <c r="C116">
        <v>0.99576957858313098</v>
      </c>
      <c r="D116">
        <v>0.83365673935802997</v>
      </c>
      <c r="E116">
        <v>0.54516510750592695</v>
      </c>
      <c r="F116">
        <v>0.281914817260706</v>
      </c>
      <c r="G116">
        <v>0.213715424737979</v>
      </c>
      <c r="H116">
        <v>0.12927598445066901</v>
      </c>
      <c r="I116">
        <v>0.15338138372894999</v>
      </c>
      <c r="J116">
        <v>0.15262608903215399</v>
      </c>
      <c r="K116">
        <v>0.15288392638096701</v>
      </c>
      <c r="L116">
        <v>1068.15893664848</v>
      </c>
      <c r="M116">
        <v>21.687567436382601</v>
      </c>
      <c r="N116">
        <v>50.0468306033004</v>
      </c>
      <c r="O116">
        <v>48.8391189484067</v>
      </c>
      <c r="P116">
        <v>-9.4846138247463394E-2</v>
      </c>
      <c r="Q116">
        <v>0.145668612254617</v>
      </c>
      <c r="R116">
        <v>0.99783324258357997</v>
      </c>
      <c r="S116" t="s">
        <v>7119</v>
      </c>
      <c r="T116" t="s">
        <v>14004</v>
      </c>
      <c r="U116" t="s">
        <v>14004</v>
      </c>
      <c r="V116" t="s">
        <v>14004</v>
      </c>
      <c r="W116" t="s">
        <v>14120</v>
      </c>
      <c r="X116">
        <v>2</v>
      </c>
      <c r="Y116" t="s">
        <v>21056</v>
      </c>
      <c r="Z116" t="s">
        <v>27826</v>
      </c>
      <c r="AA116">
        <v>0.41928538769006518</v>
      </c>
      <c r="AB116" t="str">
        <f>HYPERLINK("Melting_Curves/meltCurve_B1ALH6_PHYH.pdf", "Melting_Curves/meltCurve_B1ALH6_PHYH.pdf")</f>
        <v>Melting_Curves/meltCurve_B1ALH6_PHYH.pdf</v>
      </c>
    </row>
    <row r="117" spans="1:28" x14ac:dyDescent="0.25">
      <c r="A117" t="s">
        <v>121</v>
      </c>
      <c r="B117">
        <v>0.99999676499088797</v>
      </c>
      <c r="C117">
        <v>0.90311198721534003</v>
      </c>
      <c r="D117">
        <v>0.73910009810709698</v>
      </c>
      <c r="E117">
        <v>0.46122535471501902</v>
      </c>
      <c r="F117">
        <v>0.202123897148622</v>
      </c>
      <c r="G117">
        <v>0.15630473562959801</v>
      </c>
      <c r="H117">
        <v>7.0436426665415802E-2</v>
      </c>
      <c r="I117">
        <v>9.1034419885715298E-2</v>
      </c>
      <c r="J117">
        <v>0.12991380469375699</v>
      </c>
      <c r="K117">
        <v>8.1853810151311504E-2</v>
      </c>
      <c r="L117">
        <v>894.07439921316097</v>
      </c>
      <c r="M117">
        <v>18.486511087451401</v>
      </c>
      <c r="N117">
        <v>48.8550320766971</v>
      </c>
      <c r="O117">
        <v>47.808341492793303</v>
      </c>
      <c r="P117">
        <v>-8.8472041262142295E-2</v>
      </c>
      <c r="Q117">
        <v>8.4843286318392594E-2</v>
      </c>
      <c r="R117">
        <v>0.99584952491319401</v>
      </c>
      <c r="S117" t="s">
        <v>7120</v>
      </c>
      <c r="T117" t="s">
        <v>14004</v>
      </c>
      <c r="U117" t="s">
        <v>14004</v>
      </c>
      <c r="V117" t="s">
        <v>14004</v>
      </c>
      <c r="W117" t="s">
        <v>14121</v>
      </c>
      <c r="X117">
        <v>7</v>
      </c>
      <c r="Y117" t="s">
        <v>21057</v>
      </c>
      <c r="Z117" t="s">
        <v>27827</v>
      </c>
      <c r="AA117">
        <v>0.35519181683022061</v>
      </c>
      <c r="AB117" t="str">
        <f>HYPERLINK("Melting_Curves/meltCurve_B1ALK7_ARHGEF7.pdf", "Melting_Curves/meltCurve_B1ALK7_ARHGEF7.pdf")</f>
        <v>Melting_Curves/meltCurve_B1ALK7_ARHGEF7.pdf</v>
      </c>
    </row>
    <row r="118" spans="1:28" x14ac:dyDescent="0.25">
      <c r="A118" t="s">
        <v>122</v>
      </c>
      <c r="B118">
        <v>0.99999676499088797</v>
      </c>
      <c r="C118">
        <v>1.1413536697151301</v>
      </c>
      <c r="D118">
        <v>0.96962507571213696</v>
      </c>
      <c r="E118">
        <v>0.62664884563971202</v>
      </c>
      <c r="F118">
        <v>0.81952367434471296</v>
      </c>
      <c r="G118">
        <v>0.10287375299983</v>
      </c>
      <c r="H118">
        <v>0.11416707986852299</v>
      </c>
      <c r="I118">
        <v>0.23548996686411</v>
      </c>
      <c r="J118">
        <v>0</v>
      </c>
      <c r="K118">
        <v>0</v>
      </c>
      <c r="L118">
        <v>972.057730744423</v>
      </c>
      <c r="M118">
        <v>18.031225777137799</v>
      </c>
      <c r="N118">
        <v>54.020527755691397</v>
      </c>
      <c r="O118">
        <v>53.259724207259303</v>
      </c>
      <c r="P118">
        <v>-8.3105201925160202E-2</v>
      </c>
      <c r="Q118">
        <v>1.8160311702345801E-2</v>
      </c>
      <c r="R118">
        <v>0.89545833529608598</v>
      </c>
      <c r="S118" t="s">
        <v>7121</v>
      </c>
      <c r="T118" t="s">
        <v>14004</v>
      </c>
      <c r="U118" t="s">
        <v>14004</v>
      </c>
      <c r="V118" t="s">
        <v>14004</v>
      </c>
      <c r="W118" t="s">
        <v>14122</v>
      </c>
      <c r="X118">
        <v>3</v>
      </c>
      <c r="Y118" t="s">
        <v>21058</v>
      </c>
      <c r="Z118" t="s">
        <v>27828</v>
      </c>
      <c r="AA118">
        <v>0.48910364555252211</v>
      </c>
      <c r="AB118" t="str">
        <f>HYPERLINK("Melting_Curves/meltCurve_B1ALM5_TMEM9.pdf", "Melting_Curves/meltCurve_B1ALM5_TMEM9.pdf")</f>
        <v>Melting_Curves/meltCurve_B1ALM5_TMEM9.pdf</v>
      </c>
    </row>
    <row r="119" spans="1:28" x14ac:dyDescent="0.25">
      <c r="A119" t="s">
        <v>123</v>
      </c>
      <c r="B119">
        <v>0.99999676499088797</v>
      </c>
      <c r="C119">
        <v>0.94565227925240003</v>
      </c>
      <c r="D119">
        <v>0.98558984406470296</v>
      </c>
      <c r="E119">
        <v>0.827798123242527</v>
      </c>
      <c r="F119">
        <v>0.49706730470046301</v>
      </c>
      <c r="G119">
        <v>0.547537741154008</v>
      </c>
      <c r="H119">
        <v>0.29986665871419799</v>
      </c>
      <c r="I119">
        <v>0.46650308071545599</v>
      </c>
      <c r="J119">
        <v>0.33199802085591201</v>
      </c>
      <c r="K119">
        <v>0.30911967725856598</v>
      </c>
      <c r="L119">
        <v>1096.7676110499699</v>
      </c>
      <c r="M119">
        <v>21.293284531460799</v>
      </c>
      <c r="N119">
        <v>54.718631708253803</v>
      </c>
      <c r="O119">
        <v>51.059840142129701</v>
      </c>
      <c r="P119">
        <v>-6.70722709351287E-2</v>
      </c>
      <c r="Q119">
        <v>0.35667749410089999</v>
      </c>
      <c r="R119">
        <v>0.94402230783149799</v>
      </c>
      <c r="S119" t="s">
        <v>7122</v>
      </c>
      <c r="T119" t="s">
        <v>14004</v>
      </c>
      <c r="U119" t="s">
        <v>14004</v>
      </c>
      <c r="V119" t="s">
        <v>14004</v>
      </c>
      <c r="W119" t="s">
        <v>14123</v>
      </c>
      <c r="X119">
        <v>2</v>
      </c>
      <c r="Y119" t="s">
        <v>21059</v>
      </c>
      <c r="Z119" t="s">
        <v>27829</v>
      </c>
      <c r="AA119">
        <v>0.61139035497165162</v>
      </c>
      <c r="AB119" t="str">
        <f>HYPERLINK("Melting_Curves/meltCurve_B1AMF0_UBE2J2.pdf", "Melting_Curves/meltCurve_B1AMF0_UBE2J2.pdf")</f>
        <v>Melting_Curves/meltCurve_B1AMF0_UBE2J2.pdf</v>
      </c>
    </row>
    <row r="120" spans="1:28" x14ac:dyDescent="0.25">
      <c r="A120" t="s">
        <v>124</v>
      </c>
      <c r="B120">
        <v>0.99999676499088797</v>
      </c>
      <c r="C120">
        <v>0.94827483732093198</v>
      </c>
      <c r="D120">
        <v>0.96866309186999899</v>
      </c>
      <c r="E120">
        <v>0.98476086019737297</v>
      </c>
      <c r="F120">
        <v>0.76148611868993799</v>
      </c>
      <c r="G120">
        <v>0.426482670883717</v>
      </c>
      <c r="H120">
        <v>0.23903635589750899</v>
      </c>
      <c r="I120">
        <v>0.15381369998739999</v>
      </c>
      <c r="J120">
        <v>9.0569485804506106E-2</v>
      </c>
      <c r="K120">
        <v>8.5894850986008006E-2</v>
      </c>
      <c r="L120">
        <v>1239.67968009372</v>
      </c>
      <c r="M120">
        <v>22.2515976165731</v>
      </c>
      <c r="N120">
        <v>56.201545803263102</v>
      </c>
      <c r="O120">
        <v>55.267838372946699</v>
      </c>
      <c r="P120">
        <v>-9.1787054381202604E-2</v>
      </c>
      <c r="Q120">
        <v>8.8108040774259697E-2</v>
      </c>
      <c r="R120">
        <v>0.99539867825740302</v>
      </c>
      <c r="S120" t="s">
        <v>7123</v>
      </c>
      <c r="T120" t="s">
        <v>14004</v>
      </c>
      <c r="U120" t="s">
        <v>14004</v>
      </c>
      <c r="V120" t="s">
        <v>14004</v>
      </c>
      <c r="W120" t="s">
        <v>14124</v>
      </c>
      <c r="X120">
        <v>30</v>
      </c>
      <c r="Y120" t="s">
        <v>21060</v>
      </c>
      <c r="Z120" t="s">
        <v>27830</v>
      </c>
      <c r="AA120">
        <v>0.57583909146682044</v>
      </c>
      <c r="AB120" t="str">
        <f>HYPERLINK("Melting_Curves/meltCurve_B1AMS2_SEPT6.pdf", "Melting_Curves/meltCurve_B1AMS2_SEPT6.pdf")</f>
        <v>Melting_Curves/meltCurve_B1AMS2_SEPT6.pdf</v>
      </c>
    </row>
    <row r="121" spans="1:28" x14ac:dyDescent="0.25">
      <c r="A121" t="s">
        <v>125</v>
      </c>
      <c r="B121">
        <v>0.99999676499088797</v>
      </c>
      <c r="C121">
        <v>1.0084515549642199</v>
      </c>
      <c r="D121">
        <v>0.87327369602954696</v>
      </c>
      <c r="E121">
        <v>0.26781191987994801</v>
      </c>
      <c r="F121">
        <v>0.146188508260546</v>
      </c>
      <c r="G121">
        <v>8.7020384355681504E-2</v>
      </c>
      <c r="H121">
        <v>3.9342892276604598E-2</v>
      </c>
      <c r="I121">
        <v>3.1399699603301599E-2</v>
      </c>
      <c r="J121">
        <v>2.3998143816561301E-2</v>
      </c>
      <c r="K121">
        <v>2.1286209127474399E-2</v>
      </c>
      <c r="L121">
        <v>1826.9600638224299</v>
      </c>
      <c r="M121">
        <v>37.944053464162401</v>
      </c>
      <c r="N121">
        <v>48.285986543855003</v>
      </c>
      <c r="O121">
        <v>48.0156313228822</v>
      </c>
      <c r="P121">
        <v>-0.18746536082270701</v>
      </c>
      <c r="Q121">
        <v>5.1103528068197401E-2</v>
      </c>
      <c r="R121">
        <v>0.99463127479631697</v>
      </c>
      <c r="S121" t="s">
        <v>7124</v>
      </c>
      <c r="T121" t="s">
        <v>14004</v>
      </c>
      <c r="U121" t="s">
        <v>14004</v>
      </c>
      <c r="V121" t="s">
        <v>14004</v>
      </c>
      <c r="W121" t="s">
        <v>14125</v>
      </c>
      <c r="X121">
        <v>5</v>
      </c>
      <c r="Y121" t="s">
        <v>21061</v>
      </c>
      <c r="Z121" t="s">
        <v>27831</v>
      </c>
      <c r="AA121">
        <v>0.31237375017456881</v>
      </c>
      <c r="AB121" t="str">
        <f>HYPERLINK("Melting_Curves/meltCurve_B1AMU7_EXOSC1.pdf", "Melting_Curves/meltCurve_B1AMU7_EXOSC1.pdf")</f>
        <v>Melting_Curves/meltCurve_B1AMU7_EXOSC1.pdf</v>
      </c>
    </row>
    <row r="122" spans="1:28" x14ac:dyDescent="0.25">
      <c r="A122" t="s">
        <v>126</v>
      </c>
      <c r="B122">
        <v>0.99999676499088797</v>
      </c>
      <c r="C122">
        <v>0.88665196293335302</v>
      </c>
      <c r="D122">
        <v>0.96133373333972905</v>
      </c>
      <c r="E122">
        <v>1.0150469967342599</v>
      </c>
      <c r="F122">
        <v>0.91943282058757103</v>
      </c>
      <c r="G122">
        <v>0.82774431149783201</v>
      </c>
      <c r="H122">
        <v>0.65101037783466498</v>
      </c>
      <c r="I122">
        <v>0.60152243848895004</v>
      </c>
      <c r="J122">
        <v>0.54437869995604404</v>
      </c>
      <c r="K122">
        <v>0.76844690204286203</v>
      </c>
      <c r="L122">
        <v>1800.6116941316</v>
      </c>
      <c r="M122">
        <v>31.855318456335301</v>
      </c>
      <c r="O122">
        <v>56.303324213326199</v>
      </c>
      <c r="P122">
        <v>-5.1960559797426399E-2</v>
      </c>
      <c r="Q122">
        <v>0.63264693806981898</v>
      </c>
      <c r="R122">
        <v>0.82671826736469201</v>
      </c>
      <c r="S122" t="s">
        <v>7125</v>
      </c>
      <c r="T122" t="s">
        <v>14004</v>
      </c>
      <c r="U122" t="s">
        <v>14004</v>
      </c>
      <c r="V122" t="s">
        <v>14004</v>
      </c>
      <c r="W122" t="s">
        <v>14126</v>
      </c>
      <c r="X122">
        <v>3</v>
      </c>
      <c r="Y122" t="s">
        <v>21062</v>
      </c>
      <c r="Z122" t="s">
        <v>27832</v>
      </c>
      <c r="AA122">
        <v>0.83719017642776095</v>
      </c>
      <c r="AB122" t="str">
        <f>HYPERLINK("Melting_Curves/meltCurve_B1AMW1_CD58.pdf", "Melting_Curves/meltCurve_B1AMW1_CD58.pdf")</f>
        <v>Melting_Curves/meltCurve_B1AMW1_CD58.pdf</v>
      </c>
    </row>
    <row r="123" spans="1:28" x14ac:dyDescent="0.25">
      <c r="A123" t="s">
        <v>127</v>
      </c>
      <c r="B123">
        <v>0.99999676499088797</v>
      </c>
      <c r="C123">
        <v>0.80091784897926199</v>
      </c>
      <c r="D123">
        <v>1.92080395409464</v>
      </c>
      <c r="E123">
        <v>0</v>
      </c>
      <c r="F123">
        <v>17.676613018287899</v>
      </c>
      <c r="G123">
        <v>0.61698937066383397</v>
      </c>
      <c r="H123">
        <v>0.52720100866323505</v>
      </c>
      <c r="I123">
        <v>0.31865202757820899</v>
      </c>
      <c r="J123">
        <v>0.142259282054264</v>
      </c>
      <c r="K123">
        <v>0.14749984352635401</v>
      </c>
      <c r="L123">
        <v>3611.5003449967699</v>
      </c>
      <c r="M123">
        <v>59.723203871705103</v>
      </c>
      <c r="N123">
        <v>60.9576343661574</v>
      </c>
      <c r="O123">
        <v>60.4029500019426</v>
      </c>
      <c r="P123">
        <v>-0.20029047473466599</v>
      </c>
      <c r="Q123">
        <v>0.18971989697479899</v>
      </c>
      <c r="R123">
        <v>-5.7184661981747299E-2</v>
      </c>
      <c r="S123" t="s">
        <v>7126</v>
      </c>
      <c r="T123" t="s">
        <v>14004</v>
      </c>
      <c r="U123" t="s">
        <v>14004</v>
      </c>
      <c r="V123" t="s">
        <v>14004</v>
      </c>
      <c r="W123" t="s">
        <v>14127</v>
      </c>
      <c r="X123">
        <v>1</v>
      </c>
      <c r="Y123" t="s">
        <v>21063</v>
      </c>
      <c r="Z123" t="s">
        <v>27833</v>
      </c>
      <c r="AA123">
        <v>0.74411938922090515</v>
      </c>
      <c r="AB123" t="str">
        <f>HYPERLINK("Melting_Curves/meltCurve_B1AN48_SPRR3.pdf", "Melting_Curves/meltCurve_B1AN48_SPRR3.pdf")</f>
        <v>Melting_Curves/meltCurve_B1AN48_SPRR3.pdf</v>
      </c>
    </row>
    <row r="124" spans="1:28" x14ac:dyDescent="0.25">
      <c r="A124" t="s">
        <v>128</v>
      </c>
      <c r="B124">
        <v>0.99999676499088797</v>
      </c>
      <c r="C124">
        <v>0.96963274828940704</v>
      </c>
      <c r="D124">
        <v>0.66113138188571896</v>
      </c>
      <c r="E124">
        <v>0.530434089636591</v>
      </c>
      <c r="F124">
        <v>0.59598280011184201</v>
      </c>
      <c r="G124">
        <v>0.578127589959754</v>
      </c>
      <c r="H124">
        <v>0.48094960504317502</v>
      </c>
      <c r="I124">
        <v>0.57176288107371898</v>
      </c>
      <c r="J124">
        <v>0.49374577220013499</v>
      </c>
      <c r="K124">
        <v>0.526450914640334</v>
      </c>
      <c r="L124">
        <v>2370.7437871243701</v>
      </c>
      <c r="M124">
        <v>52.568491156858002</v>
      </c>
      <c r="O124">
        <v>45.03306579761</v>
      </c>
      <c r="P124">
        <v>-0.13449254766475199</v>
      </c>
      <c r="Q124">
        <v>0.53914538745248197</v>
      </c>
      <c r="R124">
        <v>0.963936809593402</v>
      </c>
      <c r="S124" t="s">
        <v>7127</v>
      </c>
      <c r="T124" t="s">
        <v>14004</v>
      </c>
      <c r="U124" t="s">
        <v>14004</v>
      </c>
      <c r="V124" t="s">
        <v>14004</v>
      </c>
      <c r="W124" t="s">
        <v>14128</v>
      </c>
      <c r="X124">
        <v>3</v>
      </c>
      <c r="Y124" t="s">
        <v>21064</v>
      </c>
      <c r="Z124" t="s">
        <v>27834</v>
      </c>
      <c r="AA124">
        <v>0.61830413906071657</v>
      </c>
      <c r="AB124" t="str">
        <f>HYPERLINK("Melting_Curves/meltCurve_B1AN89_EIF4G3.pdf", "Melting_Curves/meltCurve_B1AN89_EIF4G3.pdf")</f>
        <v>Melting_Curves/meltCurve_B1AN89_EIF4G3.pdf</v>
      </c>
    </row>
    <row r="125" spans="1:28" x14ac:dyDescent="0.25">
      <c r="A125" t="s">
        <v>129</v>
      </c>
      <c r="B125">
        <v>0.99999676499088797</v>
      </c>
      <c r="C125">
        <v>1.1053480890369201</v>
      </c>
      <c r="D125">
        <v>1.19117736144093</v>
      </c>
      <c r="E125">
        <v>1.2467874361240101</v>
      </c>
      <c r="F125">
        <v>1.03594208327853</v>
      </c>
      <c r="G125">
        <v>1.5644657041868999</v>
      </c>
      <c r="H125">
        <v>0.88926448701381799</v>
      </c>
      <c r="I125">
        <v>0.941456649468008</v>
      </c>
      <c r="J125">
        <v>0.95780876306971297</v>
      </c>
      <c r="K125">
        <v>0.96941812795070303</v>
      </c>
      <c r="L125">
        <v>2797.1166854738899</v>
      </c>
      <c r="M125">
        <v>45.983529632166402</v>
      </c>
      <c r="O125">
        <v>60.713955731679</v>
      </c>
      <c r="P125">
        <v>-9.8397967844847407E-3</v>
      </c>
      <c r="Q125">
        <v>0.94803249964772596</v>
      </c>
      <c r="R125">
        <v>-0.199594330416415</v>
      </c>
      <c r="S125" t="s">
        <v>7128</v>
      </c>
      <c r="T125" t="s">
        <v>14004</v>
      </c>
      <c r="U125" t="s">
        <v>14004</v>
      </c>
      <c r="V125" t="s">
        <v>14004</v>
      </c>
      <c r="W125" t="s">
        <v>14129</v>
      </c>
      <c r="X125">
        <v>1</v>
      </c>
      <c r="Y125" t="s">
        <v>21065</v>
      </c>
      <c r="Z125" t="s">
        <v>27835</v>
      </c>
      <c r="AA125">
        <v>0.98427025686149394</v>
      </c>
      <c r="AB125" t="str">
        <f>HYPERLINK("Melting_Curves/meltCurve_B1AN99_PRSS3.pdf", "Melting_Curves/meltCurve_B1AN99_PRSS3.pdf")</f>
        <v>Melting_Curves/meltCurve_B1AN99_PRSS3.pdf</v>
      </c>
    </row>
    <row r="126" spans="1:28" x14ac:dyDescent="0.25">
      <c r="A126" t="s">
        <v>130</v>
      </c>
      <c r="B126">
        <v>0.99999676499088797</v>
      </c>
      <c r="C126">
        <v>0.92331475652011896</v>
      </c>
      <c r="D126">
        <v>0.78033007149322797</v>
      </c>
      <c r="E126">
        <v>0.38321506869613597</v>
      </c>
      <c r="F126">
        <v>0.21111651672398099</v>
      </c>
      <c r="G126">
        <v>0.14882515508562799</v>
      </c>
      <c r="H126">
        <v>7.6733163100160096E-2</v>
      </c>
      <c r="I126">
        <v>7.7867623798625205E-2</v>
      </c>
      <c r="J126">
        <v>7.5042816899439493E-2</v>
      </c>
      <c r="K126">
        <v>7.1188984675539801E-2</v>
      </c>
      <c r="L126">
        <v>1011.31895240088</v>
      </c>
      <c r="M126">
        <v>20.955572409229902</v>
      </c>
      <c r="N126">
        <v>48.655686652395801</v>
      </c>
      <c r="O126">
        <v>47.8271116288795</v>
      </c>
      <c r="P126">
        <v>-0.100962075263657</v>
      </c>
      <c r="Q126">
        <v>7.8317942772848995E-2</v>
      </c>
      <c r="R126">
        <v>0.99737059699123598</v>
      </c>
      <c r="S126" t="s">
        <v>7129</v>
      </c>
      <c r="T126" t="s">
        <v>14004</v>
      </c>
      <c r="U126" t="s">
        <v>14004</v>
      </c>
      <c r="V126" t="s">
        <v>14004</v>
      </c>
      <c r="W126" t="s">
        <v>14130</v>
      </c>
      <c r="X126">
        <v>10</v>
      </c>
      <c r="Y126" t="s">
        <v>21066</v>
      </c>
      <c r="Z126" t="s">
        <v>27836</v>
      </c>
      <c r="AA126">
        <v>0.34390880723001499</v>
      </c>
      <c r="AB126" t="str">
        <f>HYPERLINK("Melting_Curves/meltCurve_B1ANH0_GUK1.pdf", "Melting_Curves/meltCurve_B1ANH0_GUK1.pdf")</f>
        <v>Melting_Curves/meltCurve_B1ANH0_GUK1.pdf</v>
      </c>
    </row>
    <row r="127" spans="1:28" x14ac:dyDescent="0.25">
      <c r="A127" t="s">
        <v>131</v>
      </c>
      <c r="B127">
        <v>0.99999676499088797</v>
      </c>
      <c r="C127">
        <v>0.89188592879265205</v>
      </c>
      <c r="D127">
        <v>0.78536386496602995</v>
      </c>
      <c r="E127">
        <v>0.50522672117796397</v>
      </c>
      <c r="F127">
        <v>0.37620745113717302</v>
      </c>
      <c r="G127">
        <v>0.27300718607875402</v>
      </c>
      <c r="H127">
        <v>0.18337232016209201</v>
      </c>
      <c r="I127">
        <v>0.20063618059830199</v>
      </c>
      <c r="J127">
        <v>0.22440273384561599</v>
      </c>
      <c r="K127">
        <v>0.258726784758182</v>
      </c>
      <c r="L127">
        <v>820.83350995724402</v>
      </c>
      <c r="M127">
        <v>16.966606079506601</v>
      </c>
      <c r="N127">
        <v>49.981555938839598</v>
      </c>
      <c r="O127">
        <v>47.7222737977077</v>
      </c>
      <c r="P127">
        <v>-7.0243063590187699E-2</v>
      </c>
      <c r="Q127">
        <v>0.20975357377929299</v>
      </c>
      <c r="R127">
        <v>0.99118983811102701</v>
      </c>
      <c r="S127" t="s">
        <v>7130</v>
      </c>
      <c r="T127" t="s">
        <v>14004</v>
      </c>
      <c r="U127" t="s">
        <v>14004</v>
      </c>
      <c r="V127" t="s">
        <v>14004</v>
      </c>
      <c r="W127" t="s">
        <v>14131</v>
      </c>
      <c r="X127">
        <v>5</v>
      </c>
      <c r="Y127" t="s">
        <v>21067</v>
      </c>
      <c r="Z127" t="s">
        <v>27837</v>
      </c>
      <c r="AA127">
        <v>0.44613117341590808</v>
      </c>
      <c r="AB127" t="str">
        <f>HYPERLINK("Melting_Curves/meltCurve_B1AQP1_USF1.pdf", "Melting_Curves/meltCurve_B1AQP1_USF1.pdf")</f>
        <v>Melting_Curves/meltCurve_B1AQP1_USF1.pdf</v>
      </c>
    </row>
    <row r="128" spans="1:28" x14ac:dyDescent="0.25">
      <c r="A128" t="s">
        <v>132</v>
      </c>
      <c r="B128">
        <v>0.99999676499088797</v>
      </c>
      <c r="C128">
        <v>1.0218916308038399</v>
      </c>
      <c r="D128">
        <v>0.91188681969054797</v>
      </c>
      <c r="E128">
        <v>0.28568851184247801</v>
      </c>
      <c r="F128">
        <v>0.173635589278435</v>
      </c>
      <c r="G128">
        <v>0.120417024618918</v>
      </c>
      <c r="H128">
        <v>7.2293025869177602E-2</v>
      </c>
      <c r="I128">
        <v>7.1034812302658401E-2</v>
      </c>
      <c r="J128">
        <v>5.1196574523562598E-2</v>
      </c>
      <c r="K128">
        <v>5.0073028076037897E-2</v>
      </c>
      <c r="L128">
        <v>2102.5723696324999</v>
      </c>
      <c r="M128">
        <v>43.5823119601691</v>
      </c>
      <c r="N128">
        <v>48.451669619356203</v>
      </c>
      <c r="O128">
        <v>48.142467658964001</v>
      </c>
      <c r="P128">
        <v>-0.207013963823652</v>
      </c>
      <c r="Q128">
        <v>8.5303385402107301E-2</v>
      </c>
      <c r="R128">
        <v>0.99367712421575205</v>
      </c>
      <c r="S128" t="s">
        <v>7131</v>
      </c>
      <c r="T128" t="s">
        <v>14004</v>
      </c>
      <c r="U128" t="s">
        <v>14004</v>
      </c>
      <c r="V128" t="s">
        <v>14004</v>
      </c>
      <c r="W128" t="s">
        <v>14132</v>
      </c>
      <c r="X128">
        <v>11</v>
      </c>
      <c r="Y128" t="s">
        <v>21068</v>
      </c>
      <c r="Z128" t="s">
        <v>27838</v>
      </c>
      <c r="AA128">
        <v>0.33922243251570922</v>
      </c>
      <c r="AB128" t="str">
        <f>HYPERLINK("Melting_Curves/meltCurve_B1AZV3_TAP1.pdf", "Melting_Curves/meltCurve_B1AZV3_TAP1.pdf")</f>
        <v>Melting_Curves/meltCurve_B1AZV3_TAP1.pdf</v>
      </c>
    </row>
    <row r="129" spans="1:28" x14ac:dyDescent="0.25">
      <c r="A129" t="s">
        <v>133</v>
      </c>
      <c r="B129">
        <v>0.99999676499088797</v>
      </c>
      <c r="C129">
        <v>0.96912476175620899</v>
      </c>
      <c r="D129">
        <v>0.88082932494217503</v>
      </c>
      <c r="E129">
        <v>0.38766792103082398</v>
      </c>
      <c r="F129">
        <v>0.252237159466428</v>
      </c>
      <c r="G129">
        <v>0.17544805635390401</v>
      </c>
      <c r="H129">
        <v>8.6862822876273602E-2</v>
      </c>
      <c r="I129">
        <v>7.0352680202802498E-2</v>
      </c>
      <c r="J129">
        <v>4.5381040154263301E-2</v>
      </c>
      <c r="K129">
        <v>4.3483340583132198E-2</v>
      </c>
      <c r="L129">
        <v>1152.8794590422599</v>
      </c>
      <c r="M129">
        <v>23.6025133122114</v>
      </c>
      <c r="N129">
        <v>49.200840272964697</v>
      </c>
      <c r="O129">
        <v>48.499051702048902</v>
      </c>
      <c r="P129">
        <v>-0.11213578649476499</v>
      </c>
      <c r="Q129">
        <v>7.8337872603143094E-2</v>
      </c>
      <c r="R129">
        <v>0.98763651188169299</v>
      </c>
      <c r="S129" t="s">
        <v>7132</v>
      </c>
      <c r="T129" t="s">
        <v>14004</v>
      </c>
      <c r="U129" t="s">
        <v>14004</v>
      </c>
      <c r="V129" t="s">
        <v>14004</v>
      </c>
      <c r="W129" t="s">
        <v>14133</v>
      </c>
      <c r="X129">
        <v>7</v>
      </c>
      <c r="Y129" t="s">
        <v>21069</v>
      </c>
      <c r="Z129" t="s">
        <v>27839</v>
      </c>
      <c r="AA129">
        <v>0.35928501023739101</v>
      </c>
      <c r="AB129" t="str">
        <f>HYPERLINK("Melting_Curves/meltCurve_B2WTI3_JMJD6.pdf", "Melting_Curves/meltCurve_B2WTI3_JMJD6.pdf")</f>
        <v>Melting_Curves/meltCurve_B2WTI3_JMJD6.pdf</v>
      </c>
    </row>
    <row r="130" spans="1:28" x14ac:dyDescent="0.25">
      <c r="A130" t="s">
        <v>134</v>
      </c>
      <c r="B130">
        <v>0.99999676499088797</v>
      </c>
      <c r="C130">
        <v>1.01969242753097</v>
      </c>
      <c r="D130">
        <v>0.93366416382848005</v>
      </c>
      <c r="E130">
        <v>1.08321021196386</v>
      </c>
      <c r="F130">
        <v>0.30198285218343601</v>
      </c>
      <c r="G130">
        <v>0.19754159686266401</v>
      </c>
      <c r="H130">
        <v>8.1093909796495806E-2</v>
      </c>
      <c r="I130">
        <v>7.8742736112678693E-2</v>
      </c>
      <c r="J130">
        <v>6.19407128368425E-2</v>
      </c>
      <c r="K130">
        <v>6.2273993289937997E-2</v>
      </c>
      <c r="L130">
        <v>13234.989692802499</v>
      </c>
      <c r="M130">
        <v>250</v>
      </c>
      <c r="N130">
        <v>52.985296553660298</v>
      </c>
      <c r="O130">
        <v>52.9365709726682</v>
      </c>
      <c r="P130">
        <v>-1.0669389438296699</v>
      </c>
      <c r="Q130">
        <v>9.6318575213591301E-2</v>
      </c>
      <c r="R130">
        <v>0.98700962179674401</v>
      </c>
      <c r="S130" t="s">
        <v>7133</v>
      </c>
      <c r="T130" t="s">
        <v>14004</v>
      </c>
      <c r="U130" t="s">
        <v>14004</v>
      </c>
      <c r="V130" t="s">
        <v>14004</v>
      </c>
      <c r="W130" t="s">
        <v>14134</v>
      </c>
      <c r="X130">
        <v>20</v>
      </c>
      <c r="Y130" t="s">
        <v>14134</v>
      </c>
      <c r="Z130" t="s">
        <v>27840</v>
      </c>
      <c r="AA130">
        <v>0.48618921447519109</v>
      </c>
      <c r="AB130" t="str">
        <f>HYPERLINK("Melting_Curves/meltCurve_B3FL70_DOCK10_2.pdf", "Melting_Curves/meltCurve_B3FL70_DOCK10_2.pdf")</f>
        <v>Melting_Curves/meltCurve_B3FL70_DOCK10_2.pdf</v>
      </c>
    </row>
    <row r="131" spans="1:28" x14ac:dyDescent="0.25">
      <c r="A131" t="s">
        <v>135</v>
      </c>
      <c r="B131">
        <v>0.99999676499088797</v>
      </c>
      <c r="C131">
        <v>1.05318582860193</v>
      </c>
      <c r="D131">
        <v>0.62525165604308197</v>
      </c>
      <c r="E131">
        <v>0.44747379676701499</v>
      </c>
      <c r="F131">
        <v>0.51414706374872698</v>
      </c>
      <c r="G131">
        <v>0.31739258564709499</v>
      </c>
      <c r="H131">
        <v>9.2363193899431997E-2</v>
      </c>
      <c r="I131">
        <v>0.123980304257054</v>
      </c>
      <c r="J131">
        <v>0.15945144892271701</v>
      </c>
      <c r="K131">
        <v>0.13597843908110399</v>
      </c>
      <c r="L131">
        <v>610.35851274894299</v>
      </c>
      <c r="M131">
        <v>12.316226982433401</v>
      </c>
      <c r="N131">
        <v>50.506350682973199</v>
      </c>
      <c r="O131">
        <v>48.305119517070501</v>
      </c>
      <c r="P131">
        <v>-5.71694482938752E-2</v>
      </c>
      <c r="Q131">
        <v>0.103304635579888</v>
      </c>
      <c r="R131">
        <v>0.92039193994739499</v>
      </c>
      <c r="S131" t="s">
        <v>7134</v>
      </c>
      <c r="T131" t="s">
        <v>14004</v>
      </c>
      <c r="U131" t="s">
        <v>14004</v>
      </c>
      <c r="V131" t="s">
        <v>14004</v>
      </c>
      <c r="W131" t="s">
        <v>14135</v>
      </c>
      <c r="X131">
        <v>2</v>
      </c>
      <c r="Y131" t="s">
        <v>21070</v>
      </c>
      <c r="Z131" t="s">
        <v>27841</v>
      </c>
      <c r="AA131">
        <v>0.41951134309692878</v>
      </c>
      <c r="AB131" t="str">
        <f>HYPERLINK("Melting_Curves/meltCurve_B3KNQ0_CCDC92.pdf", "Melting_Curves/meltCurve_B3KNQ0_CCDC92.pdf")</f>
        <v>Melting_Curves/meltCurve_B3KNQ0_CCDC92.pdf</v>
      </c>
    </row>
    <row r="132" spans="1:28" x14ac:dyDescent="0.25">
      <c r="A132" t="s">
        <v>136</v>
      </c>
      <c r="B132">
        <v>0.99999676499088797</v>
      </c>
      <c r="C132">
        <v>0.89712051931736903</v>
      </c>
      <c r="D132">
        <v>0.66948919590959999</v>
      </c>
      <c r="E132">
        <v>0.43845550876446998</v>
      </c>
      <c r="F132">
        <v>0.290615856155235</v>
      </c>
      <c r="G132">
        <v>0.20033866762521199</v>
      </c>
      <c r="H132">
        <v>0.12674878848655299</v>
      </c>
      <c r="I132">
        <v>0.12916762927848699</v>
      </c>
      <c r="J132">
        <v>0.12912795969260299</v>
      </c>
      <c r="K132">
        <v>0.124113137293897</v>
      </c>
      <c r="L132">
        <v>758.52547149895997</v>
      </c>
      <c r="M132">
        <v>15.8403764380661</v>
      </c>
      <c r="N132">
        <v>48.715884915214701</v>
      </c>
      <c r="O132">
        <v>47.141870980089998</v>
      </c>
      <c r="P132">
        <v>-7.4071720617613496E-2</v>
      </c>
      <c r="Q132">
        <v>0.11830488229300599</v>
      </c>
      <c r="R132">
        <v>0.99645617627185601</v>
      </c>
      <c r="S132" t="s">
        <v>7135</v>
      </c>
      <c r="T132" t="s">
        <v>14004</v>
      </c>
      <c r="U132" t="s">
        <v>14004</v>
      </c>
      <c r="V132" t="s">
        <v>14004</v>
      </c>
      <c r="W132" t="s">
        <v>14136</v>
      </c>
      <c r="X132">
        <v>5</v>
      </c>
      <c r="Y132" t="s">
        <v>21071</v>
      </c>
      <c r="Z132" t="s">
        <v>27842</v>
      </c>
      <c r="AA132">
        <v>0.37050688889106997</v>
      </c>
      <c r="AB132" t="str">
        <f>HYPERLINK("Melting_Curves/meltCurve_B3KPJ4_PHC2.pdf", "Melting_Curves/meltCurve_B3KPJ4_PHC2.pdf")</f>
        <v>Melting_Curves/meltCurve_B3KPJ4_PHC2.pdf</v>
      </c>
    </row>
    <row r="133" spans="1:28" x14ac:dyDescent="0.25">
      <c r="A133" t="s">
        <v>137</v>
      </c>
      <c r="B133">
        <v>0.99999676499088797</v>
      </c>
      <c r="C133">
        <v>0.92226495509781503</v>
      </c>
      <c r="D133">
        <v>0.91652642862242495</v>
      </c>
      <c r="E133">
        <v>0.66324529869165805</v>
      </c>
      <c r="F133">
        <v>0.28605147806884901</v>
      </c>
      <c r="G133">
        <v>0.23115538964591201</v>
      </c>
      <c r="H133">
        <v>0.12254588531017201</v>
      </c>
      <c r="I133">
        <v>0.114125821422229</v>
      </c>
      <c r="J133">
        <v>8.6124395746382504E-2</v>
      </c>
      <c r="K133">
        <v>7.4165619649681602E-2</v>
      </c>
      <c r="L133">
        <v>1054.9937141881201</v>
      </c>
      <c r="M133">
        <v>20.8369192218153</v>
      </c>
      <c r="N133">
        <v>51.133489096930496</v>
      </c>
      <c r="O133">
        <v>50.171566895164403</v>
      </c>
      <c r="P133">
        <v>-9.4218200302810501E-2</v>
      </c>
      <c r="Q133">
        <v>9.2582957589666906E-2</v>
      </c>
      <c r="R133">
        <v>0.99271542843381499</v>
      </c>
      <c r="S133" t="s">
        <v>7136</v>
      </c>
      <c r="T133" t="s">
        <v>14004</v>
      </c>
      <c r="U133" t="s">
        <v>14004</v>
      </c>
      <c r="V133" t="s">
        <v>14004</v>
      </c>
      <c r="W133" t="s">
        <v>14137</v>
      </c>
      <c r="X133">
        <v>4</v>
      </c>
      <c r="Y133" t="s">
        <v>21072</v>
      </c>
      <c r="Z133" t="s">
        <v>27843</v>
      </c>
      <c r="AA133">
        <v>0.42579871380881318</v>
      </c>
      <c r="AB133" t="str">
        <f>HYPERLINK("Melting_Curves/meltCurve_B3KRR0_ERCC1.pdf", "Melting_Curves/meltCurve_B3KRR0_ERCC1.pdf")</f>
        <v>Melting_Curves/meltCurve_B3KRR0_ERCC1.pdf</v>
      </c>
    </row>
    <row r="134" spans="1:28" x14ac:dyDescent="0.25">
      <c r="A134" t="s">
        <v>138</v>
      </c>
      <c r="B134">
        <v>0.99999676499088797</v>
      </c>
      <c r="C134">
        <v>0.86317759105967495</v>
      </c>
      <c r="D134">
        <v>0.972590391809802</v>
      </c>
      <c r="E134">
        <v>0.67657757264183005</v>
      </c>
      <c r="F134">
        <v>0.426815167799728</v>
      </c>
      <c r="G134">
        <v>0.26654495007752499</v>
      </c>
      <c r="H134">
        <v>0.15844152245262499</v>
      </c>
      <c r="I134">
        <v>0.122554033087634</v>
      </c>
      <c r="J134">
        <v>0.109011349581317</v>
      </c>
      <c r="K134">
        <v>0.135839647261524</v>
      </c>
      <c r="L134">
        <v>901.10668968162304</v>
      </c>
      <c r="M134">
        <v>17.503265349039498</v>
      </c>
      <c r="N134">
        <v>52.196004904717398</v>
      </c>
      <c r="O134">
        <v>50.824304602198602</v>
      </c>
      <c r="P134">
        <v>-7.6937568595593905E-2</v>
      </c>
      <c r="Q134">
        <v>0.106433473525384</v>
      </c>
      <c r="R134">
        <v>0.98480587843551204</v>
      </c>
      <c r="S134" t="s">
        <v>7137</v>
      </c>
      <c r="T134" t="s">
        <v>14004</v>
      </c>
      <c r="U134" t="s">
        <v>14004</v>
      </c>
      <c r="V134" t="s">
        <v>14004</v>
      </c>
      <c r="W134" t="s">
        <v>14138</v>
      </c>
      <c r="X134">
        <v>14</v>
      </c>
      <c r="Y134" t="s">
        <v>21073</v>
      </c>
      <c r="Z134" t="s">
        <v>27844</v>
      </c>
      <c r="AA134">
        <v>0.46415658059363291</v>
      </c>
      <c r="AB134" t="str">
        <f>HYPERLINK("Melting_Curves/meltCurve_B3KS98_EIF3S3.pdf", "Melting_Curves/meltCurve_B3KS98_EIF3S3.pdf")</f>
        <v>Melting_Curves/meltCurve_B3KS98_EIF3S3.pdf</v>
      </c>
    </row>
    <row r="135" spans="1:28" x14ac:dyDescent="0.25">
      <c r="A135" t="s">
        <v>139</v>
      </c>
      <c r="B135">
        <v>0.99999676499088797</v>
      </c>
      <c r="C135">
        <v>0.96298994969816398</v>
      </c>
      <c r="D135">
        <v>0.90171515680285397</v>
      </c>
      <c r="E135">
        <v>0.50486371320075496</v>
      </c>
      <c r="F135">
        <v>0.19170688397575</v>
      </c>
      <c r="G135">
        <v>0.128352014351091</v>
      </c>
      <c r="H135">
        <v>5.9648902470519599E-2</v>
      </c>
      <c r="I135">
        <v>5.1617271504062201E-2</v>
      </c>
      <c r="J135">
        <v>4.3164535431762199E-2</v>
      </c>
      <c r="K135">
        <v>3.8833881856619297E-2</v>
      </c>
      <c r="L135">
        <v>1241.94751224223</v>
      </c>
      <c r="M135">
        <v>25.076405741538998</v>
      </c>
      <c r="N135">
        <v>49.746668638842998</v>
      </c>
      <c r="O135">
        <v>49.2147946738393</v>
      </c>
      <c r="P135">
        <v>-0.12069460282590801</v>
      </c>
      <c r="Q135">
        <v>5.2514745313787199E-2</v>
      </c>
      <c r="R135">
        <v>0.99814900975795495</v>
      </c>
      <c r="S135" t="s">
        <v>7138</v>
      </c>
      <c r="T135" t="s">
        <v>14004</v>
      </c>
      <c r="U135" t="s">
        <v>14004</v>
      </c>
      <c r="V135" t="s">
        <v>14004</v>
      </c>
      <c r="W135" t="s">
        <v>14139</v>
      </c>
      <c r="X135">
        <v>12</v>
      </c>
      <c r="Y135" t="s">
        <v>21074</v>
      </c>
      <c r="Z135" t="s">
        <v>27845</v>
      </c>
      <c r="AA135">
        <v>0.36176790779764101</v>
      </c>
      <c r="AB135" t="str">
        <f>HYPERLINK("Melting_Curves/meltCurve_B3KSH1_EIF3F.pdf", "Melting_Curves/meltCurve_B3KSH1_EIF3F.pdf")</f>
        <v>Melting_Curves/meltCurve_B3KSH1_EIF3F.pdf</v>
      </c>
    </row>
    <row r="136" spans="1:28" x14ac:dyDescent="0.25">
      <c r="A136" t="s">
        <v>140</v>
      </c>
      <c r="B136">
        <v>0.99999676499088797</v>
      </c>
      <c r="C136">
        <v>0.96932923596429899</v>
      </c>
      <c r="D136">
        <v>1.0590014974245801</v>
      </c>
      <c r="E136">
        <v>1.13888785121616</v>
      </c>
      <c r="F136">
        <v>0.68062418086120502</v>
      </c>
      <c r="G136">
        <v>0.24023744577696199</v>
      </c>
      <c r="H136">
        <v>0.119582461816609</v>
      </c>
      <c r="I136">
        <v>0.114837727432843</v>
      </c>
      <c r="J136">
        <v>0.113141301471016</v>
      </c>
      <c r="K136">
        <v>0.129874108596057</v>
      </c>
      <c r="L136">
        <v>2508.74487059177</v>
      </c>
      <c r="M136">
        <v>46.481528417350802</v>
      </c>
      <c r="N136">
        <v>54.308821948764397</v>
      </c>
      <c r="O136">
        <v>53.873310323167097</v>
      </c>
      <c r="P136">
        <v>-0.18875331181410601</v>
      </c>
      <c r="Q136">
        <v>0.124920609545979</v>
      </c>
      <c r="R136">
        <v>0.98356433334122595</v>
      </c>
      <c r="S136" t="s">
        <v>7139</v>
      </c>
      <c r="T136" t="s">
        <v>14004</v>
      </c>
      <c r="U136" t="s">
        <v>14004</v>
      </c>
      <c r="V136" t="s">
        <v>14004</v>
      </c>
      <c r="W136" t="s">
        <v>14140</v>
      </c>
      <c r="X136">
        <v>24</v>
      </c>
      <c r="Y136" t="s">
        <v>21075</v>
      </c>
      <c r="Z136" t="s">
        <v>27846</v>
      </c>
      <c r="AA136">
        <v>0.53491315309683984</v>
      </c>
      <c r="AB136" t="str">
        <f>HYPERLINK("Melting_Curves/meltCurve_B3KSI9_LZTFL1.pdf", "Melting_Curves/meltCurve_B3KSI9_LZTFL1.pdf")</f>
        <v>Melting_Curves/meltCurve_B3KSI9_LZTFL1.pdf</v>
      </c>
    </row>
    <row r="137" spans="1:28" x14ac:dyDescent="0.25">
      <c r="A137" t="s">
        <v>141</v>
      </c>
      <c r="B137">
        <v>0.99999676499088797</v>
      </c>
      <c r="C137">
        <v>1.0143282335266399</v>
      </c>
      <c r="D137">
        <v>0.97075496274251905</v>
      </c>
      <c r="E137">
        <v>0.857683607037524</v>
      </c>
      <c r="F137">
        <v>1.1359434707123399</v>
      </c>
      <c r="G137">
        <v>0.74930108269584805</v>
      </c>
      <c r="H137">
        <v>0.76629188804817805</v>
      </c>
      <c r="I137">
        <v>0.83979274029689599</v>
      </c>
      <c r="J137">
        <v>0.73501814613042704</v>
      </c>
      <c r="K137">
        <v>1.02093291771246</v>
      </c>
      <c r="L137">
        <v>3852.3693062347702</v>
      </c>
      <c r="M137">
        <v>69.820570442748604</v>
      </c>
      <c r="O137">
        <v>55.130047559724098</v>
      </c>
      <c r="P137">
        <v>-5.6258451628350102E-2</v>
      </c>
      <c r="Q137">
        <v>0.82231417306188304</v>
      </c>
      <c r="R137">
        <v>0.39853513152415398</v>
      </c>
      <c r="S137" t="s">
        <v>7140</v>
      </c>
      <c r="T137" t="s">
        <v>14004</v>
      </c>
      <c r="U137" t="s">
        <v>14004</v>
      </c>
      <c r="V137" t="s">
        <v>14004</v>
      </c>
      <c r="W137" t="s">
        <v>14141</v>
      </c>
      <c r="X137">
        <v>11</v>
      </c>
      <c r="Y137" t="s">
        <v>21076</v>
      </c>
      <c r="Z137" t="s">
        <v>27847</v>
      </c>
      <c r="AA137">
        <v>0.91241639350652926</v>
      </c>
      <c r="AB137" t="str">
        <f>HYPERLINK("Melting_Curves/meltCurve_B3KUK2_SOD2.pdf", "Melting_Curves/meltCurve_B3KUK2_SOD2.pdf")</f>
        <v>Melting_Curves/meltCurve_B3KUK2_SOD2.pdf</v>
      </c>
    </row>
    <row r="138" spans="1:28" x14ac:dyDescent="0.25">
      <c r="A138" t="s">
        <v>142</v>
      </c>
      <c r="B138">
        <v>0.99999676499088797</v>
      </c>
      <c r="C138">
        <v>0.91032200106225902</v>
      </c>
      <c r="D138">
        <v>0.93472465073977895</v>
      </c>
      <c r="E138">
        <v>0.87732922824801396</v>
      </c>
      <c r="F138">
        <v>0.56359204066880897</v>
      </c>
      <c r="G138">
        <v>0.33450187924497199</v>
      </c>
      <c r="H138">
        <v>0.13277900103306201</v>
      </c>
      <c r="I138">
        <v>0.118161966261062</v>
      </c>
      <c r="J138">
        <v>0.21126655757019699</v>
      </c>
      <c r="K138">
        <v>8.4613664708771394E-2</v>
      </c>
      <c r="L138">
        <v>1122.2338196548701</v>
      </c>
      <c r="M138">
        <v>21.010308792729401</v>
      </c>
      <c r="N138">
        <v>54.079640999791799</v>
      </c>
      <c r="O138">
        <v>52.936669255516499</v>
      </c>
      <c r="P138">
        <v>-8.7913287291761497E-2</v>
      </c>
      <c r="Q138">
        <v>0.11401360166676699</v>
      </c>
      <c r="R138">
        <v>0.98415840396496501</v>
      </c>
      <c r="S138" t="s">
        <v>7141</v>
      </c>
      <c r="T138" t="s">
        <v>14004</v>
      </c>
      <c r="U138" t="s">
        <v>14004</v>
      </c>
      <c r="V138" t="s">
        <v>14004</v>
      </c>
      <c r="W138" t="s">
        <v>14142</v>
      </c>
      <c r="X138">
        <v>1</v>
      </c>
      <c r="Y138" t="s">
        <v>21077</v>
      </c>
      <c r="Z138" t="s">
        <v>27848</v>
      </c>
      <c r="AA138">
        <v>0.5213173990292882</v>
      </c>
      <c r="AB138" t="str">
        <f>HYPERLINK("Melting_Curves/meltCurve_B3KUV7_PIGA.pdf", "Melting_Curves/meltCurve_B3KUV7_PIGA.pdf")</f>
        <v>Melting_Curves/meltCurve_B3KUV7_PIGA.pdf</v>
      </c>
    </row>
    <row r="139" spans="1:28" x14ac:dyDescent="0.25">
      <c r="A139" t="s">
        <v>143</v>
      </c>
      <c r="B139">
        <v>0.99999676499088797</v>
      </c>
      <c r="C139">
        <v>1.0246908826457199</v>
      </c>
      <c r="D139">
        <v>0.94429660661301895</v>
      </c>
      <c r="E139">
        <v>0.80077217383774502</v>
      </c>
      <c r="F139">
        <v>0.48577307277798398</v>
      </c>
      <c r="G139">
        <v>0.40729394655954698</v>
      </c>
      <c r="H139">
        <v>0.22611308463708399</v>
      </c>
      <c r="I139">
        <v>0.24047288101133499</v>
      </c>
      <c r="J139">
        <v>0.25650719768235403</v>
      </c>
      <c r="K139">
        <v>0.29371635824086501</v>
      </c>
      <c r="L139">
        <v>1136.37672176924</v>
      </c>
      <c r="M139">
        <v>21.975896973392999</v>
      </c>
      <c r="N139">
        <v>53.426681718726996</v>
      </c>
      <c r="O139">
        <v>51.287666252967703</v>
      </c>
      <c r="P139">
        <v>-7.9998626107417106E-2</v>
      </c>
      <c r="Q139">
        <v>0.25320894474441502</v>
      </c>
      <c r="R139">
        <v>0.98919554043048896</v>
      </c>
      <c r="S139" t="s">
        <v>7142</v>
      </c>
      <c r="T139" t="s">
        <v>14004</v>
      </c>
      <c r="U139" t="s">
        <v>14004</v>
      </c>
      <c r="V139" t="s">
        <v>14004</v>
      </c>
      <c r="W139" t="s">
        <v>14143</v>
      </c>
      <c r="X139">
        <v>6</v>
      </c>
      <c r="Y139" t="s">
        <v>21078</v>
      </c>
      <c r="Z139" t="s">
        <v>27849</v>
      </c>
      <c r="AA139">
        <v>0.553403826162018</v>
      </c>
      <c r="AB139" t="str">
        <f>HYPERLINK("Melting_Curves/meltCurve_B3KVH8_PHF23.pdf", "Melting_Curves/meltCurve_B3KVH8_PHF23.pdf")</f>
        <v>Melting_Curves/meltCurve_B3KVH8_PHF23.pdf</v>
      </c>
    </row>
    <row r="140" spans="1:28" x14ac:dyDescent="0.25">
      <c r="A140" t="s">
        <v>144</v>
      </c>
      <c r="B140">
        <v>0.99999676499088797</v>
      </c>
      <c r="C140">
        <v>0.95838119836032298</v>
      </c>
      <c r="D140">
        <v>0.82300768111415101</v>
      </c>
      <c r="E140">
        <v>0.36941715941698899</v>
      </c>
      <c r="F140">
        <v>0.23124689589380301</v>
      </c>
      <c r="G140">
        <v>0.143444739764097</v>
      </c>
      <c r="H140">
        <v>6.4011536127276905E-2</v>
      </c>
      <c r="I140">
        <v>7.9470022032400001E-2</v>
      </c>
      <c r="J140">
        <v>7.8934429860774299E-2</v>
      </c>
      <c r="K140">
        <v>6.83832022811766E-2</v>
      </c>
      <c r="L140">
        <v>1148.0407566121301</v>
      </c>
      <c r="M140">
        <v>23.715234605654501</v>
      </c>
      <c r="N140">
        <v>48.7855344835735</v>
      </c>
      <c r="O140">
        <v>48.069128900464598</v>
      </c>
      <c r="P140">
        <v>-0.11303646700438701</v>
      </c>
      <c r="Q140">
        <v>8.3546643125568004E-2</v>
      </c>
      <c r="R140">
        <v>0.99443770623817795</v>
      </c>
      <c r="S140" t="s">
        <v>7143</v>
      </c>
      <c r="T140" t="s">
        <v>14004</v>
      </c>
      <c r="U140" t="s">
        <v>14004</v>
      </c>
      <c r="V140" t="s">
        <v>14004</v>
      </c>
      <c r="W140" t="s">
        <v>14144</v>
      </c>
      <c r="X140">
        <v>24</v>
      </c>
      <c r="Y140" t="s">
        <v>21079</v>
      </c>
      <c r="Z140" t="s">
        <v>27850</v>
      </c>
      <c r="AA140">
        <v>0.34948925696818178</v>
      </c>
      <c r="AB140" t="str">
        <f>HYPERLINK("Melting_Curves/meltCurve_B3KXW5_AP1G1.pdf", "Melting_Curves/meltCurve_B3KXW5_AP1G1.pdf")</f>
        <v>Melting_Curves/meltCurve_B3KXW5_AP1G1.pdf</v>
      </c>
    </row>
    <row r="141" spans="1:28" x14ac:dyDescent="0.25">
      <c r="A141" t="s">
        <v>145</v>
      </c>
      <c r="B141">
        <v>0.99999676499088797</v>
      </c>
      <c r="C141">
        <v>1.0003289185547299</v>
      </c>
      <c r="D141">
        <v>0.86544689220056203</v>
      </c>
      <c r="E141">
        <v>0.40072126484624299</v>
      </c>
      <c r="F141">
        <v>0.45233643258929201</v>
      </c>
      <c r="G141">
        <v>0.39521195504329898</v>
      </c>
      <c r="H141">
        <v>0.34857075665055598</v>
      </c>
      <c r="I141">
        <v>0.37814257292217501</v>
      </c>
      <c r="J141">
        <v>0</v>
      </c>
      <c r="K141">
        <v>0</v>
      </c>
      <c r="L141">
        <v>458.32860682037398</v>
      </c>
      <c r="M141">
        <v>8.6801903875494197</v>
      </c>
      <c r="N141">
        <v>52.801675500130102</v>
      </c>
      <c r="O141">
        <v>50.223733854788101</v>
      </c>
      <c r="P141">
        <v>-4.3243590527343001E-2</v>
      </c>
      <c r="Q141">
        <v>0</v>
      </c>
      <c r="R141">
        <v>0.86298193395717804</v>
      </c>
      <c r="S141" t="s">
        <v>7144</v>
      </c>
      <c r="T141" t="s">
        <v>14004</v>
      </c>
      <c r="U141" t="s">
        <v>14004</v>
      </c>
      <c r="V141" t="s">
        <v>14004</v>
      </c>
      <c r="W141" t="s">
        <v>14145</v>
      </c>
      <c r="X141">
        <v>4</v>
      </c>
      <c r="Y141" t="s">
        <v>21080</v>
      </c>
      <c r="Z141" t="s">
        <v>27851</v>
      </c>
      <c r="AA141">
        <v>0.46623566586425252</v>
      </c>
      <c r="AB141" t="str">
        <f>HYPERLINK("Melting_Curves/meltCurve_B3KY83_RXRA.pdf", "Melting_Curves/meltCurve_B3KY83_RXRA.pdf")</f>
        <v>Melting_Curves/meltCurve_B3KY83_RXRA.pdf</v>
      </c>
    </row>
    <row r="142" spans="1:28" x14ac:dyDescent="0.25">
      <c r="A142" t="s">
        <v>146</v>
      </c>
      <c r="B142">
        <v>0.99999676499088797</v>
      </c>
      <c r="C142">
        <v>0.81749697916646502</v>
      </c>
      <c r="D142">
        <v>0.86940200847353699</v>
      </c>
      <c r="E142">
        <v>0.853438666879339</v>
      </c>
      <c r="F142">
        <v>0.96102908456699798</v>
      </c>
      <c r="G142">
        <v>0.57519154865019295</v>
      </c>
      <c r="H142">
        <v>0.20872784080863799</v>
      </c>
      <c r="I142">
        <v>3.3519501669481699E-2</v>
      </c>
      <c r="J142">
        <v>3.01477630713381E-2</v>
      </c>
      <c r="K142">
        <v>3.4236274122156199E-2</v>
      </c>
      <c r="L142">
        <v>1633.2390415796101</v>
      </c>
      <c r="M142">
        <v>28.399062862185598</v>
      </c>
      <c r="N142">
        <v>57.561454963673</v>
      </c>
      <c r="O142">
        <v>57.227418044322697</v>
      </c>
      <c r="P142">
        <v>-0.122517426218422</v>
      </c>
      <c r="Q142">
        <v>1.24604812793067E-2</v>
      </c>
      <c r="R142">
        <v>0.95292841554440699</v>
      </c>
      <c r="S142" t="s">
        <v>7145</v>
      </c>
      <c r="T142" t="s">
        <v>14004</v>
      </c>
      <c r="U142" t="s">
        <v>14004</v>
      </c>
      <c r="V142" t="s">
        <v>14004</v>
      </c>
      <c r="W142" t="s">
        <v>14146</v>
      </c>
      <c r="X142">
        <v>2</v>
      </c>
      <c r="Y142" t="s">
        <v>21081</v>
      </c>
      <c r="Z142" t="s">
        <v>27852</v>
      </c>
      <c r="AA142">
        <v>0.59604309735141903</v>
      </c>
      <c r="AB142" t="str">
        <f>HYPERLINK("Melting_Curves/meltCurve_B3KY94_CDIPT.pdf", "Melting_Curves/meltCurve_B3KY94_CDIPT.pdf")</f>
        <v>Melting_Curves/meltCurve_B3KY94_CDIPT.pdf</v>
      </c>
    </row>
    <row r="143" spans="1:28" x14ac:dyDescent="0.25">
      <c r="A143" t="s">
        <v>147</v>
      </c>
      <c r="B143">
        <v>0.99999676499088797</v>
      </c>
      <c r="C143">
        <v>0.97864186991920499</v>
      </c>
      <c r="D143">
        <v>0.68605690658922203</v>
      </c>
      <c r="E143">
        <v>0.25602820627866901</v>
      </c>
      <c r="F143">
        <v>0.16509599187534901</v>
      </c>
      <c r="G143">
        <v>0.10836820952884101</v>
      </c>
      <c r="H143">
        <v>6.1934797045887197E-2</v>
      </c>
      <c r="I143">
        <v>6.5381282797904297E-2</v>
      </c>
      <c r="J143">
        <v>6.3760759049893895E-2</v>
      </c>
      <c r="K143">
        <v>6.6476589391102806E-2</v>
      </c>
      <c r="L143">
        <v>1302.33243794489</v>
      </c>
      <c r="M143">
        <v>27.604849677206701</v>
      </c>
      <c r="N143">
        <v>47.469322453135803</v>
      </c>
      <c r="O143">
        <v>46.932159467242002</v>
      </c>
      <c r="P143">
        <v>-0.13557794752859001</v>
      </c>
      <c r="Q143">
        <v>7.8001194109880601E-2</v>
      </c>
      <c r="R143">
        <v>0.99626022680149795</v>
      </c>
      <c r="S143" t="s">
        <v>7146</v>
      </c>
      <c r="T143" t="s">
        <v>14004</v>
      </c>
      <c r="U143" t="s">
        <v>14004</v>
      </c>
      <c r="V143" t="s">
        <v>14004</v>
      </c>
      <c r="W143" t="s">
        <v>14147</v>
      </c>
      <c r="X143">
        <v>16</v>
      </c>
      <c r="Y143" t="s">
        <v>21082</v>
      </c>
      <c r="Z143" t="s">
        <v>27853</v>
      </c>
      <c r="AA143">
        <v>0.30520729535577179</v>
      </c>
      <c r="AB143" t="str">
        <f>HYPERLINK("Melting_Curves/meltCurve_B4DDF4_CNN2.pdf", "Melting_Curves/meltCurve_B4DDF4_CNN2.pdf")</f>
        <v>Melting_Curves/meltCurve_B4DDF4_CNN2.pdf</v>
      </c>
    </row>
    <row r="144" spans="1:28" x14ac:dyDescent="0.25">
      <c r="A144" t="s">
        <v>148</v>
      </c>
      <c r="B144">
        <v>0.99999676499088797</v>
      </c>
      <c r="C144">
        <v>0.98866042306903801</v>
      </c>
      <c r="D144">
        <v>1.0253396643722601</v>
      </c>
      <c r="E144">
        <v>1.0953275223746399</v>
      </c>
      <c r="F144">
        <v>1.06484838220126</v>
      </c>
      <c r="G144">
        <v>0.883836649111997</v>
      </c>
      <c r="H144">
        <v>0.206972754385124</v>
      </c>
      <c r="I144">
        <v>9.3613688995926203E-2</v>
      </c>
      <c r="J144">
        <v>7.48459360851155E-2</v>
      </c>
      <c r="K144">
        <v>6.2198855912162697E-2</v>
      </c>
      <c r="L144">
        <v>3239.3157580133002</v>
      </c>
      <c r="M144">
        <v>55.056262858396103</v>
      </c>
      <c r="N144">
        <v>59.005181177316999</v>
      </c>
      <c r="O144">
        <v>58.759009627961802</v>
      </c>
      <c r="P144">
        <v>-0.21718599211445799</v>
      </c>
      <c r="Q144">
        <v>7.2830456342269603E-2</v>
      </c>
      <c r="R144">
        <v>0.99261854876333599</v>
      </c>
      <c r="S144" t="s">
        <v>7147</v>
      </c>
      <c r="T144" t="s">
        <v>14004</v>
      </c>
      <c r="U144" t="s">
        <v>14004</v>
      </c>
      <c r="V144" t="s">
        <v>14004</v>
      </c>
      <c r="W144" t="s">
        <v>14148</v>
      </c>
      <c r="X144">
        <v>24</v>
      </c>
      <c r="Y144" t="s">
        <v>21083</v>
      </c>
      <c r="Z144" t="s">
        <v>27854</v>
      </c>
      <c r="AA144">
        <v>0.65695873627592882</v>
      </c>
      <c r="AB144" t="str">
        <f>HYPERLINK("Melting_Curves/meltCurve_B4DDY8_HARS2.pdf", "Melting_Curves/meltCurve_B4DDY8_HARS2.pdf")</f>
        <v>Melting_Curves/meltCurve_B4DDY8_HARS2.pdf</v>
      </c>
    </row>
    <row r="145" spans="1:28" x14ac:dyDescent="0.25">
      <c r="A145" t="s">
        <v>149</v>
      </c>
      <c r="B145">
        <v>0.99999676499088797</v>
      </c>
      <c r="C145">
        <v>0.98855475674157001</v>
      </c>
      <c r="D145">
        <v>1.0720334252827799</v>
      </c>
      <c r="E145">
        <v>1.0377025096646999</v>
      </c>
      <c r="F145">
        <v>0.96747641240070104</v>
      </c>
      <c r="G145">
        <v>0.89941969678286704</v>
      </c>
      <c r="H145">
        <v>0.67398116060198598</v>
      </c>
      <c r="I145">
        <v>0.69194387275330604</v>
      </c>
      <c r="J145">
        <v>0.57257374321103904</v>
      </c>
      <c r="K145">
        <v>0.52664022303566504</v>
      </c>
      <c r="L145">
        <v>1243.7563164844</v>
      </c>
      <c r="M145">
        <v>20.777330440086502</v>
      </c>
      <c r="O145">
        <v>59.314983843620404</v>
      </c>
      <c r="P145">
        <v>-4.1221842380244997E-2</v>
      </c>
      <c r="Q145">
        <v>0.52929388494000396</v>
      </c>
      <c r="R145">
        <v>0.95961214773737302</v>
      </c>
      <c r="S145" t="s">
        <v>7148</v>
      </c>
      <c r="T145" t="s">
        <v>14004</v>
      </c>
      <c r="U145" t="s">
        <v>14004</v>
      </c>
      <c r="V145" t="s">
        <v>14004</v>
      </c>
      <c r="W145" t="s">
        <v>14149</v>
      </c>
      <c r="X145">
        <v>4</v>
      </c>
      <c r="Y145" t="s">
        <v>21084</v>
      </c>
      <c r="Z145" t="s">
        <v>27855</v>
      </c>
      <c r="AA145">
        <v>0.84493576762301614</v>
      </c>
      <c r="AB145" t="str">
        <f>HYPERLINK("Melting_Curves/meltCurve_B4DE60_REEP2.pdf", "Melting_Curves/meltCurve_B4DE60_REEP2.pdf")</f>
        <v>Melting_Curves/meltCurve_B4DE60_REEP2.pdf</v>
      </c>
    </row>
    <row r="146" spans="1:28" x14ac:dyDescent="0.25">
      <c r="A146" t="s">
        <v>150</v>
      </c>
      <c r="B146">
        <v>0.99999676499088797</v>
      </c>
      <c r="C146">
        <v>0.98615926905307205</v>
      </c>
      <c r="D146">
        <v>0.96218832801829002</v>
      </c>
      <c r="E146">
        <v>0.95539764762174995</v>
      </c>
      <c r="F146">
        <v>0.77357771911149598</v>
      </c>
      <c r="G146">
        <v>0.84785630022293001</v>
      </c>
      <c r="H146">
        <v>0.52084612637757499</v>
      </c>
      <c r="I146">
        <v>0.66840540547231098</v>
      </c>
      <c r="J146">
        <v>0.62889506859587396</v>
      </c>
      <c r="K146">
        <v>0.70208185132933998</v>
      </c>
      <c r="L146">
        <v>1003.19636161032</v>
      </c>
      <c r="M146">
        <v>18.7369541008703</v>
      </c>
      <c r="O146">
        <v>52.942358122644798</v>
      </c>
      <c r="P146">
        <v>-3.2371492573276199E-2</v>
      </c>
      <c r="Q146">
        <v>0.63414516678675603</v>
      </c>
      <c r="R146">
        <v>0.827389140725455</v>
      </c>
      <c r="S146" t="s">
        <v>7149</v>
      </c>
      <c r="T146" t="s">
        <v>14004</v>
      </c>
      <c r="U146" t="s">
        <v>14004</v>
      </c>
      <c r="V146" t="s">
        <v>14004</v>
      </c>
      <c r="W146" t="s">
        <v>14150</v>
      </c>
      <c r="X146">
        <v>3</v>
      </c>
      <c r="Y146" t="s">
        <v>21085</v>
      </c>
      <c r="Z146" t="s">
        <v>27856</v>
      </c>
      <c r="AA146">
        <v>0.80484297629367207</v>
      </c>
      <c r="AB146" t="str">
        <f>HYPERLINK("Melting_Curves/meltCurve_B4DEB8_TSPAN7.pdf", "Melting_Curves/meltCurve_B4DEB8_TSPAN7.pdf")</f>
        <v>Melting_Curves/meltCurve_B4DEB8_TSPAN7.pdf</v>
      </c>
    </row>
    <row r="147" spans="1:28" x14ac:dyDescent="0.25">
      <c r="A147" t="s">
        <v>151</v>
      </c>
      <c r="B147">
        <v>0.99999676499088797</v>
      </c>
      <c r="C147">
        <v>0.94015085932227005</v>
      </c>
      <c r="D147">
        <v>1.00260296125584</v>
      </c>
      <c r="E147">
        <v>1.2467435929336701</v>
      </c>
      <c r="F147">
        <v>0.99164480640638197</v>
      </c>
      <c r="G147">
        <v>0.51753876086569806</v>
      </c>
      <c r="H147">
        <v>0.13914503998824099</v>
      </c>
      <c r="I147">
        <v>0.12266421850577799</v>
      </c>
      <c r="J147">
        <v>0.11116911632860001</v>
      </c>
      <c r="K147">
        <v>9.3199626771186206E-2</v>
      </c>
      <c r="L147">
        <v>3533.67374905511</v>
      </c>
      <c r="M147">
        <v>62.382533315067498</v>
      </c>
      <c r="N147">
        <v>56.879011515785599</v>
      </c>
      <c r="O147">
        <v>56.587119512589602</v>
      </c>
      <c r="P147">
        <v>-0.24443894227385499</v>
      </c>
      <c r="Q147">
        <v>0.113079259627997</v>
      </c>
      <c r="R147">
        <v>0.96653034608464805</v>
      </c>
      <c r="S147" t="s">
        <v>7150</v>
      </c>
      <c r="T147" t="s">
        <v>14004</v>
      </c>
      <c r="U147" t="s">
        <v>14004</v>
      </c>
      <c r="V147" t="s">
        <v>14004</v>
      </c>
      <c r="W147" t="s">
        <v>14151</v>
      </c>
      <c r="X147">
        <v>4</v>
      </c>
      <c r="Y147" t="s">
        <v>21086</v>
      </c>
      <c r="Z147" t="s">
        <v>27857</v>
      </c>
      <c r="AA147">
        <v>0.60660013474426067</v>
      </c>
      <c r="AB147" t="str">
        <f>HYPERLINK("Melting_Curves/meltCurve_B4DEX5_PRNPIP.pdf", "Melting_Curves/meltCurve_B4DEX5_PRNPIP.pdf")</f>
        <v>Melting_Curves/meltCurve_B4DEX5_PRNPIP.pdf</v>
      </c>
    </row>
    <row r="148" spans="1:28" x14ac:dyDescent="0.25">
      <c r="A148" t="s">
        <v>152</v>
      </c>
      <c r="B148">
        <v>0.99999676499088797</v>
      </c>
      <c r="C148">
        <v>1.1289777250377699</v>
      </c>
      <c r="D148">
        <v>1.0553551189227199</v>
      </c>
      <c r="E148">
        <v>0.97532809497059603</v>
      </c>
      <c r="F148">
        <v>0.63818248595751204</v>
      </c>
      <c r="G148">
        <v>0.59216642206251402</v>
      </c>
      <c r="H148">
        <v>0.25692022808883402</v>
      </c>
      <c r="I148">
        <v>0.215836200828257</v>
      </c>
      <c r="J148">
        <v>0.16062658851757899</v>
      </c>
      <c r="K148">
        <v>0.118024148832686</v>
      </c>
      <c r="L148">
        <v>966.03649195010098</v>
      </c>
      <c r="M148">
        <v>17.1914757759758</v>
      </c>
      <c r="N148">
        <v>56.9475236580139</v>
      </c>
      <c r="O148">
        <v>55.448943676872503</v>
      </c>
      <c r="P148">
        <v>-6.96178381675224E-2</v>
      </c>
      <c r="Q148">
        <v>0.101878562859153</v>
      </c>
      <c r="R148">
        <v>0.96720319502447405</v>
      </c>
      <c r="S148" t="s">
        <v>7151</v>
      </c>
      <c r="T148" t="s">
        <v>14004</v>
      </c>
      <c r="U148" t="s">
        <v>14004</v>
      </c>
      <c r="V148" t="s">
        <v>14004</v>
      </c>
      <c r="W148" t="s">
        <v>14152</v>
      </c>
      <c r="X148">
        <v>5</v>
      </c>
      <c r="Y148" t="s">
        <v>21087</v>
      </c>
      <c r="Z148" t="s">
        <v>27858</v>
      </c>
      <c r="AA148">
        <v>0.60040691886818676</v>
      </c>
      <c r="AB148" t="str">
        <f>HYPERLINK("Melting_Curves/meltCurve_B4DEZ3_NDUFA13.pdf", "Melting_Curves/meltCurve_B4DEZ3_NDUFA13.pdf")</f>
        <v>Melting_Curves/meltCurve_B4DEZ3_NDUFA13.pdf</v>
      </c>
    </row>
    <row r="149" spans="1:28" x14ac:dyDescent="0.25">
      <c r="A149" t="s">
        <v>153</v>
      </c>
      <c r="B149">
        <v>0.99999676499088797</v>
      </c>
      <c r="C149">
        <v>0.95484373281186197</v>
      </c>
      <c r="D149">
        <v>0.92204603126435503</v>
      </c>
      <c r="E149">
        <v>0.83205632339451996</v>
      </c>
      <c r="F149">
        <v>0.29827834827294603</v>
      </c>
      <c r="G149">
        <v>0.174799038479719</v>
      </c>
      <c r="H149">
        <v>9.5209136685944898E-2</v>
      </c>
      <c r="I149">
        <v>9.5829699968263696E-2</v>
      </c>
      <c r="J149">
        <v>0.103814194180553</v>
      </c>
      <c r="K149">
        <v>8.6632124040971703E-2</v>
      </c>
      <c r="L149">
        <v>1811.3916340672299</v>
      </c>
      <c r="M149">
        <v>35.190572293813403</v>
      </c>
      <c r="N149">
        <v>51.806249130000303</v>
      </c>
      <c r="O149">
        <v>51.3084034275116</v>
      </c>
      <c r="P149">
        <v>-0.15413511379158901</v>
      </c>
      <c r="Q149">
        <v>0.10107750077276</v>
      </c>
      <c r="R149">
        <v>0.99407944087828204</v>
      </c>
      <c r="S149" t="s">
        <v>7152</v>
      </c>
      <c r="T149" t="s">
        <v>14004</v>
      </c>
      <c r="U149" t="s">
        <v>14004</v>
      </c>
      <c r="V149" t="s">
        <v>14004</v>
      </c>
      <c r="W149" t="s">
        <v>14153</v>
      </c>
      <c r="X149">
        <v>10</v>
      </c>
      <c r="Y149" t="s">
        <v>21088</v>
      </c>
      <c r="Z149" t="s">
        <v>27859</v>
      </c>
      <c r="AA149">
        <v>0.44901614398749801</v>
      </c>
      <c r="AB149" t="str">
        <f>HYPERLINK("Melting_Curves/meltCurve_B4DF47_MSTO1.pdf", "Melting_Curves/meltCurve_B4DF47_MSTO1.pdf")</f>
        <v>Melting_Curves/meltCurve_B4DF47_MSTO1.pdf</v>
      </c>
    </row>
    <row r="150" spans="1:28" x14ac:dyDescent="0.25">
      <c r="A150" t="s">
        <v>154</v>
      </c>
      <c r="B150">
        <v>0.99999676499088797</v>
      </c>
      <c r="C150">
        <v>0.84346406246156702</v>
      </c>
      <c r="D150">
        <v>0.53181467039472496</v>
      </c>
      <c r="E150">
        <v>0.34655735775589802</v>
      </c>
      <c r="F150">
        <v>0.34490751606618097</v>
      </c>
      <c r="G150">
        <v>0.17517921804639</v>
      </c>
      <c r="H150">
        <v>0.10528723125223099</v>
      </c>
      <c r="I150">
        <v>8.5209637120468099E-2</v>
      </c>
      <c r="J150">
        <v>0.111464583955528</v>
      </c>
      <c r="K150">
        <v>9.3416029042071899E-2</v>
      </c>
      <c r="L150">
        <v>674.26891252053701</v>
      </c>
      <c r="M150">
        <v>14.4049615254693</v>
      </c>
      <c r="N150">
        <v>47.529330137017098</v>
      </c>
      <c r="O150">
        <v>45.9337561089311</v>
      </c>
      <c r="P150">
        <v>-7.0712356748141594E-2</v>
      </c>
      <c r="Q150">
        <v>9.8172087875153496E-2</v>
      </c>
      <c r="R150">
        <v>0.97263569474530098</v>
      </c>
      <c r="S150" t="s">
        <v>7153</v>
      </c>
      <c r="T150" t="s">
        <v>14004</v>
      </c>
      <c r="U150" t="s">
        <v>14004</v>
      </c>
      <c r="V150" t="s">
        <v>14004</v>
      </c>
      <c r="W150" t="s">
        <v>14154</v>
      </c>
      <c r="X150">
        <v>3</v>
      </c>
      <c r="Y150" t="s">
        <v>21089</v>
      </c>
      <c r="Z150" t="s">
        <v>27860</v>
      </c>
      <c r="AA150">
        <v>0.32978366266991199</v>
      </c>
      <c r="AB150" t="str">
        <f>HYPERLINK("Melting_Curves/meltCurve_B4DF64_HAUS3.pdf", "Melting_Curves/meltCurve_B4DF64_HAUS3.pdf")</f>
        <v>Melting_Curves/meltCurve_B4DF64_HAUS3.pdf</v>
      </c>
    </row>
    <row r="151" spans="1:28" x14ac:dyDescent="0.25">
      <c r="A151" t="s">
        <v>155</v>
      </c>
      <c r="B151">
        <v>0.99999676499088797</v>
      </c>
      <c r="C151">
        <v>1.06291637523854</v>
      </c>
      <c r="D151">
        <v>1.02228841865099</v>
      </c>
      <c r="E151">
        <v>1.1224216448116999</v>
      </c>
      <c r="F151">
        <v>0.95337084634199298</v>
      </c>
      <c r="G151">
        <v>0.74029801211566404</v>
      </c>
      <c r="H151">
        <v>0.28688084816426801</v>
      </c>
      <c r="I151">
        <v>0.150104670187758</v>
      </c>
      <c r="J151">
        <v>9.1139949493166006E-2</v>
      </c>
      <c r="K151">
        <v>0.113390366754982</v>
      </c>
      <c r="L151">
        <v>1942.2589624572699</v>
      </c>
      <c r="M151">
        <v>33.283094962667001</v>
      </c>
      <c r="N151">
        <v>58.741370471353903</v>
      </c>
      <c r="O151">
        <v>58.146265754133204</v>
      </c>
      <c r="P151">
        <v>-0.12905699825071401</v>
      </c>
      <c r="Q151">
        <v>9.8142771905241802E-2</v>
      </c>
      <c r="R151">
        <v>0.98805258494450798</v>
      </c>
      <c r="S151" t="s">
        <v>7154</v>
      </c>
      <c r="T151" t="s">
        <v>14004</v>
      </c>
      <c r="U151" t="s">
        <v>14004</v>
      </c>
      <c r="V151" t="s">
        <v>14004</v>
      </c>
      <c r="W151" t="s">
        <v>14155</v>
      </c>
      <c r="X151">
        <v>2</v>
      </c>
      <c r="Y151" t="s">
        <v>21090</v>
      </c>
      <c r="Z151" t="s">
        <v>27861</v>
      </c>
      <c r="AA151">
        <v>0.65490506900780188</v>
      </c>
      <c r="AB151" t="str">
        <f>HYPERLINK("Melting_Curves/meltCurve_B4DFI9_HUS1.pdf", "Melting_Curves/meltCurve_B4DFI9_HUS1.pdf")</f>
        <v>Melting_Curves/meltCurve_B4DFI9_HUS1.pdf</v>
      </c>
    </row>
    <row r="152" spans="1:28" x14ac:dyDescent="0.25">
      <c r="A152" t="s">
        <v>156</v>
      </c>
      <c r="B152">
        <v>0.99999676499088797</v>
      </c>
      <c r="C152">
        <v>1.0365509028098401</v>
      </c>
      <c r="D152">
        <v>0.99759802747517401</v>
      </c>
      <c r="E152">
        <v>1.00365032706685</v>
      </c>
      <c r="F152">
        <v>0.91712605623758303</v>
      </c>
      <c r="G152">
        <v>0.56769237292270303</v>
      </c>
      <c r="H152">
        <v>0.173494548254122</v>
      </c>
      <c r="I152">
        <v>0.125155483974941</v>
      </c>
      <c r="J152">
        <v>0.12502689795970401</v>
      </c>
      <c r="K152">
        <v>9.5092614720122204E-2</v>
      </c>
      <c r="L152">
        <v>2024.80224011267</v>
      </c>
      <c r="M152">
        <v>35.610495232380103</v>
      </c>
      <c r="N152">
        <v>57.2383077626153</v>
      </c>
      <c r="O152">
        <v>56.681291783841601</v>
      </c>
      <c r="P152">
        <v>-0.140584199048192</v>
      </c>
      <c r="Q152">
        <v>0.104930463331839</v>
      </c>
      <c r="R152">
        <v>0.99870595514553595</v>
      </c>
      <c r="S152" t="s">
        <v>7155</v>
      </c>
      <c r="T152" t="s">
        <v>14004</v>
      </c>
      <c r="U152" t="s">
        <v>14004</v>
      </c>
      <c r="V152" t="s">
        <v>14004</v>
      </c>
      <c r="W152" t="s">
        <v>14156</v>
      </c>
      <c r="X152">
        <v>14</v>
      </c>
      <c r="Y152" t="s">
        <v>21091</v>
      </c>
      <c r="Z152" t="s">
        <v>27862</v>
      </c>
      <c r="AA152">
        <v>0.61230386560303807</v>
      </c>
      <c r="AB152" t="str">
        <f>HYPERLINK("Melting_Curves/meltCurve_B4DGU4_CTNNB1.pdf", "Melting_Curves/meltCurve_B4DGU4_CTNNB1.pdf")</f>
        <v>Melting_Curves/meltCurve_B4DGU4_CTNNB1.pdf</v>
      </c>
    </row>
    <row r="153" spans="1:28" x14ac:dyDescent="0.25">
      <c r="A153" t="s">
        <v>157</v>
      </c>
      <c r="B153">
        <v>0.99999676499088797</v>
      </c>
      <c r="C153">
        <v>1.08193771372015</v>
      </c>
      <c r="D153">
        <v>1.0255032543160201</v>
      </c>
      <c r="E153">
        <v>0.917683507357964</v>
      </c>
      <c r="F153">
        <v>0.46969941532600901</v>
      </c>
      <c r="G153">
        <v>0.198165985456527</v>
      </c>
      <c r="H153">
        <v>9.6453151016065303E-2</v>
      </c>
      <c r="I153">
        <v>7.0497839196444506E-2</v>
      </c>
      <c r="J153">
        <v>5.3612272281308097E-2</v>
      </c>
      <c r="K153">
        <v>4.1679634698164998E-2</v>
      </c>
      <c r="L153">
        <v>1636.81703215943</v>
      </c>
      <c r="M153">
        <v>30.9312993731942</v>
      </c>
      <c r="N153">
        <v>53.155343324561599</v>
      </c>
      <c r="O153">
        <v>52.6980889185309</v>
      </c>
      <c r="P153">
        <v>-0.13726792070402999</v>
      </c>
      <c r="Q153">
        <v>6.4543861038287603E-2</v>
      </c>
      <c r="R153">
        <v>0.99411143195543905</v>
      </c>
      <c r="S153" t="s">
        <v>7156</v>
      </c>
      <c r="T153" t="s">
        <v>14004</v>
      </c>
      <c r="U153" t="s">
        <v>14004</v>
      </c>
      <c r="V153" t="s">
        <v>14004</v>
      </c>
      <c r="W153" t="s">
        <v>14157</v>
      </c>
      <c r="X153">
        <v>12</v>
      </c>
      <c r="Y153" t="s">
        <v>21092</v>
      </c>
      <c r="Z153" t="s">
        <v>27863</v>
      </c>
      <c r="AA153">
        <v>0.4730517984515446</v>
      </c>
      <c r="AB153" t="str">
        <f>HYPERLINK("Melting_Curves/meltCurve_B4DGX2_PIP4K2A.pdf", "Melting_Curves/meltCurve_B4DGX2_PIP4K2A.pdf")</f>
        <v>Melting_Curves/meltCurve_B4DGX2_PIP4K2A.pdf</v>
      </c>
    </row>
    <row r="154" spans="1:28" x14ac:dyDescent="0.25">
      <c r="A154" t="s">
        <v>158</v>
      </c>
      <c r="B154">
        <v>0.99999676499088797</v>
      </c>
      <c r="C154">
        <v>0.93818913167920004</v>
      </c>
      <c r="D154">
        <v>0.87745304664728396</v>
      </c>
      <c r="E154">
        <v>0.44822044991103499</v>
      </c>
      <c r="F154">
        <v>0.26422242119345202</v>
      </c>
      <c r="G154">
        <v>0.19826975835029201</v>
      </c>
      <c r="H154">
        <v>0.12864623439626799</v>
      </c>
      <c r="I154">
        <v>9.7027787685541003E-2</v>
      </c>
      <c r="J154">
        <v>9.8560525657227699E-2</v>
      </c>
      <c r="K154">
        <v>7.4272455190473194E-2</v>
      </c>
      <c r="L154">
        <v>1069.8037791674001</v>
      </c>
      <c r="M154">
        <v>21.822960387615598</v>
      </c>
      <c r="N154">
        <v>49.562440278076799</v>
      </c>
      <c r="O154">
        <v>48.615870295898702</v>
      </c>
      <c r="P154">
        <v>-0.10034005771575499</v>
      </c>
      <c r="Q154">
        <v>0.105894606047867</v>
      </c>
      <c r="R154">
        <v>0.99246376136486403</v>
      </c>
      <c r="S154" t="s">
        <v>7157</v>
      </c>
      <c r="T154" t="s">
        <v>14004</v>
      </c>
      <c r="U154" t="s">
        <v>14004</v>
      </c>
      <c r="V154" t="s">
        <v>14004</v>
      </c>
      <c r="W154" t="s">
        <v>14158</v>
      </c>
      <c r="X154">
        <v>2</v>
      </c>
      <c r="Y154" t="s">
        <v>21093</v>
      </c>
      <c r="Z154" t="s">
        <v>27864</v>
      </c>
      <c r="AA154">
        <v>0.38525931309739608</v>
      </c>
      <c r="AB154" t="str">
        <f>HYPERLINK("Melting_Curves/meltCurve_B4DH26_DCUN1D4.pdf", "Melting_Curves/meltCurve_B4DH26_DCUN1D4.pdf")</f>
        <v>Melting_Curves/meltCurve_B4DH26_DCUN1D4.pdf</v>
      </c>
    </row>
    <row r="155" spans="1:28" x14ac:dyDescent="0.25">
      <c r="A155" t="s">
        <v>159</v>
      </c>
      <c r="B155">
        <v>0.99999676499088797</v>
      </c>
      <c r="C155">
        <v>0.94045318721864501</v>
      </c>
      <c r="D155">
        <v>0.89452283336031002</v>
      </c>
      <c r="E155">
        <v>0.60174384381442003</v>
      </c>
      <c r="F155">
        <v>0.26067181811108803</v>
      </c>
      <c r="G155">
        <v>0.155200139781275</v>
      </c>
      <c r="H155">
        <v>8.6781322967305896E-2</v>
      </c>
      <c r="I155">
        <v>8.8480721904694096E-2</v>
      </c>
      <c r="J155">
        <v>7.2751598341848203E-2</v>
      </c>
      <c r="K155">
        <v>5.9399333977949498E-2</v>
      </c>
      <c r="L155">
        <v>1091.4028390655899</v>
      </c>
      <c r="M155">
        <v>21.7508851613748</v>
      </c>
      <c r="N155">
        <v>50.525559698237302</v>
      </c>
      <c r="O155">
        <v>49.759038591762597</v>
      </c>
      <c r="P155">
        <v>-0.101678078516674</v>
      </c>
      <c r="Q155">
        <v>6.9594587241029904E-2</v>
      </c>
      <c r="R155">
        <v>0.99831529393764196</v>
      </c>
      <c r="S155" t="s">
        <v>7158</v>
      </c>
      <c r="T155" t="s">
        <v>14004</v>
      </c>
      <c r="U155" t="s">
        <v>14004</v>
      </c>
      <c r="V155" t="s">
        <v>14004</v>
      </c>
      <c r="W155" t="s">
        <v>14159</v>
      </c>
      <c r="X155">
        <v>8</v>
      </c>
      <c r="Y155" t="s">
        <v>21094</v>
      </c>
      <c r="Z155" t="s">
        <v>27865</v>
      </c>
      <c r="AA155">
        <v>0.39621843805176099</v>
      </c>
      <c r="AB155" t="str">
        <f>HYPERLINK("Melting_Curves/meltCurve_B4DH53_MAP1S.pdf", "Melting_Curves/meltCurve_B4DH53_MAP1S.pdf")</f>
        <v>Melting_Curves/meltCurve_B4DH53_MAP1S.pdf</v>
      </c>
    </row>
    <row r="156" spans="1:28" x14ac:dyDescent="0.25">
      <c r="A156" t="s">
        <v>160</v>
      </c>
      <c r="B156">
        <v>0.99999676499088797</v>
      </c>
      <c r="C156">
        <v>1.056286745158</v>
      </c>
      <c r="D156">
        <v>0.85796888070380695</v>
      </c>
      <c r="E156">
        <v>1.1530084081849401</v>
      </c>
      <c r="F156">
        <v>0.79404676790043305</v>
      </c>
      <c r="G156">
        <v>0.38123221381321998</v>
      </c>
      <c r="H156">
        <v>0.17035187684890801</v>
      </c>
      <c r="I156">
        <v>0.11264128270342599</v>
      </c>
      <c r="J156">
        <v>0.11503093618887</v>
      </c>
      <c r="K156">
        <v>7.4559142743852502E-2</v>
      </c>
      <c r="L156">
        <v>1889.3456332978801</v>
      </c>
      <c r="M156">
        <v>34.093401680663703</v>
      </c>
      <c r="N156">
        <v>55.8001249784229</v>
      </c>
      <c r="O156">
        <v>55.227135596980702</v>
      </c>
      <c r="P156">
        <v>-0.13821822343059201</v>
      </c>
      <c r="Q156">
        <v>0.10441712187592</v>
      </c>
      <c r="R156">
        <v>0.96897251252426797</v>
      </c>
      <c r="S156" t="s">
        <v>7159</v>
      </c>
      <c r="T156" t="s">
        <v>14004</v>
      </c>
      <c r="U156" t="s">
        <v>14004</v>
      </c>
      <c r="V156" t="s">
        <v>14004</v>
      </c>
      <c r="W156" t="s">
        <v>14160</v>
      </c>
      <c r="X156">
        <v>1</v>
      </c>
      <c r="Y156" t="s">
        <v>21095</v>
      </c>
      <c r="Z156" t="s">
        <v>27866</v>
      </c>
      <c r="AA156">
        <v>0.56932040787225269</v>
      </c>
      <c r="AB156" t="str">
        <f>HYPERLINK("Melting_Curves/meltCurve_B4DH70_FBXW11.pdf", "Melting_Curves/meltCurve_B4DH70_FBXW11.pdf")</f>
        <v>Melting_Curves/meltCurve_B4DH70_FBXW11.pdf</v>
      </c>
    </row>
    <row r="157" spans="1:28" x14ac:dyDescent="0.25">
      <c r="A157" t="s">
        <v>161</v>
      </c>
      <c r="B157">
        <v>0.99999676499088797</v>
      </c>
      <c r="C157">
        <v>1.31347925640133</v>
      </c>
      <c r="D157">
        <v>1.170509563732</v>
      </c>
      <c r="E157">
        <v>0.452431008929226</v>
      </c>
      <c r="F157">
        <v>0.35849352922828698</v>
      </c>
      <c r="G157">
        <v>0.32791710380051597</v>
      </c>
      <c r="H157">
        <v>0.227702157028354</v>
      </c>
      <c r="I157">
        <v>0.21182384100417501</v>
      </c>
      <c r="J157">
        <v>0.129032760948743</v>
      </c>
      <c r="K157">
        <v>0.184832782438899</v>
      </c>
      <c r="L157">
        <v>11261.473044410999</v>
      </c>
      <c r="M157">
        <v>227.992542824743</v>
      </c>
      <c r="N157">
        <v>49.536092492890802</v>
      </c>
      <c r="O157">
        <v>49.390239959662601</v>
      </c>
      <c r="P157">
        <v>-0.87710574087151205</v>
      </c>
      <c r="Q157">
        <v>0.239967008956807</v>
      </c>
      <c r="R157">
        <v>0.90775483963438997</v>
      </c>
      <c r="S157" t="s">
        <v>7160</v>
      </c>
      <c r="T157" t="s">
        <v>14004</v>
      </c>
      <c r="U157" t="s">
        <v>14004</v>
      </c>
      <c r="V157" t="s">
        <v>14004</v>
      </c>
      <c r="W157" t="s">
        <v>14161</v>
      </c>
      <c r="X157">
        <v>1</v>
      </c>
      <c r="Y157" t="s">
        <v>21096</v>
      </c>
      <c r="Z157" t="s">
        <v>27867</v>
      </c>
      <c r="AA157">
        <v>0.47803893630482019</v>
      </c>
      <c r="AB157" t="str">
        <f>HYPERLINK("Melting_Curves/meltCurve_B4DHJ7_BNIP3.pdf", "Melting_Curves/meltCurve_B4DHJ7_BNIP3.pdf")</f>
        <v>Melting_Curves/meltCurve_B4DHJ7_BNIP3.pdf</v>
      </c>
    </row>
    <row r="158" spans="1:28" x14ac:dyDescent="0.25">
      <c r="A158" t="s">
        <v>162</v>
      </c>
      <c r="B158">
        <v>0.99999676499088797</v>
      </c>
      <c r="C158">
        <v>1.00505633680057</v>
      </c>
      <c r="D158">
        <v>0.96758267720621305</v>
      </c>
      <c r="E158">
        <v>0.77356637407559403</v>
      </c>
      <c r="F158">
        <v>0.22041247438534101</v>
      </c>
      <c r="G158">
        <v>0.13816668523064801</v>
      </c>
      <c r="H158">
        <v>6.0815996485399801E-2</v>
      </c>
      <c r="I158">
        <v>7.0446807749677404E-2</v>
      </c>
      <c r="J158">
        <v>7.6758195123726003E-2</v>
      </c>
      <c r="K158">
        <v>5.4301225085074602E-2</v>
      </c>
      <c r="L158">
        <v>1945.83774892001</v>
      </c>
      <c r="M158">
        <v>38.142406732206503</v>
      </c>
      <c r="N158">
        <v>51.229482128893302</v>
      </c>
      <c r="O158">
        <v>50.875453196268403</v>
      </c>
      <c r="P158">
        <v>-0.17360351854408701</v>
      </c>
      <c r="Q158">
        <v>7.3772622537865595E-2</v>
      </c>
      <c r="R158">
        <v>0.99808050416395</v>
      </c>
      <c r="S158" t="s">
        <v>7161</v>
      </c>
      <c r="T158" t="s">
        <v>14004</v>
      </c>
      <c r="U158" t="s">
        <v>14004</v>
      </c>
      <c r="V158" t="s">
        <v>14004</v>
      </c>
      <c r="W158" t="s">
        <v>14162</v>
      </c>
      <c r="X158">
        <v>20</v>
      </c>
      <c r="Y158" t="s">
        <v>21097</v>
      </c>
      <c r="Z158" t="s">
        <v>27868</v>
      </c>
      <c r="AA158">
        <v>0.41744901268347517</v>
      </c>
      <c r="AB158" t="str">
        <f>HYPERLINK("Melting_Curves/meltCurve_B4DHT5_ACSF2.pdf", "Melting_Curves/meltCurve_B4DHT5_ACSF2.pdf")</f>
        <v>Melting_Curves/meltCurve_B4DHT5_ACSF2.pdf</v>
      </c>
    </row>
    <row r="159" spans="1:28" x14ac:dyDescent="0.25">
      <c r="A159" t="s">
        <v>163</v>
      </c>
      <c r="B159">
        <v>0.99999676499088797</v>
      </c>
      <c r="C159">
        <v>0.95339428027236905</v>
      </c>
      <c r="D159">
        <v>0.986731140508191</v>
      </c>
      <c r="E159">
        <v>1.0307939291063399</v>
      </c>
      <c r="F159">
        <v>1.0541136725036799</v>
      </c>
      <c r="G159">
        <v>0.89816714624513405</v>
      </c>
      <c r="H159">
        <v>0.42952865353914699</v>
      </c>
      <c r="I159">
        <v>0.175298729155972</v>
      </c>
      <c r="J159">
        <v>6.3307969965749E-2</v>
      </c>
      <c r="K159">
        <v>3.94162785810186E-2</v>
      </c>
      <c r="L159">
        <v>2111.2390460104598</v>
      </c>
      <c r="M159">
        <v>35.0592717033215</v>
      </c>
      <c r="N159">
        <v>60.374144075793303</v>
      </c>
      <c r="O159">
        <v>60.024227981807002</v>
      </c>
      <c r="P159">
        <v>-0.13973700539924799</v>
      </c>
      <c r="Q159">
        <v>4.3040505487068899E-2</v>
      </c>
      <c r="R159">
        <v>0.99508967459975906</v>
      </c>
      <c r="S159" t="s">
        <v>7162</v>
      </c>
      <c r="T159" t="s">
        <v>14004</v>
      </c>
      <c r="U159" t="s">
        <v>14004</v>
      </c>
      <c r="V159" t="s">
        <v>14004</v>
      </c>
      <c r="W159" t="s">
        <v>14163</v>
      </c>
      <c r="X159">
        <v>10</v>
      </c>
      <c r="Y159" t="s">
        <v>21098</v>
      </c>
      <c r="Z159" t="s">
        <v>27869</v>
      </c>
      <c r="AA159">
        <v>0.69261363637050388</v>
      </c>
      <c r="AB159" t="str">
        <f>HYPERLINK("Melting_Curves/meltCurve_B4DJA5_RAB5A.pdf", "Melting_Curves/meltCurve_B4DJA5_RAB5A.pdf")</f>
        <v>Melting_Curves/meltCurve_B4DJA5_RAB5A.pdf</v>
      </c>
    </row>
    <row r="160" spans="1:28" x14ac:dyDescent="0.25">
      <c r="A160" t="s">
        <v>164</v>
      </c>
      <c r="B160">
        <v>0.99999676499088797</v>
      </c>
      <c r="C160">
        <v>0.91069856650942105</v>
      </c>
      <c r="D160">
        <v>0.87692297606545899</v>
      </c>
      <c r="E160">
        <v>0.59909527546393504</v>
      </c>
      <c r="F160">
        <v>0.46286549167819002</v>
      </c>
      <c r="G160">
        <v>0.33756245925955403</v>
      </c>
      <c r="H160">
        <v>0.15469640480810801</v>
      </c>
      <c r="I160">
        <v>5.9498314794343303E-2</v>
      </c>
      <c r="J160">
        <v>4.87726842606276E-2</v>
      </c>
      <c r="K160">
        <v>3.2277738457661097E-2</v>
      </c>
      <c r="L160">
        <v>627.88606415739196</v>
      </c>
      <c r="M160">
        <v>12.0018854457962</v>
      </c>
      <c r="N160">
        <v>52.315639816752402</v>
      </c>
      <c r="O160">
        <v>50.926707904249099</v>
      </c>
      <c r="P160">
        <v>-5.8931636544037401E-2</v>
      </c>
      <c r="Q160">
        <v>0</v>
      </c>
      <c r="R160">
        <v>0.99094851756372704</v>
      </c>
      <c r="S160" t="s">
        <v>7163</v>
      </c>
      <c r="T160" t="s">
        <v>14004</v>
      </c>
      <c r="U160" t="s">
        <v>14004</v>
      </c>
      <c r="V160" t="s">
        <v>14004</v>
      </c>
      <c r="W160" t="s">
        <v>14164</v>
      </c>
      <c r="X160">
        <v>3</v>
      </c>
      <c r="Y160" t="s">
        <v>21099</v>
      </c>
      <c r="Z160" t="s">
        <v>27870</v>
      </c>
      <c r="AA160">
        <v>0.44046320955025242</v>
      </c>
      <c r="AB160" t="str">
        <f>HYPERLINK("Melting_Curves/meltCurve_B4DJI5_ISCA1.pdf", "Melting_Curves/meltCurve_B4DJI5_ISCA1.pdf")</f>
        <v>Melting_Curves/meltCurve_B4DJI5_ISCA1.pdf</v>
      </c>
    </row>
    <row r="161" spans="1:28" x14ac:dyDescent="0.25">
      <c r="A161" t="s">
        <v>165</v>
      </c>
      <c r="B161">
        <v>0.99999676499088797</v>
      </c>
      <c r="C161">
        <v>1.0427277713257299</v>
      </c>
      <c r="D161">
        <v>1.3835400323586999</v>
      </c>
      <c r="E161">
        <v>1.35412358177772</v>
      </c>
      <c r="F161">
        <v>1.2701561496603899</v>
      </c>
      <c r="G161">
        <v>1.0514898840195299</v>
      </c>
      <c r="H161">
        <v>0.52995435187282902</v>
      </c>
      <c r="I161">
        <v>0.31480049658244103</v>
      </c>
      <c r="J161">
        <v>0.206211102849095</v>
      </c>
      <c r="K161">
        <v>0.27171790770487902</v>
      </c>
      <c r="L161">
        <v>5023.6457523143599</v>
      </c>
      <c r="M161">
        <v>83.167378571352302</v>
      </c>
      <c r="N161">
        <v>60.945646818763898</v>
      </c>
      <c r="O161">
        <v>60.369143022347203</v>
      </c>
      <c r="P161">
        <v>-0.25444362272570098</v>
      </c>
      <c r="Q161">
        <v>0.26122275347151303</v>
      </c>
      <c r="R161">
        <v>0.81783494611056995</v>
      </c>
      <c r="S161" t="s">
        <v>7164</v>
      </c>
      <c r="T161" t="s">
        <v>14004</v>
      </c>
      <c r="U161" t="s">
        <v>14004</v>
      </c>
      <c r="V161" t="s">
        <v>14004</v>
      </c>
      <c r="W161" t="s">
        <v>14165</v>
      </c>
      <c r="X161">
        <v>2</v>
      </c>
      <c r="Y161" t="s">
        <v>21100</v>
      </c>
      <c r="Z161" t="s">
        <v>27871</v>
      </c>
      <c r="AA161">
        <v>0.76439944683806071</v>
      </c>
      <c r="AB161" t="str">
        <f>HYPERLINK("Melting_Curves/meltCurve_B4DJN2_SLC25A14.pdf", "Melting_Curves/meltCurve_B4DJN2_SLC25A14.pdf")</f>
        <v>Melting_Curves/meltCurve_B4DJN2_SLC25A14.pdf</v>
      </c>
    </row>
    <row r="162" spans="1:28" x14ac:dyDescent="0.25">
      <c r="A162" t="s">
        <v>166</v>
      </c>
      <c r="B162">
        <v>0.99999676499088797</v>
      </c>
      <c r="C162">
        <v>1.9384003549987301</v>
      </c>
      <c r="D162">
        <v>1.87501626204379</v>
      </c>
      <c r="E162">
        <v>2.2135401341008798</v>
      </c>
      <c r="F162">
        <v>0.43731490931454098</v>
      </c>
      <c r="G162">
        <v>0.53872979191286896</v>
      </c>
      <c r="H162">
        <v>0.38066247382335</v>
      </c>
      <c r="I162">
        <v>0.59729741334995901</v>
      </c>
      <c r="J162">
        <v>0.53980019468016305</v>
      </c>
      <c r="K162">
        <v>0.68747649365038899</v>
      </c>
      <c r="L162">
        <v>6576.0596334890597</v>
      </c>
      <c r="M162">
        <v>126.842125454292</v>
      </c>
      <c r="O162">
        <v>51.831561019959302</v>
      </c>
      <c r="P162">
        <v>-0.28841496996601101</v>
      </c>
      <c r="Q162">
        <v>0.52857939609577698</v>
      </c>
      <c r="R162">
        <v>0.29173878639968798</v>
      </c>
      <c r="S162" t="s">
        <v>7165</v>
      </c>
      <c r="T162" t="s">
        <v>14004</v>
      </c>
      <c r="U162" t="s">
        <v>14004</v>
      </c>
      <c r="V162" t="s">
        <v>14004</v>
      </c>
      <c r="W162" t="s">
        <v>14166</v>
      </c>
      <c r="X162">
        <v>3</v>
      </c>
      <c r="Y162" t="s">
        <v>21101</v>
      </c>
      <c r="Z162" t="s">
        <v>27872</v>
      </c>
      <c r="AA162">
        <v>0.71486997810931696</v>
      </c>
      <c r="AB162" t="str">
        <f>HYPERLINK("Melting_Curves/meltCurve_B4DJN5_PRKCH.pdf", "Melting_Curves/meltCurve_B4DJN5_PRKCH.pdf")</f>
        <v>Melting_Curves/meltCurve_B4DJN5_PRKCH.pdf</v>
      </c>
    </row>
    <row r="163" spans="1:28" x14ac:dyDescent="0.25">
      <c r="A163" t="s">
        <v>167</v>
      </c>
      <c r="B163">
        <v>0.99999676499088797</v>
      </c>
      <c r="C163">
        <v>0.95248099269275599</v>
      </c>
      <c r="D163">
        <v>0.85246066398429299</v>
      </c>
      <c r="E163">
        <v>0.77165561921275705</v>
      </c>
      <c r="F163">
        <v>0.68997874633803302</v>
      </c>
      <c r="G163">
        <v>0.85367978467064198</v>
      </c>
      <c r="H163">
        <v>0.49582075596789599</v>
      </c>
      <c r="I163">
        <v>0.59590147717048503</v>
      </c>
      <c r="J163">
        <v>0.46981286245934301</v>
      </c>
      <c r="K163">
        <v>0.27602380625622702</v>
      </c>
      <c r="L163">
        <v>357.50755661984999</v>
      </c>
      <c r="M163">
        <v>5.5704713945067796</v>
      </c>
      <c r="N163">
        <v>64.179055083628796</v>
      </c>
      <c r="O163">
        <v>57.334835245794999</v>
      </c>
      <c r="P163">
        <v>-2.43915200552932E-2</v>
      </c>
      <c r="Q163">
        <v>0</v>
      </c>
      <c r="R163">
        <v>0.85083143705515496</v>
      </c>
      <c r="S163" t="s">
        <v>7166</v>
      </c>
      <c r="T163" t="s">
        <v>14004</v>
      </c>
      <c r="U163" t="s">
        <v>14004</v>
      </c>
      <c r="V163" t="s">
        <v>14004</v>
      </c>
      <c r="W163" t="s">
        <v>14167</v>
      </c>
      <c r="X163">
        <v>10</v>
      </c>
      <c r="Y163" t="s">
        <v>21102</v>
      </c>
      <c r="Z163" t="s">
        <v>27873</v>
      </c>
      <c r="AA163">
        <v>0.7033136554768169</v>
      </c>
      <c r="AB163" t="str">
        <f>HYPERLINK("Melting_Curves/meltCurve_B4DJP7_SNRPD3.pdf", "Melting_Curves/meltCurve_B4DJP7_SNRPD3.pdf")</f>
        <v>Melting_Curves/meltCurve_B4DJP7_SNRPD3.pdf</v>
      </c>
    </row>
    <row r="164" spans="1:28" x14ac:dyDescent="0.25">
      <c r="A164" t="s">
        <v>168</v>
      </c>
      <c r="B164">
        <v>0.99999676499088797</v>
      </c>
      <c r="C164">
        <v>1.00469663960563</v>
      </c>
      <c r="D164">
        <v>0.989932621150727</v>
      </c>
      <c r="E164">
        <v>0.85858168273091395</v>
      </c>
      <c r="F164">
        <v>0.46967677491951998</v>
      </c>
      <c r="G164">
        <v>0.20644044463658601</v>
      </c>
      <c r="H164">
        <v>9.8738539986701096E-2</v>
      </c>
      <c r="I164">
        <v>8.8701620383246998E-2</v>
      </c>
      <c r="J164">
        <v>8.6360830092279503E-2</v>
      </c>
      <c r="K164">
        <v>6.5386743925006402E-2</v>
      </c>
      <c r="L164">
        <v>1409.64975633829</v>
      </c>
      <c r="M164">
        <v>26.756923529484201</v>
      </c>
      <c r="N164">
        <v>53.016163782757502</v>
      </c>
      <c r="O164">
        <v>52.391919816123703</v>
      </c>
      <c r="P164">
        <v>-0.117812295858379</v>
      </c>
      <c r="Q164">
        <v>7.7270850680701095E-2</v>
      </c>
      <c r="R164">
        <v>0.99960920513566698</v>
      </c>
      <c r="S164" t="s">
        <v>7167</v>
      </c>
      <c r="T164" t="s">
        <v>14004</v>
      </c>
      <c r="U164" t="s">
        <v>14004</v>
      </c>
      <c r="V164" t="s">
        <v>14004</v>
      </c>
      <c r="W164" t="s">
        <v>14168</v>
      </c>
      <c r="X164">
        <v>22</v>
      </c>
      <c r="Y164" t="s">
        <v>21103</v>
      </c>
      <c r="Z164" t="s">
        <v>27874</v>
      </c>
      <c r="AA164">
        <v>0.47483106407257469</v>
      </c>
      <c r="AB164" t="str">
        <f>HYPERLINK("Melting_Curves/meltCurve_B4DJV2_CS.pdf", "Melting_Curves/meltCurve_B4DJV2_CS.pdf")</f>
        <v>Melting_Curves/meltCurve_B4DJV2_CS.pdf</v>
      </c>
    </row>
    <row r="165" spans="1:28" x14ac:dyDescent="0.25">
      <c r="A165" t="s">
        <v>169</v>
      </c>
      <c r="B165">
        <v>0.99999676499088797</v>
      </c>
      <c r="C165">
        <v>0.99606917716684795</v>
      </c>
      <c r="D165">
        <v>1.0119363355211599</v>
      </c>
      <c r="E165">
        <v>1.05243662202707</v>
      </c>
      <c r="F165">
        <v>1.2789371558265299</v>
      </c>
      <c r="G165">
        <v>0.90019799467019701</v>
      </c>
      <c r="H165">
        <v>0.59909685775713994</v>
      </c>
      <c r="I165">
        <v>0.47828028973619202</v>
      </c>
      <c r="J165">
        <v>0.238898990222153</v>
      </c>
      <c r="K165">
        <v>0.18357228701473899</v>
      </c>
      <c r="L165">
        <v>1598.7633701056</v>
      </c>
      <c r="M165">
        <v>25.886649519079601</v>
      </c>
      <c r="N165">
        <v>62.702827136678799</v>
      </c>
      <c r="O165">
        <v>61.395125499206699</v>
      </c>
      <c r="P165">
        <v>-8.8419425146876299E-2</v>
      </c>
      <c r="Q165">
        <v>0.161195728121202</v>
      </c>
      <c r="R165">
        <v>0.92113843108756299</v>
      </c>
      <c r="S165" t="s">
        <v>7168</v>
      </c>
      <c r="T165" t="s">
        <v>14004</v>
      </c>
      <c r="U165" t="s">
        <v>14004</v>
      </c>
      <c r="V165" t="s">
        <v>14004</v>
      </c>
      <c r="W165" t="s">
        <v>14169</v>
      </c>
      <c r="X165">
        <v>1</v>
      </c>
      <c r="Y165" t="s">
        <v>21104</v>
      </c>
      <c r="Z165" t="s">
        <v>27875</v>
      </c>
      <c r="AA165">
        <v>0.77388840309267815</v>
      </c>
      <c r="AB165" t="str">
        <f>HYPERLINK("Melting_Curves/meltCurve_B4DJZ1_SLC23A2.pdf", "Melting_Curves/meltCurve_B4DJZ1_SLC23A2.pdf")</f>
        <v>Melting_Curves/meltCurve_B4DJZ1_SLC23A2.pdf</v>
      </c>
    </row>
    <row r="166" spans="1:28" x14ac:dyDescent="0.25">
      <c r="A166" t="s">
        <v>170</v>
      </c>
      <c r="B166">
        <v>0.99999676499088797</v>
      </c>
      <c r="C166">
        <v>0.88277942103735696</v>
      </c>
      <c r="D166">
        <v>0.98555846394440805</v>
      </c>
      <c r="E166">
        <v>0.92328800159270796</v>
      </c>
      <c r="F166">
        <v>0.75617834305933296</v>
      </c>
      <c r="G166">
        <v>0.69316379248717896</v>
      </c>
      <c r="H166">
        <v>0.46239092429641299</v>
      </c>
      <c r="I166">
        <v>0.42593208239197</v>
      </c>
      <c r="J166">
        <v>0.49155654717403102</v>
      </c>
      <c r="K166">
        <v>0.583876652293704</v>
      </c>
      <c r="L166">
        <v>1076.3428271037899</v>
      </c>
      <c r="M166">
        <v>19.946989428675199</v>
      </c>
      <c r="N166">
        <v>64.760745284175798</v>
      </c>
      <c r="O166">
        <v>53.426590385949602</v>
      </c>
      <c r="P166">
        <v>-4.83466946644917E-2</v>
      </c>
      <c r="Q166">
        <v>0.48204415274975099</v>
      </c>
      <c r="R166">
        <v>0.91226763098344099</v>
      </c>
      <c r="S166" t="s">
        <v>7169</v>
      </c>
      <c r="T166" t="s">
        <v>14004</v>
      </c>
      <c r="U166" t="s">
        <v>14004</v>
      </c>
      <c r="V166" t="s">
        <v>14004</v>
      </c>
      <c r="W166" t="s">
        <v>14170</v>
      </c>
      <c r="X166">
        <v>2</v>
      </c>
      <c r="Y166" t="s">
        <v>21105</v>
      </c>
      <c r="Z166" t="s">
        <v>27876</v>
      </c>
      <c r="AA166">
        <v>0.73014341519256054</v>
      </c>
      <c r="AB166" t="str">
        <f>HYPERLINK("Melting_Curves/meltCurve_B4DKF9_ZNF286A.pdf", "Melting_Curves/meltCurve_B4DKF9_ZNF286A.pdf")</f>
        <v>Melting_Curves/meltCurve_B4DKF9_ZNF286A.pdf</v>
      </c>
    </row>
    <row r="167" spans="1:28" x14ac:dyDescent="0.25">
      <c r="A167" t="s">
        <v>171</v>
      </c>
      <c r="B167">
        <v>0.99999676499088797</v>
      </c>
      <c r="C167">
        <v>0.83591992659651104</v>
      </c>
      <c r="D167">
        <v>0.86689070558890602</v>
      </c>
      <c r="E167">
        <v>0.87404920026129995</v>
      </c>
      <c r="F167">
        <v>0.53905397013711698</v>
      </c>
      <c r="G167">
        <v>0.35737558868598501</v>
      </c>
      <c r="H167">
        <v>0.13403974345676101</v>
      </c>
      <c r="I167">
        <v>8.8402547536871295E-2</v>
      </c>
      <c r="J167">
        <v>8.2622415672339897E-2</v>
      </c>
      <c r="K167">
        <v>6.6684490157966306E-2</v>
      </c>
      <c r="L167">
        <v>782.41473725620904</v>
      </c>
      <c r="M167">
        <v>14.473173723485401</v>
      </c>
      <c r="N167">
        <v>54.1344318834524</v>
      </c>
      <c r="O167">
        <v>53.059047451064401</v>
      </c>
      <c r="P167">
        <v>-6.7526641445425598E-2</v>
      </c>
      <c r="Q167">
        <v>9.8970600803207492E-3</v>
      </c>
      <c r="R167">
        <v>0.97371462321973701</v>
      </c>
      <c r="S167" t="s">
        <v>7170</v>
      </c>
      <c r="T167" t="s">
        <v>14004</v>
      </c>
      <c r="U167" t="s">
        <v>14004</v>
      </c>
      <c r="V167" t="s">
        <v>14004</v>
      </c>
      <c r="W167" t="s">
        <v>14171</v>
      </c>
      <c r="X167">
        <v>9</v>
      </c>
      <c r="Y167" t="s">
        <v>21106</v>
      </c>
      <c r="Z167" t="s">
        <v>27877</v>
      </c>
      <c r="AA167">
        <v>0.49505358926126047</v>
      </c>
      <c r="AB167" t="str">
        <f>HYPERLINK("Melting_Curves/meltCurve_B4DL54_CHURC1_FNTB.pdf", "Melting_Curves/meltCurve_B4DL54_CHURC1_FNTB.pdf")</f>
        <v>Melting_Curves/meltCurve_B4DL54_CHURC1_FNTB.pdf</v>
      </c>
    </row>
    <row r="168" spans="1:28" x14ac:dyDescent="0.25">
      <c r="A168" t="s">
        <v>172</v>
      </c>
      <c r="B168">
        <v>0.99999676499088797</v>
      </c>
      <c r="C168">
        <v>0.86135253825787195</v>
      </c>
      <c r="D168">
        <v>0.96483436862059202</v>
      </c>
      <c r="E168">
        <v>0.83160175936258895</v>
      </c>
      <c r="F168">
        <v>0.58741410288024398</v>
      </c>
      <c r="G168">
        <v>0.50639954862094105</v>
      </c>
      <c r="H168">
        <v>0.28504790312620398</v>
      </c>
      <c r="I168">
        <v>0.22748983874329901</v>
      </c>
      <c r="J168">
        <v>0.181190699580696</v>
      </c>
      <c r="K168">
        <v>0.18676232360129499</v>
      </c>
      <c r="L168">
        <v>668.68803981949304</v>
      </c>
      <c r="M168">
        <v>12.206554318991801</v>
      </c>
      <c r="N168">
        <v>55.868505286418703</v>
      </c>
      <c r="O168">
        <v>53.372997336891899</v>
      </c>
      <c r="P168">
        <v>-5.1141574179869399E-2</v>
      </c>
      <c r="Q168">
        <v>0.105738023405322</v>
      </c>
      <c r="R168">
        <v>0.97930938194780004</v>
      </c>
      <c r="S168" t="s">
        <v>7171</v>
      </c>
      <c r="T168" t="s">
        <v>14004</v>
      </c>
      <c r="U168" t="s">
        <v>14004</v>
      </c>
      <c r="V168" t="s">
        <v>14004</v>
      </c>
      <c r="W168" t="s">
        <v>14172</v>
      </c>
      <c r="X168">
        <v>16</v>
      </c>
      <c r="Y168" t="s">
        <v>21107</v>
      </c>
      <c r="Z168" t="s">
        <v>27878</v>
      </c>
      <c r="AA168">
        <v>0.56758732204439755</v>
      </c>
      <c r="AB168" t="str">
        <f>HYPERLINK("Melting_Curves/meltCurve_B4DLN1_SLC25A10.pdf", "Melting_Curves/meltCurve_B4DLN1_SLC25A10.pdf")</f>
        <v>Melting_Curves/meltCurve_B4DLN1_SLC25A10.pdf</v>
      </c>
    </row>
    <row r="169" spans="1:28" x14ac:dyDescent="0.25">
      <c r="A169" t="s">
        <v>173</v>
      </c>
      <c r="B169">
        <v>0.99999676499088797</v>
      </c>
      <c r="C169">
        <v>1.05759294393697</v>
      </c>
      <c r="D169">
        <v>0.99641966064409504</v>
      </c>
      <c r="E169">
        <v>0.692578927614379</v>
      </c>
      <c r="F169">
        <v>0.28845252802398702</v>
      </c>
      <c r="G169">
        <v>0.22067407128948499</v>
      </c>
      <c r="H169">
        <v>0.120903413170382</v>
      </c>
      <c r="I169">
        <v>0.11778196975459899</v>
      </c>
      <c r="J169">
        <v>8.8992227790749404E-2</v>
      </c>
      <c r="K169">
        <v>0.10376658187872199</v>
      </c>
      <c r="L169">
        <v>1477.4812351177</v>
      </c>
      <c r="M169">
        <v>29.107191837261801</v>
      </c>
      <c r="N169">
        <v>51.232799320025997</v>
      </c>
      <c r="O169">
        <v>50.522214007867099</v>
      </c>
      <c r="P169">
        <v>-0.12706930880144299</v>
      </c>
      <c r="Q169">
        <v>0.117774490933615</v>
      </c>
      <c r="R169">
        <v>0.99311928015920703</v>
      </c>
      <c r="S169" t="s">
        <v>7172</v>
      </c>
      <c r="T169" t="s">
        <v>14004</v>
      </c>
      <c r="U169" t="s">
        <v>14004</v>
      </c>
      <c r="V169" t="s">
        <v>14004</v>
      </c>
      <c r="W169" t="s">
        <v>14173</v>
      </c>
      <c r="X169">
        <v>7</v>
      </c>
      <c r="Y169" t="s">
        <v>21108</v>
      </c>
      <c r="Z169" t="s">
        <v>27879</v>
      </c>
      <c r="AA169">
        <v>0.44006990047841038</v>
      </c>
      <c r="AB169" t="str">
        <f>HYPERLINK("Melting_Curves/meltCurve_B4DLT4_RPS6KB1.pdf", "Melting_Curves/meltCurve_B4DLT4_RPS6KB1.pdf")</f>
        <v>Melting_Curves/meltCurve_B4DLT4_RPS6KB1.pdf</v>
      </c>
    </row>
    <row r="170" spans="1:28" x14ac:dyDescent="0.25">
      <c r="A170" t="s">
        <v>174</v>
      </c>
      <c r="B170">
        <v>0.99999676499088797</v>
      </c>
      <c r="C170">
        <v>1.0180652768923399</v>
      </c>
      <c r="D170">
        <v>0.93338989695885299</v>
      </c>
      <c r="E170">
        <v>0.85487454159572895</v>
      </c>
      <c r="F170">
        <v>0.38487654963128298</v>
      </c>
      <c r="G170">
        <v>0.244470467545957</v>
      </c>
      <c r="H170">
        <v>0.10370342590409699</v>
      </c>
      <c r="I170">
        <v>8.8251596197251106E-2</v>
      </c>
      <c r="J170">
        <v>8.7613366814375496E-2</v>
      </c>
      <c r="K170">
        <v>9.8682394447140206E-2</v>
      </c>
      <c r="L170">
        <v>1403.22164089644</v>
      </c>
      <c r="M170">
        <v>26.919832422357</v>
      </c>
      <c r="N170">
        <v>52.541355739176602</v>
      </c>
      <c r="O170">
        <v>51.840842667321397</v>
      </c>
      <c r="P170">
        <v>-0.11737621951433599</v>
      </c>
      <c r="Q170">
        <v>9.5860478179392195E-2</v>
      </c>
      <c r="R170">
        <v>0.99392988758329004</v>
      </c>
      <c r="S170" t="s">
        <v>7173</v>
      </c>
      <c r="T170" t="s">
        <v>14004</v>
      </c>
      <c r="U170" t="s">
        <v>14004</v>
      </c>
      <c r="V170" t="s">
        <v>14004</v>
      </c>
      <c r="W170" t="s">
        <v>14174</v>
      </c>
      <c r="X170">
        <v>6</v>
      </c>
      <c r="Y170" t="s">
        <v>21109</v>
      </c>
      <c r="Z170" t="s">
        <v>27880</v>
      </c>
      <c r="AA170">
        <v>0.46847371063758853</v>
      </c>
      <c r="AB170" t="str">
        <f>HYPERLINK("Melting_Curves/meltCurve_B4DLU3_PGS1.pdf", "Melting_Curves/meltCurve_B4DLU3_PGS1.pdf")</f>
        <v>Melting_Curves/meltCurve_B4DLU3_PGS1.pdf</v>
      </c>
    </row>
    <row r="171" spans="1:28" x14ac:dyDescent="0.25">
      <c r="A171" t="s">
        <v>175</v>
      </c>
      <c r="B171">
        <v>0.99999676499088797</v>
      </c>
      <c r="C171">
        <v>1.0482863889638701</v>
      </c>
      <c r="D171">
        <v>1.01278900029185</v>
      </c>
      <c r="E171">
        <v>0.80971689216847198</v>
      </c>
      <c r="F171">
        <v>0.38181347575559499</v>
      </c>
      <c r="G171">
        <v>0.240999493885212</v>
      </c>
      <c r="H171">
        <v>0.15157825357579599</v>
      </c>
      <c r="I171">
        <v>0.208740341826505</v>
      </c>
      <c r="J171">
        <v>0.22537272356932</v>
      </c>
      <c r="K171">
        <v>0.33143848786911301</v>
      </c>
      <c r="L171">
        <v>1929.09576238203</v>
      </c>
      <c r="M171">
        <v>37.725594267191603</v>
      </c>
      <c r="N171">
        <v>51.977640010732003</v>
      </c>
      <c r="O171">
        <v>50.991888875588302</v>
      </c>
      <c r="P171">
        <v>-0.14264620729788699</v>
      </c>
      <c r="Q171">
        <v>0.228769706480353</v>
      </c>
      <c r="R171">
        <v>0.98416077911308597</v>
      </c>
      <c r="S171" t="s">
        <v>7174</v>
      </c>
      <c r="T171" t="s">
        <v>14004</v>
      </c>
      <c r="U171" t="s">
        <v>14004</v>
      </c>
      <c r="V171" t="s">
        <v>14004</v>
      </c>
      <c r="W171" t="s">
        <v>14175</v>
      </c>
      <c r="X171">
        <v>3</v>
      </c>
      <c r="Y171" t="s">
        <v>21110</v>
      </c>
      <c r="Z171" t="s">
        <v>27881</v>
      </c>
      <c r="AA171">
        <v>0.51808969838713614</v>
      </c>
      <c r="AB171" t="str">
        <f>HYPERLINK("Melting_Curves/meltCurve_B4DLZ9_RNF220.pdf", "Melting_Curves/meltCurve_B4DLZ9_RNF220.pdf")</f>
        <v>Melting_Curves/meltCurve_B4DLZ9_RNF220.pdf</v>
      </c>
    </row>
    <row r="172" spans="1:28" x14ac:dyDescent="0.25">
      <c r="A172" t="s">
        <v>176</v>
      </c>
      <c r="B172">
        <v>0.99999676499088797</v>
      </c>
      <c r="C172">
        <v>0.90819261530800899</v>
      </c>
      <c r="D172">
        <v>0.95569048136371004</v>
      </c>
      <c r="E172">
        <v>1.05161684738762</v>
      </c>
      <c r="F172">
        <v>0.33591057565579002</v>
      </c>
      <c r="G172">
        <v>0.145368795875228</v>
      </c>
      <c r="H172">
        <v>3.7643751832166998E-2</v>
      </c>
      <c r="I172">
        <v>0</v>
      </c>
      <c r="J172">
        <v>0</v>
      </c>
      <c r="K172">
        <v>0</v>
      </c>
      <c r="L172">
        <v>5761.2173451995905</v>
      </c>
      <c r="M172">
        <v>109.087821464461</v>
      </c>
      <c r="N172">
        <v>52.849329960275497</v>
      </c>
      <c r="O172">
        <v>52.794911980308399</v>
      </c>
      <c r="P172">
        <v>-0.49773611666690898</v>
      </c>
      <c r="Q172">
        <v>3.6448504407576202E-2</v>
      </c>
      <c r="R172">
        <v>0.98564668043235104</v>
      </c>
      <c r="S172" t="s">
        <v>7175</v>
      </c>
      <c r="T172" t="s">
        <v>14004</v>
      </c>
      <c r="U172" t="s">
        <v>14004</v>
      </c>
      <c r="V172" t="s">
        <v>14004</v>
      </c>
      <c r="W172" t="s">
        <v>14176</v>
      </c>
      <c r="X172">
        <v>1</v>
      </c>
      <c r="Y172" t="s">
        <v>21111</v>
      </c>
      <c r="Z172" t="s">
        <v>27882</v>
      </c>
      <c r="AA172">
        <v>0.44843971402715233</v>
      </c>
      <c r="AB172" t="str">
        <f>HYPERLINK("Melting_Curves/meltCurve_B4DMM8_B4GALT1.pdf", "Melting_Curves/meltCurve_B4DMM8_B4GALT1.pdf")</f>
        <v>Melting_Curves/meltCurve_B4DMM8_B4GALT1.pdf</v>
      </c>
    </row>
    <row r="173" spans="1:28" x14ac:dyDescent="0.25">
      <c r="A173" t="s">
        <v>177</v>
      </c>
      <c r="B173">
        <v>0.99999676499088797</v>
      </c>
      <c r="C173">
        <v>1.020552027635</v>
      </c>
      <c r="D173">
        <v>0.88723054512941002</v>
      </c>
      <c r="E173">
        <v>0.52489636718187604</v>
      </c>
      <c r="F173">
        <v>0.18706823257611499</v>
      </c>
      <c r="G173">
        <v>0.14779037612078499</v>
      </c>
      <c r="H173">
        <v>5.1413881713671103E-2</v>
      </c>
      <c r="I173">
        <v>6.9811172408484806E-2</v>
      </c>
      <c r="J173">
        <v>6.3678154607249904E-2</v>
      </c>
      <c r="K173">
        <v>4.0730171245422102E-2</v>
      </c>
      <c r="L173">
        <v>1282.5051184070701</v>
      </c>
      <c r="M173">
        <v>25.875863257059599</v>
      </c>
      <c r="N173">
        <v>49.823041860737298</v>
      </c>
      <c r="O173">
        <v>49.270580798418102</v>
      </c>
      <c r="P173">
        <v>-0.123025570784602</v>
      </c>
      <c r="Q173">
        <v>6.29924177557281E-2</v>
      </c>
      <c r="R173">
        <v>0.99677888466466302</v>
      </c>
      <c r="S173" t="s">
        <v>7176</v>
      </c>
      <c r="T173" t="s">
        <v>14004</v>
      </c>
      <c r="U173" t="s">
        <v>14004</v>
      </c>
      <c r="V173" t="s">
        <v>14004</v>
      </c>
      <c r="W173" t="s">
        <v>14177</v>
      </c>
      <c r="X173">
        <v>4</v>
      </c>
      <c r="Y173" t="s">
        <v>21112</v>
      </c>
      <c r="Z173" t="s">
        <v>27883</v>
      </c>
      <c r="AA173">
        <v>0.3694790187744561</v>
      </c>
      <c r="AB173" t="str">
        <f>HYPERLINK("Melting_Curves/meltCurve_B4DN34_MRPL48.pdf", "Melting_Curves/meltCurve_B4DN34_MRPL48.pdf")</f>
        <v>Melting_Curves/meltCurve_B4DN34_MRPL48.pdf</v>
      </c>
    </row>
    <row r="174" spans="1:28" x14ac:dyDescent="0.25">
      <c r="A174" t="s">
        <v>178</v>
      </c>
      <c r="B174">
        <v>0.99999676499088797</v>
      </c>
      <c r="C174">
        <v>0.93043128607199299</v>
      </c>
      <c r="D174">
        <v>0.97989239876244705</v>
      </c>
      <c r="E174">
        <v>1.02205444434292</v>
      </c>
      <c r="F174">
        <v>0.98165888942798696</v>
      </c>
      <c r="G174">
        <v>0.860658487450217</v>
      </c>
      <c r="H174">
        <v>0.60822690117156297</v>
      </c>
      <c r="I174">
        <v>0.55009231433494299</v>
      </c>
      <c r="J174">
        <v>0.43870779833149198</v>
      </c>
      <c r="K174">
        <v>0.53319225870626996</v>
      </c>
      <c r="L174">
        <v>1862.42501550361</v>
      </c>
      <c r="M174">
        <v>31.8043728618103</v>
      </c>
      <c r="N174">
        <v>67.197296552035993</v>
      </c>
      <c r="O174">
        <v>58.3287187661332</v>
      </c>
      <c r="P174">
        <v>-6.9300490505221704E-2</v>
      </c>
      <c r="Q174">
        <v>0.49161859407640501</v>
      </c>
      <c r="R174">
        <v>0.97512556681890805</v>
      </c>
      <c r="S174" t="s">
        <v>7177</v>
      </c>
      <c r="T174" t="s">
        <v>14004</v>
      </c>
      <c r="U174" t="s">
        <v>14004</v>
      </c>
      <c r="V174" t="s">
        <v>14004</v>
      </c>
      <c r="W174" t="s">
        <v>14178</v>
      </c>
      <c r="X174">
        <v>19</v>
      </c>
      <c r="Y174" t="s">
        <v>21113</v>
      </c>
      <c r="Z174" t="s">
        <v>27884</v>
      </c>
      <c r="AA174">
        <v>0.80912277563133372</v>
      </c>
      <c r="AB174" t="str">
        <f>HYPERLINK("Melting_Curves/meltCurve_B4DNW0_ACY1.pdf", "Melting_Curves/meltCurve_B4DNW0_ACY1.pdf")</f>
        <v>Melting_Curves/meltCurve_B4DNW0_ACY1.pdf</v>
      </c>
    </row>
    <row r="175" spans="1:28" x14ac:dyDescent="0.25">
      <c r="A175" t="s">
        <v>179</v>
      </c>
      <c r="B175">
        <v>0.99999676499088797</v>
      </c>
      <c r="C175">
        <v>0.94784132257185705</v>
      </c>
      <c r="D175">
        <v>0.81950375456068703</v>
      </c>
      <c r="E175">
        <v>0.38099247365507199</v>
      </c>
      <c r="F175">
        <v>0.221230826076524</v>
      </c>
      <c r="G175">
        <v>0.13187423708007401</v>
      </c>
      <c r="H175">
        <v>7.5643440047001201E-2</v>
      </c>
      <c r="I175">
        <v>7.4752638087124498E-2</v>
      </c>
      <c r="J175">
        <v>7.3092535434171699E-2</v>
      </c>
      <c r="K175">
        <v>7.9071244650612896E-2</v>
      </c>
      <c r="L175">
        <v>1133.0197371469601</v>
      </c>
      <c r="M175">
        <v>23.394731286170501</v>
      </c>
      <c r="N175">
        <v>48.803909556120097</v>
      </c>
      <c r="O175">
        <v>48.080830281813299</v>
      </c>
      <c r="P175">
        <v>-0.111677702457116</v>
      </c>
      <c r="Q175">
        <v>8.1936000132573697E-2</v>
      </c>
      <c r="R175">
        <v>0.99664990619873395</v>
      </c>
      <c r="S175" t="s">
        <v>7178</v>
      </c>
      <c r="T175" t="s">
        <v>14004</v>
      </c>
      <c r="U175" t="s">
        <v>14004</v>
      </c>
      <c r="V175" t="s">
        <v>14004</v>
      </c>
      <c r="W175" t="s">
        <v>14179</v>
      </c>
      <c r="X175">
        <v>12</v>
      </c>
      <c r="Y175" t="s">
        <v>21114</v>
      </c>
      <c r="Z175" t="s">
        <v>27885</v>
      </c>
      <c r="AA175">
        <v>0.34925479488088268</v>
      </c>
      <c r="AB175" t="str">
        <f>HYPERLINK("Melting_Curves/meltCurve_B4DP21_PTGES3.pdf", "Melting_Curves/meltCurve_B4DP21_PTGES3.pdf")</f>
        <v>Melting_Curves/meltCurve_B4DP21_PTGES3.pdf</v>
      </c>
    </row>
    <row r="176" spans="1:28" x14ac:dyDescent="0.25">
      <c r="A176" t="s">
        <v>180</v>
      </c>
      <c r="B176">
        <v>0.99999676499088797</v>
      </c>
      <c r="C176">
        <v>1.0464620368906099</v>
      </c>
      <c r="D176">
        <v>0.92239030425680701</v>
      </c>
      <c r="E176">
        <v>0.35052435318448599</v>
      </c>
      <c r="F176">
        <v>0.182732701461471</v>
      </c>
      <c r="G176">
        <v>0.21160339016552501</v>
      </c>
      <c r="H176">
        <v>6.7178284645187394E-2</v>
      </c>
      <c r="I176">
        <v>3.4759070576129897E-2</v>
      </c>
      <c r="J176">
        <v>0</v>
      </c>
      <c r="K176">
        <v>0</v>
      </c>
      <c r="L176">
        <v>1724.1304009788901</v>
      </c>
      <c r="M176">
        <v>35.4410807908857</v>
      </c>
      <c r="N176">
        <v>48.8583724887838</v>
      </c>
      <c r="O176">
        <v>48.4936907704639</v>
      </c>
      <c r="P176">
        <v>-0.169769293129582</v>
      </c>
      <c r="Q176">
        <v>7.0828338797606194E-2</v>
      </c>
      <c r="R176">
        <v>0.97683833681874899</v>
      </c>
      <c r="S176" t="s">
        <v>7179</v>
      </c>
      <c r="T176" t="s">
        <v>14004</v>
      </c>
      <c r="U176" t="s">
        <v>14004</v>
      </c>
      <c r="V176" t="s">
        <v>14004</v>
      </c>
      <c r="W176" t="s">
        <v>14180</v>
      </c>
      <c r="X176">
        <v>2</v>
      </c>
      <c r="Y176" t="s">
        <v>21115</v>
      </c>
      <c r="Z176" t="s">
        <v>27886</v>
      </c>
      <c r="AA176">
        <v>0.34267312010793899</v>
      </c>
      <c r="AB176" t="str">
        <f>HYPERLINK("Melting_Curves/meltCurve_B4DPI2_SARDH.pdf", "Melting_Curves/meltCurve_B4DPI2_SARDH.pdf")</f>
        <v>Melting_Curves/meltCurve_B4DPI2_SARDH.pdf</v>
      </c>
    </row>
    <row r="177" spans="1:28" x14ac:dyDescent="0.25">
      <c r="A177" t="s">
        <v>181</v>
      </c>
      <c r="B177">
        <v>0.99999676499088797</v>
      </c>
      <c r="C177">
        <v>0.82123725735517195</v>
      </c>
      <c r="D177">
        <v>0.71771960661808198</v>
      </c>
      <c r="E177">
        <v>0.50344937833414005</v>
      </c>
      <c r="F177">
        <v>0.31648549678445298</v>
      </c>
      <c r="G177">
        <v>0.24010028534580199</v>
      </c>
      <c r="H177">
        <v>0.191163526661671</v>
      </c>
      <c r="I177">
        <v>0.18477571752576799</v>
      </c>
      <c r="J177">
        <v>0.18563645555783001</v>
      </c>
      <c r="K177">
        <v>0.24109821836289699</v>
      </c>
      <c r="L177">
        <v>716.11558855982798</v>
      </c>
      <c r="M177">
        <v>14.993528857689199</v>
      </c>
      <c r="N177">
        <v>49.253602991454201</v>
      </c>
      <c r="O177">
        <v>46.936193325248901</v>
      </c>
      <c r="P177">
        <v>-6.5292023617734396E-2</v>
      </c>
      <c r="Q177">
        <v>0.18251440054464099</v>
      </c>
      <c r="R177">
        <v>0.989169476458856</v>
      </c>
      <c r="S177" t="s">
        <v>7180</v>
      </c>
      <c r="T177" t="s">
        <v>14004</v>
      </c>
      <c r="U177" t="s">
        <v>14004</v>
      </c>
      <c r="V177" t="s">
        <v>14004</v>
      </c>
      <c r="W177" t="s">
        <v>14181</v>
      </c>
      <c r="X177">
        <v>10</v>
      </c>
      <c r="Y177" t="s">
        <v>21116</v>
      </c>
      <c r="Z177" t="s">
        <v>27887</v>
      </c>
      <c r="AA177">
        <v>0.41531610736619129</v>
      </c>
      <c r="AB177" t="str">
        <f>HYPERLINK("Melting_Curves/meltCurve_B4DPY8_TOX4.pdf", "Melting_Curves/meltCurve_B4DPY8_TOX4.pdf")</f>
        <v>Melting_Curves/meltCurve_B4DPY8_TOX4.pdf</v>
      </c>
    </row>
    <row r="178" spans="1:28" x14ac:dyDescent="0.25">
      <c r="A178" t="s">
        <v>182</v>
      </c>
      <c r="B178">
        <v>0.99999676499088797</v>
      </c>
      <c r="C178">
        <v>0.90736604885987404</v>
      </c>
      <c r="D178">
        <v>0.78636252797226303</v>
      </c>
      <c r="E178">
        <v>0.62811728449545501</v>
      </c>
      <c r="F178">
        <v>0.209430160639937</v>
      </c>
      <c r="G178">
        <v>0.12952991331396199</v>
      </c>
      <c r="H178">
        <v>6.70470461674844E-2</v>
      </c>
      <c r="I178">
        <v>4.2700572539977798E-2</v>
      </c>
      <c r="J178">
        <v>5.5619360373219601E-2</v>
      </c>
      <c r="K178">
        <v>5.9410145512582002E-2</v>
      </c>
      <c r="L178">
        <v>905.95991108567705</v>
      </c>
      <c r="M178">
        <v>18.143860233914101</v>
      </c>
      <c r="N178">
        <v>50.1267623522115</v>
      </c>
      <c r="O178">
        <v>49.337329923818601</v>
      </c>
      <c r="P178">
        <v>-8.8813568853255295E-2</v>
      </c>
      <c r="Q178">
        <v>3.4027966123590297E-2</v>
      </c>
      <c r="R178">
        <v>0.98890870467253</v>
      </c>
      <c r="S178" t="s">
        <v>7181</v>
      </c>
      <c r="T178" t="s">
        <v>14004</v>
      </c>
      <c r="U178" t="s">
        <v>14004</v>
      </c>
      <c r="V178" t="s">
        <v>14004</v>
      </c>
      <c r="W178" t="s">
        <v>14182</v>
      </c>
      <c r="X178">
        <v>1</v>
      </c>
      <c r="Y178" t="s">
        <v>21117</v>
      </c>
      <c r="Z178" t="s">
        <v>27888</v>
      </c>
      <c r="AA178">
        <v>0.37006987018675941</v>
      </c>
      <c r="AB178" t="str">
        <f>HYPERLINK("Melting_Curves/meltCurve_B4DQE7_HDAC8.pdf", "Melting_Curves/meltCurve_B4DQE7_HDAC8.pdf")</f>
        <v>Melting_Curves/meltCurve_B4DQE7_HDAC8.pdf</v>
      </c>
    </row>
    <row r="179" spans="1:28" x14ac:dyDescent="0.25">
      <c r="A179" t="s">
        <v>183</v>
      </c>
      <c r="B179">
        <v>0.99999676499088797</v>
      </c>
      <c r="C179">
        <v>1.03852455900262</v>
      </c>
      <c r="D179">
        <v>0.79131202363283604</v>
      </c>
      <c r="E179">
        <v>0.50475632626549505</v>
      </c>
      <c r="F179">
        <v>0.41410536534874198</v>
      </c>
      <c r="G179">
        <v>0.31893560304242802</v>
      </c>
      <c r="H179">
        <v>0.30179381924211501</v>
      </c>
      <c r="I179">
        <v>0.40972641531775</v>
      </c>
      <c r="J179">
        <v>0.54182259275640499</v>
      </c>
      <c r="K179">
        <v>0.82097867850538397</v>
      </c>
      <c r="L179">
        <v>2675.4693610648501</v>
      </c>
      <c r="M179">
        <v>57.706345486284498</v>
      </c>
      <c r="N179">
        <v>48.7760474258288</v>
      </c>
      <c r="O179">
        <v>46.307941811187597</v>
      </c>
      <c r="P179">
        <v>-0.16474032600140801</v>
      </c>
      <c r="Q179">
        <v>0.47119981178985798</v>
      </c>
      <c r="R179">
        <v>0.72532217418086598</v>
      </c>
      <c r="S179" t="s">
        <v>7182</v>
      </c>
      <c r="T179" t="s">
        <v>14004</v>
      </c>
      <c r="U179" t="s">
        <v>14004</v>
      </c>
      <c r="V179" t="s">
        <v>14004</v>
      </c>
      <c r="W179" t="s">
        <v>14183</v>
      </c>
      <c r="X179">
        <v>8</v>
      </c>
      <c r="Y179" t="s">
        <v>21118</v>
      </c>
      <c r="Z179" t="s">
        <v>27889</v>
      </c>
      <c r="AA179">
        <v>0.58417933246967946</v>
      </c>
      <c r="AB179" t="str">
        <f>HYPERLINK("Melting_Curves/meltCurve_B4DQI6_TRA2A.pdf", "Melting_Curves/meltCurve_B4DQI6_TRA2A.pdf")</f>
        <v>Melting_Curves/meltCurve_B4DQI6_TRA2A.pdf</v>
      </c>
    </row>
    <row r="180" spans="1:28" x14ac:dyDescent="0.25">
      <c r="A180" t="s">
        <v>184</v>
      </c>
      <c r="B180">
        <v>0.99999676499088797</v>
      </c>
      <c r="C180">
        <v>0.95753915149745406</v>
      </c>
      <c r="D180">
        <v>0.93842461851393399</v>
      </c>
      <c r="E180">
        <v>0.86024354100234302</v>
      </c>
      <c r="F180">
        <v>0.58339123306694496</v>
      </c>
      <c r="G180">
        <v>0.19761766588118401</v>
      </c>
      <c r="H180">
        <v>9.9161943635133198E-2</v>
      </c>
      <c r="I180">
        <v>8.6684429403114896E-2</v>
      </c>
      <c r="J180">
        <v>8.0938707568422294E-2</v>
      </c>
      <c r="K180">
        <v>6.8065850547757697E-2</v>
      </c>
      <c r="L180">
        <v>1351.31170951432</v>
      </c>
      <c r="M180">
        <v>25.3200776285864</v>
      </c>
      <c r="N180">
        <v>53.661519305847001</v>
      </c>
      <c r="O180">
        <v>53.039617764053197</v>
      </c>
      <c r="P180">
        <v>-0.111657739113039</v>
      </c>
      <c r="Q180">
        <v>6.4424983219577306E-2</v>
      </c>
      <c r="R180">
        <v>0.99583368250794702</v>
      </c>
      <c r="S180" t="s">
        <v>7183</v>
      </c>
      <c r="T180" t="s">
        <v>14004</v>
      </c>
      <c r="U180" t="s">
        <v>14004</v>
      </c>
      <c r="V180" t="s">
        <v>14004</v>
      </c>
      <c r="W180" t="s">
        <v>14184</v>
      </c>
      <c r="X180">
        <v>34</v>
      </c>
      <c r="Y180" t="s">
        <v>21119</v>
      </c>
      <c r="Z180" t="s">
        <v>27890</v>
      </c>
      <c r="AA180">
        <v>0.48978610541387829</v>
      </c>
      <c r="AB180" t="str">
        <f>HYPERLINK("Melting_Curves/meltCurve_B4DQJ8_PGD.pdf", "Melting_Curves/meltCurve_B4DQJ8_PGD.pdf")</f>
        <v>Melting_Curves/meltCurve_B4DQJ8_PGD.pdf</v>
      </c>
    </row>
    <row r="181" spans="1:28" x14ac:dyDescent="0.25">
      <c r="A181" t="s">
        <v>185</v>
      </c>
      <c r="B181">
        <v>0.99999676499088797</v>
      </c>
      <c r="C181">
        <v>0.94098425718801904</v>
      </c>
      <c r="D181">
        <v>0.92910674965844797</v>
      </c>
      <c r="E181">
        <v>0.81499501071368896</v>
      </c>
      <c r="F181">
        <v>0.74267690498652905</v>
      </c>
      <c r="G181">
        <v>0.56840776430667195</v>
      </c>
      <c r="H181">
        <v>0.42368220896992498</v>
      </c>
      <c r="I181">
        <v>0.32801118480961899</v>
      </c>
      <c r="J181">
        <v>0.28272547005920901</v>
      </c>
      <c r="K181">
        <v>0.217645480256319</v>
      </c>
      <c r="L181">
        <v>532.43230248814803</v>
      </c>
      <c r="M181">
        <v>9.1821120662932998</v>
      </c>
      <c r="N181">
        <v>58.786473800712898</v>
      </c>
      <c r="O181">
        <v>55.434250591118797</v>
      </c>
      <c r="P181">
        <v>-3.9002214831999803E-2</v>
      </c>
      <c r="Q181">
        <v>5.8776830101578401E-2</v>
      </c>
      <c r="R181">
        <v>0.99688296912988095</v>
      </c>
      <c r="S181" t="s">
        <v>7184</v>
      </c>
      <c r="T181" t="s">
        <v>14004</v>
      </c>
      <c r="U181" t="s">
        <v>14004</v>
      </c>
      <c r="V181" t="s">
        <v>14004</v>
      </c>
      <c r="W181" t="s">
        <v>14185</v>
      </c>
      <c r="X181">
        <v>3</v>
      </c>
      <c r="Y181" t="s">
        <v>21120</v>
      </c>
      <c r="Z181" t="s">
        <v>27891</v>
      </c>
      <c r="AA181">
        <v>0.63056490976048596</v>
      </c>
      <c r="AB181" t="str">
        <f>HYPERLINK("Melting_Curves/meltCurve_B4DR12_MGRN1.pdf", "Melting_Curves/meltCurve_B4DR12_MGRN1.pdf")</f>
        <v>Melting_Curves/meltCurve_B4DR12_MGRN1.pdf</v>
      </c>
    </row>
    <row r="182" spans="1:28" x14ac:dyDescent="0.25">
      <c r="A182" t="s">
        <v>186</v>
      </c>
      <c r="B182">
        <v>0.99999676499088797</v>
      </c>
      <c r="C182">
        <v>0.95648942530872605</v>
      </c>
      <c r="D182">
        <v>1.0027690248849099</v>
      </c>
      <c r="E182">
        <v>1.0213760452088501</v>
      </c>
      <c r="F182">
        <v>0.95078599273001596</v>
      </c>
      <c r="G182">
        <v>1.1063672033299199</v>
      </c>
      <c r="H182">
        <v>0.715963930606351</v>
      </c>
      <c r="I182">
        <v>0.45057159673428798</v>
      </c>
      <c r="J182">
        <v>0.21771009159478899</v>
      </c>
      <c r="K182">
        <v>0.14951980880958499</v>
      </c>
      <c r="L182">
        <v>2066.8904245618201</v>
      </c>
      <c r="M182">
        <v>32.986898726807297</v>
      </c>
      <c r="N182">
        <v>63.243344533530298</v>
      </c>
      <c r="O182">
        <v>62.428980340642099</v>
      </c>
      <c r="P182">
        <v>-0.114718444256973</v>
      </c>
      <c r="Q182">
        <v>0.131567406788374</v>
      </c>
      <c r="R182">
        <v>0.97708295453282801</v>
      </c>
      <c r="S182" t="s">
        <v>7185</v>
      </c>
      <c r="T182" t="s">
        <v>14004</v>
      </c>
      <c r="U182" t="s">
        <v>14004</v>
      </c>
      <c r="V182" t="s">
        <v>14004</v>
      </c>
      <c r="W182" t="s">
        <v>14186</v>
      </c>
      <c r="X182">
        <v>10</v>
      </c>
      <c r="Y182" t="s">
        <v>21121</v>
      </c>
      <c r="Z182" t="s">
        <v>27892</v>
      </c>
      <c r="AA182">
        <v>0.79073270177794663</v>
      </c>
      <c r="AB182" t="str">
        <f>HYPERLINK("Melting_Curves/meltCurve_B4DR61_SEC61A1.pdf", "Melting_Curves/meltCurve_B4DR61_SEC61A1.pdf")</f>
        <v>Melting_Curves/meltCurve_B4DR61_SEC61A1.pdf</v>
      </c>
    </row>
    <row r="183" spans="1:28" x14ac:dyDescent="0.25">
      <c r="A183" t="s">
        <v>187</v>
      </c>
      <c r="B183">
        <v>0.99999676499088797</v>
      </c>
      <c r="C183">
        <v>1.04337473184995</v>
      </c>
      <c r="D183">
        <v>0.97841535521239598</v>
      </c>
      <c r="E183">
        <v>0.83601891199494105</v>
      </c>
      <c r="F183">
        <v>0.52338945001975301</v>
      </c>
      <c r="G183">
        <v>0.285530723343976</v>
      </c>
      <c r="H183">
        <v>0.15405536681791701</v>
      </c>
      <c r="I183">
        <v>0.13903836593774699</v>
      </c>
      <c r="J183">
        <v>0.15079782083425</v>
      </c>
      <c r="K183">
        <v>0.127434078498809</v>
      </c>
      <c r="L183">
        <v>1220.1617601891401</v>
      </c>
      <c r="M183">
        <v>23.107152817012501</v>
      </c>
      <c r="N183">
        <v>53.496113831219503</v>
      </c>
      <c r="O183">
        <v>52.413791038963801</v>
      </c>
      <c r="P183">
        <v>-9.5985993732225106E-2</v>
      </c>
      <c r="Q183">
        <v>0.12911861442602199</v>
      </c>
      <c r="R183">
        <v>0.997907600087515</v>
      </c>
      <c r="S183" t="s">
        <v>7186</v>
      </c>
      <c r="T183" t="s">
        <v>14004</v>
      </c>
      <c r="U183" t="s">
        <v>14004</v>
      </c>
      <c r="V183" t="s">
        <v>14004</v>
      </c>
      <c r="W183" t="s">
        <v>14187</v>
      </c>
      <c r="X183">
        <v>6</v>
      </c>
      <c r="Y183" t="s">
        <v>21122</v>
      </c>
      <c r="Z183" t="s">
        <v>27893</v>
      </c>
      <c r="AA183">
        <v>0.51009771256678726</v>
      </c>
      <c r="AB183" t="str">
        <f>HYPERLINK("Melting_Curves/meltCurve_B4DRL9_CHM.pdf", "Melting_Curves/meltCurve_B4DRL9_CHM.pdf")</f>
        <v>Melting_Curves/meltCurve_B4DRL9_CHM.pdf</v>
      </c>
    </row>
    <row r="184" spans="1:28" x14ac:dyDescent="0.25">
      <c r="A184" t="s">
        <v>188</v>
      </c>
      <c r="B184">
        <v>0.99999676499088797</v>
      </c>
      <c r="C184">
        <v>0.95299521401383303</v>
      </c>
      <c r="D184">
        <v>0.94609754919466904</v>
      </c>
      <c r="E184">
        <v>0.88494863809014701</v>
      </c>
      <c r="F184">
        <v>0.738343927322057</v>
      </c>
      <c r="G184">
        <v>0.533468241199203</v>
      </c>
      <c r="H184">
        <v>0.25790552845539699</v>
      </c>
      <c r="I184">
        <v>0.22292743163954401</v>
      </c>
      <c r="J184">
        <v>0.109293324611479</v>
      </c>
      <c r="K184">
        <v>0.117812886744357</v>
      </c>
      <c r="L184">
        <v>822.469847059367</v>
      </c>
      <c r="M184">
        <v>14.527633948322899</v>
      </c>
      <c r="N184">
        <v>56.973853211001</v>
      </c>
      <c r="O184">
        <v>55.573880787315801</v>
      </c>
      <c r="P184">
        <v>-6.2496305348572402E-2</v>
      </c>
      <c r="Q184">
        <v>4.3818268341720999E-2</v>
      </c>
      <c r="R184">
        <v>0.99505776131599</v>
      </c>
      <c r="S184" t="s">
        <v>7187</v>
      </c>
      <c r="T184" t="s">
        <v>14004</v>
      </c>
      <c r="U184" t="s">
        <v>14004</v>
      </c>
      <c r="V184" t="s">
        <v>14004</v>
      </c>
      <c r="W184" t="s">
        <v>14188</v>
      </c>
      <c r="X184">
        <v>5</v>
      </c>
      <c r="Y184" t="s">
        <v>21123</v>
      </c>
      <c r="Z184" t="s">
        <v>27894</v>
      </c>
      <c r="AA184">
        <v>0.58957544934390282</v>
      </c>
      <c r="AB184" t="str">
        <f>HYPERLINK("Melting_Curves/meltCurve_B4DRN8_ZDHHC20.pdf", "Melting_Curves/meltCurve_B4DRN8_ZDHHC20.pdf")</f>
        <v>Melting_Curves/meltCurve_B4DRN8_ZDHHC20.pdf</v>
      </c>
    </row>
    <row r="185" spans="1:28" x14ac:dyDescent="0.25">
      <c r="A185" t="s">
        <v>189</v>
      </c>
      <c r="B185">
        <v>0.99999676499088797</v>
      </c>
      <c r="C185">
        <v>0.98206424949925197</v>
      </c>
      <c r="D185">
        <v>1.00860585227287</v>
      </c>
      <c r="E185">
        <v>0.78041916638159503</v>
      </c>
      <c r="F185">
        <v>0.58723729142367098</v>
      </c>
      <c r="G185">
        <v>0.43073847076858301</v>
      </c>
      <c r="H185">
        <v>0.17275787506815901</v>
      </c>
      <c r="I185">
        <v>0.171721703155682</v>
      </c>
      <c r="J185">
        <v>0.191731440005145</v>
      </c>
      <c r="K185">
        <v>5.56965403090195E-2</v>
      </c>
      <c r="L185">
        <v>821.00037574816599</v>
      </c>
      <c r="M185">
        <v>15.1543346977243</v>
      </c>
      <c r="N185">
        <v>54.7903480330245</v>
      </c>
      <c r="O185">
        <v>53.258858740186703</v>
      </c>
      <c r="P185">
        <v>-6.5583205519873303E-2</v>
      </c>
      <c r="Q185">
        <v>7.8139269637056794E-2</v>
      </c>
      <c r="R185">
        <v>0.98612784539132003</v>
      </c>
      <c r="S185" t="s">
        <v>7188</v>
      </c>
      <c r="T185" t="s">
        <v>14004</v>
      </c>
      <c r="U185" t="s">
        <v>14004</v>
      </c>
      <c r="V185" t="s">
        <v>14004</v>
      </c>
      <c r="W185" t="s">
        <v>14189</v>
      </c>
      <c r="X185">
        <v>3</v>
      </c>
      <c r="Y185" t="s">
        <v>21124</v>
      </c>
      <c r="Z185" t="s">
        <v>27895</v>
      </c>
      <c r="AA185">
        <v>0.53224684868234939</v>
      </c>
      <c r="AB185" t="str">
        <f>HYPERLINK("Melting_Curves/meltCurve_B4DS52_TXNDC15.pdf", "Melting_Curves/meltCurve_B4DS52_TXNDC15.pdf")</f>
        <v>Melting_Curves/meltCurve_B4DS52_TXNDC15.pdf</v>
      </c>
    </row>
    <row r="186" spans="1:28" x14ac:dyDescent="0.25">
      <c r="A186" t="s">
        <v>190</v>
      </c>
      <c r="B186">
        <v>0.99999676499088797</v>
      </c>
      <c r="C186">
        <v>0.995771456712228</v>
      </c>
      <c r="D186">
        <v>1.03015353639675</v>
      </c>
      <c r="E186">
        <v>1.10547942451688</v>
      </c>
      <c r="F186">
        <v>0.48414646560958102</v>
      </c>
      <c r="G186">
        <v>0.15696681713234001</v>
      </c>
      <c r="H186">
        <v>6.6928587553283403E-2</v>
      </c>
      <c r="I186">
        <v>6.0015177802122198E-2</v>
      </c>
      <c r="J186">
        <v>4.4764858252923499E-2</v>
      </c>
      <c r="K186">
        <v>5.1144045769310101E-2</v>
      </c>
      <c r="L186">
        <v>5108.0207309755497</v>
      </c>
      <c r="M186">
        <v>96.243616217910599</v>
      </c>
      <c r="N186">
        <v>53.164305893408503</v>
      </c>
      <c r="O186">
        <v>53.050964460240102</v>
      </c>
      <c r="P186">
        <v>-0.41929923673417002</v>
      </c>
      <c r="Q186">
        <v>7.5503282052731296E-2</v>
      </c>
      <c r="R186">
        <v>0.99000395385571405</v>
      </c>
      <c r="S186" t="s">
        <v>7189</v>
      </c>
      <c r="T186" t="s">
        <v>14004</v>
      </c>
      <c r="U186" t="s">
        <v>14004</v>
      </c>
      <c r="V186" t="s">
        <v>14004</v>
      </c>
      <c r="W186" t="s">
        <v>14190</v>
      </c>
      <c r="X186">
        <v>5</v>
      </c>
      <c r="Y186" t="s">
        <v>21125</v>
      </c>
      <c r="Z186" t="s">
        <v>27896</v>
      </c>
      <c r="AA186">
        <v>0.47897657016091982</v>
      </c>
      <c r="AB186" t="str">
        <f>HYPERLINK("Melting_Curves/meltCurve_B4DSD4_C9orf41.pdf", "Melting_Curves/meltCurve_B4DSD4_C9orf41.pdf")</f>
        <v>Melting_Curves/meltCurve_B4DSD4_C9orf41.pdf</v>
      </c>
    </row>
    <row r="187" spans="1:28" x14ac:dyDescent="0.25">
      <c r="A187" t="s">
        <v>191</v>
      </c>
      <c r="B187">
        <v>0.99999676499088797</v>
      </c>
      <c r="C187">
        <v>0.840823517373951</v>
      </c>
      <c r="D187">
        <v>0.80678094490924701</v>
      </c>
      <c r="E187">
        <v>0.294219863561547</v>
      </c>
      <c r="F187">
        <v>0.24493823133874801</v>
      </c>
      <c r="G187">
        <v>9.7841626461263306E-2</v>
      </c>
      <c r="H187">
        <v>5.24257905770966E-2</v>
      </c>
      <c r="I187">
        <v>5.2286289700051398E-2</v>
      </c>
      <c r="J187">
        <v>5.5358908038754401E-2</v>
      </c>
      <c r="K187">
        <v>4.5820936413165203E-2</v>
      </c>
      <c r="L187">
        <v>953.30183564975403</v>
      </c>
      <c r="M187">
        <v>19.848198883435401</v>
      </c>
      <c r="N187">
        <v>48.297207731892499</v>
      </c>
      <c r="O187">
        <v>47.550063328776098</v>
      </c>
      <c r="P187">
        <v>-9.8924047627359499E-2</v>
      </c>
      <c r="Q187">
        <v>5.2067754681741803E-2</v>
      </c>
      <c r="R187">
        <v>0.97931248061865395</v>
      </c>
      <c r="S187" t="s">
        <v>7190</v>
      </c>
      <c r="T187" t="s">
        <v>14004</v>
      </c>
      <c r="U187" t="s">
        <v>14004</v>
      </c>
      <c r="V187" t="s">
        <v>14004</v>
      </c>
      <c r="W187" t="s">
        <v>14191</v>
      </c>
      <c r="X187">
        <v>4</v>
      </c>
      <c r="Y187" t="s">
        <v>21126</v>
      </c>
      <c r="Z187" t="s">
        <v>27897</v>
      </c>
      <c r="AA187">
        <v>0.3194683800858677</v>
      </c>
      <c r="AB187" t="str">
        <f>HYPERLINK("Melting_Curves/meltCurve_B4DSS8_PTBP2.pdf", "Melting_Curves/meltCurve_B4DSS8_PTBP2.pdf")</f>
        <v>Melting_Curves/meltCurve_B4DSS8_PTBP2.pdf</v>
      </c>
    </row>
    <row r="188" spans="1:28" x14ac:dyDescent="0.25">
      <c r="A188" t="s">
        <v>192</v>
      </c>
      <c r="B188">
        <v>0.99999676499088797</v>
      </c>
      <c r="C188">
        <v>1.0270612614360199</v>
      </c>
      <c r="D188">
        <v>0.99999199450336596</v>
      </c>
      <c r="E188">
        <v>0.961066929540907</v>
      </c>
      <c r="F188">
        <v>0.26080372408524999</v>
      </c>
      <c r="G188">
        <v>0.15830209628032699</v>
      </c>
      <c r="H188">
        <v>6.6731232973068294E-2</v>
      </c>
      <c r="I188">
        <v>5.8153521446629199E-2</v>
      </c>
      <c r="J188">
        <v>6.0668543613229799E-2</v>
      </c>
      <c r="K188">
        <v>4.5676446201813499E-2</v>
      </c>
      <c r="L188">
        <v>3128.56822692181</v>
      </c>
      <c r="M188">
        <v>60.157209226313199</v>
      </c>
      <c r="N188">
        <v>52.149186673688803</v>
      </c>
      <c r="O188">
        <v>51.949161176184603</v>
      </c>
      <c r="P188">
        <v>-0.26753797198139001</v>
      </c>
      <c r="Q188">
        <v>7.5863545601498203E-2</v>
      </c>
      <c r="R188">
        <v>0.99572882329434498</v>
      </c>
      <c r="S188" t="s">
        <v>7191</v>
      </c>
      <c r="T188" t="s">
        <v>14004</v>
      </c>
      <c r="U188" t="s">
        <v>14004</v>
      </c>
      <c r="V188" t="s">
        <v>14004</v>
      </c>
      <c r="W188" t="s">
        <v>14066</v>
      </c>
      <c r="X188">
        <v>26</v>
      </c>
      <c r="Y188" t="s">
        <v>21127</v>
      </c>
      <c r="Z188" t="s">
        <v>27898</v>
      </c>
      <c r="AA188">
        <v>0.44718153164326502</v>
      </c>
      <c r="AB188" t="str">
        <f>HYPERLINK("Melting_Curves/meltCurve_B4DT77_ANXA7.pdf", "Melting_Curves/meltCurve_B4DT77_ANXA7.pdf")</f>
        <v>Melting_Curves/meltCurve_B4DT77_ANXA7.pdf</v>
      </c>
    </row>
    <row r="189" spans="1:28" x14ac:dyDescent="0.25">
      <c r="A189" t="s">
        <v>193</v>
      </c>
      <c r="B189">
        <v>0.99999676499088797</v>
      </c>
      <c r="C189">
        <v>0.98536444945311996</v>
      </c>
      <c r="D189">
        <v>0.88285563866955397</v>
      </c>
      <c r="E189">
        <v>0.706241399283706</v>
      </c>
      <c r="F189">
        <v>0.37149953569850802</v>
      </c>
      <c r="G189">
        <v>0.16225874531264001</v>
      </c>
      <c r="H189">
        <v>0.12639705695867501</v>
      </c>
      <c r="I189">
        <v>0.15952188176870299</v>
      </c>
      <c r="J189">
        <v>0.21592481168508501</v>
      </c>
      <c r="K189">
        <v>0.25994693940049601</v>
      </c>
      <c r="L189">
        <v>1305.14771043678</v>
      </c>
      <c r="M189">
        <v>25.829057107294901</v>
      </c>
      <c r="N189">
        <v>51.3991288383083</v>
      </c>
      <c r="O189">
        <v>50.230238665277099</v>
      </c>
      <c r="P189">
        <v>-0.105813434267751</v>
      </c>
      <c r="Q189">
        <v>0.17690046514840399</v>
      </c>
      <c r="R189">
        <v>0.98335281001211305</v>
      </c>
      <c r="S189" t="s">
        <v>7192</v>
      </c>
      <c r="T189" t="s">
        <v>14004</v>
      </c>
      <c r="U189" t="s">
        <v>14004</v>
      </c>
      <c r="V189" t="s">
        <v>14004</v>
      </c>
      <c r="W189" t="s">
        <v>14192</v>
      </c>
      <c r="X189">
        <v>4</v>
      </c>
      <c r="Y189" t="s">
        <v>21128</v>
      </c>
      <c r="Z189" t="s">
        <v>27899</v>
      </c>
      <c r="AA189">
        <v>0.47274683481541019</v>
      </c>
      <c r="AB189" t="str">
        <f>HYPERLINK("Melting_Curves/meltCurve_B4DT96_NUPL2.pdf", "Melting_Curves/meltCurve_B4DT96_NUPL2.pdf")</f>
        <v>Melting_Curves/meltCurve_B4DT96_NUPL2.pdf</v>
      </c>
    </row>
    <row r="190" spans="1:28" x14ac:dyDescent="0.25">
      <c r="A190" t="s">
        <v>194</v>
      </c>
      <c r="B190">
        <v>0.99999676499088797</v>
      </c>
      <c r="C190">
        <v>0.87373075464706096</v>
      </c>
      <c r="D190">
        <v>0.87393985519097905</v>
      </c>
      <c r="E190">
        <v>0.95432305575398302</v>
      </c>
      <c r="F190">
        <v>0.53202087630990902</v>
      </c>
      <c r="G190">
        <v>0.25241352142392298</v>
      </c>
      <c r="H190">
        <v>0.118001067560336</v>
      </c>
      <c r="I190">
        <v>0.10107612729990301</v>
      </c>
      <c r="J190">
        <v>0</v>
      </c>
      <c r="K190">
        <v>5.45928278975863E-2</v>
      </c>
      <c r="L190">
        <v>1268.7128046549799</v>
      </c>
      <c r="M190">
        <v>23.663946943498999</v>
      </c>
      <c r="N190">
        <v>53.8315592630778</v>
      </c>
      <c r="O190">
        <v>53.235275198823203</v>
      </c>
      <c r="P190">
        <v>-0.106057326150179</v>
      </c>
      <c r="Q190">
        <v>4.5654301560124101E-2</v>
      </c>
      <c r="R190">
        <v>0.97511533676279705</v>
      </c>
      <c r="S190" t="s">
        <v>7193</v>
      </c>
      <c r="T190" t="s">
        <v>14004</v>
      </c>
      <c r="U190" t="s">
        <v>14004</v>
      </c>
      <c r="V190" t="s">
        <v>14004</v>
      </c>
      <c r="W190" t="s">
        <v>14193</v>
      </c>
      <c r="X190">
        <v>2</v>
      </c>
      <c r="Y190" t="s">
        <v>21129</v>
      </c>
      <c r="Z190" t="s">
        <v>27900</v>
      </c>
      <c r="AA190">
        <v>0.4884763775621534</v>
      </c>
      <c r="AB190" t="str">
        <f>HYPERLINK("Melting_Curves/meltCurve_B4DTZ6_SLC9A1.pdf", "Melting_Curves/meltCurve_B4DTZ6_SLC9A1.pdf")</f>
        <v>Melting_Curves/meltCurve_B4DTZ6_SLC9A1.pdf</v>
      </c>
    </row>
    <row r="191" spans="1:28" x14ac:dyDescent="0.25">
      <c r="A191" t="s">
        <v>195</v>
      </c>
      <c r="B191">
        <v>0.99999676499088797</v>
      </c>
      <c r="C191">
        <v>0.986755136103874</v>
      </c>
      <c r="D191">
        <v>1.1865040728124501</v>
      </c>
      <c r="E191">
        <v>1.5488594699559499</v>
      </c>
      <c r="F191">
        <v>0.95154018891477998</v>
      </c>
      <c r="G191">
        <v>0.98178005153517001</v>
      </c>
      <c r="H191">
        <v>0.28553367048927097</v>
      </c>
      <c r="I191">
        <v>0.20713822804521501</v>
      </c>
      <c r="J191">
        <v>0.144795067555682</v>
      </c>
      <c r="K191">
        <v>0.104386733508646</v>
      </c>
      <c r="L191">
        <v>4413.3115624018301</v>
      </c>
      <c r="M191">
        <v>74.216899993242905</v>
      </c>
      <c r="N191">
        <v>59.751295601743898</v>
      </c>
      <c r="O191">
        <v>59.421917448769499</v>
      </c>
      <c r="P191">
        <v>-0.26553528259776499</v>
      </c>
      <c r="Q191">
        <v>0.149594614233658</v>
      </c>
      <c r="R191">
        <v>0.85283274691038002</v>
      </c>
      <c r="S191" t="s">
        <v>7194</v>
      </c>
      <c r="T191" t="s">
        <v>14004</v>
      </c>
      <c r="U191" t="s">
        <v>14004</v>
      </c>
      <c r="V191" t="s">
        <v>14004</v>
      </c>
      <c r="W191" t="s">
        <v>14194</v>
      </c>
      <c r="X191">
        <v>1</v>
      </c>
      <c r="Y191" t="s">
        <v>21130</v>
      </c>
      <c r="Z191" t="s">
        <v>27901</v>
      </c>
      <c r="AA191">
        <v>0.70237622478596029</v>
      </c>
      <c r="AB191" t="str">
        <f>HYPERLINK("Melting_Curves/meltCurve_B4DUB9_SLC35F2.pdf", "Melting_Curves/meltCurve_B4DUB9_SLC35F2.pdf")</f>
        <v>Melting_Curves/meltCurve_B4DUB9_SLC35F2.pdf</v>
      </c>
    </row>
    <row r="192" spans="1:28" x14ac:dyDescent="0.25">
      <c r="A192" t="s">
        <v>196</v>
      </c>
      <c r="B192">
        <v>0.99999676499088797</v>
      </c>
      <c r="C192">
        <v>0.97415294648018402</v>
      </c>
      <c r="D192">
        <v>0.82712223628569903</v>
      </c>
      <c r="E192">
        <v>0.46026003794363102</v>
      </c>
      <c r="F192">
        <v>0.190683886280266</v>
      </c>
      <c r="G192">
        <v>0.13841746074921801</v>
      </c>
      <c r="H192">
        <v>6.1247102208386202E-2</v>
      </c>
      <c r="I192">
        <v>6.23321472845157E-2</v>
      </c>
      <c r="J192">
        <v>5.7815367669238601E-2</v>
      </c>
      <c r="K192">
        <v>4.9272560387839497E-2</v>
      </c>
      <c r="L192">
        <v>1099.7048396231201</v>
      </c>
      <c r="M192">
        <v>22.4403565717062</v>
      </c>
      <c r="N192">
        <v>49.284782016131501</v>
      </c>
      <c r="O192">
        <v>48.621485796019002</v>
      </c>
      <c r="P192">
        <v>-0.108500325045974</v>
      </c>
      <c r="Q192">
        <v>5.9669466774021303E-2</v>
      </c>
      <c r="R192">
        <v>0.99868305421271697</v>
      </c>
      <c r="S192" t="s">
        <v>7195</v>
      </c>
      <c r="T192" t="s">
        <v>14004</v>
      </c>
      <c r="U192" t="s">
        <v>14004</v>
      </c>
      <c r="V192" t="s">
        <v>14004</v>
      </c>
      <c r="W192" t="s">
        <v>14066</v>
      </c>
      <c r="X192">
        <v>29</v>
      </c>
      <c r="Y192" t="s">
        <v>21131</v>
      </c>
      <c r="Z192" t="s">
        <v>27902</v>
      </c>
      <c r="AA192">
        <v>0.35235450912478539</v>
      </c>
      <c r="AB192" t="str">
        <f>HYPERLINK("Melting_Curves/meltCurve_B4DVE7_ANXA11.pdf", "Melting_Curves/meltCurve_B4DVE7_ANXA11.pdf")</f>
        <v>Melting_Curves/meltCurve_B4DVE7_ANXA11.pdf</v>
      </c>
    </row>
    <row r="193" spans="1:28" x14ac:dyDescent="0.25">
      <c r="A193" t="s">
        <v>197</v>
      </c>
      <c r="B193">
        <v>0.99999676499088797</v>
      </c>
      <c r="C193">
        <v>0.72348994735969496</v>
      </c>
      <c r="D193">
        <v>0.49763036865031102</v>
      </c>
      <c r="E193">
        <v>0.44801862535881598</v>
      </c>
      <c r="F193">
        <v>0.301265569127596</v>
      </c>
      <c r="G193">
        <v>0.31211236128596198</v>
      </c>
      <c r="H193">
        <v>0.15205036433275701</v>
      </c>
      <c r="I193">
        <v>6.8345514616862599E-2</v>
      </c>
      <c r="J193">
        <v>3.9273528377648199E-2</v>
      </c>
      <c r="K193">
        <v>5.9850831360465498E-2</v>
      </c>
      <c r="L193">
        <v>434.10527221707702</v>
      </c>
      <c r="M193">
        <v>9.0172041565945005</v>
      </c>
      <c r="N193">
        <v>48.2103626772154</v>
      </c>
      <c r="O193">
        <v>45.951094106846199</v>
      </c>
      <c r="P193">
        <v>-4.8781717059017397E-2</v>
      </c>
      <c r="Q193">
        <v>6.3624123382444399E-3</v>
      </c>
      <c r="R193">
        <v>0.94939302165735995</v>
      </c>
      <c r="S193" t="s">
        <v>7196</v>
      </c>
      <c r="T193" t="s">
        <v>14004</v>
      </c>
      <c r="U193" t="s">
        <v>14004</v>
      </c>
      <c r="V193" t="s">
        <v>14004</v>
      </c>
      <c r="W193" t="s">
        <v>14195</v>
      </c>
      <c r="X193">
        <v>1</v>
      </c>
      <c r="Y193" t="s">
        <v>21132</v>
      </c>
      <c r="Z193" t="s">
        <v>27903</v>
      </c>
      <c r="AA193">
        <v>0.33667601206543812</v>
      </c>
      <c r="AB193" t="str">
        <f>HYPERLINK("Melting_Curves/meltCurve_B4DVN5_FHOD1.pdf", "Melting_Curves/meltCurve_B4DVN5_FHOD1.pdf")</f>
        <v>Melting_Curves/meltCurve_B4DVN5_FHOD1.pdf</v>
      </c>
    </row>
    <row r="194" spans="1:28" x14ac:dyDescent="0.25">
      <c r="A194" t="s">
        <v>198</v>
      </c>
      <c r="B194">
        <v>0.99999676499088797</v>
      </c>
      <c r="C194">
        <v>1.01073333749089</v>
      </c>
      <c r="D194">
        <v>0.88870785003652797</v>
      </c>
      <c r="E194">
        <v>0.24160339754744201</v>
      </c>
      <c r="F194">
        <v>0.17595279541066899</v>
      </c>
      <c r="G194">
        <v>0.10701356305104801</v>
      </c>
      <c r="H194">
        <v>5.0275540889909903E-2</v>
      </c>
      <c r="I194">
        <v>4.7232601733080103E-2</v>
      </c>
      <c r="J194">
        <v>4.5584152391251201E-2</v>
      </c>
      <c r="K194">
        <v>4.0221853307039E-2</v>
      </c>
      <c r="L194">
        <v>2100.27934529509</v>
      </c>
      <c r="M194">
        <v>43.749382019902399</v>
      </c>
      <c r="N194">
        <v>48.1820339228547</v>
      </c>
      <c r="O194">
        <v>47.907086955172701</v>
      </c>
      <c r="P194">
        <v>-0.21153578111233101</v>
      </c>
      <c r="Q194">
        <v>7.3445414690073096E-2</v>
      </c>
      <c r="R194">
        <v>0.99212988544064196</v>
      </c>
      <c r="S194" t="s">
        <v>7197</v>
      </c>
      <c r="T194" t="s">
        <v>14004</v>
      </c>
      <c r="U194" t="s">
        <v>14004</v>
      </c>
      <c r="V194" t="s">
        <v>14004</v>
      </c>
      <c r="W194" t="s">
        <v>14196</v>
      </c>
      <c r="X194">
        <v>22</v>
      </c>
      <c r="Y194" t="s">
        <v>21133</v>
      </c>
      <c r="Z194" t="s">
        <v>27904</v>
      </c>
      <c r="AA194">
        <v>0.32331550347347421</v>
      </c>
      <c r="AB194" t="str">
        <f>HYPERLINK("Melting_Curves/meltCurve_B4DVY1_EIF3D.pdf", "Melting_Curves/meltCurve_B4DVY1_EIF3D.pdf")</f>
        <v>Melting_Curves/meltCurve_B4DVY1_EIF3D.pdf</v>
      </c>
    </row>
    <row r="195" spans="1:28" x14ac:dyDescent="0.25">
      <c r="A195" t="s">
        <v>199</v>
      </c>
      <c r="B195">
        <v>0.99999676499088797</v>
      </c>
      <c r="C195">
        <v>0.93651764168467999</v>
      </c>
      <c r="D195">
        <v>0.91771794748360302</v>
      </c>
      <c r="E195">
        <v>0.82369868175970296</v>
      </c>
      <c r="F195">
        <v>0.62688305299787095</v>
      </c>
      <c r="G195">
        <v>0.54984929990488896</v>
      </c>
      <c r="H195">
        <v>0.55113181512165399</v>
      </c>
      <c r="I195">
        <v>0.67714366965149897</v>
      </c>
      <c r="J195">
        <v>0.759461197588568</v>
      </c>
      <c r="K195">
        <v>0.84139370584768103</v>
      </c>
      <c r="L195">
        <v>1460.7111981588801</v>
      </c>
      <c r="M195">
        <v>30.157333237179198</v>
      </c>
      <c r="O195">
        <v>48.224873756100202</v>
      </c>
      <c r="P195">
        <v>-5.1832936716784503E-2</v>
      </c>
      <c r="Q195">
        <v>0.66845601965638601</v>
      </c>
      <c r="R195">
        <v>0.67329626175449597</v>
      </c>
      <c r="S195" t="s">
        <v>7198</v>
      </c>
      <c r="T195" t="s">
        <v>14004</v>
      </c>
      <c r="U195" t="s">
        <v>14004</v>
      </c>
      <c r="V195" t="s">
        <v>14004</v>
      </c>
      <c r="W195" t="s">
        <v>14197</v>
      </c>
      <c r="X195">
        <v>9</v>
      </c>
      <c r="Y195" t="s">
        <v>21134</v>
      </c>
      <c r="Z195" t="s">
        <v>27905</v>
      </c>
      <c r="AA195">
        <v>0.76367295878405106</v>
      </c>
      <c r="AB195" t="str">
        <f>HYPERLINK("Melting_Curves/meltCurve_B4DWF2_ZNFN1A2.pdf", "Melting_Curves/meltCurve_B4DWF2_ZNFN1A2.pdf")</f>
        <v>Melting_Curves/meltCurve_B4DWF2_ZNFN1A2.pdf</v>
      </c>
    </row>
    <row r="196" spans="1:28" x14ac:dyDescent="0.25">
      <c r="A196" t="s">
        <v>200</v>
      </c>
      <c r="B196">
        <v>0.99999676499088797</v>
      </c>
      <c r="C196">
        <v>1.0665447878976999</v>
      </c>
      <c r="D196">
        <v>1.03468327464375</v>
      </c>
      <c r="E196">
        <v>1.13651105981463</v>
      </c>
      <c r="F196">
        <v>1.02189253854349</v>
      </c>
      <c r="G196">
        <v>1.01018235712852</v>
      </c>
      <c r="H196">
        <v>0.604988999614821</v>
      </c>
      <c r="I196">
        <v>0.25397794379940503</v>
      </c>
      <c r="J196">
        <v>0.12815768108891901</v>
      </c>
      <c r="K196">
        <v>0.100456082015492</v>
      </c>
      <c r="L196">
        <v>2560.8176132255699</v>
      </c>
      <c r="M196">
        <v>41.8127360003825</v>
      </c>
      <c r="N196">
        <v>61.598912473060302</v>
      </c>
      <c r="O196">
        <v>61.105329269153401</v>
      </c>
      <c r="P196">
        <v>-0.152798612347254</v>
      </c>
      <c r="Q196">
        <v>0.10679914453634699</v>
      </c>
      <c r="R196">
        <v>0.98291944323723501</v>
      </c>
      <c r="S196" t="s">
        <v>7199</v>
      </c>
      <c r="T196" t="s">
        <v>14004</v>
      </c>
      <c r="U196" t="s">
        <v>14004</v>
      </c>
      <c r="V196" t="s">
        <v>14004</v>
      </c>
      <c r="W196" t="s">
        <v>14198</v>
      </c>
      <c r="X196">
        <v>16</v>
      </c>
      <c r="Y196" t="s">
        <v>21135</v>
      </c>
      <c r="Z196" t="s">
        <v>27906</v>
      </c>
      <c r="AA196">
        <v>0.74246822972036197</v>
      </c>
      <c r="AB196" t="str">
        <f>HYPERLINK("Melting_Curves/meltCurve_B4DWI1_HACL1.pdf", "Melting_Curves/meltCurve_B4DWI1_HACL1.pdf")</f>
        <v>Melting_Curves/meltCurve_B4DWI1_HACL1.pdf</v>
      </c>
    </row>
    <row r="197" spans="1:28" x14ac:dyDescent="0.25">
      <c r="A197" t="s">
        <v>201</v>
      </c>
      <c r="B197">
        <v>0.99999676499088797</v>
      </c>
      <c r="C197">
        <v>0.91958941379008197</v>
      </c>
      <c r="D197">
        <v>1.1480069867729299</v>
      </c>
      <c r="E197">
        <v>1.3922211817180401</v>
      </c>
      <c r="F197">
        <v>1.002867298937</v>
      </c>
      <c r="G197">
        <v>1.5118153551967399</v>
      </c>
      <c r="H197">
        <v>0.85497157991066597</v>
      </c>
      <c r="I197">
        <v>1.42240802946204</v>
      </c>
      <c r="J197">
        <v>1.2825168523270301</v>
      </c>
      <c r="K197">
        <v>1.2923307672736399</v>
      </c>
      <c r="L197">
        <v>11483.4562499359</v>
      </c>
      <c r="M197">
        <v>250</v>
      </c>
      <c r="O197">
        <v>45.9308862353462</v>
      </c>
      <c r="P197">
        <v>0.341960038434724</v>
      </c>
      <c r="Q197">
        <v>1.2513044378578</v>
      </c>
      <c r="R197">
        <v>0.274173368939304</v>
      </c>
      <c r="S197" t="s">
        <v>7200</v>
      </c>
      <c r="T197" t="s">
        <v>14004</v>
      </c>
      <c r="U197" t="s">
        <v>14004</v>
      </c>
      <c r="V197" t="s">
        <v>14004</v>
      </c>
      <c r="W197" t="s">
        <v>14199</v>
      </c>
      <c r="X197">
        <v>19</v>
      </c>
      <c r="Y197" t="s">
        <v>21136</v>
      </c>
      <c r="Z197" t="s">
        <v>27907</v>
      </c>
      <c r="AA197">
        <v>1.2015776275523899</v>
      </c>
      <c r="AB197" t="str">
        <f>HYPERLINK("Melting_Curves/meltCurve_B4DXP9_ACTR1A.pdf", "Melting_Curves/meltCurve_B4DXP9_ACTR1A.pdf")</f>
        <v>Melting_Curves/meltCurve_B4DXP9_ACTR1A.pdf</v>
      </c>
    </row>
    <row r="198" spans="1:28" x14ac:dyDescent="0.25">
      <c r="A198" t="s">
        <v>202</v>
      </c>
      <c r="B198">
        <v>0.99999676499088797</v>
      </c>
      <c r="C198">
        <v>0.91166029327481901</v>
      </c>
      <c r="D198">
        <v>0.47891031460594302</v>
      </c>
      <c r="E198">
        <v>0.22768402130409901</v>
      </c>
      <c r="F198">
        <v>0.16707974348337901</v>
      </c>
      <c r="G198">
        <v>0.12413244073848199</v>
      </c>
      <c r="H198">
        <v>7.0754791233356096E-2</v>
      </c>
      <c r="I198">
        <v>6.2812634925800095E-2</v>
      </c>
      <c r="J198">
        <v>6.3868480058916405E-2</v>
      </c>
      <c r="K198">
        <v>6.2243606665181299E-2</v>
      </c>
      <c r="L198">
        <v>1201.5269202736999</v>
      </c>
      <c r="M198">
        <v>26.223191350941502</v>
      </c>
      <c r="N198">
        <v>46.161145943812201</v>
      </c>
      <c r="O198">
        <v>45.555279614387601</v>
      </c>
      <c r="P198">
        <v>-0.131208192229222</v>
      </c>
      <c r="Q198">
        <v>8.8263620319751906E-2</v>
      </c>
      <c r="R198">
        <v>0.99041167258330698</v>
      </c>
      <c r="S198" t="s">
        <v>7201</v>
      </c>
      <c r="T198" t="s">
        <v>14004</v>
      </c>
      <c r="U198" t="s">
        <v>14004</v>
      </c>
      <c r="V198" t="s">
        <v>14004</v>
      </c>
      <c r="W198" t="s">
        <v>14200</v>
      </c>
      <c r="X198">
        <v>24</v>
      </c>
      <c r="Y198" t="s">
        <v>21137</v>
      </c>
      <c r="Z198" t="s">
        <v>27908</v>
      </c>
      <c r="AA198">
        <v>0.27273201863452973</v>
      </c>
      <c r="AB198" t="str">
        <f>HYPERLINK("Melting_Curves/meltCurve_B4DXZ6_FXR1.pdf", "Melting_Curves/meltCurve_B4DXZ6_FXR1.pdf")</f>
        <v>Melting_Curves/meltCurve_B4DXZ6_FXR1.pdf</v>
      </c>
    </row>
    <row r="199" spans="1:28" x14ac:dyDescent="0.25">
      <c r="A199" t="s">
        <v>203</v>
      </c>
      <c r="B199">
        <v>0.99999676499088797</v>
      </c>
      <c r="C199">
        <v>0.96388832454668505</v>
      </c>
      <c r="D199">
        <v>0.94113109563285902</v>
      </c>
      <c r="E199">
        <v>0.79605031546360405</v>
      </c>
      <c r="F199">
        <v>0.54383435734811003</v>
      </c>
      <c r="G199">
        <v>0.26193663057800498</v>
      </c>
      <c r="H199">
        <v>0.13566999666231</v>
      </c>
      <c r="I199">
        <v>0.16540881285556699</v>
      </c>
      <c r="J199">
        <v>0.16795044593213099</v>
      </c>
      <c r="K199">
        <v>0.16682616226253799</v>
      </c>
      <c r="L199">
        <v>1133.0984586300201</v>
      </c>
      <c r="M199">
        <v>21.5806046626968</v>
      </c>
      <c r="N199">
        <v>53.324068882478798</v>
      </c>
      <c r="O199">
        <v>52.0608225673571</v>
      </c>
      <c r="P199">
        <v>-8.9020628473104296E-2</v>
      </c>
      <c r="Q199">
        <v>0.14101137049002899</v>
      </c>
      <c r="R199">
        <v>0.99510715651427695</v>
      </c>
      <c r="S199" t="s">
        <v>7202</v>
      </c>
      <c r="T199" t="s">
        <v>14004</v>
      </c>
      <c r="U199" t="s">
        <v>14004</v>
      </c>
      <c r="V199" t="s">
        <v>14004</v>
      </c>
      <c r="W199" t="s">
        <v>14201</v>
      </c>
      <c r="X199">
        <v>9</v>
      </c>
      <c r="Y199" t="s">
        <v>21138</v>
      </c>
      <c r="Z199" t="s">
        <v>27909</v>
      </c>
      <c r="AA199">
        <v>0.5094331465469627</v>
      </c>
      <c r="AB199" t="str">
        <f>HYPERLINK("Melting_Curves/meltCurve_B4DYB4_NUP35.pdf", "Melting_Curves/meltCurve_B4DYB4_NUP35.pdf")</f>
        <v>Melting_Curves/meltCurve_B4DYB4_NUP35.pdf</v>
      </c>
    </row>
    <row r="200" spans="1:28" x14ac:dyDescent="0.25">
      <c r="A200" t="s">
        <v>204</v>
      </c>
      <c r="B200">
        <v>0.99999676499088797</v>
      </c>
      <c r="C200">
        <v>1.02738643441124</v>
      </c>
      <c r="D200">
        <v>0.93279298213875605</v>
      </c>
      <c r="E200">
        <v>0.78579175795039202</v>
      </c>
      <c r="F200">
        <v>0.50227990384744503</v>
      </c>
      <c r="G200">
        <v>0.32186150433534999</v>
      </c>
      <c r="H200">
        <v>0.16492452771827601</v>
      </c>
      <c r="I200">
        <v>0.16156641922571599</v>
      </c>
      <c r="J200">
        <v>0.12568422896836801</v>
      </c>
      <c r="K200">
        <v>9.5736205228684396E-2</v>
      </c>
      <c r="L200">
        <v>935.12887202439003</v>
      </c>
      <c r="M200">
        <v>17.720297413985399</v>
      </c>
      <c r="N200">
        <v>53.461171893429501</v>
      </c>
      <c r="O200">
        <v>52.113324378352097</v>
      </c>
      <c r="P200">
        <v>-7.6328024645706802E-2</v>
      </c>
      <c r="Q200">
        <v>0.10215989918936599</v>
      </c>
      <c r="R200">
        <v>0.99734809153321702</v>
      </c>
      <c r="S200" t="s">
        <v>7203</v>
      </c>
      <c r="T200" t="s">
        <v>14004</v>
      </c>
      <c r="U200" t="s">
        <v>14004</v>
      </c>
      <c r="V200" t="s">
        <v>14004</v>
      </c>
      <c r="W200" t="s">
        <v>14202</v>
      </c>
      <c r="X200">
        <v>8</v>
      </c>
      <c r="Y200" t="s">
        <v>21139</v>
      </c>
      <c r="Z200" t="s">
        <v>27910</v>
      </c>
      <c r="AA200">
        <v>0.4995307382582419</v>
      </c>
      <c r="AB200" t="str">
        <f>HYPERLINK("Melting_Curves/meltCurve_B4DZH6_HDAC6.pdf", "Melting_Curves/meltCurve_B4DZH6_HDAC6.pdf")</f>
        <v>Melting_Curves/meltCurve_B4DZH6_HDAC6.pdf</v>
      </c>
    </row>
    <row r="201" spans="1:28" x14ac:dyDescent="0.25">
      <c r="A201" t="s">
        <v>205</v>
      </c>
      <c r="B201">
        <v>0.99999676499088797</v>
      </c>
      <c r="C201">
        <v>0.99160888354415</v>
      </c>
      <c r="D201">
        <v>1.09233711019658</v>
      </c>
      <c r="E201">
        <v>1.09646494905862</v>
      </c>
      <c r="F201">
        <v>0.82523577231292999</v>
      </c>
      <c r="G201">
        <v>0.65628610972898604</v>
      </c>
      <c r="H201">
        <v>0.435095973811507</v>
      </c>
      <c r="I201">
        <v>0.455892604542114</v>
      </c>
      <c r="J201">
        <v>0.49576915269553201</v>
      </c>
      <c r="K201">
        <v>0.52694390960505699</v>
      </c>
      <c r="L201">
        <v>1847.7435618700699</v>
      </c>
      <c r="M201">
        <v>33.601344541320103</v>
      </c>
      <c r="N201">
        <v>60.6826085991122</v>
      </c>
      <c r="O201">
        <v>54.796491230291302</v>
      </c>
      <c r="P201">
        <v>-7.9928595814286393E-2</v>
      </c>
      <c r="Q201">
        <v>0.47861748318678399</v>
      </c>
      <c r="R201">
        <v>0.95184840408036697</v>
      </c>
      <c r="S201" t="s">
        <v>7204</v>
      </c>
      <c r="T201" t="s">
        <v>14004</v>
      </c>
      <c r="U201" t="s">
        <v>14004</v>
      </c>
      <c r="V201" t="s">
        <v>14004</v>
      </c>
      <c r="W201" t="s">
        <v>14203</v>
      </c>
      <c r="X201">
        <v>2</v>
      </c>
      <c r="Y201" t="s">
        <v>21140</v>
      </c>
      <c r="Z201" t="s">
        <v>27911</v>
      </c>
      <c r="AA201">
        <v>0.74192055670760793</v>
      </c>
      <c r="AB201" t="str">
        <f>HYPERLINK("Melting_Curves/meltCurve_B4E0E3_TMEM134.pdf", "Melting_Curves/meltCurve_B4E0E3_TMEM134.pdf")</f>
        <v>Melting_Curves/meltCurve_B4E0E3_TMEM134.pdf</v>
      </c>
    </row>
    <row r="202" spans="1:28" x14ac:dyDescent="0.25">
      <c r="A202" t="s">
        <v>206</v>
      </c>
      <c r="B202">
        <v>0.99999676499088797</v>
      </c>
      <c r="C202">
        <v>0.78322727017310301</v>
      </c>
      <c r="D202">
        <v>0.35753311534364002</v>
      </c>
      <c r="E202">
        <v>0.22065464721650899</v>
      </c>
      <c r="F202">
        <v>0.20755643362593901</v>
      </c>
      <c r="G202">
        <v>0.111476445239411</v>
      </c>
      <c r="H202">
        <v>6.6679098070477602E-2</v>
      </c>
      <c r="I202">
        <v>6.6012480382906497E-2</v>
      </c>
      <c r="J202">
        <v>8.6413522318439906E-2</v>
      </c>
      <c r="K202">
        <v>7.9184395842093094E-2</v>
      </c>
      <c r="L202">
        <v>1139.99073487075</v>
      </c>
      <c r="M202">
        <v>25.496437239787099</v>
      </c>
      <c r="N202">
        <v>45.120906337973203</v>
      </c>
      <c r="O202">
        <v>44.439434004310499</v>
      </c>
      <c r="P202">
        <v>-0.128631916778079</v>
      </c>
      <c r="Q202">
        <v>0.103206704324989</v>
      </c>
      <c r="R202">
        <v>0.98188876794476398</v>
      </c>
      <c r="S202" t="s">
        <v>7205</v>
      </c>
      <c r="T202" t="s">
        <v>14004</v>
      </c>
      <c r="U202" t="s">
        <v>14004</v>
      </c>
      <c r="V202" t="s">
        <v>14004</v>
      </c>
      <c r="W202" t="s">
        <v>14204</v>
      </c>
      <c r="X202">
        <v>6</v>
      </c>
      <c r="Y202" t="s">
        <v>21141</v>
      </c>
      <c r="Z202" t="s">
        <v>27912</v>
      </c>
      <c r="AA202">
        <v>0.25285776411490002</v>
      </c>
      <c r="AB202" t="str">
        <f>HYPERLINK("Melting_Curves/meltCurve_B4E0T2_PEX5.pdf", "Melting_Curves/meltCurve_B4E0T2_PEX5.pdf")</f>
        <v>Melting_Curves/meltCurve_B4E0T2_PEX5.pdf</v>
      </c>
    </row>
    <row r="203" spans="1:28" x14ac:dyDescent="0.25">
      <c r="A203" t="s">
        <v>207</v>
      </c>
      <c r="B203">
        <v>0.99999676499088797</v>
      </c>
      <c r="C203">
        <v>0.84730581158154294</v>
      </c>
      <c r="D203">
        <v>0.54815950681853498</v>
      </c>
      <c r="E203">
        <v>0.29589163953494502</v>
      </c>
      <c r="F203">
        <v>0.22971552090816599</v>
      </c>
      <c r="G203">
        <v>0.18716811964319899</v>
      </c>
      <c r="H203">
        <v>0.13543399534558101</v>
      </c>
      <c r="I203">
        <v>0.14570038975446301</v>
      </c>
      <c r="J203">
        <v>0.15260429050146401</v>
      </c>
      <c r="K203">
        <v>0.12516472248037</v>
      </c>
      <c r="L203">
        <v>970.33981873398295</v>
      </c>
      <c r="M203">
        <v>21.140448945905302</v>
      </c>
      <c r="N203">
        <v>46.687814419946598</v>
      </c>
      <c r="O203">
        <v>45.494892530227801</v>
      </c>
      <c r="P203">
        <v>-9.8738553606281199E-2</v>
      </c>
      <c r="Q203">
        <v>0.150068656138927</v>
      </c>
      <c r="R203">
        <v>0.99520405730402295</v>
      </c>
      <c r="S203" t="s">
        <v>7206</v>
      </c>
      <c r="T203" t="s">
        <v>14004</v>
      </c>
      <c r="U203" t="s">
        <v>14004</v>
      </c>
      <c r="V203" t="s">
        <v>14004</v>
      </c>
      <c r="W203" t="s">
        <v>14205</v>
      </c>
      <c r="X203">
        <v>5</v>
      </c>
      <c r="Y203" t="s">
        <v>21142</v>
      </c>
      <c r="Z203" t="s">
        <v>27913</v>
      </c>
      <c r="AA203">
        <v>0.32885958160752482</v>
      </c>
      <c r="AB203" t="str">
        <f>HYPERLINK("Melting_Curves/meltCurve_B4E0T7_LRCH3.pdf", "Melting_Curves/meltCurve_B4E0T7_LRCH3.pdf")</f>
        <v>Melting_Curves/meltCurve_B4E0T7_LRCH3.pdf</v>
      </c>
    </row>
    <row r="204" spans="1:28" x14ac:dyDescent="0.25">
      <c r="A204" t="s">
        <v>208</v>
      </c>
      <c r="B204">
        <v>0.99999676499088797</v>
      </c>
      <c r="C204">
        <v>1.01563088461326</v>
      </c>
      <c r="D204">
        <v>1.0302409185373</v>
      </c>
      <c r="E204">
        <v>0.84840142450073996</v>
      </c>
      <c r="F204">
        <v>0.26125671112733601</v>
      </c>
      <c r="G204">
        <v>0.176355391426849</v>
      </c>
      <c r="H204">
        <v>7.6053033676770604E-2</v>
      </c>
      <c r="I204">
        <v>6.6044435740203494E-2</v>
      </c>
      <c r="J204">
        <v>5.7651821908562099E-2</v>
      </c>
      <c r="K204">
        <v>5.1673729764231201E-2</v>
      </c>
      <c r="L204">
        <v>2102.41802114033</v>
      </c>
      <c r="M204">
        <v>40.807714159369901</v>
      </c>
      <c r="N204">
        <v>51.736370983609199</v>
      </c>
      <c r="O204">
        <v>51.396853822143001</v>
      </c>
      <c r="P204">
        <v>-0.18292956877850799</v>
      </c>
      <c r="Q204">
        <v>7.8410886375956904E-2</v>
      </c>
      <c r="R204">
        <v>0.99491996752772305</v>
      </c>
      <c r="S204" t="s">
        <v>7207</v>
      </c>
      <c r="T204" t="s">
        <v>14004</v>
      </c>
      <c r="U204" t="s">
        <v>14004</v>
      </c>
      <c r="V204" t="s">
        <v>14004</v>
      </c>
      <c r="W204" t="s">
        <v>14206</v>
      </c>
      <c r="X204">
        <v>22</v>
      </c>
      <c r="Y204" t="s">
        <v>21143</v>
      </c>
      <c r="Z204" t="s">
        <v>27914</v>
      </c>
      <c r="AA204">
        <v>0.43545627710100648</v>
      </c>
      <c r="AB204" t="str">
        <f>HYPERLINK("Melting_Curves/meltCurve_B4E0Y9_MST4.pdf", "Melting_Curves/meltCurve_B4E0Y9_MST4.pdf")</f>
        <v>Melting_Curves/meltCurve_B4E0Y9_MST4.pdf</v>
      </c>
    </row>
    <row r="205" spans="1:28" x14ac:dyDescent="0.25">
      <c r="A205" t="s">
        <v>209</v>
      </c>
      <c r="B205">
        <v>0.99999676499088797</v>
      </c>
      <c r="C205">
        <v>1.19298782238381</v>
      </c>
      <c r="D205">
        <v>1.08127829615841</v>
      </c>
      <c r="E205">
        <v>0.78311787494100404</v>
      </c>
      <c r="F205">
        <v>0.67106033576060098</v>
      </c>
      <c r="G205">
        <v>0.659749088659908</v>
      </c>
      <c r="H205">
        <v>0.40965406395952297</v>
      </c>
      <c r="I205">
        <v>0.28378775491879399</v>
      </c>
      <c r="J205">
        <v>0.12812414262771499</v>
      </c>
      <c r="K205">
        <v>0.100291428713117</v>
      </c>
      <c r="L205">
        <v>693.03625232001104</v>
      </c>
      <c r="M205">
        <v>11.867939075571201</v>
      </c>
      <c r="N205">
        <v>58.395674064060003</v>
      </c>
      <c r="O205">
        <v>56.811731277556099</v>
      </c>
      <c r="P205">
        <v>-5.2238013971452203E-2</v>
      </c>
      <c r="Q205">
        <v>0</v>
      </c>
      <c r="R205">
        <v>0.937180789522994</v>
      </c>
      <c r="S205" t="s">
        <v>7208</v>
      </c>
      <c r="T205" t="s">
        <v>14004</v>
      </c>
      <c r="U205" t="s">
        <v>14004</v>
      </c>
      <c r="V205" t="s">
        <v>14004</v>
      </c>
      <c r="W205" t="s">
        <v>14207</v>
      </c>
      <c r="X205">
        <v>3</v>
      </c>
      <c r="Y205" t="s">
        <v>21144</v>
      </c>
      <c r="Z205" t="s">
        <v>27915</v>
      </c>
      <c r="AA205">
        <v>0.62393212173162238</v>
      </c>
      <c r="AB205" t="str">
        <f>HYPERLINK("Melting_Curves/meltCurve_B4E1G1_DERL1.pdf", "Melting_Curves/meltCurve_B4E1G1_DERL1.pdf")</f>
        <v>Melting_Curves/meltCurve_B4E1G1_DERL1.pdf</v>
      </c>
    </row>
    <row r="206" spans="1:28" x14ac:dyDescent="0.25">
      <c r="A206" t="s">
        <v>210</v>
      </c>
      <c r="B206">
        <v>0.99999676499088797</v>
      </c>
      <c r="C206">
        <v>1.1196596559454699</v>
      </c>
      <c r="D206">
        <v>1.0517729626858701</v>
      </c>
      <c r="E206">
        <v>1.1224833847335101</v>
      </c>
      <c r="F206">
        <v>0.98454033092501803</v>
      </c>
      <c r="G206">
        <v>0.656026633345414</v>
      </c>
      <c r="H206">
        <v>0.34855347334273301</v>
      </c>
      <c r="I206">
        <v>0.19742924605975801</v>
      </c>
      <c r="J206">
        <v>0.15891040721705599</v>
      </c>
      <c r="K206">
        <v>0.16356887968178099</v>
      </c>
      <c r="L206">
        <v>1767.54956599362</v>
      </c>
      <c r="M206">
        <v>30.578744507137401</v>
      </c>
      <c r="N206">
        <v>58.546623961358002</v>
      </c>
      <c r="O206">
        <v>57.5576896381979</v>
      </c>
      <c r="P206">
        <v>-0.11144938698541899</v>
      </c>
      <c r="Q206">
        <v>0.16089030886101199</v>
      </c>
      <c r="R206">
        <v>0.97650614033817196</v>
      </c>
      <c r="S206" t="s">
        <v>7209</v>
      </c>
      <c r="T206" t="s">
        <v>14004</v>
      </c>
      <c r="U206" t="s">
        <v>14004</v>
      </c>
      <c r="V206" t="s">
        <v>14004</v>
      </c>
      <c r="W206" t="s">
        <v>14208</v>
      </c>
      <c r="X206">
        <v>12</v>
      </c>
      <c r="Y206" t="s">
        <v>21145</v>
      </c>
      <c r="Z206" t="s">
        <v>27916</v>
      </c>
      <c r="AA206">
        <v>0.66421782991362444</v>
      </c>
      <c r="AB206" t="str">
        <f>HYPERLINK("Melting_Curves/meltCurve_B4E1Q4_RIOK3.pdf", "Melting_Curves/meltCurve_B4E1Q4_RIOK3.pdf")</f>
        <v>Melting_Curves/meltCurve_B4E1Q4_RIOK3.pdf</v>
      </c>
    </row>
    <row r="207" spans="1:28" x14ac:dyDescent="0.25">
      <c r="A207" t="s">
        <v>211</v>
      </c>
      <c r="B207">
        <v>0.99999676499088797</v>
      </c>
      <c r="C207">
        <v>1.0182777245830501</v>
      </c>
      <c r="D207">
        <v>0.98145817876014996</v>
      </c>
      <c r="E207">
        <v>0.75286324137416205</v>
      </c>
      <c r="F207">
        <v>0.63059936871007305</v>
      </c>
      <c r="G207">
        <v>0.56486785032957698</v>
      </c>
      <c r="H207">
        <v>0.29632802633070898</v>
      </c>
      <c r="I207">
        <v>0.35763493966596099</v>
      </c>
      <c r="J207">
        <v>0.390745063225231</v>
      </c>
      <c r="K207">
        <v>0.40521427946654998</v>
      </c>
      <c r="L207">
        <v>893.76763107817305</v>
      </c>
      <c r="M207">
        <v>17.1522946743669</v>
      </c>
      <c r="N207">
        <v>56.167700391857998</v>
      </c>
      <c r="O207">
        <v>51.414941412301403</v>
      </c>
      <c r="P207">
        <v>-5.3773699762933003E-2</v>
      </c>
      <c r="Q207">
        <v>0.35528005380359601</v>
      </c>
      <c r="R207">
        <v>0.96117058142121603</v>
      </c>
      <c r="S207" t="s">
        <v>7210</v>
      </c>
      <c r="T207" t="s">
        <v>14004</v>
      </c>
      <c r="U207" t="s">
        <v>14004</v>
      </c>
      <c r="V207" t="s">
        <v>14004</v>
      </c>
      <c r="W207" t="s">
        <v>14209</v>
      </c>
      <c r="X207">
        <v>12</v>
      </c>
      <c r="Y207" t="s">
        <v>21146</v>
      </c>
      <c r="Z207" t="s">
        <v>27917</v>
      </c>
      <c r="AA207">
        <v>0.62709659163090725</v>
      </c>
      <c r="AB207" t="str">
        <f>HYPERLINK("Melting_Curves/meltCurve_B4E241_SFRS3.pdf", "Melting_Curves/meltCurve_B4E241_SFRS3.pdf")</f>
        <v>Melting_Curves/meltCurve_B4E241_SFRS3.pdf</v>
      </c>
    </row>
    <row r="208" spans="1:28" x14ac:dyDescent="0.25">
      <c r="A208" t="s">
        <v>212</v>
      </c>
      <c r="B208">
        <v>0.99999676499088797</v>
      </c>
      <c r="C208">
        <v>0.79003698540772904</v>
      </c>
      <c r="D208">
        <v>0.69155400808430001</v>
      </c>
      <c r="E208">
        <v>0.76658625320623597</v>
      </c>
      <c r="F208">
        <v>0.62189863731578199</v>
      </c>
      <c r="G208">
        <v>0.81856980016917702</v>
      </c>
      <c r="H208">
        <v>0.50726383269582997</v>
      </c>
      <c r="I208">
        <v>0.65669447253767399</v>
      </c>
      <c r="J208">
        <v>0.73144838590686001</v>
      </c>
      <c r="K208">
        <v>0.89054661587322204</v>
      </c>
      <c r="L208">
        <v>10683.3186639263</v>
      </c>
      <c r="M208">
        <v>250</v>
      </c>
      <c r="O208">
        <v>42.730540007068498</v>
      </c>
      <c r="P208">
        <v>-0.42333561378026902</v>
      </c>
      <c r="Q208">
        <v>0.71057025022542797</v>
      </c>
      <c r="R208">
        <v>0.43312616727757203</v>
      </c>
      <c r="S208" t="s">
        <v>7211</v>
      </c>
      <c r="T208" t="s">
        <v>14004</v>
      </c>
      <c r="U208" t="s">
        <v>14004</v>
      </c>
      <c r="V208" t="s">
        <v>14004</v>
      </c>
      <c r="W208" t="s">
        <v>14210</v>
      </c>
      <c r="X208">
        <v>4</v>
      </c>
      <c r="Y208" t="s">
        <v>21147</v>
      </c>
      <c r="Z208" t="s">
        <v>27918</v>
      </c>
      <c r="AA208">
        <v>0.73696165640958555</v>
      </c>
      <c r="AB208" t="str">
        <f>HYPERLINK("Melting_Curves/meltCurve_B4E2S7_LAMP2.pdf", "Melting_Curves/meltCurve_B4E2S7_LAMP2.pdf")</f>
        <v>Melting_Curves/meltCurve_B4E2S7_LAMP2.pdf</v>
      </c>
    </row>
    <row r="209" spans="1:28" x14ac:dyDescent="0.25">
      <c r="A209" t="s">
        <v>213</v>
      </c>
      <c r="B209">
        <v>0.99999676499088797</v>
      </c>
      <c r="C209">
        <v>1.03742402219104</v>
      </c>
      <c r="D209">
        <v>1.03157813009944</v>
      </c>
      <c r="E209">
        <v>0.88184959399816398</v>
      </c>
      <c r="F209">
        <v>1.0488432345055601</v>
      </c>
      <c r="G209">
        <v>0.89559702216494597</v>
      </c>
      <c r="H209">
        <v>0.68821828713479605</v>
      </c>
      <c r="I209">
        <v>0.494504247269552</v>
      </c>
      <c r="J209">
        <v>0.40869237326560398</v>
      </c>
      <c r="K209">
        <v>0.32017052218104802</v>
      </c>
      <c r="L209">
        <v>1398.34764745292</v>
      </c>
      <c r="M209">
        <v>22.743896346781199</v>
      </c>
      <c r="N209">
        <v>63.982342709528901</v>
      </c>
      <c r="O209">
        <v>61.012939618807998</v>
      </c>
      <c r="P209">
        <v>-6.5758197609048899E-2</v>
      </c>
      <c r="Q209">
        <v>0.294400149309126</v>
      </c>
      <c r="R209">
        <v>0.97010601362473703</v>
      </c>
      <c r="S209" t="s">
        <v>7212</v>
      </c>
      <c r="T209" t="s">
        <v>14004</v>
      </c>
      <c r="U209" t="s">
        <v>14004</v>
      </c>
      <c r="V209" t="s">
        <v>14004</v>
      </c>
      <c r="W209" t="s">
        <v>14211</v>
      </c>
      <c r="X209">
        <v>6</v>
      </c>
      <c r="Y209" t="s">
        <v>21148</v>
      </c>
      <c r="Z209" t="s">
        <v>27919</v>
      </c>
      <c r="AA209">
        <v>0.80349353415900182</v>
      </c>
      <c r="AB209" t="str">
        <f>HYPERLINK("Melting_Curves/meltCurve_B4E2V5_STOM.pdf", "Melting_Curves/meltCurve_B4E2V5_STOM.pdf")</f>
        <v>Melting_Curves/meltCurve_B4E2V5_STOM.pdf</v>
      </c>
    </row>
    <row r="210" spans="1:28" x14ac:dyDescent="0.25">
      <c r="A210" t="s">
        <v>214</v>
      </c>
      <c r="B210">
        <v>0.99999676499088797</v>
      </c>
      <c r="C210">
        <v>0.92184125589490795</v>
      </c>
      <c r="D210">
        <v>0.72182494489940796</v>
      </c>
      <c r="E210">
        <v>0.37121711761283399</v>
      </c>
      <c r="F210">
        <v>0.27373162860525402</v>
      </c>
      <c r="G210">
        <v>0.181541565020576</v>
      </c>
      <c r="H210">
        <v>9.74662300968068E-2</v>
      </c>
      <c r="I210">
        <v>0.107469336934015</v>
      </c>
      <c r="J210">
        <v>9.0007917285810396E-2</v>
      </c>
      <c r="K210">
        <v>8.6472134736700595E-2</v>
      </c>
      <c r="L210">
        <v>870.68435612953897</v>
      </c>
      <c r="M210">
        <v>18.154424870155999</v>
      </c>
      <c r="N210">
        <v>48.542093107405002</v>
      </c>
      <c r="O210">
        <v>47.3893361038526</v>
      </c>
      <c r="P210">
        <v>-8.6407147383491104E-2</v>
      </c>
      <c r="Q210">
        <v>9.7832720434614107E-2</v>
      </c>
      <c r="R210">
        <v>0.99397331781879095</v>
      </c>
      <c r="S210" t="s">
        <v>7213</v>
      </c>
      <c r="T210" t="s">
        <v>14004</v>
      </c>
      <c r="U210" t="s">
        <v>14004</v>
      </c>
      <c r="V210" t="s">
        <v>14004</v>
      </c>
      <c r="W210" t="s">
        <v>14212</v>
      </c>
      <c r="X210">
        <v>8</v>
      </c>
      <c r="Y210" t="s">
        <v>21149</v>
      </c>
      <c r="Z210" t="s">
        <v>27920</v>
      </c>
      <c r="AA210">
        <v>0.35294699987672901</v>
      </c>
      <c r="AB210" t="str">
        <f>HYPERLINK("Melting_Curves/meltCurve_B4E2X3_METTL13.pdf", "Melting_Curves/meltCurve_B4E2X3_METTL13.pdf")</f>
        <v>Melting_Curves/meltCurve_B4E2X3_METTL13.pdf</v>
      </c>
    </row>
    <row r="211" spans="1:28" x14ac:dyDescent="0.25">
      <c r="A211" t="s">
        <v>215</v>
      </c>
      <c r="B211">
        <v>0.99999676499088797</v>
      </c>
      <c r="C211">
        <v>0.93445857675700605</v>
      </c>
      <c r="D211">
        <v>0.77716152716448905</v>
      </c>
      <c r="E211">
        <v>0.63799097953430295</v>
      </c>
      <c r="F211">
        <v>0.33114375713200001</v>
      </c>
      <c r="G211">
        <v>0.21759692383439899</v>
      </c>
      <c r="H211">
        <v>9.4025527471766401E-2</v>
      </c>
      <c r="I211">
        <v>9.2035539065477803E-2</v>
      </c>
      <c r="J211">
        <v>0.10582496468764301</v>
      </c>
      <c r="K211">
        <v>8.5008711894862504E-2</v>
      </c>
      <c r="L211">
        <v>758.36066769167098</v>
      </c>
      <c r="M211">
        <v>15.0418242800872</v>
      </c>
      <c r="N211">
        <v>50.859086943161998</v>
      </c>
      <c r="O211">
        <v>49.550882771705801</v>
      </c>
      <c r="P211">
        <v>-7.1245286258665899E-2</v>
      </c>
      <c r="Q211">
        <v>6.1306924863061697E-2</v>
      </c>
      <c r="R211">
        <v>0.99424704192409497</v>
      </c>
      <c r="S211" t="s">
        <v>7214</v>
      </c>
      <c r="T211" t="s">
        <v>14004</v>
      </c>
      <c r="U211" t="s">
        <v>14004</v>
      </c>
      <c r="V211" t="s">
        <v>14004</v>
      </c>
      <c r="W211" t="s">
        <v>14213</v>
      </c>
      <c r="X211">
        <v>3</v>
      </c>
      <c r="Y211" t="s">
        <v>21150</v>
      </c>
      <c r="Z211" t="s">
        <v>27921</v>
      </c>
      <c r="AA211">
        <v>0.40922991760726851</v>
      </c>
      <c r="AB211" t="str">
        <f>HYPERLINK("Melting_Curves/meltCurve_B4E3Q1_CLSTN1.pdf", "Melting_Curves/meltCurve_B4E3Q1_CLSTN1.pdf")</f>
        <v>Melting_Curves/meltCurve_B4E3Q1_CLSTN1.pdf</v>
      </c>
    </row>
    <row r="212" spans="1:28" x14ac:dyDescent="0.25">
      <c r="A212" t="s">
        <v>216</v>
      </c>
      <c r="B212">
        <v>0.99999676499088797</v>
      </c>
      <c r="C212">
        <v>0.85461684846022101</v>
      </c>
      <c r="D212">
        <v>0.97251254752536398</v>
      </c>
      <c r="E212">
        <v>0.95032134763196796</v>
      </c>
      <c r="F212">
        <v>0.82537206480374803</v>
      </c>
      <c r="G212">
        <v>0.74450474396966204</v>
      </c>
      <c r="H212">
        <v>0.45822022786778399</v>
      </c>
      <c r="I212">
        <v>0.27671710541153499</v>
      </c>
      <c r="J212">
        <v>0.15306751435670701</v>
      </c>
      <c r="K212">
        <v>8.0351151582973498E-2</v>
      </c>
      <c r="L212">
        <v>915.17770120805699</v>
      </c>
      <c r="M212">
        <v>15.2507176825758</v>
      </c>
      <c r="N212">
        <v>60.008828621222797</v>
      </c>
      <c r="O212">
        <v>59.005430036543103</v>
      </c>
      <c r="P212">
        <v>-6.4621854337044801E-2</v>
      </c>
      <c r="Q212">
        <v>0</v>
      </c>
      <c r="R212">
        <v>0.97735856030833801</v>
      </c>
      <c r="S212" t="s">
        <v>7215</v>
      </c>
      <c r="T212" t="s">
        <v>14004</v>
      </c>
      <c r="U212" t="s">
        <v>14004</v>
      </c>
      <c r="V212" t="s">
        <v>14004</v>
      </c>
      <c r="W212" t="s">
        <v>14214</v>
      </c>
      <c r="X212">
        <v>6</v>
      </c>
      <c r="Y212" t="s">
        <v>21151</v>
      </c>
      <c r="Z212" t="s">
        <v>27922</v>
      </c>
      <c r="AA212">
        <v>0.67400228066008583</v>
      </c>
      <c r="AB212" t="str">
        <f>HYPERLINK("Melting_Curves/meltCurve_B4E3Q4_CECR1.pdf", "Melting_Curves/meltCurve_B4E3Q4_CECR1.pdf")</f>
        <v>Melting_Curves/meltCurve_B4E3Q4_CECR1.pdf</v>
      </c>
    </row>
    <row r="213" spans="1:28" x14ac:dyDescent="0.25">
      <c r="A213" t="s">
        <v>217</v>
      </c>
      <c r="B213">
        <v>0.99999676499088797</v>
      </c>
      <c r="C213">
        <v>1.0969135281437701</v>
      </c>
      <c r="D213">
        <v>0.95617469957183598</v>
      </c>
      <c r="E213">
        <v>0.53958946322262102</v>
      </c>
      <c r="F213">
        <v>0.43049947591215498</v>
      </c>
      <c r="G213">
        <v>0.76433470886270904</v>
      </c>
      <c r="H213">
        <v>0.26065291027556697</v>
      </c>
      <c r="I213">
        <v>0.42484852417811297</v>
      </c>
      <c r="J213">
        <v>0.49923290003700999</v>
      </c>
      <c r="K213">
        <v>0.15516930219129399</v>
      </c>
      <c r="L213">
        <v>2440.8792908492801</v>
      </c>
      <c r="M213">
        <v>50.5477083124781</v>
      </c>
      <c r="N213">
        <v>50.120953154603299</v>
      </c>
      <c r="O213">
        <v>48.213224325898899</v>
      </c>
      <c r="P213">
        <v>-0.151701624152319</v>
      </c>
      <c r="Q213">
        <v>0.42121858921260003</v>
      </c>
      <c r="R213">
        <v>0.75692748420500799</v>
      </c>
      <c r="S213" t="s">
        <v>7216</v>
      </c>
      <c r="T213" t="s">
        <v>14004</v>
      </c>
      <c r="U213" t="s">
        <v>14004</v>
      </c>
      <c r="V213" t="s">
        <v>14004</v>
      </c>
      <c r="W213" t="s">
        <v>14215</v>
      </c>
      <c r="X213">
        <v>1</v>
      </c>
      <c r="Y213" t="s">
        <v>21152</v>
      </c>
      <c r="Z213" t="s">
        <v>27923</v>
      </c>
      <c r="AA213">
        <v>0.58233508769540021</v>
      </c>
      <c r="AB213" t="str">
        <f>HYPERLINK("Melting_Curves/meltCurve_B5MBW9_CHCHD10.pdf", "Melting_Curves/meltCurve_B5MBW9_CHCHD10.pdf")</f>
        <v>Melting_Curves/meltCurve_B5MBW9_CHCHD10.pdf</v>
      </c>
    </row>
    <row r="214" spans="1:28" x14ac:dyDescent="0.25">
      <c r="A214" t="s">
        <v>218</v>
      </c>
      <c r="B214">
        <v>0.99999676499088797</v>
      </c>
      <c r="C214">
        <v>0.92259572305091497</v>
      </c>
      <c r="D214">
        <v>0.84654501781003799</v>
      </c>
      <c r="E214">
        <v>0.90325234577348101</v>
      </c>
      <c r="F214">
        <v>0.64089627370232705</v>
      </c>
      <c r="G214">
        <v>0.44804521513083401</v>
      </c>
      <c r="H214">
        <v>0.28867828443309002</v>
      </c>
      <c r="I214">
        <v>0.26764360578113999</v>
      </c>
      <c r="J214">
        <v>0.24753721069262799</v>
      </c>
      <c r="K214">
        <v>0.31274458493863999</v>
      </c>
      <c r="L214">
        <v>922.65727396004604</v>
      </c>
      <c r="M214">
        <v>17.252053025141599</v>
      </c>
      <c r="N214">
        <v>55.615780622368597</v>
      </c>
      <c r="O214">
        <v>52.777959915181498</v>
      </c>
      <c r="P214">
        <v>-6.1935593063358302E-2</v>
      </c>
      <c r="Q214">
        <v>0.24214388186949301</v>
      </c>
      <c r="R214">
        <v>0.97015577825086996</v>
      </c>
      <c r="S214" t="s">
        <v>7217</v>
      </c>
      <c r="T214" t="s">
        <v>14004</v>
      </c>
      <c r="U214" t="s">
        <v>14004</v>
      </c>
      <c r="V214" t="s">
        <v>14004</v>
      </c>
      <c r="W214" t="s">
        <v>14216</v>
      </c>
      <c r="X214">
        <v>1</v>
      </c>
      <c r="Y214" t="s">
        <v>21153</v>
      </c>
      <c r="Z214" t="s">
        <v>27924</v>
      </c>
      <c r="AA214">
        <v>0.59580424390989373</v>
      </c>
      <c r="AB214" t="str">
        <f>HYPERLINK("Melting_Curves/meltCurve_B5MBX5_LBH.pdf", "Melting_Curves/meltCurve_B5MBX5_LBH.pdf")</f>
        <v>Melting_Curves/meltCurve_B5MBX5_LBH.pdf</v>
      </c>
    </row>
    <row r="215" spans="1:28" x14ac:dyDescent="0.25">
      <c r="A215" t="s">
        <v>219</v>
      </c>
      <c r="B215">
        <v>0.99999676499088797</v>
      </c>
      <c r="C215">
        <v>0.78217865047792001</v>
      </c>
      <c r="D215">
        <v>0.67466456283499598</v>
      </c>
      <c r="E215">
        <v>0.518729221721832</v>
      </c>
      <c r="F215">
        <v>0.34706429353817603</v>
      </c>
      <c r="G215">
        <v>0.172655031716063</v>
      </c>
      <c r="H215">
        <v>8.9820959338676898E-2</v>
      </c>
      <c r="I215">
        <v>0.10996471904529399</v>
      </c>
      <c r="J215">
        <v>0.12707832785071399</v>
      </c>
      <c r="K215">
        <v>6.7189557697175994E-2</v>
      </c>
      <c r="L215">
        <v>559.38350338885596</v>
      </c>
      <c r="M215">
        <v>11.4221084523826</v>
      </c>
      <c r="N215">
        <v>49.356241367806497</v>
      </c>
      <c r="O215">
        <v>47.544709661437899</v>
      </c>
      <c r="P215">
        <v>-5.75327274318315E-2</v>
      </c>
      <c r="Q215">
        <v>4.2355813693882499E-2</v>
      </c>
      <c r="R215">
        <v>0.98467803507740903</v>
      </c>
      <c r="S215" t="s">
        <v>7218</v>
      </c>
      <c r="T215" t="s">
        <v>14004</v>
      </c>
      <c r="U215" t="s">
        <v>14004</v>
      </c>
      <c r="V215" t="s">
        <v>14004</v>
      </c>
      <c r="W215" t="s">
        <v>14217</v>
      </c>
      <c r="X215">
        <v>1</v>
      </c>
      <c r="Y215" t="s">
        <v>21154</v>
      </c>
      <c r="Z215" t="s">
        <v>27925</v>
      </c>
      <c r="AA215">
        <v>0.36703944372620728</v>
      </c>
      <c r="AB215" t="str">
        <f>HYPERLINK("Melting_Curves/meltCurve_B5MC51_LIMK2.pdf", "Melting_Curves/meltCurve_B5MC51_LIMK2.pdf")</f>
        <v>Melting_Curves/meltCurve_B5MC51_LIMK2.pdf</v>
      </c>
    </row>
    <row r="216" spans="1:28" x14ac:dyDescent="0.25">
      <c r="A216" t="s">
        <v>220</v>
      </c>
      <c r="B216">
        <v>0.99999676499088797</v>
      </c>
      <c r="C216">
        <v>0.97345154196999595</v>
      </c>
      <c r="D216">
        <v>0.91902109728901105</v>
      </c>
      <c r="E216">
        <v>0.93836617881546303</v>
      </c>
      <c r="F216">
        <v>0.86027008546053796</v>
      </c>
      <c r="G216">
        <v>0.45400495051560902</v>
      </c>
      <c r="H216">
        <v>0.16248719559984601</v>
      </c>
      <c r="I216">
        <v>9.5449419295337096E-2</v>
      </c>
      <c r="J216">
        <v>6.2032044433789499E-2</v>
      </c>
      <c r="K216">
        <v>5.9748623840520501E-2</v>
      </c>
      <c r="L216">
        <v>1562.47066987415</v>
      </c>
      <c r="M216">
        <v>27.786801806791001</v>
      </c>
      <c r="N216">
        <v>56.475593599080497</v>
      </c>
      <c r="O216">
        <v>55.941856760262603</v>
      </c>
      <c r="P216">
        <v>-0.11712956527599599</v>
      </c>
      <c r="Q216">
        <v>5.6762630377827097E-2</v>
      </c>
      <c r="R216">
        <v>0.99435442100993798</v>
      </c>
      <c r="S216" t="s">
        <v>7219</v>
      </c>
      <c r="T216" t="s">
        <v>14004</v>
      </c>
      <c r="U216" t="s">
        <v>14004</v>
      </c>
      <c r="V216" t="s">
        <v>14004</v>
      </c>
      <c r="W216" t="s">
        <v>14218</v>
      </c>
      <c r="X216">
        <v>3</v>
      </c>
      <c r="Y216" t="s">
        <v>21155</v>
      </c>
      <c r="Z216" t="s">
        <v>27926</v>
      </c>
      <c r="AA216">
        <v>0.57428991355372239</v>
      </c>
      <c r="AB216" t="str">
        <f>HYPERLINK("Melting_Curves/meltCurve_B5MC53_MPV17.pdf", "Melting_Curves/meltCurve_B5MC53_MPV17.pdf")</f>
        <v>Melting_Curves/meltCurve_B5MC53_MPV17.pdf</v>
      </c>
    </row>
    <row r="217" spans="1:28" x14ac:dyDescent="0.25">
      <c r="A217" t="s">
        <v>221</v>
      </c>
      <c r="B217">
        <v>0.99999676499088797</v>
      </c>
      <c r="C217">
        <v>0.87604508874806997</v>
      </c>
      <c r="D217">
        <v>0.716129729669715</v>
      </c>
      <c r="E217">
        <v>0.77743751252786897</v>
      </c>
      <c r="F217">
        <v>0.61650800139669504</v>
      </c>
      <c r="G217">
        <v>0.48327486930257701</v>
      </c>
      <c r="H217">
        <v>0.40926345473500803</v>
      </c>
      <c r="I217">
        <v>0.38828609579449502</v>
      </c>
      <c r="J217">
        <v>0.39255671632705802</v>
      </c>
      <c r="K217">
        <v>0.496200336827051</v>
      </c>
      <c r="L217">
        <v>507.68702031624798</v>
      </c>
      <c r="M217">
        <v>10.231487957465299</v>
      </c>
      <c r="N217">
        <v>57.412362218892902</v>
      </c>
      <c r="O217">
        <v>47.836581823554397</v>
      </c>
      <c r="P217">
        <v>-3.3418446735756203E-2</v>
      </c>
      <c r="Q217">
        <v>0.375296254591445</v>
      </c>
      <c r="R217">
        <v>0.92094114992357301</v>
      </c>
      <c r="S217" t="s">
        <v>7220</v>
      </c>
      <c r="T217" t="s">
        <v>14004</v>
      </c>
      <c r="U217" t="s">
        <v>14004</v>
      </c>
      <c r="V217" t="s">
        <v>14004</v>
      </c>
      <c r="W217" t="s">
        <v>14219</v>
      </c>
      <c r="X217">
        <v>1</v>
      </c>
      <c r="Y217" t="s">
        <v>21156</v>
      </c>
      <c r="Z217" t="s">
        <v>27927</v>
      </c>
      <c r="AA217">
        <v>0.60380187594721602</v>
      </c>
      <c r="AB217" t="str">
        <f>HYPERLINK("Melting_Curves/meltCurve_B5MCD7_SYNGR1.pdf", "Melting_Curves/meltCurve_B5MCD7_SYNGR1.pdf")</f>
        <v>Melting_Curves/meltCurve_B5MCD7_SYNGR1.pdf</v>
      </c>
    </row>
    <row r="218" spans="1:28" x14ac:dyDescent="0.25">
      <c r="A218" t="s">
        <v>222</v>
      </c>
      <c r="B218">
        <v>0.99999676499088797</v>
      </c>
      <c r="C218">
        <v>0.84591860614924796</v>
      </c>
      <c r="D218">
        <v>0.47008088355416699</v>
      </c>
      <c r="E218">
        <v>0.29052585185935198</v>
      </c>
      <c r="F218">
        <v>0.20024044207761399</v>
      </c>
      <c r="G218">
        <v>0.11646668333275099</v>
      </c>
      <c r="H218">
        <v>7.0903530450473595E-2</v>
      </c>
      <c r="I218">
        <v>6.6358343215214402E-2</v>
      </c>
      <c r="J218">
        <v>5.9306120723722301E-2</v>
      </c>
      <c r="K218">
        <v>5.9609700265176903E-2</v>
      </c>
      <c r="L218">
        <v>864.84367598583401</v>
      </c>
      <c r="M218">
        <v>18.803835242380899</v>
      </c>
      <c r="N218">
        <v>46.4001373299064</v>
      </c>
      <c r="O218">
        <v>45.482261576985202</v>
      </c>
      <c r="P218">
        <v>-9.5500564638467206E-2</v>
      </c>
      <c r="Q218">
        <v>7.6061052065106605E-2</v>
      </c>
      <c r="R218">
        <v>0.98721529399623298</v>
      </c>
      <c r="S218" t="s">
        <v>7221</v>
      </c>
      <c r="T218" t="s">
        <v>14004</v>
      </c>
      <c r="U218" t="s">
        <v>14004</v>
      </c>
      <c r="V218" t="s">
        <v>14004</v>
      </c>
      <c r="W218" t="s">
        <v>14220</v>
      </c>
      <c r="X218">
        <v>15</v>
      </c>
      <c r="Y218" t="s">
        <v>21157</v>
      </c>
      <c r="Z218" t="s">
        <v>27928</v>
      </c>
      <c r="AA218">
        <v>0.27707784172995198</v>
      </c>
      <c r="AB218" t="str">
        <f>HYPERLINK("Melting_Curves/meltCurve_B5MCF9_PES1.pdf", "Melting_Curves/meltCurve_B5MCF9_PES1.pdf")</f>
        <v>Melting_Curves/meltCurve_B5MCF9_PES1.pdf</v>
      </c>
    </row>
    <row r="219" spans="1:28" x14ac:dyDescent="0.25">
      <c r="A219" t="s">
        <v>223</v>
      </c>
      <c r="B219">
        <v>0.99999676499088797</v>
      </c>
      <c r="C219">
        <v>0.986148877387096</v>
      </c>
      <c r="D219">
        <v>0.79823689498577499</v>
      </c>
      <c r="E219">
        <v>0.50768250265001802</v>
      </c>
      <c r="F219">
        <v>0.32327620084917202</v>
      </c>
      <c r="G219">
        <v>0.27934786557626201</v>
      </c>
      <c r="H219">
        <v>0.151049442517113</v>
      </c>
      <c r="I219">
        <v>0.154129665419725</v>
      </c>
      <c r="J219">
        <v>0.189298444671746</v>
      </c>
      <c r="K219">
        <v>0.173636194559114</v>
      </c>
      <c r="L219">
        <v>935.45940901651397</v>
      </c>
      <c r="M219">
        <v>19.145519380492701</v>
      </c>
      <c r="N219">
        <v>49.950896899479403</v>
      </c>
      <c r="O219">
        <v>48.336809906313903</v>
      </c>
      <c r="P219">
        <v>-8.2111890913836902E-2</v>
      </c>
      <c r="Q219">
        <v>0.1707987673678</v>
      </c>
      <c r="R219">
        <v>0.99291828615061895</v>
      </c>
      <c r="S219" t="s">
        <v>7222</v>
      </c>
      <c r="T219" t="s">
        <v>14004</v>
      </c>
      <c r="U219" t="s">
        <v>14004</v>
      </c>
      <c r="V219" t="s">
        <v>14004</v>
      </c>
      <c r="W219" t="s">
        <v>14221</v>
      </c>
      <c r="X219">
        <v>3</v>
      </c>
      <c r="Y219" t="s">
        <v>21158</v>
      </c>
      <c r="Z219" t="s">
        <v>27929</v>
      </c>
      <c r="AA219">
        <v>0.4284170247117764</v>
      </c>
      <c r="AB219" t="str">
        <f>HYPERLINK("Melting_Curves/meltCurve_B5MCN7_NCOA1.pdf", "Melting_Curves/meltCurve_B5MCN7_NCOA1.pdf")</f>
        <v>Melting_Curves/meltCurve_B5MCN7_NCOA1.pdf</v>
      </c>
    </row>
    <row r="220" spans="1:28" x14ac:dyDescent="0.25">
      <c r="A220" t="s">
        <v>224</v>
      </c>
      <c r="B220">
        <v>0.99999676499088797</v>
      </c>
      <c r="C220">
        <v>1.04710195337909</v>
      </c>
      <c r="D220">
        <v>0.93389292023968395</v>
      </c>
      <c r="E220">
        <v>0.84392069058497399</v>
      </c>
      <c r="F220">
        <v>0.28188944132955102</v>
      </c>
      <c r="G220">
        <v>0.198688952493628</v>
      </c>
      <c r="H220">
        <v>0.10623754941406</v>
      </c>
      <c r="I220">
        <v>8.2808054317756799E-2</v>
      </c>
      <c r="J220">
        <v>8.8603233229291506E-2</v>
      </c>
      <c r="K220">
        <v>9.2106253564637003E-2</v>
      </c>
      <c r="L220">
        <v>1953.3210766773</v>
      </c>
      <c r="M220">
        <v>37.9594250602484</v>
      </c>
      <c r="N220">
        <v>51.778675387190397</v>
      </c>
      <c r="O220">
        <v>51.3159415134323</v>
      </c>
      <c r="P220">
        <v>-0.16556696132145299</v>
      </c>
      <c r="Q220">
        <v>0.104706919456793</v>
      </c>
      <c r="R220">
        <v>0.99269010423420201</v>
      </c>
      <c r="S220" t="s">
        <v>7223</v>
      </c>
      <c r="T220" t="s">
        <v>14004</v>
      </c>
      <c r="U220" t="s">
        <v>14004</v>
      </c>
      <c r="V220" t="s">
        <v>14004</v>
      </c>
      <c r="W220" t="s">
        <v>14222</v>
      </c>
      <c r="X220">
        <v>13</v>
      </c>
      <c r="Y220" t="s">
        <v>21159</v>
      </c>
      <c r="Z220" t="s">
        <v>27930</v>
      </c>
      <c r="AA220">
        <v>0.45019066060650093</v>
      </c>
      <c r="AB220" t="str">
        <f>HYPERLINK("Melting_Curves/meltCurve_B5MCT7_PPM1F.pdf", "Melting_Curves/meltCurve_B5MCT7_PPM1F.pdf")</f>
        <v>Melting_Curves/meltCurve_B5MCT7_PPM1F.pdf</v>
      </c>
    </row>
    <row r="221" spans="1:28" x14ac:dyDescent="0.25">
      <c r="A221" t="s">
        <v>225</v>
      </c>
      <c r="B221">
        <v>0.99999676499088797</v>
      </c>
      <c r="C221">
        <v>0.66344409955351702</v>
      </c>
      <c r="D221">
        <v>0.33606121790075799</v>
      </c>
      <c r="E221">
        <v>0.138285448728657</v>
      </c>
      <c r="F221">
        <v>9.6574975774664201E-2</v>
      </c>
      <c r="G221">
        <v>7.8686580858318395E-2</v>
      </c>
      <c r="H221">
        <v>5.8947168017371203E-2</v>
      </c>
      <c r="I221">
        <v>3.03769691669372E-2</v>
      </c>
      <c r="J221">
        <v>3.3586332248538402E-2</v>
      </c>
      <c r="K221">
        <v>3.5815704562083099E-2</v>
      </c>
      <c r="L221">
        <v>1049.7574438674001</v>
      </c>
      <c r="M221">
        <v>23.708073231884999</v>
      </c>
      <c r="N221">
        <v>44.491133358793903</v>
      </c>
      <c r="O221">
        <v>43.967058269347397</v>
      </c>
      <c r="P221">
        <v>-0.12758743297987801</v>
      </c>
      <c r="Q221">
        <v>5.3562731061933898E-2</v>
      </c>
      <c r="R221">
        <v>0.99112047837343298</v>
      </c>
      <c r="S221" t="s">
        <v>7224</v>
      </c>
      <c r="T221" t="s">
        <v>14004</v>
      </c>
      <c r="U221" t="s">
        <v>14004</v>
      </c>
      <c r="V221" t="s">
        <v>14004</v>
      </c>
      <c r="W221" t="s">
        <v>14223</v>
      </c>
      <c r="X221">
        <v>2</v>
      </c>
      <c r="Y221" t="s">
        <v>21160</v>
      </c>
      <c r="Z221" t="s">
        <v>27931</v>
      </c>
      <c r="AA221">
        <v>0.2003097457099966</v>
      </c>
      <c r="AB221" t="str">
        <f>HYPERLINK("Melting_Curves/meltCurve_B5MCT9_STXBP4.pdf", "Melting_Curves/meltCurve_B5MCT9_STXBP4.pdf")</f>
        <v>Melting_Curves/meltCurve_B5MCT9_STXBP4.pdf</v>
      </c>
    </row>
    <row r="222" spans="1:28" x14ac:dyDescent="0.25">
      <c r="A222" t="s">
        <v>226</v>
      </c>
      <c r="B222">
        <v>0.99999676499088797</v>
      </c>
      <c r="C222">
        <v>0.94381345523917703</v>
      </c>
      <c r="D222">
        <v>0.87912496343786894</v>
      </c>
      <c r="E222">
        <v>0.79029798014138997</v>
      </c>
      <c r="F222">
        <v>0.792925309731906</v>
      </c>
      <c r="G222">
        <v>0.74311258751300302</v>
      </c>
      <c r="H222">
        <v>0.419805565753407</v>
      </c>
      <c r="I222">
        <v>0.45656961735518797</v>
      </c>
      <c r="J222">
        <v>0.40465731108587899</v>
      </c>
      <c r="K222">
        <v>0.51369674068128601</v>
      </c>
      <c r="L222">
        <v>517.76744681218804</v>
      </c>
      <c r="M222">
        <v>9.3298359354977105</v>
      </c>
      <c r="N222">
        <v>63.185676906543499</v>
      </c>
      <c r="O222">
        <v>53.125250136964198</v>
      </c>
      <c r="P222">
        <v>-2.90235962756334E-2</v>
      </c>
      <c r="Q222">
        <v>0.33936264085863399</v>
      </c>
      <c r="R222">
        <v>0.90137621991915695</v>
      </c>
      <c r="S222" t="s">
        <v>7225</v>
      </c>
      <c r="T222" t="s">
        <v>14004</v>
      </c>
      <c r="U222" t="s">
        <v>14004</v>
      </c>
      <c r="V222" t="s">
        <v>14004</v>
      </c>
      <c r="W222" t="s">
        <v>14224</v>
      </c>
      <c r="X222">
        <v>1</v>
      </c>
      <c r="Y222" t="s">
        <v>21161</v>
      </c>
      <c r="Z222" t="s">
        <v>27932</v>
      </c>
      <c r="AA222">
        <v>0.69632530633197054</v>
      </c>
      <c r="AB222" t="str">
        <f>HYPERLINK("Melting_Curves/meltCurve_B5MD23_TSPAN9.pdf", "Melting_Curves/meltCurve_B5MD23_TSPAN9.pdf")</f>
        <v>Melting_Curves/meltCurve_B5MD23_TSPAN9.pdf</v>
      </c>
    </row>
    <row r="223" spans="1:28" x14ac:dyDescent="0.25">
      <c r="A223" t="s">
        <v>227</v>
      </c>
      <c r="B223">
        <v>0.99999676499088797</v>
      </c>
      <c r="C223">
        <v>0.93829157294922505</v>
      </c>
      <c r="D223">
        <v>0.67614354273336197</v>
      </c>
      <c r="E223">
        <v>0.48707319011055999</v>
      </c>
      <c r="F223">
        <v>0.263870215292212</v>
      </c>
      <c r="G223">
        <v>0.14632795736353901</v>
      </c>
      <c r="H223">
        <v>6.1192991185029001E-2</v>
      </c>
      <c r="I223">
        <v>7.2402794229601095E-2</v>
      </c>
      <c r="J223">
        <v>7.5655909004571698E-2</v>
      </c>
      <c r="K223">
        <v>9.8536367973918501E-2</v>
      </c>
      <c r="L223">
        <v>774.31221681467503</v>
      </c>
      <c r="M223">
        <v>15.9150113764828</v>
      </c>
      <c r="N223">
        <v>49.054762750881899</v>
      </c>
      <c r="O223">
        <v>47.904222887701998</v>
      </c>
      <c r="P223">
        <v>-7.7986953469338594E-2</v>
      </c>
      <c r="Q223">
        <v>6.11113047009137E-2</v>
      </c>
      <c r="R223">
        <v>0.99297093435732098</v>
      </c>
      <c r="S223" t="s">
        <v>7226</v>
      </c>
      <c r="T223" t="s">
        <v>14004</v>
      </c>
      <c r="U223" t="s">
        <v>14004</v>
      </c>
      <c r="V223" t="s">
        <v>14004</v>
      </c>
      <c r="W223" t="s">
        <v>14225</v>
      </c>
      <c r="X223">
        <v>2</v>
      </c>
      <c r="Y223" t="s">
        <v>21162</v>
      </c>
      <c r="Z223" t="s">
        <v>27933</v>
      </c>
      <c r="AA223">
        <v>0.35285495580637538</v>
      </c>
      <c r="AB223" t="str">
        <f>HYPERLINK("Melting_Curves/meltCurve_B5MDB6_NLRC3.pdf", "Melting_Curves/meltCurve_B5MDB6_NLRC3.pdf")</f>
        <v>Melting_Curves/meltCurve_B5MDB6_NLRC3.pdf</v>
      </c>
    </row>
    <row r="224" spans="1:28" x14ac:dyDescent="0.25">
      <c r="A224" t="s">
        <v>228</v>
      </c>
      <c r="B224">
        <v>0.99999676499088797</v>
      </c>
      <c r="C224">
        <v>2.0892148251800502</v>
      </c>
      <c r="D224">
        <v>2.6045069382307</v>
      </c>
      <c r="E224">
        <v>3.0941032419966099</v>
      </c>
      <c r="F224">
        <v>2.7370749227867099</v>
      </c>
      <c r="G224">
        <v>4.7852712010020104</v>
      </c>
      <c r="H224">
        <v>3.4271761901365099</v>
      </c>
      <c r="I224">
        <v>3.0023741624756499</v>
      </c>
      <c r="J224">
        <v>0.58292735762068604</v>
      </c>
      <c r="K224">
        <v>0.517330985667521</v>
      </c>
      <c r="L224">
        <v>10228.3617970015</v>
      </c>
      <c r="M224">
        <v>250</v>
      </c>
      <c r="O224">
        <v>40.910835860767598</v>
      </c>
      <c r="P224">
        <v>0.76385643575861295</v>
      </c>
      <c r="Q224">
        <v>1.5</v>
      </c>
      <c r="R224">
        <v>-0.45446447215827501</v>
      </c>
      <c r="S224" t="s">
        <v>7227</v>
      </c>
      <c r="T224" t="s">
        <v>14004</v>
      </c>
      <c r="U224" t="s">
        <v>14004</v>
      </c>
      <c r="V224" t="s">
        <v>14004</v>
      </c>
      <c r="W224" t="s">
        <v>14226</v>
      </c>
      <c r="X224">
        <v>2</v>
      </c>
      <c r="Y224" t="s">
        <v>21163</v>
      </c>
      <c r="Z224" t="s">
        <v>27934</v>
      </c>
      <c r="AA224">
        <v>1.484731415227188</v>
      </c>
      <c r="AB224" t="str">
        <f>HYPERLINK("Melting_Curves/meltCurve_B5MDE0_RFT1.pdf", "Melting_Curves/meltCurve_B5MDE0_RFT1.pdf")</f>
        <v>Melting_Curves/meltCurve_B5MDE0_RFT1.pdf</v>
      </c>
    </row>
    <row r="225" spans="1:28" x14ac:dyDescent="0.25">
      <c r="A225" t="s">
        <v>229</v>
      </c>
      <c r="B225">
        <v>0.99999676499088797</v>
      </c>
      <c r="C225">
        <v>0.99112935700345695</v>
      </c>
      <c r="D225">
        <v>0.83458277994044205</v>
      </c>
      <c r="E225">
        <v>0.58004728470417999</v>
      </c>
      <c r="F225">
        <v>0.22899303491988601</v>
      </c>
      <c r="G225">
        <v>0.22078887598496999</v>
      </c>
      <c r="H225">
        <v>9.7605340142504896E-2</v>
      </c>
      <c r="I225">
        <v>0.10143586110040601</v>
      </c>
      <c r="J225">
        <v>7.9937934500831406E-2</v>
      </c>
      <c r="K225">
        <v>4.6529879087601499E-2</v>
      </c>
      <c r="L225">
        <v>987.63532334259799</v>
      </c>
      <c r="M225">
        <v>19.824565789875599</v>
      </c>
      <c r="N225">
        <v>50.247909193384899</v>
      </c>
      <c r="O225">
        <v>49.320160896632501</v>
      </c>
      <c r="P225">
        <v>-9.2666418112293605E-2</v>
      </c>
      <c r="Q225">
        <v>7.7877809185370794E-2</v>
      </c>
      <c r="R225">
        <v>0.99257211351552399</v>
      </c>
      <c r="S225" t="s">
        <v>7228</v>
      </c>
      <c r="T225" t="s">
        <v>14004</v>
      </c>
      <c r="U225" t="s">
        <v>14004</v>
      </c>
      <c r="V225" t="s">
        <v>14004</v>
      </c>
      <c r="W225" t="s">
        <v>14227</v>
      </c>
      <c r="X225">
        <v>6</v>
      </c>
      <c r="Y225" t="s">
        <v>21164</v>
      </c>
      <c r="Z225" t="s">
        <v>27935</v>
      </c>
      <c r="AA225">
        <v>0.39275208500307612</v>
      </c>
      <c r="AB225" t="str">
        <f>HYPERLINK("Melting_Curves/meltCurve_B5MDU6_C2orf43.pdf", "Melting_Curves/meltCurve_B5MDU6_C2orf43.pdf")</f>
        <v>Melting_Curves/meltCurve_B5MDU6_C2orf43.pdf</v>
      </c>
    </row>
    <row r="226" spans="1:28" x14ac:dyDescent="0.25">
      <c r="A226" t="s">
        <v>230</v>
      </c>
      <c r="B226">
        <v>0.99999676499088797</v>
      </c>
      <c r="C226">
        <v>0.39799690746378302</v>
      </c>
      <c r="D226">
        <v>0.225492361383581</v>
      </c>
      <c r="E226">
        <v>0.14436260413840801</v>
      </c>
      <c r="F226">
        <v>0.135070356002325</v>
      </c>
      <c r="G226">
        <v>0.169210444390682</v>
      </c>
      <c r="H226">
        <v>0.105376264158314</v>
      </c>
      <c r="I226">
        <v>0.15377690596785201</v>
      </c>
      <c r="J226">
        <v>9.9932043004174895E-2</v>
      </c>
      <c r="K226">
        <v>0.10068658775962</v>
      </c>
      <c r="L226">
        <v>2691.1406931821398</v>
      </c>
      <c r="M226">
        <v>63.555151639674598</v>
      </c>
      <c r="N226">
        <v>42.564601612839603</v>
      </c>
      <c r="O226">
        <v>42.301538067633999</v>
      </c>
      <c r="P226">
        <v>-0.32278054553684499</v>
      </c>
      <c r="Q226">
        <v>0.14064519767808201</v>
      </c>
      <c r="R226">
        <v>0.98224554160241895</v>
      </c>
      <c r="S226" t="s">
        <v>7229</v>
      </c>
      <c r="T226" t="s">
        <v>14004</v>
      </c>
      <c r="U226" t="s">
        <v>14004</v>
      </c>
      <c r="V226" t="s">
        <v>14004</v>
      </c>
      <c r="W226" t="s">
        <v>14228</v>
      </c>
      <c r="X226">
        <v>4</v>
      </c>
      <c r="Y226" t="s">
        <v>21165</v>
      </c>
      <c r="Z226" t="s">
        <v>27936</v>
      </c>
      <c r="AA226">
        <v>0.20915814837081359</v>
      </c>
      <c r="AB226" t="str">
        <f>HYPERLINK("Melting_Curves/meltCurve_B7WNT5_TCF7.pdf", "Melting_Curves/meltCurve_B7WNT5_TCF7.pdf")</f>
        <v>Melting_Curves/meltCurve_B7WNT5_TCF7.pdf</v>
      </c>
    </row>
    <row r="227" spans="1:28" x14ac:dyDescent="0.25">
      <c r="A227" t="s">
        <v>231</v>
      </c>
      <c r="B227">
        <v>0.99999676499088797</v>
      </c>
      <c r="C227">
        <v>0.96856678759815995</v>
      </c>
      <c r="D227">
        <v>0.57845022936359602</v>
      </c>
      <c r="E227">
        <v>0.29216287546569297</v>
      </c>
      <c r="F227">
        <v>0.184347880051524</v>
      </c>
      <c r="G227">
        <v>0.16051263962513301</v>
      </c>
      <c r="H227">
        <v>9.8250719422679794E-2</v>
      </c>
      <c r="I227">
        <v>0.10715835473638601</v>
      </c>
      <c r="J227">
        <v>0.11583357292054799</v>
      </c>
      <c r="K227">
        <v>9.3384105249612701E-2</v>
      </c>
      <c r="L227">
        <v>1191.8201284465099</v>
      </c>
      <c r="M227">
        <v>25.6283100594122</v>
      </c>
      <c r="N227">
        <v>47.008050637177803</v>
      </c>
      <c r="O227">
        <v>46.223682023776803</v>
      </c>
      <c r="P227">
        <v>-0.121960591915699</v>
      </c>
      <c r="Q227">
        <v>0.12012953366235</v>
      </c>
      <c r="R227">
        <v>0.99168243960456304</v>
      </c>
      <c r="S227" t="s">
        <v>7230</v>
      </c>
      <c r="T227" t="s">
        <v>14004</v>
      </c>
      <c r="U227" t="s">
        <v>14004</v>
      </c>
      <c r="V227" t="s">
        <v>14004</v>
      </c>
      <c r="W227" t="s">
        <v>14229</v>
      </c>
      <c r="X227">
        <v>11</v>
      </c>
      <c r="Y227" t="s">
        <v>21166</v>
      </c>
      <c r="Z227" t="s">
        <v>27937</v>
      </c>
      <c r="AA227">
        <v>0.31841265515698342</v>
      </c>
      <c r="AB227" t="str">
        <f>HYPERLINK("Melting_Curves/meltCurve_B7WP27_CWC22.pdf", "Melting_Curves/meltCurve_B7WP27_CWC22.pdf")</f>
        <v>Melting_Curves/meltCurve_B7WP27_CWC22.pdf</v>
      </c>
    </row>
    <row r="228" spans="1:28" x14ac:dyDescent="0.25">
      <c r="A228" t="s">
        <v>232</v>
      </c>
      <c r="B228">
        <v>0.99999676499088797</v>
      </c>
      <c r="C228">
        <v>1.08284104772075</v>
      </c>
      <c r="D228">
        <v>1.0517950973738801</v>
      </c>
      <c r="E228">
        <v>0.793641564750179</v>
      </c>
      <c r="F228">
        <v>0.38330820203368798</v>
      </c>
      <c r="G228">
        <v>0.235212975327798</v>
      </c>
      <c r="H228">
        <v>0.10015034790501599</v>
      </c>
      <c r="I228">
        <v>8.5960239303928695E-2</v>
      </c>
      <c r="J228">
        <v>9.2380269491844802E-2</v>
      </c>
      <c r="K228">
        <v>6.4222472436987102E-2</v>
      </c>
      <c r="L228">
        <v>1397.0631809060001</v>
      </c>
      <c r="M228">
        <v>26.874546972713699</v>
      </c>
      <c r="N228">
        <v>52.366179990581898</v>
      </c>
      <c r="O228">
        <v>51.699336942921498</v>
      </c>
      <c r="P228">
        <v>-0.118401102067332</v>
      </c>
      <c r="Q228">
        <v>8.8922666153056398E-2</v>
      </c>
      <c r="R228">
        <v>0.98920761232646603</v>
      </c>
      <c r="S228" t="s">
        <v>7231</v>
      </c>
      <c r="T228" t="s">
        <v>14004</v>
      </c>
      <c r="U228" t="s">
        <v>14004</v>
      </c>
      <c r="V228" t="s">
        <v>14004</v>
      </c>
      <c r="W228" t="s">
        <v>14230</v>
      </c>
      <c r="X228">
        <v>8</v>
      </c>
      <c r="Y228" t="s">
        <v>21167</v>
      </c>
      <c r="Z228" t="s">
        <v>27938</v>
      </c>
      <c r="AA228">
        <v>0.46011427132802279</v>
      </c>
      <c r="AB228" t="str">
        <f>HYPERLINK("Melting_Curves/meltCurve_B7WPE2_EML3.pdf", "Melting_Curves/meltCurve_B7WPE2_EML3.pdf")</f>
        <v>Melting_Curves/meltCurve_B7WPE2_EML3.pdf</v>
      </c>
    </row>
    <row r="229" spans="1:28" x14ac:dyDescent="0.25">
      <c r="A229" t="s">
        <v>233</v>
      </c>
      <c r="B229">
        <v>0.99999676499088797</v>
      </c>
      <c r="C229">
        <v>0.979496712196395</v>
      </c>
      <c r="D229">
        <v>1.0127474105427701</v>
      </c>
      <c r="E229">
        <v>1.12141557236018</v>
      </c>
      <c r="F229">
        <v>1.0185634965653101</v>
      </c>
      <c r="G229">
        <v>0.84272116669253205</v>
      </c>
      <c r="H229">
        <v>0.475046198405702</v>
      </c>
      <c r="I229">
        <v>0.210290609463259</v>
      </c>
      <c r="J229">
        <v>0.141363738576915</v>
      </c>
      <c r="K229">
        <v>9.7713369144921194E-2</v>
      </c>
      <c r="L229">
        <v>1790.96755184213</v>
      </c>
      <c r="M229">
        <v>29.810318593346899</v>
      </c>
      <c r="N229">
        <v>60.490876222544699</v>
      </c>
      <c r="O229">
        <v>59.810367455477099</v>
      </c>
      <c r="P229">
        <v>-0.113153775125479</v>
      </c>
      <c r="Q229">
        <v>9.1895196514523506E-2</v>
      </c>
      <c r="R229">
        <v>0.98835203783691195</v>
      </c>
      <c r="S229" t="s">
        <v>7232</v>
      </c>
      <c r="T229" t="s">
        <v>14004</v>
      </c>
      <c r="U229" t="s">
        <v>14004</v>
      </c>
      <c r="V229" t="s">
        <v>14004</v>
      </c>
      <c r="W229" t="s">
        <v>14231</v>
      </c>
      <c r="X229">
        <v>30</v>
      </c>
      <c r="Y229" t="s">
        <v>21168</v>
      </c>
      <c r="Z229" t="s">
        <v>27939</v>
      </c>
      <c r="AA229">
        <v>0.70521428382411178</v>
      </c>
      <c r="AB229" t="str">
        <f>HYPERLINK("Melting_Curves/meltCurve_B7Z1R5_ATP6V1A.pdf", "Melting_Curves/meltCurve_B7Z1R5_ATP6V1A.pdf")</f>
        <v>Melting_Curves/meltCurve_B7Z1R5_ATP6V1A.pdf</v>
      </c>
    </row>
    <row r="230" spans="1:28" x14ac:dyDescent="0.25">
      <c r="A230" t="s">
        <v>234</v>
      </c>
      <c r="B230">
        <v>0.99999676499088797</v>
      </c>
      <c r="C230">
        <v>1.0445749830809701</v>
      </c>
      <c r="D230">
        <v>1.0149074702143599</v>
      </c>
      <c r="E230">
        <v>1.0803261868468801</v>
      </c>
      <c r="F230">
        <v>0.99933086592936904</v>
      </c>
      <c r="G230">
        <v>0.38593732214855903</v>
      </c>
      <c r="H230">
        <v>0.148023516612904</v>
      </c>
      <c r="I230">
        <v>0.113647934057708</v>
      </c>
      <c r="J230">
        <v>0.10932404750947899</v>
      </c>
      <c r="K230">
        <v>9.9745233200508904E-2</v>
      </c>
      <c r="L230">
        <v>4761.7238046462799</v>
      </c>
      <c r="M230">
        <v>84.6570235068545</v>
      </c>
      <c r="N230">
        <v>56.425290917859002</v>
      </c>
      <c r="O230">
        <v>56.215874653757197</v>
      </c>
      <c r="P230">
        <v>-0.332356128266316</v>
      </c>
      <c r="Q230">
        <v>0.117205508339232</v>
      </c>
      <c r="R230">
        <v>0.994763013235065</v>
      </c>
      <c r="S230" t="s">
        <v>7233</v>
      </c>
      <c r="T230" t="s">
        <v>14004</v>
      </c>
      <c r="U230" t="s">
        <v>14004</v>
      </c>
      <c r="V230" t="s">
        <v>14004</v>
      </c>
      <c r="W230" t="s">
        <v>14232</v>
      </c>
      <c r="X230">
        <v>18</v>
      </c>
      <c r="Y230" t="s">
        <v>21169</v>
      </c>
      <c r="Z230" t="s">
        <v>27940</v>
      </c>
      <c r="AA230">
        <v>0.59606585797359168</v>
      </c>
      <c r="AB230" t="str">
        <f>HYPERLINK("Melting_Curves/meltCurve_B7Z254_PDIA6.pdf", "Melting_Curves/meltCurve_B7Z254_PDIA6.pdf")</f>
        <v>Melting_Curves/meltCurve_B7Z254_PDIA6.pdf</v>
      </c>
    </row>
    <row r="231" spans="1:28" x14ac:dyDescent="0.25">
      <c r="A231" t="s">
        <v>235</v>
      </c>
      <c r="B231">
        <v>0.99999676499088797</v>
      </c>
      <c r="C231">
        <v>0.99817732678752502</v>
      </c>
      <c r="D231">
        <v>0.91753792506701304</v>
      </c>
      <c r="E231">
        <v>0.81158784540913298</v>
      </c>
      <c r="F231">
        <v>0.63519124858845299</v>
      </c>
      <c r="G231">
        <v>0.52539606287930496</v>
      </c>
      <c r="H231">
        <v>0.491364784316562</v>
      </c>
      <c r="I231">
        <v>0.41200808403279299</v>
      </c>
      <c r="J231">
        <v>0.27737871797019797</v>
      </c>
      <c r="K231">
        <v>0.31035336552123699</v>
      </c>
      <c r="L231">
        <v>586.12363843180901</v>
      </c>
      <c r="M231">
        <v>10.7485434483036</v>
      </c>
      <c r="N231">
        <v>58.210915148241</v>
      </c>
      <c r="O231">
        <v>52.7447305920603</v>
      </c>
      <c r="P231">
        <v>-3.8397723641776002E-2</v>
      </c>
      <c r="Q231">
        <v>0.24658439872385299</v>
      </c>
      <c r="R231">
        <v>0.98321846095008003</v>
      </c>
      <c r="S231" t="s">
        <v>7234</v>
      </c>
      <c r="T231" t="s">
        <v>14004</v>
      </c>
      <c r="U231" t="s">
        <v>14004</v>
      </c>
      <c r="V231" t="s">
        <v>14004</v>
      </c>
      <c r="W231" t="s">
        <v>14233</v>
      </c>
      <c r="X231">
        <v>1</v>
      </c>
      <c r="Y231" t="s">
        <v>21170</v>
      </c>
      <c r="Z231" t="s">
        <v>27941</v>
      </c>
      <c r="AA231">
        <v>0.63169083203126841</v>
      </c>
      <c r="AB231" t="str">
        <f>HYPERLINK("Melting_Curves/meltCurve_B7Z2B2_MFSD8.pdf", "Melting_Curves/meltCurve_B7Z2B2_MFSD8.pdf")</f>
        <v>Melting_Curves/meltCurve_B7Z2B2_MFSD8.pdf</v>
      </c>
    </row>
    <row r="232" spans="1:28" x14ac:dyDescent="0.25">
      <c r="A232" t="s">
        <v>236</v>
      </c>
      <c r="B232">
        <v>0.99999676499088797</v>
      </c>
      <c r="C232">
        <v>1.2471380461345001</v>
      </c>
      <c r="D232">
        <v>1.29409224597824</v>
      </c>
      <c r="E232">
        <v>0.82521662647855298</v>
      </c>
      <c r="F232">
        <v>1.4106854013454899</v>
      </c>
      <c r="G232">
        <v>0.62132889711627803</v>
      </c>
      <c r="H232">
        <v>0.83191218773471498</v>
      </c>
      <c r="I232">
        <v>0.80526045589430595</v>
      </c>
      <c r="J232">
        <v>0.51344460303026895</v>
      </c>
      <c r="K232">
        <v>0.46224506307762397</v>
      </c>
      <c r="L232">
        <v>894.80116552732602</v>
      </c>
      <c r="M232">
        <v>13.316888862483999</v>
      </c>
      <c r="N232">
        <v>68.774045933621693</v>
      </c>
      <c r="O232">
        <v>65.7319974781052</v>
      </c>
      <c r="P232">
        <v>-4.3976905341274998E-2</v>
      </c>
      <c r="Q232">
        <v>0.13186181468532801</v>
      </c>
      <c r="R232">
        <v>0.51679686151697901</v>
      </c>
      <c r="S232" t="s">
        <v>7235</v>
      </c>
      <c r="T232" t="s">
        <v>14004</v>
      </c>
      <c r="U232" t="s">
        <v>14004</v>
      </c>
      <c r="V232" t="s">
        <v>14004</v>
      </c>
      <c r="W232" t="s">
        <v>14234</v>
      </c>
      <c r="X232">
        <v>33</v>
      </c>
      <c r="Y232" t="s">
        <v>21171</v>
      </c>
      <c r="Z232" t="s">
        <v>27942</v>
      </c>
      <c r="AA232">
        <v>0.86736137058808049</v>
      </c>
      <c r="AB232" t="str">
        <f>HYPERLINK("Melting_Curves/meltCurve_B7Z2S5_TXNRD1.pdf", "Melting_Curves/meltCurve_B7Z2S5_TXNRD1.pdf")</f>
        <v>Melting_Curves/meltCurve_B7Z2S5_TXNRD1.pdf</v>
      </c>
    </row>
    <row r="233" spans="1:28" x14ac:dyDescent="0.25">
      <c r="A233" t="s">
        <v>237</v>
      </c>
      <c r="B233">
        <v>0.99999676499088797</v>
      </c>
      <c r="C233">
        <v>1.03928337956763</v>
      </c>
      <c r="D233">
        <v>1.0910863721595401</v>
      </c>
      <c r="E233">
        <v>1.22934361049156</v>
      </c>
      <c r="F233">
        <v>1.2548860743680701</v>
      </c>
      <c r="G233">
        <v>1.23276506942428</v>
      </c>
      <c r="H233">
        <v>0.99264038484759598</v>
      </c>
      <c r="I233">
        <v>1.0076041417745201</v>
      </c>
      <c r="J233">
        <v>1.0397620889694701</v>
      </c>
      <c r="K233">
        <v>1.31059579034207</v>
      </c>
      <c r="L233">
        <v>1767.7808563412</v>
      </c>
      <c r="M233">
        <v>39.484178391708298</v>
      </c>
      <c r="O233">
        <v>44.657492614046298</v>
      </c>
      <c r="P233">
        <v>3.3352092413625301E-2</v>
      </c>
      <c r="Q233">
        <v>1.15088753983278</v>
      </c>
      <c r="R233">
        <v>0.20448227731406299</v>
      </c>
      <c r="S233" t="s">
        <v>7236</v>
      </c>
      <c r="T233" t="s">
        <v>14004</v>
      </c>
      <c r="U233" t="s">
        <v>14004</v>
      </c>
      <c r="V233" t="s">
        <v>14004</v>
      </c>
      <c r="W233" t="s">
        <v>14235</v>
      </c>
      <c r="X233">
        <v>15</v>
      </c>
      <c r="Y233" t="s">
        <v>21172</v>
      </c>
      <c r="Z233" t="s">
        <v>27943</v>
      </c>
      <c r="AA233">
        <v>1.126368429085647</v>
      </c>
      <c r="AB233" t="str">
        <f>HYPERLINK("Melting_Curves/meltCurve_B7Z3I9_ALAD.pdf", "Melting_Curves/meltCurve_B7Z3I9_ALAD.pdf")</f>
        <v>Melting_Curves/meltCurve_B7Z3I9_ALAD.pdf</v>
      </c>
    </row>
    <row r="234" spans="1:28" x14ac:dyDescent="0.25">
      <c r="A234" t="s">
        <v>238</v>
      </c>
      <c r="B234">
        <v>0.99999676499088797</v>
      </c>
      <c r="C234">
        <v>0.92831708099104604</v>
      </c>
      <c r="D234">
        <v>0.97362493422093199</v>
      </c>
      <c r="E234">
        <v>0.98374764951959803</v>
      </c>
      <c r="F234">
        <v>0.95802337887890499</v>
      </c>
      <c r="G234">
        <v>0.75178057470631199</v>
      </c>
      <c r="H234">
        <v>0.485332785017005</v>
      </c>
      <c r="I234">
        <v>0.54525072426871501</v>
      </c>
      <c r="J234">
        <v>0.57470816163341298</v>
      </c>
      <c r="K234">
        <v>0.50180465141331398</v>
      </c>
      <c r="L234">
        <v>4079.3413236226002</v>
      </c>
      <c r="M234">
        <v>71.937490192051399</v>
      </c>
      <c r="O234">
        <v>56.662976429055497</v>
      </c>
      <c r="P234">
        <v>-0.15038983418472601</v>
      </c>
      <c r="Q234">
        <v>0.52617007789594195</v>
      </c>
      <c r="R234">
        <v>0.97099573350124901</v>
      </c>
      <c r="S234" t="s">
        <v>7237</v>
      </c>
      <c r="T234" t="s">
        <v>14004</v>
      </c>
      <c r="U234" t="s">
        <v>14004</v>
      </c>
      <c r="V234" t="s">
        <v>14004</v>
      </c>
      <c r="W234" t="s">
        <v>14236</v>
      </c>
      <c r="X234">
        <v>2</v>
      </c>
      <c r="Y234" t="s">
        <v>21173</v>
      </c>
      <c r="Z234" t="s">
        <v>27944</v>
      </c>
      <c r="AA234">
        <v>0.79061291312631909</v>
      </c>
      <c r="AB234" t="str">
        <f>HYPERLINK("Melting_Curves/meltCurve_B7Z3K1_TMEM128.pdf", "Melting_Curves/meltCurve_B7Z3K1_TMEM128.pdf")</f>
        <v>Melting_Curves/meltCurve_B7Z3K1_TMEM128.pdf</v>
      </c>
    </row>
    <row r="235" spans="1:28" x14ac:dyDescent="0.25">
      <c r="A235" t="s">
        <v>239</v>
      </c>
      <c r="B235">
        <v>0.99999676499088797</v>
      </c>
      <c r="C235">
        <v>0.553220399881029</v>
      </c>
      <c r="D235">
        <v>0.50021812552424205</v>
      </c>
      <c r="E235">
        <v>0.40863420911242399</v>
      </c>
      <c r="F235">
        <v>0.33953128909307201</v>
      </c>
      <c r="G235">
        <v>0.11283351502483301</v>
      </c>
      <c r="H235">
        <v>0.11202493255804299</v>
      </c>
      <c r="I235">
        <v>9.2837986859395497E-2</v>
      </c>
      <c r="J235">
        <v>0.111665866984848</v>
      </c>
      <c r="K235">
        <v>0</v>
      </c>
      <c r="L235">
        <v>439.88197981709902</v>
      </c>
      <c r="M235">
        <v>9.4268572912399708</v>
      </c>
      <c r="N235">
        <v>46.814980833954799</v>
      </c>
      <c r="O235">
        <v>44.707344640833497</v>
      </c>
      <c r="P235">
        <v>-5.1949579376244302E-2</v>
      </c>
      <c r="Q235">
        <v>1.5105536161561199E-2</v>
      </c>
      <c r="R235">
        <v>0.91735425385298597</v>
      </c>
      <c r="S235" t="s">
        <v>7238</v>
      </c>
      <c r="T235" t="s">
        <v>14004</v>
      </c>
      <c r="U235" t="s">
        <v>14004</v>
      </c>
      <c r="V235" t="s">
        <v>14004</v>
      </c>
      <c r="W235" t="s">
        <v>14237</v>
      </c>
      <c r="X235">
        <v>27</v>
      </c>
      <c r="Y235" t="s">
        <v>21174</v>
      </c>
      <c r="Z235" t="s">
        <v>27945</v>
      </c>
      <c r="AA235">
        <v>0.29772874892419848</v>
      </c>
      <c r="AB235" t="str">
        <f>HYPERLINK("Melting_Curves/meltCurve_B7Z3P1_TBCE.pdf", "Melting_Curves/meltCurve_B7Z3P1_TBCE.pdf")</f>
        <v>Melting_Curves/meltCurve_B7Z3P1_TBCE.pdf</v>
      </c>
    </row>
    <row r="236" spans="1:28" x14ac:dyDescent="0.25">
      <c r="A236" t="s">
        <v>240</v>
      </c>
      <c r="B236">
        <v>0.99999676499088797</v>
      </c>
      <c r="C236">
        <v>1.8900303512149501</v>
      </c>
      <c r="D236">
        <v>2.53542764868115</v>
      </c>
      <c r="E236">
        <v>5.0037494862085703</v>
      </c>
      <c r="F236">
        <v>1.0242637478990699</v>
      </c>
      <c r="G236">
        <v>1.6522339515836699</v>
      </c>
      <c r="H236">
        <v>3.1229541191939298</v>
      </c>
      <c r="I236">
        <v>11.2106749319704</v>
      </c>
      <c r="J236">
        <v>18.9710180217218</v>
      </c>
      <c r="K236">
        <v>20.708958998225</v>
      </c>
      <c r="L236">
        <v>10230.266809331</v>
      </c>
      <c r="M236">
        <v>250</v>
      </c>
      <c r="O236">
        <v>40.918449791213497</v>
      </c>
      <c r="P236">
        <v>0.76371419581148103</v>
      </c>
      <c r="Q236">
        <v>1.5</v>
      </c>
      <c r="R236">
        <v>-0.52850475267776997</v>
      </c>
      <c r="S236" t="s">
        <v>7239</v>
      </c>
      <c r="T236" t="s">
        <v>14004</v>
      </c>
      <c r="U236" t="s">
        <v>14004</v>
      </c>
      <c r="V236" t="s">
        <v>14004</v>
      </c>
      <c r="W236" t="s">
        <v>14238</v>
      </c>
      <c r="X236">
        <v>1</v>
      </c>
      <c r="Y236" t="s">
        <v>21175</v>
      </c>
      <c r="Z236" t="s">
        <v>27946</v>
      </c>
      <c r="AA236">
        <v>1.484604806888381</v>
      </c>
      <c r="AB236" t="str">
        <f>HYPERLINK("Melting_Curves/meltCurve_B7Z3P4_FMO1.pdf", "Melting_Curves/meltCurve_B7Z3P4_FMO1.pdf")</f>
        <v>Melting_Curves/meltCurve_B7Z3P4_FMO1.pdf</v>
      </c>
    </row>
    <row r="237" spans="1:28" x14ac:dyDescent="0.25">
      <c r="A237" t="s">
        <v>241</v>
      </c>
      <c r="B237">
        <v>0.99999676499088797</v>
      </c>
      <c r="C237">
        <v>1.1710188891333599</v>
      </c>
      <c r="D237">
        <v>1.0934750800508699</v>
      </c>
      <c r="E237">
        <v>0.71395366467440202</v>
      </c>
      <c r="F237">
        <v>0.36498796911934001</v>
      </c>
      <c r="G237">
        <v>0.42756943231422201</v>
      </c>
      <c r="H237">
        <v>8.3817294088758307E-2</v>
      </c>
      <c r="I237">
        <v>7.0011764218365094E-2</v>
      </c>
      <c r="J237">
        <v>5.6862918804412903E-2</v>
      </c>
      <c r="K237">
        <v>9.7602275126184301E-3</v>
      </c>
      <c r="L237">
        <v>951.077873745548</v>
      </c>
      <c r="M237">
        <v>18.019815252761301</v>
      </c>
      <c r="N237">
        <v>53.0066094575458</v>
      </c>
      <c r="O237">
        <v>52.142430796857603</v>
      </c>
      <c r="P237">
        <v>-8.3192227944355698E-2</v>
      </c>
      <c r="Q237">
        <v>3.7141761885702902E-2</v>
      </c>
      <c r="R237">
        <v>0.94171713279193903</v>
      </c>
      <c r="S237" t="s">
        <v>7240</v>
      </c>
      <c r="T237" t="s">
        <v>14004</v>
      </c>
      <c r="U237" t="s">
        <v>14004</v>
      </c>
      <c r="V237" t="s">
        <v>14004</v>
      </c>
      <c r="W237" t="s">
        <v>14239</v>
      </c>
      <c r="X237">
        <v>29</v>
      </c>
      <c r="Y237" t="s">
        <v>21176</v>
      </c>
      <c r="Z237" t="s">
        <v>27947</v>
      </c>
      <c r="AA237">
        <v>0.46310656442782738</v>
      </c>
      <c r="AB237" t="str">
        <f>HYPERLINK("Melting_Curves/meltCurve_B7Z463_NPEPPS.pdf", "Melting_Curves/meltCurve_B7Z463_NPEPPS.pdf")</f>
        <v>Melting_Curves/meltCurve_B7Z463_NPEPPS.pdf</v>
      </c>
    </row>
    <row r="238" spans="1:28" x14ac:dyDescent="0.25">
      <c r="A238" t="s">
        <v>242</v>
      </c>
      <c r="B238">
        <v>0.99999676499088797</v>
      </c>
      <c r="C238">
        <v>1.0300892358784</v>
      </c>
      <c r="D238">
        <v>1.0000389517606301</v>
      </c>
      <c r="E238">
        <v>0.84851756381744903</v>
      </c>
      <c r="F238">
        <v>0.747259487176413</v>
      </c>
      <c r="G238">
        <v>0.72547022350643398</v>
      </c>
      <c r="H238">
        <v>0.45987635129806997</v>
      </c>
      <c r="I238">
        <v>0.56183212547110395</v>
      </c>
      <c r="J238">
        <v>0.53667013430121202</v>
      </c>
      <c r="K238">
        <v>0.44878121467929</v>
      </c>
      <c r="L238">
        <v>772.417900647544</v>
      </c>
      <c r="M238">
        <v>14.2402064074788</v>
      </c>
      <c r="N238">
        <v>66.376323150214006</v>
      </c>
      <c r="O238">
        <v>53.205998686299999</v>
      </c>
      <c r="P238">
        <v>-3.5936574181261699E-2</v>
      </c>
      <c r="Q238">
        <v>0.46298411897797997</v>
      </c>
      <c r="R238">
        <v>0.94492098661316004</v>
      </c>
      <c r="S238" t="s">
        <v>7241</v>
      </c>
      <c r="T238" t="s">
        <v>14004</v>
      </c>
      <c r="U238" t="s">
        <v>14004</v>
      </c>
      <c r="V238" t="s">
        <v>14004</v>
      </c>
      <c r="W238" t="s">
        <v>14240</v>
      </c>
      <c r="X238">
        <v>9</v>
      </c>
      <c r="Y238" t="s">
        <v>21177</v>
      </c>
      <c r="Z238" t="s">
        <v>27948</v>
      </c>
      <c r="AA238">
        <v>0.72947147361879916</v>
      </c>
      <c r="AB238" t="str">
        <f>HYPERLINK("Melting_Curves/meltCurve_B7Z4K6_DNASE2.pdf", "Melting_Curves/meltCurve_B7Z4K6_DNASE2.pdf")</f>
        <v>Melting_Curves/meltCurve_B7Z4K6_DNASE2.pdf</v>
      </c>
    </row>
    <row r="239" spans="1:28" x14ac:dyDescent="0.25">
      <c r="A239" t="s">
        <v>243</v>
      </c>
      <c r="B239">
        <v>0.99999676499088797</v>
      </c>
      <c r="C239">
        <v>0.89590306853069301</v>
      </c>
      <c r="D239">
        <v>0.72431244506025205</v>
      </c>
      <c r="E239">
        <v>0.55860309028140698</v>
      </c>
      <c r="F239">
        <v>0.33978318240592897</v>
      </c>
      <c r="G239">
        <v>0.27439376077605598</v>
      </c>
      <c r="H239">
        <v>0.23011805541758801</v>
      </c>
      <c r="I239">
        <v>0.24855798849317201</v>
      </c>
      <c r="J239">
        <v>0.34960754470107402</v>
      </c>
      <c r="K239">
        <v>0.39192050996066602</v>
      </c>
      <c r="L239">
        <v>906.68860750136105</v>
      </c>
      <c r="M239">
        <v>19.134130575574599</v>
      </c>
      <c r="N239">
        <v>49.646650740146697</v>
      </c>
      <c r="O239">
        <v>46.8774447821067</v>
      </c>
      <c r="P239">
        <v>-7.2372585658660907E-2</v>
      </c>
      <c r="Q239">
        <v>0.29079386926631101</v>
      </c>
      <c r="R239">
        <v>0.96102808499123904</v>
      </c>
      <c r="S239" t="s">
        <v>7242</v>
      </c>
      <c r="T239" t="s">
        <v>14004</v>
      </c>
      <c r="U239" t="s">
        <v>14004</v>
      </c>
      <c r="V239" t="s">
        <v>14004</v>
      </c>
      <c r="W239" t="s">
        <v>14241</v>
      </c>
      <c r="X239">
        <v>2</v>
      </c>
      <c r="Y239" t="s">
        <v>21178</v>
      </c>
      <c r="Z239" t="s">
        <v>27949</v>
      </c>
      <c r="AA239">
        <v>0.47667156262630339</v>
      </c>
      <c r="AB239" t="str">
        <f>HYPERLINK("Melting_Curves/meltCurve_B7Z4R0_ERF.pdf", "Melting_Curves/meltCurve_B7Z4R0_ERF.pdf")</f>
        <v>Melting_Curves/meltCurve_B7Z4R0_ERF.pdf</v>
      </c>
    </row>
    <row r="240" spans="1:28" x14ac:dyDescent="0.25">
      <c r="A240" t="s">
        <v>244</v>
      </c>
      <c r="B240">
        <v>0.99999676499088797</v>
      </c>
      <c r="C240">
        <v>1.04991912090787</v>
      </c>
      <c r="D240">
        <v>0.994291898452768</v>
      </c>
      <c r="E240">
        <v>0.98197379437954502</v>
      </c>
      <c r="F240">
        <v>0.85300280655342098</v>
      </c>
      <c r="G240">
        <v>0.78861105434135004</v>
      </c>
      <c r="H240">
        <v>0.56883729590425403</v>
      </c>
      <c r="I240">
        <v>0.62472935773733196</v>
      </c>
      <c r="J240">
        <v>0.62063052510287997</v>
      </c>
      <c r="K240">
        <v>0.63258285204857101</v>
      </c>
      <c r="L240">
        <v>1327.8827993126199</v>
      </c>
      <c r="M240">
        <v>24.092124721944099</v>
      </c>
      <c r="O240">
        <v>54.741344556976102</v>
      </c>
      <c r="P240">
        <v>-4.3402500424192698E-2</v>
      </c>
      <c r="Q240">
        <v>0.60553506301114701</v>
      </c>
      <c r="R240">
        <v>0.96048089437369899</v>
      </c>
      <c r="S240" t="s">
        <v>7243</v>
      </c>
      <c r="T240" t="s">
        <v>14004</v>
      </c>
      <c r="U240" t="s">
        <v>14004</v>
      </c>
      <c r="V240" t="s">
        <v>14004</v>
      </c>
      <c r="W240" t="s">
        <v>14242</v>
      </c>
      <c r="X240">
        <v>3</v>
      </c>
      <c r="Y240" t="s">
        <v>21179</v>
      </c>
      <c r="Z240" t="s">
        <v>27950</v>
      </c>
      <c r="AA240">
        <v>0.80819232364701654</v>
      </c>
      <c r="AB240" t="str">
        <f>HYPERLINK("Melting_Curves/meltCurve_B7Z4R5_P2RX4.pdf", "Melting_Curves/meltCurve_B7Z4R5_P2RX4.pdf")</f>
        <v>Melting_Curves/meltCurve_B7Z4R5_P2RX4.pdf</v>
      </c>
    </row>
    <row r="241" spans="1:28" x14ac:dyDescent="0.25">
      <c r="A241" t="s">
        <v>245</v>
      </c>
      <c r="B241">
        <v>0.99999676499088797</v>
      </c>
      <c r="C241">
        <v>1.2059201610199899</v>
      </c>
      <c r="D241">
        <v>1.17960665516305</v>
      </c>
      <c r="E241">
        <v>0.83293587684860304</v>
      </c>
      <c r="F241">
        <v>0.33065929476823103</v>
      </c>
      <c r="G241">
        <v>0.40835207143784902</v>
      </c>
      <c r="H241">
        <v>0.26132539669625698</v>
      </c>
      <c r="I241">
        <v>0.31059523712977399</v>
      </c>
      <c r="J241">
        <v>0.333180052488179</v>
      </c>
      <c r="K241">
        <v>0.42089915974257303</v>
      </c>
      <c r="L241">
        <v>12453.2460492926</v>
      </c>
      <c r="M241">
        <v>250</v>
      </c>
      <c r="N241">
        <v>50.0463676169812</v>
      </c>
      <c r="O241">
        <v>49.809796461652802</v>
      </c>
      <c r="P241">
        <v>-0.82291970526230396</v>
      </c>
      <c r="Q241">
        <v>0.34416859193441002</v>
      </c>
      <c r="R241">
        <v>0.92959027072285405</v>
      </c>
      <c r="S241" t="s">
        <v>7244</v>
      </c>
      <c r="T241" t="s">
        <v>14004</v>
      </c>
      <c r="U241" t="s">
        <v>14004</v>
      </c>
      <c r="V241" t="s">
        <v>14004</v>
      </c>
      <c r="W241" t="s">
        <v>14243</v>
      </c>
      <c r="X241">
        <v>1</v>
      </c>
      <c r="Y241" t="s">
        <v>21180</v>
      </c>
      <c r="Z241" t="s">
        <v>27951</v>
      </c>
      <c r="AA241">
        <v>0.55874803349163527</v>
      </c>
      <c r="AB241" t="str">
        <f>HYPERLINK("Melting_Curves/meltCurve_B7Z4T2_ACPL2.pdf", "Melting_Curves/meltCurve_B7Z4T2_ACPL2.pdf")</f>
        <v>Melting_Curves/meltCurve_B7Z4T2_ACPL2.pdf</v>
      </c>
    </row>
    <row r="242" spans="1:28" x14ac:dyDescent="0.25">
      <c r="A242" t="s">
        <v>246</v>
      </c>
      <c r="B242">
        <v>0.99999676499088797</v>
      </c>
      <c r="C242">
        <v>1.0167499118690599</v>
      </c>
      <c r="D242">
        <v>1.012751072573</v>
      </c>
      <c r="E242">
        <v>0.91796774938805803</v>
      </c>
      <c r="F242">
        <v>0.59742027402333397</v>
      </c>
      <c r="G242">
        <v>0.34516482709047802</v>
      </c>
      <c r="H242">
        <v>0.121610772182903</v>
      </c>
      <c r="I242">
        <v>4.0990875782255902E-2</v>
      </c>
      <c r="J242">
        <v>3.1321608204303901E-2</v>
      </c>
      <c r="K242">
        <v>2.7593451126951399E-2</v>
      </c>
      <c r="L242">
        <v>1132.86605682294</v>
      </c>
      <c r="M242">
        <v>20.754270756572499</v>
      </c>
      <c r="N242">
        <v>54.651977948646802</v>
      </c>
      <c r="O242">
        <v>54.085535104421197</v>
      </c>
      <c r="P242">
        <v>-9.4725679027971202E-2</v>
      </c>
      <c r="Q242">
        <v>1.2609008815323499E-2</v>
      </c>
      <c r="R242">
        <v>0.99727888769253303</v>
      </c>
      <c r="S242" t="s">
        <v>7245</v>
      </c>
      <c r="T242" t="s">
        <v>14004</v>
      </c>
      <c r="U242" t="s">
        <v>14004</v>
      </c>
      <c r="V242" t="s">
        <v>14004</v>
      </c>
      <c r="W242" t="s">
        <v>14244</v>
      </c>
      <c r="X242">
        <v>3</v>
      </c>
      <c r="Y242" t="s">
        <v>21181</v>
      </c>
      <c r="Z242" t="s">
        <v>27952</v>
      </c>
      <c r="AA242">
        <v>0.50516354599921776</v>
      </c>
      <c r="AB242" t="str">
        <f>HYPERLINK("Melting_Curves/meltCurve_B7Z4V9_INPP5K.pdf", "Melting_Curves/meltCurve_B7Z4V9_INPP5K.pdf")</f>
        <v>Melting_Curves/meltCurve_B7Z4V9_INPP5K.pdf</v>
      </c>
    </row>
    <row r="243" spans="1:28" x14ac:dyDescent="0.25">
      <c r="A243" t="s">
        <v>247</v>
      </c>
      <c r="B243">
        <v>0.99999676499088797</v>
      </c>
      <c r="C243">
        <v>0.81645256858561799</v>
      </c>
      <c r="D243">
        <v>0.79858037214625299</v>
      </c>
      <c r="E243">
        <v>0.77812493691873397</v>
      </c>
      <c r="F243">
        <v>0.71731997375259204</v>
      </c>
      <c r="G243">
        <v>0.58873394969922099</v>
      </c>
      <c r="H243">
        <v>0.31917408236037997</v>
      </c>
      <c r="I243">
        <v>0.26320871503491</v>
      </c>
      <c r="J243">
        <v>0.171974342079669</v>
      </c>
      <c r="K243">
        <v>0.17118155370097299</v>
      </c>
      <c r="L243">
        <v>473.32159780404999</v>
      </c>
      <c r="M243">
        <v>8.3175462774750901</v>
      </c>
      <c r="N243">
        <v>56.906376812188498</v>
      </c>
      <c r="O243">
        <v>53.901730888471697</v>
      </c>
      <c r="P243">
        <v>-3.8615081399600903E-2</v>
      </c>
      <c r="Q243">
        <v>0</v>
      </c>
      <c r="R243">
        <v>0.95185114540156701</v>
      </c>
      <c r="S243" t="s">
        <v>7246</v>
      </c>
      <c r="T243" t="s">
        <v>14004</v>
      </c>
      <c r="U243" t="s">
        <v>14004</v>
      </c>
      <c r="V243" t="s">
        <v>14004</v>
      </c>
      <c r="W243" t="s">
        <v>14245</v>
      </c>
      <c r="X243">
        <v>6</v>
      </c>
      <c r="Y243" t="s">
        <v>21182</v>
      </c>
      <c r="Z243" t="s">
        <v>27953</v>
      </c>
      <c r="AA243">
        <v>0.57710676667746053</v>
      </c>
      <c r="AB243" t="str">
        <f>HYPERLINK("Melting_Curves/meltCurve_B7Z4W5_CCBL1.pdf", "Melting_Curves/meltCurve_B7Z4W5_CCBL1.pdf")</f>
        <v>Melting_Curves/meltCurve_B7Z4W5_CCBL1.pdf</v>
      </c>
    </row>
    <row r="244" spans="1:28" x14ac:dyDescent="0.25">
      <c r="A244" t="s">
        <v>248</v>
      </c>
      <c r="B244">
        <v>0.99999676499088797</v>
      </c>
      <c r="C244">
        <v>1.0160936440596999</v>
      </c>
      <c r="D244">
        <v>1.0192646096433899</v>
      </c>
      <c r="E244">
        <v>0.99773146204358998</v>
      </c>
      <c r="F244">
        <v>0.92578118173685997</v>
      </c>
      <c r="G244">
        <v>0.90476801025861797</v>
      </c>
      <c r="H244">
        <v>0.630487244881347</v>
      </c>
      <c r="I244">
        <v>0.76027530329580695</v>
      </c>
      <c r="J244">
        <v>0.713073216302618</v>
      </c>
      <c r="K244">
        <v>0.78800959980589302</v>
      </c>
      <c r="L244">
        <v>14236.728415178301</v>
      </c>
      <c r="M244">
        <v>250</v>
      </c>
      <c r="O244">
        <v>56.943269714342001</v>
      </c>
      <c r="P244">
        <v>-0.304073096991818</v>
      </c>
      <c r="Q244">
        <v>0.72296133968092402</v>
      </c>
      <c r="R244">
        <v>0.88757688135221102</v>
      </c>
      <c r="S244" t="s">
        <v>7247</v>
      </c>
      <c r="T244" t="s">
        <v>14004</v>
      </c>
      <c r="U244" t="s">
        <v>14004</v>
      </c>
      <c r="V244" t="s">
        <v>14004</v>
      </c>
      <c r="W244" t="s">
        <v>14246</v>
      </c>
      <c r="X244">
        <v>10</v>
      </c>
      <c r="Y244" t="s">
        <v>21183</v>
      </c>
      <c r="Z244" t="s">
        <v>27954</v>
      </c>
      <c r="AA244">
        <v>0.87948736909061087</v>
      </c>
      <c r="AB244" t="str">
        <f>HYPERLINK("Melting_Curves/meltCurve_B7Z5G4_STMN3.pdf", "Melting_Curves/meltCurve_B7Z5G4_STMN3.pdf")</f>
        <v>Melting_Curves/meltCurve_B7Z5G4_STMN3.pdf</v>
      </c>
    </row>
    <row r="245" spans="1:28" x14ac:dyDescent="0.25">
      <c r="A245" t="s">
        <v>249</v>
      </c>
      <c r="B245">
        <v>0.99999676499088797</v>
      </c>
      <c r="C245">
        <v>0.97974217813097497</v>
      </c>
      <c r="D245">
        <v>0.980739038240387</v>
      </c>
      <c r="E245">
        <v>0.88196025573711201</v>
      </c>
      <c r="F245">
        <v>0.76777171952809098</v>
      </c>
      <c r="G245">
        <v>0.82182177082915198</v>
      </c>
      <c r="H245">
        <v>0.53580436731806602</v>
      </c>
      <c r="I245">
        <v>0.54072014923341205</v>
      </c>
      <c r="J245">
        <v>0.367960219871941</v>
      </c>
      <c r="K245">
        <v>0.28011771990666501</v>
      </c>
      <c r="L245">
        <v>540.13117732299895</v>
      </c>
      <c r="M245">
        <v>8.5233228136980497</v>
      </c>
      <c r="N245">
        <v>63.370958597775001</v>
      </c>
      <c r="O245">
        <v>60.171485606191901</v>
      </c>
      <c r="P245">
        <v>-3.5444213736861997E-2</v>
      </c>
      <c r="Q245">
        <v>0</v>
      </c>
      <c r="R245">
        <v>0.96449315906045896</v>
      </c>
      <c r="S245" t="s">
        <v>7248</v>
      </c>
      <c r="T245" t="s">
        <v>14004</v>
      </c>
      <c r="U245" t="s">
        <v>14004</v>
      </c>
      <c r="V245" t="s">
        <v>14004</v>
      </c>
      <c r="W245" t="s">
        <v>14247</v>
      </c>
      <c r="X245">
        <v>8</v>
      </c>
      <c r="Y245" t="s">
        <v>21184</v>
      </c>
      <c r="Z245" t="s">
        <v>27955</v>
      </c>
      <c r="AA245">
        <v>0.73109926989464802</v>
      </c>
      <c r="AB245" t="str">
        <f>HYPERLINK("Melting_Curves/meltCurve_B7Z5W1_F11R.pdf", "Melting_Curves/meltCurve_B7Z5W1_F11R.pdf")</f>
        <v>Melting_Curves/meltCurve_B7Z5W1_F11R.pdf</v>
      </c>
    </row>
    <row r="246" spans="1:28" x14ac:dyDescent="0.25">
      <c r="A246" t="s">
        <v>250</v>
      </c>
      <c r="B246">
        <v>0.99999676499088797</v>
      </c>
      <c r="C246">
        <v>0.86576981355248095</v>
      </c>
      <c r="D246">
        <v>0.69834820862952696</v>
      </c>
      <c r="E246">
        <v>0.392885855237812</v>
      </c>
      <c r="F246">
        <v>0.41894059311703802</v>
      </c>
      <c r="G246">
        <v>0.426320430564539</v>
      </c>
      <c r="H246">
        <v>0.21494416626611401</v>
      </c>
      <c r="I246">
        <v>0.20284445952393401</v>
      </c>
      <c r="J246">
        <v>0.15018791467367501</v>
      </c>
      <c r="K246">
        <v>0.114520014933849</v>
      </c>
      <c r="L246">
        <v>515.62033046810802</v>
      </c>
      <c r="M246">
        <v>10.5569254943989</v>
      </c>
      <c r="N246">
        <v>50.254010424013899</v>
      </c>
      <c r="O246">
        <v>47.187049075740603</v>
      </c>
      <c r="P246">
        <v>-4.8772009875383902E-2</v>
      </c>
      <c r="Q246">
        <v>0.128345418779095</v>
      </c>
      <c r="R246">
        <v>0.94409837888520798</v>
      </c>
      <c r="S246" t="s">
        <v>7249</v>
      </c>
      <c r="T246" t="s">
        <v>14004</v>
      </c>
      <c r="U246" t="s">
        <v>14004</v>
      </c>
      <c r="V246" t="s">
        <v>14004</v>
      </c>
      <c r="W246" t="s">
        <v>14248</v>
      </c>
      <c r="X246">
        <v>3</v>
      </c>
      <c r="Y246" t="s">
        <v>21185</v>
      </c>
      <c r="Z246" t="s">
        <v>27956</v>
      </c>
      <c r="AA246">
        <v>0.42503880400537969</v>
      </c>
      <c r="AB246" t="str">
        <f>HYPERLINK("Melting_Curves/meltCurve_B7Z662_SLC27A1.pdf", "Melting_Curves/meltCurve_B7Z662_SLC27A1.pdf")</f>
        <v>Melting_Curves/meltCurve_B7Z662_SLC27A1.pdf</v>
      </c>
    </row>
    <row r="247" spans="1:28" x14ac:dyDescent="0.25">
      <c r="A247" t="s">
        <v>251</v>
      </c>
      <c r="B247">
        <v>0.99999676499088797</v>
      </c>
      <c r="C247">
        <v>0.99973678647060604</v>
      </c>
      <c r="D247">
        <v>0.99683339332475596</v>
      </c>
      <c r="E247">
        <v>0.99577876789447495</v>
      </c>
      <c r="F247">
        <v>0.89139171225512803</v>
      </c>
      <c r="G247">
        <v>0.586455969257758</v>
      </c>
      <c r="H247">
        <v>0.17690121033141501</v>
      </c>
      <c r="I247">
        <v>7.72712038342908E-2</v>
      </c>
      <c r="J247">
        <v>5.4491242724135899E-2</v>
      </c>
      <c r="K247">
        <v>4.8319702033466201E-2</v>
      </c>
      <c r="L247">
        <v>1678.84475273877</v>
      </c>
      <c r="M247">
        <v>29.320707697312098</v>
      </c>
      <c r="N247">
        <v>57.4158201570798</v>
      </c>
      <c r="O247">
        <v>56.9936284304803</v>
      </c>
      <c r="P247">
        <v>-0.123635493718946</v>
      </c>
      <c r="Q247">
        <v>3.8715548122551999E-2</v>
      </c>
      <c r="R247">
        <v>0.99969767650710595</v>
      </c>
      <c r="S247" t="s">
        <v>7250</v>
      </c>
      <c r="T247" t="s">
        <v>14004</v>
      </c>
      <c r="U247" t="s">
        <v>14004</v>
      </c>
      <c r="V247" t="s">
        <v>14004</v>
      </c>
      <c r="W247" t="s">
        <v>14249</v>
      </c>
      <c r="X247">
        <v>15</v>
      </c>
      <c r="Y247" t="s">
        <v>21186</v>
      </c>
      <c r="Z247" t="s">
        <v>27957</v>
      </c>
      <c r="AA247">
        <v>0.59835653540844136</v>
      </c>
      <c r="AB247" t="str">
        <f>HYPERLINK("Melting_Curves/meltCurve_B7Z6B8_DECR1.pdf", "Melting_Curves/meltCurve_B7Z6B8_DECR1.pdf")</f>
        <v>Melting_Curves/meltCurve_B7Z6B8_DECR1.pdf</v>
      </c>
    </row>
    <row r="248" spans="1:28" x14ac:dyDescent="0.25">
      <c r="A248" t="s">
        <v>252</v>
      </c>
      <c r="B248">
        <v>0.99999676499088797</v>
      </c>
      <c r="C248">
        <v>0.94081421771002005</v>
      </c>
      <c r="D248">
        <v>0.95561692447620905</v>
      </c>
      <c r="E248">
        <v>0.94375834646943702</v>
      </c>
      <c r="F248">
        <v>0.86004684114705998</v>
      </c>
      <c r="G248">
        <v>0.82389819764234695</v>
      </c>
      <c r="H248">
        <v>0.69298197051866495</v>
      </c>
      <c r="I248">
        <v>0.401659463771182</v>
      </c>
      <c r="J248">
        <v>0.21523684298686799</v>
      </c>
      <c r="K248">
        <v>0.13208538341350401</v>
      </c>
      <c r="L248">
        <v>1027.7513308144601</v>
      </c>
      <c r="M248">
        <v>16.423563909894099</v>
      </c>
      <c r="N248">
        <v>62.577851042177102</v>
      </c>
      <c r="O248">
        <v>61.672157793433598</v>
      </c>
      <c r="P248">
        <v>-6.6580799964486501E-2</v>
      </c>
      <c r="Q248">
        <v>0</v>
      </c>
      <c r="R248">
        <v>0.97697766174008405</v>
      </c>
      <c r="S248" t="s">
        <v>7251</v>
      </c>
      <c r="T248" t="s">
        <v>14004</v>
      </c>
      <c r="U248" t="s">
        <v>14004</v>
      </c>
      <c r="V248" t="s">
        <v>14004</v>
      </c>
      <c r="W248" t="s">
        <v>14250</v>
      </c>
      <c r="X248">
        <v>4</v>
      </c>
      <c r="Y248" t="s">
        <v>21187</v>
      </c>
      <c r="Z248" t="s">
        <v>27958</v>
      </c>
      <c r="AA248">
        <v>0.74913562933349243</v>
      </c>
      <c r="AB248" t="str">
        <f>HYPERLINK("Melting_Curves/meltCurve_B7Z6M4_TNFAIP1.pdf", "Melting_Curves/meltCurve_B7Z6M4_TNFAIP1.pdf")</f>
        <v>Melting_Curves/meltCurve_B7Z6M4_TNFAIP1.pdf</v>
      </c>
    </row>
    <row r="249" spans="1:28" x14ac:dyDescent="0.25">
      <c r="A249" t="s">
        <v>253</v>
      </c>
      <c r="B249">
        <v>0.99999676499088797</v>
      </c>
      <c r="C249">
        <v>1.0438408829607799</v>
      </c>
      <c r="D249">
        <v>0.96503409024428899</v>
      </c>
      <c r="E249">
        <v>1.0206286753010201</v>
      </c>
      <c r="F249">
        <v>1.1551427756474899</v>
      </c>
      <c r="G249">
        <v>0.75134057629190798</v>
      </c>
      <c r="H249">
        <v>0.45226394977145701</v>
      </c>
      <c r="I249">
        <v>0.46325460156626802</v>
      </c>
      <c r="J249">
        <v>0.41617678236172301</v>
      </c>
      <c r="K249">
        <v>0.59342293820291803</v>
      </c>
      <c r="L249">
        <v>14204.689628882699</v>
      </c>
      <c r="M249">
        <v>250</v>
      </c>
      <c r="N249">
        <v>57.575295506986897</v>
      </c>
      <c r="O249">
        <v>56.815106456056903</v>
      </c>
      <c r="P249">
        <v>-0.57062321073208</v>
      </c>
      <c r="Q249">
        <v>0.48127955813034801</v>
      </c>
      <c r="R249">
        <v>0.93718285967635095</v>
      </c>
      <c r="S249" t="s">
        <v>7252</v>
      </c>
      <c r="T249" t="s">
        <v>14004</v>
      </c>
      <c r="U249" t="s">
        <v>14004</v>
      </c>
      <c r="V249" t="s">
        <v>14004</v>
      </c>
      <c r="W249" t="s">
        <v>14251</v>
      </c>
      <c r="X249">
        <v>1</v>
      </c>
      <c r="Y249" t="s">
        <v>21188</v>
      </c>
      <c r="Z249" t="s">
        <v>27959</v>
      </c>
      <c r="AA249">
        <v>0.7721390778395737</v>
      </c>
      <c r="AB249" t="str">
        <f>HYPERLINK("Melting_Curves/meltCurve_B7Z779_TMEM106A.pdf", "Melting_Curves/meltCurve_B7Z779_TMEM106A.pdf")</f>
        <v>Melting_Curves/meltCurve_B7Z779_TMEM106A.pdf</v>
      </c>
    </row>
    <row r="250" spans="1:28" x14ac:dyDescent="0.25">
      <c r="A250" t="s">
        <v>254</v>
      </c>
      <c r="B250">
        <v>0.99999676499088797</v>
      </c>
      <c r="C250">
        <v>0.89246071100542501</v>
      </c>
      <c r="D250">
        <v>0.86490336867845896</v>
      </c>
      <c r="E250">
        <v>0.77887631179253503</v>
      </c>
      <c r="F250">
        <v>0.73838077252331702</v>
      </c>
      <c r="G250">
        <v>0.637378561939549</v>
      </c>
      <c r="H250">
        <v>0.48358572863923799</v>
      </c>
      <c r="I250">
        <v>0.61391159478798796</v>
      </c>
      <c r="J250">
        <v>0.57923683362563405</v>
      </c>
      <c r="K250">
        <v>0.50596696628364402</v>
      </c>
      <c r="L250">
        <v>484.863934996095</v>
      </c>
      <c r="M250">
        <v>9.5008147720687894</v>
      </c>
      <c r="O250">
        <v>48.9264247001475</v>
      </c>
      <c r="P250">
        <v>-2.4582744349702E-2</v>
      </c>
      <c r="Q250">
        <v>0.49392339286495202</v>
      </c>
      <c r="R250">
        <v>0.92882009347844996</v>
      </c>
      <c r="S250" t="s">
        <v>7253</v>
      </c>
      <c r="T250" t="s">
        <v>14004</v>
      </c>
      <c r="U250" t="s">
        <v>14004</v>
      </c>
      <c r="V250" t="s">
        <v>14004</v>
      </c>
      <c r="W250" t="s">
        <v>14252</v>
      </c>
      <c r="X250">
        <v>2</v>
      </c>
      <c r="Y250" t="s">
        <v>21189</v>
      </c>
      <c r="Z250" t="s">
        <v>27960</v>
      </c>
      <c r="AA250">
        <v>0.70237815656621327</v>
      </c>
      <c r="AB250" t="str">
        <f>HYPERLINK("Melting_Curves/meltCurve_B7Z798_ZNF558.pdf", "Melting_Curves/meltCurve_B7Z798_ZNF558.pdf")</f>
        <v>Melting_Curves/meltCurve_B7Z798_ZNF558.pdf</v>
      </c>
    </row>
    <row r="251" spans="1:28" x14ac:dyDescent="0.25">
      <c r="A251" t="s">
        <v>255</v>
      </c>
      <c r="B251">
        <v>0.99999676499088797</v>
      </c>
      <c r="C251">
        <v>1.0210988382046999</v>
      </c>
      <c r="D251">
        <v>0.80398558753511296</v>
      </c>
      <c r="E251">
        <v>0.50280638176734804</v>
      </c>
      <c r="F251">
        <v>0.33173337830872401</v>
      </c>
      <c r="G251">
        <v>0.20385969103181101</v>
      </c>
      <c r="H251">
        <v>9.2751624655828896E-2</v>
      </c>
      <c r="I251">
        <v>0.118758980974285</v>
      </c>
      <c r="J251">
        <v>0.12530687060376899</v>
      </c>
      <c r="K251">
        <v>7.0377878954063097E-2</v>
      </c>
      <c r="L251">
        <v>892.51656442755495</v>
      </c>
      <c r="M251">
        <v>18.029014491488901</v>
      </c>
      <c r="N251">
        <v>50.097055377197997</v>
      </c>
      <c r="O251">
        <v>48.907461181712797</v>
      </c>
      <c r="P251">
        <v>-8.3312975337558201E-2</v>
      </c>
      <c r="Q251">
        <v>9.6029021158272304E-2</v>
      </c>
      <c r="R251">
        <v>0.99107418210215703</v>
      </c>
      <c r="S251" t="s">
        <v>7254</v>
      </c>
      <c r="T251" t="s">
        <v>14004</v>
      </c>
      <c r="U251" t="s">
        <v>14004</v>
      </c>
      <c r="V251" t="s">
        <v>14004</v>
      </c>
      <c r="W251" t="s">
        <v>14253</v>
      </c>
      <c r="X251">
        <v>1</v>
      </c>
      <c r="Y251" t="s">
        <v>21190</v>
      </c>
      <c r="Z251" t="s">
        <v>27961</v>
      </c>
      <c r="AA251">
        <v>0.39789619950921462</v>
      </c>
      <c r="AB251" t="str">
        <f>HYPERLINK("Melting_Curves/meltCurve_B7Z7G5_TRUB2.pdf", "Melting_Curves/meltCurve_B7Z7G5_TRUB2.pdf")</f>
        <v>Melting_Curves/meltCurve_B7Z7G5_TRUB2.pdf</v>
      </c>
    </row>
    <row r="252" spans="1:28" x14ac:dyDescent="0.25">
      <c r="A252" t="s">
        <v>256</v>
      </c>
      <c r="B252">
        <v>0.99999676499088797</v>
      </c>
      <c r="C252">
        <v>1.04065458129955</v>
      </c>
      <c r="D252">
        <v>1.01016082466476</v>
      </c>
      <c r="E252">
        <v>0.84361705438429702</v>
      </c>
      <c r="F252">
        <v>0.57028056860429499</v>
      </c>
      <c r="G252">
        <v>0.56683627907437295</v>
      </c>
      <c r="H252">
        <v>0.37714763135521401</v>
      </c>
      <c r="I252">
        <v>0.39643974958756101</v>
      </c>
      <c r="J252">
        <v>0.359057632525277</v>
      </c>
      <c r="K252">
        <v>0.40567592955748</v>
      </c>
      <c r="L252">
        <v>1117.2599475193499</v>
      </c>
      <c r="M252">
        <v>21.460942680858899</v>
      </c>
      <c r="N252">
        <v>55.916935436559697</v>
      </c>
      <c r="O252">
        <v>51.6144539792842</v>
      </c>
      <c r="P252">
        <v>-6.3804156281030797E-2</v>
      </c>
      <c r="Q252">
        <v>0.386208573979755</v>
      </c>
      <c r="R252">
        <v>0.975250105446275</v>
      </c>
      <c r="S252" t="s">
        <v>7255</v>
      </c>
      <c r="T252" t="s">
        <v>14004</v>
      </c>
      <c r="U252" t="s">
        <v>14004</v>
      </c>
      <c r="V252" t="s">
        <v>14004</v>
      </c>
      <c r="W252" t="s">
        <v>14254</v>
      </c>
      <c r="X252">
        <v>3</v>
      </c>
      <c r="Y252" t="s">
        <v>21191</v>
      </c>
      <c r="Z252" t="s">
        <v>27962</v>
      </c>
      <c r="AA252">
        <v>0.64042887956408145</v>
      </c>
      <c r="AB252" t="str">
        <f>HYPERLINK("Melting_Curves/meltCurve_B7Z7H3_ZKSCAN4.pdf", "Melting_Curves/meltCurve_B7Z7H3_ZKSCAN4.pdf")</f>
        <v>Melting_Curves/meltCurve_B7Z7H3_ZKSCAN4.pdf</v>
      </c>
    </row>
    <row r="253" spans="1:28" x14ac:dyDescent="0.25">
      <c r="A253" t="s">
        <v>257</v>
      </c>
      <c r="B253">
        <v>0.99999676499088797</v>
      </c>
      <c r="C253">
        <v>1.12267466595253</v>
      </c>
      <c r="D253">
        <v>0.854103679735289</v>
      </c>
      <c r="E253">
        <v>0.50694839515057799</v>
      </c>
      <c r="F253">
        <v>0.15362341020526299</v>
      </c>
      <c r="G253">
        <v>0.11145532094459699</v>
      </c>
      <c r="H253">
        <v>6.6942686302428694E-2</v>
      </c>
      <c r="I253">
        <v>6.3177383772410098E-2</v>
      </c>
      <c r="J253">
        <v>3.0946710580626698E-2</v>
      </c>
      <c r="K253">
        <v>3.8159126821494103E-2</v>
      </c>
      <c r="L253">
        <v>1371.9913133345301</v>
      </c>
      <c r="M253">
        <v>27.784684917078799</v>
      </c>
      <c r="N253">
        <v>49.582269792840201</v>
      </c>
      <c r="O253">
        <v>49.125744853606797</v>
      </c>
      <c r="P253">
        <v>-0.133800166754972</v>
      </c>
      <c r="Q253">
        <v>5.3727009152534401E-2</v>
      </c>
      <c r="R253">
        <v>0.98710992926068397</v>
      </c>
      <c r="S253" t="s">
        <v>7256</v>
      </c>
      <c r="T253" t="s">
        <v>14004</v>
      </c>
      <c r="U253" t="s">
        <v>14004</v>
      </c>
      <c r="V253" t="s">
        <v>14004</v>
      </c>
      <c r="W253" t="s">
        <v>14255</v>
      </c>
      <c r="X253">
        <v>10</v>
      </c>
      <c r="Y253" t="s">
        <v>21192</v>
      </c>
      <c r="Z253" t="s">
        <v>27963</v>
      </c>
      <c r="AA253">
        <v>0.35635421795118172</v>
      </c>
      <c r="AB253" t="str">
        <f>HYPERLINK("Melting_Curves/meltCurve_B7Z7X8_ATL2.pdf", "Melting_Curves/meltCurve_B7Z7X8_ATL2.pdf")</f>
        <v>Melting_Curves/meltCurve_B7Z7X8_ATL2.pdf</v>
      </c>
    </row>
    <row r="254" spans="1:28" x14ac:dyDescent="0.25">
      <c r="A254" t="s">
        <v>258</v>
      </c>
      <c r="B254">
        <v>0.99999676499088797</v>
      </c>
      <c r="C254">
        <v>0.97143010159689402</v>
      </c>
      <c r="D254">
        <v>0.83550482102977297</v>
      </c>
      <c r="E254">
        <v>0.36132594579914201</v>
      </c>
      <c r="F254">
        <v>0.21523042369053899</v>
      </c>
      <c r="G254">
        <v>0.15741931578666099</v>
      </c>
      <c r="H254">
        <v>8.4966056808100293E-2</v>
      </c>
      <c r="I254">
        <v>8.1725752438895197E-2</v>
      </c>
      <c r="J254">
        <v>7.7010712919189803E-2</v>
      </c>
      <c r="K254">
        <v>6.7270105063284499E-2</v>
      </c>
      <c r="L254">
        <v>1273.6578110841799</v>
      </c>
      <c r="M254">
        <v>26.3537020271649</v>
      </c>
      <c r="N254">
        <v>48.711798041550097</v>
      </c>
      <c r="O254">
        <v>48.053665273570601</v>
      </c>
      <c r="P254">
        <v>-0.124294564035171</v>
      </c>
      <c r="Q254">
        <v>9.3448935628798205E-2</v>
      </c>
      <c r="R254">
        <v>0.99438385447670197</v>
      </c>
      <c r="S254" t="s">
        <v>7257</v>
      </c>
      <c r="T254" t="s">
        <v>14004</v>
      </c>
      <c r="U254" t="s">
        <v>14004</v>
      </c>
      <c r="V254" t="s">
        <v>14004</v>
      </c>
      <c r="W254" t="s">
        <v>14256</v>
      </c>
      <c r="X254">
        <v>34</v>
      </c>
      <c r="Y254" t="s">
        <v>21193</v>
      </c>
      <c r="Z254" t="s">
        <v>27964</v>
      </c>
      <c r="AA254">
        <v>0.35232123534169962</v>
      </c>
      <c r="AB254" t="str">
        <f>HYPERLINK("Melting_Curves/meltCurve_B7Z815_USP7.pdf", "Melting_Curves/meltCurve_B7Z815_USP7.pdf")</f>
        <v>Melting_Curves/meltCurve_B7Z815_USP7.pdf</v>
      </c>
    </row>
    <row r="255" spans="1:28" x14ac:dyDescent="0.25">
      <c r="A255" t="s">
        <v>259</v>
      </c>
      <c r="B255">
        <v>0.99999676499088797</v>
      </c>
      <c r="C255">
        <v>1.09942255857525</v>
      </c>
      <c r="D255">
        <v>0.92710552627425702</v>
      </c>
      <c r="E255">
        <v>0.74495802525761201</v>
      </c>
      <c r="F255">
        <v>0.29599470600455502</v>
      </c>
      <c r="G255">
        <v>0.19120392343363701</v>
      </c>
      <c r="H255">
        <v>9.42018180369978E-2</v>
      </c>
      <c r="I255">
        <v>9.4566930223490997E-2</v>
      </c>
      <c r="J255">
        <v>0.103238011204111</v>
      </c>
      <c r="K255">
        <v>9.3311265754359801E-2</v>
      </c>
      <c r="L255">
        <v>1453.0133167092199</v>
      </c>
      <c r="M255">
        <v>28.4467778815001</v>
      </c>
      <c r="N255">
        <v>51.480680794648002</v>
      </c>
      <c r="O255">
        <v>50.827887774864003</v>
      </c>
      <c r="P255">
        <v>-0.12597149520861201</v>
      </c>
      <c r="Q255">
        <v>9.96782116837725E-2</v>
      </c>
      <c r="R255">
        <v>0.99085812451831201</v>
      </c>
      <c r="S255" t="s">
        <v>7258</v>
      </c>
      <c r="T255" t="s">
        <v>14004</v>
      </c>
      <c r="U255" t="s">
        <v>14004</v>
      </c>
      <c r="V255" t="s">
        <v>14004</v>
      </c>
      <c r="W255" t="s">
        <v>14257</v>
      </c>
      <c r="X255">
        <v>9</v>
      </c>
      <c r="Y255" t="s">
        <v>21194</v>
      </c>
      <c r="Z255" t="s">
        <v>27965</v>
      </c>
      <c r="AA255">
        <v>0.43844942791896852</v>
      </c>
      <c r="AB255" t="str">
        <f>HYPERLINK("Melting_Curves/meltCurve_B7Z817_DHCR24.pdf", "Melting_Curves/meltCurve_B7Z817_DHCR24.pdf")</f>
        <v>Melting_Curves/meltCurve_B7Z817_DHCR24.pdf</v>
      </c>
    </row>
    <row r="256" spans="1:28" x14ac:dyDescent="0.25">
      <c r="A256" t="s">
        <v>260</v>
      </c>
      <c r="B256">
        <v>0.99999676499088797</v>
      </c>
      <c r="C256">
        <v>1.00984521813381</v>
      </c>
      <c r="D256">
        <v>1.0208538512329099</v>
      </c>
      <c r="E256">
        <v>1.08005262909905</v>
      </c>
      <c r="F256">
        <v>1.0132908738548601</v>
      </c>
      <c r="G256">
        <v>1.0270105759392301</v>
      </c>
      <c r="H256">
        <v>0.80062037198353497</v>
      </c>
      <c r="I256">
        <v>0.73929266204403898</v>
      </c>
      <c r="J256">
        <v>0.70529935106788</v>
      </c>
      <c r="K256">
        <v>1.0020687161905799</v>
      </c>
      <c r="L256">
        <v>7392.6797354700502</v>
      </c>
      <c r="M256">
        <v>125.44644698453401</v>
      </c>
      <c r="O256">
        <v>58.915989940522799</v>
      </c>
      <c r="P256">
        <v>-0.10062887597108899</v>
      </c>
      <c r="Q256">
        <v>0.81095838954599297</v>
      </c>
      <c r="R256">
        <v>0.63320591868655296</v>
      </c>
      <c r="S256" t="s">
        <v>7259</v>
      </c>
      <c r="T256" t="s">
        <v>14004</v>
      </c>
      <c r="U256" t="s">
        <v>14004</v>
      </c>
      <c r="V256" t="s">
        <v>14004</v>
      </c>
      <c r="W256" t="s">
        <v>14258</v>
      </c>
      <c r="X256">
        <v>9</v>
      </c>
      <c r="Y256" t="s">
        <v>21195</v>
      </c>
      <c r="Z256" t="s">
        <v>27966</v>
      </c>
      <c r="AA256">
        <v>0.93032740482922027</v>
      </c>
      <c r="AB256" t="str">
        <f>HYPERLINK("Melting_Curves/meltCurve_B7Z902_EMB.pdf", "Melting_Curves/meltCurve_B7Z902_EMB.pdf")</f>
        <v>Melting_Curves/meltCurve_B7Z902_EMB.pdf</v>
      </c>
    </row>
    <row r="257" spans="1:28" x14ac:dyDescent="0.25">
      <c r="A257" t="s">
        <v>261</v>
      </c>
      <c r="B257">
        <v>0.99999676499088797</v>
      </c>
      <c r="C257">
        <v>0.95309460617288799</v>
      </c>
      <c r="D257">
        <v>1.0340086315944601</v>
      </c>
      <c r="E257">
        <v>0.99679541335406896</v>
      </c>
      <c r="F257">
        <v>0.67585565978283002</v>
      </c>
      <c r="G257">
        <v>0.33029657757488801</v>
      </c>
      <c r="H257">
        <v>0.113304304473754</v>
      </c>
      <c r="I257">
        <v>0.111920081850649</v>
      </c>
      <c r="J257">
        <v>0.100768487290437</v>
      </c>
      <c r="K257">
        <v>9.7150800688929798E-2</v>
      </c>
      <c r="L257">
        <v>1604.6450575583799</v>
      </c>
      <c r="M257">
        <v>29.447683165861701</v>
      </c>
      <c r="N257">
        <v>54.884402393242297</v>
      </c>
      <c r="O257">
        <v>54.241948098906001</v>
      </c>
      <c r="P257">
        <v>-0.122822680509363</v>
      </c>
      <c r="Q257">
        <v>9.5060270568334895E-2</v>
      </c>
      <c r="R257">
        <v>0.99550242835395097</v>
      </c>
      <c r="S257" t="s">
        <v>7260</v>
      </c>
      <c r="T257" t="s">
        <v>14004</v>
      </c>
      <c r="U257" t="s">
        <v>14004</v>
      </c>
      <c r="V257" t="s">
        <v>14004</v>
      </c>
      <c r="W257" t="s">
        <v>14259</v>
      </c>
      <c r="X257">
        <v>9</v>
      </c>
      <c r="Y257" t="s">
        <v>21196</v>
      </c>
      <c r="Z257" t="s">
        <v>27967</v>
      </c>
      <c r="AA257">
        <v>0.53837901391804877</v>
      </c>
      <c r="AB257" t="str">
        <f>HYPERLINK("Melting_Curves/meltCurve_B7Z9I3_ATP6AP2.pdf", "Melting_Curves/meltCurve_B7Z9I3_ATP6AP2.pdf")</f>
        <v>Melting_Curves/meltCurve_B7Z9I3_ATP6AP2.pdf</v>
      </c>
    </row>
    <row r="258" spans="1:28" x14ac:dyDescent="0.25">
      <c r="A258" t="s">
        <v>262</v>
      </c>
      <c r="B258">
        <v>0.99999676499088797</v>
      </c>
      <c r="C258">
        <v>0.96667091491558899</v>
      </c>
      <c r="D258">
        <v>1.08580675983285</v>
      </c>
      <c r="E258">
        <v>1.2742629805294801</v>
      </c>
      <c r="F258">
        <v>1.1685886249754101</v>
      </c>
      <c r="G258">
        <v>1.0059995668703301</v>
      </c>
      <c r="H258">
        <v>0.57968081612721201</v>
      </c>
      <c r="I258">
        <v>0.56058936623231803</v>
      </c>
      <c r="J258">
        <v>0.427353380800997</v>
      </c>
      <c r="K258">
        <v>0.44681455326616698</v>
      </c>
      <c r="L258">
        <v>4530.8934403871599</v>
      </c>
      <c r="M258">
        <v>75.859216338269206</v>
      </c>
      <c r="N258">
        <v>62.208637166384399</v>
      </c>
      <c r="O258">
        <v>59.686195196498097</v>
      </c>
      <c r="P258">
        <v>-0.166582443639825</v>
      </c>
      <c r="Q258">
        <v>0.475730414337454</v>
      </c>
      <c r="R258">
        <v>0.86347407118462705</v>
      </c>
      <c r="S258" t="s">
        <v>7261</v>
      </c>
      <c r="T258" t="s">
        <v>14004</v>
      </c>
      <c r="U258" t="s">
        <v>14004</v>
      </c>
      <c r="V258" t="s">
        <v>14004</v>
      </c>
      <c r="W258" t="s">
        <v>14260</v>
      </c>
      <c r="X258">
        <v>6</v>
      </c>
      <c r="Y258" t="s">
        <v>21197</v>
      </c>
      <c r="Z258" t="s">
        <v>27968</v>
      </c>
      <c r="AA258">
        <v>0.82108201795362479</v>
      </c>
      <c r="AB258" t="str">
        <f>HYPERLINK("Melting_Curves/meltCurve_B7Z9S8_ATP1B1.pdf", "Melting_Curves/meltCurve_B7Z9S8_ATP1B1.pdf")</f>
        <v>Melting_Curves/meltCurve_B7Z9S8_ATP1B1.pdf</v>
      </c>
    </row>
    <row r="259" spans="1:28" x14ac:dyDescent="0.25">
      <c r="A259" t="s">
        <v>263</v>
      </c>
      <c r="B259">
        <v>0.99999676499088797</v>
      </c>
      <c r="C259">
        <v>0.985383870209952</v>
      </c>
      <c r="D259">
        <v>0.49456458902841399</v>
      </c>
      <c r="E259">
        <v>0.320635153387751</v>
      </c>
      <c r="F259">
        <v>0.13724744332618199</v>
      </c>
      <c r="G259">
        <v>0.108345839040644</v>
      </c>
      <c r="H259">
        <v>6.0451947469625303E-2</v>
      </c>
      <c r="I259">
        <v>7.1464692505896293E-2</v>
      </c>
      <c r="J259">
        <v>7.1652780797440502E-2</v>
      </c>
      <c r="K259">
        <v>5.9920608170339597E-2</v>
      </c>
      <c r="L259">
        <v>1088.4694766811799</v>
      </c>
      <c r="M259">
        <v>23.444975224864901</v>
      </c>
      <c r="N259">
        <v>46.771590839648297</v>
      </c>
      <c r="O259">
        <v>46.092722787501899</v>
      </c>
      <c r="P259">
        <v>-0.11706605007213</v>
      </c>
      <c r="Q259">
        <v>7.9410060396539098E-2</v>
      </c>
      <c r="R259">
        <v>0.97890406475813097</v>
      </c>
      <c r="S259" t="s">
        <v>7262</v>
      </c>
      <c r="T259" t="s">
        <v>14004</v>
      </c>
      <c r="U259" t="s">
        <v>14004</v>
      </c>
      <c r="V259" t="s">
        <v>14004</v>
      </c>
      <c r="W259" t="s">
        <v>14261</v>
      </c>
      <c r="X259">
        <v>1</v>
      </c>
      <c r="Y259" t="s">
        <v>21198</v>
      </c>
      <c r="Z259" t="s">
        <v>27969</v>
      </c>
      <c r="AA259">
        <v>0.28627506469748909</v>
      </c>
      <c r="AB259" t="str">
        <f>HYPERLINK("Melting_Curves/meltCurve_B7ZAA0_PMS1.pdf", "Melting_Curves/meltCurve_B7ZAA0_PMS1.pdf")</f>
        <v>Melting_Curves/meltCurve_B7ZAA0_PMS1.pdf</v>
      </c>
    </row>
    <row r="260" spans="1:28" x14ac:dyDescent="0.25">
      <c r="A260" t="s">
        <v>264</v>
      </c>
      <c r="B260">
        <v>0.99999676499088797</v>
      </c>
      <c r="C260">
        <v>0.91118830930550598</v>
      </c>
      <c r="D260">
        <v>0.76352360669098795</v>
      </c>
      <c r="E260">
        <v>0.31671049703119097</v>
      </c>
      <c r="F260">
        <v>0.150507017018782</v>
      </c>
      <c r="G260">
        <v>0.105643125074911</v>
      </c>
      <c r="H260">
        <v>5.0783065298541999E-2</v>
      </c>
      <c r="I260">
        <v>6.6991344944349801E-2</v>
      </c>
      <c r="J260">
        <v>5.8327807888627702E-2</v>
      </c>
      <c r="K260">
        <v>5.4178197947235301E-2</v>
      </c>
      <c r="L260">
        <v>1155.4093856009199</v>
      </c>
      <c r="M260">
        <v>24.164661870030699</v>
      </c>
      <c r="N260">
        <v>48.076415916789102</v>
      </c>
      <c r="O260">
        <v>47.490169240541697</v>
      </c>
      <c r="P260">
        <v>-0.11935141869737199</v>
      </c>
      <c r="Q260">
        <v>6.1781728835169698E-2</v>
      </c>
      <c r="R260">
        <v>0.99748573542402696</v>
      </c>
      <c r="S260" t="s">
        <v>7263</v>
      </c>
      <c r="T260" t="s">
        <v>14004</v>
      </c>
      <c r="U260" t="s">
        <v>14004</v>
      </c>
      <c r="V260" t="s">
        <v>14004</v>
      </c>
      <c r="W260" t="s">
        <v>14262</v>
      </c>
      <c r="X260">
        <v>15</v>
      </c>
      <c r="Y260" t="s">
        <v>21199</v>
      </c>
      <c r="Z260" t="s">
        <v>27970</v>
      </c>
      <c r="AA260">
        <v>0.31508051276484578</v>
      </c>
      <c r="AB260" t="str">
        <f>HYPERLINK("Melting_Curves/meltCurve_B7ZC38_SH3GLB2.pdf", "Melting_Curves/meltCurve_B7ZC38_SH3GLB2.pdf")</f>
        <v>Melting_Curves/meltCurve_B7ZC38_SH3GLB2.pdf</v>
      </c>
    </row>
    <row r="261" spans="1:28" x14ac:dyDescent="0.25">
      <c r="A261" t="s">
        <v>265</v>
      </c>
      <c r="B261">
        <v>0.99999676499088797</v>
      </c>
      <c r="C261">
        <v>0.946853045550202</v>
      </c>
      <c r="D261">
        <v>0.844543947356306</v>
      </c>
      <c r="E261">
        <v>0.41545771403127901</v>
      </c>
      <c r="F261">
        <v>0.16596012408597799</v>
      </c>
      <c r="G261">
        <v>0.109520517779954</v>
      </c>
      <c r="H261">
        <v>4.91023058558369E-2</v>
      </c>
      <c r="I261">
        <v>4.18877605650749E-2</v>
      </c>
      <c r="J261">
        <v>3.5921083975824698E-2</v>
      </c>
      <c r="K261">
        <v>3.6266739115546502E-2</v>
      </c>
      <c r="L261">
        <v>1178.03488827057</v>
      </c>
      <c r="M261">
        <v>24.1304095023035</v>
      </c>
      <c r="N261">
        <v>49.011375052583197</v>
      </c>
      <c r="O261">
        <v>48.487950843165201</v>
      </c>
      <c r="P261">
        <v>-0.118809192136116</v>
      </c>
      <c r="Q261">
        <v>4.5068302392144301E-2</v>
      </c>
      <c r="R261">
        <v>0.998262719383609</v>
      </c>
      <c r="S261" t="s">
        <v>7264</v>
      </c>
      <c r="T261" t="s">
        <v>14004</v>
      </c>
      <c r="U261" t="s">
        <v>14004</v>
      </c>
      <c r="V261" t="s">
        <v>14004</v>
      </c>
      <c r="W261" t="s">
        <v>14263</v>
      </c>
      <c r="X261">
        <v>15</v>
      </c>
      <c r="Y261" t="s">
        <v>21200</v>
      </c>
      <c r="Z261" t="s">
        <v>27971</v>
      </c>
      <c r="AA261">
        <v>0.33489899318747091</v>
      </c>
      <c r="AB261" t="str">
        <f>HYPERLINK("Melting_Curves/meltCurve_B7ZKK9_PPP2R5E.pdf", "Melting_Curves/meltCurve_B7ZKK9_PPP2R5E.pdf")</f>
        <v>Melting_Curves/meltCurve_B7ZKK9_PPP2R5E.pdf</v>
      </c>
    </row>
    <row r="262" spans="1:28" x14ac:dyDescent="0.25">
      <c r="A262" t="s">
        <v>266</v>
      </c>
      <c r="B262">
        <v>0.99999676499088797</v>
      </c>
      <c r="C262">
        <v>0.88727348201789302</v>
      </c>
      <c r="D262">
        <v>0.92485193536072097</v>
      </c>
      <c r="E262">
        <v>0.62181513329121196</v>
      </c>
      <c r="F262">
        <v>0.28919195519313901</v>
      </c>
      <c r="G262">
        <v>0.40387890460724901</v>
      </c>
      <c r="H262">
        <v>0.14325819592091699</v>
      </c>
      <c r="I262">
        <v>0.25372788301330601</v>
      </c>
      <c r="J262">
        <v>0.256333329372743</v>
      </c>
      <c r="K262">
        <v>0.21239090364462601</v>
      </c>
      <c r="L262">
        <v>1189.60665676748</v>
      </c>
      <c r="M262">
        <v>24.019733226899302</v>
      </c>
      <c r="N262">
        <v>50.8595726879255</v>
      </c>
      <c r="O262">
        <v>49.186771024834798</v>
      </c>
      <c r="P262">
        <v>-9.3563660775442203E-2</v>
      </c>
      <c r="Q262">
        <v>0.23362648737264399</v>
      </c>
      <c r="R262">
        <v>0.95494734628645095</v>
      </c>
      <c r="S262" t="s">
        <v>7265</v>
      </c>
      <c r="T262" t="s">
        <v>14004</v>
      </c>
      <c r="U262" t="s">
        <v>14004</v>
      </c>
      <c r="V262" t="s">
        <v>14004</v>
      </c>
      <c r="W262" t="s">
        <v>14264</v>
      </c>
      <c r="X262">
        <v>1</v>
      </c>
      <c r="Y262" t="s">
        <v>21201</v>
      </c>
      <c r="Z262" t="s">
        <v>27972</v>
      </c>
      <c r="AA262">
        <v>0.4843773124538468</v>
      </c>
      <c r="AB262" t="str">
        <f>HYPERLINK("Melting_Curves/meltCurve_B7ZKP8_UBXN2A.pdf", "Melting_Curves/meltCurve_B7ZKP8_UBXN2A.pdf")</f>
        <v>Melting_Curves/meltCurve_B7ZKP8_UBXN2A.pdf</v>
      </c>
    </row>
    <row r="263" spans="1:28" x14ac:dyDescent="0.25">
      <c r="A263" t="s">
        <v>267</v>
      </c>
      <c r="B263">
        <v>0.99999676499088797</v>
      </c>
      <c r="C263">
        <v>0.949275443128069</v>
      </c>
      <c r="D263">
        <v>0.94779037345721595</v>
      </c>
      <c r="E263">
        <v>0.85912662645979898</v>
      </c>
      <c r="F263">
        <v>0.760694965546171</v>
      </c>
      <c r="G263">
        <v>0.75217026913879304</v>
      </c>
      <c r="H263">
        <v>0.51144525239820704</v>
      </c>
      <c r="I263">
        <v>0.44142936004329297</v>
      </c>
      <c r="J263">
        <v>0.37837013150798798</v>
      </c>
      <c r="K263">
        <v>0.41170040595900298</v>
      </c>
      <c r="L263">
        <v>552.36788800297404</v>
      </c>
      <c r="M263">
        <v>9.4657860390955495</v>
      </c>
      <c r="N263">
        <v>62.605238233407697</v>
      </c>
      <c r="O263">
        <v>55.927690452952803</v>
      </c>
      <c r="P263">
        <v>-3.2300518640004397E-2</v>
      </c>
      <c r="Q263">
        <v>0.23707943670599499</v>
      </c>
      <c r="R263">
        <v>0.97451241981457803</v>
      </c>
      <c r="S263" t="s">
        <v>7266</v>
      </c>
      <c r="T263" t="s">
        <v>14004</v>
      </c>
      <c r="U263" t="s">
        <v>14004</v>
      </c>
      <c r="V263" t="s">
        <v>14004</v>
      </c>
      <c r="W263" t="s">
        <v>14265</v>
      </c>
      <c r="X263">
        <v>7</v>
      </c>
      <c r="Y263" t="s">
        <v>21202</v>
      </c>
      <c r="Z263" t="s">
        <v>27973</v>
      </c>
      <c r="AA263">
        <v>0.70856697478481612</v>
      </c>
      <c r="AB263" t="str">
        <f>HYPERLINK("Melting_Curves/meltCurve_B7ZKQ9_SCARB1.pdf", "Melting_Curves/meltCurve_B7ZKQ9_SCARB1.pdf")</f>
        <v>Melting_Curves/meltCurve_B7ZKQ9_SCARB1.pdf</v>
      </c>
    </row>
    <row r="264" spans="1:28" x14ac:dyDescent="0.25">
      <c r="A264" t="s">
        <v>268</v>
      </c>
      <c r="B264">
        <v>0.99999676499088797</v>
      </c>
      <c r="C264">
        <v>1.1117575763804299</v>
      </c>
      <c r="D264">
        <v>1.0847116853341301</v>
      </c>
      <c r="E264">
        <v>1.12145696675644</v>
      </c>
      <c r="F264">
        <v>0.91043497009031704</v>
      </c>
      <c r="G264">
        <v>0.54919733346478705</v>
      </c>
      <c r="H264">
        <v>0.179294986075064</v>
      </c>
      <c r="I264">
        <v>0.118139711462616</v>
      </c>
      <c r="J264">
        <v>7.1791782972551094E-2</v>
      </c>
      <c r="K264">
        <v>4.9649823427942601E-2</v>
      </c>
      <c r="L264">
        <v>1888.73810668847</v>
      </c>
      <c r="M264">
        <v>33.165028104144497</v>
      </c>
      <c r="N264">
        <v>57.211770693673401</v>
      </c>
      <c r="O264">
        <v>56.743833719844503</v>
      </c>
      <c r="P264">
        <v>-0.13582004806291201</v>
      </c>
      <c r="Q264">
        <v>7.0476723021852594E-2</v>
      </c>
      <c r="R264">
        <v>0.98141255246603099</v>
      </c>
      <c r="S264" t="s">
        <v>7267</v>
      </c>
      <c r="T264" t="s">
        <v>14004</v>
      </c>
      <c r="U264" t="s">
        <v>14004</v>
      </c>
      <c r="V264" t="s">
        <v>14004</v>
      </c>
      <c r="W264" t="s">
        <v>14266</v>
      </c>
      <c r="X264">
        <v>4</v>
      </c>
      <c r="Y264" t="s">
        <v>21203</v>
      </c>
      <c r="Z264" t="s">
        <v>27974</v>
      </c>
      <c r="AA264">
        <v>0.60081419484462439</v>
      </c>
      <c r="AB264" t="str">
        <f>HYPERLINK("Melting_Curves/meltCurve_B7ZL88_COX18.pdf", "Melting_Curves/meltCurve_B7ZL88_COX18.pdf")</f>
        <v>Melting_Curves/meltCurve_B7ZL88_COX18.pdf</v>
      </c>
    </row>
    <row r="265" spans="1:28" x14ac:dyDescent="0.25">
      <c r="A265" t="s">
        <v>269</v>
      </c>
      <c r="B265">
        <v>0.99999676499088797</v>
      </c>
      <c r="C265">
        <v>1.15473798263578</v>
      </c>
      <c r="D265">
        <v>0.98855644825950095</v>
      </c>
      <c r="E265">
        <v>0.81595823374268694</v>
      </c>
      <c r="F265">
        <v>1.7429127937745099</v>
      </c>
      <c r="G265">
        <v>0.57427790631505904</v>
      </c>
      <c r="H265">
        <v>0.45026029799686701</v>
      </c>
      <c r="I265">
        <v>0.56583319125898202</v>
      </c>
      <c r="J265">
        <v>0.41531445432271502</v>
      </c>
      <c r="K265">
        <v>0.43455015133829</v>
      </c>
      <c r="L265">
        <v>14121.979274347301</v>
      </c>
      <c r="M265">
        <v>250</v>
      </c>
      <c r="N265">
        <v>57.105284735968098</v>
      </c>
      <c r="O265">
        <v>56.484302362652102</v>
      </c>
      <c r="P265">
        <v>-0.59033064342821095</v>
      </c>
      <c r="Q265">
        <v>0.466489368815664</v>
      </c>
      <c r="R265">
        <v>0.60982229576103397</v>
      </c>
      <c r="S265" t="s">
        <v>7268</v>
      </c>
      <c r="T265" t="s">
        <v>14004</v>
      </c>
      <c r="U265" t="s">
        <v>14004</v>
      </c>
      <c r="V265" t="s">
        <v>14004</v>
      </c>
      <c r="W265" t="s">
        <v>14267</v>
      </c>
      <c r="X265">
        <v>2</v>
      </c>
      <c r="Y265" t="s">
        <v>21204</v>
      </c>
      <c r="Z265" t="s">
        <v>27975</v>
      </c>
      <c r="AA265">
        <v>0.75975822719845809</v>
      </c>
      <c r="AB265" t="str">
        <f>HYPERLINK("Melting_Curves/meltCurve_B7ZLM8_GCHFR.pdf", "Melting_Curves/meltCurve_B7ZLM8_GCHFR.pdf")</f>
        <v>Melting_Curves/meltCurve_B7ZLM8_GCHFR.pdf</v>
      </c>
    </row>
    <row r="266" spans="1:28" x14ac:dyDescent="0.25">
      <c r="A266" t="s">
        <v>270</v>
      </c>
      <c r="B266">
        <v>0.99999676499088797</v>
      </c>
      <c r="C266">
        <v>0.96291114268755096</v>
      </c>
      <c r="D266">
        <v>0.78830225366637796</v>
      </c>
      <c r="E266">
        <v>0.38232013005911297</v>
      </c>
      <c r="F266">
        <v>0.25133016596235302</v>
      </c>
      <c r="G266">
        <v>0.176039016293495</v>
      </c>
      <c r="H266">
        <v>9.1947263419576999E-2</v>
      </c>
      <c r="I266">
        <v>0.10641396883886001</v>
      </c>
      <c r="J266">
        <v>0.113378715287817</v>
      </c>
      <c r="K266">
        <v>9.0580634957606196E-2</v>
      </c>
      <c r="L266">
        <v>1075.7641949910701</v>
      </c>
      <c r="M266">
        <v>22.310476826807101</v>
      </c>
      <c r="N266">
        <v>48.762001384558602</v>
      </c>
      <c r="O266">
        <v>47.8355242729615</v>
      </c>
      <c r="P266">
        <v>-0.103753917368248</v>
      </c>
      <c r="Q266">
        <v>0.110190578266417</v>
      </c>
      <c r="R266">
        <v>0.99490032919584004</v>
      </c>
      <c r="S266" t="s">
        <v>7269</v>
      </c>
      <c r="T266" t="s">
        <v>14004</v>
      </c>
      <c r="U266" t="s">
        <v>14004</v>
      </c>
      <c r="V266" t="s">
        <v>14004</v>
      </c>
      <c r="W266" t="s">
        <v>14268</v>
      </c>
      <c r="X266">
        <v>15</v>
      </c>
      <c r="Y266" t="s">
        <v>21205</v>
      </c>
      <c r="Z266" t="s">
        <v>27976</v>
      </c>
      <c r="AA266">
        <v>0.36393574485507257</v>
      </c>
      <c r="AB266" t="str">
        <f>HYPERLINK("Melting_Curves/meltCurve_B7ZLZ0_GMIP.pdf", "Melting_Curves/meltCurve_B7ZLZ0_GMIP.pdf")</f>
        <v>Melting_Curves/meltCurve_B7ZLZ0_GMIP.pdf</v>
      </c>
    </row>
    <row r="267" spans="1:28" x14ac:dyDescent="0.25">
      <c r="A267" t="s">
        <v>271</v>
      </c>
      <c r="B267">
        <v>0.99999676499088797</v>
      </c>
      <c r="C267">
        <v>0.94157749520746703</v>
      </c>
      <c r="D267">
        <v>0.84559539104662496</v>
      </c>
      <c r="E267">
        <v>0.56649142202167702</v>
      </c>
      <c r="F267">
        <v>0.311704367082141</v>
      </c>
      <c r="G267">
        <v>0.26246133339017502</v>
      </c>
      <c r="H267">
        <v>0.139351892512936</v>
      </c>
      <c r="I267">
        <v>0.20784143019857801</v>
      </c>
      <c r="J267">
        <v>0.245427113530826</v>
      </c>
      <c r="K267">
        <v>0.15006043097187699</v>
      </c>
      <c r="L267">
        <v>1008.1122649712599</v>
      </c>
      <c r="M267">
        <v>20.485056165869899</v>
      </c>
      <c r="N267">
        <v>50.333903299187398</v>
      </c>
      <c r="O267">
        <v>48.750301436651597</v>
      </c>
      <c r="P267">
        <v>-8.5800773541470907E-2</v>
      </c>
      <c r="Q267">
        <v>0.18326991743028501</v>
      </c>
      <c r="R267">
        <v>0.99026306282638299</v>
      </c>
      <c r="S267" t="s">
        <v>7270</v>
      </c>
      <c r="T267" t="s">
        <v>14004</v>
      </c>
      <c r="U267" t="s">
        <v>14004</v>
      </c>
      <c r="V267" t="s">
        <v>14004</v>
      </c>
      <c r="W267" t="s">
        <v>14269</v>
      </c>
      <c r="X267">
        <v>3</v>
      </c>
      <c r="Y267" t="s">
        <v>21206</v>
      </c>
      <c r="Z267" t="s">
        <v>27977</v>
      </c>
      <c r="AA267">
        <v>0.44494334560422982</v>
      </c>
      <c r="AB267" t="str">
        <f>HYPERLINK("Melting_Curves/meltCurve_B7ZLZ2_EDEM3.pdf", "Melting_Curves/meltCurve_B7ZLZ2_EDEM3.pdf")</f>
        <v>Melting_Curves/meltCurve_B7ZLZ2_EDEM3.pdf</v>
      </c>
    </row>
    <row r="268" spans="1:28" x14ac:dyDescent="0.25">
      <c r="A268" t="s">
        <v>272</v>
      </c>
      <c r="B268">
        <v>0.99999676499088797</v>
      </c>
      <c r="C268">
        <v>0.968067304139132</v>
      </c>
      <c r="D268">
        <v>0.92220349946260805</v>
      </c>
      <c r="E268">
        <v>0.51058167936730403</v>
      </c>
      <c r="F268">
        <v>0.33329748371191098</v>
      </c>
      <c r="G268">
        <v>0.26361207225456701</v>
      </c>
      <c r="H268">
        <v>0.13406301083382099</v>
      </c>
      <c r="I268">
        <v>0.15171228503387599</v>
      </c>
      <c r="J268">
        <v>0.165621465329155</v>
      </c>
      <c r="K268">
        <v>0.13815658885170701</v>
      </c>
      <c r="L268">
        <v>1099.7598722098201</v>
      </c>
      <c r="M268">
        <v>22.232558656696899</v>
      </c>
      <c r="N268">
        <v>50.322614829305301</v>
      </c>
      <c r="O268">
        <v>49.071178053137103</v>
      </c>
      <c r="P268">
        <v>-9.5428373759535695E-2</v>
      </c>
      <c r="Q268">
        <v>0.15750868377733099</v>
      </c>
      <c r="R268">
        <v>0.98955039818843304</v>
      </c>
      <c r="S268" t="s">
        <v>7271</v>
      </c>
      <c r="T268" t="s">
        <v>14004</v>
      </c>
      <c r="U268" t="s">
        <v>14004</v>
      </c>
      <c r="V268" t="s">
        <v>14004</v>
      </c>
      <c r="W268" t="s">
        <v>14270</v>
      </c>
      <c r="X268">
        <v>8</v>
      </c>
      <c r="Y268" t="s">
        <v>21207</v>
      </c>
      <c r="Z268" t="s">
        <v>27978</v>
      </c>
      <c r="AA268">
        <v>0.43285497033593973</v>
      </c>
      <c r="AB268" t="str">
        <f>HYPERLINK("Melting_Curves/meltCurve_B8X2Z3_RLTPR.pdf", "Melting_Curves/meltCurve_B8X2Z3_RLTPR.pdf")</f>
        <v>Melting_Curves/meltCurve_B8X2Z3_RLTPR.pdf</v>
      </c>
    </row>
    <row r="269" spans="1:28" x14ac:dyDescent="0.25">
      <c r="A269" t="s">
        <v>273</v>
      </c>
      <c r="B269">
        <v>0.99999676499088797</v>
      </c>
      <c r="C269">
        <v>1.1293677949687799</v>
      </c>
      <c r="D269">
        <v>0.81317607602051001</v>
      </c>
      <c r="E269">
        <v>0.884729141276409</v>
      </c>
      <c r="F269">
        <v>0.51818895596963599</v>
      </c>
      <c r="G269">
        <v>0.368442168309498</v>
      </c>
      <c r="H269">
        <v>8.8243467922626398E-2</v>
      </c>
      <c r="I269">
        <v>0.12866036122088301</v>
      </c>
      <c r="J269">
        <v>0.1435788252837</v>
      </c>
      <c r="K269">
        <v>0.113874001172401</v>
      </c>
      <c r="L269">
        <v>1015.18105728264</v>
      </c>
      <c r="M269">
        <v>19.042333481525901</v>
      </c>
      <c r="N269">
        <v>53.894793172087802</v>
      </c>
      <c r="O269">
        <v>52.734298587912903</v>
      </c>
      <c r="P269">
        <v>-8.1875487532970803E-2</v>
      </c>
      <c r="Q269">
        <v>9.3078420499584799E-2</v>
      </c>
      <c r="R269">
        <v>0.96167543378409304</v>
      </c>
      <c r="S269" t="s">
        <v>7272</v>
      </c>
      <c r="T269" t="s">
        <v>14004</v>
      </c>
      <c r="U269" t="s">
        <v>14004</v>
      </c>
      <c r="V269" t="s">
        <v>14004</v>
      </c>
      <c r="W269" t="s">
        <v>14271</v>
      </c>
      <c r="X269">
        <v>1</v>
      </c>
      <c r="Y269" t="s">
        <v>21208</v>
      </c>
      <c r="Z269" t="s">
        <v>27979</v>
      </c>
      <c r="AA269">
        <v>0.50899130636063239</v>
      </c>
      <c r="AB269" t="str">
        <f>HYPERLINK("Melting_Curves/meltCurve_B8ZZI7_CATSPERG.pdf", "Melting_Curves/meltCurve_B8ZZI7_CATSPERG.pdf")</f>
        <v>Melting_Curves/meltCurve_B8ZZI7_CATSPERG.pdf</v>
      </c>
    </row>
    <row r="270" spans="1:28" x14ac:dyDescent="0.25">
      <c r="A270" t="s">
        <v>274</v>
      </c>
      <c r="B270">
        <v>0.99999676499088797</v>
      </c>
      <c r="C270">
        <v>0.893637607692228</v>
      </c>
      <c r="D270">
        <v>0.62797942114999195</v>
      </c>
      <c r="E270">
        <v>0.465265223329767</v>
      </c>
      <c r="F270">
        <v>0.38760470892770799</v>
      </c>
      <c r="G270">
        <v>0.34298128986393001</v>
      </c>
      <c r="H270">
        <v>0.20812688285291001</v>
      </c>
      <c r="I270">
        <v>0.219679305001511</v>
      </c>
      <c r="J270">
        <v>0.17143833967115599</v>
      </c>
      <c r="K270">
        <v>0.15610498940527001</v>
      </c>
      <c r="L270">
        <v>611.42159319295604</v>
      </c>
      <c r="M270">
        <v>12.769479403647701</v>
      </c>
      <c r="N270">
        <v>49.5433738023142</v>
      </c>
      <c r="O270">
        <v>46.7527742829582</v>
      </c>
      <c r="P270">
        <v>-5.6397559329516997E-2</v>
      </c>
      <c r="Q270">
        <v>0.17420500256309299</v>
      </c>
      <c r="R270">
        <v>0.97644079374075998</v>
      </c>
      <c r="S270" t="s">
        <v>7273</v>
      </c>
      <c r="T270" t="s">
        <v>14004</v>
      </c>
      <c r="U270" t="s">
        <v>14004</v>
      </c>
      <c r="V270" t="s">
        <v>14004</v>
      </c>
      <c r="W270" t="s">
        <v>14272</v>
      </c>
      <c r="X270">
        <v>6</v>
      </c>
      <c r="Y270" t="s">
        <v>21209</v>
      </c>
      <c r="Z270" t="s">
        <v>27980</v>
      </c>
      <c r="AA270">
        <v>0.42026294296146238</v>
      </c>
      <c r="AB270" t="str">
        <f>HYPERLINK("Melting_Curves/meltCurve_B8ZZN6_SUMO1.pdf", "Melting_Curves/meltCurve_B8ZZN6_SUMO1.pdf")</f>
        <v>Melting_Curves/meltCurve_B8ZZN6_SUMO1.pdf</v>
      </c>
    </row>
    <row r="271" spans="1:28" x14ac:dyDescent="0.25">
      <c r="A271" t="s">
        <v>275</v>
      </c>
      <c r="B271">
        <v>0.99999676499088797</v>
      </c>
      <c r="C271">
        <v>0.85963189844728605</v>
      </c>
      <c r="D271">
        <v>1.0553073471825001</v>
      </c>
      <c r="E271">
        <v>1.21586965521593</v>
      </c>
      <c r="F271">
        <v>1.6372030299504801</v>
      </c>
      <c r="G271">
        <v>1.3733240730687399</v>
      </c>
      <c r="H271">
        <v>1.31332613194755</v>
      </c>
      <c r="I271">
        <v>1.1684100435154201</v>
      </c>
      <c r="J271">
        <v>0.98352828278790005</v>
      </c>
      <c r="K271">
        <v>1.41312274775265</v>
      </c>
      <c r="L271">
        <v>12361.3086905621</v>
      </c>
      <c r="M271">
        <v>250</v>
      </c>
      <c r="O271">
        <v>49.442071608447598</v>
      </c>
      <c r="P271">
        <v>0.39796453240055002</v>
      </c>
      <c r="Q271">
        <v>1.31481904771827</v>
      </c>
      <c r="R271">
        <v>0.462689293433447</v>
      </c>
      <c r="S271" t="s">
        <v>7274</v>
      </c>
      <c r="T271" t="s">
        <v>14004</v>
      </c>
      <c r="U271" t="s">
        <v>14004</v>
      </c>
      <c r="V271" t="s">
        <v>14004</v>
      </c>
      <c r="W271" t="s">
        <v>14273</v>
      </c>
      <c r="X271">
        <v>10</v>
      </c>
      <c r="Y271" t="s">
        <v>21210</v>
      </c>
      <c r="Z271" t="s">
        <v>27981</v>
      </c>
      <c r="AA271">
        <v>1.215673735323461</v>
      </c>
      <c r="AB271" t="str">
        <f>HYPERLINK("Melting_Curves/meltCurve_B8ZZQ6_PTMA.pdf", "Melting_Curves/meltCurve_B8ZZQ6_PTMA.pdf")</f>
        <v>Melting_Curves/meltCurve_B8ZZQ6_PTMA.pdf</v>
      </c>
    </row>
    <row r="272" spans="1:28" x14ac:dyDescent="0.25">
      <c r="A272" t="s">
        <v>276</v>
      </c>
      <c r="B272">
        <v>0.99999676499088797</v>
      </c>
      <c r="C272">
        <v>0.93990742480803402</v>
      </c>
      <c r="D272">
        <v>0.87798833570720403</v>
      </c>
      <c r="E272">
        <v>0.696149068986888</v>
      </c>
      <c r="F272">
        <v>0.55662994677042099</v>
      </c>
      <c r="G272">
        <v>0.51051411836064597</v>
      </c>
      <c r="H272">
        <v>0.34370322326159602</v>
      </c>
      <c r="I272">
        <v>0.299174024228131</v>
      </c>
      <c r="J272">
        <v>0.26488021262133099</v>
      </c>
      <c r="K272">
        <v>0.39085788399757199</v>
      </c>
      <c r="L272">
        <v>655.40979001811399</v>
      </c>
      <c r="M272">
        <v>12.782273644465899</v>
      </c>
      <c r="N272">
        <v>54.957889705782499</v>
      </c>
      <c r="O272">
        <v>50.068508429544899</v>
      </c>
      <c r="P272">
        <v>-4.5470428329132097E-2</v>
      </c>
      <c r="Q272">
        <v>0.28769862555888898</v>
      </c>
      <c r="R272">
        <v>0.97475099166916201</v>
      </c>
      <c r="S272" t="s">
        <v>7275</v>
      </c>
      <c r="T272" t="s">
        <v>14004</v>
      </c>
      <c r="U272" t="s">
        <v>14004</v>
      </c>
      <c r="V272" t="s">
        <v>14004</v>
      </c>
      <c r="W272" t="s">
        <v>14274</v>
      </c>
      <c r="X272">
        <v>10</v>
      </c>
      <c r="Y272" t="s">
        <v>21211</v>
      </c>
      <c r="Z272" t="s">
        <v>27982</v>
      </c>
      <c r="AA272">
        <v>0.57627793733797794</v>
      </c>
      <c r="AB272" t="str">
        <f>HYPERLINK("Melting_Curves/meltCurve_B8ZZU6_ATF2.pdf", "Melting_Curves/meltCurve_B8ZZU6_ATF2.pdf")</f>
        <v>Melting_Curves/meltCurve_B8ZZU6_ATF2.pdf</v>
      </c>
    </row>
    <row r="273" spans="1:28" x14ac:dyDescent="0.25">
      <c r="A273" t="s">
        <v>277</v>
      </c>
      <c r="B273">
        <v>0.99999676499088797</v>
      </c>
      <c r="C273">
        <v>0.973660555360637</v>
      </c>
      <c r="D273">
        <v>0.86712779760790604</v>
      </c>
      <c r="E273">
        <v>0.55338247910756</v>
      </c>
      <c r="F273">
        <v>0.26023506459964202</v>
      </c>
      <c r="G273">
        <v>0.19340794307524001</v>
      </c>
      <c r="H273">
        <v>8.9871280970657705E-2</v>
      </c>
      <c r="I273">
        <v>9.2274419573149899E-2</v>
      </c>
      <c r="J273">
        <v>7.9740569398424305E-2</v>
      </c>
      <c r="K273">
        <v>0.102272987933455</v>
      </c>
      <c r="L273">
        <v>1047.7606119008201</v>
      </c>
      <c r="M273">
        <v>21.0683041151817</v>
      </c>
      <c r="N273">
        <v>50.2028842829734</v>
      </c>
      <c r="O273">
        <v>49.290042035287598</v>
      </c>
      <c r="P273">
        <v>-9.7273609642418102E-2</v>
      </c>
      <c r="Q273">
        <v>8.9723540460213705E-2</v>
      </c>
      <c r="R273">
        <v>0.99799044453716601</v>
      </c>
      <c r="S273" t="s">
        <v>7276</v>
      </c>
      <c r="T273" t="s">
        <v>14004</v>
      </c>
      <c r="U273" t="s">
        <v>14004</v>
      </c>
      <c r="V273" t="s">
        <v>14004</v>
      </c>
      <c r="W273" t="s">
        <v>14275</v>
      </c>
      <c r="X273">
        <v>2</v>
      </c>
      <c r="Y273" t="s">
        <v>21212</v>
      </c>
      <c r="Z273" t="s">
        <v>27983</v>
      </c>
      <c r="AA273">
        <v>0.39644929947993529</v>
      </c>
      <c r="AB273" t="str">
        <f>HYPERLINK("Melting_Curves/meltCurve_B8ZZV9_COQ10B.pdf", "Melting_Curves/meltCurve_B8ZZV9_COQ10B.pdf")</f>
        <v>Melting_Curves/meltCurve_B8ZZV9_COQ10B.pdf</v>
      </c>
    </row>
    <row r="274" spans="1:28" x14ac:dyDescent="0.25">
      <c r="A274" t="s">
        <v>278</v>
      </c>
      <c r="B274">
        <v>0.99999676499088797</v>
      </c>
      <c r="C274">
        <v>0.84834246945278402</v>
      </c>
      <c r="D274">
        <v>0.97158385744085796</v>
      </c>
      <c r="E274">
        <v>0.60133588577828401</v>
      </c>
      <c r="F274">
        <v>0.44481950583713997</v>
      </c>
      <c r="G274">
        <v>0.21540514277060499</v>
      </c>
      <c r="H274">
        <v>0.12118492284271599</v>
      </c>
      <c r="I274">
        <v>0.13036674636833701</v>
      </c>
      <c r="J274">
        <v>0.10865433254564</v>
      </c>
      <c r="K274">
        <v>0.10347623260370099</v>
      </c>
      <c r="L274">
        <v>849.24546810008997</v>
      </c>
      <c r="M274">
        <v>16.6076831530311</v>
      </c>
      <c r="N274">
        <v>51.727836290779997</v>
      </c>
      <c r="O274">
        <v>50.4115457067591</v>
      </c>
      <c r="P274">
        <v>-7.5235956530467399E-2</v>
      </c>
      <c r="Q274">
        <v>8.6566428649125796E-2</v>
      </c>
      <c r="R274">
        <v>0.97705917738227399</v>
      </c>
      <c r="S274" t="s">
        <v>7277</v>
      </c>
      <c r="T274" t="s">
        <v>14004</v>
      </c>
      <c r="U274" t="s">
        <v>14004</v>
      </c>
      <c r="V274" t="s">
        <v>14004</v>
      </c>
      <c r="W274" t="s">
        <v>14276</v>
      </c>
      <c r="X274">
        <v>2</v>
      </c>
      <c r="Y274" t="s">
        <v>21213</v>
      </c>
      <c r="Z274" t="s">
        <v>27984</v>
      </c>
      <c r="AA274">
        <v>0.44332857304507928</v>
      </c>
      <c r="AB274" t="str">
        <f>HYPERLINK("Melting_Curves/meltCurve_B9A008_IMP4.pdf", "Melting_Curves/meltCurve_B9A008_IMP4.pdf")</f>
        <v>Melting_Curves/meltCurve_B9A008_IMP4.pdf</v>
      </c>
    </row>
    <row r="275" spans="1:28" x14ac:dyDescent="0.25">
      <c r="A275" t="s">
        <v>279</v>
      </c>
      <c r="B275">
        <v>0.99999676499088797</v>
      </c>
      <c r="C275">
        <v>0.97631626213040001</v>
      </c>
      <c r="D275">
        <v>1.0539721768671</v>
      </c>
      <c r="E275">
        <v>1.1230750129676801</v>
      </c>
      <c r="F275">
        <v>0.240288354749642</v>
      </c>
      <c r="G275">
        <v>0.150138304140079</v>
      </c>
      <c r="H275">
        <v>6.5016738452180395E-2</v>
      </c>
      <c r="I275">
        <v>6.3181435297238797E-2</v>
      </c>
      <c r="J275">
        <v>6.1571874562151997E-2</v>
      </c>
      <c r="K275">
        <v>4.6930170733902002E-2</v>
      </c>
      <c r="L275">
        <v>13218.0892907624</v>
      </c>
      <c r="M275">
        <v>250</v>
      </c>
      <c r="N275">
        <v>52.907928743994198</v>
      </c>
      <c r="O275">
        <v>52.868957112013398</v>
      </c>
      <c r="P275">
        <v>-1.0907062421284499</v>
      </c>
      <c r="Q275">
        <v>7.73676858897068E-2</v>
      </c>
      <c r="R275">
        <v>0.98807854227473302</v>
      </c>
      <c r="S275" t="s">
        <v>7278</v>
      </c>
      <c r="T275" t="s">
        <v>14004</v>
      </c>
      <c r="U275" t="s">
        <v>14004</v>
      </c>
      <c r="V275" t="s">
        <v>14004</v>
      </c>
      <c r="W275" t="s">
        <v>14277</v>
      </c>
      <c r="X275">
        <v>24</v>
      </c>
      <c r="Y275" t="s">
        <v>21214</v>
      </c>
      <c r="Z275" t="s">
        <v>27985</v>
      </c>
      <c r="AA275">
        <v>0.47333505300668199</v>
      </c>
      <c r="AB275" t="str">
        <f>HYPERLINK("Melting_Curves/meltCurve_B9A018_USP39.pdf", "Melting_Curves/meltCurve_B9A018_USP39.pdf")</f>
        <v>Melting_Curves/meltCurve_B9A018_USP39.pdf</v>
      </c>
    </row>
    <row r="276" spans="1:28" x14ac:dyDescent="0.25">
      <c r="A276" t="s">
        <v>280</v>
      </c>
      <c r="B276">
        <v>0.99999676499088797</v>
      </c>
      <c r="C276">
        <v>0.99174597233122996</v>
      </c>
      <c r="D276">
        <v>1.01755752037196</v>
      </c>
      <c r="E276">
        <v>0.88284090020295902</v>
      </c>
      <c r="F276">
        <v>0.63915701045770701</v>
      </c>
      <c r="G276">
        <v>0.51365931655774399</v>
      </c>
      <c r="H276">
        <v>0.42465596477392398</v>
      </c>
      <c r="I276">
        <v>0.31904523994024597</v>
      </c>
      <c r="J276">
        <v>0.28282712650964298</v>
      </c>
      <c r="K276">
        <v>0.18793150063139999</v>
      </c>
      <c r="L276">
        <v>754.59591374202898</v>
      </c>
      <c r="M276">
        <v>13.6687194423868</v>
      </c>
      <c r="N276">
        <v>57.317819361477099</v>
      </c>
      <c r="O276">
        <v>54.0646283870635</v>
      </c>
      <c r="P276">
        <v>-5.0709235117337603E-2</v>
      </c>
      <c r="Q276">
        <v>0.19782458823246299</v>
      </c>
      <c r="R276">
        <v>0.98463135834531701</v>
      </c>
      <c r="S276" t="s">
        <v>7279</v>
      </c>
      <c r="T276" t="s">
        <v>14004</v>
      </c>
      <c r="U276" t="s">
        <v>14004</v>
      </c>
      <c r="V276" t="s">
        <v>14004</v>
      </c>
      <c r="W276" t="s">
        <v>14278</v>
      </c>
      <c r="X276">
        <v>2</v>
      </c>
      <c r="Y276" t="s">
        <v>21215</v>
      </c>
      <c r="Z276" t="s">
        <v>27986</v>
      </c>
      <c r="AA276">
        <v>0.62105237691542226</v>
      </c>
      <c r="AB276" t="str">
        <f>HYPERLINK("Melting_Curves/meltCurve_B9A054_RHBDD1.pdf", "Melting_Curves/meltCurve_B9A054_RHBDD1.pdf")</f>
        <v>Melting_Curves/meltCurve_B9A054_RHBDD1.pdf</v>
      </c>
    </row>
    <row r="277" spans="1:28" x14ac:dyDescent="0.25">
      <c r="A277" t="s">
        <v>281</v>
      </c>
      <c r="B277">
        <v>0.99999676499088797</v>
      </c>
      <c r="C277">
        <v>0.87239207267381103</v>
      </c>
      <c r="D277">
        <v>1.01165872916962</v>
      </c>
      <c r="E277">
        <v>0.77748679573218105</v>
      </c>
      <c r="F277">
        <v>0.59040220786352904</v>
      </c>
      <c r="G277">
        <v>0.77856696758553001</v>
      </c>
      <c r="H277">
        <v>0.60422767424549295</v>
      </c>
      <c r="I277">
        <v>0.49440904490646698</v>
      </c>
      <c r="J277">
        <v>0.42760849045695998</v>
      </c>
      <c r="K277">
        <v>0.51164769890932105</v>
      </c>
      <c r="L277">
        <v>444.09886015062102</v>
      </c>
      <c r="M277">
        <v>8.0957622847161197</v>
      </c>
      <c r="N277">
        <v>66.406062007726007</v>
      </c>
      <c r="O277">
        <v>51.812917873087002</v>
      </c>
      <c r="P277">
        <v>-2.4334849953124502E-2</v>
      </c>
      <c r="Q277">
        <v>0.37770052517397101</v>
      </c>
      <c r="R277">
        <v>0.83583002179527499</v>
      </c>
      <c r="S277" t="s">
        <v>7280</v>
      </c>
      <c r="T277" t="s">
        <v>14004</v>
      </c>
      <c r="U277" t="s">
        <v>14004</v>
      </c>
      <c r="V277" t="s">
        <v>14004</v>
      </c>
      <c r="W277" t="s">
        <v>14279</v>
      </c>
      <c r="X277">
        <v>1</v>
      </c>
      <c r="Y277" t="s">
        <v>21216</v>
      </c>
      <c r="Z277" t="s">
        <v>27987</v>
      </c>
      <c r="AA277">
        <v>0.70337192845494712</v>
      </c>
      <c r="AB277" t="str">
        <f>HYPERLINK("Melting_Curves/meltCurve_B9A057_COA5.pdf", "Melting_Curves/meltCurve_B9A057_COA5.pdf")</f>
        <v>Melting_Curves/meltCurve_B9A057_COA5.pdf</v>
      </c>
    </row>
    <row r="278" spans="1:28" x14ac:dyDescent="0.25">
      <c r="A278" t="s">
        <v>282</v>
      </c>
      <c r="B278">
        <v>0.99999676499088797</v>
      </c>
      <c r="C278">
        <v>0.92555482605434303</v>
      </c>
      <c r="D278">
        <v>1.0529769322253599</v>
      </c>
      <c r="E278">
        <v>1.3188582367683599</v>
      </c>
      <c r="F278">
        <v>0.62690130693950097</v>
      </c>
      <c r="G278">
        <v>0.15505631875595599</v>
      </c>
      <c r="H278">
        <v>0.107031360893983</v>
      </c>
      <c r="I278">
        <v>6.56125653986286E-2</v>
      </c>
      <c r="J278">
        <v>6.0175334151154801E-2</v>
      </c>
      <c r="K278">
        <v>5.1326648523672899E-2</v>
      </c>
      <c r="L278">
        <v>5599.7634303006198</v>
      </c>
      <c r="M278">
        <v>104.885700611842</v>
      </c>
      <c r="N278">
        <v>53.487207087616603</v>
      </c>
      <c r="O278">
        <v>53.369797741130903</v>
      </c>
      <c r="P278">
        <v>-0.44836243862775099</v>
      </c>
      <c r="Q278">
        <v>8.7425216729128799E-2</v>
      </c>
      <c r="R278">
        <v>0.94818667638215803</v>
      </c>
      <c r="S278" t="s">
        <v>7281</v>
      </c>
      <c r="T278" t="s">
        <v>14004</v>
      </c>
      <c r="U278" t="s">
        <v>14004</v>
      </c>
      <c r="V278" t="s">
        <v>14004</v>
      </c>
      <c r="W278" t="s">
        <v>14280</v>
      </c>
      <c r="X278">
        <v>1</v>
      </c>
      <c r="Y278" t="s">
        <v>21217</v>
      </c>
      <c r="Z278" t="s">
        <v>27988</v>
      </c>
      <c r="AA278">
        <v>0.49519965108584207</v>
      </c>
      <c r="AB278" t="str">
        <f>HYPERLINK("Melting_Curves/meltCurve_B9EGH5_PLCB2.pdf", "Melting_Curves/meltCurve_B9EGH5_PLCB2.pdf")</f>
        <v>Melting_Curves/meltCurve_B9EGH5_PLCB2.pdf</v>
      </c>
    </row>
    <row r="279" spans="1:28" x14ac:dyDescent="0.25">
      <c r="A279" t="s">
        <v>283</v>
      </c>
      <c r="B279">
        <v>0.99999676499088797</v>
      </c>
      <c r="C279">
        <v>0.87590268204062105</v>
      </c>
      <c r="D279">
        <v>0.82569182823294296</v>
      </c>
      <c r="E279">
        <v>0.95506290589285703</v>
      </c>
      <c r="F279">
        <v>1.1435504021546099</v>
      </c>
      <c r="G279">
        <v>0.50910896974169195</v>
      </c>
      <c r="H279">
        <v>0.26144908170575099</v>
      </c>
      <c r="I279">
        <v>0.163695763120807</v>
      </c>
      <c r="J279">
        <v>0.16011337475745199</v>
      </c>
      <c r="K279">
        <v>0.10305666038302</v>
      </c>
      <c r="L279">
        <v>14178.6404095533</v>
      </c>
      <c r="M279">
        <v>250</v>
      </c>
      <c r="N279">
        <v>56.810418912167002</v>
      </c>
      <c r="O279">
        <v>56.710938464436502</v>
      </c>
      <c r="P279">
        <v>-0.91243573439697601</v>
      </c>
      <c r="Q279">
        <v>0.17207870248968299</v>
      </c>
      <c r="R279">
        <v>0.94435064149698</v>
      </c>
      <c r="S279" t="s">
        <v>7282</v>
      </c>
      <c r="T279" t="s">
        <v>14004</v>
      </c>
      <c r="U279" t="s">
        <v>14004</v>
      </c>
      <c r="V279" t="s">
        <v>14004</v>
      </c>
      <c r="W279" t="s">
        <v>14281</v>
      </c>
      <c r="X279">
        <v>3</v>
      </c>
      <c r="Y279" t="s">
        <v>21218</v>
      </c>
      <c r="Z279" t="s">
        <v>27989</v>
      </c>
      <c r="AA279">
        <v>0.6334391600842747</v>
      </c>
      <c r="AB279" t="str">
        <f>HYPERLINK("Melting_Curves/meltCurve_C0H5X6_PEX7.pdf", "Melting_Curves/meltCurve_C0H5X6_PEX7.pdf")</f>
        <v>Melting_Curves/meltCurve_C0H5X6_PEX7.pdf</v>
      </c>
    </row>
    <row r="280" spans="1:28" x14ac:dyDescent="0.25">
      <c r="A280" t="s">
        <v>284</v>
      </c>
      <c r="B280">
        <v>0.99999676499088797</v>
      </c>
      <c r="C280">
        <v>1.00295344883723</v>
      </c>
      <c r="D280">
        <v>0.93652607117152598</v>
      </c>
      <c r="E280">
        <v>0.94321355186462696</v>
      </c>
      <c r="F280">
        <v>0.95624326123315995</v>
      </c>
      <c r="G280">
        <v>0.59579626620424697</v>
      </c>
      <c r="H280">
        <v>0.38868009158843703</v>
      </c>
      <c r="I280">
        <v>0.48371608750122902</v>
      </c>
      <c r="J280">
        <v>0.40480009415206297</v>
      </c>
      <c r="K280">
        <v>0.47597678726265602</v>
      </c>
      <c r="L280">
        <v>3035.5518878519001</v>
      </c>
      <c r="M280">
        <v>54.425557340090499</v>
      </c>
      <c r="N280">
        <v>57.990838367920098</v>
      </c>
      <c r="O280">
        <v>55.699235984912299</v>
      </c>
      <c r="P280">
        <v>-0.137398035602871</v>
      </c>
      <c r="Q280">
        <v>0.43754652513391201</v>
      </c>
      <c r="R280">
        <v>0.97707862022042302</v>
      </c>
      <c r="S280" t="s">
        <v>7283</v>
      </c>
      <c r="T280" t="s">
        <v>14004</v>
      </c>
      <c r="U280" t="s">
        <v>14004</v>
      </c>
      <c r="V280" t="s">
        <v>14004</v>
      </c>
      <c r="W280" t="s">
        <v>14282</v>
      </c>
      <c r="X280">
        <v>2</v>
      </c>
      <c r="Y280" t="s">
        <v>21219</v>
      </c>
      <c r="Z280" t="s">
        <v>27990</v>
      </c>
      <c r="AA280">
        <v>0.73445809784360683</v>
      </c>
      <c r="AB280" t="str">
        <f>HYPERLINK("Melting_Curves/meltCurve_C0H5Y7_BAK1.pdf", "Melting_Curves/meltCurve_C0H5Y7_BAK1.pdf")</f>
        <v>Melting_Curves/meltCurve_C0H5Y7_BAK1.pdf</v>
      </c>
    </row>
    <row r="281" spans="1:28" x14ac:dyDescent="0.25">
      <c r="A281" t="s">
        <v>285</v>
      </c>
      <c r="B281">
        <v>0.99999676499088797</v>
      </c>
      <c r="C281">
        <v>1.01932055675316</v>
      </c>
      <c r="D281">
        <v>0.91057380670546495</v>
      </c>
      <c r="E281">
        <v>0.94781499915025003</v>
      </c>
      <c r="F281">
        <v>0.58158711998513501</v>
      </c>
      <c r="G281">
        <v>0.25349559263016802</v>
      </c>
      <c r="H281">
        <v>0.13400794320857601</v>
      </c>
      <c r="I281">
        <v>8.9242273075889597E-2</v>
      </c>
      <c r="J281">
        <v>8.6915473577254904E-2</v>
      </c>
      <c r="K281">
        <v>6.9512911823923301E-2</v>
      </c>
      <c r="L281">
        <v>1461.31701138063</v>
      </c>
      <c r="M281">
        <v>27.2261301304321</v>
      </c>
      <c r="N281">
        <v>54.026281410873402</v>
      </c>
      <c r="O281">
        <v>53.386290412025602</v>
      </c>
      <c r="P281">
        <v>-0.117109486742917</v>
      </c>
      <c r="Q281">
        <v>8.1473685367420196E-2</v>
      </c>
      <c r="R281">
        <v>0.99455030369029096</v>
      </c>
      <c r="S281" t="s">
        <v>7284</v>
      </c>
      <c r="T281" t="s">
        <v>14004</v>
      </c>
      <c r="U281" t="s">
        <v>14004</v>
      </c>
      <c r="V281" t="s">
        <v>14004</v>
      </c>
      <c r="W281" t="s">
        <v>14283</v>
      </c>
      <c r="X281">
        <v>2</v>
      </c>
      <c r="Y281" t="s">
        <v>21220</v>
      </c>
      <c r="Z281" t="s">
        <v>27991</v>
      </c>
      <c r="AA281">
        <v>0.50735655074027608</v>
      </c>
      <c r="AB281" t="str">
        <f>HYPERLINK("Melting_Curves/meltCurve_C1IDX9_ATG12.pdf", "Melting_Curves/meltCurve_C1IDX9_ATG12.pdf")</f>
        <v>Melting_Curves/meltCurve_C1IDX9_ATG12.pdf</v>
      </c>
    </row>
    <row r="282" spans="1:28" x14ac:dyDescent="0.25">
      <c r="A282" t="s">
        <v>286</v>
      </c>
      <c r="B282">
        <v>0.99999676499088797</v>
      </c>
      <c r="C282">
        <v>0.95908066614315501</v>
      </c>
      <c r="D282">
        <v>0.94972651036062306</v>
      </c>
      <c r="E282">
        <v>0.64079367325673198</v>
      </c>
      <c r="F282">
        <v>0.36678681183530099</v>
      </c>
      <c r="G282">
        <v>0.25062024203060701</v>
      </c>
      <c r="H282">
        <v>0.15509649697212</v>
      </c>
      <c r="I282">
        <v>0.15783253301115599</v>
      </c>
      <c r="J282">
        <v>0.17038312561889499</v>
      </c>
      <c r="K282">
        <v>0.22395636080734899</v>
      </c>
      <c r="L282">
        <v>1187.75478439376</v>
      </c>
      <c r="M282">
        <v>23.5996021289426</v>
      </c>
      <c r="N282">
        <v>51.278779951664198</v>
      </c>
      <c r="O282">
        <v>49.972239717820102</v>
      </c>
      <c r="P282">
        <v>-9.7169845384944303E-2</v>
      </c>
      <c r="Q282">
        <v>0.176983983122454</v>
      </c>
      <c r="R282">
        <v>0.99440361540511102</v>
      </c>
      <c r="S282" t="s">
        <v>7285</v>
      </c>
      <c r="T282" t="s">
        <v>14004</v>
      </c>
      <c r="U282" t="s">
        <v>14004</v>
      </c>
      <c r="V282" t="s">
        <v>14004</v>
      </c>
      <c r="W282" t="s">
        <v>14284</v>
      </c>
      <c r="X282">
        <v>13</v>
      </c>
      <c r="Y282" t="s">
        <v>21221</v>
      </c>
      <c r="Z282" t="s">
        <v>27992</v>
      </c>
      <c r="AA282">
        <v>0.46863893786159339</v>
      </c>
      <c r="AB282" t="str">
        <f>HYPERLINK("Melting_Curves/meltCurve_C4AMC7_WASH3P.pdf", "Melting_Curves/meltCurve_C4AMC7_WASH3P.pdf")</f>
        <v>Melting_Curves/meltCurve_C4AMC7_WASH3P.pdf</v>
      </c>
    </row>
    <row r="283" spans="1:28" x14ac:dyDescent="0.25">
      <c r="A283" t="s">
        <v>287</v>
      </c>
      <c r="B283">
        <v>0.99999676499088797</v>
      </c>
      <c r="C283">
        <v>1.0146480062905801</v>
      </c>
      <c r="D283">
        <v>0.92491676496755304</v>
      </c>
      <c r="E283">
        <v>0.73144210150081002</v>
      </c>
      <c r="F283">
        <v>0.74047769796996898</v>
      </c>
      <c r="G283">
        <v>0.85044036729872996</v>
      </c>
      <c r="H283">
        <v>0.52128984925458599</v>
      </c>
      <c r="I283">
        <v>0.51863569928014097</v>
      </c>
      <c r="J283">
        <v>0.425270300192988</v>
      </c>
      <c r="K283">
        <v>0.46250620597837799</v>
      </c>
      <c r="L283">
        <v>404.81834130906799</v>
      </c>
      <c r="M283">
        <v>6.6738411584825297</v>
      </c>
      <c r="N283">
        <v>65.279131825091397</v>
      </c>
      <c r="O283">
        <v>55.906568513312301</v>
      </c>
      <c r="P283">
        <v>-2.42782632270983E-2</v>
      </c>
      <c r="Q283">
        <v>0.18827824805302101</v>
      </c>
      <c r="R283">
        <v>0.87877056495260197</v>
      </c>
      <c r="S283" t="s">
        <v>7286</v>
      </c>
      <c r="T283" t="s">
        <v>14004</v>
      </c>
      <c r="U283" t="s">
        <v>14004</v>
      </c>
      <c r="V283" t="s">
        <v>14004</v>
      </c>
      <c r="W283" t="s">
        <v>14285</v>
      </c>
      <c r="X283">
        <v>5</v>
      </c>
      <c r="Y283" t="s">
        <v>21222</v>
      </c>
      <c r="Z283" t="s">
        <v>27993</v>
      </c>
      <c r="AA283">
        <v>0.71917739660981361</v>
      </c>
      <c r="AB283" t="str">
        <f>HYPERLINK("Melting_Curves/meltCurve_C7C5T7_LAT.pdf", "Melting_Curves/meltCurve_C7C5T7_LAT.pdf")</f>
        <v>Melting_Curves/meltCurve_C7C5T7_LAT.pdf</v>
      </c>
    </row>
    <row r="284" spans="1:28" x14ac:dyDescent="0.25">
      <c r="A284" t="s">
        <v>288</v>
      </c>
      <c r="B284">
        <v>0.99999676499088797</v>
      </c>
      <c r="C284">
        <v>1.2476090183897901</v>
      </c>
      <c r="D284">
        <v>1.00920938297054</v>
      </c>
      <c r="E284">
        <v>0.54104627836726205</v>
      </c>
      <c r="F284">
        <v>0.39403987683115799</v>
      </c>
      <c r="G284">
        <v>0.35043918870749802</v>
      </c>
      <c r="H284">
        <v>0.26869508405973203</v>
      </c>
      <c r="I284">
        <v>0.28285245755653898</v>
      </c>
      <c r="J284">
        <v>0.28050927625488498</v>
      </c>
      <c r="K284">
        <v>0.15547621368286799</v>
      </c>
      <c r="L284">
        <v>2230.4477735297801</v>
      </c>
      <c r="M284">
        <v>45.422721201053399</v>
      </c>
      <c r="N284">
        <v>50.0219941476944</v>
      </c>
      <c r="O284">
        <v>49.009338015485497</v>
      </c>
      <c r="P284">
        <v>-0.166199243822441</v>
      </c>
      <c r="Q284">
        <v>0.28271098380352699</v>
      </c>
      <c r="R284">
        <v>0.930871566367658</v>
      </c>
      <c r="S284" t="s">
        <v>7287</v>
      </c>
      <c r="T284" t="s">
        <v>14004</v>
      </c>
      <c r="U284" t="s">
        <v>14004</v>
      </c>
      <c r="V284" t="s">
        <v>14004</v>
      </c>
      <c r="W284" t="s">
        <v>14286</v>
      </c>
      <c r="X284">
        <v>1</v>
      </c>
      <c r="Y284" t="s">
        <v>21223</v>
      </c>
      <c r="Z284" t="s">
        <v>27994</v>
      </c>
      <c r="AA284">
        <v>0.5022750771327309</v>
      </c>
      <c r="AB284" t="str">
        <f>HYPERLINK("Melting_Curves/meltCurve_C9IZW8_NDUFB2.pdf", "Melting_Curves/meltCurve_C9IZW8_NDUFB2.pdf")</f>
        <v>Melting_Curves/meltCurve_C9IZW8_NDUFB2.pdf</v>
      </c>
    </row>
    <row r="285" spans="1:28" x14ac:dyDescent="0.25">
      <c r="A285" t="s">
        <v>289</v>
      </c>
      <c r="B285">
        <v>0.99999676499088797</v>
      </c>
      <c r="C285">
        <v>1.02516465155873</v>
      </c>
      <c r="D285">
        <v>0.76687908349198897</v>
      </c>
      <c r="E285">
        <v>0.23267862343488799</v>
      </c>
      <c r="F285">
        <v>0.113540474584157</v>
      </c>
      <c r="G285">
        <v>5.84312070426663E-2</v>
      </c>
      <c r="H285">
        <v>4.9066552883092203E-2</v>
      </c>
      <c r="I285">
        <v>2.7628518070320001E-2</v>
      </c>
      <c r="J285">
        <v>3.4502235080795099E-2</v>
      </c>
      <c r="K285">
        <v>1.7782775212390099E-2</v>
      </c>
      <c r="L285">
        <v>1601.0123106148001</v>
      </c>
      <c r="M285">
        <v>33.633331352646699</v>
      </c>
      <c r="N285">
        <v>47.7314718892776</v>
      </c>
      <c r="O285">
        <v>47.434617430633899</v>
      </c>
      <c r="P285">
        <v>-0.16953165355552599</v>
      </c>
      <c r="Q285">
        <v>4.3611158914830701E-2</v>
      </c>
      <c r="R285">
        <v>0.99661044328135795</v>
      </c>
      <c r="S285" t="s">
        <v>7288</v>
      </c>
      <c r="T285" t="s">
        <v>14004</v>
      </c>
      <c r="U285" t="s">
        <v>14004</v>
      </c>
      <c r="V285" t="s">
        <v>14004</v>
      </c>
      <c r="W285" t="s">
        <v>14287</v>
      </c>
      <c r="X285">
        <v>6</v>
      </c>
      <c r="Y285" t="s">
        <v>21224</v>
      </c>
      <c r="Z285" t="s">
        <v>27995</v>
      </c>
      <c r="AA285">
        <v>0.29047611303443549</v>
      </c>
      <c r="AB285" t="str">
        <f>HYPERLINK("Melting_Curves/meltCurve_C9J0I9_ZC3HC1.pdf", "Melting_Curves/meltCurve_C9J0I9_ZC3HC1.pdf")</f>
        <v>Melting_Curves/meltCurve_C9J0I9_ZC3HC1.pdf</v>
      </c>
    </row>
    <row r="286" spans="1:28" x14ac:dyDescent="0.25">
      <c r="A286" t="s">
        <v>290</v>
      </c>
      <c r="B286">
        <v>0.99999676499088797</v>
      </c>
      <c r="C286">
        <v>0.73441047708755103</v>
      </c>
      <c r="D286">
        <v>0.49982559960983902</v>
      </c>
      <c r="E286">
        <v>0.24867761226750201</v>
      </c>
      <c r="F286">
        <v>0.152446034020465</v>
      </c>
      <c r="G286">
        <v>8.9586937789190704E-2</v>
      </c>
      <c r="H286">
        <v>7.4729292959838794E-2</v>
      </c>
      <c r="I286">
        <v>5.9845774559591801E-2</v>
      </c>
      <c r="J286">
        <v>3.7690543033333399E-2</v>
      </c>
      <c r="K286">
        <v>3.4649922477930001E-2</v>
      </c>
      <c r="L286">
        <v>790.95998626452399</v>
      </c>
      <c r="M286">
        <v>17.291723078093799</v>
      </c>
      <c r="N286">
        <v>46.030733042746299</v>
      </c>
      <c r="O286">
        <v>45.143490560999602</v>
      </c>
      <c r="P286">
        <v>-9.0845341041599206E-2</v>
      </c>
      <c r="Q286">
        <v>5.1375328117090099E-2</v>
      </c>
      <c r="R286">
        <v>0.99216672620816704</v>
      </c>
      <c r="S286" t="s">
        <v>7289</v>
      </c>
      <c r="T286" t="s">
        <v>14004</v>
      </c>
      <c r="U286" t="s">
        <v>14004</v>
      </c>
      <c r="V286" t="s">
        <v>14004</v>
      </c>
      <c r="W286" t="s">
        <v>14288</v>
      </c>
      <c r="X286">
        <v>8</v>
      </c>
      <c r="Y286" t="s">
        <v>21225</v>
      </c>
      <c r="Z286" t="s">
        <v>27996</v>
      </c>
      <c r="AA286">
        <v>0.25375104948557031</v>
      </c>
      <c r="AB286" t="str">
        <f>HYPERLINK("Melting_Curves/meltCurve_C9J0J7_PFN2.pdf", "Melting_Curves/meltCurve_C9J0J7_PFN2.pdf")</f>
        <v>Melting_Curves/meltCurve_C9J0J7_PFN2.pdf</v>
      </c>
    </row>
    <row r="287" spans="1:28" x14ac:dyDescent="0.25">
      <c r="A287" t="s">
        <v>291</v>
      </c>
      <c r="B287">
        <v>0.99999676499088797</v>
      </c>
      <c r="C287">
        <v>1.0371586932177701</v>
      </c>
      <c r="D287">
        <v>0.97000801807401404</v>
      </c>
      <c r="E287">
        <v>0.91493985127864397</v>
      </c>
      <c r="F287">
        <v>0.59847433698013197</v>
      </c>
      <c r="G287">
        <v>0.24430848503392399</v>
      </c>
      <c r="H287">
        <v>0.13008581419351101</v>
      </c>
      <c r="I287">
        <v>0.11499039551014301</v>
      </c>
      <c r="J287">
        <v>0.110725119246069</v>
      </c>
      <c r="K287">
        <v>0.111162860157486</v>
      </c>
      <c r="L287">
        <v>1553.57476465331</v>
      </c>
      <c r="M287">
        <v>29.020254681716501</v>
      </c>
      <c r="N287">
        <v>53.980824988708299</v>
      </c>
      <c r="O287">
        <v>53.281858192859303</v>
      </c>
      <c r="P287">
        <v>-0.121630855253368</v>
      </c>
      <c r="Q287">
        <v>0.106738001255842</v>
      </c>
      <c r="R287">
        <v>0.99873499152799605</v>
      </c>
      <c r="S287" t="s">
        <v>7290</v>
      </c>
      <c r="T287" t="s">
        <v>14004</v>
      </c>
      <c r="U287" t="s">
        <v>14004</v>
      </c>
      <c r="V287" t="s">
        <v>14004</v>
      </c>
      <c r="W287" t="s">
        <v>14289</v>
      </c>
      <c r="X287">
        <v>14</v>
      </c>
      <c r="Y287" t="s">
        <v>21226</v>
      </c>
      <c r="Z287" t="s">
        <v>27997</v>
      </c>
      <c r="AA287">
        <v>0.51594491360247752</v>
      </c>
      <c r="AB287" t="str">
        <f>HYPERLINK("Melting_Curves/meltCurve_C9J0K6_SRI.pdf", "Melting_Curves/meltCurve_C9J0K6_SRI.pdf")</f>
        <v>Melting_Curves/meltCurve_C9J0K6_SRI.pdf</v>
      </c>
    </row>
    <row r="288" spans="1:28" x14ac:dyDescent="0.25">
      <c r="A288" t="s">
        <v>292</v>
      </c>
      <c r="B288">
        <v>0.99999676499088797</v>
      </c>
      <c r="C288">
        <v>1.1909366602739699</v>
      </c>
      <c r="D288">
        <v>1.11113627193056</v>
      </c>
      <c r="E288">
        <v>0.84382845434942699</v>
      </c>
      <c r="F288">
        <v>0.94758499977948596</v>
      </c>
      <c r="G288">
        <v>1.1218144338046401</v>
      </c>
      <c r="H288">
        <v>0.77948327034374998</v>
      </c>
      <c r="I288">
        <v>0.98124063146546103</v>
      </c>
      <c r="J288">
        <v>0.91157874617101298</v>
      </c>
      <c r="K288">
        <v>1.1426027955331699</v>
      </c>
      <c r="L288">
        <v>15000</v>
      </c>
      <c r="M288">
        <v>213.36676824743199</v>
      </c>
      <c r="Q288">
        <v>1.5</v>
      </c>
      <c r="R288">
        <v>0.120607011716633</v>
      </c>
      <c r="S288" t="s">
        <v>7291</v>
      </c>
      <c r="T288" t="s">
        <v>14004</v>
      </c>
      <c r="U288" t="s">
        <v>14004</v>
      </c>
      <c r="V288" t="s">
        <v>14004</v>
      </c>
      <c r="W288" t="s">
        <v>14290</v>
      </c>
      <c r="X288">
        <v>2</v>
      </c>
      <c r="Y288" t="s">
        <v>21227</v>
      </c>
      <c r="Z288" t="s">
        <v>27998</v>
      </c>
      <c r="AA288">
        <v>1.0018094995099751</v>
      </c>
      <c r="AB288" t="str">
        <f>HYPERLINK("Melting_Curves/meltCurve_C9J191_KLHL22.pdf", "Melting_Curves/meltCurve_C9J191_KLHL22.pdf")</f>
        <v>Melting_Curves/meltCurve_C9J191_KLHL22.pdf</v>
      </c>
    </row>
    <row r="289" spans="1:28" x14ac:dyDescent="0.25">
      <c r="A289" t="s">
        <v>293</v>
      </c>
      <c r="B289">
        <v>0.99999676499088797</v>
      </c>
      <c r="C289">
        <v>0.95876801963923897</v>
      </c>
      <c r="D289">
        <v>1.0260939879761199</v>
      </c>
      <c r="E289">
        <v>1.1487609128665199</v>
      </c>
      <c r="F289">
        <v>0.97298790855533601</v>
      </c>
      <c r="G289">
        <v>0.84774373746003495</v>
      </c>
      <c r="H289">
        <v>0.751291684465349</v>
      </c>
      <c r="I289">
        <v>0.57707859251976601</v>
      </c>
      <c r="J289">
        <v>0.50993786209945902</v>
      </c>
      <c r="K289">
        <v>0.780663133797732</v>
      </c>
      <c r="L289">
        <v>1845.8571865520501</v>
      </c>
      <c r="M289">
        <v>31.8999990163814</v>
      </c>
      <c r="O289">
        <v>57.637895532263897</v>
      </c>
      <c r="P289">
        <v>-5.1260510061315497E-2</v>
      </c>
      <c r="Q289">
        <v>0.62952567090477396</v>
      </c>
      <c r="R289">
        <v>0.80934363517549301</v>
      </c>
      <c r="S289" t="s">
        <v>7292</v>
      </c>
      <c r="T289" t="s">
        <v>14004</v>
      </c>
      <c r="U289" t="s">
        <v>14004</v>
      </c>
      <c r="V289" t="s">
        <v>14004</v>
      </c>
      <c r="W289" t="s">
        <v>14291</v>
      </c>
      <c r="X289">
        <v>7</v>
      </c>
      <c r="Y289" t="s">
        <v>21228</v>
      </c>
      <c r="Z289" t="s">
        <v>27999</v>
      </c>
      <c r="AA289">
        <v>0.85233079620234775</v>
      </c>
      <c r="AB289" t="str">
        <f>HYPERLINK("Melting_Curves/meltCurve_C9J1K8_MEGF9.pdf", "Melting_Curves/meltCurve_C9J1K8_MEGF9.pdf")</f>
        <v>Melting_Curves/meltCurve_C9J1K8_MEGF9.pdf</v>
      </c>
    </row>
    <row r="290" spans="1:28" x14ac:dyDescent="0.25">
      <c r="A290" t="s">
        <v>294</v>
      </c>
      <c r="B290">
        <v>0.99999676499088797</v>
      </c>
      <c r="C290">
        <v>0.937941803186644</v>
      </c>
      <c r="D290">
        <v>1.2537507158552901</v>
      </c>
      <c r="E290">
        <v>0.66814726671009905</v>
      </c>
      <c r="F290">
        <v>0.29251245082847299</v>
      </c>
      <c r="G290">
        <v>0.13050117321399399</v>
      </c>
      <c r="H290">
        <v>0</v>
      </c>
      <c r="I290">
        <v>5.2591929686222401E-2</v>
      </c>
      <c r="J290">
        <v>0</v>
      </c>
      <c r="K290">
        <v>6.1713100869943402E-2</v>
      </c>
      <c r="L290">
        <v>1623.4041322042301</v>
      </c>
      <c r="M290">
        <v>31.7285801275676</v>
      </c>
      <c r="N290">
        <v>51.305046053898302</v>
      </c>
      <c r="O290">
        <v>50.963395413722402</v>
      </c>
      <c r="P290">
        <v>-0.14920326034568701</v>
      </c>
      <c r="Q290">
        <v>4.1386038515565902E-2</v>
      </c>
      <c r="R290">
        <v>0.95390186195051396</v>
      </c>
      <c r="S290" t="s">
        <v>7293</v>
      </c>
      <c r="T290" t="s">
        <v>14004</v>
      </c>
      <c r="U290" t="s">
        <v>14004</v>
      </c>
      <c r="V290" t="s">
        <v>14004</v>
      </c>
      <c r="W290" t="s">
        <v>14292</v>
      </c>
      <c r="X290">
        <v>1</v>
      </c>
      <c r="Y290" t="s">
        <v>21229</v>
      </c>
      <c r="Z290" t="s">
        <v>28000</v>
      </c>
      <c r="AA290">
        <v>0.40356372743948998</v>
      </c>
      <c r="AB290" t="str">
        <f>HYPERLINK("Melting_Curves/meltCurve_C9J1X0_WDR91.pdf", "Melting_Curves/meltCurve_C9J1X0_WDR91.pdf")</f>
        <v>Melting_Curves/meltCurve_C9J1X0_WDR91.pdf</v>
      </c>
    </row>
    <row r="291" spans="1:28" x14ac:dyDescent="0.25">
      <c r="A291" t="s">
        <v>295</v>
      </c>
      <c r="B291">
        <v>0.99999676499088797</v>
      </c>
      <c r="C291">
        <v>0.93788670361399695</v>
      </c>
      <c r="D291">
        <v>0.91603443651522898</v>
      </c>
      <c r="E291">
        <v>0.85079291921867894</v>
      </c>
      <c r="F291">
        <v>0.55702781294429904</v>
      </c>
      <c r="G291">
        <v>0.26242566100307502</v>
      </c>
      <c r="H291">
        <v>0.12543217665388401</v>
      </c>
      <c r="I291">
        <v>0.128244394868229</v>
      </c>
      <c r="J291">
        <v>0.13387553129343199</v>
      </c>
      <c r="K291">
        <v>0.120092238015244</v>
      </c>
      <c r="L291">
        <v>1178.2546580664</v>
      </c>
      <c r="M291">
        <v>22.204649027054501</v>
      </c>
      <c r="N291">
        <v>53.640063743628197</v>
      </c>
      <c r="O291">
        <v>52.6386592894901</v>
      </c>
      <c r="P291">
        <v>-9.4262810079841497E-2</v>
      </c>
      <c r="Q291">
        <v>0.10617616083395701</v>
      </c>
      <c r="R291">
        <v>0.99389764819788096</v>
      </c>
      <c r="S291" t="s">
        <v>7294</v>
      </c>
      <c r="T291" t="s">
        <v>14004</v>
      </c>
      <c r="U291" t="s">
        <v>14004</v>
      </c>
      <c r="V291" t="s">
        <v>14004</v>
      </c>
      <c r="W291" t="s">
        <v>14293</v>
      </c>
      <c r="X291">
        <v>8</v>
      </c>
      <c r="Y291" t="s">
        <v>21230</v>
      </c>
      <c r="Z291" t="s">
        <v>28001</v>
      </c>
      <c r="AA291">
        <v>0.50562381354437647</v>
      </c>
      <c r="AB291" t="str">
        <f>HYPERLINK("Melting_Curves/meltCurve_C9J212_UBE2F.pdf", "Melting_Curves/meltCurve_C9J212_UBE2F.pdf")</f>
        <v>Melting_Curves/meltCurve_C9J212_UBE2F.pdf</v>
      </c>
    </row>
    <row r="292" spans="1:28" x14ac:dyDescent="0.25">
      <c r="A292" t="s">
        <v>296</v>
      </c>
      <c r="B292">
        <v>0.99999676499088797</v>
      </c>
      <c r="C292">
        <v>0.90824866505302504</v>
      </c>
      <c r="D292">
        <v>0.81814109761430598</v>
      </c>
      <c r="E292">
        <v>0.53483722086192498</v>
      </c>
      <c r="F292">
        <v>0.33043109025656398</v>
      </c>
      <c r="G292">
        <v>0.217260821880812</v>
      </c>
      <c r="H292">
        <v>0.107026236916829</v>
      </c>
      <c r="I292">
        <v>8.0519671036200904E-2</v>
      </c>
      <c r="J292">
        <v>7.6195040258905306E-2</v>
      </c>
      <c r="K292">
        <v>6.9648746930684499E-2</v>
      </c>
      <c r="L292">
        <v>740.96523033693995</v>
      </c>
      <c r="M292">
        <v>14.815462739581699</v>
      </c>
      <c r="N292">
        <v>50.402330771166497</v>
      </c>
      <c r="O292">
        <v>49.128312074958401</v>
      </c>
      <c r="P292">
        <v>-7.1322635487150898E-2</v>
      </c>
      <c r="Q292">
        <v>5.4072397506823203E-2</v>
      </c>
      <c r="R292">
        <v>0.99792087142427699</v>
      </c>
      <c r="S292" t="s">
        <v>7295</v>
      </c>
      <c r="T292" t="s">
        <v>14004</v>
      </c>
      <c r="U292" t="s">
        <v>14004</v>
      </c>
      <c r="V292" t="s">
        <v>14004</v>
      </c>
      <c r="W292" t="s">
        <v>14294</v>
      </c>
      <c r="X292">
        <v>5</v>
      </c>
      <c r="Y292" t="s">
        <v>21231</v>
      </c>
      <c r="Z292" t="s">
        <v>28002</v>
      </c>
      <c r="AA292">
        <v>0.39283578855871698</v>
      </c>
      <c r="AB292" t="str">
        <f>HYPERLINK("Melting_Curves/meltCurve_C9J2P0_UBE2E1.pdf", "Melting_Curves/meltCurve_C9J2P0_UBE2E1.pdf")</f>
        <v>Melting_Curves/meltCurve_C9J2P0_UBE2E1.pdf</v>
      </c>
    </row>
    <row r="293" spans="1:28" x14ac:dyDescent="0.25">
      <c r="A293" t="s">
        <v>297</v>
      </c>
      <c r="B293">
        <v>0.99999676499088797</v>
      </c>
      <c r="C293">
        <v>0.904317294586656</v>
      </c>
      <c r="D293">
        <v>0.92771718664190705</v>
      </c>
      <c r="E293">
        <v>0.57848362640903295</v>
      </c>
      <c r="F293">
        <v>0.50039278276631505</v>
      </c>
      <c r="G293">
        <v>0.33558230649223197</v>
      </c>
      <c r="H293">
        <v>0.20852200130439599</v>
      </c>
      <c r="I293">
        <v>0.23432738572491199</v>
      </c>
      <c r="J293">
        <v>0.23309136125705801</v>
      </c>
      <c r="K293">
        <v>0.30923857647132402</v>
      </c>
      <c r="L293">
        <v>853.311746313046</v>
      </c>
      <c r="M293">
        <v>17.053709961494199</v>
      </c>
      <c r="N293">
        <v>51.999841372204699</v>
      </c>
      <c r="O293">
        <v>49.363896504904403</v>
      </c>
      <c r="P293">
        <v>-6.5871310273549893E-2</v>
      </c>
      <c r="Q293">
        <v>0.23735862896315499</v>
      </c>
      <c r="R293">
        <v>0.97176035019002704</v>
      </c>
      <c r="S293" t="s">
        <v>7296</v>
      </c>
      <c r="T293" t="s">
        <v>14004</v>
      </c>
      <c r="U293" t="s">
        <v>14004</v>
      </c>
      <c r="V293" t="s">
        <v>14004</v>
      </c>
      <c r="W293" t="s">
        <v>14295</v>
      </c>
      <c r="X293">
        <v>5</v>
      </c>
      <c r="Y293" t="s">
        <v>21232</v>
      </c>
      <c r="Z293" t="s">
        <v>28003</v>
      </c>
      <c r="AA293">
        <v>0.50689392675494327</v>
      </c>
      <c r="AB293" t="str">
        <f>HYPERLINK("Melting_Curves/meltCurve_C9J2P9_CBLL1.pdf", "Melting_Curves/meltCurve_C9J2P9_CBLL1.pdf")</f>
        <v>Melting_Curves/meltCurve_C9J2P9_CBLL1.pdf</v>
      </c>
    </row>
    <row r="294" spans="1:28" x14ac:dyDescent="0.25">
      <c r="A294" t="s">
        <v>298</v>
      </c>
      <c r="B294">
        <v>0.99999676499088797</v>
      </c>
      <c r="C294">
        <v>0.96553821290300501</v>
      </c>
      <c r="D294">
        <v>0.99823732164217305</v>
      </c>
      <c r="E294">
        <v>0.85780396487346799</v>
      </c>
      <c r="F294">
        <v>0.14991859166684399</v>
      </c>
      <c r="G294">
        <v>8.3051340150936903E-2</v>
      </c>
      <c r="H294">
        <v>2.32180735900652E-2</v>
      </c>
      <c r="I294">
        <v>2.4182069398076201E-2</v>
      </c>
      <c r="J294">
        <v>1.4531960754455101E-2</v>
      </c>
      <c r="K294">
        <v>1.32050339642782E-2</v>
      </c>
      <c r="L294">
        <v>2680.6076537159902</v>
      </c>
      <c r="M294">
        <v>52.298381182625498</v>
      </c>
      <c r="N294">
        <v>51.315883361357002</v>
      </c>
      <c r="O294">
        <v>51.181257690420097</v>
      </c>
      <c r="P294">
        <v>-0.247899019754834</v>
      </c>
      <c r="Q294">
        <v>2.9585679568002898E-2</v>
      </c>
      <c r="R294">
        <v>0.99796628429414502</v>
      </c>
      <c r="S294" t="s">
        <v>7297</v>
      </c>
      <c r="T294" t="s">
        <v>14004</v>
      </c>
      <c r="U294" t="s">
        <v>14004</v>
      </c>
      <c r="V294" t="s">
        <v>14004</v>
      </c>
      <c r="W294" t="s">
        <v>14296</v>
      </c>
      <c r="X294">
        <v>5</v>
      </c>
      <c r="Y294" t="s">
        <v>21233</v>
      </c>
      <c r="Z294" t="s">
        <v>28004</v>
      </c>
      <c r="AA294">
        <v>0.39569067656182738</v>
      </c>
      <c r="AB294" t="str">
        <f>HYPERLINK("Melting_Curves/meltCurve_C9J2U4_TAMM41.pdf", "Melting_Curves/meltCurve_C9J2U4_TAMM41.pdf")</f>
        <v>Melting_Curves/meltCurve_C9J2U4_TAMM41.pdf</v>
      </c>
    </row>
    <row r="295" spans="1:28" x14ac:dyDescent="0.25">
      <c r="A295" t="s">
        <v>299</v>
      </c>
      <c r="B295">
        <v>0.99999676499088797</v>
      </c>
      <c r="C295">
        <v>1.04785873720959</v>
      </c>
      <c r="D295">
        <v>0.97618353852088202</v>
      </c>
      <c r="E295">
        <v>0.97385420057460204</v>
      </c>
      <c r="F295">
        <v>0.70043531987563301</v>
      </c>
      <c r="G295">
        <v>0.83874605047462503</v>
      </c>
      <c r="H295">
        <v>0.493384560651485</v>
      </c>
      <c r="I295">
        <v>0.231759543271469</v>
      </c>
      <c r="J295">
        <v>0.123996993359273</v>
      </c>
      <c r="K295">
        <v>0.100670919963538</v>
      </c>
      <c r="L295">
        <v>955.49239338964003</v>
      </c>
      <c r="M295">
        <v>15.881039234015001</v>
      </c>
      <c r="N295">
        <v>60.1656088484932</v>
      </c>
      <c r="O295">
        <v>59.235863190125599</v>
      </c>
      <c r="P295">
        <v>-6.7030008662509993E-2</v>
      </c>
      <c r="Q295">
        <v>0</v>
      </c>
      <c r="R295">
        <v>0.95610300674019599</v>
      </c>
      <c r="S295" t="s">
        <v>7298</v>
      </c>
      <c r="T295" t="s">
        <v>14004</v>
      </c>
      <c r="U295" t="s">
        <v>14004</v>
      </c>
      <c r="V295" t="s">
        <v>14004</v>
      </c>
      <c r="W295" t="s">
        <v>14297</v>
      </c>
      <c r="X295">
        <v>36</v>
      </c>
      <c r="Y295" t="s">
        <v>21234</v>
      </c>
      <c r="Z295" t="s">
        <v>28005</v>
      </c>
      <c r="AA295">
        <v>0.67909591678619352</v>
      </c>
      <c r="AB295" t="str">
        <f>HYPERLINK("Melting_Curves/meltCurve_C9J2Y9_POLR2B.pdf", "Melting_Curves/meltCurve_C9J2Y9_POLR2B.pdf")</f>
        <v>Melting_Curves/meltCurve_C9J2Y9_POLR2B.pdf</v>
      </c>
    </row>
    <row r="296" spans="1:28" x14ac:dyDescent="0.25">
      <c r="A296" t="s">
        <v>300</v>
      </c>
      <c r="B296">
        <v>0.99999676499088797</v>
      </c>
      <c r="C296">
        <v>1.00037886683274</v>
      </c>
      <c r="D296">
        <v>1.0322580821404299</v>
      </c>
      <c r="E296">
        <v>2.17567382010989</v>
      </c>
      <c r="F296">
        <v>1.7768022962616701</v>
      </c>
      <c r="G296">
        <v>0.86433379028761803</v>
      </c>
      <c r="H296">
        <v>0.35908938734518703</v>
      </c>
      <c r="I296">
        <v>0.31885159313011102</v>
      </c>
      <c r="J296">
        <v>0.30222343936905499</v>
      </c>
      <c r="K296">
        <v>0.25619284662684799</v>
      </c>
      <c r="L296">
        <v>4170.4735280294299</v>
      </c>
      <c r="M296">
        <v>71.848256179245297</v>
      </c>
      <c r="N296">
        <v>58.802369176193103</v>
      </c>
      <c r="O296">
        <v>58.000660217648601</v>
      </c>
      <c r="P296">
        <v>-0.21626278424297499</v>
      </c>
      <c r="Q296">
        <v>0.30167372541773002</v>
      </c>
      <c r="R296">
        <v>0.48080652520409201</v>
      </c>
      <c r="S296" t="s">
        <v>7299</v>
      </c>
      <c r="T296" t="s">
        <v>14004</v>
      </c>
      <c r="U296" t="s">
        <v>14004</v>
      </c>
      <c r="V296" t="s">
        <v>14004</v>
      </c>
      <c r="W296" t="s">
        <v>14298</v>
      </c>
      <c r="X296">
        <v>9</v>
      </c>
      <c r="Y296" t="s">
        <v>21235</v>
      </c>
      <c r="Z296" t="s">
        <v>28006</v>
      </c>
      <c r="AA296">
        <v>0.72259370780856635</v>
      </c>
      <c r="AB296" t="str">
        <f>HYPERLINK("Melting_Curves/meltCurve_C9J381_IMPDH1.pdf", "Melting_Curves/meltCurve_C9J381_IMPDH1.pdf")</f>
        <v>Melting_Curves/meltCurve_C9J381_IMPDH1.pdf</v>
      </c>
    </row>
    <row r="297" spans="1:28" x14ac:dyDescent="0.25">
      <c r="A297" t="s">
        <v>301</v>
      </c>
      <c r="B297">
        <v>0.99999676499088797</v>
      </c>
      <c r="C297">
        <v>0.840736350062953</v>
      </c>
      <c r="D297">
        <v>0.80386490242083897</v>
      </c>
      <c r="E297">
        <v>0.41644035434559201</v>
      </c>
      <c r="F297">
        <v>0.1571191248287</v>
      </c>
      <c r="G297">
        <v>0.102681360332773</v>
      </c>
      <c r="H297">
        <v>5.6850203863330201E-2</v>
      </c>
      <c r="I297">
        <v>6.5418720586530102E-2</v>
      </c>
      <c r="J297">
        <v>5.7860643767859203E-2</v>
      </c>
      <c r="K297">
        <v>5.6106760927772302E-2</v>
      </c>
      <c r="L297">
        <v>970.90500931724398</v>
      </c>
      <c r="M297">
        <v>20.0378848650499</v>
      </c>
      <c r="N297">
        <v>48.703177055840598</v>
      </c>
      <c r="O297">
        <v>47.978626274819</v>
      </c>
      <c r="P297">
        <v>-9.9316559267628404E-2</v>
      </c>
      <c r="Q297">
        <v>4.8818108395136103E-2</v>
      </c>
      <c r="R297">
        <v>0.99076394282345404</v>
      </c>
      <c r="S297" t="s">
        <v>7300</v>
      </c>
      <c r="T297" t="s">
        <v>14004</v>
      </c>
      <c r="U297" t="s">
        <v>14004</v>
      </c>
      <c r="V297" t="s">
        <v>14004</v>
      </c>
      <c r="W297" t="s">
        <v>14299</v>
      </c>
      <c r="X297">
        <v>3</v>
      </c>
      <c r="Y297" t="s">
        <v>21236</v>
      </c>
      <c r="Z297" t="s">
        <v>28007</v>
      </c>
      <c r="AA297">
        <v>0.33020204572943179</v>
      </c>
      <c r="AB297" t="str">
        <f>HYPERLINK("Melting_Curves/meltCurve_C9J384_CMSS1.pdf", "Melting_Curves/meltCurve_C9J384_CMSS1.pdf")</f>
        <v>Melting_Curves/meltCurve_C9J384_CMSS1.pdf</v>
      </c>
    </row>
    <row r="298" spans="1:28" x14ac:dyDescent="0.25">
      <c r="A298" t="s">
        <v>302</v>
      </c>
      <c r="B298">
        <v>0.99999676499088797</v>
      </c>
      <c r="C298">
        <v>0.98782078550177899</v>
      </c>
      <c r="D298">
        <v>0.86309958139145404</v>
      </c>
      <c r="E298">
        <v>0.45158352027892101</v>
      </c>
      <c r="F298">
        <v>0.33080413318005802</v>
      </c>
      <c r="G298">
        <v>0.25247849727250898</v>
      </c>
      <c r="H298">
        <v>0.11795294409143101</v>
      </c>
      <c r="I298">
        <v>0.121047310793406</v>
      </c>
      <c r="J298">
        <v>0.11758910882134201</v>
      </c>
      <c r="K298">
        <v>9.0694800182639299E-2</v>
      </c>
      <c r="L298">
        <v>948.08518390485995</v>
      </c>
      <c r="M298">
        <v>19.251106809325801</v>
      </c>
      <c r="N298">
        <v>49.953199866471103</v>
      </c>
      <c r="O298">
        <v>48.726188890633097</v>
      </c>
      <c r="P298">
        <v>-8.7027791843534902E-2</v>
      </c>
      <c r="Q298">
        <v>0.118934723363729</v>
      </c>
      <c r="R298">
        <v>0.98613201040708898</v>
      </c>
      <c r="S298" t="s">
        <v>7301</v>
      </c>
      <c r="T298" t="s">
        <v>14004</v>
      </c>
      <c r="U298" t="s">
        <v>14004</v>
      </c>
      <c r="V298" t="s">
        <v>14004</v>
      </c>
      <c r="W298" t="s">
        <v>14300</v>
      </c>
      <c r="X298">
        <v>6</v>
      </c>
      <c r="Y298" t="s">
        <v>21237</v>
      </c>
      <c r="Z298" t="s">
        <v>28008</v>
      </c>
      <c r="AA298">
        <v>0.40384370178365381</v>
      </c>
      <c r="AB298" t="str">
        <f>HYPERLINK("Melting_Curves/meltCurve_C9J3D7_CROT.pdf", "Melting_Curves/meltCurve_C9J3D7_CROT.pdf")</f>
        <v>Melting_Curves/meltCurve_C9J3D7_CROT.pdf</v>
      </c>
    </row>
    <row r="299" spans="1:28" x14ac:dyDescent="0.25">
      <c r="A299" t="s">
        <v>303</v>
      </c>
      <c r="B299">
        <v>0.99999676499088797</v>
      </c>
      <c r="C299">
        <v>0.953348333357661</v>
      </c>
      <c r="D299">
        <v>0.84413999672095896</v>
      </c>
      <c r="E299">
        <v>0.57199406991789603</v>
      </c>
      <c r="F299">
        <v>0.39092958431234798</v>
      </c>
      <c r="G299">
        <v>0.28157937060372601</v>
      </c>
      <c r="H299">
        <v>0.131694750143594</v>
      </c>
      <c r="I299">
        <v>0.107989281323006</v>
      </c>
      <c r="J299">
        <v>9.90555577509315E-2</v>
      </c>
      <c r="K299">
        <v>7.5420815983982106E-2</v>
      </c>
      <c r="L299">
        <v>714.30017731530904</v>
      </c>
      <c r="M299">
        <v>14.057691683336801</v>
      </c>
      <c r="N299">
        <v>51.317630932172499</v>
      </c>
      <c r="O299">
        <v>49.8169677499138</v>
      </c>
      <c r="P299">
        <v>-6.5993298716902807E-2</v>
      </c>
      <c r="Q299">
        <v>6.4666363312712596E-2</v>
      </c>
      <c r="R299">
        <v>0.99591959704424105</v>
      </c>
      <c r="S299" t="s">
        <v>7302</v>
      </c>
      <c r="T299" t="s">
        <v>14004</v>
      </c>
      <c r="U299" t="s">
        <v>14004</v>
      </c>
      <c r="V299" t="s">
        <v>14004</v>
      </c>
      <c r="W299" t="s">
        <v>14301</v>
      </c>
      <c r="X299">
        <v>6</v>
      </c>
      <c r="Y299" t="s">
        <v>21238</v>
      </c>
      <c r="Z299" t="s">
        <v>28009</v>
      </c>
      <c r="AA299">
        <v>0.42595219609046597</v>
      </c>
      <c r="AB299" t="str">
        <f>HYPERLINK("Melting_Curves/meltCurve_C9J3G2_CBWD2.pdf", "Melting_Curves/meltCurve_C9J3G2_CBWD2.pdf")</f>
        <v>Melting_Curves/meltCurve_C9J3G2_CBWD2.pdf</v>
      </c>
    </row>
    <row r="300" spans="1:28" x14ac:dyDescent="0.25">
      <c r="A300" t="s">
        <v>304</v>
      </c>
      <c r="B300">
        <v>0.99999676499088797</v>
      </c>
      <c r="C300">
        <v>0.89227993131318895</v>
      </c>
      <c r="D300">
        <v>0.91047226318821695</v>
      </c>
      <c r="E300">
        <v>0.730200546145092</v>
      </c>
      <c r="F300">
        <v>0.70938913556930805</v>
      </c>
      <c r="G300">
        <v>0.63220409300714597</v>
      </c>
      <c r="H300">
        <v>0.48158667046987103</v>
      </c>
      <c r="I300">
        <v>0.45226692471147301</v>
      </c>
      <c r="J300">
        <v>0.404878517346135</v>
      </c>
      <c r="K300">
        <v>0.37977820771167797</v>
      </c>
      <c r="L300">
        <v>411.61104516444999</v>
      </c>
      <c r="M300">
        <v>7.3340305928342104</v>
      </c>
      <c r="N300">
        <v>61.234934578865001</v>
      </c>
      <c r="O300">
        <v>52.402950168434003</v>
      </c>
      <c r="P300">
        <v>-2.7021151302623801E-2</v>
      </c>
      <c r="Q300">
        <v>0.228920761605231</v>
      </c>
      <c r="R300">
        <v>0.97889418744027501</v>
      </c>
      <c r="S300" t="s">
        <v>7303</v>
      </c>
      <c r="T300" t="s">
        <v>14004</v>
      </c>
      <c r="U300" t="s">
        <v>14004</v>
      </c>
      <c r="V300" t="s">
        <v>14004</v>
      </c>
      <c r="W300" t="s">
        <v>14302</v>
      </c>
      <c r="X300">
        <v>1</v>
      </c>
      <c r="Y300" t="s">
        <v>21239</v>
      </c>
      <c r="Z300" t="s">
        <v>28010</v>
      </c>
      <c r="AA300">
        <v>0.65691493674789381</v>
      </c>
      <c r="AB300" t="str">
        <f>HYPERLINK("Melting_Curves/meltCurve_C9J4S7_SLC37A3.pdf", "Melting_Curves/meltCurve_C9J4S7_SLC37A3.pdf")</f>
        <v>Melting_Curves/meltCurve_C9J4S7_SLC37A3.pdf</v>
      </c>
    </row>
    <row r="301" spans="1:28" x14ac:dyDescent="0.25">
      <c r="A301" t="s">
        <v>305</v>
      </c>
      <c r="B301">
        <v>0.99999676499088797</v>
      </c>
      <c r="C301">
        <v>0.98871473749057404</v>
      </c>
      <c r="D301">
        <v>1.06055980876814</v>
      </c>
      <c r="E301">
        <v>1.0920390392305701</v>
      </c>
      <c r="F301">
        <v>0.79524329801539195</v>
      </c>
      <c r="G301">
        <v>0.64672769486326898</v>
      </c>
      <c r="H301">
        <v>0.359632261027024</v>
      </c>
      <c r="I301">
        <v>0.18965300541244101</v>
      </c>
      <c r="J301">
        <v>0.142498858151174</v>
      </c>
      <c r="K301">
        <v>0.127572910734705</v>
      </c>
      <c r="L301">
        <v>1174.6225904373</v>
      </c>
      <c r="M301">
        <v>20.2972925096228</v>
      </c>
      <c r="N301">
        <v>58.471843892849698</v>
      </c>
      <c r="O301">
        <v>57.317945872403598</v>
      </c>
      <c r="P301">
        <v>-8.0197572718475094E-2</v>
      </c>
      <c r="Q301">
        <v>9.4141450801883797E-2</v>
      </c>
      <c r="R301">
        <v>0.98230459244106205</v>
      </c>
      <c r="S301" t="s">
        <v>7304</v>
      </c>
      <c r="T301" t="s">
        <v>14004</v>
      </c>
      <c r="U301" t="s">
        <v>14004</v>
      </c>
      <c r="V301" t="s">
        <v>14004</v>
      </c>
      <c r="W301" t="s">
        <v>14303</v>
      </c>
      <c r="X301">
        <v>15</v>
      </c>
      <c r="Y301" t="s">
        <v>21240</v>
      </c>
      <c r="Z301" t="s">
        <v>28011</v>
      </c>
      <c r="AA301">
        <v>0.64399137564383835</v>
      </c>
      <c r="AB301" t="str">
        <f>HYPERLINK("Melting_Curves/meltCurve_C9J5C3_PDCD10.pdf", "Melting_Curves/meltCurve_C9J5C3_PDCD10.pdf")</f>
        <v>Melting_Curves/meltCurve_C9J5C3_PDCD10.pdf</v>
      </c>
    </row>
    <row r="302" spans="1:28" x14ac:dyDescent="0.25">
      <c r="A302" t="s">
        <v>306</v>
      </c>
      <c r="B302">
        <v>0.99999676499088797</v>
      </c>
      <c r="C302">
        <v>0.97479772181830404</v>
      </c>
      <c r="D302">
        <v>0.86124534316951995</v>
      </c>
      <c r="E302">
        <v>0.83765257230158296</v>
      </c>
      <c r="F302">
        <v>0.405371510128265</v>
      </c>
      <c r="G302">
        <v>0.225063456785109</v>
      </c>
      <c r="H302">
        <v>9.0366792347933697E-2</v>
      </c>
      <c r="I302">
        <v>9.0340393129601307E-2</v>
      </c>
      <c r="J302">
        <v>8.6112632068615705E-2</v>
      </c>
      <c r="K302">
        <v>0.125833725383516</v>
      </c>
      <c r="L302">
        <v>1216.72992093775</v>
      </c>
      <c r="M302">
        <v>23.361615261019899</v>
      </c>
      <c r="N302">
        <v>52.519813988388101</v>
      </c>
      <c r="O302">
        <v>51.705317402907603</v>
      </c>
      <c r="P302">
        <v>-0.102972574279021</v>
      </c>
      <c r="Q302">
        <v>8.8395918412771696E-2</v>
      </c>
      <c r="R302">
        <v>0.988477778314234</v>
      </c>
      <c r="S302" t="s">
        <v>7305</v>
      </c>
      <c r="T302" t="s">
        <v>14004</v>
      </c>
      <c r="U302" t="s">
        <v>14004</v>
      </c>
      <c r="V302" t="s">
        <v>14004</v>
      </c>
      <c r="W302" t="s">
        <v>14304</v>
      </c>
      <c r="X302">
        <v>2</v>
      </c>
      <c r="Y302" t="s">
        <v>21241</v>
      </c>
      <c r="Z302" t="s">
        <v>28012</v>
      </c>
      <c r="AA302">
        <v>0.46501914682041268</v>
      </c>
      <c r="AB302" t="str">
        <f>HYPERLINK("Melting_Curves/meltCurve_C9J5W6_TAGLN3.pdf", "Melting_Curves/meltCurve_C9J5W6_TAGLN3.pdf")</f>
        <v>Melting_Curves/meltCurve_C9J5W6_TAGLN3.pdf</v>
      </c>
    </row>
    <row r="303" spans="1:28" x14ac:dyDescent="0.25">
      <c r="A303" t="s">
        <v>307</v>
      </c>
      <c r="B303">
        <v>0.99999676499088797</v>
      </c>
      <c r="C303">
        <v>0.870180132315864</v>
      </c>
      <c r="D303">
        <v>0.99469681606887606</v>
      </c>
      <c r="E303">
        <v>1.0894851477974501</v>
      </c>
      <c r="F303">
        <v>1.0263892996894901</v>
      </c>
      <c r="G303">
        <v>0.97920625906843295</v>
      </c>
      <c r="H303">
        <v>0.67899544892576602</v>
      </c>
      <c r="I303">
        <v>0.84476062224821202</v>
      </c>
      <c r="J303">
        <v>0.73491177540795505</v>
      </c>
      <c r="K303">
        <v>0.81350085895225999</v>
      </c>
      <c r="L303">
        <v>14331.659547683599</v>
      </c>
      <c r="M303">
        <v>250</v>
      </c>
      <c r="O303">
        <v>57.322972249690999</v>
      </c>
      <c r="P303">
        <v>-0.25290672470119702</v>
      </c>
      <c r="Q303">
        <v>0.76804216813007598</v>
      </c>
      <c r="R303">
        <v>0.74130592817920804</v>
      </c>
      <c r="S303" t="s">
        <v>7306</v>
      </c>
      <c r="T303" t="s">
        <v>14004</v>
      </c>
      <c r="U303" t="s">
        <v>14004</v>
      </c>
      <c r="V303" t="s">
        <v>14004</v>
      </c>
      <c r="W303" t="s">
        <v>14305</v>
      </c>
      <c r="X303">
        <v>7</v>
      </c>
      <c r="Y303" t="s">
        <v>21242</v>
      </c>
      <c r="Z303" t="s">
        <v>28013</v>
      </c>
      <c r="AA303">
        <v>0.9020338190719126</v>
      </c>
      <c r="AB303" t="str">
        <f>HYPERLINK("Melting_Curves/meltCurve_C9J6N5_FAM107B.pdf", "Melting_Curves/meltCurve_C9J6N5_FAM107B.pdf")</f>
        <v>Melting_Curves/meltCurve_C9J6N5_FAM107B.pdf</v>
      </c>
    </row>
    <row r="304" spans="1:28" x14ac:dyDescent="0.25">
      <c r="A304" t="s">
        <v>308</v>
      </c>
      <c r="B304">
        <v>0.99999676499088797</v>
      </c>
      <c r="C304">
        <v>1.3193917034140401</v>
      </c>
      <c r="D304">
        <v>1.04850747255008</v>
      </c>
      <c r="E304">
        <v>1.1161672785635799</v>
      </c>
      <c r="F304">
        <v>1.0016635750912199</v>
      </c>
      <c r="G304">
        <v>1.5387413738410101</v>
      </c>
      <c r="H304">
        <v>0.344644260605935</v>
      </c>
      <c r="I304">
        <v>0.207641336727377</v>
      </c>
      <c r="J304">
        <v>0.16615010354374199</v>
      </c>
      <c r="K304">
        <v>0.122357267771717</v>
      </c>
      <c r="L304">
        <v>15000</v>
      </c>
      <c r="M304">
        <v>248.00685233428999</v>
      </c>
      <c r="N304">
        <v>60.580280018860897</v>
      </c>
      <c r="O304">
        <v>60.478267125559903</v>
      </c>
      <c r="P304">
        <v>-0.85564160607185602</v>
      </c>
      <c r="Q304">
        <v>0.16538239360099999</v>
      </c>
      <c r="R304">
        <v>0.83365853624124198</v>
      </c>
      <c r="S304" t="s">
        <v>7307</v>
      </c>
      <c r="T304" t="s">
        <v>14004</v>
      </c>
      <c r="U304" t="s">
        <v>14004</v>
      </c>
      <c r="V304" t="s">
        <v>14004</v>
      </c>
      <c r="W304" t="s">
        <v>14306</v>
      </c>
      <c r="X304">
        <v>4</v>
      </c>
      <c r="Y304" t="s">
        <v>21243</v>
      </c>
      <c r="Z304" t="s">
        <v>28014</v>
      </c>
      <c r="AA304">
        <v>0.73529923397357355</v>
      </c>
      <c r="AB304" t="str">
        <f>HYPERLINK("Melting_Curves/meltCurve_C9J6N9_UFD1L.pdf", "Melting_Curves/meltCurve_C9J6N9_UFD1L.pdf")</f>
        <v>Melting_Curves/meltCurve_C9J6N9_UFD1L.pdf</v>
      </c>
    </row>
    <row r="305" spans="1:28" x14ac:dyDescent="0.25">
      <c r="A305" t="s">
        <v>309</v>
      </c>
      <c r="B305">
        <v>0.99999676499088797</v>
      </c>
      <c r="C305">
        <v>0.69668827235008901</v>
      </c>
      <c r="D305">
        <v>0.34194549032662902</v>
      </c>
      <c r="E305">
        <v>0.24388779257510401</v>
      </c>
      <c r="F305">
        <v>0.38375170266903702</v>
      </c>
      <c r="G305">
        <v>0.12577215322595101</v>
      </c>
      <c r="H305">
        <v>7.2996548893506097E-2</v>
      </c>
      <c r="I305">
        <v>6.0688194085613101E-2</v>
      </c>
      <c r="J305">
        <v>8.6814223186411799E-2</v>
      </c>
      <c r="K305">
        <v>6.8462291570795697E-2</v>
      </c>
      <c r="L305">
        <v>846.55920684318596</v>
      </c>
      <c r="M305">
        <v>19.045069764811402</v>
      </c>
      <c r="N305">
        <v>45.080579324717903</v>
      </c>
      <c r="O305">
        <v>43.968953294719398</v>
      </c>
      <c r="P305">
        <v>-9.5634103880365098E-2</v>
      </c>
      <c r="Q305">
        <v>0.116881443831457</v>
      </c>
      <c r="R305">
        <v>0.91309337622523201</v>
      </c>
      <c r="S305" t="s">
        <v>7308</v>
      </c>
      <c r="T305" t="s">
        <v>14004</v>
      </c>
      <c r="U305" t="s">
        <v>14004</v>
      </c>
      <c r="V305" t="s">
        <v>14004</v>
      </c>
      <c r="W305" t="s">
        <v>14307</v>
      </c>
      <c r="X305">
        <v>6</v>
      </c>
      <c r="Y305" t="s">
        <v>21244</v>
      </c>
      <c r="Z305" t="s">
        <v>28015</v>
      </c>
      <c r="AA305">
        <v>0.26582745847412681</v>
      </c>
      <c r="AB305" t="str">
        <f>HYPERLINK("Melting_Curves/meltCurve_C9J6W2_KIF20B.pdf", "Melting_Curves/meltCurve_C9J6W2_KIF20B.pdf")</f>
        <v>Melting_Curves/meltCurve_C9J6W2_KIF20B.pdf</v>
      </c>
    </row>
    <row r="306" spans="1:28" x14ac:dyDescent="0.25">
      <c r="A306" t="s">
        <v>310</v>
      </c>
      <c r="B306">
        <v>0.99999676499088797</v>
      </c>
      <c r="C306">
        <v>1.0510932720010999</v>
      </c>
      <c r="D306">
        <v>0.89508947552901397</v>
      </c>
      <c r="E306">
        <v>0.68977745633033705</v>
      </c>
      <c r="F306">
        <v>0.30446931266132099</v>
      </c>
      <c r="G306">
        <v>0.14561776742377</v>
      </c>
      <c r="H306">
        <v>7.2146436881898396E-2</v>
      </c>
      <c r="I306">
        <v>7.4848746965232194E-2</v>
      </c>
      <c r="J306">
        <v>8.4914021746443705E-2</v>
      </c>
      <c r="K306">
        <v>9.10523152779215E-2</v>
      </c>
      <c r="L306">
        <v>1240.75351987209</v>
      </c>
      <c r="M306">
        <v>24.396604193377499</v>
      </c>
      <c r="N306">
        <v>51.197171443668303</v>
      </c>
      <c r="O306">
        <v>50.519614359714701</v>
      </c>
      <c r="P306">
        <v>-0.111712386552209</v>
      </c>
      <c r="Q306">
        <v>7.4693507565465306E-2</v>
      </c>
      <c r="R306">
        <v>0.99605590386001097</v>
      </c>
      <c r="S306" t="s">
        <v>7309</v>
      </c>
      <c r="T306" t="s">
        <v>14004</v>
      </c>
      <c r="U306" t="s">
        <v>14004</v>
      </c>
      <c r="V306" t="s">
        <v>14004</v>
      </c>
      <c r="W306" t="s">
        <v>14288</v>
      </c>
      <c r="X306">
        <v>10</v>
      </c>
      <c r="Y306" t="s">
        <v>21225</v>
      </c>
      <c r="Z306" t="s">
        <v>28016</v>
      </c>
      <c r="AA306">
        <v>0.41833918340294252</v>
      </c>
      <c r="AB306" t="str">
        <f>HYPERLINK("Melting_Curves/meltCurve_C9J712_PFN2.pdf", "Melting_Curves/meltCurve_C9J712_PFN2.pdf")</f>
        <v>Melting_Curves/meltCurve_C9J712_PFN2.pdf</v>
      </c>
    </row>
    <row r="307" spans="1:28" x14ac:dyDescent="0.25">
      <c r="A307" t="s">
        <v>311</v>
      </c>
      <c r="B307">
        <v>0.99999676499088797</v>
      </c>
      <c r="C307">
        <v>1.03561591736437</v>
      </c>
      <c r="D307">
        <v>1.00432519673079</v>
      </c>
      <c r="E307">
        <v>0.73962726188155803</v>
      </c>
      <c r="F307">
        <v>0.263994974323153</v>
      </c>
      <c r="G307">
        <v>0.178310284978311</v>
      </c>
      <c r="H307">
        <v>7.9225679725290196E-2</v>
      </c>
      <c r="I307">
        <v>7.5717898005599402E-2</v>
      </c>
      <c r="J307">
        <v>7.1379635901635E-2</v>
      </c>
      <c r="K307">
        <v>6.1272904567631903E-2</v>
      </c>
      <c r="L307">
        <v>1628.7234770924599</v>
      </c>
      <c r="M307">
        <v>31.900969732080799</v>
      </c>
      <c r="N307">
        <v>51.3427740109626</v>
      </c>
      <c r="O307">
        <v>50.856239241758203</v>
      </c>
      <c r="P307">
        <v>-0.14400693871515899</v>
      </c>
      <c r="Q307">
        <v>8.17064211692657E-2</v>
      </c>
      <c r="R307">
        <v>0.995856688123122</v>
      </c>
      <c r="S307" t="s">
        <v>7310</v>
      </c>
      <c r="T307" t="s">
        <v>14004</v>
      </c>
      <c r="U307" t="s">
        <v>14004</v>
      </c>
      <c r="V307" t="s">
        <v>14004</v>
      </c>
      <c r="W307" t="s">
        <v>14308</v>
      </c>
      <c r="X307">
        <v>23</v>
      </c>
      <c r="Y307" t="s">
        <v>21245</v>
      </c>
      <c r="Z307" t="s">
        <v>28017</v>
      </c>
      <c r="AA307">
        <v>0.42522546824799201</v>
      </c>
      <c r="AB307" t="str">
        <f>HYPERLINK("Melting_Curves/meltCurve_C9J7E5_TNPO3.pdf", "Melting_Curves/meltCurve_C9J7E5_TNPO3.pdf")</f>
        <v>Melting_Curves/meltCurve_C9J7E5_TNPO3.pdf</v>
      </c>
    </row>
    <row r="308" spans="1:28" x14ac:dyDescent="0.25">
      <c r="A308" t="s">
        <v>312</v>
      </c>
      <c r="B308">
        <v>0.99999676499088797</v>
      </c>
      <c r="C308">
        <v>0.96268361422064497</v>
      </c>
      <c r="D308">
        <v>1.06695056149298</v>
      </c>
      <c r="E308">
        <v>1.1982276209237099</v>
      </c>
      <c r="F308">
        <v>1.14009966960872</v>
      </c>
      <c r="G308">
        <v>0.771578592451717</v>
      </c>
      <c r="H308">
        <v>0.39763445666469499</v>
      </c>
      <c r="I308">
        <v>0.23180119739480501</v>
      </c>
      <c r="J308">
        <v>0.16586560245771001</v>
      </c>
      <c r="K308">
        <v>0.132312430650255</v>
      </c>
      <c r="L308">
        <v>1980.39427878114</v>
      </c>
      <c r="M308">
        <v>33.547963087150997</v>
      </c>
      <c r="N308">
        <v>59.674548909692497</v>
      </c>
      <c r="O308">
        <v>58.823136914030599</v>
      </c>
      <c r="P308">
        <v>-0.120958978787363</v>
      </c>
      <c r="Q308">
        <v>0.15164331825239399</v>
      </c>
      <c r="R308">
        <v>0.95457580339825299</v>
      </c>
      <c r="S308" t="s">
        <v>7311</v>
      </c>
      <c r="T308" t="s">
        <v>14004</v>
      </c>
      <c r="U308" t="s">
        <v>14004</v>
      </c>
      <c r="V308" t="s">
        <v>14004</v>
      </c>
      <c r="W308" t="s">
        <v>14309</v>
      </c>
      <c r="X308">
        <v>1</v>
      </c>
      <c r="Y308" t="s">
        <v>21246</v>
      </c>
      <c r="Z308" t="s">
        <v>28018</v>
      </c>
      <c r="AA308">
        <v>0.69438171183505326</v>
      </c>
      <c r="AB308" t="str">
        <f>HYPERLINK("Melting_Curves/meltCurve_C9J7K9_PLSCR1.pdf", "Melting_Curves/meltCurve_C9J7K9_PLSCR1.pdf")</f>
        <v>Melting_Curves/meltCurve_C9J7K9_PLSCR1.pdf</v>
      </c>
    </row>
    <row r="309" spans="1:28" x14ac:dyDescent="0.25">
      <c r="A309" t="s">
        <v>313</v>
      </c>
      <c r="B309">
        <v>0.99999676499088797</v>
      </c>
      <c r="C309">
        <v>1.12954446990431</v>
      </c>
      <c r="D309">
        <v>1.0263454521194499</v>
      </c>
      <c r="E309">
        <v>0.85984483362550301</v>
      </c>
      <c r="F309">
        <v>0.83485044891111904</v>
      </c>
      <c r="G309">
        <v>0.67720267708228998</v>
      </c>
      <c r="H309">
        <v>0.24517461164568999</v>
      </c>
      <c r="I309">
        <v>0.13030600958357999</v>
      </c>
      <c r="J309">
        <v>0.109257938621301</v>
      </c>
      <c r="K309">
        <v>0.104813555516535</v>
      </c>
      <c r="L309">
        <v>1240.5331236213599</v>
      </c>
      <c r="M309">
        <v>21.502709328765899</v>
      </c>
      <c r="N309">
        <v>58.009431452571597</v>
      </c>
      <c r="O309">
        <v>57.199925407063901</v>
      </c>
      <c r="P309">
        <v>-8.87658094120444E-2</v>
      </c>
      <c r="Q309">
        <v>5.55100287217377E-2</v>
      </c>
      <c r="R309">
        <v>0.97450176536266897</v>
      </c>
      <c r="S309" t="s">
        <v>7312</v>
      </c>
      <c r="T309" t="s">
        <v>14004</v>
      </c>
      <c r="U309" t="s">
        <v>14004</v>
      </c>
      <c r="V309" t="s">
        <v>14004</v>
      </c>
      <c r="W309" t="s">
        <v>14310</v>
      </c>
      <c r="X309">
        <v>5</v>
      </c>
      <c r="Y309" t="s">
        <v>21247</v>
      </c>
      <c r="Z309" t="s">
        <v>28019</v>
      </c>
      <c r="AA309">
        <v>0.6226543585208707</v>
      </c>
      <c r="AB309" t="str">
        <f>HYPERLINK("Melting_Curves/meltCurve_C9J8B8_HDAC10.pdf", "Melting_Curves/meltCurve_C9J8B8_HDAC10.pdf")</f>
        <v>Melting_Curves/meltCurve_C9J8B8_HDAC10.pdf</v>
      </c>
    </row>
    <row r="310" spans="1:28" x14ac:dyDescent="0.25">
      <c r="A310" t="s">
        <v>314</v>
      </c>
      <c r="B310">
        <v>0.99999676499088797</v>
      </c>
      <c r="C310">
        <v>0.98264531140911204</v>
      </c>
      <c r="D310">
        <v>0.74211758788899596</v>
      </c>
      <c r="E310">
        <v>0.367694439981744</v>
      </c>
      <c r="F310">
        <v>0.22460515818374299</v>
      </c>
      <c r="G310">
        <v>0.23071535600165899</v>
      </c>
      <c r="H310">
        <v>0.169874598885943</v>
      </c>
      <c r="I310">
        <v>8.1297153299135297E-2</v>
      </c>
      <c r="J310">
        <v>0.13231477603364999</v>
      </c>
      <c r="K310">
        <v>0.193362579203991</v>
      </c>
      <c r="L310">
        <v>1217.7457433956299</v>
      </c>
      <c r="M310">
        <v>25.6077083325399</v>
      </c>
      <c r="N310">
        <v>48.275185745612802</v>
      </c>
      <c r="O310">
        <v>47.2667392713117</v>
      </c>
      <c r="P310">
        <v>-0.113913449861461</v>
      </c>
      <c r="Q310">
        <v>0.15896431888402299</v>
      </c>
      <c r="R310">
        <v>0.98860589170590696</v>
      </c>
      <c r="S310" t="s">
        <v>7313</v>
      </c>
      <c r="T310" t="s">
        <v>14004</v>
      </c>
      <c r="U310" t="s">
        <v>14004</v>
      </c>
      <c r="V310" t="s">
        <v>14004</v>
      </c>
      <c r="W310" t="s">
        <v>14311</v>
      </c>
      <c r="X310">
        <v>1</v>
      </c>
      <c r="Y310" t="s">
        <v>21248</v>
      </c>
      <c r="Z310" t="s">
        <v>28020</v>
      </c>
      <c r="AA310">
        <v>0.37780903254727138</v>
      </c>
      <c r="AB310" t="str">
        <f>HYPERLINK("Melting_Curves/meltCurve_C9J929_PHF15.pdf", "Melting_Curves/meltCurve_C9J929_PHF15.pdf")</f>
        <v>Melting_Curves/meltCurve_C9J929_PHF15.pdf</v>
      </c>
    </row>
    <row r="311" spans="1:28" x14ac:dyDescent="0.25">
      <c r="A311" t="s">
        <v>315</v>
      </c>
      <c r="B311">
        <v>0.99999676499088797</v>
      </c>
      <c r="C311">
        <v>0.65819371733182597</v>
      </c>
      <c r="D311">
        <v>0.53566812940845399</v>
      </c>
      <c r="E311">
        <v>0.333767184109307</v>
      </c>
      <c r="F311">
        <v>0.18749294441929601</v>
      </c>
      <c r="G311">
        <v>0.10755885324403699</v>
      </c>
      <c r="H311">
        <v>6.5150615142030202E-2</v>
      </c>
      <c r="I311">
        <v>5.8037753492653103E-2</v>
      </c>
      <c r="J311">
        <v>4.7884223293756301E-2</v>
      </c>
      <c r="K311">
        <v>4.6331473342681402E-2</v>
      </c>
      <c r="L311">
        <v>618.85289986174701</v>
      </c>
      <c r="M311">
        <v>13.398786337880299</v>
      </c>
      <c r="N311">
        <v>46.452772578014802</v>
      </c>
      <c r="O311">
        <v>45.1947927569434</v>
      </c>
      <c r="P311">
        <v>-7.1395689128791698E-2</v>
      </c>
      <c r="Q311">
        <v>3.6865794131257498E-2</v>
      </c>
      <c r="R311">
        <v>0.97926223380761002</v>
      </c>
      <c r="S311" t="s">
        <v>7314</v>
      </c>
      <c r="T311" t="s">
        <v>14004</v>
      </c>
      <c r="U311" t="s">
        <v>14004</v>
      </c>
      <c r="V311" t="s">
        <v>14004</v>
      </c>
      <c r="W311" t="s">
        <v>14312</v>
      </c>
      <c r="X311">
        <v>2</v>
      </c>
      <c r="Y311" t="s">
        <v>21249</v>
      </c>
      <c r="Z311" t="s">
        <v>28021</v>
      </c>
      <c r="AA311">
        <v>0.27039631812533083</v>
      </c>
      <c r="AB311" t="str">
        <f>HYPERLINK("Melting_Curves/meltCurve_C9J975_AGAP3.pdf", "Melting_Curves/meltCurve_C9J975_AGAP3.pdf")</f>
        <v>Melting_Curves/meltCurve_C9J975_AGAP3.pdf</v>
      </c>
    </row>
    <row r="312" spans="1:28" x14ac:dyDescent="0.25">
      <c r="A312" t="s">
        <v>316</v>
      </c>
      <c r="B312">
        <v>0.99999676499088797</v>
      </c>
      <c r="C312">
        <v>0.92669647505910802</v>
      </c>
      <c r="D312">
        <v>0.91977787187608695</v>
      </c>
      <c r="E312">
        <v>0.93606124670379098</v>
      </c>
      <c r="F312">
        <v>0.79539686521935005</v>
      </c>
      <c r="G312">
        <v>0.403988607036392</v>
      </c>
      <c r="H312">
        <v>0.109635151714383</v>
      </c>
      <c r="I312">
        <v>8.9614742198225295E-2</v>
      </c>
      <c r="J312">
        <v>8.1454700317817305E-2</v>
      </c>
      <c r="K312">
        <v>5.9596936709716497E-2</v>
      </c>
      <c r="L312">
        <v>1519.54962626011</v>
      </c>
      <c r="M312">
        <v>27.332286127606601</v>
      </c>
      <c r="N312">
        <v>55.843120541875201</v>
      </c>
      <c r="O312">
        <v>55.300335745430303</v>
      </c>
      <c r="P312">
        <v>-0.116509727372422</v>
      </c>
      <c r="Q312">
        <v>5.7090346678799697E-2</v>
      </c>
      <c r="R312">
        <v>0.99138260803053102</v>
      </c>
      <c r="S312" t="s">
        <v>7315</v>
      </c>
      <c r="T312" t="s">
        <v>14004</v>
      </c>
      <c r="U312" t="s">
        <v>14004</v>
      </c>
      <c r="V312" t="s">
        <v>14004</v>
      </c>
      <c r="W312" t="s">
        <v>14313</v>
      </c>
      <c r="X312">
        <v>21</v>
      </c>
      <c r="Y312" t="s">
        <v>21250</v>
      </c>
      <c r="Z312" t="s">
        <v>28022</v>
      </c>
      <c r="AA312">
        <v>0.55469916732467395</v>
      </c>
      <c r="AB312" t="str">
        <f>HYPERLINK("Melting_Curves/meltCurve_C9J9K3_RPSA.pdf", "Melting_Curves/meltCurve_C9J9K3_RPSA.pdf")</f>
        <v>Melting_Curves/meltCurve_C9J9K3_RPSA.pdf</v>
      </c>
    </row>
    <row r="313" spans="1:28" x14ac:dyDescent="0.25">
      <c r="A313" t="s">
        <v>317</v>
      </c>
      <c r="B313">
        <v>0.99999676499088797</v>
      </c>
      <c r="C313">
        <v>0.75960835131263005</v>
      </c>
      <c r="D313">
        <v>0.77849250662134895</v>
      </c>
      <c r="E313">
        <v>0.69257449475461397</v>
      </c>
      <c r="F313">
        <v>0.50280664789110896</v>
      </c>
      <c r="G313">
        <v>0.310676679503888</v>
      </c>
      <c r="H313">
        <v>0.22960785594701399</v>
      </c>
      <c r="I313">
        <v>0.16706162172029601</v>
      </c>
      <c r="J313">
        <v>0.15411552535062201</v>
      </c>
      <c r="K313">
        <v>0.13355696941834599</v>
      </c>
      <c r="L313">
        <v>447.16728144213801</v>
      </c>
      <c r="M313">
        <v>8.4886650829563095</v>
      </c>
      <c r="N313">
        <v>52.7212897155555</v>
      </c>
      <c r="O313">
        <v>49.998561932708</v>
      </c>
      <c r="P313">
        <v>-4.2335975771068797E-2</v>
      </c>
      <c r="Q313">
        <v>3.4600219893928001E-3</v>
      </c>
      <c r="R313">
        <v>0.97269357569273096</v>
      </c>
      <c r="S313" t="s">
        <v>7316</v>
      </c>
      <c r="T313" t="s">
        <v>14004</v>
      </c>
      <c r="U313" t="s">
        <v>14004</v>
      </c>
      <c r="V313" t="s">
        <v>14004</v>
      </c>
      <c r="W313" t="s">
        <v>14314</v>
      </c>
      <c r="X313">
        <v>2</v>
      </c>
      <c r="Y313" t="s">
        <v>21251</v>
      </c>
      <c r="Z313" t="s">
        <v>28023</v>
      </c>
      <c r="AA313">
        <v>0.46536743000090819</v>
      </c>
      <c r="AB313" t="str">
        <f>HYPERLINK("Melting_Curves/meltCurve_C9JA07_COA1.pdf", "Melting_Curves/meltCurve_C9JA07_COA1.pdf")</f>
        <v>Melting_Curves/meltCurve_C9JA07_COA1.pdf</v>
      </c>
    </row>
    <row r="314" spans="1:28" x14ac:dyDescent="0.25">
      <c r="A314" t="s">
        <v>318</v>
      </c>
      <c r="B314">
        <v>0.99999676499088797</v>
      </c>
      <c r="C314">
        <v>1.0716443219321401</v>
      </c>
      <c r="D314">
        <v>1.0122384542807199</v>
      </c>
      <c r="E314">
        <v>1.0037496665463601</v>
      </c>
      <c r="F314">
        <v>0.56655444671543598</v>
      </c>
      <c r="G314">
        <v>0.31754638786357697</v>
      </c>
      <c r="H314">
        <v>9.8379283277404098E-2</v>
      </c>
      <c r="I314">
        <v>0.116634915447903</v>
      </c>
      <c r="J314">
        <v>0.11898842320483199</v>
      </c>
      <c r="K314">
        <v>8.1896667888033695E-2</v>
      </c>
      <c r="L314">
        <v>1572.53814073335</v>
      </c>
      <c r="M314">
        <v>29.2465346356365</v>
      </c>
      <c r="N314">
        <v>54.191135365810702</v>
      </c>
      <c r="O314">
        <v>53.518858417494101</v>
      </c>
      <c r="P314">
        <v>-0.1226829981522</v>
      </c>
      <c r="Q314">
        <v>0.102005523384309</v>
      </c>
      <c r="R314">
        <v>0.98887849059286503</v>
      </c>
      <c r="S314" t="s">
        <v>7317</v>
      </c>
      <c r="T314" t="s">
        <v>14004</v>
      </c>
      <c r="U314" t="s">
        <v>14004</v>
      </c>
      <c r="V314" t="s">
        <v>14004</v>
      </c>
      <c r="W314" t="s">
        <v>14315</v>
      </c>
      <c r="X314">
        <v>12</v>
      </c>
      <c r="Y314" t="s">
        <v>21252</v>
      </c>
      <c r="Z314" t="s">
        <v>28024</v>
      </c>
      <c r="AA314">
        <v>0.52031453508152292</v>
      </c>
      <c r="AB314" t="str">
        <f>HYPERLINK("Melting_Curves/meltCurve_C9JA08_NMD3.pdf", "Melting_Curves/meltCurve_C9JA08_NMD3.pdf")</f>
        <v>Melting_Curves/meltCurve_C9JA08_NMD3.pdf</v>
      </c>
    </row>
    <row r="315" spans="1:28" x14ac:dyDescent="0.25">
      <c r="A315" t="s">
        <v>319</v>
      </c>
      <c r="B315">
        <v>0.99999676499088797</v>
      </c>
      <c r="C315">
        <v>1.1516525261192501</v>
      </c>
      <c r="D315">
        <v>1.0660860481707699</v>
      </c>
      <c r="E315">
        <v>0.71093990065145296</v>
      </c>
      <c r="F315">
        <v>0.59055234407240997</v>
      </c>
      <c r="G315">
        <v>0.50801455779151095</v>
      </c>
      <c r="H315">
        <v>0.23934050884225799</v>
      </c>
      <c r="I315">
        <v>0.222433618444866</v>
      </c>
      <c r="J315">
        <v>0.21011756813472601</v>
      </c>
      <c r="K315">
        <v>0.116005316526721</v>
      </c>
      <c r="L315">
        <v>797.099660099316</v>
      </c>
      <c r="M315">
        <v>14.7052459955885</v>
      </c>
      <c r="N315">
        <v>55.323035497917303</v>
      </c>
      <c r="O315">
        <v>53.2323124254726</v>
      </c>
      <c r="P315">
        <v>-6.0191500275818502E-2</v>
      </c>
      <c r="Q315">
        <v>0.12853335189095699</v>
      </c>
      <c r="R315">
        <v>0.94878040265795505</v>
      </c>
      <c r="S315" t="s">
        <v>7318</v>
      </c>
      <c r="T315" t="s">
        <v>14004</v>
      </c>
      <c r="U315" t="s">
        <v>14004</v>
      </c>
      <c r="V315" t="s">
        <v>14004</v>
      </c>
      <c r="W315" t="s">
        <v>14316</v>
      </c>
      <c r="X315">
        <v>4</v>
      </c>
      <c r="Y315" t="s">
        <v>21253</v>
      </c>
      <c r="Z315" t="s">
        <v>28025</v>
      </c>
      <c r="AA315">
        <v>0.55927752716703838</v>
      </c>
      <c r="AB315" t="str">
        <f>HYPERLINK("Melting_Curves/meltCurve_C9JA28_SSR3.pdf", "Melting_Curves/meltCurve_C9JA28_SSR3.pdf")</f>
        <v>Melting_Curves/meltCurve_C9JA28_SSR3.pdf</v>
      </c>
    </row>
    <row r="316" spans="1:28" x14ac:dyDescent="0.25">
      <c r="A316" t="s">
        <v>320</v>
      </c>
      <c r="B316">
        <v>0.99999676499088797</v>
      </c>
      <c r="C316">
        <v>0.89554407808113001</v>
      </c>
      <c r="D316">
        <v>0.78927881629405705</v>
      </c>
      <c r="E316">
        <v>0.59214167940351004</v>
      </c>
      <c r="F316">
        <v>0.42063020786435501</v>
      </c>
      <c r="G316">
        <v>0.31285497447169403</v>
      </c>
      <c r="H316">
        <v>0.184189260919918</v>
      </c>
      <c r="I316">
        <v>0.23142493415270099</v>
      </c>
      <c r="J316">
        <v>0.25860747711656601</v>
      </c>
      <c r="K316">
        <v>0.28539025148610803</v>
      </c>
      <c r="L316">
        <v>754.28403370443095</v>
      </c>
      <c r="M316">
        <v>15.3773531766003</v>
      </c>
      <c r="N316">
        <v>51.042607770607503</v>
      </c>
      <c r="O316">
        <v>48.244520210419701</v>
      </c>
      <c r="P316">
        <v>-6.1717837993213398E-2</v>
      </c>
      <c r="Q316">
        <v>0.22554302258234901</v>
      </c>
      <c r="R316">
        <v>0.98607753046173696</v>
      </c>
      <c r="S316" t="s">
        <v>7319</v>
      </c>
      <c r="T316" t="s">
        <v>14004</v>
      </c>
      <c r="U316" t="s">
        <v>14004</v>
      </c>
      <c r="V316" t="s">
        <v>14004</v>
      </c>
      <c r="W316" t="s">
        <v>14317</v>
      </c>
      <c r="X316">
        <v>14</v>
      </c>
      <c r="Y316" t="s">
        <v>21254</v>
      </c>
      <c r="Z316" t="s">
        <v>28026</v>
      </c>
      <c r="AA316">
        <v>0.47741718322246501</v>
      </c>
      <c r="AB316" t="str">
        <f>HYPERLINK("Melting_Curves/meltCurve_C9JAB2_SRSF7.pdf", "Melting_Curves/meltCurve_C9JAB2_SRSF7.pdf")</f>
        <v>Melting_Curves/meltCurve_C9JAB2_SRSF7.pdf</v>
      </c>
    </row>
    <row r="317" spans="1:28" x14ac:dyDescent="0.25">
      <c r="A317" t="s">
        <v>321</v>
      </c>
      <c r="B317">
        <v>0.99999676499088797</v>
      </c>
      <c r="C317">
        <v>0.90307857477696796</v>
      </c>
      <c r="D317">
        <v>1.0378996148378501</v>
      </c>
      <c r="E317">
        <v>1.3199129001171801</v>
      </c>
      <c r="F317">
        <v>1.14529511514433</v>
      </c>
      <c r="G317">
        <v>0.80892563506456805</v>
      </c>
      <c r="H317">
        <v>0.441144711591962</v>
      </c>
      <c r="I317">
        <v>0.36525518831517101</v>
      </c>
      <c r="J317">
        <v>0.323370956756039</v>
      </c>
      <c r="K317">
        <v>0.44203537543355198</v>
      </c>
      <c r="L317">
        <v>3437.9131152610198</v>
      </c>
      <c r="M317">
        <v>59.648508766512897</v>
      </c>
      <c r="N317">
        <v>59.092941698432398</v>
      </c>
      <c r="O317">
        <v>57.571525178697001</v>
      </c>
      <c r="P317">
        <v>-0.159273559600727</v>
      </c>
      <c r="Q317">
        <v>0.385089942282274</v>
      </c>
      <c r="R317">
        <v>0.87637348972427997</v>
      </c>
      <c r="S317" t="s">
        <v>7320</v>
      </c>
      <c r="T317" t="s">
        <v>14004</v>
      </c>
      <c r="U317" t="s">
        <v>14004</v>
      </c>
      <c r="V317" t="s">
        <v>14004</v>
      </c>
      <c r="W317" t="s">
        <v>14318</v>
      </c>
      <c r="X317">
        <v>6</v>
      </c>
      <c r="Y317" t="s">
        <v>21255</v>
      </c>
      <c r="Z317" t="s">
        <v>28027</v>
      </c>
      <c r="AA317">
        <v>0.74767490413745452</v>
      </c>
      <c r="AB317" t="str">
        <f>HYPERLINK("Melting_Curves/meltCurve_C9JAX1_FXN.pdf", "Melting_Curves/meltCurve_C9JAX1_FXN.pdf")</f>
        <v>Melting_Curves/meltCurve_C9JAX1_FXN.pdf</v>
      </c>
    </row>
    <row r="318" spans="1:28" x14ac:dyDescent="0.25">
      <c r="A318" t="s">
        <v>322</v>
      </c>
      <c r="B318">
        <v>0.99999676499088797</v>
      </c>
      <c r="C318">
        <v>0.86796366556941096</v>
      </c>
      <c r="D318">
        <v>0.85259225656792703</v>
      </c>
      <c r="E318">
        <v>0.65910867385739502</v>
      </c>
      <c r="F318">
        <v>0.40256006877501099</v>
      </c>
      <c r="G318">
        <v>0.25203706121864899</v>
      </c>
      <c r="H318">
        <v>0.14917332108769599</v>
      </c>
      <c r="I318">
        <v>0.13515903804454299</v>
      </c>
      <c r="J318">
        <v>0.13046141648335099</v>
      </c>
      <c r="K318">
        <v>0.161508389487063</v>
      </c>
      <c r="L318">
        <v>756.66339011754303</v>
      </c>
      <c r="M318">
        <v>14.906034385741</v>
      </c>
      <c r="N318">
        <v>51.602591768664702</v>
      </c>
      <c r="O318">
        <v>49.874872116261599</v>
      </c>
      <c r="P318">
        <v>-6.6672034564056806E-2</v>
      </c>
      <c r="Q318">
        <v>0.10776674053740599</v>
      </c>
      <c r="R318">
        <v>0.99115157197552795</v>
      </c>
      <c r="S318" t="s">
        <v>7321</v>
      </c>
      <c r="T318" t="s">
        <v>14004</v>
      </c>
      <c r="U318" t="s">
        <v>14004</v>
      </c>
      <c r="V318" t="s">
        <v>14004</v>
      </c>
      <c r="W318" t="s">
        <v>14319</v>
      </c>
      <c r="X318">
        <v>9</v>
      </c>
      <c r="Y318" t="s">
        <v>21256</v>
      </c>
      <c r="Z318" t="s">
        <v>28028</v>
      </c>
      <c r="AA318">
        <v>0.44883717469549123</v>
      </c>
      <c r="AB318" t="str">
        <f>HYPERLINK("Melting_Curves/meltCurve_C9JB13_BSDC1.pdf", "Melting_Curves/meltCurve_C9JB13_BSDC1.pdf")</f>
        <v>Melting_Curves/meltCurve_C9JB13_BSDC1.pdf</v>
      </c>
    </row>
    <row r="319" spans="1:28" x14ac:dyDescent="0.25">
      <c r="A319" t="s">
        <v>323</v>
      </c>
      <c r="B319">
        <v>0.99999676499088797</v>
      </c>
      <c r="C319">
        <v>1.10467309054576</v>
      </c>
      <c r="D319">
        <v>1.29015224554259</v>
      </c>
      <c r="E319">
        <v>1.57773564963291</v>
      </c>
      <c r="F319">
        <v>1.3360850636602</v>
      </c>
      <c r="G319">
        <v>1.20328342872676</v>
      </c>
      <c r="H319">
        <v>1.03311003778282</v>
      </c>
      <c r="I319">
        <v>0.89669439393204997</v>
      </c>
      <c r="J319">
        <v>0.65394243611373504</v>
      </c>
      <c r="K319">
        <v>0.93412167379439204</v>
      </c>
      <c r="L319">
        <v>15000</v>
      </c>
      <c r="M319">
        <v>234.381469316108</v>
      </c>
      <c r="O319">
        <v>63.993582957168499</v>
      </c>
      <c r="P319">
        <v>-0.1885915526061</v>
      </c>
      <c r="Q319">
        <v>0.79403410150387299</v>
      </c>
      <c r="R319">
        <v>-1.71794435620201E-2</v>
      </c>
      <c r="S319" t="s">
        <v>7322</v>
      </c>
      <c r="T319" t="s">
        <v>14004</v>
      </c>
      <c r="U319" t="s">
        <v>14004</v>
      </c>
      <c r="V319" t="s">
        <v>14004</v>
      </c>
      <c r="W319" t="s">
        <v>14320</v>
      </c>
      <c r="X319">
        <v>1</v>
      </c>
      <c r="Y319" t="s">
        <v>21257</v>
      </c>
      <c r="Z319" t="s">
        <v>28029</v>
      </c>
      <c r="AA319">
        <v>0.9588210121401739</v>
      </c>
      <c r="AB319" t="str">
        <f>HYPERLINK("Melting_Curves/meltCurve_C9JBL1_SPCS1.pdf", "Melting_Curves/meltCurve_C9JBL1_SPCS1.pdf")</f>
        <v>Melting_Curves/meltCurve_C9JBL1_SPCS1.pdf</v>
      </c>
    </row>
    <row r="320" spans="1:28" x14ac:dyDescent="0.25">
      <c r="A320" t="s">
        <v>324</v>
      </c>
      <c r="B320">
        <v>0.99999676499088797</v>
      </c>
      <c r="C320">
        <v>0.95245845852441602</v>
      </c>
      <c r="D320">
        <v>0.93975213199918795</v>
      </c>
      <c r="E320">
        <v>0.73537714082435102</v>
      </c>
      <c r="F320">
        <v>0.250195895314273</v>
      </c>
      <c r="G320">
        <v>0.20145969586156701</v>
      </c>
      <c r="H320">
        <v>9.1927985401905096E-2</v>
      </c>
      <c r="I320">
        <v>9.0402895552728596E-2</v>
      </c>
      <c r="J320">
        <v>9.7371021966003599E-2</v>
      </c>
      <c r="K320">
        <v>7.2208137615769094E-2</v>
      </c>
      <c r="L320">
        <v>1525.54763822936</v>
      </c>
      <c r="M320">
        <v>29.988604368014801</v>
      </c>
      <c r="N320">
        <v>51.234799819822904</v>
      </c>
      <c r="O320">
        <v>50.6463117289587</v>
      </c>
      <c r="P320">
        <v>-0.133831751280062</v>
      </c>
      <c r="Q320">
        <v>9.5917898980687893E-2</v>
      </c>
      <c r="R320">
        <v>0.99352792878624896</v>
      </c>
      <c r="S320" t="s">
        <v>7323</v>
      </c>
      <c r="T320" t="s">
        <v>14004</v>
      </c>
      <c r="U320" t="s">
        <v>14004</v>
      </c>
      <c r="V320" t="s">
        <v>14004</v>
      </c>
      <c r="W320" t="s">
        <v>14321</v>
      </c>
      <c r="X320">
        <v>3</v>
      </c>
      <c r="Y320" t="s">
        <v>21258</v>
      </c>
      <c r="Z320" t="s">
        <v>28030</v>
      </c>
      <c r="AA320">
        <v>0.42920109438040183</v>
      </c>
      <c r="AB320" t="str">
        <f>HYPERLINK("Melting_Curves/meltCurve_C9JBY7_MRPS33.pdf", "Melting_Curves/meltCurve_C9JBY7_MRPS33.pdf")</f>
        <v>Melting_Curves/meltCurve_C9JBY7_MRPS33.pdf</v>
      </c>
    </row>
    <row r="321" spans="1:28" x14ac:dyDescent="0.25">
      <c r="A321" t="s">
        <v>325</v>
      </c>
      <c r="B321">
        <v>0.99999676499088797</v>
      </c>
      <c r="C321">
        <v>0.96718698582374596</v>
      </c>
      <c r="D321">
        <v>1.0377283020046899</v>
      </c>
      <c r="E321">
        <v>1.41238729363853</v>
      </c>
      <c r="F321">
        <v>1.46141925019182</v>
      </c>
      <c r="G321">
        <v>1.1321386429926601</v>
      </c>
      <c r="H321">
        <v>0.72185622804795002</v>
      </c>
      <c r="I321">
        <v>0.59288640677368498</v>
      </c>
      <c r="J321">
        <v>0.51120269941193797</v>
      </c>
      <c r="K321">
        <v>0.66379161666100095</v>
      </c>
      <c r="L321">
        <v>15000</v>
      </c>
      <c r="M321">
        <v>247.45160599792399</v>
      </c>
      <c r="O321">
        <v>60.613954653022702</v>
      </c>
      <c r="P321">
        <v>-0.41916932170120802</v>
      </c>
      <c r="Q321">
        <v>0.58929327143677301</v>
      </c>
      <c r="R321">
        <v>0.57392685127523102</v>
      </c>
      <c r="S321" t="s">
        <v>7324</v>
      </c>
      <c r="T321" t="s">
        <v>14004</v>
      </c>
      <c r="U321" t="s">
        <v>14004</v>
      </c>
      <c r="V321" t="s">
        <v>14004</v>
      </c>
      <c r="W321" t="s">
        <v>14322</v>
      </c>
      <c r="X321">
        <v>6</v>
      </c>
      <c r="Y321" t="s">
        <v>21259</v>
      </c>
      <c r="Z321" t="s">
        <v>28031</v>
      </c>
      <c r="AA321">
        <v>0.87160172609686604</v>
      </c>
      <c r="AB321" t="str">
        <f>HYPERLINK("Melting_Curves/meltCurve_C9JCC6_DRAP1.pdf", "Melting_Curves/meltCurve_C9JCC6_DRAP1.pdf")</f>
        <v>Melting_Curves/meltCurve_C9JCC6_DRAP1.pdf</v>
      </c>
    </row>
    <row r="322" spans="1:28" x14ac:dyDescent="0.25">
      <c r="A322" t="s">
        <v>326</v>
      </c>
      <c r="B322">
        <v>0.99999676499088797</v>
      </c>
      <c r="C322">
        <v>1.09994463806965</v>
      </c>
      <c r="D322">
        <v>0.96534178243131596</v>
      </c>
      <c r="E322">
        <v>0.65320557076087404</v>
      </c>
      <c r="F322">
        <v>0.404448694697702</v>
      </c>
      <c r="G322">
        <v>0.287188887616108</v>
      </c>
      <c r="H322">
        <v>9.2616931800898597E-2</v>
      </c>
      <c r="I322">
        <v>0.102825804659778</v>
      </c>
      <c r="J322">
        <v>9.8716174794045694E-2</v>
      </c>
      <c r="K322">
        <v>6.23152862360545E-2</v>
      </c>
      <c r="L322">
        <v>979.46162420180895</v>
      </c>
      <c r="M322">
        <v>18.977934443317501</v>
      </c>
      <c r="N322">
        <v>52.077668292480602</v>
      </c>
      <c r="O322">
        <v>51.047745169902399</v>
      </c>
      <c r="P322">
        <v>-8.5671693947759794E-2</v>
      </c>
      <c r="Q322">
        <v>7.8261816826331501E-2</v>
      </c>
      <c r="R322">
        <v>0.98324578892512804</v>
      </c>
      <c r="S322" t="s">
        <v>7325</v>
      </c>
      <c r="T322" t="s">
        <v>14004</v>
      </c>
      <c r="U322" t="s">
        <v>14004</v>
      </c>
      <c r="V322" t="s">
        <v>14004</v>
      </c>
      <c r="W322" t="s">
        <v>14323</v>
      </c>
      <c r="X322">
        <v>1</v>
      </c>
      <c r="Y322" t="s">
        <v>21260</v>
      </c>
      <c r="Z322" t="s">
        <v>28032</v>
      </c>
      <c r="AA322">
        <v>0.4490337904185972</v>
      </c>
      <c r="AB322" t="str">
        <f>HYPERLINK("Melting_Curves/meltCurve_C9JCU6_MAP4K2.pdf", "Melting_Curves/meltCurve_C9JCU6_MAP4K2.pdf")</f>
        <v>Melting_Curves/meltCurve_C9JCU6_MAP4K2.pdf</v>
      </c>
    </row>
    <row r="323" spans="1:28" x14ac:dyDescent="0.25">
      <c r="A323" t="s">
        <v>327</v>
      </c>
      <c r="B323">
        <v>0.99999676499088797</v>
      </c>
      <c r="C323">
        <v>0.80025958538202402</v>
      </c>
      <c r="D323">
        <v>0.60801801788741106</v>
      </c>
      <c r="E323">
        <v>0.32370605412584103</v>
      </c>
      <c r="F323">
        <v>0.214349829166916</v>
      </c>
      <c r="G323">
        <v>0.17711221656700499</v>
      </c>
      <c r="H323">
        <v>7.8507758396254804E-2</v>
      </c>
      <c r="I323">
        <v>8.3494317334094001E-2</v>
      </c>
      <c r="J323">
        <v>8.0695667679809596E-2</v>
      </c>
      <c r="K323">
        <v>7.1912787092392697E-2</v>
      </c>
      <c r="L323">
        <v>745.46557160297402</v>
      </c>
      <c r="M323">
        <v>15.9252978239043</v>
      </c>
      <c r="N323">
        <v>47.314400263669</v>
      </c>
      <c r="O323">
        <v>46.090701449276402</v>
      </c>
      <c r="P323">
        <v>-7.9644834831600203E-2</v>
      </c>
      <c r="Q323">
        <v>7.80472539176644E-2</v>
      </c>
      <c r="R323">
        <v>0.99269765832794699</v>
      </c>
      <c r="S323" t="s">
        <v>7326</v>
      </c>
      <c r="T323" t="s">
        <v>14004</v>
      </c>
      <c r="U323" t="s">
        <v>14004</v>
      </c>
      <c r="V323" t="s">
        <v>14004</v>
      </c>
      <c r="W323" t="s">
        <v>14324</v>
      </c>
      <c r="X323">
        <v>1</v>
      </c>
      <c r="Y323" t="s">
        <v>21261</v>
      </c>
      <c r="Z323" t="s">
        <v>28033</v>
      </c>
      <c r="AA323">
        <v>0.3097040400856344</v>
      </c>
      <c r="AB323" t="str">
        <f>HYPERLINK("Melting_Curves/meltCurve_C9JDZ2_FAIM.pdf", "Melting_Curves/meltCurve_C9JDZ2_FAIM.pdf")</f>
        <v>Melting_Curves/meltCurve_C9JDZ2_FAIM.pdf</v>
      </c>
    </row>
    <row r="324" spans="1:28" x14ac:dyDescent="0.25">
      <c r="A324" t="s">
        <v>328</v>
      </c>
      <c r="B324">
        <v>0.99999676499088797</v>
      </c>
      <c r="C324">
        <v>0.96984894279311296</v>
      </c>
      <c r="D324">
        <v>0.983750274137839</v>
      </c>
      <c r="E324">
        <v>0.77730153865753904</v>
      </c>
      <c r="F324">
        <v>0.45378209367063899</v>
      </c>
      <c r="G324">
        <v>0.29791793289687801</v>
      </c>
      <c r="H324">
        <v>0.128356002068895</v>
      </c>
      <c r="I324">
        <v>0.13165678886166399</v>
      </c>
      <c r="J324">
        <v>0.105360773724607</v>
      </c>
      <c r="K324">
        <v>0.103627579342815</v>
      </c>
      <c r="L324">
        <v>1051.4774855083299</v>
      </c>
      <c r="M324">
        <v>20.078282292978699</v>
      </c>
      <c r="N324">
        <v>52.957540508998797</v>
      </c>
      <c r="O324">
        <v>51.857715432505103</v>
      </c>
      <c r="P324">
        <v>-8.7117077191014095E-2</v>
      </c>
      <c r="Q324">
        <v>0.100013091444249</v>
      </c>
      <c r="R324">
        <v>0.99653714654279002</v>
      </c>
      <c r="S324" t="s">
        <v>7327</v>
      </c>
      <c r="T324" t="s">
        <v>14004</v>
      </c>
      <c r="U324" t="s">
        <v>14004</v>
      </c>
      <c r="V324" t="s">
        <v>14004</v>
      </c>
      <c r="W324" t="s">
        <v>14325</v>
      </c>
      <c r="X324">
        <v>3</v>
      </c>
      <c r="Y324" t="s">
        <v>21262</v>
      </c>
      <c r="Z324" t="s">
        <v>28034</v>
      </c>
      <c r="AA324">
        <v>0.48342187471814091</v>
      </c>
      <c r="AB324" t="str">
        <f>HYPERLINK("Melting_Curves/meltCurve_C9JE12_TMUB1.pdf", "Melting_Curves/meltCurve_C9JE12_TMUB1.pdf")</f>
        <v>Melting_Curves/meltCurve_C9JE12_TMUB1.pdf</v>
      </c>
    </row>
    <row r="325" spans="1:28" x14ac:dyDescent="0.25">
      <c r="A325" t="s">
        <v>329</v>
      </c>
      <c r="B325">
        <v>0.99999676499088797</v>
      </c>
      <c r="C325">
        <v>0.98729468859332303</v>
      </c>
      <c r="D325">
        <v>0.94202707772444705</v>
      </c>
      <c r="E325">
        <v>0.89654342346856597</v>
      </c>
      <c r="F325">
        <v>0.87365668256483897</v>
      </c>
      <c r="G325">
        <v>0.62893430532671601</v>
      </c>
      <c r="H325">
        <v>0.409159734775011</v>
      </c>
      <c r="I325">
        <v>0.40714198367728699</v>
      </c>
      <c r="J325">
        <v>0.36519825981146697</v>
      </c>
      <c r="K325">
        <v>0.36338306803053699</v>
      </c>
      <c r="L325">
        <v>1184.5740744562299</v>
      </c>
      <c r="M325">
        <v>21.161211032579299</v>
      </c>
      <c r="N325">
        <v>59.274232273423799</v>
      </c>
      <c r="O325">
        <v>55.485842528953597</v>
      </c>
      <c r="P325">
        <v>-6.2373258356720099E-2</v>
      </c>
      <c r="Q325">
        <v>0.34583278648743498</v>
      </c>
      <c r="R325">
        <v>0.98557770350412</v>
      </c>
      <c r="S325" t="s">
        <v>7328</v>
      </c>
      <c r="T325" t="s">
        <v>14004</v>
      </c>
      <c r="U325" t="s">
        <v>14004</v>
      </c>
      <c r="V325" t="s">
        <v>14004</v>
      </c>
      <c r="W325" t="s">
        <v>14326</v>
      </c>
      <c r="X325">
        <v>10</v>
      </c>
      <c r="Y325" t="s">
        <v>21263</v>
      </c>
      <c r="Z325" t="s">
        <v>28035</v>
      </c>
      <c r="AA325">
        <v>0.70204533558940341</v>
      </c>
      <c r="AB325" t="str">
        <f>HYPERLINK("Melting_Curves/meltCurve_C9JE82_CACNA2D2.pdf", "Melting_Curves/meltCurve_C9JE82_CACNA2D2.pdf")</f>
        <v>Melting_Curves/meltCurve_C9JE82_CACNA2D2.pdf</v>
      </c>
    </row>
    <row r="326" spans="1:28" x14ac:dyDescent="0.25">
      <c r="A326" t="s">
        <v>330</v>
      </c>
      <c r="B326">
        <v>0.99999676499088797</v>
      </c>
      <c r="C326">
        <v>0.93887878866186603</v>
      </c>
      <c r="D326">
        <v>0.78686854745678203</v>
      </c>
      <c r="E326">
        <v>0.58049212847213105</v>
      </c>
      <c r="F326">
        <v>0.40525218029305399</v>
      </c>
      <c r="G326">
        <v>0.32945064820124997</v>
      </c>
      <c r="H326">
        <v>0.25637202723862901</v>
      </c>
      <c r="I326">
        <v>0.34745046967856502</v>
      </c>
      <c r="J326">
        <v>0.39633758055339402</v>
      </c>
      <c r="K326">
        <v>0.40077997818464201</v>
      </c>
      <c r="L326">
        <v>1012.10808744407</v>
      </c>
      <c r="M326">
        <v>21.156512904670599</v>
      </c>
      <c r="N326">
        <v>50.581122004767401</v>
      </c>
      <c r="O326">
        <v>47.417821036662403</v>
      </c>
      <c r="P326">
        <v>-7.3487378303587703E-2</v>
      </c>
      <c r="Q326">
        <v>0.34119189780849801</v>
      </c>
      <c r="R326">
        <v>0.97365175107788304</v>
      </c>
      <c r="S326" t="s">
        <v>7329</v>
      </c>
      <c r="T326" t="s">
        <v>14004</v>
      </c>
      <c r="U326" t="s">
        <v>14004</v>
      </c>
      <c r="V326" t="s">
        <v>14004</v>
      </c>
      <c r="W326" t="s">
        <v>14327</v>
      </c>
      <c r="X326">
        <v>14</v>
      </c>
      <c r="Y326" t="s">
        <v>21264</v>
      </c>
      <c r="Z326" t="s">
        <v>28036</v>
      </c>
      <c r="AA326">
        <v>0.52167115957947285</v>
      </c>
      <c r="AB326" t="str">
        <f>HYPERLINK("Melting_Curves/meltCurve_C9JE98_NCOR2.pdf", "Melting_Curves/meltCurve_C9JE98_NCOR2.pdf")</f>
        <v>Melting_Curves/meltCurve_C9JE98_NCOR2.pdf</v>
      </c>
    </row>
    <row r="327" spans="1:28" x14ac:dyDescent="0.25">
      <c r="A327" t="s">
        <v>331</v>
      </c>
      <c r="B327">
        <v>0.99999676499088797</v>
      </c>
      <c r="C327">
        <v>0.89953261175143095</v>
      </c>
      <c r="D327">
        <v>1.0010137478530901</v>
      </c>
      <c r="E327">
        <v>1.04202143565154</v>
      </c>
      <c r="F327">
        <v>0.75818339446290295</v>
      </c>
      <c r="G327">
        <v>0.38965421211467899</v>
      </c>
      <c r="H327">
        <v>6.5254823723274805E-2</v>
      </c>
      <c r="I327">
        <v>1.9074392438416399E-2</v>
      </c>
      <c r="J327">
        <v>2.56113137353071E-2</v>
      </c>
      <c r="K327">
        <v>3.0389296971362601E-2</v>
      </c>
      <c r="L327">
        <v>1617.4352416417501</v>
      </c>
      <c r="M327">
        <v>29.066434410561602</v>
      </c>
      <c r="N327">
        <v>55.6895353898568</v>
      </c>
      <c r="O327">
        <v>55.384755360056602</v>
      </c>
      <c r="P327">
        <v>-0.12973455780551099</v>
      </c>
      <c r="Q327">
        <v>1.11943616967286E-2</v>
      </c>
      <c r="R327">
        <v>0.99049852310772202</v>
      </c>
      <c r="S327" t="s">
        <v>7330</v>
      </c>
      <c r="T327" t="s">
        <v>14004</v>
      </c>
      <c r="U327" t="s">
        <v>14004</v>
      </c>
      <c r="V327" t="s">
        <v>14004</v>
      </c>
      <c r="W327" t="s">
        <v>14328</v>
      </c>
      <c r="X327">
        <v>9</v>
      </c>
      <c r="Y327" t="s">
        <v>21265</v>
      </c>
      <c r="Z327" t="s">
        <v>28037</v>
      </c>
      <c r="AA327">
        <v>0.5338752483769329</v>
      </c>
      <c r="AB327" t="str">
        <f>HYPERLINK("Melting_Curves/meltCurve_C9JEH7_RPS4Y1.pdf", "Melting_Curves/meltCurve_C9JEH7_RPS4Y1.pdf")</f>
        <v>Melting_Curves/meltCurve_C9JEH7_RPS4Y1.pdf</v>
      </c>
    </row>
    <row r="328" spans="1:28" x14ac:dyDescent="0.25">
      <c r="A328" t="s">
        <v>332</v>
      </c>
      <c r="B328">
        <v>0.99999676499088797</v>
      </c>
      <c r="C328">
        <v>0.91398709921048704</v>
      </c>
      <c r="D328">
        <v>0.79383858257935802</v>
      </c>
      <c r="E328">
        <v>0.49609775016545998</v>
      </c>
      <c r="F328">
        <v>0.33579316046857399</v>
      </c>
      <c r="G328">
        <v>0.25344603348608902</v>
      </c>
      <c r="H328">
        <v>0.14781216927284099</v>
      </c>
      <c r="I328">
        <v>0.14060416699601899</v>
      </c>
      <c r="J328">
        <v>0.13049751065746801</v>
      </c>
      <c r="K328">
        <v>7.9828427044726202E-2</v>
      </c>
      <c r="L328">
        <v>734.65618663613805</v>
      </c>
      <c r="M328">
        <v>14.890061814206</v>
      </c>
      <c r="N328">
        <v>50.1220274023729</v>
      </c>
      <c r="O328">
        <v>48.474430235484</v>
      </c>
      <c r="P328">
        <v>-6.8828746697648602E-2</v>
      </c>
      <c r="Q328">
        <v>0.10380829342113</v>
      </c>
      <c r="R328">
        <v>0.99499584163975796</v>
      </c>
      <c r="S328" t="s">
        <v>7331</v>
      </c>
      <c r="T328" t="s">
        <v>14004</v>
      </c>
      <c r="U328" t="s">
        <v>14004</v>
      </c>
      <c r="V328" t="s">
        <v>14004</v>
      </c>
      <c r="W328" t="s">
        <v>14329</v>
      </c>
      <c r="X328">
        <v>6</v>
      </c>
      <c r="Y328" t="s">
        <v>21266</v>
      </c>
      <c r="Z328" t="s">
        <v>28038</v>
      </c>
      <c r="AA328">
        <v>0.40493118215310198</v>
      </c>
      <c r="AB328" t="str">
        <f>HYPERLINK("Melting_Curves/meltCurve_C9JEL3_EIF4E2.pdf", "Melting_Curves/meltCurve_C9JEL3_EIF4E2.pdf")</f>
        <v>Melting_Curves/meltCurve_C9JEL3_EIF4E2.pdf</v>
      </c>
    </row>
    <row r="329" spans="1:28" x14ac:dyDescent="0.25">
      <c r="A329" t="s">
        <v>333</v>
      </c>
      <c r="B329">
        <v>0.99999676499088797</v>
      </c>
      <c r="C329">
        <v>1.06781081468314</v>
      </c>
      <c r="D329">
        <v>1.03458787504575</v>
      </c>
      <c r="E329">
        <v>0.88481688531916403</v>
      </c>
      <c r="F329">
        <v>0.32693263822331098</v>
      </c>
      <c r="G329">
        <v>0.21827881720286299</v>
      </c>
      <c r="H329">
        <v>0.116956640514519</v>
      </c>
      <c r="I329">
        <v>0.13866547056338199</v>
      </c>
      <c r="J329">
        <v>0.15723422327418299</v>
      </c>
      <c r="K329">
        <v>0.116218059761055</v>
      </c>
      <c r="L329">
        <v>2241.8739228607601</v>
      </c>
      <c r="M329">
        <v>43.376918348114401</v>
      </c>
      <c r="N329">
        <v>52.092146936770398</v>
      </c>
      <c r="O329">
        <v>51.5740826578281</v>
      </c>
      <c r="P329">
        <v>-0.179946460382681</v>
      </c>
      <c r="Q329">
        <v>0.14419373745898301</v>
      </c>
      <c r="R329">
        <v>0.99318768928217105</v>
      </c>
      <c r="S329" t="s">
        <v>7332</v>
      </c>
      <c r="T329" t="s">
        <v>14004</v>
      </c>
      <c r="U329" t="s">
        <v>14004</v>
      </c>
      <c r="V329" t="s">
        <v>14004</v>
      </c>
      <c r="W329" t="s">
        <v>14330</v>
      </c>
      <c r="X329">
        <v>4</v>
      </c>
      <c r="Y329" t="s">
        <v>21267</v>
      </c>
      <c r="Z329" t="s">
        <v>28039</v>
      </c>
      <c r="AA329">
        <v>0.48008587820511778</v>
      </c>
      <c r="AB329" t="str">
        <f>HYPERLINK("Melting_Curves/meltCurve_C9JF58_OSCP1.pdf", "Melting_Curves/meltCurve_C9JF58_OSCP1.pdf")</f>
        <v>Melting_Curves/meltCurve_C9JF58_OSCP1.pdf</v>
      </c>
    </row>
    <row r="330" spans="1:28" x14ac:dyDescent="0.25">
      <c r="A330" t="s">
        <v>334</v>
      </c>
      <c r="B330">
        <v>0.99999676499088797</v>
      </c>
      <c r="C330">
        <v>0.97748707295830795</v>
      </c>
      <c r="D330">
        <v>1.0022399424111601</v>
      </c>
      <c r="E330">
        <v>0.82948987379004602</v>
      </c>
      <c r="F330">
        <v>0.76495982728953205</v>
      </c>
      <c r="G330">
        <v>0.59065677269097205</v>
      </c>
      <c r="H330">
        <v>0.46087047377068002</v>
      </c>
      <c r="I330">
        <v>0.41023917420914502</v>
      </c>
      <c r="J330">
        <v>0.33651032104272</v>
      </c>
      <c r="K330">
        <v>0.483997466279392</v>
      </c>
      <c r="L330">
        <v>870.99919989182297</v>
      </c>
      <c r="M330">
        <v>16.095994549782802</v>
      </c>
      <c r="N330">
        <v>59.459395893279797</v>
      </c>
      <c r="O330">
        <v>53.298213426113399</v>
      </c>
      <c r="P330">
        <v>-4.6631872239965497E-2</v>
      </c>
      <c r="Q330">
        <v>0.382404080986818</v>
      </c>
      <c r="R330">
        <v>0.96927729880355695</v>
      </c>
      <c r="S330" t="s">
        <v>7333</v>
      </c>
      <c r="T330" t="s">
        <v>14004</v>
      </c>
      <c r="U330" t="s">
        <v>14004</v>
      </c>
      <c r="V330" t="s">
        <v>14004</v>
      </c>
      <c r="W330" t="s">
        <v>14331</v>
      </c>
      <c r="X330">
        <v>2</v>
      </c>
      <c r="Y330" t="s">
        <v>21268</v>
      </c>
      <c r="Z330" t="s">
        <v>28040</v>
      </c>
      <c r="AA330">
        <v>0.68445143228222538</v>
      </c>
      <c r="AB330" t="str">
        <f>HYPERLINK("Melting_Curves/meltCurve_C9JF66_TRAT1.pdf", "Melting_Curves/meltCurve_C9JF66_TRAT1.pdf")</f>
        <v>Melting_Curves/meltCurve_C9JF66_TRAT1.pdf</v>
      </c>
    </row>
    <row r="331" spans="1:28" x14ac:dyDescent="0.25">
      <c r="A331" t="s">
        <v>335</v>
      </c>
      <c r="B331">
        <v>0.99999676499088797</v>
      </c>
      <c r="C331">
        <v>1.0128088842002001</v>
      </c>
      <c r="D331">
        <v>1.0712357658342599</v>
      </c>
      <c r="E331">
        <v>1.13828561583156</v>
      </c>
      <c r="F331">
        <v>0.675001293006943</v>
      </c>
      <c r="G331">
        <v>0.26814019995446597</v>
      </c>
      <c r="H331">
        <v>0.13097755470691499</v>
      </c>
      <c r="I331">
        <v>0.116291674967351</v>
      </c>
      <c r="J331">
        <v>0.108407174884447</v>
      </c>
      <c r="K331">
        <v>9.3410260255026106E-2</v>
      </c>
      <c r="L331">
        <v>2197.9617132365001</v>
      </c>
      <c r="M331">
        <v>40.589585098767799</v>
      </c>
      <c r="N331">
        <v>54.502509514533202</v>
      </c>
      <c r="O331">
        <v>54.019926705534701</v>
      </c>
      <c r="P331">
        <v>-0.16620782258686501</v>
      </c>
      <c r="Q331">
        <v>0.115189936222147</v>
      </c>
      <c r="R331">
        <v>0.98210337667678305</v>
      </c>
      <c r="S331" t="s">
        <v>7334</v>
      </c>
      <c r="T331" t="s">
        <v>14004</v>
      </c>
      <c r="U331" t="s">
        <v>14004</v>
      </c>
      <c r="V331" t="s">
        <v>14004</v>
      </c>
      <c r="W331" t="s">
        <v>14332</v>
      </c>
      <c r="X331">
        <v>22</v>
      </c>
      <c r="Y331" t="s">
        <v>21269</v>
      </c>
      <c r="Z331" t="s">
        <v>28041</v>
      </c>
      <c r="AA331">
        <v>0.53576059067413007</v>
      </c>
      <c r="AB331" t="str">
        <f>HYPERLINK("Melting_Curves/meltCurve_C9JFE4_GPS1.pdf", "Melting_Curves/meltCurve_C9JFE4_GPS1.pdf")</f>
        <v>Melting_Curves/meltCurve_C9JFE4_GPS1.pdf</v>
      </c>
    </row>
    <row r="332" spans="1:28" x14ac:dyDescent="0.25">
      <c r="A332" t="s">
        <v>336</v>
      </c>
      <c r="B332">
        <v>0.99999676499088797</v>
      </c>
      <c r="C332">
        <v>0.98916994901635302</v>
      </c>
      <c r="D332">
        <v>1.1187769986393901</v>
      </c>
      <c r="E332">
        <v>1.0079319001568201</v>
      </c>
      <c r="F332">
        <v>0.829443912014175</v>
      </c>
      <c r="G332">
        <v>0.76861208336673204</v>
      </c>
      <c r="H332">
        <v>0.493285221580267</v>
      </c>
      <c r="I332">
        <v>0.46058849485893</v>
      </c>
      <c r="J332">
        <v>0.35788522979473297</v>
      </c>
      <c r="K332">
        <v>0.55633490673110098</v>
      </c>
      <c r="L332">
        <v>1367.72743245833</v>
      </c>
      <c r="M332">
        <v>24.168440472668902</v>
      </c>
      <c r="N332">
        <v>62.001173464189698</v>
      </c>
      <c r="O332">
        <v>56.208291545401501</v>
      </c>
      <c r="P332">
        <v>-6.0272945488264701E-2</v>
      </c>
      <c r="Q332">
        <v>0.43930395501902902</v>
      </c>
      <c r="R332">
        <v>0.92992186926965104</v>
      </c>
      <c r="S332" t="s">
        <v>7335</v>
      </c>
      <c r="T332" t="s">
        <v>14004</v>
      </c>
      <c r="U332" t="s">
        <v>14004</v>
      </c>
      <c r="V332" t="s">
        <v>14004</v>
      </c>
      <c r="W332" t="s">
        <v>14333</v>
      </c>
      <c r="X332">
        <v>12</v>
      </c>
      <c r="Y332" t="s">
        <v>21270</v>
      </c>
      <c r="Z332" t="s">
        <v>28042</v>
      </c>
      <c r="AA332">
        <v>0.75477339599536253</v>
      </c>
      <c r="AB332" t="str">
        <f>HYPERLINK("Melting_Curves/meltCurve_C9JFR7_CYCS.pdf", "Melting_Curves/meltCurve_C9JFR7_CYCS.pdf")</f>
        <v>Melting_Curves/meltCurve_C9JFR7_CYCS.pdf</v>
      </c>
    </row>
    <row r="333" spans="1:28" x14ac:dyDescent="0.25">
      <c r="A333" t="s">
        <v>337</v>
      </c>
      <c r="B333">
        <v>0.99999676499088797</v>
      </c>
      <c r="C333">
        <v>1.08043025351435</v>
      </c>
      <c r="D333">
        <v>1.101997267097</v>
      </c>
      <c r="E333">
        <v>0.93209881858822397</v>
      </c>
      <c r="F333">
        <v>0.52980924904406101</v>
      </c>
      <c r="G333">
        <v>0.43836270818802298</v>
      </c>
      <c r="H333">
        <v>0.232558061260763</v>
      </c>
      <c r="I333">
        <v>0.224588819817406</v>
      </c>
      <c r="J333">
        <v>0.26348624830693101</v>
      </c>
      <c r="K333">
        <v>0.19608897545357801</v>
      </c>
      <c r="L333">
        <v>1431.2317596406399</v>
      </c>
      <c r="M333">
        <v>27.003744206607202</v>
      </c>
      <c r="N333">
        <v>54.271474954348399</v>
      </c>
      <c r="O333">
        <v>52.713128649889001</v>
      </c>
      <c r="P333">
        <v>-9.8070791007995095E-2</v>
      </c>
      <c r="Q333">
        <v>0.23424440576941599</v>
      </c>
      <c r="R333">
        <v>0.97151665962554401</v>
      </c>
      <c r="S333" t="s">
        <v>7336</v>
      </c>
      <c r="T333" t="s">
        <v>14004</v>
      </c>
      <c r="U333" t="s">
        <v>14004</v>
      </c>
      <c r="V333" t="s">
        <v>14004</v>
      </c>
      <c r="W333" t="s">
        <v>14334</v>
      </c>
      <c r="X333">
        <v>2</v>
      </c>
      <c r="Y333" t="s">
        <v>21271</v>
      </c>
      <c r="Z333" t="s">
        <v>28043</v>
      </c>
      <c r="AA333">
        <v>0.57219381125976077</v>
      </c>
      <c r="AB333" t="str">
        <f>HYPERLINK("Melting_Curves/meltCurve_C9JG41_ITM2C.pdf", "Melting_Curves/meltCurve_C9JG41_ITM2C.pdf")</f>
        <v>Melting_Curves/meltCurve_C9JG41_ITM2C.pdf</v>
      </c>
    </row>
    <row r="334" spans="1:28" x14ac:dyDescent="0.25">
      <c r="A334" t="s">
        <v>338</v>
      </c>
      <c r="B334">
        <v>0.99999676499088797</v>
      </c>
      <c r="C334">
        <v>0.953018535472407</v>
      </c>
      <c r="D334">
        <v>0.91696032237524505</v>
      </c>
      <c r="E334">
        <v>0.85884469881335601</v>
      </c>
      <c r="F334">
        <v>0.75048673658967202</v>
      </c>
      <c r="G334">
        <v>0.57244184249150698</v>
      </c>
      <c r="H334">
        <v>0.29873340929116998</v>
      </c>
      <c r="I334">
        <v>0.122163549500672</v>
      </c>
      <c r="J334">
        <v>8.4925794975467803E-2</v>
      </c>
      <c r="K334">
        <v>6.8484225389993603E-2</v>
      </c>
      <c r="L334">
        <v>833.95489521293098</v>
      </c>
      <c r="M334">
        <v>14.594042613285399</v>
      </c>
      <c r="N334">
        <v>57.1435151794796</v>
      </c>
      <c r="O334">
        <v>56.1027527711638</v>
      </c>
      <c r="P334">
        <v>-6.5039964729905198E-2</v>
      </c>
      <c r="Q334">
        <v>0</v>
      </c>
      <c r="R334">
        <v>0.991031668828668</v>
      </c>
      <c r="S334" t="s">
        <v>7337</v>
      </c>
      <c r="T334" t="s">
        <v>14004</v>
      </c>
      <c r="U334" t="s">
        <v>14004</v>
      </c>
      <c r="V334" t="s">
        <v>14004</v>
      </c>
      <c r="W334" t="s">
        <v>14335</v>
      </c>
      <c r="X334">
        <v>12</v>
      </c>
      <c r="Y334" t="s">
        <v>21272</v>
      </c>
      <c r="Z334" t="s">
        <v>28044</v>
      </c>
      <c r="AA334">
        <v>0.58716697498573522</v>
      </c>
      <c r="AB334" t="str">
        <f>HYPERLINK("Melting_Curves/meltCurve_C9JG97_AAMP.pdf", "Melting_Curves/meltCurve_C9JG97_AAMP.pdf")</f>
        <v>Melting_Curves/meltCurve_C9JG97_AAMP.pdf</v>
      </c>
    </row>
    <row r="335" spans="1:28" x14ac:dyDescent="0.25">
      <c r="A335" t="s">
        <v>339</v>
      </c>
      <c r="B335">
        <v>0.99999676499088797</v>
      </c>
      <c r="C335">
        <v>1.01832601579673</v>
      </c>
      <c r="D335">
        <v>1.00116017000899</v>
      </c>
      <c r="E335">
        <v>1.1047920629425101</v>
      </c>
      <c r="F335">
        <v>1.11454293246473</v>
      </c>
      <c r="G335">
        <v>1.0186542223511099</v>
      </c>
      <c r="H335">
        <v>0.62139889560523898</v>
      </c>
      <c r="I335">
        <v>0.340945890980275</v>
      </c>
      <c r="J335">
        <v>0.15134092590911</v>
      </c>
      <c r="K335">
        <v>0.120866358201605</v>
      </c>
      <c r="L335">
        <v>2190.8056990201198</v>
      </c>
      <c r="M335">
        <v>35.568964624876202</v>
      </c>
      <c r="N335">
        <v>62.0621340020082</v>
      </c>
      <c r="O335">
        <v>61.399464113087902</v>
      </c>
      <c r="P335">
        <v>-0.12776054522628999</v>
      </c>
      <c r="Q335">
        <v>0.117837348379808</v>
      </c>
      <c r="R335">
        <v>0.97810198175665797</v>
      </c>
      <c r="S335" t="s">
        <v>7338</v>
      </c>
      <c r="T335" t="s">
        <v>14004</v>
      </c>
      <c r="U335" t="s">
        <v>14004</v>
      </c>
      <c r="V335" t="s">
        <v>14004</v>
      </c>
      <c r="W335" t="s">
        <v>14336</v>
      </c>
      <c r="X335">
        <v>30</v>
      </c>
      <c r="Y335" t="s">
        <v>21273</v>
      </c>
      <c r="Z335" t="s">
        <v>28045</v>
      </c>
      <c r="AA335">
        <v>0.75657990955979337</v>
      </c>
      <c r="AB335" t="str">
        <f>HYPERLINK("Melting_Curves/meltCurve_C9JIF9_APEH.pdf", "Melting_Curves/meltCurve_C9JIF9_APEH.pdf")</f>
        <v>Melting_Curves/meltCurve_C9JIF9_APEH.pdf</v>
      </c>
    </row>
    <row r="336" spans="1:28" x14ac:dyDescent="0.25">
      <c r="A336" t="s">
        <v>340</v>
      </c>
      <c r="B336">
        <v>0.99999676499088797</v>
      </c>
      <c r="C336">
        <v>0.92075616747857403</v>
      </c>
      <c r="D336">
        <v>0.97982188634407896</v>
      </c>
      <c r="E336">
        <v>1.0329367295475</v>
      </c>
      <c r="F336">
        <v>0.99823355281673798</v>
      </c>
      <c r="G336">
        <v>0.93112661715884903</v>
      </c>
      <c r="H336">
        <v>0.63926460490889603</v>
      </c>
      <c r="I336">
        <v>0.71228280565469904</v>
      </c>
      <c r="J336">
        <v>0.66657836496107603</v>
      </c>
      <c r="K336">
        <v>0.89250730871136297</v>
      </c>
      <c r="L336">
        <v>14261.527974676899</v>
      </c>
      <c r="M336">
        <v>250</v>
      </c>
      <c r="O336">
        <v>57.042450778447403</v>
      </c>
      <c r="P336">
        <v>-0.29839803352265498</v>
      </c>
      <c r="Q336">
        <v>0.72765826758224095</v>
      </c>
      <c r="R336">
        <v>0.76365917143930695</v>
      </c>
      <c r="S336" t="s">
        <v>7339</v>
      </c>
      <c r="T336" t="s">
        <v>14004</v>
      </c>
      <c r="U336" t="s">
        <v>14004</v>
      </c>
      <c r="V336" t="s">
        <v>14004</v>
      </c>
      <c r="W336" t="s">
        <v>14337</v>
      </c>
      <c r="X336">
        <v>22</v>
      </c>
      <c r="Y336" t="s">
        <v>21274</v>
      </c>
      <c r="Z336" t="s">
        <v>28046</v>
      </c>
      <c r="AA336">
        <v>0.8824311212679804</v>
      </c>
      <c r="AB336" t="str">
        <f>HYPERLINK("Melting_Curves/meltCurve_C9JIZ6_PSAP.pdf", "Melting_Curves/meltCurve_C9JIZ6_PSAP.pdf")</f>
        <v>Melting_Curves/meltCurve_C9JIZ6_PSAP.pdf</v>
      </c>
    </row>
    <row r="337" spans="1:28" x14ac:dyDescent="0.25">
      <c r="A337" t="s">
        <v>341</v>
      </c>
      <c r="B337">
        <v>0.99999676499088797</v>
      </c>
      <c r="C337">
        <v>1.08094458541465</v>
      </c>
      <c r="D337">
        <v>1.4137548778401099</v>
      </c>
      <c r="E337">
        <v>1.75953975265783</v>
      </c>
      <c r="F337">
        <v>0.343756537522935</v>
      </c>
      <c r="G337">
        <v>0.29705474491799599</v>
      </c>
      <c r="H337">
        <v>0.156858040485509</v>
      </c>
      <c r="I337">
        <v>0.115866984403319</v>
      </c>
      <c r="J337">
        <v>0.149708255393143</v>
      </c>
      <c r="K337">
        <v>0.15231878538208099</v>
      </c>
      <c r="L337">
        <v>13227.9515073646</v>
      </c>
      <c r="M337">
        <v>250</v>
      </c>
      <c r="N337">
        <v>53.002715093873199</v>
      </c>
      <c r="O337">
        <v>52.908435834517</v>
      </c>
      <c r="P337">
        <v>-0.975315799042208</v>
      </c>
      <c r="Q337">
        <v>0.17436131257599699</v>
      </c>
      <c r="R337">
        <v>0.76999027373897699</v>
      </c>
      <c r="S337" t="s">
        <v>7340</v>
      </c>
      <c r="T337" t="s">
        <v>14004</v>
      </c>
      <c r="U337" t="s">
        <v>14004</v>
      </c>
      <c r="V337" t="s">
        <v>14004</v>
      </c>
      <c r="W337" t="s">
        <v>14338</v>
      </c>
      <c r="X337">
        <v>4</v>
      </c>
      <c r="Y337" t="s">
        <v>21275</v>
      </c>
      <c r="Z337" t="s">
        <v>28047</v>
      </c>
      <c r="AA337">
        <v>0.5297875336337482</v>
      </c>
      <c r="AB337" t="str">
        <f>HYPERLINK("Melting_Curves/meltCurve_C9JJ19_MRPS34.pdf", "Melting_Curves/meltCurve_C9JJ19_MRPS34.pdf")</f>
        <v>Melting_Curves/meltCurve_C9JJ19_MRPS34.pdf</v>
      </c>
    </row>
    <row r="338" spans="1:28" x14ac:dyDescent="0.25">
      <c r="A338" t="s">
        <v>342</v>
      </c>
      <c r="B338">
        <v>0.99999676499088797</v>
      </c>
      <c r="C338">
        <v>1.04087665148736</v>
      </c>
      <c r="D338">
        <v>0.90100226527025695</v>
      </c>
      <c r="E338">
        <v>0.51951444003565195</v>
      </c>
      <c r="F338">
        <v>0.24392203939165899</v>
      </c>
      <c r="G338">
        <v>0.21248484161994</v>
      </c>
      <c r="H338">
        <v>0.10596856955439</v>
      </c>
      <c r="I338">
        <v>0.112830161268306</v>
      </c>
      <c r="J338">
        <v>0.104774238717098</v>
      </c>
      <c r="K338">
        <v>9.0787775753935096E-2</v>
      </c>
      <c r="L338">
        <v>1276.2891027414901</v>
      </c>
      <c r="M338">
        <v>25.813184275679099</v>
      </c>
      <c r="N338">
        <v>49.9541199214447</v>
      </c>
      <c r="O338">
        <v>49.149425717044203</v>
      </c>
      <c r="P338">
        <v>-0.11607099256789601</v>
      </c>
      <c r="Q338">
        <v>0.115993599241125</v>
      </c>
      <c r="R338">
        <v>0.99339700576410594</v>
      </c>
      <c r="S338" t="s">
        <v>7341</v>
      </c>
      <c r="T338" t="s">
        <v>14004</v>
      </c>
      <c r="U338" t="s">
        <v>14004</v>
      </c>
      <c r="V338" t="s">
        <v>14004</v>
      </c>
      <c r="W338" t="s">
        <v>14339</v>
      </c>
      <c r="X338">
        <v>2</v>
      </c>
      <c r="Y338" t="s">
        <v>21276</v>
      </c>
      <c r="Z338" t="s">
        <v>28048</v>
      </c>
      <c r="AA338">
        <v>0.40162164218421642</v>
      </c>
      <c r="AB338" t="str">
        <f>HYPERLINK("Melting_Curves/meltCurve_C9JJN9_VPS8.pdf", "Melting_Curves/meltCurve_C9JJN9_VPS8.pdf")</f>
        <v>Melting_Curves/meltCurve_C9JJN9_VPS8.pdf</v>
      </c>
    </row>
    <row r="339" spans="1:28" x14ac:dyDescent="0.25">
      <c r="A339" t="s">
        <v>343</v>
      </c>
      <c r="B339">
        <v>0.99999676499088797</v>
      </c>
      <c r="C339">
        <v>1.01540408316521</v>
      </c>
      <c r="D339">
        <v>1.00622052742386</v>
      </c>
      <c r="E339">
        <v>1.0910371034277799</v>
      </c>
      <c r="F339">
        <v>1.0158287177946801</v>
      </c>
      <c r="G339">
        <v>0.87460890832375704</v>
      </c>
      <c r="H339">
        <v>0.40572968521097502</v>
      </c>
      <c r="I339">
        <v>0.246720578347395</v>
      </c>
      <c r="J339">
        <v>0.27163840471816803</v>
      </c>
      <c r="K339">
        <v>0.23641952747450301</v>
      </c>
      <c r="L339">
        <v>2605.7477561639198</v>
      </c>
      <c r="M339">
        <v>44.208783251028898</v>
      </c>
      <c r="N339">
        <v>59.849730516076903</v>
      </c>
      <c r="O339">
        <v>58.821634881224199</v>
      </c>
      <c r="P339">
        <v>-0.14199075797972799</v>
      </c>
      <c r="Q339">
        <v>0.24430250630751499</v>
      </c>
      <c r="R339">
        <v>0.99187462378601898</v>
      </c>
      <c r="S339" t="s">
        <v>7342</v>
      </c>
      <c r="T339" t="s">
        <v>14004</v>
      </c>
      <c r="U339" t="s">
        <v>14004</v>
      </c>
      <c r="V339" t="s">
        <v>14004</v>
      </c>
      <c r="W339" t="s">
        <v>14340</v>
      </c>
      <c r="X339">
        <v>2</v>
      </c>
      <c r="Y339" t="s">
        <v>21277</v>
      </c>
      <c r="Z339" t="s">
        <v>28049</v>
      </c>
      <c r="AA339">
        <v>0.72391705990649602</v>
      </c>
      <c r="AB339" t="str">
        <f>HYPERLINK("Melting_Curves/meltCurve_C9JJU1_SLC38A5.pdf", "Melting_Curves/meltCurve_C9JJU1_SLC38A5.pdf")</f>
        <v>Melting_Curves/meltCurve_C9JJU1_SLC38A5.pdf</v>
      </c>
    </row>
    <row r="340" spans="1:28" x14ac:dyDescent="0.25">
      <c r="A340" t="s">
        <v>344</v>
      </c>
      <c r="B340">
        <v>0.99999676499088797</v>
      </c>
      <c r="C340">
        <v>0.88615973409145798</v>
      </c>
      <c r="D340">
        <v>0.88095110849212199</v>
      </c>
      <c r="E340">
        <v>0.78614806439848095</v>
      </c>
      <c r="F340">
        <v>0.54504075740620594</v>
      </c>
      <c r="G340">
        <v>0.48123130594070601</v>
      </c>
      <c r="H340">
        <v>0.28986451140262098</v>
      </c>
      <c r="I340">
        <v>0.120077724613717</v>
      </c>
      <c r="J340">
        <v>8.50604125449239E-2</v>
      </c>
      <c r="K340">
        <v>0.12317862281051301</v>
      </c>
      <c r="L340">
        <v>583.67399506275103</v>
      </c>
      <c r="M340">
        <v>10.616230929961199</v>
      </c>
      <c r="N340">
        <v>54.979398879340401</v>
      </c>
      <c r="O340">
        <v>53.136209511575203</v>
      </c>
      <c r="P340">
        <v>-4.9967512824192102E-2</v>
      </c>
      <c r="Q340">
        <v>0</v>
      </c>
      <c r="R340">
        <v>0.98326848069830297</v>
      </c>
      <c r="S340" t="s">
        <v>7343</v>
      </c>
      <c r="T340" t="s">
        <v>14004</v>
      </c>
      <c r="U340" t="s">
        <v>14004</v>
      </c>
      <c r="V340" t="s">
        <v>14004</v>
      </c>
      <c r="W340" t="s">
        <v>14341</v>
      </c>
      <c r="X340">
        <v>5</v>
      </c>
      <c r="Y340" t="s">
        <v>21278</v>
      </c>
      <c r="Z340" t="s">
        <v>28050</v>
      </c>
      <c r="AA340">
        <v>0.52459686302633024</v>
      </c>
      <c r="AB340" t="str">
        <f>HYPERLINK("Melting_Curves/meltCurve_C9JLU1_POLR2H.pdf", "Melting_Curves/meltCurve_C9JLU1_POLR2H.pdf")</f>
        <v>Melting_Curves/meltCurve_C9JLU1_POLR2H.pdf</v>
      </c>
    </row>
    <row r="341" spans="1:28" x14ac:dyDescent="0.25">
      <c r="A341" t="s">
        <v>345</v>
      </c>
      <c r="B341">
        <v>0.99999676499088797</v>
      </c>
      <c r="C341">
        <v>0.94322215540753096</v>
      </c>
      <c r="D341">
        <v>0.88636835213217202</v>
      </c>
      <c r="E341">
        <v>0.39124210120035402</v>
      </c>
      <c r="F341">
        <v>0.176317344372456</v>
      </c>
      <c r="G341">
        <v>0.145935823261646</v>
      </c>
      <c r="H341">
        <v>7.4395997481776693E-2</v>
      </c>
      <c r="I341">
        <v>0</v>
      </c>
      <c r="J341">
        <v>3.9165500128988798E-2</v>
      </c>
      <c r="K341">
        <v>0</v>
      </c>
      <c r="L341">
        <v>1238.92032381991</v>
      </c>
      <c r="M341">
        <v>25.348286379383602</v>
      </c>
      <c r="N341">
        <v>49.056490596487201</v>
      </c>
      <c r="O341">
        <v>48.574754075311198</v>
      </c>
      <c r="P341">
        <v>-0.124650291807195</v>
      </c>
      <c r="Q341">
        <v>4.4546085032568503E-2</v>
      </c>
      <c r="R341">
        <v>0.98962529719654702</v>
      </c>
      <c r="S341" t="s">
        <v>7344</v>
      </c>
      <c r="T341" t="s">
        <v>14004</v>
      </c>
      <c r="U341" t="s">
        <v>14004</v>
      </c>
      <c r="V341" t="s">
        <v>14004</v>
      </c>
      <c r="W341" t="s">
        <v>14342</v>
      </c>
      <c r="X341">
        <v>2</v>
      </c>
      <c r="Y341" t="s">
        <v>21279</v>
      </c>
      <c r="Z341" t="s">
        <v>28051</v>
      </c>
      <c r="AA341">
        <v>0.33545166184496727</v>
      </c>
      <c r="AB341" t="str">
        <f>HYPERLINK("Melting_Curves/meltCurve_C9JLV4_APAF1.pdf", "Melting_Curves/meltCurve_C9JLV4_APAF1.pdf")</f>
        <v>Melting_Curves/meltCurve_C9JLV4_APAF1.pdf</v>
      </c>
    </row>
    <row r="342" spans="1:28" x14ac:dyDescent="0.25">
      <c r="A342" t="s">
        <v>346</v>
      </c>
      <c r="B342">
        <v>0.99999676499088797</v>
      </c>
      <c r="C342">
        <v>0.93691316174919603</v>
      </c>
      <c r="D342">
        <v>0.80743020359945605</v>
      </c>
      <c r="E342">
        <v>0.45831495792471</v>
      </c>
      <c r="F342">
        <v>0.21687598150113799</v>
      </c>
      <c r="G342">
        <v>0.15578577094981799</v>
      </c>
      <c r="H342">
        <v>7.9771424676996605E-2</v>
      </c>
      <c r="I342">
        <v>7.3199885706556597E-2</v>
      </c>
      <c r="J342">
        <v>6.2605439123179105E-2</v>
      </c>
      <c r="K342">
        <v>5.2968871808528002E-2</v>
      </c>
      <c r="L342">
        <v>965.36612725873601</v>
      </c>
      <c r="M342">
        <v>19.726717283139401</v>
      </c>
      <c r="N342">
        <v>49.278987271933303</v>
      </c>
      <c r="O342">
        <v>48.4424163620249</v>
      </c>
      <c r="P342">
        <v>-9.5295459615225897E-2</v>
      </c>
      <c r="Q342">
        <v>6.3973269016123796E-2</v>
      </c>
      <c r="R342">
        <v>0.99850434586923298</v>
      </c>
      <c r="S342" t="s">
        <v>7345</v>
      </c>
      <c r="T342" t="s">
        <v>14004</v>
      </c>
      <c r="U342" t="s">
        <v>14004</v>
      </c>
      <c r="V342" t="s">
        <v>14004</v>
      </c>
      <c r="W342" t="s">
        <v>14343</v>
      </c>
      <c r="X342">
        <v>8</v>
      </c>
      <c r="Y342" t="s">
        <v>21280</v>
      </c>
      <c r="Z342" t="s">
        <v>28052</v>
      </c>
      <c r="AA342">
        <v>0.3563075410852804</v>
      </c>
      <c r="AB342" t="str">
        <f>HYPERLINK("Melting_Curves/meltCurve_C9JNE2_OARD1.pdf", "Melting_Curves/meltCurve_C9JNE2_OARD1.pdf")</f>
        <v>Melting_Curves/meltCurve_C9JNE2_OARD1.pdf</v>
      </c>
    </row>
    <row r="343" spans="1:28" x14ac:dyDescent="0.25">
      <c r="A343" t="s">
        <v>347</v>
      </c>
      <c r="B343">
        <v>0.99999676499088797</v>
      </c>
      <c r="C343">
        <v>0.97507030666259398</v>
      </c>
      <c r="D343">
        <v>0.89952516639500002</v>
      </c>
      <c r="E343">
        <v>0.82857055011546099</v>
      </c>
      <c r="F343">
        <v>0.4322571653665</v>
      </c>
      <c r="G343">
        <v>0.25747514353906398</v>
      </c>
      <c r="H343">
        <v>0.168986104317353</v>
      </c>
      <c r="I343">
        <v>0.192785800498843</v>
      </c>
      <c r="J343">
        <v>0.20941392304116699</v>
      </c>
      <c r="K343">
        <v>0.26500015220610101</v>
      </c>
      <c r="L343">
        <v>1480.5546804809201</v>
      </c>
      <c r="M343">
        <v>28.714586933679399</v>
      </c>
      <c r="N343">
        <v>52.528191980313103</v>
      </c>
      <c r="O343">
        <v>51.312923044453299</v>
      </c>
      <c r="P343">
        <v>-0.111177370730942</v>
      </c>
      <c r="Q343">
        <v>0.20531084988745901</v>
      </c>
      <c r="R343">
        <v>0.98884150718511099</v>
      </c>
      <c r="S343" t="s">
        <v>7346</v>
      </c>
      <c r="T343" t="s">
        <v>14004</v>
      </c>
      <c r="U343" t="s">
        <v>14004</v>
      </c>
      <c r="V343" t="s">
        <v>14004</v>
      </c>
      <c r="W343" t="s">
        <v>14344</v>
      </c>
      <c r="X343">
        <v>12</v>
      </c>
      <c r="Y343" t="s">
        <v>21281</v>
      </c>
      <c r="Z343" t="s">
        <v>28053</v>
      </c>
      <c r="AA343">
        <v>0.51706023035804294</v>
      </c>
      <c r="AB343" t="str">
        <f>HYPERLINK("Melting_Curves/meltCurve_C9JP00_MBNL1.pdf", "Melting_Curves/meltCurve_C9JP00_MBNL1.pdf")</f>
        <v>Melting_Curves/meltCurve_C9JP00_MBNL1.pdf</v>
      </c>
    </row>
    <row r="344" spans="1:28" x14ac:dyDescent="0.25">
      <c r="A344" t="s">
        <v>348</v>
      </c>
      <c r="B344">
        <v>0.99999676499088797</v>
      </c>
      <c r="C344">
        <v>0.97902322503962202</v>
      </c>
      <c r="D344">
        <v>0.97197599963562697</v>
      </c>
      <c r="E344">
        <v>0.67057680944743203</v>
      </c>
      <c r="F344">
        <v>0.32208558972109103</v>
      </c>
      <c r="G344">
        <v>0.30559642826272698</v>
      </c>
      <c r="H344">
        <v>0.13903417476439001</v>
      </c>
      <c r="I344">
        <v>0.16622106841092099</v>
      </c>
      <c r="J344">
        <v>0.16090710836219699</v>
      </c>
      <c r="K344">
        <v>0.13612672994192501</v>
      </c>
      <c r="L344">
        <v>1240.80294844532</v>
      </c>
      <c r="M344">
        <v>24.534455994263698</v>
      </c>
      <c r="N344">
        <v>51.3861854559918</v>
      </c>
      <c r="O344">
        <v>50.241495258374997</v>
      </c>
      <c r="P344">
        <v>-0.102460983143058</v>
      </c>
      <c r="Q344">
        <v>0.16073649044327501</v>
      </c>
      <c r="R344">
        <v>0.98992836026257303</v>
      </c>
      <c r="S344" t="s">
        <v>7347</v>
      </c>
      <c r="T344" t="s">
        <v>14004</v>
      </c>
      <c r="U344" t="s">
        <v>14004</v>
      </c>
      <c r="V344" t="s">
        <v>14004</v>
      </c>
      <c r="W344" t="s">
        <v>14345</v>
      </c>
      <c r="X344">
        <v>3</v>
      </c>
      <c r="Y344" t="s">
        <v>21282</v>
      </c>
      <c r="Z344" t="s">
        <v>28054</v>
      </c>
      <c r="AA344">
        <v>0.46437928736240358</v>
      </c>
      <c r="AB344" t="str">
        <f>HYPERLINK("Melting_Curves/meltCurve_C9JP16_CRTAP.pdf", "Melting_Curves/meltCurve_C9JP16_CRTAP.pdf")</f>
        <v>Melting_Curves/meltCurve_C9JP16_CRTAP.pdf</v>
      </c>
    </row>
    <row r="345" spans="1:28" x14ac:dyDescent="0.25">
      <c r="A345" t="s">
        <v>349</v>
      </c>
      <c r="B345">
        <v>0.99999676499088797</v>
      </c>
      <c r="C345">
        <v>1.0524688170118599</v>
      </c>
      <c r="D345">
        <v>0.92193870125928101</v>
      </c>
      <c r="E345">
        <v>0.74298599220467998</v>
      </c>
      <c r="F345">
        <v>0.25116780481067202</v>
      </c>
      <c r="G345">
        <v>0.17842240487269001</v>
      </c>
      <c r="H345">
        <v>9.0117991833165198E-2</v>
      </c>
      <c r="I345">
        <v>6.7576832540708398E-2</v>
      </c>
      <c r="J345">
        <v>5.7498914674808103E-2</v>
      </c>
      <c r="K345">
        <v>3.4542512400401799E-2</v>
      </c>
      <c r="L345">
        <v>1458.5282698178301</v>
      </c>
      <c r="M345">
        <v>28.5723845492506</v>
      </c>
      <c r="N345">
        <v>51.307941540409701</v>
      </c>
      <c r="O345">
        <v>50.798692558407403</v>
      </c>
      <c r="P345">
        <v>-0.13110034383881899</v>
      </c>
      <c r="Q345">
        <v>6.7676923494287403E-2</v>
      </c>
      <c r="R345">
        <v>0.99277361982691603</v>
      </c>
      <c r="S345" t="s">
        <v>7348</v>
      </c>
      <c r="T345" t="s">
        <v>14004</v>
      </c>
      <c r="U345" t="s">
        <v>14004</v>
      </c>
      <c r="V345" t="s">
        <v>14004</v>
      </c>
      <c r="W345" t="s">
        <v>14346</v>
      </c>
      <c r="X345">
        <v>3</v>
      </c>
      <c r="Y345" t="s">
        <v>21283</v>
      </c>
      <c r="Z345" t="s">
        <v>28055</v>
      </c>
      <c r="AA345">
        <v>0.41744950034228429</v>
      </c>
      <c r="AB345" t="str">
        <f>HYPERLINK("Melting_Curves/meltCurve_C9JPL0_CCNL1.pdf", "Melting_Curves/meltCurve_C9JPL0_CCNL1.pdf")</f>
        <v>Melting_Curves/meltCurve_C9JPL0_CCNL1.pdf</v>
      </c>
    </row>
    <row r="346" spans="1:28" x14ac:dyDescent="0.25">
      <c r="A346" t="s">
        <v>350</v>
      </c>
      <c r="B346">
        <v>0.99999676499088797</v>
      </c>
      <c r="C346">
        <v>0.90656398780033498</v>
      </c>
      <c r="D346">
        <v>0.79452695881311497</v>
      </c>
      <c r="E346">
        <v>0.50361605503906604</v>
      </c>
      <c r="F346">
        <v>0.24968307362585099</v>
      </c>
      <c r="G346">
        <v>0.15572482626313</v>
      </c>
      <c r="H346">
        <v>6.1697923546378299E-2</v>
      </c>
      <c r="I346">
        <v>7.3494295141576196E-2</v>
      </c>
      <c r="J346">
        <v>6.2322648786321801E-2</v>
      </c>
      <c r="K346">
        <v>5.6453084969869297E-2</v>
      </c>
      <c r="L346">
        <v>842.61419282920303</v>
      </c>
      <c r="M346">
        <v>17.086595198044598</v>
      </c>
      <c r="N346">
        <v>49.608612579457699</v>
      </c>
      <c r="O346">
        <v>48.653724696375797</v>
      </c>
      <c r="P346">
        <v>-8.3570733107231801E-2</v>
      </c>
      <c r="Q346">
        <v>4.8193955650876703E-2</v>
      </c>
      <c r="R346">
        <v>0.998472200989173</v>
      </c>
      <c r="S346" t="s">
        <v>7349</v>
      </c>
      <c r="T346" t="s">
        <v>14004</v>
      </c>
      <c r="U346" t="s">
        <v>14004</v>
      </c>
      <c r="V346" t="s">
        <v>14004</v>
      </c>
      <c r="W346" t="s">
        <v>14347</v>
      </c>
      <c r="X346">
        <v>4</v>
      </c>
      <c r="Y346" t="s">
        <v>21284</v>
      </c>
      <c r="Z346" t="s">
        <v>28056</v>
      </c>
      <c r="AA346">
        <v>0.36185664078416802</v>
      </c>
      <c r="AB346" t="str">
        <f>HYPERLINK("Melting_Curves/meltCurve_C9JPP2_NKIRAS2.pdf", "Melting_Curves/meltCurve_C9JPP2_NKIRAS2.pdf")</f>
        <v>Melting_Curves/meltCurve_C9JPP2_NKIRAS2.pdf</v>
      </c>
    </row>
    <row r="347" spans="1:28" x14ac:dyDescent="0.25">
      <c r="A347" t="s">
        <v>351</v>
      </c>
      <c r="B347">
        <v>0.99999676499088797</v>
      </c>
      <c r="C347">
        <v>1.0786461995437899</v>
      </c>
      <c r="D347">
        <v>0.98800251831241703</v>
      </c>
      <c r="E347">
        <v>0.91007714842813903</v>
      </c>
      <c r="F347">
        <v>0.77360364571668006</v>
      </c>
      <c r="G347">
        <v>0.60894226524508499</v>
      </c>
      <c r="H347">
        <v>0.36900468761008198</v>
      </c>
      <c r="I347">
        <v>0.36919864240183098</v>
      </c>
      <c r="J347">
        <v>0.43006594645352503</v>
      </c>
      <c r="K347">
        <v>0.35684367517774801</v>
      </c>
      <c r="L347">
        <v>1146.9131309710299</v>
      </c>
      <c r="M347">
        <v>20.918645386618</v>
      </c>
      <c r="N347">
        <v>58.338124731096798</v>
      </c>
      <c r="O347">
        <v>54.333642791018299</v>
      </c>
      <c r="P347">
        <v>-6.17931402485506E-2</v>
      </c>
      <c r="Q347">
        <v>0.35801677506250401</v>
      </c>
      <c r="R347">
        <v>0.97877513058304599</v>
      </c>
      <c r="S347" t="s">
        <v>7350</v>
      </c>
      <c r="T347" t="s">
        <v>14004</v>
      </c>
      <c r="U347" t="s">
        <v>14004</v>
      </c>
      <c r="V347" t="s">
        <v>14004</v>
      </c>
      <c r="W347" t="s">
        <v>14348</v>
      </c>
      <c r="X347">
        <v>2</v>
      </c>
      <c r="Y347" t="s">
        <v>21285</v>
      </c>
      <c r="Z347" t="s">
        <v>28057</v>
      </c>
      <c r="AA347">
        <v>0.68332178426287959</v>
      </c>
      <c r="AB347" t="str">
        <f>HYPERLINK("Melting_Curves/meltCurve_C9JPX5_STARD3NL.pdf", "Melting_Curves/meltCurve_C9JPX5_STARD3NL.pdf")</f>
        <v>Melting_Curves/meltCurve_C9JPX5_STARD3NL.pdf</v>
      </c>
    </row>
    <row r="348" spans="1:28" x14ac:dyDescent="0.25">
      <c r="A348" t="s">
        <v>352</v>
      </c>
      <c r="B348">
        <v>0.99999676499088797</v>
      </c>
      <c r="C348">
        <v>1.0351426040659399</v>
      </c>
      <c r="D348">
        <v>1.01184772139878</v>
      </c>
      <c r="E348">
        <v>0.82226687664623899</v>
      </c>
      <c r="F348">
        <v>0.98978385795088897</v>
      </c>
      <c r="G348">
        <v>0.717302070880246</v>
      </c>
      <c r="H348">
        <v>0.45729263426357802</v>
      </c>
      <c r="I348">
        <v>0.39776619401694602</v>
      </c>
      <c r="J348">
        <v>0.25638383833320799</v>
      </c>
      <c r="K348">
        <v>0.199231385559796</v>
      </c>
      <c r="L348">
        <v>950.71455353277702</v>
      </c>
      <c r="M348">
        <v>15.948220874933</v>
      </c>
      <c r="N348">
        <v>60.815120165130203</v>
      </c>
      <c r="O348">
        <v>58.698926168005599</v>
      </c>
      <c r="P348">
        <v>-5.8742787769643798E-2</v>
      </c>
      <c r="Q348">
        <v>0.13523527058363999</v>
      </c>
      <c r="R348">
        <v>0.96294368516218398</v>
      </c>
      <c r="S348" t="s">
        <v>7351</v>
      </c>
      <c r="T348" t="s">
        <v>14004</v>
      </c>
      <c r="U348" t="s">
        <v>14004</v>
      </c>
      <c r="V348" t="s">
        <v>14004</v>
      </c>
      <c r="W348" t="s">
        <v>14349</v>
      </c>
      <c r="X348">
        <v>12</v>
      </c>
      <c r="Y348" t="s">
        <v>21286</v>
      </c>
      <c r="Z348" t="s">
        <v>28058</v>
      </c>
      <c r="AA348">
        <v>0.70822431483761927</v>
      </c>
      <c r="AB348" t="str">
        <f>HYPERLINK("Melting_Curves/meltCurve_C9JQ41_CCDC58.pdf", "Melting_Curves/meltCurve_C9JQ41_CCDC58.pdf")</f>
        <v>Melting_Curves/meltCurve_C9JQ41_CCDC58.pdf</v>
      </c>
    </row>
    <row r="349" spans="1:28" x14ac:dyDescent="0.25">
      <c r="A349" t="s">
        <v>353</v>
      </c>
      <c r="B349">
        <v>0.99999676499088797</v>
      </c>
      <c r="C349">
        <v>0.76670863642481202</v>
      </c>
      <c r="D349">
        <v>0.76109600065995697</v>
      </c>
      <c r="E349">
        <v>0.40089212214785303</v>
      </c>
      <c r="F349">
        <v>0.41411304942944299</v>
      </c>
      <c r="G349">
        <v>0.29196061759761599</v>
      </c>
      <c r="H349">
        <v>0.30536368710480499</v>
      </c>
      <c r="I349">
        <v>0.13658479356973199</v>
      </c>
      <c r="J349">
        <v>0.13933147232117801</v>
      </c>
      <c r="K349">
        <v>0.127537564709434</v>
      </c>
      <c r="L349">
        <v>515.93290261630102</v>
      </c>
      <c r="M349">
        <v>10.5988181542318</v>
      </c>
      <c r="N349">
        <v>49.927180296447602</v>
      </c>
      <c r="O349">
        <v>47.041331339160301</v>
      </c>
      <c r="P349">
        <v>-4.9787841794281799E-2</v>
      </c>
      <c r="Q349">
        <v>0.11643926923279101</v>
      </c>
      <c r="R349">
        <v>0.95006194189848103</v>
      </c>
      <c r="S349" t="s">
        <v>7352</v>
      </c>
      <c r="T349" t="s">
        <v>14004</v>
      </c>
      <c r="U349" t="s">
        <v>14004</v>
      </c>
      <c r="V349" t="s">
        <v>14004</v>
      </c>
      <c r="W349" t="s">
        <v>14350</v>
      </c>
      <c r="X349">
        <v>1</v>
      </c>
      <c r="Y349" t="s">
        <v>21287</v>
      </c>
      <c r="Z349" t="s">
        <v>28059</v>
      </c>
      <c r="AA349">
        <v>0.41260594798880429</v>
      </c>
      <c r="AB349" t="str">
        <f>HYPERLINK("Melting_Curves/meltCurve_C9JQV0_C7orf50.pdf", "Melting_Curves/meltCurve_C9JQV0_C7orf50.pdf")</f>
        <v>Melting_Curves/meltCurve_C9JQV0_C7orf50.pdf</v>
      </c>
    </row>
    <row r="350" spans="1:28" x14ac:dyDescent="0.25">
      <c r="A350" t="s">
        <v>354</v>
      </c>
      <c r="B350">
        <v>0.99999676499088797</v>
      </c>
      <c r="C350">
        <v>0.987670051022981</v>
      </c>
      <c r="D350">
        <v>1.0274422013375899</v>
      </c>
      <c r="E350">
        <v>0.95017803435150505</v>
      </c>
      <c r="F350">
        <v>0.244603394040979</v>
      </c>
      <c r="G350">
        <v>8.8237537264238997E-2</v>
      </c>
      <c r="H350">
        <v>3.8031685475107303E-2</v>
      </c>
      <c r="I350">
        <v>3.4170552923032699E-2</v>
      </c>
      <c r="J350">
        <v>2.6532284480240399E-2</v>
      </c>
      <c r="K350">
        <v>3.7850091064500602E-2</v>
      </c>
      <c r="L350">
        <v>3022.0857118233898</v>
      </c>
      <c r="M350">
        <v>58.1084959942457</v>
      </c>
      <c r="N350">
        <v>52.0883034436537</v>
      </c>
      <c r="O350">
        <v>51.946154255102002</v>
      </c>
      <c r="P350">
        <v>-0.267624479962631</v>
      </c>
      <c r="Q350">
        <v>4.3027700728100603E-2</v>
      </c>
      <c r="R350">
        <v>0.99861873277564495</v>
      </c>
      <c r="S350" t="s">
        <v>7353</v>
      </c>
      <c r="T350" t="s">
        <v>14004</v>
      </c>
      <c r="U350" t="s">
        <v>14004</v>
      </c>
      <c r="V350" t="s">
        <v>14004</v>
      </c>
      <c r="W350" t="s">
        <v>14351</v>
      </c>
      <c r="X350">
        <v>3</v>
      </c>
      <c r="Y350" t="s">
        <v>21288</v>
      </c>
      <c r="Z350" t="s">
        <v>28060</v>
      </c>
      <c r="AA350">
        <v>0.427683356705235</v>
      </c>
      <c r="AB350" t="str">
        <f>HYPERLINK("Melting_Curves/meltCurve_C9JRY4_SEC22A.pdf", "Melting_Curves/meltCurve_C9JRY4_SEC22A.pdf")</f>
        <v>Melting_Curves/meltCurve_C9JRY4_SEC22A.pdf</v>
      </c>
    </row>
    <row r="351" spans="1:28" x14ac:dyDescent="0.25">
      <c r="A351" t="s">
        <v>355</v>
      </c>
      <c r="B351">
        <v>0.99999676499088797</v>
      </c>
      <c r="C351">
        <v>1.04387559524838</v>
      </c>
      <c r="D351">
        <v>0.97550691962517899</v>
      </c>
      <c r="E351">
        <v>0.93213463097649596</v>
      </c>
      <c r="F351">
        <v>0.77981434548939899</v>
      </c>
      <c r="G351">
        <v>0.67122765351936098</v>
      </c>
      <c r="H351">
        <v>0.47768209230934899</v>
      </c>
      <c r="I351">
        <v>0.53141967527478096</v>
      </c>
      <c r="J351">
        <v>0.53787294091375804</v>
      </c>
      <c r="K351">
        <v>0.49951456319416598</v>
      </c>
      <c r="L351">
        <v>1138.6264966254901</v>
      </c>
      <c r="M351">
        <v>21.069064646845899</v>
      </c>
      <c r="O351">
        <v>53.562790068088098</v>
      </c>
      <c r="P351">
        <v>-4.9157005892612099E-2</v>
      </c>
      <c r="Q351">
        <v>0.50013601831670795</v>
      </c>
      <c r="R351">
        <v>0.98001739256292397</v>
      </c>
      <c r="S351" t="s">
        <v>7354</v>
      </c>
      <c r="T351" t="s">
        <v>14004</v>
      </c>
      <c r="U351" t="s">
        <v>14004</v>
      </c>
      <c r="V351" t="s">
        <v>14004</v>
      </c>
      <c r="W351" t="s">
        <v>14352</v>
      </c>
      <c r="X351">
        <v>18</v>
      </c>
      <c r="Y351" t="s">
        <v>21289</v>
      </c>
      <c r="Z351" t="s">
        <v>28061</v>
      </c>
      <c r="AA351">
        <v>0.74035049548187282</v>
      </c>
      <c r="AB351" t="str">
        <f>HYPERLINK("Melting_Curves/meltCurve_C9JRZ6_CHCHD3.pdf", "Melting_Curves/meltCurve_C9JRZ6_CHCHD3.pdf")</f>
        <v>Melting_Curves/meltCurve_C9JRZ6_CHCHD3.pdf</v>
      </c>
    </row>
    <row r="352" spans="1:28" x14ac:dyDescent="0.25">
      <c r="A352" t="s">
        <v>356</v>
      </c>
      <c r="B352">
        <v>0.99999676499088797</v>
      </c>
      <c r="C352">
        <v>0.94145535249924495</v>
      </c>
      <c r="D352">
        <v>0.958811898544219</v>
      </c>
      <c r="E352">
        <v>0.63413346944679905</v>
      </c>
      <c r="F352">
        <v>0.27687906015827501</v>
      </c>
      <c r="G352">
        <v>0.21473654150525801</v>
      </c>
      <c r="H352">
        <v>8.0203598106337801E-2</v>
      </c>
      <c r="I352">
        <v>6.8287270771857603E-2</v>
      </c>
      <c r="J352">
        <v>7.9660460195476901E-2</v>
      </c>
      <c r="K352">
        <v>2.8540679436780601E-2</v>
      </c>
      <c r="L352">
        <v>1117.00534665226</v>
      </c>
      <c r="M352">
        <v>22.032714876200799</v>
      </c>
      <c r="N352">
        <v>51.017066622006197</v>
      </c>
      <c r="O352">
        <v>50.285464731378198</v>
      </c>
      <c r="P352">
        <v>-0.102481756633475</v>
      </c>
      <c r="Q352">
        <v>6.4440242716773205E-2</v>
      </c>
      <c r="R352">
        <v>0.99221650671422601</v>
      </c>
      <c r="S352" t="s">
        <v>7355</v>
      </c>
      <c r="T352" t="s">
        <v>14004</v>
      </c>
      <c r="U352" t="s">
        <v>14004</v>
      </c>
      <c r="V352" t="s">
        <v>14004</v>
      </c>
      <c r="W352" t="s">
        <v>14353</v>
      </c>
      <c r="X352">
        <v>3</v>
      </c>
      <c r="Y352" t="s">
        <v>21290</v>
      </c>
      <c r="Z352" t="s">
        <v>28062</v>
      </c>
      <c r="AA352">
        <v>0.40884137943133919</v>
      </c>
      <c r="AB352" t="str">
        <f>HYPERLINK("Melting_Curves/meltCurve_C9JRZ8_2_AKR1B15.pdf", "Melting_Curves/meltCurve_C9JRZ8_2_AKR1B15.pdf")</f>
        <v>Melting_Curves/meltCurve_C9JRZ8_2_AKR1B15.pdf</v>
      </c>
    </row>
    <row r="353" spans="1:28" x14ac:dyDescent="0.25">
      <c r="A353" t="s">
        <v>357</v>
      </c>
      <c r="B353">
        <v>0.99999676499088797</v>
      </c>
      <c r="C353">
        <v>1.13819860120171</v>
      </c>
      <c r="D353">
        <v>1.1503862636561599</v>
      </c>
      <c r="E353">
        <v>1.34092416557995</v>
      </c>
      <c r="F353">
        <v>1.12822348323973</v>
      </c>
      <c r="G353">
        <v>0.72151306084807998</v>
      </c>
      <c r="H353">
        <v>0.33035895652010799</v>
      </c>
      <c r="I353">
        <v>0.37014659532660499</v>
      </c>
      <c r="J353">
        <v>0.43264984163948</v>
      </c>
      <c r="K353">
        <v>0.82627568698551501</v>
      </c>
      <c r="L353">
        <v>14189.541941724699</v>
      </c>
      <c r="M353">
        <v>250</v>
      </c>
      <c r="N353">
        <v>57.657119824794101</v>
      </c>
      <c r="O353">
        <v>56.754535641983701</v>
      </c>
      <c r="P353">
        <v>-0.561785754988819</v>
      </c>
      <c r="Q353">
        <v>0.48985776631514799</v>
      </c>
      <c r="R353">
        <v>0.72572186350472601</v>
      </c>
      <c r="S353" t="s">
        <v>7356</v>
      </c>
      <c r="T353" t="s">
        <v>14004</v>
      </c>
      <c r="U353" t="s">
        <v>14004</v>
      </c>
      <c r="V353" t="s">
        <v>14004</v>
      </c>
      <c r="W353" t="s">
        <v>14354</v>
      </c>
      <c r="X353">
        <v>2</v>
      </c>
      <c r="Y353" t="s">
        <v>21291</v>
      </c>
      <c r="Z353" t="s">
        <v>28063</v>
      </c>
      <c r="AA353">
        <v>0.77487688599959426</v>
      </c>
      <c r="AB353" t="str">
        <f>HYPERLINK("Melting_Curves/meltCurve_C9JTB0_IKZF1.pdf", "Melting_Curves/meltCurve_C9JTB0_IKZF1.pdf")</f>
        <v>Melting_Curves/meltCurve_C9JTB0_IKZF1.pdf</v>
      </c>
    </row>
    <row r="354" spans="1:28" x14ac:dyDescent="0.25">
      <c r="A354" t="s">
        <v>358</v>
      </c>
      <c r="B354">
        <v>0.99999676499088797</v>
      </c>
      <c r="C354">
        <v>1.0832590138117599</v>
      </c>
      <c r="D354">
        <v>0.94684315017829002</v>
      </c>
      <c r="E354">
        <v>0.42448060229092099</v>
      </c>
      <c r="F354">
        <v>0.22179620877258799</v>
      </c>
      <c r="G354">
        <v>0.149527326781768</v>
      </c>
      <c r="H354">
        <v>7.0923141325416203E-2</v>
      </c>
      <c r="I354">
        <v>6.3064588379780004E-2</v>
      </c>
      <c r="J354">
        <v>3.6657592588653899E-2</v>
      </c>
      <c r="K354">
        <v>4.4169730414837099E-2</v>
      </c>
      <c r="L354">
        <v>1576.1058185014799</v>
      </c>
      <c r="M354">
        <v>32.092077187086403</v>
      </c>
      <c r="N354">
        <v>49.376355534947201</v>
      </c>
      <c r="O354">
        <v>48.9224727192383</v>
      </c>
      <c r="P354">
        <v>-0.151050996935753</v>
      </c>
      <c r="Q354">
        <v>7.8931364692998399E-2</v>
      </c>
      <c r="R354">
        <v>0.98598536859757802</v>
      </c>
      <c r="S354" t="s">
        <v>7357</v>
      </c>
      <c r="T354" t="s">
        <v>14004</v>
      </c>
      <c r="U354" t="s">
        <v>14004</v>
      </c>
      <c r="V354" t="s">
        <v>14004</v>
      </c>
      <c r="W354" t="s">
        <v>14355</v>
      </c>
      <c r="X354">
        <v>1</v>
      </c>
      <c r="Y354" t="s">
        <v>21292</v>
      </c>
      <c r="Z354" t="s">
        <v>28064</v>
      </c>
      <c r="AA354">
        <v>0.36358618986272911</v>
      </c>
      <c r="AB354" t="str">
        <f>HYPERLINK("Melting_Curves/meltCurve_C9JTC0_DGKB.pdf", "Melting_Curves/meltCurve_C9JTC0_DGKB.pdf")</f>
        <v>Melting_Curves/meltCurve_C9JTC0_DGKB.pdf</v>
      </c>
    </row>
    <row r="355" spans="1:28" x14ac:dyDescent="0.25">
      <c r="A355" t="s">
        <v>359</v>
      </c>
      <c r="B355">
        <v>0.99999676499088797</v>
      </c>
      <c r="C355">
        <v>0.84217241875319104</v>
      </c>
      <c r="D355">
        <v>0.68715980783904296</v>
      </c>
      <c r="E355">
        <v>0.41273808832507303</v>
      </c>
      <c r="F355">
        <v>0.27513663107542402</v>
      </c>
      <c r="G355">
        <v>0.17409349632840501</v>
      </c>
      <c r="H355">
        <v>0.103959055089708</v>
      </c>
      <c r="I355">
        <v>0.144834673574809</v>
      </c>
      <c r="J355">
        <v>0.13866911561259401</v>
      </c>
      <c r="K355">
        <v>0.12521999933799299</v>
      </c>
      <c r="L355">
        <v>763.28322354006002</v>
      </c>
      <c r="M355">
        <v>16.034630113055702</v>
      </c>
      <c r="N355">
        <v>48.407167935124498</v>
      </c>
      <c r="O355">
        <v>46.880252809981798</v>
      </c>
      <c r="P355">
        <v>-7.5507296568767396E-2</v>
      </c>
      <c r="Q355">
        <v>0.11702977597443601</v>
      </c>
      <c r="R355">
        <v>0.99513124952766596</v>
      </c>
      <c r="S355" t="s">
        <v>7358</v>
      </c>
      <c r="T355" t="s">
        <v>14004</v>
      </c>
      <c r="U355" t="s">
        <v>14004</v>
      </c>
      <c r="V355" t="s">
        <v>14004</v>
      </c>
      <c r="W355" t="s">
        <v>14356</v>
      </c>
      <c r="X355">
        <v>3</v>
      </c>
      <c r="Y355" t="s">
        <v>21293</v>
      </c>
      <c r="Z355" t="s">
        <v>28065</v>
      </c>
      <c r="AA355">
        <v>0.3610093292535918</v>
      </c>
      <c r="AB355" t="str">
        <f>HYPERLINK("Melting_Curves/meltCurve_C9JVP0_FOXJ3.pdf", "Melting_Curves/meltCurve_C9JVP0_FOXJ3.pdf")</f>
        <v>Melting_Curves/meltCurve_C9JVP0_FOXJ3.pdf</v>
      </c>
    </row>
    <row r="356" spans="1:28" x14ac:dyDescent="0.25">
      <c r="A356" t="s">
        <v>360</v>
      </c>
      <c r="B356">
        <v>0.99999676499088797</v>
      </c>
      <c r="C356">
        <v>1.0983976800113899</v>
      </c>
      <c r="D356">
        <v>0.844417405080647</v>
      </c>
      <c r="E356">
        <v>0.64631039192697404</v>
      </c>
      <c r="F356">
        <v>0.31775649411247198</v>
      </c>
      <c r="G356">
        <v>0.214929883441839</v>
      </c>
      <c r="H356">
        <v>0.10016511519303201</v>
      </c>
      <c r="I356">
        <v>0.10596138045006499</v>
      </c>
      <c r="J356">
        <v>0.103581395661692</v>
      </c>
      <c r="K356">
        <v>6.0004829415595401E-2</v>
      </c>
      <c r="L356">
        <v>1013.57452238163</v>
      </c>
      <c r="M356">
        <v>20.019379661452501</v>
      </c>
      <c r="N356">
        <v>51.100277676750601</v>
      </c>
      <c r="O356">
        <v>50.132597692573199</v>
      </c>
      <c r="P356">
        <v>-9.1430671236587394E-2</v>
      </c>
      <c r="Q356">
        <v>8.4185721875532804E-2</v>
      </c>
      <c r="R356">
        <v>0.98641777153003296</v>
      </c>
      <c r="S356" t="s">
        <v>7359</v>
      </c>
      <c r="T356" t="s">
        <v>14004</v>
      </c>
      <c r="U356" t="s">
        <v>14004</v>
      </c>
      <c r="V356" t="s">
        <v>14004</v>
      </c>
      <c r="W356" t="s">
        <v>14357</v>
      </c>
      <c r="X356">
        <v>3</v>
      </c>
      <c r="Y356" t="s">
        <v>21294</v>
      </c>
      <c r="Z356" t="s">
        <v>28066</v>
      </c>
      <c r="AA356">
        <v>0.42138027215080193</v>
      </c>
      <c r="AB356" t="str">
        <f>HYPERLINK("Melting_Curves/meltCurve_C9JXA2_EPHA3.pdf", "Melting_Curves/meltCurve_C9JXA2_EPHA3.pdf")</f>
        <v>Melting_Curves/meltCurve_C9JXA2_EPHA3.pdf</v>
      </c>
    </row>
    <row r="357" spans="1:28" x14ac:dyDescent="0.25">
      <c r="A357" t="s">
        <v>361</v>
      </c>
      <c r="B357">
        <v>0.99999676499088797</v>
      </c>
      <c r="C357">
        <v>1.2033884304575699</v>
      </c>
      <c r="D357">
        <v>1.1871971123073399</v>
      </c>
      <c r="E357">
        <v>1.16287208620212</v>
      </c>
      <c r="F357">
        <v>0.478704954948724</v>
      </c>
      <c r="G357">
        <v>0.37865600405626199</v>
      </c>
      <c r="H357">
        <v>0.12023958418331999</v>
      </c>
      <c r="I357">
        <v>0.11631423488390701</v>
      </c>
      <c r="J357">
        <v>0.107398234250562</v>
      </c>
      <c r="K357">
        <v>8.6431953806887896E-2</v>
      </c>
      <c r="L357">
        <v>4752.6646258582896</v>
      </c>
      <c r="M357">
        <v>89.812376164345096</v>
      </c>
      <c r="N357">
        <v>53.147639115142603</v>
      </c>
      <c r="O357">
        <v>52.891483753144101</v>
      </c>
      <c r="P357">
        <v>-0.35617433842125601</v>
      </c>
      <c r="Q357">
        <v>0.160980336894646</v>
      </c>
      <c r="R357">
        <v>0.92680245356090396</v>
      </c>
      <c r="S357" t="s">
        <v>7360</v>
      </c>
      <c r="T357" t="s">
        <v>14004</v>
      </c>
      <c r="U357" t="s">
        <v>14004</v>
      </c>
      <c r="V357" t="s">
        <v>14004</v>
      </c>
      <c r="W357" t="s">
        <v>14358</v>
      </c>
      <c r="X357">
        <v>6</v>
      </c>
      <c r="Y357" t="s">
        <v>21295</v>
      </c>
      <c r="Z357" t="s">
        <v>28067</v>
      </c>
      <c r="AA357">
        <v>0.52285854093603568</v>
      </c>
      <c r="AB357" t="str">
        <f>HYPERLINK("Melting_Curves/meltCurve_C9JXB8_RPL24.pdf", "Melting_Curves/meltCurve_C9JXB8_RPL24.pdf")</f>
        <v>Melting_Curves/meltCurve_C9JXB8_RPL24.pdf</v>
      </c>
    </row>
    <row r="358" spans="1:28" x14ac:dyDescent="0.25">
      <c r="A358" t="s">
        <v>362</v>
      </c>
      <c r="B358">
        <v>0.99999676499088797</v>
      </c>
      <c r="C358">
        <v>2.3858314869702801</v>
      </c>
      <c r="D358">
        <v>2.3905672829047302</v>
      </c>
      <c r="E358">
        <v>0</v>
      </c>
      <c r="F358">
        <v>0</v>
      </c>
      <c r="G358">
        <v>2.5583849757802701</v>
      </c>
      <c r="H358">
        <v>0</v>
      </c>
      <c r="I358">
        <v>1.06452157714875</v>
      </c>
      <c r="J358">
        <v>1.30902663899345</v>
      </c>
      <c r="K358">
        <v>1.00753052639819</v>
      </c>
      <c r="L358">
        <v>1674.3627460550399</v>
      </c>
      <c r="M358">
        <v>24.770651149291002</v>
      </c>
      <c r="O358">
        <v>67.158679489539495</v>
      </c>
      <c r="P358">
        <v>1.21043751190385E-2</v>
      </c>
      <c r="Q358">
        <v>1.1312686843537101</v>
      </c>
      <c r="R358">
        <v>-3.0562161278211E-2</v>
      </c>
      <c r="S358" t="s">
        <v>7361</v>
      </c>
      <c r="T358" t="s">
        <v>14004</v>
      </c>
      <c r="U358" t="s">
        <v>14004</v>
      </c>
      <c r="V358" t="s">
        <v>14004</v>
      </c>
      <c r="W358" t="s">
        <v>14359</v>
      </c>
      <c r="X358">
        <v>1</v>
      </c>
      <c r="Y358" t="s">
        <v>21296</v>
      </c>
      <c r="Z358" t="s">
        <v>28068</v>
      </c>
      <c r="AA358">
        <v>1.0139363347128529</v>
      </c>
      <c r="AB358" t="str">
        <f>HYPERLINK("Melting_Curves/meltCurve_C9JXX7_ITGA6.pdf", "Melting_Curves/meltCurve_C9JXX7_ITGA6.pdf")</f>
        <v>Melting_Curves/meltCurve_C9JXX7_ITGA6.pdf</v>
      </c>
    </row>
    <row r="359" spans="1:28" x14ac:dyDescent="0.25">
      <c r="A359" t="s">
        <v>363</v>
      </c>
      <c r="B359">
        <v>0.99999676499088797</v>
      </c>
      <c r="C359">
        <v>1.0418647942992401</v>
      </c>
      <c r="D359">
        <v>0.98793421937092796</v>
      </c>
      <c r="E359">
        <v>0.57712536422359695</v>
      </c>
      <c r="F359">
        <v>0.35162013576488399</v>
      </c>
      <c r="G359">
        <v>0.14640570110367801</v>
      </c>
      <c r="H359">
        <v>0.116620562033438</v>
      </c>
      <c r="I359">
        <v>0.15415703896484001</v>
      </c>
      <c r="J359">
        <v>0.124852563979682</v>
      </c>
      <c r="K359">
        <v>9.9585062423285298E-2</v>
      </c>
      <c r="L359">
        <v>1287.02320212072</v>
      </c>
      <c r="M359">
        <v>25.614719675553001</v>
      </c>
      <c r="N359">
        <v>50.803532471466397</v>
      </c>
      <c r="O359">
        <v>49.9422093802145</v>
      </c>
      <c r="P359">
        <v>-0.11249914432338699</v>
      </c>
      <c r="Q359">
        <v>0.122631492041164</v>
      </c>
      <c r="R359">
        <v>0.98963015160175805</v>
      </c>
      <c r="S359" t="s">
        <v>7362</v>
      </c>
      <c r="T359" t="s">
        <v>14004</v>
      </c>
      <c r="U359" t="s">
        <v>14004</v>
      </c>
      <c r="V359" t="s">
        <v>14004</v>
      </c>
      <c r="W359" t="s">
        <v>14360</v>
      </c>
      <c r="X359">
        <v>1</v>
      </c>
      <c r="Y359" t="s">
        <v>21297</v>
      </c>
      <c r="Z359" t="s">
        <v>28069</v>
      </c>
      <c r="AA359">
        <v>0.42975457502979431</v>
      </c>
      <c r="AB359" t="str">
        <f>HYPERLINK("Melting_Curves/meltCurve_C9JY06_NUDT22.pdf", "Melting_Curves/meltCurve_C9JY06_NUDT22.pdf")</f>
        <v>Melting_Curves/meltCurve_C9JY06_NUDT22.pdf</v>
      </c>
    </row>
    <row r="360" spans="1:28" x14ac:dyDescent="0.25">
      <c r="A360" t="s">
        <v>364</v>
      </c>
      <c r="B360">
        <v>0.99999676499088797</v>
      </c>
      <c r="C360">
        <v>1.2533316330931199</v>
      </c>
      <c r="D360">
        <v>1.0957879263385699</v>
      </c>
      <c r="E360">
        <v>0.83739926397895004</v>
      </c>
      <c r="F360">
        <v>0.53059146062581697</v>
      </c>
      <c r="G360">
        <v>0.47483148870045999</v>
      </c>
      <c r="H360">
        <v>0.253605137229514</v>
      </c>
      <c r="I360">
        <v>0.18066124582971499</v>
      </c>
      <c r="J360">
        <v>0.178075812255855</v>
      </c>
      <c r="K360">
        <v>0.12149712264330299</v>
      </c>
      <c r="L360">
        <v>997.26464768626704</v>
      </c>
      <c r="M360">
        <v>18.509018253367199</v>
      </c>
      <c r="N360">
        <v>54.920638460155899</v>
      </c>
      <c r="O360">
        <v>53.262808603735699</v>
      </c>
      <c r="P360">
        <v>-7.4029031090914799E-2</v>
      </c>
      <c r="Q360">
        <v>0.14791383230090599</v>
      </c>
      <c r="R360">
        <v>0.93555552849444301</v>
      </c>
      <c r="S360" t="s">
        <v>7363</v>
      </c>
      <c r="T360" t="s">
        <v>14004</v>
      </c>
      <c r="U360" t="s">
        <v>14004</v>
      </c>
      <c r="V360" t="s">
        <v>14004</v>
      </c>
      <c r="W360" t="s">
        <v>14361</v>
      </c>
      <c r="X360">
        <v>1</v>
      </c>
      <c r="Y360" t="s">
        <v>21298</v>
      </c>
      <c r="Z360" t="s">
        <v>28070</v>
      </c>
      <c r="AA360">
        <v>0.55525523997256243</v>
      </c>
      <c r="AB360" t="str">
        <f>HYPERLINK("Melting_Curves/meltCurve_C9JYJ0_RAD51B.pdf", "Melting_Curves/meltCurve_C9JYJ0_RAD51B.pdf")</f>
        <v>Melting_Curves/meltCurve_C9JYJ0_RAD51B.pdf</v>
      </c>
    </row>
    <row r="361" spans="1:28" x14ac:dyDescent="0.25">
      <c r="A361" t="s">
        <v>365</v>
      </c>
      <c r="B361">
        <v>0.99999676499088797</v>
      </c>
      <c r="C361">
        <v>1.0601590437139199</v>
      </c>
      <c r="D361">
        <v>1.0468831680519299</v>
      </c>
      <c r="E361">
        <v>0.89536834371282803</v>
      </c>
      <c r="F361">
        <v>0.662088553969295</v>
      </c>
      <c r="G361">
        <v>0.51783966011793603</v>
      </c>
      <c r="H361">
        <v>0.23338703584154799</v>
      </c>
      <c r="I361">
        <v>0.169637512219316</v>
      </c>
      <c r="J361">
        <v>0.15500635829789799</v>
      </c>
      <c r="K361">
        <v>0.13669783703795099</v>
      </c>
      <c r="L361">
        <v>984.03361094785805</v>
      </c>
      <c r="M361">
        <v>17.755188670186701</v>
      </c>
      <c r="N361">
        <v>56.191245391897098</v>
      </c>
      <c r="O361">
        <v>54.733609476845501</v>
      </c>
      <c r="P361">
        <v>-7.2355474631416103E-2</v>
      </c>
      <c r="Q361">
        <v>0.10785069450219301</v>
      </c>
      <c r="R361">
        <v>0.98844488418116006</v>
      </c>
      <c r="S361" t="s">
        <v>7364</v>
      </c>
      <c r="T361" t="s">
        <v>14004</v>
      </c>
      <c r="U361" t="s">
        <v>14004</v>
      </c>
      <c r="V361" t="s">
        <v>14004</v>
      </c>
      <c r="W361" t="s">
        <v>14362</v>
      </c>
      <c r="X361">
        <v>4</v>
      </c>
      <c r="Y361" t="s">
        <v>21299</v>
      </c>
      <c r="Z361" t="s">
        <v>28071</v>
      </c>
      <c r="AA361">
        <v>0.58027141506474877</v>
      </c>
      <c r="AB361" t="str">
        <f>HYPERLINK("Melting_Curves/meltCurve_C9JYM0_POP7.pdf", "Melting_Curves/meltCurve_C9JYM0_POP7.pdf")</f>
        <v>Melting_Curves/meltCurve_C9JYM0_POP7.pdf</v>
      </c>
    </row>
    <row r="362" spans="1:28" x14ac:dyDescent="0.25">
      <c r="A362" t="s">
        <v>366</v>
      </c>
      <c r="B362">
        <v>0.99999676499088797</v>
      </c>
      <c r="C362">
        <v>0.95974066127039703</v>
      </c>
      <c r="D362">
        <v>1.06751582987279</v>
      </c>
      <c r="E362">
        <v>1.4766045459692401</v>
      </c>
      <c r="F362">
        <v>1.44495843893648</v>
      </c>
      <c r="G362">
        <v>1.4209542112297699</v>
      </c>
      <c r="H362">
        <v>1.1463728849205099</v>
      </c>
      <c r="I362">
        <v>0.82890710374478305</v>
      </c>
      <c r="J362">
        <v>0.669505492652958</v>
      </c>
      <c r="K362">
        <v>1.2518895275709201</v>
      </c>
      <c r="L362">
        <v>15000</v>
      </c>
      <c r="M362">
        <v>214.29981135615</v>
      </c>
      <c r="O362">
        <v>69.989299635989596</v>
      </c>
      <c r="P362">
        <v>0.382736741926336</v>
      </c>
      <c r="Q362">
        <v>1.5</v>
      </c>
      <c r="R362">
        <v>-0.14440967394427701</v>
      </c>
      <c r="S362" t="s">
        <v>7365</v>
      </c>
      <c r="T362" t="s">
        <v>14004</v>
      </c>
      <c r="U362" t="s">
        <v>14004</v>
      </c>
      <c r="V362" t="s">
        <v>14004</v>
      </c>
      <c r="W362" t="s">
        <v>14363</v>
      </c>
      <c r="X362">
        <v>3</v>
      </c>
      <c r="Y362" t="s">
        <v>21300</v>
      </c>
      <c r="Z362" t="s">
        <v>28072</v>
      </c>
      <c r="AA362">
        <v>1.003770656561664</v>
      </c>
      <c r="AB362" t="str">
        <f>HYPERLINK("Melting_Curves/meltCurve_C9JYN0_SYPL1.pdf", "Melting_Curves/meltCurve_C9JYN0_SYPL1.pdf")</f>
        <v>Melting_Curves/meltCurve_C9JYN0_SYPL1.pdf</v>
      </c>
    </row>
    <row r="363" spans="1:28" x14ac:dyDescent="0.25">
      <c r="A363" t="s">
        <v>367</v>
      </c>
      <c r="B363">
        <v>0.99999676499088797</v>
      </c>
      <c r="C363">
        <v>0.98567530648464896</v>
      </c>
      <c r="D363">
        <v>0.88191815132755402</v>
      </c>
      <c r="E363">
        <v>0.76797744970244297</v>
      </c>
      <c r="F363">
        <v>0.67799643030727397</v>
      </c>
      <c r="G363">
        <v>0.49966230605377598</v>
      </c>
      <c r="H363">
        <v>0.256934064537091</v>
      </c>
      <c r="I363">
        <v>0.17927920916467199</v>
      </c>
      <c r="J363">
        <v>0.25965272893084101</v>
      </c>
      <c r="K363">
        <v>0.13454017095241499</v>
      </c>
      <c r="L363">
        <v>631.00118070886299</v>
      </c>
      <c r="M363">
        <v>11.4218666129207</v>
      </c>
      <c r="N363">
        <v>56.000425294701301</v>
      </c>
      <c r="O363">
        <v>53.632914150640097</v>
      </c>
      <c r="P363">
        <v>-4.9454191281551298E-2</v>
      </c>
      <c r="Q363">
        <v>7.1395702416096996E-2</v>
      </c>
      <c r="R363">
        <v>0.98260389194555897</v>
      </c>
      <c r="S363" t="s">
        <v>7366</v>
      </c>
      <c r="T363" t="s">
        <v>14004</v>
      </c>
      <c r="U363" t="s">
        <v>14004</v>
      </c>
      <c r="V363" t="s">
        <v>14004</v>
      </c>
      <c r="W363" t="s">
        <v>14364</v>
      </c>
      <c r="X363">
        <v>4</v>
      </c>
      <c r="Y363" t="s">
        <v>21301</v>
      </c>
      <c r="Z363" t="s">
        <v>28073</v>
      </c>
      <c r="AA363">
        <v>0.56501234755442298</v>
      </c>
      <c r="AB363" t="str">
        <f>HYPERLINK("Melting_Curves/meltCurve_C9JYQ9_RPL22L1.pdf", "Melting_Curves/meltCurve_C9JYQ9_RPL22L1.pdf")</f>
        <v>Melting_Curves/meltCurve_C9JYQ9_RPL22L1.pdf</v>
      </c>
    </row>
    <row r="364" spans="1:28" x14ac:dyDescent="0.25">
      <c r="A364" t="s">
        <v>368</v>
      </c>
      <c r="B364">
        <v>0.99999676499088797</v>
      </c>
      <c r="C364">
        <v>0.92346054746158401</v>
      </c>
      <c r="D364">
        <v>0.85702278825881395</v>
      </c>
      <c r="E364">
        <v>0.56201849912787105</v>
      </c>
      <c r="F364">
        <v>0.26891705211438199</v>
      </c>
      <c r="G364">
        <v>0.147247644957688</v>
      </c>
      <c r="H364">
        <v>7.2164414284046893E-2</v>
      </c>
      <c r="I364">
        <v>8.0713963065008706E-2</v>
      </c>
      <c r="J364">
        <v>7.1773835921554993E-2</v>
      </c>
      <c r="K364">
        <v>5.5173795004375498E-2</v>
      </c>
      <c r="L364">
        <v>954.97723230134898</v>
      </c>
      <c r="M364">
        <v>19.131806301898699</v>
      </c>
      <c r="N364">
        <v>50.231773970293801</v>
      </c>
      <c r="O364">
        <v>49.379934235225498</v>
      </c>
      <c r="P364">
        <v>-9.1370634048188903E-2</v>
      </c>
      <c r="Q364">
        <v>5.6712078514408001E-2</v>
      </c>
      <c r="R364">
        <v>0.99846818691051198</v>
      </c>
      <c r="S364" t="s">
        <v>7367</v>
      </c>
      <c r="T364" t="s">
        <v>14004</v>
      </c>
      <c r="U364" t="s">
        <v>14004</v>
      </c>
      <c r="V364" t="s">
        <v>14004</v>
      </c>
      <c r="W364" t="s">
        <v>14365</v>
      </c>
      <c r="X364">
        <v>19</v>
      </c>
      <c r="Y364" t="s">
        <v>21302</v>
      </c>
      <c r="Z364" t="s">
        <v>28074</v>
      </c>
      <c r="AA364">
        <v>0.38281273323328963</v>
      </c>
      <c r="AB364" t="str">
        <f>HYPERLINK("Melting_Curves/meltCurve_C9JZR4_ARFGAP3.pdf", "Melting_Curves/meltCurve_C9JZR4_ARFGAP3.pdf")</f>
        <v>Melting_Curves/meltCurve_C9JZR4_ARFGAP3.pdf</v>
      </c>
    </row>
    <row r="365" spans="1:28" x14ac:dyDescent="0.25">
      <c r="A365" t="s">
        <v>369</v>
      </c>
      <c r="B365">
        <v>0.99999676499088797</v>
      </c>
      <c r="C365">
        <v>0.83181178071909301</v>
      </c>
      <c r="D365">
        <v>0.60284712061394996</v>
      </c>
      <c r="E365">
        <v>0.35577095987289298</v>
      </c>
      <c r="F365">
        <v>1.2853137692372301</v>
      </c>
      <c r="G365">
        <v>0.21641480855724099</v>
      </c>
      <c r="H365">
        <v>0.17610112188910099</v>
      </c>
      <c r="I365">
        <v>0.19866393153928999</v>
      </c>
      <c r="J365">
        <v>0.19980609440094299</v>
      </c>
      <c r="K365">
        <v>0.202876310472698</v>
      </c>
      <c r="L365">
        <v>373.85526041793298</v>
      </c>
      <c r="M365">
        <v>6.8926303111672098</v>
      </c>
      <c r="N365">
        <v>54.239853740863303</v>
      </c>
      <c r="O365">
        <v>50.225519343633898</v>
      </c>
      <c r="P365">
        <v>-3.4375718128788098E-2</v>
      </c>
      <c r="Q365">
        <v>0</v>
      </c>
      <c r="R365">
        <v>0.48009374768389401</v>
      </c>
      <c r="S365" t="s">
        <v>7368</v>
      </c>
      <c r="T365" t="s">
        <v>14004</v>
      </c>
      <c r="U365" t="s">
        <v>14004</v>
      </c>
      <c r="V365" t="s">
        <v>14004</v>
      </c>
      <c r="W365" t="s">
        <v>14366</v>
      </c>
      <c r="X365">
        <v>13</v>
      </c>
      <c r="Y365" t="s">
        <v>21303</v>
      </c>
      <c r="Z365" t="s">
        <v>28075</v>
      </c>
      <c r="AA365">
        <v>0.50845087730792693</v>
      </c>
      <c r="AB365" t="str">
        <f>HYPERLINK("Melting_Curves/meltCurve_C9JZR7_ACTB.pdf", "Melting_Curves/meltCurve_C9JZR7_ACTB.pdf")</f>
        <v>Melting_Curves/meltCurve_C9JZR7_ACTB.pdf</v>
      </c>
    </row>
    <row r="366" spans="1:28" x14ac:dyDescent="0.25">
      <c r="A366" t="s">
        <v>370</v>
      </c>
      <c r="B366">
        <v>0.99999676499088797</v>
      </c>
      <c r="C366">
        <v>0.91933515706790003</v>
      </c>
      <c r="D366">
        <v>0.98656302722109701</v>
      </c>
      <c r="E366">
        <v>1.1801927803782699</v>
      </c>
      <c r="F366">
        <v>0.52987657418594003</v>
      </c>
      <c r="G366">
        <v>0.27633341433623199</v>
      </c>
      <c r="H366">
        <v>0.179161279309517</v>
      </c>
      <c r="I366">
        <v>0.18697156948893501</v>
      </c>
      <c r="J366">
        <v>0.15938696968278401</v>
      </c>
      <c r="K366">
        <v>0.13443246706157899</v>
      </c>
      <c r="L366">
        <v>8518.4761066728297</v>
      </c>
      <c r="M366">
        <v>160.43798824306</v>
      </c>
      <c r="N366">
        <v>53.250865164043198</v>
      </c>
      <c r="O366">
        <v>53.0868829094129</v>
      </c>
      <c r="P366">
        <v>-0.614068566219237</v>
      </c>
      <c r="Q366">
        <v>0.187250197710875</v>
      </c>
      <c r="R366">
        <v>0.96822316247346796</v>
      </c>
      <c r="S366" t="s">
        <v>7369</v>
      </c>
      <c r="T366" t="s">
        <v>14004</v>
      </c>
      <c r="U366" t="s">
        <v>14004</v>
      </c>
      <c r="V366" t="s">
        <v>14004</v>
      </c>
      <c r="W366" t="s">
        <v>14367</v>
      </c>
      <c r="X366">
        <v>5</v>
      </c>
      <c r="Y366" t="s">
        <v>21304</v>
      </c>
      <c r="Z366" t="s">
        <v>28076</v>
      </c>
      <c r="AA366">
        <v>0.54220299779745906</v>
      </c>
      <c r="AB366" t="str">
        <f>HYPERLINK("Melting_Curves/meltCurve_C9JZY6_UBE2H.pdf", "Melting_Curves/meltCurve_C9JZY6_UBE2H.pdf")</f>
        <v>Melting_Curves/meltCurve_C9JZY6_UBE2H.pdf</v>
      </c>
    </row>
    <row r="367" spans="1:28" x14ac:dyDescent="0.25">
      <c r="A367" t="s">
        <v>371</v>
      </c>
      <c r="B367">
        <v>0.99999676499088797</v>
      </c>
      <c r="C367">
        <v>1.1916813080358799</v>
      </c>
      <c r="D367">
        <v>0.94319857587911204</v>
      </c>
      <c r="E367">
        <v>0.709948128704183</v>
      </c>
      <c r="F367">
        <v>0.52976196115557805</v>
      </c>
      <c r="G367">
        <v>0.37216210193175803</v>
      </c>
      <c r="H367">
        <v>0.115554422446227</v>
      </c>
      <c r="I367">
        <v>0.180761553491122</v>
      </c>
      <c r="J367">
        <v>0.22169015107623899</v>
      </c>
      <c r="K367">
        <v>0.27227052642155303</v>
      </c>
      <c r="L367">
        <v>1051.3535936441399</v>
      </c>
      <c r="M367">
        <v>20.278860781403001</v>
      </c>
      <c r="N367">
        <v>53.151844729748902</v>
      </c>
      <c r="O367">
        <v>51.348541865560797</v>
      </c>
      <c r="P367">
        <v>-7.9349802924294402E-2</v>
      </c>
      <c r="Q367">
        <v>0.196331331762513</v>
      </c>
      <c r="R367">
        <v>0.94740142113467296</v>
      </c>
      <c r="S367" t="s">
        <v>7370</v>
      </c>
      <c r="T367" t="s">
        <v>14004</v>
      </c>
      <c r="U367" t="s">
        <v>14004</v>
      </c>
      <c r="V367" t="s">
        <v>14004</v>
      </c>
      <c r="W367" t="s">
        <v>14368</v>
      </c>
      <c r="X367">
        <v>4</v>
      </c>
      <c r="Y367" t="s">
        <v>21305</v>
      </c>
      <c r="Z367" t="s">
        <v>28077</v>
      </c>
      <c r="AA367">
        <v>0.52449449457427355</v>
      </c>
      <c r="AB367" t="str">
        <f>HYPERLINK("Melting_Curves/meltCurve_C9K044_XAF1.pdf", "Melting_Curves/meltCurve_C9K044_XAF1.pdf")</f>
        <v>Melting_Curves/meltCurve_C9K044_XAF1.pdf</v>
      </c>
    </row>
    <row r="368" spans="1:28" x14ac:dyDescent="0.25">
      <c r="A368" t="s">
        <v>372</v>
      </c>
      <c r="B368">
        <v>0.99999676499088797</v>
      </c>
      <c r="C368">
        <v>1.0152618900946699</v>
      </c>
      <c r="D368">
        <v>0.89623726699295503</v>
      </c>
      <c r="E368">
        <v>0.522742202030265</v>
      </c>
      <c r="F368">
        <v>0.21274463514959799</v>
      </c>
      <c r="G368">
        <v>0.14679149145067499</v>
      </c>
      <c r="H368">
        <v>8.4172879663695604E-2</v>
      </c>
      <c r="I368">
        <v>0.12158387148092099</v>
      </c>
      <c r="J368">
        <v>8.4720443034976098E-2</v>
      </c>
      <c r="K368">
        <v>6.5290356943199401E-2</v>
      </c>
      <c r="L368">
        <v>1328.1943824689199</v>
      </c>
      <c r="M368">
        <v>26.854566471300899</v>
      </c>
      <c r="N368">
        <v>49.839386589813799</v>
      </c>
      <c r="O368">
        <v>49.186973815480499</v>
      </c>
      <c r="P368">
        <v>-0.123840168420448</v>
      </c>
      <c r="Q368">
        <v>9.2703807683755204E-2</v>
      </c>
      <c r="R368">
        <v>0.99768307126868205</v>
      </c>
      <c r="S368" t="s">
        <v>7371</v>
      </c>
      <c r="T368" t="s">
        <v>14004</v>
      </c>
      <c r="U368" t="s">
        <v>14004</v>
      </c>
      <c r="V368" t="s">
        <v>14004</v>
      </c>
      <c r="W368" t="s">
        <v>14369</v>
      </c>
      <c r="X368">
        <v>7</v>
      </c>
      <c r="Y368" t="s">
        <v>21306</v>
      </c>
      <c r="Z368" t="s">
        <v>28078</v>
      </c>
      <c r="AA368">
        <v>0.38574098782638572</v>
      </c>
      <c r="AB368" t="str">
        <f>HYPERLINK("Melting_Curves/meltCurve_C9K0X5_SNUPN.pdf", "Melting_Curves/meltCurve_C9K0X5_SNUPN.pdf")</f>
        <v>Melting_Curves/meltCurve_C9K0X5_SNUPN.pdf</v>
      </c>
    </row>
    <row r="369" spans="1:28" x14ac:dyDescent="0.25">
      <c r="A369" t="s">
        <v>373</v>
      </c>
      <c r="B369">
        <v>0.99999676499088797</v>
      </c>
      <c r="C369">
        <v>0.97450833671561599</v>
      </c>
      <c r="D369">
        <v>0.88763720802282398</v>
      </c>
      <c r="E369">
        <v>0.70121976019852394</v>
      </c>
      <c r="F369">
        <v>0.56127229680603297</v>
      </c>
      <c r="G369">
        <v>0.33283432624175002</v>
      </c>
      <c r="H369">
        <v>0.137521500011998</v>
      </c>
      <c r="I369">
        <v>0.13613932891039801</v>
      </c>
      <c r="J369">
        <v>0.161160216400629</v>
      </c>
      <c r="K369">
        <v>0.14002106247422899</v>
      </c>
      <c r="L369">
        <v>765.59479337531502</v>
      </c>
      <c r="M369">
        <v>14.5512031202505</v>
      </c>
      <c r="N369">
        <v>53.362473173904696</v>
      </c>
      <c r="O369">
        <v>51.650105631814498</v>
      </c>
      <c r="P369">
        <v>-6.3936251434677502E-2</v>
      </c>
      <c r="Q369">
        <v>9.2325661477194898E-2</v>
      </c>
      <c r="R369">
        <v>0.99125018836648304</v>
      </c>
      <c r="S369" t="s">
        <v>7372</v>
      </c>
      <c r="T369" t="s">
        <v>14004</v>
      </c>
      <c r="U369" t="s">
        <v>14004</v>
      </c>
      <c r="V369" t="s">
        <v>14004</v>
      </c>
      <c r="W369" t="s">
        <v>14370</v>
      </c>
      <c r="X369">
        <v>2</v>
      </c>
      <c r="Y369" t="s">
        <v>21307</v>
      </c>
      <c r="Z369" t="s">
        <v>28079</v>
      </c>
      <c r="AA369">
        <v>0.49468744459678138</v>
      </c>
      <c r="AB369" t="str">
        <f>HYPERLINK("Melting_Curves/meltCurve_D0FY33_BTN3A3.pdf", "Melting_Curves/meltCurve_D0FY33_BTN3A3.pdf")</f>
        <v>Melting_Curves/meltCurve_D0FY33_BTN3A3.pdf</v>
      </c>
    </row>
    <row r="370" spans="1:28" x14ac:dyDescent="0.25">
      <c r="A370" t="s">
        <v>374</v>
      </c>
      <c r="B370">
        <v>0.99999676499088797</v>
      </c>
      <c r="C370">
        <v>1.00099700879918</v>
      </c>
      <c r="D370">
        <v>0.89378725266119297</v>
      </c>
      <c r="E370">
        <v>1.1833891615547201</v>
      </c>
      <c r="F370">
        <v>1.0425269013785901</v>
      </c>
      <c r="G370">
        <v>1.3128254625423099</v>
      </c>
      <c r="H370">
        <v>0.87703951898592303</v>
      </c>
      <c r="I370">
        <v>0.51279062072911097</v>
      </c>
      <c r="J370">
        <v>0.468498366066117</v>
      </c>
      <c r="K370">
        <v>0.63983059168298795</v>
      </c>
      <c r="L370">
        <v>15000</v>
      </c>
      <c r="M370">
        <v>245.70331093157901</v>
      </c>
      <c r="O370">
        <v>61.045193974584699</v>
      </c>
      <c r="P370">
        <v>-0.46249430243478501</v>
      </c>
      <c r="Q370">
        <v>0.54037161014823298</v>
      </c>
      <c r="R370">
        <v>0.76926040874239798</v>
      </c>
      <c r="S370" t="s">
        <v>7373</v>
      </c>
      <c r="T370" t="s">
        <v>14004</v>
      </c>
      <c r="U370" t="s">
        <v>14004</v>
      </c>
      <c r="V370" t="s">
        <v>14004</v>
      </c>
      <c r="W370" t="s">
        <v>14371</v>
      </c>
      <c r="X370">
        <v>1</v>
      </c>
      <c r="Y370" t="s">
        <v>21308</v>
      </c>
      <c r="Z370" t="s">
        <v>28080</v>
      </c>
      <c r="AA370">
        <v>0.86291684420681503</v>
      </c>
      <c r="AB370" t="str">
        <f>HYPERLINK("Melting_Curves/meltCurve_D3DPN2_SDC3.pdf", "Melting_Curves/meltCurve_D3DPN2_SDC3.pdf")</f>
        <v>Melting_Curves/meltCurve_D3DPN2_SDC3.pdf</v>
      </c>
    </row>
    <row r="371" spans="1:28" x14ac:dyDescent="0.25">
      <c r="A371" t="s">
        <v>375</v>
      </c>
      <c r="B371">
        <v>0.99999676499088797</v>
      </c>
      <c r="C371">
        <v>0.93614330299540105</v>
      </c>
      <c r="D371">
        <v>0.43630355646721602</v>
      </c>
      <c r="E371">
        <v>0.19127982287435999</v>
      </c>
      <c r="F371">
        <v>0.12923963712754599</v>
      </c>
      <c r="G371">
        <v>0.10266604338791099</v>
      </c>
      <c r="H371">
        <v>4.7787926900692501E-2</v>
      </c>
      <c r="I371">
        <v>5.0131054235674002E-2</v>
      </c>
      <c r="J371">
        <v>4.4757404051038702E-2</v>
      </c>
      <c r="K371">
        <v>3.9286948364760203E-2</v>
      </c>
      <c r="L371">
        <v>1491.9890210448</v>
      </c>
      <c r="M371">
        <v>32.725185132131699</v>
      </c>
      <c r="N371">
        <v>45.814173371785699</v>
      </c>
      <c r="O371">
        <v>45.422230987929801</v>
      </c>
      <c r="P371">
        <v>-0.16687207636975801</v>
      </c>
      <c r="Q371">
        <v>7.3537212548431305E-2</v>
      </c>
      <c r="R371">
        <v>0.99014791576884398</v>
      </c>
      <c r="S371" t="s">
        <v>7374</v>
      </c>
      <c r="T371" t="s">
        <v>14004</v>
      </c>
      <c r="U371" t="s">
        <v>14004</v>
      </c>
      <c r="V371" t="s">
        <v>14004</v>
      </c>
      <c r="W371" t="s">
        <v>14372</v>
      </c>
      <c r="X371">
        <v>42</v>
      </c>
      <c r="Y371" t="s">
        <v>21309</v>
      </c>
      <c r="Z371" t="s">
        <v>28081</v>
      </c>
      <c r="AA371">
        <v>0.25091750904231752</v>
      </c>
      <c r="AB371" t="str">
        <f>HYPERLINK("Melting_Curves/meltCurve_D3DQV9_EIF4G2.pdf", "Melting_Curves/meltCurve_D3DQV9_EIF4G2.pdf")</f>
        <v>Melting_Curves/meltCurve_D3DQV9_EIF4G2.pdf</v>
      </c>
    </row>
    <row r="372" spans="1:28" x14ac:dyDescent="0.25">
      <c r="A372" t="s">
        <v>376</v>
      </c>
      <c r="B372">
        <v>0.99999676499088797</v>
      </c>
      <c r="C372">
        <v>1.0343419104829801</v>
      </c>
      <c r="D372">
        <v>0.976568902365194</v>
      </c>
      <c r="E372">
        <v>0.48224095481174301</v>
      </c>
      <c r="F372">
        <v>0.184017736781278</v>
      </c>
      <c r="G372">
        <v>0.13489155042439299</v>
      </c>
      <c r="H372">
        <v>6.5879537332287297E-2</v>
      </c>
      <c r="I372">
        <v>7.8150122939814895E-2</v>
      </c>
      <c r="J372">
        <v>6.0206822020183799E-2</v>
      </c>
      <c r="K372">
        <v>5.3223393180822302E-2</v>
      </c>
      <c r="L372">
        <v>1769.76057438059</v>
      </c>
      <c r="M372">
        <v>35.841150809214099</v>
      </c>
      <c r="N372">
        <v>49.624503675105103</v>
      </c>
      <c r="O372">
        <v>49.224933097004801</v>
      </c>
      <c r="P372">
        <v>-0.167178914455587</v>
      </c>
      <c r="Q372">
        <v>8.1575863096461698E-2</v>
      </c>
      <c r="R372">
        <v>0.99497354517044301</v>
      </c>
      <c r="S372" t="s">
        <v>7375</v>
      </c>
      <c r="T372" t="s">
        <v>14004</v>
      </c>
      <c r="U372" t="s">
        <v>14004</v>
      </c>
      <c r="V372" t="s">
        <v>14004</v>
      </c>
      <c r="W372" t="s">
        <v>14373</v>
      </c>
      <c r="X372">
        <v>6</v>
      </c>
      <c r="Y372" t="s">
        <v>21310</v>
      </c>
      <c r="Z372" t="s">
        <v>28082</v>
      </c>
      <c r="AA372">
        <v>0.37258968324146552</v>
      </c>
      <c r="AB372" t="str">
        <f>HYPERLINK("Melting_Curves/meltCurve_D3DWF9_XPO6.pdf", "Melting_Curves/meltCurve_D3DWF9_XPO6.pdf")</f>
        <v>Melting_Curves/meltCurve_D3DWF9_XPO6.pdf</v>
      </c>
    </row>
    <row r="373" spans="1:28" x14ac:dyDescent="0.25">
      <c r="A373" t="s">
        <v>377</v>
      </c>
      <c r="B373">
        <v>0.99999676499088797</v>
      </c>
      <c r="C373">
        <v>0.98358817135961396</v>
      </c>
      <c r="D373">
        <v>0.98697606276206595</v>
      </c>
      <c r="E373">
        <v>0.939136002006563</v>
      </c>
      <c r="F373">
        <v>0.63767384122429205</v>
      </c>
      <c r="G373">
        <v>0.30513659538465299</v>
      </c>
      <c r="H373">
        <v>0.12781134322481499</v>
      </c>
      <c r="I373">
        <v>0.113105582273216</v>
      </c>
      <c r="J373">
        <v>9.3469672138249305E-2</v>
      </c>
      <c r="K373">
        <v>7.5915806528429899E-2</v>
      </c>
      <c r="L373">
        <v>1403.9772243596001</v>
      </c>
      <c r="M373">
        <v>25.918007983706399</v>
      </c>
      <c r="N373">
        <v>54.559306692034703</v>
      </c>
      <c r="O373">
        <v>53.850553238193697</v>
      </c>
      <c r="P373">
        <v>-0.110165941930581</v>
      </c>
      <c r="Q373">
        <v>8.4431529454897195E-2</v>
      </c>
      <c r="R373">
        <v>0.99934894773522898</v>
      </c>
      <c r="S373" t="s">
        <v>7376</v>
      </c>
      <c r="T373" t="s">
        <v>14004</v>
      </c>
      <c r="U373" t="s">
        <v>14004</v>
      </c>
      <c r="V373" t="s">
        <v>14004</v>
      </c>
      <c r="W373" t="s">
        <v>14374</v>
      </c>
      <c r="X373">
        <v>12</v>
      </c>
      <c r="Y373" t="s">
        <v>21311</v>
      </c>
      <c r="Z373" t="s">
        <v>28083</v>
      </c>
      <c r="AA373">
        <v>0.52481970556352542</v>
      </c>
      <c r="AB373" t="str">
        <f>HYPERLINK("Melting_Curves/meltCurve_D3K174_SLC4A7.pdf", "Melting_Curves/meltCurve_D3K174_SLC4A7.pdf")</f>
        <v>Melting_Curves/meltCurve_D3K174_SLC4A7.pdf</v>
      </c>
    </row>
    <row r="374" spans="1:28" x14ac:dyDescent="0.25">
      <c r="A374" t="s">
        <v>378</v>
      </c>
      <c r="B374">
        <v>0.99999676499088797</v>
      </c>
      <c r="C374">
        <v>0.95115018811077801</v>
      </c>
      <c r="D374">
        <v>0.96908668902178596</v>
      </c>
      <c r="E374">
        <v>0.86045664660017496</v>
      </c>
      <c r="F374">
        <v>1.06624729708038</v>
      </c>
      <c r="G374">
        <v>0.70035231731276404</v>
      </c>
      <c r="H374">
        <v>0.51037886264642096</v>
      </c>
      <c r="I374">
        <v>0.49547519959393599</v>
      </c>
      <c r="J374">
        <v>0.388824780179161</v>
      </c>
      <c r="K374">
        <v>0.406961903579033</v>
      </c>
      <c r="L374">
        <v>14189.697745821</v>
      </c>
      <c r="M374">
        <v>250</v>
      </c>
      <c r="N374">
        <v>57.288324172281001</v>
      </c>
      <c r="O374">
        <v>56.755158818218199</v>
      </c>
      <c r="P374">
        <v>-0.60522012211019305</v>
      </c>
      <c r="Q374">
        <v>0.45041017444283898</v>
      </c>
      <c r="R374">
        <v>0.93922689043264895</v>
      </c>
      <c r="S374" t="s">
        <v>7377</v>
      </c>
      <c r="T374" t="s">
        <v>14004</v>
      </c>
      <c r="U374" t="s">
        <v>14004</v>
      </c>
      <c r="V374" t="s">
        <v>14004</v>
      </c>
      <c r="W374" t="s">
        <v>14375</v>
      </c>
      <c r="X374">
        <v>4</v>
      </c>
      <c r="Y374" t="s">
        <v>21312</v>
      </c>
      <c r="Z374" t="s">
        <v>28084</v>
      </c>
      <c r="AA374">
        <v>0.75748028662391698</v>
      </c>
      <c r="AB374" t="str">
        <f>HYPERLINK("Melting_Curves/meltCurve_D3YHP0_CXADR.pdf", "Melting_Curves/meltCurve_D3YHP0_CXADR.pdf")</f>
        <v>Melting_Curves/meltCurve_D3YHP0_CXADR.pdf</v>
      </c>
    </row>
    <row r="375" spans="1:28" x14ac:dyDescent="0.25">
      <c r="A375" t="s">
        <v>379</v>
      </c>
      <c r="B375">
        <v>0.99999676499088797</v>
      </c>
      <c r="C375">
        <v>0.87083711504268602</v>
      </c>
      <c r="D375">
        <v>0.87940413135408402</v>
      </c>
      <c r="E375">
        <v>0.91093415899790298</v>
      </c>
      <c r="F375">
        <v>0.70249691011901705</v>
      </c>
      <c r="G375">
        <v>0.41980213249767701</v>
      </c>
      <c r="H375">
        <v>0.107384594137058</v>
      </c>
      <c r="I375">
        <v>6.6294614011541006E-2</v>
      </c>
      <c r="J375">
        <v>6.2038819905565E-2</v>
      </c>
      <c r="K375">
        <v>5.6185304758519898E-2</v>
      </c>
      <c r="L375">
        <v>1075.7508459409</v>
      </c>
      <c r="M375">
        <v>19.423717173814499</v>
      </c>
      <c r="N375">
        <v>55.462949301548903</v>
      </c>
      <c r="O375">
        <v>54.806350887676103</v>
      </c>
      <c r="P375">
        <v>-8.7387123884015094E-2</v>
      </c>
      <c r="Q375">
        <v>1.37429732988499E-2</v>
      </c>
      <c r="R375">
        <v>0.97876865054849405</v>
      </c>
      <c r="S375" t="s">
        <v>7378</v>
      </c>
      <c r="T375" t="s">
        <v>14004</v>
      </c>
      <c r="U375" t="s">
        <v>14004</v>
      </c>
      <c r="V375" t="s">
        <v>14004</v>
      </c>
      <c r="W375" t="s">
        <v>14376</v>
      </c>
      <c r="X375">
        <v>5</v>
      </c>
      <c r="Y375" t="s">
        <v>21313</v>
      </c>
      <c r="Z375" t="s">
        <v>28085</v>
      </c>
      <c r="AA375">
        <v>0.5330165551144419</v>
      </c>
      <c r="AB375" t="str">
        <f>HYPERLINK("Melting_Curves/meltCurve_D3YTB1_RPL32.pdf", "Melting_Curves/meltCurve_D3YTB1_RPL32.pdf")</f>
        <v>Melting_Curves/meltCurve_D3YTB1_RPL32.pdf</v>
      </c>
    </row>
    <row r="376" spans="1:28" x14ac:dyDescent="0.25">
      <c r="A376" t="s">
        <v>380</v>
      </c>
      <c r="B376">
        <v>0.99999676499088797</v>
      </c>
      <c r="C376">
        <v>0.93997281770799401</v>
      </c>
      <c r="D376">
        <v>0.84551757075774903</v>
      </c>
      <c r="E376">
        <v>0.65426558731546403</v>
      </c>
      <c r="F376">
        <v>0.74444539898360396</v>
      </c>
      <c r="G376">
        <v>0.67182869260417499</v>
      </c>
      <c r="H376">
        <v>0.83630935236322701</v>
      </c>
      <c r="I376">
        <v>1.1559366928308801</v>
      </c>
      <c r="J376">
        <v>1.1787673391240401</v>
      </c>
      <c r="K376">
        <v>1.08836696428914</v>
      </c>
      <c r="L376">
        <v>15000</v>
      </c>
      <c r="M376">
        <v>239.36129185718701</v>
      </c>
      <c r="O376">
        <v>62.6624216226774</v>
      </c>
      <c r="P376">
        <v>0.13491035821738401</v>
      </c>
      <c r="Q376">
        <v>1.1412727462390999</v>
      </c>
      <c r="R376">
        <v>-5.60570836171259E-2</v>
      </c>
      <c r="S376" t="s">
        <v>7379</v>
      </c>
      <c r="T376" t="s">
        <v>14004</v>
      </c>
      <c r="U376" t="s">
        <v>14004</v>
      </c>
      <c r="V376" t="s">
        <v>14004</v>
      </c>
      <c r="W376" t="s">
        <v>14377</v>
      </c>
      <c r="X376">
        <v>2</v>
      </c>
      <c r="Y376" t="s">
        <v>21314</v>
      </c>
      <c r="Z376" t="s">
        <v>28086</v>
      </c>
      <c r="AA376">
        <v>1.0345158829291481</v>
      </c>
      <c r="AB376" t="str">
        <f>HYPERLINK("Melting_Curves/meltCurve_D3YTE0_KRI1.pdf", "Melting_Curves/meltCurve_D3YTE0_KRI1.pdf")</f>
        <v>Melting_Curves/meltCurve_D3YTE0_KRI1.pdf</v>
      </c>
    </row>
    <row r="377" spans="1:28" x14ac:dyDescent="0.25">
      <c r="A377" t="s">
        <v>381</v>
      </c>
      <c r="B377">
        <v>0.99999676499088797</v>
      </c>
      <c r="C377">
        <v>0.67612019478241603</v>
      </c>
      <c r="D377">
        <v>0.44760766720331202</v>
      </c>
      <c r="E377">
        <v>0.326257634761904</v>
      </c>
      <c r="F377">
        <v>0.30713820518044499</v>
      </c>
      <c r="G377">
        <v>0.209380466221888</v>
      </c>
      <c r="H377">
        <v>0.13612636727980901</v>
      </c>
      <c r="I377">
        <v>0.120193873149404</v>
      </c>
      <c r="J377">
        <v>0.12536571566657201</v>
      </c>
      <c r="K377">
        <v>8.4448312603540701E-2</v>
      </c>
      <c r="L377">
        <v>656.65778053750796</v>
      </c>
      <c r="M377">
        <v>14.5477102737542</v>
      </c>
      <c r="N377">
        <v>46.088077691633103</v>
      </c>
      <c r="O377">
        <v>44.311044160680296</v>
      </c>
      <c r="P377">
        <v>-7.1454323351757998E-2</v>
      </c>
      <c r="Q377">
        <v>0.12952516437331399</v>
      </c>
      <c r="R377">
        <v>0.95866679667340204</v>
      </c>
      <c r="S377" t="s">
        <v>7380</v>
      </c>
      <c r="T377" t="s">
        <v>14004</v>
      </c>
      <c r="U377" t="s">
        <v>14004</v>
      </c>
      <c r="V377" t="s">
        <v>14004</v>
      </c>
      <c r="W377" t="s">
        <v>14378</v>
      </c>
      <c r="X377">
        <v>3</v>
      </c>
      <c r="Y377" t="s">
        <v>21315</v>
      </c>
      <c r="Z377" t="s">
        <v>28087</v>
      </c>
      <c r="AA377">
        <v>0.30798832317462738</v>
      </c>
      <c r="AB377" t="str">
        <f>HYPERLINK("Melting_Curves/meltCurve_D3YTE1_PHF20L1.pdf", "Melting_Curves/meltCurve_D3YTE1_PHF20L1.pdf")</f>
        <v>Melting_Curves/meltCurve_D3YTE1_PHF20L1.pdf</v>
      </c>
    </row>
    <row r="378" spans="1:28" x14ac:dyDescent="0.25">
      <c r="A378" t="s">
        <v>382</v>
      </c>
      <c r="B378">
        <v>0.99999676499088797</v>
      </c>
      <c r="C378">
        <v>0.95821250723129503</v>
      </c>
      <c r="D378">
        <v>0.88696326117541502</v>
      </c>
      <c r="E378">
        <v>0.74802791212688802</v>
      </c>
      <c r="F378">
        <v>0.68320549143818998</v>
      </c>
      <c r="G378">
        <v>0.456524297268116</v>
      </c>
      <c r="H378">
        <v>0.190111525444743</v>
      </c>
      <c r="I378">
        <v>0.15574147972330199</v>
      </c>
      <c r="J378">
        <v>0.114985651225733</v>
      </c>
      <c r="K378">
        <v>9.9814737667636599E-2</v>
      </c>
      <c r="L378">
        <v>654.38953786441004</v>
      </c>
      <c r="M378">
        <v>11.8224914551806</v>
      </c>
      <c r="N378">
        <v>55.351237962694398</v>
      </c>
      <c r="O378">
        <v>53.838814621140003</v>
      </c>
      <c r="P378">
        <v>-5.4911637021502001E-2</v>
      </c>
      <c r="Q378">
        <v>0</v>
      </c>
      <c r="R378">
        <v>0.98846068394937203</v>
      </c>
      <c r="S378" t="s">
        <v>7381</v>
      </c>
      <c r="T378" t="s">
        <v>14004</v>
      </c>
      <c r="U378" t="s">
        <v>14004</v>
      </c>
      <c r="V378" t="s">
        <v>14004</v>
      </c>
      <c r="W378" t="s">
        <v>14379</v>
      </c>
      <c r="X378">
        <v>6</v>
      </c>
      <c r="Y378" t="s">
        <v>21316</v>
      </c>
      <c r="Z378" t="s">
        <v>28088</v>
      </c>
      <c r="AA378">
        <v>0.53432694347665188</v>
      </c>
      <c r="AB378" t="str">
        <f>HYPERLINK("Melting_Curves/meltCurve_D3YTG6_NDOR1.pdf", "Melting_Curves/meltCurve_D3YTG6_NDOR1.pdf")</f>
        <v>Melting_Curves/meltCurve_D3YTG6_NDOR1.pdf</v>
      </c>
    </row>
    <row r="379" spans="1:28" x14ac:dyDescent="0.25">
      <c r="A379" t="s">
        <v>383</v>
      </c>
      <c r="B379">
        <v>0.99999676499088797</v>
      </c>
      <c r="C379">
        <v>1.12089229572507</v>
      </c>
      <c r="D379">
        <v>1.1106656727149899</v>
      </c>
      <c r="E379">
        <v>0.85694333660329203</v>
      </c>
      <c r="F379">
        <v>0.34214329644681302</v>
      </c>
      <c r="G379">
        <v>0.25201595096365298</v>
      </c>
      <c r="H379">
        <v>0.132671084337279</v>
      </c>
      <c r="I379">
        <v>0.13382890627197699</v>
      </c>
      <c r="J379">
        <v>0.12786258171376799</v>
      </c>
      <c r="K379">
        <v>0.112568818153017</v>
      </c>
      <c r="L379">
        <v>1985.9829661285801</v>
      </c>
      <c r="M379">
        <v>38.417183287205603</v>
      </c>
      <c r="N379">
        <v>52.152347856414103</v>
      </c>
      <c r="O379">
        <v>51.555696676379902</v>
      </c>
      <c r="P379">
        <v>-0.15965832029301499</v>
      </c>
      <c r="Q379">
        <v>0.142958936351888</v>
      </c>
      <c r="R379">
        <v>0.97907307560873402</v>
      </c>
      <c r="S379" t="s">
        <v>7382</v>
      </c>
      <c r="T379" t="s">
        <v>14004</v>
      </c>
      <c r="U379" t="s">
        <v>14004</v>
      </c>
      <c r="V379" t="s">
        <v>14004</v>
      </c>
      <c r="W379" t="s">
        <v>14380</v>
      </c>
      <c r="X379">
        <v>5</v>
      </c>
      <c r="Y379" t="s">
        <v>21317</v>
      </c>
      <c r="Z379" t="s">
        <v>28089</v>
      </c>
      <c r="AA379">
        <v>0.48038755397485072</v>
      </c>
      <c r="AB379" t="str">
        <f>HYPERLINK("Melting_Curves/meltCurve_D3YTI9_TAPBP.pdf", "Melting_Curves/meltCurve_D3YTI9_TAPBP.pdf")</f>
        <v>Melting_Curves/meltCurve_D3YTI9_TAPBP.pdf</v>
      </c>
    </row>
    <row r="380" spans="1:28" x14ac:dyDescent="0.25">
      <c r="A380" t="s">
        <v>384</v>
      </c>
      <c r="B380">
        <v>0.99999676499088797</v>
      </c>
      <c r="C380">
        <v>0.580032640086943</v>
      </c>
      <c r="D380">
        <v>0.22003032104006001</v>
      </c>
      <c r="E380">
        <v>0.11970187257071301</v>
      </c>
      <c r="F380">
        <v>7.0699715366624394E-2</v>
      </c>
      <c r="G380">
        <v>3.8470421665340003E-2</v>
      </c>
      <c r="H380">
        <v>1.4182842191273699E-2</v>
      </c>
      <c r="I380">
        <v>2.0825082357485501E-2</v>
      </c>
      <c r="J380">
        <v>2.2792577886542199E-2</v>
      </c>
      <c r="K380">
        <v>2.0510241847733202E-2</v>
      </c>
      <c r="L380">
        <v>1251.47756811364</v>
      </c>
      <c r="M380">
        <v>28.766762958623801</v>
      </c>
      <c r="N380">
        <v>43.628135433921699</v>
      </c>
      <c r="O380">
        <v>43.295689159694703</v>
      </c>
      <c r="P380">
        <v>-0.159595133871235</v>
      </c>
      <c r="Q380">
        <v>3.9206890631065999E-2</v>
      </c>
      <c r="R380">
        <v>0.98782583075913</v>
      </c>
      <c r="S380" t="s">
        <v>7383</v>
      </c>
      <c r="T380" t="s">
        <v>14004</v>
      </c>
      <c r="U380" t="s">
        <v>14004</v>
      </c>
      <c r="V380" t="s">
        <v>14004</v>
      </c>
      <c r="W380" t="s">
        <v>14381</v>
      </c>
      <c r="X380">
        <v>2</v>
      </c>
      <c r="Y380" t="s">
        <v>21318</v>
      </c>
      <c r="Z380" t="s">
        <v>28090</v>
      </c>
      <c r="AA380">
        <v>0.1600488279018501</v>
      </c>
      <c r="AB380" t="str">
        <f>HYPERLINK("Melting_Curves/meltCurve_D6R992_RELB.pdf", "Melting_Curves/meltCurve_D6R992_RELB.pdf")</f>
        <v>Melting_Curves/meltCurve_D6R992_RELB.pdf</v>
      </c>
    </row>
    <row r="381" spans="1:28" x14ac:dyDescent="0.25">
      <c r="A381" t="s">
        <v>385</v>
      </c>
      <c r="B381">
        <v>0.99999676499088797</v>
      </c>
      <c r="C381">
        <v>1.08231628450618</v>
      </c>
      <c r="D381">
        <v>0.98347028425469096</v>
      </c>
      <c r="E381">
        <v>0.60548261611109999</v>
      </c>
      <c r="F381">
        <v>0.49957386759593397</v>
      </c>
      <c r="G381">
        <v>0.63789355501605205</v>
      </c>
      <c r="H381">
        <v>0.36926461315471398</v>
      </c>
      <c r="I381">
        <v>0.55632929143464005</v>
      </c>
      <c r="J381">
        <v>0.63588523857600798</v>
      </c>
      <c r="K381">
        <v>0.49315178305768398</v>
      </c>
      <c r="L381">
        <v>3294.1983401612802</v>
      </c>
      <c r="M381">
        <v>68.111952825861593</v>
      </c>
      <c r="O381">
        <v>48.322815994425497</v>
      </c>
      <c r="P381">
        <v>-0.164916230956342</v>
      </c>
      <c r="Q381">
        <v>0.53199306612651298</v>
      </c>
      <c r="R381">
        <v>0.89257291216779</v>
      </c>
      <c r="S381" t="s">
        <v>7384</v>
      </c>
      <c r="T381" t="s">
        <v>14004</v>
      </c>
      <c r="U381" t="s">
        <v>14004</v>
      </c>
      <c r="V381" t="s">
        <v>14004</v>
      </c>
      <c r="W381" t="s">
        <v>14382</v>
      </c>
      <c r="X381">
        <v>19</v>
      </c>
      <c r="Y381" t="s">
        <v>21319</v>
      </c>
      <c r="Z381" t="s">
        <v>28091</v>
      </c>
      <c r="AA381">
        <v>0.66301734795213252</v>
      </c>
      <c r="AB381" t="str">
        <f>HYPERLINK("Melting_Curves/meltCurve_D6R9P3_HNRNPAB.pdf", "Melting_Curves/meltCurve_D6R9P3_HNRNPAB.pdf")</f>
        <v>Melting_Curves/meltCurve_D6R9P3_HNRNPAB.pdf</v>
      </c>
    </row>
    <row r="382" spans="1:28" x14ac:dyDescent="0.25">
      <c r="A382" t="s">
        <v>386</v>
      </c>
      <c r="B382">
        <v>0.99999676499088797</v>
      </c>
      <c r="C382">
        <v>0.99651111892720301</v>
      </c>
      <c r="D382">
        <v>0.85111241949398897</v>
      </c>
      <c r="E382">
        <v>0.97914542690671003</v>
      </c>
      <c r="F382">
        <v>0.88408894811827998</v>
      </c>
      <c r="G382">
        <v>0.63937266915843605</v>
      </c>
      <c r="H382">
        <v>0.51545763691740598</v>
      </c>
      <c r="I382">
        <v>0.59024601763976603</v>
      </c>
      <c r="J382">
        <v>0.562933829451149</v>
      </c>
      <c r="K382">
        <v>0.93169754916696101</v>
      </c>
      <c r="L382">
        <v>13337.858878787099</v>
      </c>
      <c r="M382">
        <v>250</v>
      </c>
      <c r="O382">
        <v>53.348023712428102</v>
      </c>
      <c r="P382">
        <v>-0.41245493714848502</v>
      </c>
      <c r="Q382">
        <v>0.64794152353649204</v>
      </c>
      <c r="R382">
        <v>0.61878085117589698</v>
      </c>
      <c r="S382" t="s">
        <v>7385</v>
      </c>
      <c r="T382" t="s">
        <v>14004</v>
      </c>
      <c r="U382" t="s">
        <v>14004</v>
      </c>
      <c r="V382" t="s">
        <v>14004</v>
      </c>
      <c r="W382" t="s">
        <v>14383</v>
      </c>
      <c r="X382">
        <v>3</v>
      </c>
      <c r="Y382" t="s">
        <v>21320</v>
      </c>
      <c r="Z382" t="s">
        <v>28092</v>
      </c>
      <c r="AA382">
        <v>0.80465735530435534</v>
      </c>
      <c r="AB382" t="str">
        <f>HYPERLINK("Melting_Curves/meltCurve_D6R9U7_POLR3G.pdf", "Melting_Curves/meltCurve_D6R9U7_POLR3G.pdf")</f>
        <v>Melting_Curves/meltCurve_D6R9U7_POLR3G.pdf</v>
      </c>
    </row>
    <row r="383" spans="1:28" x14ac:dyDescent="0.25">
      <c r="A383" t="s">
        <v>387</v>
      </c>
      <c r="B383">
        <v>0.99999676499088797</v>
      </c>
      <c r="C383">
        <v>1.04089163735399</v>
      </c>
      <c r="D383">
        <v>1.0814743631970201</v>
      </c>
      <c r="E383">
        <v>1.1347420097331899</v>
      </c>
      <c r="F383">
        <v>1.0633429637998499</v>
      </c>
      <c r="G383">
        <v>1.4007868296358099</v>
      </c>
      <c r="H383">
        <v>0.97681603568700903</v>
      </c>
      <c r="I383">
        <v>0.92612089999792901</v>
      </c>
      <c r="J383">
        <v>0.69750646862830801</v>
      </c>
      <c r="K383">
        <v>0.97652331059637998</v>
      </c>
      <c r="L383">
        <v>15000</v>
      </c>
      <c r="M383">
        <v>234.18797636835799</v>
      </c>
      <c r="O383">
        <v>64.046434227931499</v>
      </c>
      <c r="P383">
        <v>-0.14898757998110501</v>
      </c>
      <c r="Q383">
        <v>0.83701769495938505</v>
      </c>
      <c r="R383">
        <v>0.17730719556725599</v>
      </c>
      <c r="S383" t="s">
        <v>7386</v>
      </c>
      <c r="T383" t="s">
        <v>14004</v>
      </c>
      <c r="U383" t="s">
        <v>14004</v>
      </c>
      <c r="V383" t="s">
        <v>14004</v>
      </c>
      <c r="W383" t="s">
        <v>14384</v>
      </c>
      <c r="X383">
        <v>3</v>
      </c>
      <c r="Y383" t="s">
        <v>21321</v>
      </c>
      <c r="Z383" t="s">
        <v>28093</v>
      </c>
      <c r="AA383">
        <v>0.96770208909150812</v>
      </c>
      <c r="AB383" t="str">
        <f>HYPERLINK("Melting_Curves/meltCurve_D6R9Z7_COX7C.pdf", "Melting_Curves/meltCurve_D6R9Z7_COX7C.pdf")</f>
        <v>Melting_Curves/meltCurve_D6R9Z7_COX7C.pdf</v>
      </c>
    </row>
    <row r="384" spans="1:28" x14ac:dyDescent="0.25">
      <c r="A384" t="s">
        <v>388</v>
      </c>
      <c r="B384">
        <v>0.99999676499088797</v>
      </c>
      <c r="C384">
        <v>1.1064484987702199</v>
      </c>
      <c r="D384">
        <v>0.75622061015856401</v>
      </c>
      <c r="E384">
        <v>1.0849151452983401</v>
      </c>
      <c r="F384">
        <v>0.69968618029893104</v>
      </c>
      <c r="G384">
        <v>0.27485214266347902</v>
      </c>
      <c r="H384">
        <v>0.100402929799899</v>
      </c>
      <c r="I384">
        <v>0.23477211674814799</v>
      </c>
      <c r="J384">
        <v>0.34138344327352999</v>
      </c>
      <c r="K384">
        <v>0.120868435720595</v>
      </c>
      <c r="L384">
        <v>2925.1576770879801</v>
      </c>
      <c r="M384">
        <v>54.435350614480399</v>
      </c>
      <c r="N384">
        <v>54.2636126299493</v>
      </c>
      <c r="O384">
        <v>53.6639861608367</v>
      </c>
      <c r="P384">
        <v>-0.20151095914636399</v>
      </c>
      <c r="Q384">
        <v>0.20537851607197799</v>
      </c>
      <c r="R384">
        <v>0.91922742325364903</v>
      </c>
      <c r="S384" t="s">
        <v>7387</v>
      </c>
      <c r="T384" t="s">
        <v>14004</v>
      </c>
      <c r="U384" t="s">
        <v>14004</v>
      </c>
      <c r="V384" t="s">
        <v>14004</v>
      </c>
      <c r="W384" t="s">
        <v>14385</v>
      </c>
      <c r="X384">
        <v>1</v>
      </c>
      <c r="Y384" t="s">
        <v>21322</v>
      </c>
      <c r="Z384" t="s">
        <v>28094</v>
      </c>
      <c r="AA384">
        <v>0.57080632085585448</v>
      </c>
      <c r="AB384" t="str">
        <f>HYPERLINK("Melting_Curves/meltCurve_D6RA89_PEX10.pdf", "Melting_Curves/meltCurve_D6RA89_PEX10.pdf")</f>
        <v>Melting_Curves/meltCurve_D6RA89_PEX10.pdf</v>
      </c>
    </row>
    <row r="385" spans="1:28" x14ac:dyDescent="0.25">
      <c r="A385" t="s">
        <v>389</v>
      </c>
      <c r="B385">
        <v>0.99999676499088797</v>
      </c>
      <c r="C385">
        <v>1.0145058793674699</v>
      </c>
      <c r="D385">
        <v>1.0260935373732101</v>
      </c>
      <c r="E385">
        <v>0.981559242442127</v>
      </c>
      <c r="F385">
        <v>0.73444917871415205</v>
      </c>
      <c r="G385">
        <v>0.38733125239157501</v>
      </c>
      <c r="H385">
        <v>0.104706332527711</v>
      </c>
      <c r="I385">
        <v>8.69215958375818E-2</v>
      </c>
      <c r="J385">
        <v>6.8676302565698705E-2</v>
      </c>
      <c r="K385">
        <v>7.1650703727270296E-2</v>
      </c>
      <c r="L385">
        <v>1496.3472837085101</v>
      </c>
      <c r="M385">
        <v>27.077155359480301</v>
      </c>
      <c r="N385">
        <v>55.521518371343603</v>
      </c>
      <c r="O385">
        <v>54.963567609665397</v>
      </c>
      <c r="P385">
        <v>-0.115849268410662</v>
      </c>
      <c r="Q385">
        <v>5.93654826345551E-2</v>
      </c>
      <c r="R385">
        <v>0.99800268122014202</v>
      </c>
      <c r="S385" t="s">
        <v>7388</v>
      </c>
      <c r="T385" t="s">
        <v>14004</v>
      </c>
      <c r="U385" t="s">
        <v>14004</v>
      </c>
      <c r="V385" t="s">
        <v>14004</v>
      </c>
      <c r="W385" t="s">
        <v>14386</v>
      </c>
      <c r="X385">
        <v>6</v>
      </c>
      <c r="Y385" t="s">
        <v>21323</v>
      </c>
      <c r="Z385" t="s">
        <v>28095</v>
      </c>
      <c r="AA385">
        <v>0.54545759225991075</v>
      </c>
      <c r="AB385" t="str">
        <f>HYPERLINK("Melting_Curves/meltCurve_D6RAD4_CDK7.pdf", "Melting_Curves/meltCurve_D6RAD4_CDK7.pdf")</f>
        <v>Melting_Curves/meltCurve_D6RAD4_CDK7.pdf</v>
      </c>
    </row>
    <row r="386" spans="1:28" x14ac:dyDescent="0.25">
      <c r="A386" t="s">
        <v>390</v>
      </c>
      <c r="B386">
        <v>0.99999676499088797</v>
      </c>
      <c r="C386">
        <v>0.88502225045050598</v>
      </c>
      <c r="D386">
        <v>0.96794200765897298</v>
      </c>
      <c r="E386">
        <v>0.94896097659145096</v>
      </c>
      <c r="F386">
        <v>0.401612671545516</v>
      </c>
      <c r="G386">
        <v>0.19409817092382201</v>
      </c>
      <c r="H386">
        <v>0.112835446899646</v>
      </c>
      <c r="I386">
        <v>0.11047780721137</v>
      </c>
      <c r="J386">
        <v>8.5209793211373897E-2</v>
      </c>
      <c r="K386">
        <v>7.2005409526350705E-2</v>
      </c>
      <c r="L386">
        <v>2187.1497310620498</v>
      </c>
      <c r="M386">
        <v>41.728027768963003</v>
      </c>
      <c r="N386">
        <v>52.7125907886657</v>
      </c>
      <c r="O386">
        <v>52.294455728938203</v>
      </c>
      <c r="P386">
        <v>-0.17851451059800399</v>
      </c>
      <c r="Q386">
        <v>0.105128774564946</v>
      </c>
      <c r="R386">
        <v>0.98757626717356795</v>
      </c>
      <c r="S386" t="s">
        <v>7389</v>
      </c>
      <c r="T386" t="s">
        <v>14004</v>
      </c>
      <c r="U386" t="s">
        <v>14004</v>
      </c>
      <c r="V386" t="s">
        <v>14004</v>
      </c>
      <c r="W386" t="s">
        <v>14387</v>
      </c>
      <c r="X386">
        <v>1</v>
      </c>
      <c r="Y386" t="s">
        <v>21324</v>
      </c>
      <c r="Z386" t="s">
        <v>28096</v>
      </c>
      <c r="AA386">
        <v>0.47841449341351189</v>
      </c>
      <c r="AB386" t="str">
        <f>HYPERLINK("Melting_Curves/meltCurve_D6RAR3_TMEM161B.pdf", "Melting_Curves/meltCurve_D6RAR3_TMEM161B.pdf")</f>
        <v>Melting_Curves/meltCurve_D6RAR3_TMEM161B.pdf</v>
      </c>
    </row>
    <row r="387" spans="1:28" x14ac:dyDescent="0.25">
      <c r="A387" t="s">
        <v>391</v>
      </c>
      <c r="B387">
        <v>0.99999676499088797</v>
      </c>
      <c r="C387">
        <v>0.99706417460921604</v>
      </c>
      <c r="D387">
        <v>0.98336777984477297</v>
      </c>
      <c r="E387">
        <v>0.91107425634906503</v>
      </c>
      <c r="F387">
        <v>0.78473026581015903</v>
      </c>
      <c r="G387">
        <v>0.776716231548083</v>
      </c>
      <c r="H387">
        <v>0.49892343437289399</v>
      </c>
      <c r="I387">
        <v>0.60790926727053096</v>
      </c>
      <c r="J387">
        <v>0.82100861951545501</v>
      </c>
      <c r="K387">
        <v>0.72095943669082097</v>
      </c>
      <c r="L387">
        <v>1294.3517198126301</v>
      </c>
      <c r="M387">
        <v>24.992680035506702</v>
      </c>
      <c r="O387">
        <v>51.461082961661702</v>
      </c>
      <c r="P387">
        <v>-3.9436675469747301E-2</v>
      </c>
      <c r="Q387">
        <v>0.67519661828142696</v>
      </c>
      <c r="R387">
        <v>0.74239913535365698</v>
      </c>
      <c r="S387" t="s">
        <v>7390</v>
      </c>
      <c r="T387" t="s">
        <v>14004</v>
      </c>
      <c r="U387" t="s">
        <v>14004</v>
      </c>
      <c r="V387" t="s">
        <v>14004</v>
      </c>
      <c r="W387" t="s">
        <v>14388</v>
      </c>
      <c r="X387">
        <v>1</v>
      </c>
      <c r="Y387" t="s">
        <v>21325</v>
      </c>
      <c r="Z387" t="s">
        <v>28097</v>
      </c>
      <c r="AA387">
        <v>0.80579663880793129</v>
      </c>
      <c r="AB387" t="str">
        <f>HYPERLINK("Melting_Curves/meltCurve_D6RAT4_CNBP.pdf", "Melting_Curves/meltCurve_D6RAT4_CNBP.pdf")</f>
        <v>Melting_Curves/meltCurve_D6RAT4_CNBP.pdf</v>
      </c>
    </row>
    <row r="388" spans="1:28" x14ac:dyDescent="0.25">
      <c r="A388" t="s">
        <v>392</v>
      </c>
      <c r="B388">
        <v>0.99999676499088797</v>
      </c>
      <c r="C388">
        <v>0.91088979989367003</v>
      </c>
      <c r="D388">
        <v>0.78430219932026901</v>
      </c>
      <c r="E388">
        <v>0.52905170976454596</v>
      </c>
      <c r="F388">
        <v>0.32830340111948603</v>
      </c>
      <c r="G388">
        <v>0.25773331341174699</v>
      </c>
      <c r="H388">
        <v>0.17015926933464201</v>
      </c>
      <c r="I388">
        <v>0.132973202515447</v>
      </c>
      <c r="J388">
        <v>0.156630349818036</v>
      </c>
      <c r="K388">
        <v>0.162959295081293</v>
      </c>
      <c r="L388">
        <v>780.57667364371196</v>
      </c>
      <c r="M388">
        <v>15.9067206424525</v>
      </c>
      <c r="N388">
        <v>50.116464665264601</v>
      </c>
      <c r="O388">
        <v>48.316197242911201</v>
      </c>
      <c r="P388">
        <v>-7.0700612646962799E-2</v>
      </c>
      <c r="Q388">
        <v>0.141064762686374</v>
      </c>
      <c r="R388">
        <v>0.99745173708340595</v>
      </c>
      <c r="S388" t="s">
        <v>7391</v>
      </c>
      <c r="T388" t="s">
        <v>14004</v>
      </c>
      <c r="U388" t="s">
        <v>14004</v>
      </c>
      <c r="V388" t="s">
        <v>14004</v>
      </c>
      <c r="W388" t="s">
        <v>14389</v>
      </c>
      <c r="X388">
        <v>5</v>
      </c>
      <c r="Y388" t="s">
        <v>21326</v>
      </c>
      <c r="Z388" t="s">
        <v>28098</v>
      </c>
      <c r="AA388">
        <v>0.41972734639529502</v>
      </c>
      <c r="AB388" t="str">
        <f>HYPERLINK("Melting_Curves/meltCurve_D6RB34_IRF2.pdf", "Melting_Curves/meltCurve_D6RB34_IRF2.pdf")</f>
        <v>Melting_Curves/meltCurve_D6RB34_IRF2.pdf</v>
      </c>
    </row>
    <row r="389" spans="1:28" x14ac:dyDescent="0.25">
      <c r="A389" t="s">
        <v>393</v>
      </c>
      <c r="B389">
        <v>0.99999676499088797</v>
      </c>
      <c r="C389">
        <v>0.78072576741842303</v>
      </c>
      <c r="D389">
        <v>0.77894872455285802</v>
      </c>
      <c r="E389">
        <v>0.77200720313397797</v>
      </c>
      <c r="F389">
        <v>0.30284508797391002</v>
      </c>
      <c r="G389">
        <v>8.5384689067510802E-2</v>
      </c>
      <c r="H389">
        <v>1.51579993805695E-2</v>
      </c>
      <c r="I389">
        <v>1.31916383847704E-2</v>
      </c>
      <c r="J389">
        <v>0</v>
      </c>
      <c r="K389">
        <v>0</v>
      </c>
      <c r="L389">
        <v>936.07703894695305</v>
      </c>
      <c r="M389">
        <v>18.3036090587891</v>
      </c>
      <c r="N389">
        <v>51.1416649175628</v>
      </c>
      <c r="O389">
        <v>50.542948327832001</v>
      </c>
      <c r="P389">
        <v>-9.0539131711660906E-2</v>
      </c>
      <c r="Q389">
        <v>0</v>
      </c>
      <c r="R389">
        <v>0.95302484571224799</v>
      </c>
      <c r="S389" t="s">
        <v>7392</v>
      </c>
      <c r="T389" t="s">
        <v>14004</v>
      </c>
      <c r="U389" t="s">
        <v>14004</v>
      </c>
      <c r="V389" t="s">
        <v>14004</v>
      </c>
      <c r="W389" t="s">
        <v>14390</v>
      </c>
      <c r="X389">
        <v>1</v>
      </c>
      <c r="Y389" t="s">
        <v>21327</v>
      </c>
      <c r="Z389" t="s">
        <v>28099</v>
      </c>
      <c r="AA389">
        <v>0.38771242345235851</v>
      </c>
      <c r="AB389" t="str">
        <f>HYPERLINK("Melting_Curves/meltCurve_D6RB81_AMACR.pdf", "Melting_Curves/meltCurve_D6RB81_AMACR.pdf")</f>
        <v>Melting_Curves/meltCurve_D6RB81_AMACR.pdf</v>
      </c>
    </row>
    <row r="390" spans="1:28" x14ac:dyDescent="0.25">
      <c r="A390" t="s">
        <v>394</v>
      </c>
      <c r="B390">
        <v>0.99999676499088797</v>
      </c>
      <c r="C390">
        <v>0.86617633942188399</v>
      </c>
      <c r="D390">
        <v>0.87678769533732004</v>
      </c>
      <c r="E390">
        <v>0.95938593328768695</v>
      </c>
      <c r="F390">
        <v>0.60523391426394402</v>
      </c>
      <c r="G390">
        <v>0.22264519184523901</v>
      </c>
      <c r="H390">
        <v>0.10422691818968299</v>
      </c>
      <c r="I390">
        <v>9.0631907849033397E-2</v>
      </c>
      <c r="J390">
        <v>7.5850361783895398E-2</v>
      </c>
      <c r="K390">
        <v>6.6454740052839606E-2</v>
      </c>
      <c r="L390">
        <v>1644.87685873857</v>
      </c>
      <c r="M390">
        <v>30.6066693329693</v>
      </c>
      <c r="N390">
        <v>54.029068318689603</v>
      </c>
      <c r="O390">
        <v>53.514571475398199</v>
      </c>
      <c r="P390">
        <v>-0.13226864914744099</v>
      </c>
      <c r="Q390">
        <v>7.4939189846777304E-2</v>
      </c>
      <c r="R390">
        <v>0.97850766466257599</v>
      </c>
      <c r="S390" t="s">
        <v>7393</v>
      </c>
      <c r="T390" t="s">
        <v>14004</v>
      </c>
      <c r="U390" t="s">
        <v>14004</v>
      </c>
      <c r="V390" t="s">
        <v>14004</v>
      </c>
      <c r="W390" t="s">
        <v>14391</v>
      </c>
      <c r="X390">
        <v>8</v>
      </c>
      <c r="Y390" t="s">
        <v>21328</v>
      </c>
      <c r="Z390" t="s">
        <v>28100</v>
      </c>
      <c r="AA390">
        <v>0.50451906534314339</v>
      </c>
      <c r="AB390" t="str">
        <f>HYPERLINK("Melting_Curves/meltCurve_D6RBW1_EIF4E.pdf", "Melting_Curves/meltCurve_D6RBW1_EIF4E.pdf")</f>
        <v>Melting_Curves/meltCurve_D6RBW1_EIF4E.pdf</v>
      </c>
    </row>
    <row r="391" spans="1:28" x14ac:dyDescent="0.25">
      <c r="A391" t="s">
        <v>395</v>
      </c>
      <c r="B391">
        <v>0.99999676499088797</v>
      </c>
      <c r="C391">
        <v>1.0725346897441399</v>
      </c>
      <c r="D391">
        <v>1.08219768679729</v>
      </c>
      <c r="E391">
        <v>1.1963737661051601</v>
      </c>
      <c r="F391">
        <v>1.1486749224775299</v>
      </c>
      <c r="G391">
        <v>0.58232555118280904</v>
      </c>
      <c r="H391">
        <v>0.40780584635536798</v>
      </c>
      <c r="I391">
        <v>0.34222463672903902</v>
      </c>
      <c r="J391">
        <v>0.29436082542379099</v>
      </c>
      <c r="K391">
        <v>0.46415554191788</v>
      </c>
      <c r="L391">
        <v>14159.628209038199</v>
      </c>
      <c r="M391">
        <v>250</v>
      </c>
      <c r="N391">
        <v>56.958264802878197</v>
      </c>
      <c r="O391">
        <v>56.634889620012999</v>
      </c>
      <c r="P391">
        <v>-0.68736705604027404</v>
      </c>
      <c r="Q391">
        <v>0.37713669716922599</v>
      </c>
      <c r="R391">
        <v>0.92772144851863003</v>
      </c>
      <c r="S391" t="s">
        <v>7394</v>
      </c>
      <c r="T391" t="s">
        <v>14004</v>
      </c>
      <c r="U391" t="s">
        <v>14004</v>
      </c>
      <c r="V391" t="s">
        <v>14004</v>
      </c>
      <c r="W391" t="s">
        <v>14392</v>
      </c>
      <c r="X391">
        <v>10</v>
      </c>
      <c r="Y391" t="s">
        <v>21329</v>
      </c>
      <c r="Z391" t="s">
        <v>28101</v>
      </c>
      <c r="AA391">
        <v>0.72264924491059779</v>
      </c>
      <c r="AB391" t="str">
        <f>HYPERLINK("Melting_Curves/meltCurve_D6RCD0_HSD17B11.pdf", "Melting_Curves/meltCurve_D6RCD0_HSD17B11.pdf")</f>
        <v>Melting_Curves/meltCurve_D6RCD0_HSD17B11.pdf</v>
      </c>
    </row>
    <row r="392" spans="1:28" x14ac:dyDescent="0.25">
      <c r="A392" t="s">
        <v>396</v>
      </c>
      <c r="B392">
        <v>0.99999676499088797</v>
      </c>
      <c r="C392">
        <v>1.8416525245112201</v>
      </c>
      <c r="D392">
        <v>1.2172646258568101</v>
      </c>
      <c r="E392">
        <v>1.58019553425558</v>
      </c>
      <c r="F392">
        <v>0.69013163201901695</v>
      </c>
      <c r="G392">
        <v>0.23797298512113799</v>
      </c>
      <c r="H392">
        <v>0.62003908836142796</v>
      </c>
      <c r="I392">
        <v>0.246078093805286</v>
      </c>
      <c r="J392">
        <v>0.65728959502455597</v>
      </c>
      <c r="K392">
        <v>0</v>
      </c>
      <c r="L392">
        <v>13304.600261264201</v>
      </c>
      <c r="M392">
        <v>250</v>
      </c>
      <c r="N392">
        <v>53.479222395429701</v>
      </c>
      <c r="O392">
        <v>53.215009921637197</v>
      </c>
      <c r="P392">
        <v>-0.76073958895417304</v>
      </c>
      <c r="Q392">
        <v>0.35227594013188201</v>
      </c>
      <c r="R392">
        <v>0.56551062414481301</v>
      </c>
      <c r="S392" t="s">
        <v>7395</v>
      </c>
      <c r="T392" t="s">
        <v>14004</v>
      </c>
      <c r="U392" t="s">
        <v>14004</v>
      </c>
      <c r="V392" t="s">
        <v>14004</v>
      </c>
      <c r="W392" t="s">
        <v>14393</v>
      </c>
      <c r="X392">
        <v>1</v>
      </c>
      <c r="Y392" t="s">
        <v>21330</v>
      </c>
      <c r="Z392" t="s">
        <v>28102</v>
      </c>
      <c r="AA392">
        <v>0.63773231557976995</v>
      </c>
      <c r="AB392" t="str">
        <f>HYPERLINK("Melting_Curves/meltCurve_D6RCD9_TMEM175.pdf", "Melting_Curves/meltCurve_D6RCD9_TMEM175.pdf")</f>
        <v>Melting_Curves/meltCurve_D6RCD9_TMEM175.pdf</v>
      </c>
    </row>
    <row r="393" spans="1:28" x14ac:dyDescent="0.25">
      <c r="A393" t="s">
        <v>397</v>
      </c>
      <c r="B393">
        <v>0.99999676499088797</v>
      </c>
      <c r="C393">
        <v>1.0537810378362</v>
      </c>
      <c r="D393">
        <v>0.97990921753674998</v>
      </c>
      <c r="E393">
        <v>0.61906845242261099</v>
      </c>
      <c r="F393">
        <v>0.32932355431094601</v>
      </c>
      <c r="G393">
        <v>0.23851596003038</v>
      </c>
      <c r="H393">
        <v>0.110811651739326</v>
      </c>
      <c r="I393">
        <v>0.129969518539021</v>
      </c>
      <c r="J393">
        <v>0.12973717264250401</v>
      </c>
      <c r="K393">
        <v>8.9586086390292002E-2</v>
      </c>
      <c r="L393">
        <v>1226.0529003899201</v>
      </c>
      <c r="M393">
        <v>24.266806681824502</v>
      </c>
      <c r="N393">
        <v>51.114899971255198</v>
      </c>
      <c r="O393">
        <v>50.1845358585485</v>
      </c>
      <c r="P393">
        <v>-0.10610148248840801</v>
      </c>
      <c r="Q393">
        <v>0.12232855976317999</v>
      </c>
      <c r="R393">
        <v>0.99040382951240402</v>
      </c>
      <c r="S393" t="s">
        <v>7396</v>
      </c>
      <c r="T393" t="s">
        <v>14004</v>
      </c>
      <c r="U393" t="s">
        <v>14004</v>
      </c>
      <c r="V393" t="s">
        <v>14004</v>
      </c>
      <c r="W393" t="s">
        <v>14394</v>
      </c>
      <c r="X393">
        <v>4</v>
      </c>
      <c r="Y393" t="s">
        <v>21331</v>
      </c>
      <c r="Z393" t="s">
        <v>28103</v>
      </c>
      <c r="AA393">
        <v>0.43857953251930132</v>
      </c>
      <c r="AB393" t="str">
        <f>HYPERLINK("Melting_Curves/meltCurve_D6RCM8_TNFAIP8.pdf", "Melting_Curves/meltCurve_D6RCM8_TNFAIP8.pdf")</f>
        <v>Melting_Curves/meltCurve_D6RCM8_TNFAIP8.pdf</v>
      </c>
    </row>
    <row r="394" spans="1:28" x14ac:dyDescent="0.25">
      <c r="A394" t="s">
        <v>398</v>
      </c>
      <c r="B394">
        <v>0.99999676499088797</v>
      </c>
      <c r="C394">
        <v>0.88378489127253501</v>
      </c>
      <c r="D394">
        <v>1.1318836144320401</v>
      </c>
      <c r="E394">
        <v>0.86420187540607696</v>
      </c>
      <c r="F394">
        <v>10.0786916030714</v>
      </c>
      <c r="G394">
        <v>0.41098401324551898</v>
      </c>
      <c r="H394">
        <v>0.41662678408359</v>
      </c>
      <c r="I394">
        <v>0.13789863890064299</v>
      </c>
      <c r="J394">
        <v>0.152357408850643</v>
      </c>
      <c r="K394">
        <v>0.12716042700329999</v>
      </c>
      <c r="L394">
        <v>14139.349353004</v>
      </c>
      <c r="M394">
        <v>250</v>
      </c>
      <c r="N394">
        <v>56.679733384887101</v>
      </c>
      <c r="O394">
        <v>56.553778133809601</v>
      </c>
      <c r="P394">
        <v>-0.87470969071523996</v>
      </c>
      <c r="Q394">
        <v>0.20850979672567199</v>
      </c>
      <c r="R394">
        <v>1.75418751427103E-3</v>
      </c>
      <c r="S394" t="s">
        <v>7397</v>
      </c>
      <c r="T394" t="s">
        <v>14004</v>
      </c>
      <c r="U394" t="s">
        <v>14004</v>
      </c>
      <c r="V394" t="s">
        <v>14004</v>
      </c>
      <c r="W394" t="s">
        <v>14395</v>
      </c>
      <c r="X394">
        <v>2</v>
      </c>
      <c r="Y394" t="s">
        <v>21332</v>
      </c>
      <c r="Z394" t="s">
        <v>28104</v>
      </c>
      <c r="AA394">
        <v>0.64542228605857799</v>
      </c>
      <c r="AB394" t="str">
        <f>HYPERLINK("Melting_Curves/meltCurve_D6RD17_IGJ.pdf", "Melting_Curves/meltCurve_D6RD17_IGJ.pdf")</f>
        <v>Melting_Curves/meltCurve_D6RD17_IGJ.pdf</v>
      </c>
    </row>
    <row r="395" spans="1:28" x14ac:dyDescent="0.25">
      <c r="A395" t="s">
        <v>399</v>
      </c>
      <c r="B395">
        <v>0.99999676499088797</v>
      </c>
      <c r="C395">
        <v>0.94847443898130002</v>
      </c>
      <c r="D395">
        <v>0.95930845699116596</v>
      </c>
      <c r="E395">
        <v>0.75194647877651699</v>
      </c>
      <c r="F395">
        <v>0.40287275726402899</v>
      </c>
      <c r="G395">
        <v>0.23428779021667301</v>
      </c>
      <c r="H395">
        <v>7.7973199806988802E-2</v>
      </c>
      <c r="I395">
        <v>6.96104305583327E-2</v>
      </c>
      <c r="J395">
        <v>8.6829021882755403E-2</v>
      </c>
      <c r="K395">
        <v>9.1484625181337501E-2</v>
      </c>
      <c r="L395">
        <v>1102.41080824145</v>
      </c>
      <c r="M395">
        <v>21.232299875556301</v>
      </c>
      <c r="N395">
        <v>52.293876099855801</v>
      </c>
      <c r="O395">
        <v>51.467407969362903</v>
      </c>
      <c r="P395">
        <v>-9.5899681958052804E-2</v>
      </c>
      <c r="Q395">
        <v>7.0174909313077599E-2</v>
      </c>
      <c r="R395">
        <v>0.99655137829387097</v>
      </c>
      <c r="S395" t="s">
        <v>7398</v>
      </c>
      <c r="T395" t="s">
        <v>14004</v>
      </c>
      <c r="U395" t="s">
        <v>14004</v>
      </c>
      <c r="V395" t="s">
        <v>14004</v>
      </c>
      <c r="W395" t="s">
        <v>14396</v>
      </c>
      <c r="X395">
        <v>2</v>
      </c>
      <c r="Y395" t="s">
        <v>21333</v>
      </c>
      <c r="Z395" t="s">
        <v>28105</v>
      </c>
      <c r="AA395">
        <v>0.45121363096186351</v>
      </c>
      <c r="AB395" t="str">
        <f>HYPERLINK("Melting_Curves/meltCurve_D6RD25_PRELID1.pdf", "Melting_Curves/meltCurve_D6RD25_PRELID1.pdf")</f>
        <v>Melting_Curves/meltCurve_D6RD25_PRELID1.pdf</v>
      </c>
    </row>
    <row r="396" spans="1:28" x14ac:dyDescent="0.25">
      <c r="A396" t="s">
        <v>400</v>
      </c>
      <c r="B396">
        <v>0.99999676499088797</v>
      </c>
      <c r="C396">
        <v>1.1357564294318701</v>
      </c>
      <c r="D396">
        <v>0.990995201157159</v>
      </c>
      <c r="E396">
        <v>0.79697181233293102</v>
      </c>
      <c r="F396">
        <v>0.317826177692551</v>
      </c>
      <c r="G396">
        <v>0.26906546077939703</v>
      </c>
      <c r="H396">
        <v>0.12574264599767199</v>
      </c>
      <c r="I396">
        <v>8.28160351711133E-2</v>
      </c>
      <c r="J396">
        <v>0.10828749968554301</v>
      </c>
      <c r="K396">
        <v>7.3927284837201193E-2</v>
      </c>
      <c r="L396">
        <v>1500.15481190625</v>
      </c>
      <c r="M396">
        <v>29.1172175760641</v>
      </c>
      <c r="N396">
        <v>51.9684758353457</v>
      </c>
      <c r="O396">
        <v>51.280044020903198</v>
      </c>
      <c r="P396">
        <v>-0.12622065662978901</v>
      </c>
      <c r="Q396">
        <v>0.110828041696431</v>
      </c>
      <c r="R396">
        <v>0.97979664368707997</v>
      </c>
      <c r="S396" t="s">
        <v>7399</v>
      </c>
      <c r="T396" t="s">
        <v>14004</v>
      </c>
      <c r="U396" t="s">
        <v>14004</v>
      </c>
      <c r="V396" t="s">
        <v>14004</v>
      </c>
      <c r="W396" t="s">
        <v>14397</v>
      </c>
      <c r="X396">
        <v>1</v>
      </c>
      <c r="Y396" t="s">
        <v>21334</v>
      </c>
      <c r="Z396" t="s">
        <v>28106</v>
      </c>
      <c r="AA396">
        <v>0.45828998329754322</v>
      </c>
      <c r="AB396" t="str">
        <f>HYPERLINK("Melting_Curves/meltCurve_D6RDV0_TUSC3.pdf", "Melting_Curves/meltCurve_D6RDV0_TUSC3.pdf")</f>
        <v>Melting_Curves/meltCurve_D6RDV0_TUSC3.pdf</v>
      </c>
    </row>
    <row r="397" spans="1:28" x14ac:dyDescent="0.25">
      <c r="A397" t="s">
        <v>401</v>
      </c>
      <c r="B397">
        <v>0.99999676499088797</v>
      </c>
      <c r="C397">
        <v>1.4723523183623299</v>
      </c>
      <c r="D397">
        <v>1.3701786158081299</v>
      </c>
      <c r="E397">
        <v>1.14668294165881</v>
      </c>
      <c r="F397">
        <v>1.13614852408884</v>
      </c>
      <c r="G397">
        <v>0.91484171402696901</v>
      </c>
      <c r="H397">
        <v>0.68161866915180003</v>
      </c>
      <c r="I397">
        <v>0.35504651007918098</v>
      </c>
      <c r="J397">
        <v>0</v>
      </c>
      <c r="K397">
        <v>0.20198111868919699</v>
      </c>
      <c r="L397">
        <v>2223.5311276910002</v>
      </c>
      <c r="M397">
        <v>35.915635653630098</v>
      </c>
      <c r="N397">
        <v>62.246540393824901</v>
      </c>
      <c r="O397">
        <v>61.718847257409401</v>
      </c>
      <c r="P397">
        <v>-0.13263736754416999</v>
      </c>
      <c r="Q397">
        <v>8.8285774685028504E-2</v>
      </c>
      <c r="R397">
        <v>0.80747568524074298</v>
      </c>
      <c r="S397" t="s">
        <v>7400</v>
      </c>
      <c r="T397" t="s">
        <v>14004</v>
      </c>
      <c r="U397" t="s">
        <v>14004</v>
      </c>
      <c r="V397" t="s">
        <v>14004</v>
      </c>
      <c r="W397" t="s">
        <v>14398</v>
      </c>
      <c r="X397">
        <v>1</v>
      </c>
      <c r="Y397" t="s">
        <v>21335</v>
      </c>
      <c r="Z397" t="s">
        <v>28107</v>
      </c>
      <c r="AA397">
        <v>0.75786737921479708</v>
      </c>
      <c r="AB397" t="str">
        <f>HYPERLINK("Melting_Curves/meltCurve_D6RDY9_SLC35B1.pdf", "Melting_Curves/meltCurve_D6RDY9_SLC35B1.pdf")</f>
        <v>Melting_Curves/meltCurve_D6RDY9_SLC35B1.pdf</v>
      </c>
    </row>
    <row r="398" spans="1:28" x14ac:dyDescent="0.25">
      <c r="A398" t="s">
        <v>402</v>
      </c>
      <c r="B398">
        <v>0.99999676499088797</v>
      </c>
      <c r="C398">
        <v>0.94298100044676902</v>
      </c>
      <c r="D398">
        <v>0.81429539278242202</v>
      </c>
      <c r="E398">
        <v>0.337499980559407</v>
      </c>
      <c r="F398">
        <v>0.225455623767436</v>
      </c>
      <c r="G398">
        <v>0.14293425101990301</v>
      </c>
      <c r="H398">
        <v>7.8748423713436599E-2</v>
      </c>
      <c r="I398">
        <v>7.6871692368621403E-2</v>
      </c>
      <c r="J398">
        <v>7.1502415674525394E-2</v>
      </c>
      <c r="K398">
        <v>6.2833601797595104E-2</v>
      </c>
      <c r="L398">
        <v>1178.9410636099301</v>
      </c>
      <c r="M398">
        <v>24.477360590007901</v>
      </c>
      <c r="N398">
        <v>48.537071842508396</v>
      </c>
      <c r="O398">
        <v>47.8465288377351</v>
      </c>
      <c r="P398">
        <v>-0.116944447453247</v>
      </c>
      <c r="Q398">
        <v>8.5636105136551802E-2</v>
      </c>
      <c r="R398">
        <v>0.99295343731618801</v>
      </c>
      <c r="S398" t="s">
        <v>7401</v>
      </c>
      <c r="T398" t="s">
        <v>14004</v>
      </c>
      <c r="U398" t="s">
        <v>14004</v>
      </c>
      <c r="V398" t="s">
        <v>14004</v>
      </c>
      <c r="W398" t="s">
        <v>14399</v>
      </c>
      <c r="X398">
        <v>9</v>
      </c>
      <c r="Y398" t="s">
        <v>21336</v>
      </c>
      <c r="Z398" t="s">
        <v>28108</v>
      </c>
      <c r="AA398">
        <v>0.34293058029287837</v>
      </c>
      <c r="AB398" t="str">
        <f>HYPERLINK("Melting_Curves/meltCurve_D6REA0_PET112.pdf", "Melting_Curves/meltCurve_D6REA0_PET112.pdf")</f>
        <v>Melting_Curves/meltCurve_D6REA0_PET112.pdf</v>
      </c>
    </row>
    <row r="399" spans="1:28" x14ac:dyDescent="0.25">
      <c r="A399" t="s">
        <v>403</v>
      </c>
      <c r="B399">
        <v>0.99999676499088797</v>
      </c>
      <c r="C399">
        <v>0.60237167597723695</v>
      </c>
      <c r="D399">
        <v>0.63556872034700795</v>
      </c>
      <c r="E399">
        <v>0.73049745174951997</v>
      </c>
      <c r="F399">
        <v>0.63921678869014398</v>
      </c>
      <c r="G399">
        <v>0.36033220040122299</v>
      </c>
      <c r="H399">
        <v>5.5744342712846902E-2</v>
      </c>
      <c r="I399">
        <v>7.5682439140819804E-2</v>
      </c>
      <c r="J399">
        <v>6.8670681155569305E-2</v>
      </c>
      <c r="K399">
        <v>0</v>
      </c>
      <c r="L399">
        <v>458.57607008531699</v>
      </c>
      <c r="M399">
        <v>8.8781471094217306</v>
      </c>
      <c r="N399">
        <v>51.652220815636298</v>
      </c>
      <c r="O399">
        <v>49.233133818201502</v>
      </c>
      <c r="P399">
        <v>-4.5116649167328403E-2</v>
      </c>
      <c r="Q399">
        <v>0</v>
      </c>
      <c r="R399">
        <v>0.83272723648818203</v>
      </c>
      <c r="S399" t="s">
        <v>7402</v>
      </c>
      <c r="T399" t="s">
        <v>14004</v>
      </c>
      <c r="U399" t="s">
        <v>14004</v>
      </c>
      <c r="V399" t="s">
        <v>14004</v>
      </c>
      <c r="W399" t="s">
        <v>14400</v>
      </c>
      <c r="X399">
        <v>1</v>
      </c>
      <c r="Y399" t="s">
        <v>21337</v>
      </c>
      <c r="Z399" t="s">
        <v>28109</v>
      </c>
      <c r="AA399">
        <v>0.43300487341320432</v>
      </c>
      <c r="AB399" t="str">
        <f>HYPERLINK("Melting_Curves/meltCurve_D6REB5_IDUA.pdf", "Melting_Curves/meltCurve_D6REB5_IDUA.pdf")</f>
        <v>Melting_Curves/meltCurve_D6REB5_IDUA.pdf</v>
      </c>
    </row>
    <row r="400" spans="1:28" x14ac:dyDescent="0.25">
      <c r="A400" t="s">
        <v>404</v>
      </c>
      <c r="B400">
        <v>0.99999676499088797</v>
      </c>
      <c r="C400">
        <v>1.06277471057786</v>
      </c>
      <c r="D400">
        <v>1.1395142980475099</v>
      </c>
      <c r="E400">
        <v>1.0360744081806701</v>
      </c>
      <c r="F400">
        <v>1.12955674612054</v>
      </c>
      <c r="G400">
        <v>1.2415018223393</v>
      </c>
      <c r="H400">
        <v>1.15122773891347</v>
      </c>
      <c r="I400">
        <v>1.33393451115398</v>
      </c>
      <c r="J400">
        <v>1.39142650123383</v>
      </c>
      <c r="K400">
        <v>1.2674813104201801</v>
      </c>
      <c r="L400">
        <v>346.33491169188699</v>
      </c>
      <c r="M400">
        <v>5.6465743400350998</v>
      </c>
      <c r="O400">
        <v>54.940746460380304</v>
      </c>
      <c r="P400">
        <v>1.28985597088235E-2</v>
      </c>
      <c r="Q400">
        <v>1.5</v>
      </c>
      <c r="R400">
        <v>0.76029139903348597</v>
      </c>
      <c r="S400" t="s">
        <v>7403</v>
      </c>
      <c r="T400" t="s">
        <v>14004</v>
      </c>
      <c r="U400" t="s">
        <v>14004</v>
      </c>
      <c r="V400" t="s">
        <v>14004</v>
      </c>
      <c r="W400" t="s">
        <v>14401</v>
      </c>
      <c r="X400">
        <v>2</v>
      </c>
      <c r="Y400" t="s">
        <v>21338</v>
      </c>
      <c r="Z400" t="s">
        <v>28110</v>
      </c>
      <c r="AA400">
        <v>1.1730796632402629</v>
      </c>
      <c r="AB400" t="str">
        <f>HYPERLINK("Melting_Curves/meltCurve_D6REL0_CDC42SE2.pdf", "Melting_Curves/meltCurve_D6REL0_CDC42SE2.pdf")</f>
        <v>Melting_Curves/meltCurve_D6REL0_CDC42SE2.pdf</v>
      </c>
    </row>
    <row r="401" spans="1:28" x14ac:dyDescent="0.25">
      <c r="A401" t="s">
        <v>405</v>
      </c>
      <c r="B401">
        <v>0.99999676499088797</v>
      </c>
      <c r="C401">
        <v>0.97660452473528203</v>
      </c>
      <c r="D401">
        <v>0.98461772587750096</v>
      </c>
      <c r="E401">
        <v>1.0684854457786599</v>
      </c>
      <c r="F401">
        <v>0.99541976001233701</v>
      </c>
      <c r="G401">
        <v>0.85231507507354098</v>
      </c>
      <c r="H401">
        <v>0.41616493180653402</v>
      </c>
      <c r="I401">
        <v>0.28886592306898201</v>
      </c>
      <c r="J401">
        <v>0.17517011215061001</v>
      </c>
      <c r="K401">
        <v>0.1976178124653</v>
      </c>
      <c r="L401">
        <v>2024.26602454473</v>
      </c>
      <c r="M401">
        <v>34.162312546286799</v>
      </c>
      <c r="N401">
        <v>60.099302753911701</v>
      </c>
      <c r="O401">
        <v>59.0524332193947</v>
      </c>
      <c r="P401">
        <v>-0.11704740768197899</v>
      </c>
      <c r="Q401">
        <v>0.19069805686740601</v>
      </c>
      <c r="R401">
        <v>0.99342270928724596</v>
      </c>
      <c r="S401" t="s">
        <v>7404</v>
      </c>
      <c r="T401" t="s">
        <v>14004</v>
      </c>
      <c r="U401" t="s">
        <v>14004</v>
      </c>
      <c r="V401" t="s">
        <v>14004</v>
      </c>
      <c r="W401" t="s">
        <v>14402</v>
      </c>
      <c r="X401">
        <v>3</v>
      </c>
      <c r="Y401" t="s">
        <v>21339</v>
      </c>
      <c r="Z401" t="s">
        <v>28111</v>
      </c>
      <c r="AA401">
        <v>0.71430824194709297</v>
      </c>
      <c r="AB401" t="str">
        <f>HYPERLINK("Melting_Curves/meltCurve_D6REL5_FAM175A.pdf", "Melting_Curves/meltCurve_D6REL5_FAM175A.pdf")</f>
        <v>Melting_Curves/meltCurve_D6REL5_FAM175A.pdf</v>
      </c>
    </row>
    <row r="402" spans="1:28" x14ac:dyDescent="0.25">
      <c r="A402" t="s">
        <v>406</v>
      </c>
      <c r="B402">
        <v>0.99999676499088797</v>
      </c>
      <c r="C402">
        <v>1.0548635650218401</v>
      </c>
      <c r="D402">
        <v>0.67333093307331604</v>
      </c>
      <c r="E402">
        <v>0.27586093857341198</v>
      </c>
      <c r="F402">
        <v>0.23426478039288401</v>
      </c>
      <c r="G402">
        <v>0.183683131068339</v>
      </c>
      <c r="H402">
        <v>7.7042125326802796E-2</v>
      </c>
      <c r="I402">
        <v>5.2654886139223901E-2</v>
      </c>
      <c r="J402">
        <v>4.5030194383376E-2</v>
      </c>
      <c r="K402">
        <v>3.2470759279354798E-2</v>
      </c>
      <c r="L402">
        <v>1228.0211324340801</v>
      </c>
      <c r="M402">
        <v>25.9350207127213</v>
      </c>
      <c r="N402">
        <v>47.705614980906297</v>
      </c>
      <c r="O402">
        <v>47.0711065136611</v>
      </c>
      <c r="P402">
        <v>-0.125635892124693</v>
      </c>
      <c r="Q402">
        <v>8.7912758253483797E-2</v>
      </c>
      <c r="R402">
        <v>0.97358449227739696</v>
      </c>
      <c r="S402" t="s">
        <v>7405</v>
      </c>
      <c r="T402" t="s">
        <v>14004</v>
      </c>
      <c r="U402" t="s">
        <v>14004</v>
      </c>
      <c r="V402" t="s">
        <v>14004</v>
      </c>
      <c r="W402" t="s">
        <v>14403</v>
      </c>
      <c r="X402">
        <v>12</v>
      </c>
      <c r="Y402" t="s">
        <v>21340</v>
      </c>
      <c r="Z402" t="s">
        <v>28112</v>
      </c>
      <c r="AA402">
        <v>0.31884940624911162</v>
      </c>
      <c r="AB402" t="str">
        <f>HYPERLINK("Melting_Curves/meltCurve_D6REM4_CSNK1A1.pdf", "Melting_Curves/meltCurve_D6REM4_CSNK1A1.pdf")</f>
        <v>Melting_Curves/meltCurve_D6REM4_CSNK1A1.pdf</v>
      </c>
    </row>
    <row r="403" spans="1:28" x14ac:dyDescent="0.25">
      <c r="A403" t="s">
        <v>407</v>
      </c>
      <c r="B403">
        <v>0.99999676499088797</v>
      </c>
      <c r="C403">
        <v>0.92317615225120997</v>
      </c>
      <c r="D403">
        <v>0.81176899824030901</v>
      </c>
      <c r="E403">
        <v>0.38362964463743299</v>
      </c>
      <c r="F403">
        <v>0.271240111864543</v>
      </c>
      <c r="G403">
        <v>0.215597832783537</v>
      </c>
      <c r="H403">
        <v>0.105290382836605</v>
      </c>
      <c r="I403">
        <v>9.4093423397164394E-2</v>
      </c>
      <c r="J403">
        <v>7.00055106609936E-2</v>
      </c>
      <c r="K403">
        <v>6.7960953836563295E-2</v>
      </c>
      <c r="L403">
        <v>916.90068641328605</v>
      </c>
      <c r="M403">
        <v>18.888045299384</v>
      </c>
      <c r="N403">
        <v>49.066420714303</v>
      </c>
      <c r="O403">
        <v>48.009646747855797</v>
      </c>
      <c r="P403">
        <v>-8.9399758230198106E-2</v>
      </c>
      <c r="Q403">
        <v>9.1091605324634894E-2</v>
      </c>
      <c r="R403">
        <v>0.98786309255318805</v>
      </c>
      <c r="S403" t="s">
        <v>7406</v>
      </c>
      <c r="T403" t="s">
        <v>14004</v>
      </c>
      <c r="U403" t="s">
        <v>14004</v>
      </c>
      <c r="V403" t="s">
        <v>14004</v>
      </c>
      <c r="W403" t="s">
        <v>14404</v>
      </c>
      <c r="X403">
        <v>18</v>
      </c>
      <c r="Y403" t="s">
        <v>21341</v>
      </c>
      <c r="Z403" t="s">
        <v>28113</v>
      </c>
      <c r="AA403">
        <v>0.36435004154948009</v>
      </c>
      <c r="AB403" t="str">
        <f>HYPERLINK("Melting_Curves/meltCurve_D6REX3_SEC31A.pdf", "Melting_Curves/meltCurve_D6REX3_SEC31A.pdf")</f>
        <v>Melting_Curves/meltCurve_D6REX3_SEC31A.pdf</v>
      </c>
    </row>
    <row r="404" spans="1:28" x14ac:dyDescent="0.25">
      <c r="A404" t="s">
        <v>408</v>
      </c>
      <c r="B404">
        <v>0.99999676499088797</v>
      </c>
      <c r="C404">
        <v>1.02140876529847</v>
      </c>
      <c r="D404">
        <v>1.0261372488873099</v>
      </c>
      <c r="E404">
        <v>0.61954750693960203</v>
      </c>
      <c r="F404">
        <v>0.29734505458816901</v>
      </c>
      <c r="G404">
        <v>0.19110887170474899</v>
      </c>
      <c r="H404">
        <v>7.2300714486905795E-2</v>
      </c>
      <c r="I404">
        <v>7.9457692245349099E-2</v>
      </c>
      <c r="J404">
        <v>8.9928540760217501E-2</v>
      </c>
      <c r="K404">
        <v>8.0170980932065594E-2</v>
      </c>
      <c r="L404">
        <v>1357.6606437440701</v>
      </c>
      <c r="M404">
        <v>26.840845234369802</v>
      </c>
      <c r="N404">
        <v>50.960145206993602</v>
      </c>
      <c r="O404">
        <v>50.303625211676703</v>
      </c>
      <c r="P404">
        <v>-0.12134747231198501</v>
      </c>
      <c r="Q404">
        <v>9.0318520306061398E-2</v>
      </c>
      <c r="R404">
        <v>0.99120701681653001</v>
      </c>
      <c r="S404" t="s">
        <v>7407</v>
      </c>
      <c r="T404" t="s">
        <v>14004</v>
      </c>
      <c r="U404" t="s">
        <v>14004</v>
      </c>
      <c r="V404" t="s">
        <v>14004</v>
      </c>
      <c r="W404" t="s">
        <v>14405</v>
      </c>
      <c r="X404">
        <v>12</v>
      </c>
      <c r="Y404" t="s">
        <v>21342</v>
      </c>
      <c r="Z404" t="s">
        <v>28114</v>
      </c>
      <c r="AA404">
        <v>0.41829092384040029</v>
      </c>
      <c r="AB404" t="str">
        <f>HYPERLINK("Melting_Curves/meltCurve_D6RF48_STX18.pdf", "Melting_Curves/meltCurve_D6RF48_STX18.pdf")</f>
        <v>Melting_Curves/meltCurve_D6RF48_STX18.pdf</v>
      </c>
    </row>
    <row r="405" spans="1:28" x14ac:dyDescent="0.25">
      <c r="A405" t="s">
        <v>409</v>
      </c>
      <c r="B405">
        <v>0.99999676499088797</v>
      </c>
      <c r="C405">
        <v>1.10125560940407</v>
      </c>
      <c r="D405">
        <v>1.17404813601633</v>
      </c>
      <c r="E405">
        <v>1.3767049086991401</v>
      </c>
      <c r="F405">
        <v>1.1742325504136899</v>
      </c>
      <c r="G405">
        <v>0.97170904624481103</v>
      </c>
      <c r="H405">
        <v>0.33893530693370599</v>
      </c>
      <c r="I405">
        <v>0.19208234431410601</v>
      </c>
      <c r="J405">
        <v>0.15332312146871199</v>
      </c>
      <c r="K405">
        <v>0.141279297663359</v>
      </c>
      <c r="L405">
        <v>3954.9291932741498</v>
      </c>
      <c r="M405">
        <v>66.3309916710447</v>
      </c>
      <c r="N405">
        <v>59.968681209353797</v>
      </c>
      <c r="O405">
        <v>59.570029946395003</v>
      </c>
      <c r="P405">
        <v>-0.23426674089670199</v>
      </c>
      <c r="Q405">
        <v>0.158446313288201</v>
      </c>
      <c r="R405">
        <v>0.90247758754739005</v>
      </c>
      <c r="S405" t="s">
        <v>7408</v>
      </c>
      <c r="T405" t="s">
        <v>14004</v>
      </c>
      <c r="U405" t="s">
        <v>14004</v>
      </c>
      <c r="V405" t="s">
        <v>14004</v>
      </c>
      <c r="W405" t="s">
        <v>14406</v>
      </c>
      <c r="X405">
        <v>11</v>
      </c>
      <c r="Y405" t="s">
        <v>21343</v>
      </c>
      <c r="Z405" t="s">
        <v>28115</v>
      </c>
      <c r="AA405">
        <v>0.7101915702363335</v>
      </c>
      <c r="AB405" t="str">
        <f>HYPERLINK("Melting_Curves/meltCurve_D6RFG8_DCK.pdf", "Melting_Curves/meltCurve_D6RFG8_DCK.pdf")</f>
        <v>Melting_Curves/meltCurve_D6RFG8_DCK.pdf</v>
      </c>
    </row>
    <row r="406" spans="1:28" x14ac:dyDescent="0.25">
      <c r="A406" t="s">
        <v>410</v>
      </c>
      <c r="B406">
        <v>0.99999676499088797</v>
      </c>
      <c r="C406">
        <v>0.94761973283708101</v>
      </c>
      <c r="D406">
        <v>0.89159918480278399</v>
      </c>
      <c r="E406">
        <v>0.92731307071843305</v>
      </c>
      <c r="F406">
        <v>0.69414618620853596</v>
      </c>
      <c r="G406">
        <v>0.33834571287522702</v>
      </c>
      <c r="H406">
        <v>0.16739899041245901</v>
      </c>
      <c r="I406">
        <v>0.14911421555715901</v>
      </c>
      <c r="J406">
        <v>0.10369659135688</v>
      </c>
      <c r="K406">
        <v>9.3075906412033199E-2</v>
      </c>
      <c r="L406">
        <v>1258.5587707909201</v>
      </c>
      <c r="M406">
        <v>23.067493162485199</v>
      </c>
      <c r="N406">
        <v>55.066335742287499</v>
      </c>
      <c r="O406">
        <v>54.154770666062497</v>
      </c>
      <c r="P406">
        <v>-9.6311663806603207E-2</v>
      </c>
      <c r="Q406">
        <v>9.5586302123057201E-2</v>
      </c>
      <c r="R406">
        <v>0.99056392006043703</v>
      </c>
      <c r="S406" t="s">
        <v>7409</v>
      </c>
      <c r="T406" t="s">
        <v>14004</v>
      </c>
      <c r="U406" t="s">
        <v>14004</v>
      </c>
      <c r="V406" t="s">
        <v>14004</v>
      </c>
      <c r="W406" t="s">
        <v>14407</v>
      </c>
      <c r="X406">
        <v>23</v>
      </c>
      <c r="Y406" t="s">
        <v>21344</v>
      </c>
      <c r="Z406" t="s">
        <v>28116</v>
      </c>
      <c r="AA406">
        <v>0.54416269573220044</v>
      </c>
      <c r="AB406" t="str">
        <f>HYPERLINK("Melting_Curves/meltCurve_D6RGI3_SEPT11.pdf", "Melting_Curves/meltCurve_D6RGI3_SEPT11.pdf")</f>
        <v>Melting_Curves/meltCurve_D6RGI3_SEPT11.pdf</v>
      </c>
    </row>
    <row r="407" spans="1:28" x14ac:dyDescent="0.25">
      <c r="A407" t="s">
        <v>411</v>
      </c>
      <c r="B407">
        <v>0.99999676499088797</v>
      </c>
      <c r="C407">
        <v>0.93038837063899404</v>
      </c>
      <c r="D407">
        <v>1.0472737617257299</v>
      </c>
      <c r="E407">
        <v>0.99876736162996504</v>
      </c>
      <c r="F407">
        <v>0.89868304221496098</v>
      </c>
      <c r="G407">
        <v>0.92874932970345503</v>
      </c>
      <c r="H407">
        <v>0.63095796008731597</v>
      </c>
      <c r="I407">
        <v>0.58186359826203904</v>
      </c>
      <c r="J407">
        <v>0.304156123579858</v>
      </c>
      <c r="K407">
        <v>0.16420557263927299</v>
      </c>
      <c r="L407">
        <v>1036.65070718274</v>
      </c>
      <c r="M407">
        <v>16.2053370216532</v>
      </c>
      <c r="N407">
        <v>63.969710654076998</v>
      </c>
      <c r="O407">
        <v>63.019410591080003</v>
      </c>
      <c r="P407">
        <v>-6.42919066908616E-2</v>
      </c>
      <c r="Q407">
        <v>0</v>
      </c>
      <c r="R407">
        <v>0.97002038052694395</v>
      </c>
      <c r="S407" t="s">
        <v>7410</v>
      </c>
      <c r="T407" t="s">
        <v>14004</v>
      </c>
      <c r="U407" t="s">
        <v>14004</v>
      </c>
      <c r="V407" t="s">
        <v>14004</v>
      </c>
      <c r="W407" t="s">
        <v>14408</v>
      </c>
      <c r="X407">
        <v>1</v>
      </c>
      <c r="Y407" t="s">
        <v>21345</v>
      </c>
      <c r="Z407" t="s">
        <v>28117</v>
      </c>
      <c r="AA407">
        <v>0.78600845277981568</v>
      </c>
      <c r="AB407" t="str">
        <f>HYPERLINK("Melting_Curves/meltCurve_D6RH17_ADH6.pdf", "Melting_Curves/meltCurve_D6RH17_ADH6.pdf")</f>
        <v>Melting_Curves/meltCurve_D6RH17_ADH6.pdf</v>
      </c>
    </row>
    <row r="408" spans="1:28" x14ac:dyDescent="0.25">
      <c r="A408" t="s">
        <v>412</v>
      </c>
      <c r="B408">
        <v>0.99999676499088797</v>
      </c>
      <c r="C408">
        <v>0.96655015230536001</v>
      </c>
      <c r="D408">
        <v>0.78515218730469005</v>
      </c>
      <c r="E408">
        <v>0.625882734152162</v>
      </c>
      <c r="F408">
        <v>0.47798462841508799</v>
      </c>
      <c r="G408">
        <v>0.42936911242960202</v>
      </c>
      <c r="H408">
        <v>0.170796192173335</v>
      </c>
      <c r="I408">
        <v>0.101455536351474</v>
      </c>
      <c r="J408">
        <v>0.10400275218341599</v>
      </c>
      <c r="K408">
        <v>6.5056171571627394E-2</v>
      </c>
      <c r="L408">
        <v>546.89041365001901</v>
      </c>
      <c r="M408">
        <v>10.3417705914501</v>
      </c>
      <c r="N408">
        <v>52.881698143835898</v>
      </c>
      <c r="O408">
        <v>51.018988779192199</v>
      </c>
      <c r="P408">
        <v>-5.0697758166257399E-2</v>
      </c>
      <c r="Q408">
        <v>0</v>
      </c>
      <c r="R408">
        <v>0.98312803159677198</v>
      </c>
      <c r="S408" t="s">
        <v>7411</v>
      </c>
      <c r="T408" t="s">
        <v>14004</v>
      </c>
      <c r="U408" t="s">
        <v>14004</v>
      </c>
      <c r="V408" t="s">
        <v>14004</v>
      </c>
      <c r="W408" t="s">
        <v>14409</v>
      </c>
      <c r="X408">
        <v>3</v>
      </c>
      <c r="Y408" t="s">
        <v>21346</v>
      </c>
      <c r="Z408" t="s">
        <v>28118</v>
      </c>
      <c r="AA408">
        <v>0.46297349799727983</v>
      </c>
      <c r="AB408" t="str">
        <f>HYPERLINK("Melting_Curves/meltCurve_D6RHD3_CENPK.pdf", "Melting_Curves/meltCurve_D6RHD3_CENPK.pdf")</f>
        <v>Melting_Curves/meltCurve_D6RHD3_CENPK.pdf</v>
      </c>
    </row>
    <row r="409" spans="1:28" x14ac:dyDescent="0.25">
      <c r="A409" t="s">
        <v>413</v>
      </c>
      <c r="B409">
        <v>0.99999676499088797</v>
      </c>
      <c r="C409">
        <v>1.0410332973529</v>
      </c>
      <c r="D409">
        <v>0.92166419440123504</v>
      </c>
      <c r="E409">
        <v>0.74977937488344903</v>
      </c>
      <c r="F409">
        <v>0.62602532437375402</v>
      </c>
      <c r="G409">
        <v>0.426679015902445</v>
      </c>
      <c r="H409">
        <v>0.27485347006038202</v>
      </c>
      <c r="I409">
        <v>0.19473832904081601</v>
      </c>
      <c r="J409">
        <v>0.154098285260243</v>
      </c>
      <c r="K409">
        <v>9.3271153660710496E-2</v>
      </c>
      <c r="L409">
        <v>663.56552653733104</v>
      </c>
      <c r="M409">
        <v>12.093729885565301</v>
      </c>
      <c r="N409">
        <v>55.316147013641299</v>
      </c>
      <c r="O409">
        <v>53.432976245049097</v>
      </c>
      <c r="P409">
        <v>-5.3958896851994301E-2</v>
      </c>
      <c r="Q409">
        <v>4.6610255061012303E-2</v>
      </c>
      <c r="R409">
        <v>0.99336284733837499</v>
      </c>
      <c r="S409" t="s">
        <v>7412</v>
      </c>
      <c r="T409" t="s">
        <v>14004</v>
      </c>
      <c r="U409" t="s">
        <v>14004</v>
      </c>
      <c r="V409" t="s">
        <v>14004</v>
      </c>
      <c r="W409" t="s">
        <v>14410</v>
      </c>
      <c r="X409">
        <v>2</v>
      </c>
      <c r="Y409" t="s">
        <v>21347</v>
      </c>
      <c r="Z409" t="s">
        <v>28119</v>
      </c>
      <c r="AA409">
        <v>0.54171170512219369</v>
      </c>
      <c r="AB409" t="str">
        <f>HYPERLINK("Melting_Curves/meltCurve_D6RHG7_SERINC5.pdf", "Melting_Curves/meltCurve_D6RHG7_SERINC5.pdf")</f>
        <v>Melting_Curves/meltCurve_D6RHG7_SERINC5.pdf</v>
      </c>
    </row>
    <row r="410" spans="1:28" x14ac:dyDescent="0.25">
      <c r="A410" t="s">
        <v>414</v>
      </c>
      <c r="B410">
        <v>0.99999676499088797</v>
      </c>
      <c r="C410">
        <v>1.0007842249394201</v>
      </c>
      <c r="D410">
        <v>0.93474524633788303</v>
      </c>
      <c r="E410">
        <v>0.841042239883108</v>
      </c>
      <c r="F410">
        <v>0.55063755700538597</v>
      </c>
      <c r="G410">
        <v>0.30670984047422301</v>
      </c>
      <c r="H410">
        <v>9.6853643050595697E-2</v>
      </c>
      <c r="I410">
        <v>0.102438333777698</v>
      </c>
      <c r="J410">
        <v>0.107912411474842</v>
      </c>
      <c r="K410">
        <v>6.3810637446087906E-2</v>
      </c>
      <c r="L410">
        <v>1053.6348612773199</v>
      </c>
      <c r="M410">
        <v>19.705987457490298</v>
      </c>
      <c r="N410">
        <v>53.828530290535497</v>
      </c>
      <c r="O410">
        <v>52.9262916503002</v>
      </c>
      <c r="P410">
        <v>-8.7326806398918294E-2</v>
      </c>
      <c r="Q410">
        <v>6.1864233857935602E-2</v>
      </c>
      <c r="R410">
        <v>0.99716439330905005</v>
      </c>
      <c r="S410" t="s">
        <v>7413</v>
      </c>
      <c r="T410" t="s">
        <v>14004</v>
      </c>
      <c r="U410" t="s">
        <v>14004</v>
      </c>
      <c r="V410" t="s">
        <v>14004</v>
      </c>
      <c r="W410" t="s">
        <v>14411</v>
      </c>
      <c r="X410">
        <v>13</v>
      </c>
      <c r="Y410" t="s">
        <v>21348</v>
      </c>
      <c r="Z410" t="s">
        <v>28120</v>
      </c>
      <c r="AA410">
        <v>0.49617846407315103</v>
      </c>
      <c r="AB410" t="str">
        <f>HYPERLINK("Melting_Curves/meltCurve_D6RHI7_CCNH.pdf", "Melting_Curves/meltCurve_D6RHI7_CCNH.pdf")</f>
        <v>Melting_Curves/meltCurve_D6RHI7_CCNH.pdf</v>
      </c>
    </row>
    <row r="411" spans="1:28" x14ac:dyDescent="0.25">
      <c r="A411" t="s">
        <v>415</v>
      </c>
      <c r="B411">
        <v>0.99999676499088797</v>
      </c>
      <c r="C411">
        <v>0.879332038946256</v>
      </c>
      <c r="D411">
        <v>0.87688617023135396</v>
      </c>
      <c r="E411">
        <v>0.80311009939447098</v>
      </c>
      <c r="F411">
        <v>0.954198343217869</v>
      </c>
      <c r="G411">
        <v>0.68712686955125701</v>
      </c>
      <c r="H411">
        <v>0.441705488428075</v>
      </c>
      <c r="I411">
        <v>0.38963063175195101</v>
      </c>
      <c r="J411">
        <v>0.32227377612142499</v>
      </c>
      <c r="K411">
        <v>0.284943414175791</v>
      </c>
      <c r="L411">
        <v>526.11964538785901</v>
      </c>
      <c r="M411">
        <v>8.5803978787074797</v>
      </c>
      <c r="N411">
        <v>61.316458755686298</v>
      </c>
      <c r="O411">
        <v>58.258429770024499</v>
      </c>
      <c r="P411">
        <v>-3.6852432686202898E-2</v>
      </c>
      <c r="Q411">
        <v>0</v>
      </c>
      <c r="R411">
        <v>0.91923226404631697</v>
      </c>
      <c r="S411" t="s">
        <v>7414</v>
      </c>
      <c r="T411" t="s">
        <v>14004</v>
      </c>
      <c r="U411" t="s">
        <v>14004</v>
      </c>
      <c r="V411" t="s">
        <v>14004</v>
      </c>
      <c r="W411" t="s">
        <v>14412</v>
      </c>
      <c r="X411">
        <v>4</v>
      </c>
      <c r="Y411" t="s">
        <v>21349</v>
      </c>
      <c r="Z411" t="s">
        <v>28121</v>
      </c>
      <c r="AA411">
        <v>0.68634861876682685</v>
      </c>
      <c r="AB411" t="str">
        <f>HYPERLINK("Melting_Curves/meltCurve_D6RHI9_RNASET2.pdf", "Melting_Curves/meltCurve_D6RHI9_RNASET2.pdf")</f>
        <v>Melting_Curves/meltCurve_D6RHI9_RNASET2.pdf</v>
      </c>
    </row>
    <row r="412" spans="1:28" x14ac:dyDescent="0.25">
      <c r="A412" t="s">
        <v>416</v>
      </c>
      <c r="B412">
        <v>0.99999676499088797</v>
      </c>
      <c r="C412">
        <v>1.0047272516553101</v>
      </c>
      <c r="D412">
        <v>0.79511363299328197</v>
      </c>
      <c r="E412">
        <v>0.71018253963521305</v>
      </c>
      <c r="F412">
        <v>0.54276718602803198</v>
      </c>
      <c r="G412">
        <v>0.39982138631429598</v>
      </c>
      <c r="H412">
        <v>0.297817833246663</v>
      </c>
      <c r="I412">
        <v>0.29536513162458899</v>
      </c>
      <c r="J412">
        <v>0.25384752201554001</v>
      </c>
      <c r="K412">
        <v>0.38628022841234899</v>
      </c>
      <c r="L412">
        <v>745.89658196628898</v>
      </c>
      <c r="M412">
        <v>14.7641372459375</v>
      </c>
      <c r="N412">
        <v>53.577560816556499</v>
      </c>
      <c r="O412">
        <v>49.621154545002298</v>
      </c>
      <c r="P412">
        <v>-5.32167721449371E-2</v>
      </c>
      <c r="Q412">
        <v>0.28464662957245301</v>
      </c>
      <c r="R412">
        <v>0.97154375045682095</v>
      </c>
      <c r="S412" t="s">
        <v>7415</v>
      </c>
      <c r="T412" t="s">
        <v>14004</v>
      </c>
      <c r="U412" t="s">
        <v>14004</v>
      </c>
      <c r="V412" t="s">
        <v>14004</v>
      </c>
      <c r="W412" t="s">
        <v>14413</v>
      </c>
      <c r="X412">
        <v>1</v>
      </c>
      <c r="Y412" t="s">
        <v>21350</v>
      </c>
      <c r="Z412" t="s">
        <v>28122</v>
      </c>
      <c r="AA412">
        <v>0.55275534519936975</v>
      </c>
      <c r="AB412" t="str">
        <f>HYPERLINK("Melting_Curves/meltCurve_D6RI11_CPLX1.pdf", "Melting_Curves/meltCurve_D6RI11_CPLX1.pdf")</f>
        <v>Melting_Curves/meltCurve_D6RI11_CPLX1.pdf</v>
      </c>
    </row>
    <row r="413" spans="1:28" x14ac:dyDescent="0.25">
      <c r="A413" t="s">
        <v>417</v>
      </c>
      <c r="B413">
        <v>0.99999676499088797</v>
      </c>
      <c r="C413">
        <v>0.96082703523075097</v>
      </c>
      <c r="D413">
        <v>1.0191333819376101</v>
      </c>
      <c r="E413">
        <v>0.92155732566833104</v>
      </c>
      <c r="F413">
        <v>0.83055886566001902</v>
      </c>
      <c r="G413">
        <v>0.89098400432276004</v>
      </c>
      <c r="H413">
        <v>0.67046844203296996</v>
      </c>
      <c r="I413">
        <v>0.52568612515271795</v>
      </c>
      <c r="J413">
        <v>0.35801900292692901</v>
      </c>
      <c r="K413">
        <v>0.29743378106025897</v>
      </c>
      <c r="L413">
        <v>723.54583665174698</v>
      </c>
      <c r="M413">
        <v>11.228333552163001</v>
      </c>
      <c r="N413">
        <v>64.439310782512507</v>
      </c>
      <c r="O413">
        <v>62.496756456132204</v>
      </c>
      <c r="P413">
        <v>-4.4929672212733598E-2</v>
      </c>
      <c r="Q413">
        <v>0</v>
      </c>
      <c r="R413">
        <v>0.97285896726400001</v>
      </c>
      <c r="S413" t="s">
        <v>7416</v>
      </c>
      <c r="T413" t="s">
        <v>14004</v>
      </c>
      <c r="U413" t="s">
        <v>14004</v>
      </c>
      <c r="V413" t="s">
        <v>14004</v>
      </c>
      <c r="W413" t="s">
        <v>14414</v>
      </c>
      <c r="X413">
        <v>3</v>
      </c>
      <c r="Y413" t="s">
        <v>21351</v>
      </c>
      <c r="Z413" t="s">
        <v>28123</v>
      </c>
      <c r="AA413">
        <v>0.7762005986287186</v>
      </c>
      <c r="AB413" t="str">
        <f>HYPERLINK("Melting_Curves/meltCurve_D6RIE3_COX7A2.pdf", "Melting_Curves/meltCurve_D6RIE3_COX7A2.pdf")</f>
        <v>Melting_Curves/meltCurve_D6RIE3_COX7A2.pdf</v>
      </c>
    </row>
    <row r="414" spans="1:28" x14ac:dyDescent="0.25">
      <c r="A414" t="s">
        <v>418</v>
      </c>
      <c r="B414">
        <v>0.99999676499088797</v>
      </c>
      <c r="C414">
        <v>1.03343853196989</v>
      </c>
      <c r="D414">
        <v>0.98824053143524404</v>
      </c>
      <c r="E414">
        <v>0.83634806822904295</v>
      </c>
      <c r="F414">
        <v>0.65441079375842504</v>
      </c>
      <c r="G414">
        <v>0.69819791981599999</v>
      </c>
      <c r="H414">
        <v>0.398698850334404</v>
      </c>
      <c r="I414">
        <v>0.489772779281472</v>
      </c>
      <c r="J414">
        <v>0.41757669993596302</v>
      </c>
      <c r="K414">
        <v>0.367962035526956</v>
      </c>
      <c r="L414">
        <v>715.27567558693704</v>
      </c>
      <c r="M414">
        <v>13.1708516103359</v>
      </c>
      <c r="N414">
        <v>60.144101693003101</v>
      </c>
      <c r="O414">
        <v>53.1013124148527</v>
      </c>
      <c r="P414">
        <v>-3.9646943270120097E-2</v>
      </c>
      <c r="Q414">
        <v>0.36072432717706798</v>
      </c>
      <c r="R414">
        <v>0.94815927431455205</v>
      </c>
      <c r="S414" t="s">
        <v>7417</v>
      </c>
      <c r="T414" t="s">
        <v>14004</v>
      </c>
      <c r="U414" t="s">
        <v>14004</v>
      </c>
      <c r="V414" t="s">
        <v>14004</v>
      </c>
      <c r="W414" t="s">
        <v>14415</v>
      </c>
      <c r="X414">
        <v>2</v>
      </c>
      <c r="Y414" t="s">
        <v>21352</v>
      </c>
      <c r="Z414" t="s">
        <v>28124</v>
      </c>
      <c r="AA414">
        <v>0.68046368477500585</v>
      </c>
      <c r="AB414" t="str">
        <f>HYPERLINK("Melting_Curves/meltCurve_D6RIE5_RNF150.pdf", "Melting_Curves/meltCurve_D6RIE5_RNF150.pdf")</f>
        <v>Melting_Curves/meltCurve_D6RIE5_RNF150.pdf</v>
      </c>
    </row>
    <row r="415" spans="1:28" x14ac:dyDescent="0.25">
      <c r="A415" t="s">
        <v>419</v>
      </c>
      <c r="B415">
        <v>0.99999676499088797</v>
      </c>
      <c r="C415">
        <v>1.00673467702266</v>
      </c>
      <c r="D415">
        <v>0.83490816216270103</v>
      </c>
      <c r="E415">
        <v>0.60756809695047198</v>
      </c>
      <c r="F415">
        <v>0.68170295450659402</v>
      </c>
      <c r="G415">
        <v>0.39431069744449099</v>
      </c>
      <c r="H415">
        <v>0.363572969275064</v>
      </c>
      <c r="I415">
        <v>0.49359663948979698</v>
      </c>
      <c r="J415">
        <v>0.500788378720742</v>
      </c>
      <c r="K415">
        <v>0.49716045538852199</v>
      </c>
      <c r="L415">
        <v>935.72215888149105</v>
      </c>
      <c r="M415">
        <v>19.3852590907366</v>
      </c>
      <c r="N415">
        <v>55.506965772086197</v>
      </c>
      <c r="O415">
        <v>47.764913971814501</v>
      </c>
      <c r="P415">
        <v>-5.4784149226617299E-2</v>
      </c>
      <c r="Q415">
        <v>0.460071433802758</v>
      </c>
      <c r="R415">
        <v>0.89977282783940304</v>
      </c>
      <c r="S415" t="s">
        <v>7418</v>
      </c>
      <c r="T415" t="s">
        <v>14004</v>
      </c>
      <c r="U415" t="s">
        <v>14004</v>
      </c>
      <c r="V415" t="s">
        <v>14004</v>
      </c>
      <c r="W415" t="s">
        <v>14416</v>
      </c>
      <c r="X415">
        <v>11</v>
      </c>
      <c r="Y415" t="s">
        <v>21353</v>
      </c>
      <c r="Z415" t="s">
        <v>28125</v>
      </c>
      <c r="AA415">
        <v>0.61705757615765644</v>
      </c>
      <c r="AB415" t="str">
        <f>HYPERLINK("Melting_Curves/meltCurve_D6RIF6_SLAIN2.pdf", "Melting_Curves/meltCurve_D6RIF6_SLAIN2.pdf")</f>
        <v>Melting_Curves/meltCurve_D6RIF6_SLAIN2.pdf</v>
      </c>
    </row>
    <row r="416" spans="1:28" x14ac:dyDescent="0.25">
      <c r="A416" t="s">
        <v>420</v>
      </c>
      <c r="B416">
        <v>0.99999676499088797</v>
      </c>
      <c r="C416">
        <v>0.95487289750470405</v>
      </c>
      <c r="D416">
        <v>0.95345276974075599</v>
      </c>
      <c r="E416">
        <v>0.68744754377658401</v>
      </c>
      <c r="F416">
        <v>0.34416033852535399</v>
      </c>
      <c r="G416">
        <v>0.256702009223651</v>
      </c>
      <c r="H416">
        <v>0.120717737775768</v>
      </c>
      <c r="I416">
        <v>0.16425444421381799</v>
      </c>
      <c r="J416">
        <v>0.16040106392355399</v>
      </c>
      <c r="K416">
        <v>0.13086295395795799</v>
      </c>
      <c r="L416">
        <v>1196.5212826623799</v>
      </c>
      <c r="M416">
        <v>23.5661682987859</v>
      </c>
      <c r="N416">
        <v>51.521242549549498</v>
      </c>
      <c r="O416">
        <v>50.411479188415797</v>
      </c>
      <c r="P416">
        <v>-9.9931595169372403E-2</v>
      </c>
      <c r="Q416">
        <v>0.14494136840991501</v>
      </c>
      <c r="R416">
        <v>0.99498262052554598</v>
      </c>
      <c r="S416" t="s">
        <v>7419</v>
      </c>
      <c r="T416" t="s">
        <v>14004</v>
      </c>
      <c r="U416" t="s">
        <v>14004</v>
      </c>
      <c r="V416" t="s">
        <v>14004</v>
      </c>
      <c r="W416" t="s">
        <v>14417</v>
      </c>
      <c r="X416">
        <v>6</v>
      </c>
      <c r="Y416" t="s">
        <v>21354</v>
      </c>
      <c r="Z416" t="s">
        <v>28126</v>
      </c>
      <c r="AA416">
        <v>0.46064404159696543</v>
      </c>
      <c r="AB416" t="str">
        <f>HYPERLINK("Melting_Curves/meltCurve_D6RJ07_ZNF346.pdf", "Melting_Curves/meltCurve_D6RJ07_ZNF346.pdf")</f>
        <v>Melting_Curves/meltCurve_D6RJ07_ZNF346.pdf</v>
      </c>
    </row>
    <row r="417" spans="1:28" x14ac:dyDescent="0.25">
      <c r="A417" t="s">
        <v>421</v>
      </c>
      <c r="B417">
        <v>0.99999676499088797</v>
      </c>
      <c r="C417">
        <v>0.91455841579381403</v>
      </c>
      <c r="D417">
        <v>0.98847388466095998</v>
      </c>
      <c r="E417">
        <v>1.1995755840341999</v>
      </c>
      <c r="F417">
        <v>0.61619138325177303</v>
      </c>
      <c r="G417">
        <v>0.36312643254971999</v>
      </c>
      <c r="H417">
        <v>0.172574420786691</v>
      </c>
      <c r="I417">
        <v>0.16139391922246599</v>
      </c>
      <c r="J417">
        <v>0.163421502876027</v>
      </c>
      <c r="K417">
        <v>0.12749597195711199</v>
      </c>
      <c r="L417">
        <v>1972.9516714316701</v>
      </c>
      <c r="M417">
        <v>36.5373839494954</v>
      </c>
      <c r="N417">
        <v>54.593187688529298</v>
      </c>
      <c r="O417">
        <v>53.837174945407703</v>
      </c>
      <c r="P417">
        <v>-0.14179975910985301</v>
      </c>
      <c r="Q417">
        <v>0.16424497901625701</v>
      </c>
      <c r="R417">
        <v>0.95346293778513602</v>
      </c>
      <c r="S417" t="s">
        <v>7420</v>
      </c>
      <c r="T417" t="s">
        <v>14004</v>
      </c>
      <c r="U417" t="s">
        <v>14004</v>
      </c>
      <c r="V417" t="s">
        <v>14004</v>
      </c>
      <c r="W417" t="s">
        <v>14418</v>
      </c>
      <c r="X417">
        <v>3</v>
      </c>
      <c r="Y417" t="s">
        <v>21355</v>
      </c>
      <c r="Z417" t="s">
        <v>28127</v>
      </c>
      <c r="AA417">
        <v>0.55794175899020737</v>
      </c>
      <c r="AB417" t="str">
        <f>HYPERLINK("Melting_Curves/meltCurve_D6RJ90_COMMD10.pdf", "Melting_Curves/meltCurve_D6RJ90_COMMD10.pdf")</f>
        <v>Melting_Curves/meltCurve_D6RJ90_COMMD10.pdf</v>
      </c>
    </row>
    <row r="418" spans="1:28" x14ac:dyDescent="0.25">
      <c r="A418" t="s">
        <v>422</v>
      </c>
      <c r="B418">
        <v>0.99999676499088797</v>
      </c>
      <c r="C418">
        <v>0.93788049699931098</v>
      </c>
      <c r="D418">
        <v>0.68530737069859105</v>
      </c>
      <c r="E418">
        <v>0.31237820662613602</v>
      </c>
      <c r="F418">
        <v>0.23640901999501701</v>
      </c>
      <c r="G418">
        <v>0.14494846251979801</v>
      </c>
      <c r="H418">
        <v>7.7766585822635306E-2</v>
      </c>
      <c r="I418">
        <v>7.7537726436413407E-2</v>
      </c>
      <c r="J418">
        <v>8.3547995341066106E-2</v>
      </c>
      <c r="K418">
        <v>4.9937974394084102E-2</v>
      </c>
      <c r="L418">
        <v>972.54286672327805</v>
      </c>
      <c r="M418">
        <v>20.474867570086399</v>
      </c>
      <c r="N418">
        <v>47.920944393261301</v>
      </c>
      <c r="O418">
        <v>47.053188309734303</v>
      </c>
      <c r="P418">
        <v>-9.9822560845146804E-2</v>
      </c>
      <c r="Q418">
        <v>8.2419936876392097E-2</v>
      </c>
      <c r="R418">
        <v>0.992543371571035</v>
      </c>
      <c r="S418" t="s">
        <v>7421</v>
      </c>
      <c r="T418" t="s">
        <v>14004</v>
      </c>
      <c r="U418" t="s">
        <v>14004</v>
      </c>
      <c r="V418" t="s">
        <v>14004</v>
      </c>
      <c r="W418" t="s">
        <v>14419</v>
      </c>
      <c r="X418">
        <v>16</v>
      </c>
      <c r="Y418" t="s">
        <v>21356</v>
      </c>
      <c r="Z418" t="s">
        <v>28128</v>
      </c>
      <c r="AA418">
        <v>0.32434317297290338</v>
      </c>
      <c r="AB418" t="str">
        <f>HYPERLINK("Melting_Curves/meltCurve_D6W592_HNRPLL.pdf", "Melting_Curves/meltCurve_D6W592_HNRPLL.pdf")</f>
        <v>Melting_Curves/meltCurve_D6W592_HNRPLL.pdf</v>
      </c>
    </row>
    <row r="419" spans="1:28" x14ac:dyDescent="0.25">
      <c r="A419" t="s">
        <v>423</v>
      </c>
      <c r="B419">
        <v>0.99999676499088797</v>
      </c>
      <c r="C419">
        <v>1.0071488287530399</v>
      </c>
      <c r="D419">
        <v>1.03575731618087</v>
      </c>
      <c r="E419">
        <v>1.0467041367768299</v>
      </c>
      <c r="F419">
        <v>1.0120083444221899</v>
      </c>
      <c r="G419">
        <v>0.99361634898955298</v>
      </c>
      <c r="H419">
        <v>0.72745186537223105</v>
      </c>
      <c r="I419">
        <v>0.83531656411980604</v>
      </c>
      <c r="J419">
        <v>0.75277914314792505</v>
      </c>
      <c r="K419">
        <v>0.93823133529708402</v>
      </c>
      <c r="L419">
        <v>14389.685196100299</v>
      </c>
      <c r="M419">
        <v>250</v>
      </c>
      <c r="O419">
        <v>57.555057508911503</v>
      </c>
      <c r="P419">
        <v>-0.20258350079693199</v>
      </c>
      <c r="Q419">
        <v>0.81344471993015299</v>
      </c>
      <c r="R419">
        <v>0.75887619710814003</v>
      </c>
      <c r="S419" t="s">
        <v>7422</v>
      </c>
      <c r="T419" t="s">
        <v>14004</v>
      </c>
      <c r="U419" t="s">
        <v>14004</v>
      </c>
      <c r="V419" t="s">
        <v>14004</v>
      </c>
      <c r="W419" t="s">
        <v>14420</v>
      </c>
      <c r="X419">
        <v>10</v>
      </c>
      <c r="Y419" t="s">
        <v>21357</v>
      </c>
      <c r="Z419" t="s">
        <v>28129</v>
      </c>
      <c r="AA419">
        <v>0.9226527582449916</v>
      </c>
      <c r="AB419" t="str">
        <f>HYPERLINK("Melting_Curves/meltCurve_E2QRF9_GMNN.pdf", "Melting_Curves/meltCurve_E2QRF9_GMNN.pdf")</f>
        <v>Melting_Curves/meltCurve_E2QRF9_GMNN.pdf</v>
      </c>
    </row>
    <row r="420" spans="1:28" x14ac:dyDescent="0.25">
      <c r="A420" t="s">
        <v>424</v>
      </c>
      <c r="B420">
        <v>0.99999676499088797</v>
      </c>
      <c r="C420">
        <v>1.1686196688127899</v>
      </c>
      <c r="D420">
        <v>1.04381221355069</v>
      </c>
      <c r="E420">
        <v>0.75872699866184001</v>
      </c>
      <c r="F420">
        <v>0.24135292415481399</v>
      </c>
      <c r="G420">
        <v>0.172146269209275</v>
      </c>
      <c r="H420">
        <v>9.5429688252594194E-2</v>
      </c>
      <c r="I420">
        <v>0.107294143497683</v>
      </c>
      <c r="J420">
        <v>0.15317003672756399</v>
      </c>
      <c r="K420">
        <v>5.1048770884260401E-2</v>
      </c>
      <c r="L420">
        <v>2048.1327124284999</v>
      </c>
      <c r="M420">
        <v>40.265202187852999</v>
      </c>
      <c r="N420">
        <v>51.189942714687703</v>
      </c>
      <c r="O420">
        <v>50.741110154906501</v>
      </c>
      <c r="P420">
        <v>-0.17607792610004999</v>
      </c>
      <c r="Q420">
        <v>0.112447715372894</v>
      </c>
      <c r="R420">
        <v>0.97872211925992703</v>
      </c>
      <c r="S420" t="s">
        <v>7423</v>
      </c>
      <c r="T420" t="s">
        <v>14004</v>
      </c>
      <c r="U420" t="s">
        <v>14004</v>
      </c>
      <c r="V420" t="s">
        <v>14004</v>
      </c>
      <c r="W420" t="s">
        <v>14421</v>
      </c>
      <c r="X420">
        <v>2</v>
      </c>
      <c r="Y420" t="s">
        <v>21358</v>
      </c>
      <c r="Z420" t="s">
        <v>28130</v>
      </c>
      <c r="AA420">
        <v>0.43700063931584082</v>
      </c>
      <c r="AB420" t="str">
        <f>HYPERLINK("Melting_Curves/meltCurve_E2QRH7_ELOVL5.pdf", "Melting_Curves/meltCurve_E2QRH7_ELOVL5.pdf")</f>
        <v>Melting_Curves/meltCurve_E2QRH7_ELOVL5.pdf</v>
      </c>
    </row>
    <row r="421" spans="1:28" x14ac:dyDescent="0.25">
      <c r="A421" t="s">
        <v>425</v>
      </c>
      <c r="B421">
        <v>0.99999676499088797</v>
      </c>
      <c r="C421">
        <v>0.74654283019304402</v>
      </c>
      <c r="D421">
        <v>0.74315013534978602</v>
      </c>
      <c r="E421">
        <v>0.77810617094897405</v>
      </c>
      <c r="F421">
        <v>0.40281108305419</v>
      </c>
      <c r="G421">
        <v>0.29681719910002602</v>
      </c>
      <c r="H421">
        <v>0.20664080314971101</v>
      </c>
      <c r="I421">
        <v>0.20015802088412099</v>
      </c>
      <c r="J421">
        <v>0.24128142347711701</v>
      </c>
      <c r="K421">
        <v>0.23260528610607201</v>
      </c>
      <c r="L421">
        <v>535.19554389745895</v>
      </c>
      <c r="M421">
        <v>10.629071802357</v>
      </c>
      <c r="N421">
        <v>52.022460687920102</v>
      </c>
      <c r="O421">
        <v>48.667845557812001</v>
      </c>
      <c r="P421">
        <v>-4.6724261931882102E-2</v>
      </c>
      <c r="Q421">
        <v>0.144574772134412</v>
      </c>
      <c r="R421">
        <v>0.921287897452987</v>
      </c>
      <c r="S421" t="s">
        <v>7424</v>
      </c>
      <c r="T421" t="s">
        <v>14004</v>
      </c>
      <c r="U421" t="s">
        <v>14004</v>
      </c>
      <c r="V421" t="s">
        <v>14004</v>
      </c>
      <c r="W421" t="s">
        <v>14422</v>
      </c>
      <c r="X421">
        <v>1</v>
      </c>
      <c r="Y421" t="s">
        <v>21359</v>
      </c>
      <c r="Z421" t="s">
        <v>28131</v>
      </c>
      <c r="AA421">
        <v>0.47434923660163669</v>
      </c>
      <c r="AB421" t="str">
        <f>HYPERLINK("Melting_Curves/meltCurve_E5RFE7_CA1.pdf", "Melting_Curves/meltCurve_E5RFE7_CA1.pdf")</f>
        <v>Melting_Curves/meltCurve_E5RFE7_CA1.pdf</v>
      </c>
    </row>
    <row r="422" spans="1:28" x14ac:dyDescent="0.25">
      <c r="A422" t="s">
        <v>426</v>
      </c>
      <c r="B422">
        <v>0.99999676499088797</v>
      </c>
      <c r="C422">
        <v>1.07932507659777</v>
      </c>
      <c r="D422">
        <v>0.99919025485368196</v>
      </c>
      <c r="E422">
        <v>0.70802927355620604</v>
      </c>
      <c r="F422">
        <v>0.42964931758887998</v>
      </c>
      <c r="G422">
        <v>0.330457548928422</v>
      </c>
      <c r="H422">
        <v>0.18796490865431301</v>
      </c>
      <c r="I422">
        <v>0.28725711592386899</v>
      </c>
      <c r="J422">
        <v>0.28935727749338402</v>
      </c>
      <c r="K422">
        <v>0.300074113279587</v>
      </c>
      <c r="L422">
        <v>1470.33127246913</v>
      </c>
      <c r="M422">
        <v>29.099900438853901</v>
      </c>
      <c r="N422">
        <v>51.941132121825</v>
      </c>
      <c r="O422">
        <v>50.290214079825702</v>
      </c>
      <c r="P422">
        <v>-0.10508340327238599</v>
      </c>
      <c r="Q422">
        <v>0.27358821043367998</v>
      </c>
      <c r="R422">
        <v>0.98220207315983599</v>
      </c>
      <c r="S422" t="s">
        <v>7425</v>
      </c>
      <c r="T422" t="s">
        <v>14004</v>
      </c>
      <c r="U422" t="s">
        <v>14004</v>
      </c>
      <c r="V422" t="s">
        <v>14004</v>
      </c>
      <c r="W422" t="s">
        <v>14423</v>
      </c>
      <c r="X422">
        <v>9</v>
      </c>
      <c r="Y422" t="s">
        <v>21360</v>
      </c>
      <c r="Z422" t="s">
        <v>28132</v>
      </c>
      <c r="AA422">
        <v>0.53330482067827878</v>
      </c>
      <c r="AB422" t="str">
        <f>HYPERLINK("Melting_Curves/meltCurve_E5RFJ1_NSMCE2.pdf", "Melting_Curves/meltCurve_E5RFJ1_NSMCE2.pdf")</f>
        <v>Melting_Curves/meltCurve_E5RFJ1_NSMCE2.pdf</v>
      </c>
    </row>
    <row r="423" spans="1:28" x14ac:dyDescent="0.25">
      <c r="A423" t="s">
        <v>427</v>
      </c>
      <c r="B423">
        <v>0.99999676499088797</v>
      </c>
      <c r="C423">
        <v>1.0099023009130901</v>
      </c>
      <c r="D423">
        <v>0.92803012997948997</v>
      </c>
      <c r="E423">
        <v>0.64704175190915603</v>
      </c>
      <c r="F423">
        <v>0.40052369897573198</v>
      </c>
      <c r="G423">
        <v>0.33856106672772301</v>
      </c>
      <c r="H423">
        <v>0.132983451777408</v>
      </c>
      <c r="I423">
        <v>8.2420757545805301E-2</v>
      </c>
      <c r="J423">
        <v>6.8745056259905193E-2</v>
      </c>
      <c r="K423">
        <v>5.2124770288032002E-2</v>
      </c>
      <c r="L423">
        <v>775.183816317984</v>
      </c>
      <c r="M423">
        <v>14.8943265076002</v>
      </c>
      <c r="N423">
        <v>52.343940545494199</v>
      </c>
      <c r="O423">
        <v>51.134406270376502</v>
      </c>
      <c r="P423">
        <v>-6.98631969198035E-2</v>
      </c>
      <c r="Q423">
        <v>4.0697252649737697E-2</v>
      </c>
      <c r="R423">
        <v>0.98911239898679904</v>
      </c>
      <c r="S423" t="s">
        <v>7426</v>
      </c>
      <c r="T423" t="s">
        <v>14004</v>
      </c>
      <c r="U423" t="s">
        <v>14004</v>
      </c>
      <c r="V423" t="s">
        <v>14004</v>
      </c>
      <c r="W423" t="s">
        <v>14424</v>
      </c>
      <c r="X423">
        <v>5</v>
      </c>
      <c r="Y423" t="s">
        <v>21361</v>
      </c>
      <c r="Z423" t="s">
        <v>28133</v>
      </c>
      <c r="AA423">
        <v>0.44751938311228368</v>
      </c>
      <c r="AB423" t="str">
        <f>HYPERLINK("Melting_Curves/meltCurve_E5RFU2_EPHX2.pdf", "Melting_Curves/meltCurve_E5RFU2_EPHX2.pdf")</f>
        <v>Melting_Curves/meltCurve_E5RFU2_EPHX2.pdf</v>
      </c>
    </row>
    <row r="424" spans="1:28" x14ac:dyDescent="0.25">
      <c r="A424" t="s">
        <v>428</v>
      </c>
      <c r="B424">
        <v>0.99999676499088797</v>
      </c>
      <c r="C424">
        <v>0.74699591411305799</v>
      </c>
      <c r="D424">
        <v>0.72652445274947997</v>
      </c>
      <c r="E424">
        <v>0.392458427771603</v>
      </c>
      <c r="F424">
        <v>0.28969531938071302</v>
      </c>
      <c r="G424">
        <v>0.241270376162209</v>
      </c>
      <c r="H424">
        <v>9.6067946358511305E-2</v>
      </c>
      <c r="I424">
        <v>0.106393146856417</v>
      </c>
      <c r="J424">
        <v>0.13074463558854299</v>
      </c>
      <c r="K424">
        <v>9.0661023769130197E-2</v>
      </c>
      <c r="L424">
        <v>616.96965342838098</v>
      </c>
      <c r="M424">
        <v>12.8858078456374</v>
      </c>
      <c r="N424">
        <v>48.569273919615597</v>
      </c>
      <c r="O424">
        <v>46.770625843658799</v>
      </c>
      <c r="P424">
        <v>-6.3131911443300007E-2</v>
      </c>
      <c r="Q424">
        <v>8.3587378097367104E-2</v>
      </c>
      <c r="R424">
        <v>0.975294163172164</v>
      </c>
      <c r="S424" t="s">
        <v>7427</v>
      </c>
      <c r="T424" t="s">
        <v>14004</v>
      </c>
      <c r="U424" t="s">
        <v>14004</v>
      </c>
      <c r="V424" t="s">
        <v>14004</v>
      </c>
      <c r="W424" t="s">
        <v>14425</v>
      </c>
      <c r="X424">
        <v>7</v>
      </c>
      <c r="Y424" t="s">
        <v>21362</v>
      </c>
      <c r="Z424" t="s">
        <v>28134</v>
      </c>
      <c r="AA424">
        <v>0.35606117124958259</v>
      </c>
      <c r="AB424" t="str">
        <f>HYPERLINK("Melting_Curves/meltCurve_E5RFX7_PROSC.pdf", "Melting_Curves/meltCurve_E5RFX7_PROSC.pdf")</f>
        <v>Melting_Curves/meltCurve_E5RFX7_PROSC.pdf</v>
      </c>
    </row>
    <row r="425" spans="1:28" x14ac:dyDescent="0.25">
      <c r="A425" t="s">
        <v>429</v>
      </c>
      <c r="B425">
        <v>0.99999676499088797</v>
      </c>
      <c r="C425">
        <v>0.97788388754516598</v>
      </c>
      <c r="D425">
        <v>0.50242017715546405</v>
      </c>
      <c r="E425">
        <v>0.168168336368195</v>
      </c>
      <c r="F425">
        <v>9.3944203669532697E-2</v>
      </c>
      <c r="G425">
        <v>8.0506189569958295E-2</v>
      </c>
      <c r="H425">
        <v>2.0099548157616099E-2</v>
      </c>
      <c r="I425">
        <v>2.7543646722072799E-2</v>
      </c>
      <c r="J425">
        <v>8.5199073500860194E-3</v>
      </c>
      <c r="K425">
        <v>0</v>
      </c>
      <c r="L425">
        <v>1484.35960413979</v>
      </c>
      <c r="M425">
        <v>32.2015185501198</v>
      </c>
      <c r="N425">
        <v>46.214730256765897</v>
      </c>
      <c r="O425">
        <v>45.919287496867902</v>
      </c>
      <c r="P425">
        <v>-0.16835401159577301</v>
      </c>
      <c r="Q425">
        <v>3.9715441822951898E-2</v>
      </c>
      <c r="R425">
        <v>0.99133685574883501</v>
      </c>
      <c r="S425" t="s">
        <v>7428</v>
      </c>
      <c r="T425" t="s">
        <v>14004</v>
      </c>
      <c r="U425" t="s">
        <v>14004</v>
      </c>
      <c r="V425" t="s">
        <v>14004</v>
      </c>
      <c r="W425" t="s">
        <v>14292</v>
      </c>
      <c r="X425">
        <v>1</v>
      </c>
      <c r="Z425" t="s">
        <v>28135</v>
      </c>
      <c r="AA425">
        <v>0.23982875572185999</v>
      </c>
      <c r="AB425" t="str">
        <f>HYPERLINK("Melting_Curves/meltCurve_E5RG04_.pdf", "Melting_Curves/meltCurve_E5RG04_.pdf")</f>
        <v>Melting_Curves/meltCurve_E5RG04_.pdf</v>
      </c>
    </row>
    <row r="426" spans="1:28" x14ac:dyDescent="0.25">
      <c r="A426" t="s">
        <v>430</v>
      </c>
      <c r="B426">
        <v>0.99999676499088797</v>
      </c>
      <c r="C426">
        <v>1.0413214867252201</v>
      </c>
      <c r="D426">
        <v>1.0030689143159</v>
      </c>
      <c r="E426">
        <v>0.98272827891141501</v>
      </c>
      <c r="F426">
        <v>0.92766457902747201</v>
      </c>
      <c r="G426">
        <v>0.73288769749976002</v>
      </c>
      <c r="H426">
        <v>0.458844532487727</v>
      </c>
      <c r="I426">
        <v>0.24236294699868799</v>
      </c>
      <c r="J426">
        <v>0.119955857842877</v>
      </c>
      <c r="K426">
        <v>9.9173553470275594E-2</v>
      </c>
      <c r="L426">
        <v>1155.7412822183801</v>
      </c>
      <c r="M426">
        <v>19.306369916114999</v>
      </c>
      <c r="N426">
        <v>60.054896212071696</v>
      </c>
      <c r="O426">
        <v>59.232051316703703</v>
      </c>
      <c r="P426">
        <v>-7.9054217674328006E-2</v>
      </c>
      <c r="Q426">
        <v>2.9881203315594101E-2</v>
      </c>
      <c r="R426">
        <v>0.99799487695217304</v>
      </c>
      <c r="S426" t="s">
        <v>7429</v>
      </c>
      <c r="T426" t="s">
        <v>14004</v>
      </c>
      <c r="U426" t="s">
        <v>14004</v>
      </c>
      <c r="V426" t="s">
        <v>14004</v>
      </c>
      <c r="W426" t="s">
        <v>14426</v>
      </c>
      <c r="X426">
        <v>18</v>
      </c>
      <c r="Y426" t="s">
        <v>21363</v>
      </c>
      <c r="Z426" t="s">
        <v>28136</v>
      </c>
      <c r="AA426">
        <v>0.68061413323920406</v>
      </c>
      <c r="AB426" t="str">
        <f>HYPERLINK("Melting_Curves/meltCurve_E5RG17_TATDN1.pdf", "Melting_Curves/meltCurve_E5RG17_TATDN1.pdf")</f>
        <v>Melting_Curves/meltCurve_E5RG17_TATDN1.pdf</v>
      </c>
    </row>
    <row r="427" spans="1:28" x14ac:dyDescent="0.25">
      <c r="A427" t="s">
        <v>431</v>
      </c>
      <c r="B427">
        <v>0.99999676499088797</v>
      </c>
      <c r="C427">
        <v>1.0316707647330099</v>
      </c>
      <c r="D427">
        <v>1.0001141180083599</v>
      </c>
      <c r="E427">
        <v>1.0653066827295199</v>
      </c>
      <c r="F427">
        <v>0.78118170941100895</v>
      </c>
      <c r="G427">
        <v>1.04059605340951</v>
      </c>
      <c r="H427">
        <v>0.77475648180370704</v>
      </c>
      <c r="I427">
        <v>0.83904926450884199</v>
      </c>
      <c r="J427">
        <v>0.788775960881135</v>
      </c>
      <c r="K427">
        <v>1.2297576010997899</v>
      </c>
      <c r="L427">
        <v>2487.55762992063</v>
      </c>
      <c r="M427">
        <v>48.769782890075</v>
      </c>
      <c r="O427">
        <v>50.9205661107084</v>
      </c>
      <c r="P427">
        <v>-2.0919170243279599E-2</v>
      </c>
      <c r="Q427">
        <v>0.91263316480524903</v>
      </c>
      <c r="R427">
        <v>0.115827901772971</v>
      </c>
      <c r="S427" t="s">
        <v>7430</v>
      </c>
      <c r="T427" t="s">
        <v>14004</v>
      </c>
      <c r="U427" t="s">
        <v>14004</v>
      </c>
      <c r="V427" t="s">
        <v>14004</v>
      </c>
      <c r="W427" t="s">
        <v>14427</v>
      </c>
      <c r="X427">
        <v>2</v>
      </c>
      <c r="Y427" t="s">
        <v>21364</v>
      </c>
      <c r="Z427" t="s">
        <v>28137</v>
      </c>
      <c r="AA427">
        <v>0.94489216782240493</v>
      </c>
      <c r="AB427" t="str">
        <f>HYPERLINK("Melting_Curves/meltCurve_E5RG44_TRIQK.pdf", "Melting_Curves/meltCurve_E5RG44_TRIQK.pdf")</f>
        <v>Melting_Curves/meltCurve_E5RG44_TRIQK.pdf</v>
      </c>
    </row>
    <row r="428" spans="1:28" x14ac:dyDescent="0.25">
      <c r="A428" t="s">
        <v>432</v>
      </c>
      <c r="B428">
        <v>0.99999676499088797</v>
      </c>
      <c r="C428">
        <v>1.02172344336194</v>
      </c>
      <c r="D428">
        <v>1.0386697424811699</v>
      </c>
      <c r="E428">
        <v>0.95661219018925503</v>
      </c>
      <c r="F428">
        <v>0.62169452060014496</v>
      </c>
      <c r="G428">
        <v>0.433330929776368</v>
      </c>
      <c r="H428">
        <v>0.23905472337505401</v>
      </c>
      <c r="I428">
        <v>0.169164589731777</v>
      </c>
      <c r="J428">
        <v>0.17529242392521099</v>
      </c>
      <c r="K428">
        <v>0.18908976179475401</v>
      </c>
      <c r="L428">
        <v>1241.8873933099101</v>
      </c>
      <c r="M428">
        <v>22.898050860539701</v>
      </c>
      <c r="N428">
        <v>55.249503914484698</v>
      </c>
      <c r="O428">
        <v>53.826941975786099</v>
      </c>
      <c r="P428">
        <v>-8.8106757961130697E-2</v>
      </c>
      <c r="Q428">
        <v>0.17155808782696799</v>
      </c>
      <c r="R428">
        <v>0.99174918220466801</v>
      </c>
      <c r="S428" t="s">
        <v>7431</v>
      </c>
      <c r="T428" t="s">
        <v>14004</v>
      </c>
      <c r="U428" t="s">
        <v>14004</v>
      </c>
      <c r="V428" t="s">
        <v>14004</v>
      </c>
      <c r="W428" t="s">
        <v>14428</v>
      </c>
      <c r="X428">
        <v>4</v>
      </c>
      <c r="Y428" t="s">
        <v>21365</v>
      </c>
      <c r="Z428" t="s">
        <v>28138</v>
      </c>
      <c r="AA428">
        <v>0.57362685713116679</v>
      </c>
      <c r="AB428" t="str">
        <f>HYPERLINK("Melting_Curves/meltCurve_E5RGQ3_RWDD1.pdf", "Melting_Curves/meltCurve_E5RGQ3_RWDD1.pdf")</f>
        <v>Melting_Curves/meltCurve_E5RGQ3_RWDD1.pdf</v>
      </c>
    </row>
    <row r="429" spans="1:28" x14ac:dyDescent="0.25">
      <c r="A429" t="s">
        <v>433</v>
      </c>
      <c r="B429">
        <v>0.99999676499088797</v>
      </c>
      <c r="C429">
        <v>0.98868805534235704</v>
      </c>
      <c r="D429">
        <v>0.946296925413599</v>
      </c>
      <c r="E429">
        <v>0.85833951115149598</v>
      </c>
      <c r="F429">
        <v>0.78416878443473104</v>
      </c>
      <c r="G429">
        <v>0.73271679391260802</v>
      </c>
      <c r="H429">
        <v>0.39340992190025398</v>
      </c>
      <c r="I429">
        <v>0.353941473474084</v>
      </c>
      <c r="J429">
        <v>0.23390028929991699</v>
      </c>
      <c r="K429">
        <v>0.203355736010147</v>
      </c>
      <c r="L429">
        <v>631.46015668570999</v>
      </c>
      <c r="M429">
        <v>10.5348694357144</v>
      </c>
      <c r="N429">
        <v>59.990182390348401</v>
      </c>
      <c r="O429">
        <v>57.9010918838189</v>
      </c>
      <c r="P429">
        <v>-4.5305073954855703E-2</v>
      </c>
      <c r="Q429">
        <v>4.3849466344161002E-3</v>
      </c>
      <c r="R429">
        <v>0.98261037465503298</v>
      </c>
      <c r="S429" t="s">
        <v>7432</v>
      </c>
      <c r="T429" t="s">
        <v>14004</v>
      </c>
      <c r="U429" t="s">
        <v>14004</v>
      </c>
      <c r="V429" t="s">
        <v>14004</v>
      </c>
      <c r="W429" t="s">
        <v>14429</v>
      </c>
      <c r="X429">
        <v>3</v>
      </c>
      <c r="Y429" t="s">
        <v>21366</v>
      </c>
      <c r="Z429" t="s">
        <v>28139</v>
      </c>
      <c r="AA429">
        <v>0.66465787269510268</v>
      </c>
      <c r="AB429" t="str">
        <f>HYPERLINK("Melting_Curves/meltCurve_E5RGW4_NPM1.pdf", "Melting_Curves/meltCurve_E5RGW4_NPM1.pdf")</f>
        <v>Melting_Curves/meltCurve_E5RGW4_NPM1.pdf</v>
      </c>
    </row>
    <row r="430" spans="1:28" x14ac:dyDescent="0.25">
      <c r="A430" t="s">
        <v>434</v>
      </c>
      <c r="B430">
        <v>0.99999676499088797</v>
      </c>
      <c r="C430">
        <v>0.96720037646706203</v>
      </c>
      <c r="D430">
        <v>1.0659891882616299</v>
      </c>
      <c r="E430">
        <v>1.04299345133377</v>
      </c>
      <c r="F430">
        <v>1.0419735440216</v>
      </c>
      <c r="G430">
        <v>1.1439258001527799</v>
      </c>
      <c r="H430">
        <v>0.74253865543112796</v>
      </c>
      <c r="I430">
        <v>0.99444570447675196</v>
      </c>
      <c r="J430">
        <v>0.97294688657757</v>
      </c>
      <c r="K430">
        <v>0.97484624329357605</v>
      </c>
      <c r="L430">
        <v>2192.4086327448899</v>
      </c>
      <c r="M430">
        <v>37.408899759791503</v>
      </c>
      <c r="O430">
        <v>58.439883544188298</v>
      </c>
      <c r="P430">
        <v>-1.01382771328605E-2</v>
      </c>
      <c r="Q430">
        <v>0.93664843055376801</v>
      </c>
      <c r="R430">
        <v>0.14528714815789301</v>
      </c>
      <c r="S430" t="s">
        <v>7433</v>
      </c>
      <c r="T430" t="s">
        <v>14004</v>
      </c>
      <c r="U430" t="s">
        <v>14004</v>
      </c>
      <c r="V430" t="s">
        <v>14004</v>
      </c>
      <c r="W430" t="s">
        <v>14246</v>
      </c>
      <c r="X430">
        <v>10</v>
      </c>
      <c r="Y430" t="s">
        <v>21367</v>
      </c>
      <c r="Z430" t="s">
        <v>28140</v>
      </c>
      <c r="AA430">
        <v>0.97622278596036749</v>
      </c>
      <c r="AB430" t="str">
        <f>HYPERLINK("Melting_Curves/meltCurve_E5RGX5_STMN2.pdf", "Melting_Curves/meltCurve_E5RGX5_STMN2.pdf")</f>
        <v>Melting_Curves/meltCurve_E5RGX5_STMN2.pdf</v>
      </c>
    </row>
    <row r="431" spans="1:28" x14ac:dyDescent="0.25">
      <c r="A431" t="s">
        <v>435</v>
      </c>
      <c r="B431">
        <v>0.99999676499088797</v>
      </c>
      <c r="C431">
        <v>0.871711189003191</v>
      </c>
      <c r="D431">
        <v>0.94486076530127105</v>
      </c>
      <c r="E431">
        <v>0.84152057236899702</v>
      </c>
      <c r="F431">
        <v>0.66144119866995899</v>
      </c>
      <c r="G431">
        <v>0.71305760263998696</v>
      </c>
      <c r="H431">
        <v>0.22767712324434899</v>
      </c>
      <c r="I431">
        <v>0.20237488637227699</v>
      </c>
      <c r="J431">
        <v>0.190613370006498</v>
      </c>
      <c r="K431">
        <v>0.18165823974437501</v>
      </c>
      <c r="L431">
        <v>652.10226050592405</v>
      </c>
      <c r="M431">
        <v>11.3922006913449</v>
      </c>
      <c r="N431">
        <v>57.491064701640802</v>
      </c>
      <c r="O431">
        <v>55.562468096549402</v>
      </c>
      <c r="P431">
        <v>-5.0034788593104097E-2</v>
      </c>
      <c r="Q431">
        <v>2.4161336721491299E-2</v>
      </c>
      <c r="R431">
        <v>0.93668320611574096</v>
      </c>
      <c r="S431" t="s">
        <v>7434</v>
      </c>
      <c r="T431" t="s">
        <v>14004</v>
      </c>
      <c r="U431" t="s">
        <v>14004</v>
      </c>
      <c r="V431" t="s">
        <v>14004</v>
      </c>
      <c r="W431" t="s">
        <v>14430</v>
      </c>
      <c r="X431">
        <v>9</v>
      </c>
      <c r="Y431" t="s">
        <v>21368</v>
      </c>
      <c r="Z431" t="s">
        <v>28141</v>
      </c>
      <c r="AA431">
        <v>0.60027456203245688</v>
      </c>
      <c r="AB431" t="str">
        <f>HYPERLINK("Melting_Curves/meltCurve_E5RHC1_PPP2CB.pdf", "Melting_Curves/meltCurve_E5RHC1_PPP2CB.pdf")</f>
        <v>Melting_Curves/meltCurve_E5RHC1_PPP2CB.pdf</v>
      </c>
    </row>
    <row r="432" spans="1:28" x14ac:dyDescent="0.25">
      <c r="A432" t="s">
        <v>436</v>
      </c>
      <c r="B432">
        <v>0.99999676499088797</v>
      </c>
      <c r="C432">
        <v>0.92667438754209297</v>
      </c>
      <c r="D432">
        <v>1.0133661559027101</v>
      </c>
      <c r="E432">
        <v>1.0632621194460301</v>
      </c>
      <c r="F432">
        <v>0.48242537574953998</v>
      </c>
      <c r="G432">
        <v>0.15906231148851099</v>
      </c>
      <c r="H432">
        <v>6.3228641890493403E-2</v>
      </c>
      <c r="I432">
        <v>5.2526197937882199E-2</v>
      </c>
      <c r="J432">
        <v>4.3249687508023202E-2</v>
      </c>
      <c r="K432">
        <v>4.8951087503414002E-2</v>
      </c>
      <c r="L432">
        <v>3221.2493207685302</v>
      </c>
      <c r="M432">
        <v>60.732684919481997</v>
      </c>
      <c r="N432">
        <v>53.169709645972802</v>
      </c>
      <c r="O432">
        <v>52.982406165120999</v>
      </c>
      <c r="P432">
        <v>-0.26681044973117002</v>
      </c>
      <c r="Q432">
        <v>6.8952898667438797E-2</v>
      </c>
      <c r="R432">
        <v>0.99048991994354396</v>
      </c>
      <c r="S432" t="s">
        <v>7435</v>
      </c>
      <c r="T432" t="s">
        <v>14004</v>
      </c>
      <c r="U432" t="s">
        <v>14004</v>
      </c>
      <c r="V432" t="s">
        <v>14004</v>
      </c>
      <c r="W432" t="s">
        <v>14431</v>
      </c>
      <c r="X432">
        <v>6</v>
      </c>
      <c r="Y432" t="s">
        <v>21369</v>
      </c>
      <c r="Z432" t="s">
        <v>28142</v>
      </c>
      <c r="AA432">
        <v>0.47511548897911299</v>
      </c>
      <c r="AB432" t="str">
        <f>HYPERLINK("Melting_Curves/meltCurve_E5RHG8_TCEB1.pdf", "Melting_Curves/meltCurve_E5RHG8_TCEB1.pdf")</f>
        <v>Melting_Curves/meltCurve_E5RHG8_TCEB1.pdf</v>
      </c>
    </row>
    <row r="433" spans="1:28" x14ac:dyDescent="0.25">
      <c r="A433" t="s">
        <v>437</v>
      </c>
      <c r="B433">
        <v>0.99999676499088797</v>
      </c>
      <c r="C433">
        <v>1.05882996186814</v>
      </c>
      <c r="D433">
        <v>1.05659625194726</v>
      </c>
      <c r="E433">
        <v>0.73161909563050598</v>
      </c>
      <c r="F433">
        <v>0.78007436735422098</v>
      </c>
      <c r="G433">
        <v>0.84241196484387304</v>
      </c>
      <c r="H433">
        <v>0.48677158410161903</v>
      </c>
      <c r="I433">
        <v>0.52584626056320505</v>
      </c>
      <c r="J433">
        <v>0.65778445023741405</v>
      </c>
      <c r="K433">
        <v>0.434102991650124</v>
      </c>
      <c r="L433">
        <v>612.63411435112096</v>
      </c>
      <c r="M433">
        <v>11.013733476494201</v>
      </c>
      <c r="O433">
        <v>53.885145535527599</v>
      </c>
      <c r="P433">
        <v>-2.8018044877388699E-2</v>
      </c>
      <c r="Q433">
        <v>0.45186626338949099</v>
      </c>
      <c r="R433">
        <v>0.792881746374548</v>
      </c>
      <c r="S433" t="s">
        <v>7436</v>
      </c>
      <c r="T433" t="s">
        <v>14004</v>
      </c>
      <c r="U433" t="s">
        <v>14004</v>
      </c>
      <c r="V433" t="s">
        <v>14004</v>
      </c>
      <c r="W433" t="s">
        <v>14432</v>
      </c>
      <c r="X433">
        <v>7</v>
      </c>
      <c r="Y433" t="s">
        <v>21370</v>
      </c>
      <c r="Z433" t="s">
        <v>28143</v>
      </c>
      <c r="AA433">
        <v>0.74962156745298303</v>
      </c>
      <c r="AB433" t="str">
        <f>HYPERLINK("Melting_Curves/meltCurve_E5RHG9_UQCRB.pdf", "Melting_Curves/meltCurve_E5RHG9_UQCRB.pdf")</f>
        <v>Melting_Curves/meltCurve_E5RHG9_UQCRB.pdf</v>
      </c>
    </row>
    <row r="434" spans="1:28" x14ac:dyDescent="0.25">
      <c r="A434" t="s">
        <v>438</v>
      </c>
      <c r="B434">
        <v>0.99999676499088797</v>
      </c>
      <c r="C434">
        <v>0.95050767130242597</v>
      </c>
      <c r="D434">
        <v>0.988049404898248</v>
      </c>
      <c r="E434">
        <v>0.82007426144274298</v>
      </c>
      <c r="F434">
        <v>0.51687558073237405</v>
      </c>
      <c r="G434">
        <v>0.20453459370379601</v>
      </c>
      <c r="H434">
        <v>0.16987845586596301</v>
      </c>
      <c r="I434">
        <v>0.217056093023969</v>
      </c>
      <c r="J434">
        <v>0.20516563458609499</v>
      </c>
      <c r="K434">
        <v>0.30343584231667498</v>
      </c>
      <c r="L434">
        <v>1565.79801880585</v>
      </c>
      <c r="M434">
        <v>30.1238984417563</v>
      </c>
      <c r="N434">
        <v>52.944820640533997</v>
      </c>
      <c r="O434">
        <v>51.751156423297402</v>
      </c>
      <c r="P434">
        <v>-0.11475262724545</v>
      </c>
      <c r="Q434">
        <v>0.211451049008091</v>
      </c>
      <c r="R434">
        <v>0.98295466669645304</v>
      </c>
      <c r="S434" t="s">
        <v>7437</v>
      </c>
      <c r="T434" t="s">
        <v>14004</v>
      </c>
      <c r="U434" t="s">
        <v>14004</v>
      </c>
      <c r="V434" t="s">
        <v>14004</v>
      </c>
      <c r="W434" t="s">
        <v>14433</v>
      </c>
      <c r="X434">
        <v>1</v>
      </c>
      <c r="Y434" t="s">
        <v>21371</v>
      </c>
      <c r="Z434" t="s">
        <v>28144</v>
      </c>
      <c r="AA434">
        <v>0.53130369542555722</v>
      </c>
      <c r="AB434" t="str">
        <f>HYPERLINK("Melting_Curves/meltCurve_E5RI52_C5orf45.pdf", "Melting_Curves/meltCurve_E5RI52_C5orf45.pdf")</f>
        <v>Melting_Curves/meltCurve_E5RI52_C5orf45.pdf</v>
      </c>
    </row>
    <row r="435" spans="1:28" x14ac:dyDescent="0.25">
      <c r="A435" t="s">
        <v>439</v>
      </c>
      <c r="B435">
        <v>0.99999676499088797</v>
      </c>
      <c r="C435">
        <v>1.5095471804287499</v>
      </c>
      <c r="D435">
        <v>1.0207621644453999</v>
      </c>
      <c r="E435">
        <v>0.69424192022513997</v>
      </c>
      <c r="F435">
        <v>0.55718127382495297</v>
      </c>
      <c r="G435">
        <v>0.43795963990051401</v>
      </c>
      <c r="H435">
        <v>0.234170834070106</v>
      </c>
      <c r="I435">
        <v>0.20142594105870501</v>
      </c>
      <c r="J435">
        <v>0.107062471801589</v>
      </c>
      <c r="K435">
        <v>0.105594773106051</v>
      </c>
      <c r="L435">
        <v>898.26717124574998</v>
      </c>
      <c r="M435">
        <v>16.752259390666399</v>
      </c>
      <c r="N435">
        <v>54.477232356045697</v>
      </c>
      <c r="O435">
        <v>52.874063226137999</v>
      </c>
      <c r="P435">
        <v>-7.0041792405892395E-2</v>
      </c>
      <c r="Q435">
        <v>0.115784535786691</v>
      </c>
      <c r="R435">
        <v>0.84656345065452998</v>
      </c>
      <c r="S435" t="s">
        <v>7438</v>
      </c>
      <c r="T435" t="s">
        <v>14004</v>
      </c>
      <c r="U435" t="s">
        <v>14004</v>
      </c>
      <c r="V435" t="s">
        <v>14004</v>
      </c>
      <c r="W435" t="s">
        <v>14434</v>
      </c>
      <c r="X435">
        <v>5</v>
      </c>
      <c r="Y435" t="s">
        <v>21372</v>
      </c>
      <c r="Z435" t="s">
        <v>28145</v>
      </c>
      <c r="AA435">
        <v>0.53313494312717602</v>
      </c>
      <c r="AB435" t="str">
        <f>HYPERLINK("Melting_Curves/meltCurve_E5RI87_RNF130.pdf", "Melting_Curves/meltCurve_E5RI87_RNF130.pdf")</f>
        <v>Melting_Curves/meltCurve_E5RI87_RNF130.pdf</v>
      </c>
    </row>
    <row r="436" spans="1:28" x14ac:dyDescent="0.25">
      <c r="A436" t="s">
        <v>440</v>
      </c>
      <c r="B436">
        <v>0.99999676499088797</v>
      </c>
      <c r="C436">
        <v>0.97264532211113697</v>
      </c>
      <c r="D436">
        <v>0.92865410513981195</v>
      </c>
      <c r="E436">
        <v>0.533555480629337</v>
      </c>
      <c r="F436">
        <v>0.33489617399393301</v>
      </c>
      <c r="G436">
        <v>0.26926280209668202</v>
      </c>
      <c r="H436">
        <v>0.130065870515222</v>
      </c>
      <c r="I436">
        <v>8.4190613733853198E-2</v>
      </c>
      <c r="J436">
        <v>5.6910533500946402E-2</v>
      </c>
      <c r="K436">
        <v>6.9043853605184002E-2</v>
      </c>
      <c r="L436">
        <v>878.82510569845601</v>
      </c>
      <c r="M436">
        <v>17.4252066587146</v>
      </c>
      <c r="N436">
        <v>50.909968942585799</v>
      </c>
      <c r="O436">
        <v>49.783962503216401</v>
      </c>
      <c r="P436">
        <v>-8.0932864076045705E-2</v>
      </c>
      <c r="Q436">
        <v>7.5148439988272295E-2</v>
      </c>
      <c r="R436">
        <v>0.98668769687705105</v>
      </c>
      <c r="S436" t="s">
        <v>7439</v>
      </c>
      <c r="T436" t="s">
        <v>14004</v>
      </c>
      <c r="U436" t="s">
        <v>14004</v>
      </c>
      <c r="V436" t="s">
        <v>14004</v>
      </c>
      <c r="W436" t="s">
        <v>14435</v>
      </c>
      <c r="X436">
        <v>5</v>
      </c>
      <c r="Y436" t="s">
        <v>21373</v>
      </c>
      <c r="Z436" t="s">
        <v>28146</v>
      </c>
      <c r="AA436">
        <v>0.41347180753108059</v>
      </c>
      <c r="AB436" t="str">
        <f>HYPERLINK("Melting_Curves/meltCurve_E5RIH5_TTI2.pdf", "Melting_Curves/meltCurve_E5RIH5_TTI2.pdf")</f>
        <v>Melting_Curves/meltCurve_E5RIH5_TTI2.pdf</v>
      </c>
    </row>
    <row r="437" spans="1:28" x14ac:dyDescent="0.25">
      <c r="A437" t="s">
        <v>441</v>
      </c>
      <c r="B437">
        <v>0.99999676499088797</v>
      </c>
      <c r="C437">
        <v>1.04383354447054</v>
      </c>
      <c r="D437">
        <v>1.0829256137793599</v>
      </c>
      <c r="E437">
        <v>0.86989144163979004</v>
      </c>
      <c r="F437">
        <v>0.75671032918953596</v>
      </c>
      <c r="G437">
        <v>0.53228172414210795</v>
      </c>
      <c r="H437">
        <v>0.328621953445704</v>
      </c>
      <c r="I437">
        <v>0.317682595447488</v>
      </c>
      <c r="J437">
        <v>0.30046075354456098</v>
      </c>
      <c r="K437">
        <v>0.314178929696458</v>
      </c>
      <c r="L437">
        <v>1161.22097824807</v>
      </c>
      <c r="M437">
        <v>21.227760893706201</v>
      </c>
      <c r="N437">
        <v>57.003030775060203</v>
      </c>
      <c r="O437">
        <v>54.224424533749399</v>
      </c>
      <c r="P437">
        <v>-6.9715820820336602E-2</v>
      </c>
      <c r="Q437">
        <v>0.28768690216002002</v>
      </c>
      <c r="R437">
        <v>0.98304288783384397</v>
      </c>
      <c r="S437" t="s">
        <v>7440</v>
      </c>
      <c r="T437" t="s">
        <v>14004</v>
      </c>
      <c r="U437" t="s">
        <v>14004</v>
      </c>
      <c r="V437" t="s">
        <v>14004</v>
      </c>
      <c r="W437" t="s">
        <v>14436</v>
      </c>
      <c r="X437">
        <v>14</v>
      </c>
      <c r="Y437" t="s">
        <v>21374</v>
      </c>
      <c r="Z437" t="s">
        <v>28147</v>
      </c>
      <c r="AA437">
        <v>0.64549025379814828</v>
      </c>
      <c r="AB437" t="str">
        <f>HYPERLINK("Melting_Curves/meltCurve_E5RIP7_IMPA1.pdf", "Melting_Curves/meltCurve_E5RIP7_IMPA1.pdf")</f>
        <v>Melting_Curves/meltCurve_E5RIP7_IMPA1.pdf</v>
      </c>
    </row>
    <row r="438" spans="1:28" x14ac:dyDescent="0.25">
      <c r="A438" t="s">
        <v>442</v>
      </c>
      <c r="B438">
        <v>0.99999676499088797</v>
      </c>
      <c r="C438">
        <v>1.18424293680009</v>
      </c>
      <c r="D438">
        <v>1.10073582821328</v>
      </c>
      <c r="E438">
        <v>0.82366723811540998</v>
      </c>
      <c r="F438">
        <v>0.61511084311984798</v>
      </c>
      <c r="G438">
        <v>0.56162197906578304</v>
      </c>
      <c r="H438">
        <v>0.26075511663569301</v>
      </c>
      <c r="I438">
        <v>0.15637993305648801</v>
      </c>
      <c r="J438">
        <v>0.13580456505830901</v>
      </c>
      <c r="K438">
        <v>0</v>
      </c>
      <c r="L438">
        <v>802.11971502703705</v>
      </c>
      <c r="M438">
        <v>14.1940347866874</v>
      </c>
      <c r="N438">
        <v>56.511035049183498</v>
      </c>
      <c r="O438">
        <v>55.4248386541747</v>
      </c>
      <c r="P438">
        <v>-6.4031827196132499E-2</v>
      </c>
      <c r="Q438">
        <v>0</v>
      </c>
      <c r="R438">
        <v>0.95234005408816302</v>
      </c>
      <c r="S438" t="s">
        <v>7441</v>
      </c>
      <c r="T438" t="s">
        <v>14004</v>
      </c>
      <c r="U438" t="s">
        <v>14004</v>
      </c>
      <c r="V438" t="s">
        <v>14004</v>
      </c>
      <c r="W438" t="s">
        <v>14437</v>
      </c>
      <c r="X438">
        <v>4</v>
      </c>
      <c r="Y438" t="s">
        <v>21375</v>
      </c>
      <c r="Z438" t="s">
        <v>28148</v>
      </c>
      <c r="AA438">
        <v>0.56780039102875079</v>
      </c>
      <c r="AB438" t="str">
        <f>HYPERLINK("Melting_Curves/meltCurve_E5RIY0_TMEM55A.pdf", "Melting_Curves/meltCurve_E5RIY0_TMEM55A.pdf")</f>
        <v>Melting_Curves/meltCurve_E5RIY0_TMEM55A.pdf</v>
      </c>
    </row>
    <row r="439" spans="1:28" x14ac:dyDescent="0.25">
      <c r="A439" t="s">
        <v>443</v>
      </c>
      <c r="B439">
        <v>0.99999676499088797</v>
      </c>
      <c r="C439">
        <v>0.94036174967095598</v>
      </c>
      <c r="D439">
        <v>0.92165635838692495</v>
      </c>
      <c r="E439">
        <v>0.81036897055813895</v>
      </c>
      <c r="F439">
        <v>0.634405017443332</v>
      </c>
      <c r="G439">
        <v>0.65828742604769497</v>
      </c>
      <c r="H439">
        <v>0.42694469202353602</v>
      </c>
      <c r="I439">
        <v>0.40696423267473603</v>
      </c>
      <c r="J439">
        <v>0.31500186473591701</v>
      </c>
      <c r="K439">
        <v>0.229506568494355</v>
      </c>
      <c r="L439">
        <v>435.61588107279698</v>
      </c>
      <c r="M439">
        <v>7.3108005015137403</v>
      </c>
      <c r="N439">
        <v>59.585243841704397</v>
      </c>
      <c r="O439">
        <v>55.612819324774797</v>
      </c>
      <c r="P439">
        <v>-3.2916661082714599E-2</v>
      </c>
      <c r="Q439">
        <v>0</v>
      </c>
      <c r="R439">
        <v>0.97967794974309597</v>
      </c>
      <c r="S439" t="s">
        <v>7442</v>
      </c>
      <c r="T439" t="s">
        <v>14004</v>
      </c>
      <c r="U439" t="s">
        <v>14004</v>
      </c>
      <c r="V439" t="s">
        <v>14004</v>
      </c>
      <c r="W439" t="s">
        <v>14438</v>
      </c>
      <c r="X439">
        <v>4</v>
      </c>
      <c r="Y439" t="s">
        <v>21376</v>
      </c>
      <c r="Z439" t="s">
        <v>28149</v>
      </c>
      <c r="AA439">
        <v>0.63680799151103673</v>
      </c>
      <c r="AB439" t="str">
        <f>HYPERLINK("Melting_Curves/meltCurve_E5RJ08_CHCHD7.pdf", "Melting_Curves/meltCurve_E5RJ08_CHCHD7.pdf")</f>
        <v>Melting_Curves/meltCurve_E5RJ08_CHCHD7.pdf</v>
      </c>
    </row>
    <row r="440" spans="1:28" x14ac:dyDescent="0.25">
      <c r="A440" t="s">
        <v>444</v>
      </c>
      <c r="B440">
        <v>0.99999676499088797</v>
      </c>
      <c r="C440">
        <v>0.96356090185518095</v>
      </c>
      <c r="D440">
        <v>0.76710382812758404</v>
      </c>
      <c r="E440">
        <v>0.52195428675279798</v>
      </c>
      <c r="F440">
        <v>0.42549038245420301</v>
      </c>
      <c r="G440">
        <v>0.29083744190620098</v>
      </c>
      <c r="H440">
        <v>0.163084464462041</v>
      </c>
      <c r="I440">
        <v>0.16935258179450899</v>
      </c>
      <c r="J440">
        <v>0.142006621784557</v>
      </c>
      <c r="K440">
        <v>0.101462241845187</v>
      </c>
      <c r="L440">
        <v>655.373793357414</v>
      </c>
      <c r="M440">
        <v>13.1008967140382</v>
      </c>
      <c r="N440">
        <v>50.954126845055399</v>
      </c>
      <c r="O440">
        <v>48.902601365718603</v>
      </c>
      <c r="P440">
        <v>-5.98694805601876E-2</v>
      </c>
      <c r="Q440">
        <v>0.1062378114668</v>
      </c>
      <c r="R440">
        <v>0.98949052440637797</v>
      </c>
      <c r="S440" t="s">
        <v>7443</v>
      </c>
      <c r="T440" t="s">
        <v>14004</v>
      </c>
      <c r="U440" t="s">
        <v>14004</v>
      </c>
      <c r="V440" t="s">
        <v>14004</v>
      </c>
      <c r="W440" t="s">
        <v>14439</v>
      </c>
      <c r="X440">
        <v>7</v>
      </c>
      <c r="Y440" t="s">
        <v>21377</v>
      </c>
      <c r="Z440" t="s">
        <v>28150</v>
      </c>
      <c r="AA440">
        <v>0.43174547840125582</v>
      </c>
      <c r="AB440" t="str">
        <f>HYPERLINK("Melting_Curves/meltCurve_E5RJ99_ZFAND1.pdf", "Melting_Curves/meltCurve_E5RJ99_ZFAND1.pdf")</f>
        <v>Melting_Curves/meltCurve_E5RJ99_ZFAND1.pdf</v>
      </c>
    </row>
    <row r="441" spans="1:28" x14ac:dyDescent="0.25">
      <c r="A441" t="s">
        <v>445</v>
      </c>
      <c r="B441">
        <v>0.99999676499088797</v>
      </c>
      <c r="C441">
        <v>0.96154473503036098</v>
      </c>
      <c r="D441">
        <v>0.93805505702501801</v>
      </c>
      <c r="E441">
        <v>0.83909941600799898</v>
      </c>
      <c r="F441">
        <v>0.51783583949631595</v>
      </c>
      <c r="G441">
        <v>0.366510632152515</v>
      </c>
      <c r="H441">
        <v>0.17284828554218401</v>
      </c>
      <c r="I441">
        <v>0.21259497787113199</v>
      </c>
      <c r="J441">
        <v>0.18391048246724201</v>
      </c>
      <c r="K441">
        <v>0.16793295185154899</v>
      </c>
      <c r="L441">
        <v>1038.2637950308599</v>
      </c>
      <c r="M441">
        <v>19.690663814481201</v>
      </c>
      <c r="N441">
        <v>53.821197982721401</v>
      </c>
      <c r="O441">
        <v>52.193929350146099</v>
      </c>
      <c r="P441">
        <v>-7.8780862601495194E-2</v>
      </c>
      <c r="Q441">
        <v>0.16473310834197299</v>
      </c>
      <c r="R441">
        <v>0.99398416586531402</v>
      </c>
      <c r="S441" t="s">
        <v>7444</v>
      </c>
      <c r="T441" t="s">
        <v>14004</v>
      </c>
      <c r="U441" t="s">
        <v>14004</v>
      </c>
      <c r="V441" t="s">
        <v>14004</v>
      </c>
      <c r="W441" t="s">
        <v>14440</v>
      </c>
      <c r="X441">
        <v>3</v>
      </c>
      <c r="Y441" t="s">
        <v>21378</v>
      </c>
      <c r="Z441" t="s">
        <v>28151</v>
      </c>
      <c r="AA441">
        <v>0.5309555315634229</v>
      </c>
      <c r="AB441" t="str">
        <f>HYPERLINK("Melting_Curves/meltCurve_E5RJI7_MRPL13.pdf", "Melting_Curves/meltCurve_E5RJI7_MRPL13.pdf")</f>
        <v>Melting_Curves/meltCurve_E5RJI7_MRPL13.pdf</v>
      </c>
    </row>
    <row r="442" spans="1:28" x14ac:dyDescent="0.25">
      <c r="A442" t="s">
        <v>446</v>
      </c>
      <c r="B442">
        <v>0.99999676499088797</v>
      </c>
      <c r="C442">
        <v>0.971828038371231</v>
      </c>
      <c r="D442">
        <v>0.85323145798646205</v>
      </c>
      <c r="E442">
        <v>0.55722655625155504</v>
      </c>
      <c r="F442">
        <v>0.36542961309178001</v>
      </c>
      <c r="G442">
        <v>0.179774988465179</v>
      </c>
      <c r="H442">
        <v>0.108450910927683</v>
      </c>
      <c r="I442">
        <v>0.156655561978743</v>
      </c>
      <c r="J442">
        <v>0.19403889954130199</v>
      </c>
      <c r="K442">
        <v>0.19764413585621299</v>
      </c>
      <c r="L442">
        <v>1019.22324250219</v>
      </c>
      <c r="M442">
        <v>20.5772296560257</v>
      </c>
      <c r="N442">
        <v>50.448305145227103</v>
      </c>
      <c r="O442">
        <v>49.070911090566497</v>
      </c>
      <c r="P442">
        <v>-8.8484836062405703E-2</v>
      </c>
      <c r="Q442">
        <v>0.15597840685963599</v>
      </c>
      <c r="R442">
        <v>0.99094112374114596</v>
      </c>
      <c r="S442" t="s">
        <v>7445</v>
      </c>
      <c r="T442" t="s">
        <v>14004</v>
      </c>
      <c r="U442" t="s">
        <v>14004</v>
      </c>
      <c r="V442" t="s">
        <v>14004</v>
      </c>
      <c r="W442" t="s">
        <v>14441</v>
      </c>
      <c r="X442">
        <v>1</v>
      </c>
      <c r="Y442" t="s">
        <v>21379</v>
      </c>
      <c r="Z442" t="s">
        <v>28152</v>
      </c>
      <c r="AA442">
        <v>0.43526788416328782</v>
      </c>
      <c r="AB442" t="str">
        <f>HYPERLINK("Melting_Curves/meltCurve_E5RJJ7_LY96.pdf", "Melting_Curves/meltCurve_E5RJJ7_LY96.pdf")</f>
        <v>Melting_Curves/meltCurve_E5RJJ7_LY96.pdf</v>
      </c>
    </row>
    <row r="443" spans="1:28" x14ac:dyDescent="0.25">
      <c r="A443" t="s">
        <v>447</v>
      </c>
      <c r="B443">
        <v>0.99999676499088797</v>
      </c>
      <c r="C443">
        <v>0.92484595412833104</v>
      </c>
      <c r="D443">
        <v>0.98022176160175001</v>
      </c>
      <c r="E443">
        <v>1.06905140196124</v>
      </c>
      <c r="F443">
        <v>1.0756783147331299</v>
      </c>
      <c r="G443">
        <v>0.70903613719266601</v>
      </c>
      <c r="H443">
        <v>0.25994388321426098</v>
      </c>
      <c r="I443">
        <v>0.171961852569045</v>
      </c>
      <c r="J443">
        <v>0.12974486546090999</v>
      </c>
      <c r="K443">
        <v>0.118061393495977</v>
      </c>
      <c r="L443">
        <v>2421.2558483054599</v>
      </c>
      <c r="M443">
        <v>41.835532414945298</v>
      </c>
      <c r="N443">
        <v>58.3259519100801</v>
      </c>
      <c r="O443">
        <v>57.743822406625497</v>
      </c>
      <c r="P443">
        <v>-0.156125794943303</v>
      </c>
      <c r="Q443">
        <v>0.13802619526873799</v>
      </c>
      <c r="R443">
        <v>0.986191262828917</v>
      </c>
      <c r="S443" t="s">
        <v>7446</v>
      </c>
      <c r="T443" t="s">
        <v>14004</v>
      </c>
      <c r="U443" t="s">
        <v>14004</v>
      </c>
      <c r="V443" t="s">
        <v>14004</v>
      </c>
      <c r="W443" t="s">
        <v>14442</v>
      </c>
      <c r="X443">
        <v>21</v>
      </c>
      <c r="Y443" t="s">
        <v>21380</v>
      </c>
      <c r="Z443" t="s">
        <v>28153</v>
      </c>
      <c r="AA443">
        <v>0.65474250964698055</v>
      </c>
      <c r="AB443" t="str">
        <f>HYPERLINK("Melting_Curves/meltCurve_E5RJR5_SKP1.pdf", "Melting_Curves/meltCurve_E5RJR5_SKP1.pdf")</f>
        <v>Melting_Curves/meltCurve_E5RJR5_SKP1.pdf</v>
      </c>
    </row>
    <row r="444" spans="1:28" x14ac:dyDescent="0.25">
      <c r="A444" t="s">
        <v>448</v>
      </c>
      <c r="B444">
        <v>0.99999676499088797</v>
      </c>
      <c r="C444">
        <v>0.87882821145577905</v>
      </c>
      <c r="D444">
        <v>0.88518540636587995</v>
      </c>
      <c r="E444">
        <v>0.91982419939131399</v>
      </c>
      <c r="F444">
        <v>0.87246664973494703</v>
      </c>
      <c r="G444">
        <v>0.71118514193637905</v>
      </c>
      <c r="H444">
        <v>0.54791747752099396</v>
      </c>
      <c r="I444">
        <v>0.56667516215864699</v>
      </c>
      <c r="J444">
        <v>0.56212346322566298</v>
      </c>
      <c r="K444">
        <v>0.67766119399752101</v>
      </c>
      <c r="L444">
        <v>756.60066907620103</v>
      </c>
      <c r="M444">
        <v>14.030333939144599</v>
      </c>
      <c r="O444">
        <v>52.866020497728698</v>
      </c>
      <c r="P444">
        <v>-2.9199974555547199E-2</v>
      </c>
      <c r="Q444">
        <v>0.55995816656768704</v>
      </c>
      <c r="R444">
        <v>0.83059210618280699</v>
      </c>
      <c r="S444" t="s">
        <v>7447</v>
      </c>
      <c r="T444" t="s">
        <v>14004</v>
      </c>
      <c r="U444" t="s">
        <v>14004</v>
      </c>
      <c r="V444" t="s">
        <v>14004</v>
      </c>
      <c r="W444" t="s">
        <v>14443</v>
      </c>
      <c r="X444">
        <v>8</v>
      </c>
      <c r="Y444" t="s">
        <v>21381</v>
      </c>
      <c r="Z444" t="s">
        <v>28154</v>
      </c>
      <c r="AA444">
        <v>0.77405091137646664</v>
      </c>
      <c r="AB444" t="str">
        <f>HYPERLINK("Melting_Curves/meltCurve_E5RK82_CETN3.pdf", "Melting_Curves/meltCurve_E5RK82_CETN3.pdf")</f>
        <v>Melting_Curves/meltCurve_E5RK82_CETN3.pdf</v>
      </c>
    </row>
    <row r="445" spans="1:28" x14ac:dyDescent="0.25">
      <c r="A445" t="s">
        <v>449</v>
      </c>
      <c r="B445">
        <v>0.99999676499088797</v>
      </c>
      <c r="C445">
        <v>1.0738206995471999</v>
      </c>
      <c r="D445">
        <v>1.0409515943402401</v>
      </c>
      <c r="E445">
        <v>0.80997438631150998</v>
      </c>
      <c r="F445">
        <v>0.93707506838941101</v>
      </c>
      <c r="G445">
        <v>0.337893182738007</v>
      </c>
      <c r="H445">
        <v>0.18983826097492901</v>
      </c>
      <c r="I445">
        <v>0.12812726185655299</v>
      </c>
      <c r="J445">
        <v>0.101494573618675</v>
      </c>
      <c r="K445">
        <v>6.2693674549151299E-2</v>
      </c>
      <c r="L445">
        <v>2733.51430088505</v>
      </c>
      <c r="M445">
        <v>49.140960720869899</v>
      </c>
      <c r="N445">
        <v>55.922611911241198</v>
      </c>
      <c r="O445">
        <v>55.534097235635599</v>
      </c>
      <c r="P445">
        <v>-0.19583867618895801</v>
      </c>
      <c r="Q445">
        <v>0.114733288351443</v>
      </c>
      <c r="R445">
        <v>0.97105514261398695</v>
      </c>
      <c r="S445" t="s">
        <v>7448</v>
      </c>
      <c r="T445" t="s">
        <v>14004</v>
      </c>
      <c r="U445" t="s">
        <v>14004</v>
      </c>
      <c r="V445" t="s">
        <v>14004</v>
      </c>
      <c r="W445" t="s">
        <v>14444</v>
      </c>
      <c r="X445">
        <v>2</v>
      </c>
      <c r="Y445" t="s">
        <v>21382</v>
      </c>
      <c r="Z445" t="s">
        <v>28155</v>
      </c>
      <c r="AA445">
        <v>0.57808564858624034</v>
      </c>
      <c r="AB445" t="str">
        <f>HYPERLINK("Melting_Curves/meltCurve_E7EM50_PIGG.pdf", "Melting_Curves/meltCurve_E7EM50_PIGG.pdf")</f>
        <v>Melting_Curves/meltCurve_E7EM50_PIGG.pdf</v>
      </c>
    </row>
    <row r="446" spans="1:28" x14ac:dyDescent="0.25">
      <c r="A446" t="s">
        <v>450</v>
      </c>
      <c r="B446">
        <v>0.99999676499088797</v>
      </c>
      <c r="C446">
        <v>1.0583024965577901</v>
      </c>
      <c r="D446">
        <v>1.0453622511709999</v>
      </c>
      <c r="E446">
        <v>1.03046975494045</v>
      </c>
      <c r="F446">
        <v>0.65703532417520705</v>
      </c>
      <c r="G446">
        <v>0.277138785665212</v>
      </c>
      <c r="H446">
        <v>0.118728528384141</v>
      </c>
      <c r="I446">
        <v>8.7699837343808096E-2</v>
      </c>
      <c r="J446">
        <v>7.8812287878252493E-2</v>
      </c>
      <c r="K446">
        <v>6.2418484499191601E-2</v>
      </c>
      <c r="L446">
        <v>1766.1016523084199</v>
      </c>
      <c r="M446">
        <v>32.535719544791903</v>
      </c>
      <c r="N446">
        <v>54.575583357789597</v>
      </c>
      <c r="O446">
        <v>54.0780992271606</v>
      </c>
      <c r="P446">
        <v>-0.13833361463409</v>
      </c>
      <c r="Q446">
        <v>8.02989802179742E-2</v>
      </c>
      <c r="R446">
        <v>0.99329915879511699</v>
      </c>
      <c r="S446" t="s">
        <v>7449</v>
      </c>
      <c r="T446" t="s">
        <v>14004</v>
      </c>
      <c r="U446" t="s">
        <v>14004</v>
      </c>
      <c r="V446" t="s">
        <v>14004</v>
      </c>
      <c r="W446" t="s">
        <v>14445</v>
      </c>
      <c r="X446">
        <v>14</v>
      </c>
      <c r="Y446" t="s">
        <v>21383</v>
      </c>
      <c r="Z446" t="s">
        <v>28156</v>
      </c>
      <c r="AA446">
        <v>0.52331516053286253</v>
      </c>
      <c r="AB446" t="str">
        <f>HYPERLINK("Melting_Curves/meltCurve_E7EM64_COPS6.pdf", "Melting_Curves/meltCurve_E7EM64_COPS6.pdf")</f>
        <v>Melting_Curves/meltCurve_E7EM64_COPS6.pdf</v>
      </c>
    </row>
    <row r="447" spans="1:28" x14ac:dyDescent="0.25">
      <c r="A447" t="s">
        <v>451</v>
      </c>
      <c r="B447">
        <v>0.99999676499088797</v>
      </c>
      <c r="C447">
        <v>1.5434022768626701</v>
      </c>
      <c r="D447">
        <v>1.0339941459645501</v>
      </c>
      <c r="E447">
        <v>0.41771694273052601</v>
      </c>
      <c r="F447">
        <v>0.32435059287318702</v>
      </c>
      <c r="G447">
        <v>0</v>
      </c>
      <c r="H447">
        <v>8.8670741785274995E-2</v>
      </c>
      <c r="I447">
        <v>0</v>
      </c>
      <c r="J447">
        <v>0</v>
      </c>
      <c r="K447">
        <v>0</v>
      </c>
      <c r="L447">
        <v>1612.8426690194201</v>
      </c>
      <c r="M447">
        <v>32.501388726147901</v>
      </c>
      <c r="N447">
        <v>49.749804118589502</v>
      </c>
      <c r="O447">
        <v>49.437077861283001</v>
      </c>
      <c r="P447">
        <v>-0.15786465722979601</v>
      </c>
      <c r="Q447">
        <v>3.9508092270353602E-2</v>
      </c>
      <c r="R447">
        <v>0.86812612580873105</v>
      </c>
      <c r="S447" t="s">
        <v>7450</v>
      </c>
      <c r="T447" t="s">
        <v>14004</v>
      </c>
      <c r="U447" t="s">
        <v>14004</v>
      </c>
      <c r="V447" t="s">
        <v>14004</v>
      </c>
      <c r="W447" t="s">
        <v>14446</v>
      </c>
      <c r="X447">
        <v>3</v>
      </c>
      <c r="Y447" t="s">
        <v>21384</v>
      </c>
      <c r="Z447" t="s">
        <v>28157</v>
      </c>
      <c r="AA447">
        <v>0.35264641252060852</v>
      </c>
      <c r="AB447" t="str">
        <f>HYPERLINK("Melting_Curves/meltCurve_E7EM95_RNF5.pdf", "Melting_Curves/meltCurve_E7EM95_RNF5.pdf")</f>
        <v>Melting_Curves/meltCurve_E7EM95_RNF5.pdf</v>
      </c>
    </row>
    <row r="448" spans="1:28" x14ac:dyDescent="0.25">
      <c r="A448" t="s">
        <v>452</v>
      </c>
      <c r="B448">
        <v>0.99999676499088797</v>
      </c>
      <c r="C448">
        <v>1.0795599328374601</v>
      </c>
      <c r="D448">
        <v>0.98782454542509701</v>
      </c>
      <c r="E448">
        <v>1.1063048635272099</v>
      </c>
      <c r="F448">
        <v>0.97725883242967304</v>
      </c>
      <c r="G448">
        <v>0.6948454437296</v>
      </c>
      <c r="H448">
        <v>0.272957691357954</v>
      </c>
      <c r="I448">
        <v>6.9669757939215995E-2</v>
      </c>
      <c r="J448">
        <v>4.7652562420277898E-2</v>
      </c>
      <c r="K448">
        <v>1.5836067308864499E-2</v>
      </c>
      <c r="L448">
        <v>1763.0769433743501</v>
      </c>
      <c r="M448">
        <v>30.140674074492399</v>
      </c>
      <c r="N448">
        <v>58.558689581554603</v>
      </c>
      <c r="O448">
        <v>58.239258572003699</v>
      </c>
      <c r="P448">
        <v>-0.12729557287886101</v>
      </c>
      <c r="Q448">
        <v>1.6139804570581302E-2</v>
      </c>
      <c r="R448">
        <v>0.98963206422003702</v>
      </c>
      <c r="S448" t="s">
        <v>7451</v>
      </c>
      <c r="T448" t="s">
        <v>14004</v>
      </c>
      <c r="U448" t="s">
        <v>14004</v>
      </c>
      <c r="V448" t="s">
        <v>14004</v>
      </c>
      <c r="W448" t="s">
        <v>14447</v>
      </c>
      <c r="X448">
        <v>4</v>
      </c>
      <c r="Y448" t="s">
        <v>21385</v>
      </c>
      <c r="Z448" t="s">
        <v>28158</v>
      </c>
      <c r="AA448">
        <v>0.62904517880766908</v>
      </c>
      <c r="AB448" t="str">
        <f>HYPERLINK("Melting_Curves/meltCurve_E7EMA9_ATHL1.pdf", "Melting_Curves/meltCurve_E7EMA9_ATHL1.pdf")</f>
        <v>Melting_Curves/meltCurve_E7EMA9_ATHL1.pdf</v>
      </c>
    </row>
    <row r="449" spans="1:28" x14ac:dyDescent="0.25">
      <c r="A449" t="s">
        <v>453</v>
      </c>
      <c r="B449">
        <v>0.99999676499088797</v>
      </c>
      <c r="C449">
        <v>0.74564297041712702</v>
      </c>
      <c r="D449">
        <v>0.376160854376483</v>
      </c>
      <c r="E449">
        <v>0.26299459019558202</v>
      </c>
      <c r="F449">
        <v>0.18295258179941201</v>
      </c>
      <c r="G449">
        <v>0.11363256949355401</v>
      </c>
      <c r="H449">
        <v>8.5636344616201995E-2</v>
      </c>
      <c r="I449">
        <v>7.0167867068849504E-2</v>
      </c>
      <c r="J449">
        <v>5.8580646873801101E-2</v>
      </c>
      <c r="K449">
        <v>7.6745183356506902E-2</v>
      </c>
      <c r="L449">
        <v>924.12022248050903</v>
      </c>
      <c r="M449">
        <v>20.599622783485</v>
      </c>
      <c r="N449">
        <v>45.309838361692599</v>
      </c>
      <c r="O449">
        <v>44.4446799891398</v>
      </c>
      <c r="P449">
        <v>-0.105182036980454</v>
      </c>
      <c r="Q449">
        <v>9.2285045503291405E-2</v>
      </c>
      <c r="R449">
        <v>0.98228296824213901</v>
      </c>
      <c r="S449" t="s">
        <v>7452</v>
      </c>
      <c r="T449" t="s">
        <v>14004</v>
      </c>
      <c r="U449" t="s">
        <v>14004</v>
      </c>
      <c r="V449" t="s">
        <v>14004</v>
      </c>
      <c r="W449" t="s">
        <v>14448</v>
      </c>
      <c r="X449">
        <v>3</v>
      </c>
      <c r="Y449" t="s">
        <v>21386</v>
      </c>
      <c r="Z449" t="s">
        <v>28159</v>
      </c>
      <c r="AA449">
        <v>0.25393986757982778</v>
      </c>
      <c r="AB449" t="str">
        <f>HYPERLINK("Melting_Curves/meltCurve_E7EMD6_AKAP10.pdf", "Melting_Curves/meltCurve_E7EMD6_AKAP10.pdf")</f>
        <v>Melting_Curves/meltCurve_E7EMD6_AKAP10.pdf</v>
      </c>
    </row>
    <row r="450" spans="1:28" x14ac:dyDescent="0.25">
      <c r="A450" t="s">
        <v>454</v>
      </c>
      <c r="B450">
        <v>0.99999676499088797</v>
      </c>
      <c r="C450">
        <v>0.94656867892973395</v>
      </c>
      <c r="D450">
        <v>0.95032223910830904</v>
      </c>
      <c r="E450">
        <v>1.0393092743549499</v>
      </c>
      <c r="F450">
        <v>0.999542453893141</v>
      </c>
      <c r="G450">
        <v>0.86789818957869402</v>
      </c>
      <c r="H450">
        <v>0.61802514259556596</v>
      </c>
      <c r="I450">
        <v>0.60992496578856004</v>
      </c>
      <c r="J450">
        <v>0.55228390343947997</v>
      </c>
      <c r="K450">
        <v>0.59597393852588598</v>
      </c>
      <c r="L450">
        <v>2718.14404174319</v>
      </c>
      <c r="M450">
        <v>47.078971793469201</v>
      </c>
      <c r="O450">
        <v>57.631957503852199</v>
      </c>
      <c r="P450">
        <v>-8.4971209624115696E-2</v>
      </c>
      <c r="Q450">
        <v>0.58392873440195703</v>
      </c>
      <c r="R450">
        <v>0.97577842268627502</v>
      </c>
      <c r="S450" t="s">
        <v>7453</v>
      </c>
      <c r="T450" t="s">
        <v>14004</v>
      </c>
      <c r="U450" t="s">
        <v>14004</v>
      </c>
      <c r="V450" t="s">
        <v>14004</v>
      </c>
      <c r="W450" t="s">
        <v>14449</v>
      </c>
      <c r="X450">
        <v>11</v>
      </c>
      <c r="Y450" t="s">
        <v>21387</v>
      </c>
      <c r="Z450" t="s">
        <v>28160</v>
      </c>
      <c r="AA450">
        <v>0.8310970210592733</v>
      </c>
      <c r="AB450" t="str">
        <f>HYPERLINK("Melting_Curves/meltCurve_E7EMM4_ASAH1.pdf", "Melting_Curves/meltCurve_E7EMM4_ASAH1.pdf")</f>
        <v>Melting_Curves/meltCurve_E7EMM4_ASAH1.pdf</v>
      </c>
    </row>
    <row r="451" spans="1:28" x14ac:dyDescent="0.25">
      <c r="A451" t="s">
        <v>455</v>
      </c>
      <c r="B451">
        <v>0.99999676499088797</v>
      </c>
      <c r="C451">
        <v>0.94484064828612102</v>
      </c>
      <c r="D451">
        <v>0.97197021275163398</v>
      </c>
      <c r="E451">
        <v>0.89422796388340897</v>
      </c>
      <c r="F451">
        <v>0.85458829424750604</v>
      </c>
      <c r="G451">
        <v>0.80518216376042295</v>
      </c>
      <c r="H451">
        <v>0.558863882584272</v>
      </c>
      <c r="I451">
        <v>0.64666458572604901</v>
      </c>
      <c r="J451">
        <v>0.61357555001634101</v>
      </c>
      <c r="K451">
        <v>0.59154119015441797</v>
      </c>
      <c r="L451">
        <v>721.63395008236705</v>
      </c>
      <c r="M451">
        <v>13.0128932798638</v>
      </c>
      <c r="O451">
        <v>54.194693133654297</v>
      </c>
      <c r="P451">
        <v>-2.6685683264860701E-2</v>
      </c>
      <c r="Q451">
        <v>0.55552760942838897</v>
      </c>
      <c r="R451">
        <v>0.928614346113386</v>
      </c>
      <c r="S451" t="s">
        <v>7454</v>
      </c>
      <c r="T451" t="s">
        <v>14004</v>
      </c>
      <c r="U451" t="s">
        <v>14004</v>
      </c>
      <c r="V451" t="s">
        <v>14004</v>
      </c>
      <c r="W451" t="s">
        <v>14450</v>
      </c>
      <c r="X451">
        <v>11</v>
      </c>
      <c r="Y451" t="s">
        <v>21388</v>
      </c>
      <c r="Z451" t="s">
        <v>28161</v>
      </c>
      <c r="AA451">
        <v>0.79384090158724618</v>
      </c>
      <c r="AB451" t="str">
        <f>HYPERLINK("Melting_Curves/meltCurve_E7EMN6_PPP1R2.pdf", "Melting_Curves/meltCurve_E7EMN6_PPP1R2.pdf")</f>
        <v>Melting_Curves/meltCurve_E7EMN6_PPP1R2.pdf</v>
      </c>
    </row>
    <row r="452" spans="1:28" x14ac:dyDescent="0.25">
      <c r="A452" t="s">
        <v>456</v>
      </c>
      <c r="B452">
        <v>0.99999676499088797</v>
      </c>
      <c r="C452">
        <v>0.90574021337494004</v>
      </c>
      <c r="D452">
        <v>0.76314593616675397</v>
      </c>
      <c r="E452">
        <v>0.41612319578665702</v>
      </c>
      <c r="F452">
        <v>0.31271969065750599</v>
      </c>
      <c r="G452">
        <v>0.245993233562745</v>
      </c>
      <c r="H452">
        <v>0.164101528450046</v>
      </c>
      <c r="I452">
        <v>0.16052146277429599</v>
      </c>
      <c r="J452">
        <v>0.221489556854852</v>
      </c>
      <c r="K452">
        <v>0.192515435206771</v>
      </c>
      <c r="L452">
        <v>953.07718262288495</v>
      </c>
      <c r="M452">
        <v>19.9623834577162</v>
      </c>
      <c r="N452">
        <v>48.903539486539202</v>
      </c>
      <c r="O452">
        <v>47.272284973729597</v>
      </c>
      <c r="P452">
        <v>-8.5665485170180494E-2</v>
      </c>
      <c r="Q452">
        <v>0.18857977060732001</v>
      </c>
      <c r="R452">
        <v>0.99257131682363897</v>
      </c>
      <c r="S452" t="s">
        <v>7455</v>
      </c>
      <c r="T452" t="s">
        <v>14004</v>
      </c>
      <c r="U452" t="s">
        <v>14004</v>
      </c>
      <c r="V452" t="s">
        <v>14004</v>
      </c>
      <c r="W452" t="s">
        <v>14451</v>
      </c>
      <c r="X452">
        <v>4</v>
      </c>
      <c r="Y452" t="s">
        <v>21389</v>
      </c>
      <c r="Z452" t="s">
        <v>28162</v>
      </c>
      <c r="AA452">
        <v>0.40967067023088138</v>
      </c>
      <c r="AB452" t="str">
        <f>HYPERLINK("Melting_Curves/meltCurve_E7EMV7_TNIP1.pdf", "Melting_Curves/meltCurve_E7EMV7_TNIP1.pdf")</f>
        <v>Melting_Curves/meltCurve_E7EMV7_TNIP1.pdf</v>
      </c>
    </row>
    <row r="453" spans="1:28" x14ac:dyDescent="0.25">
      <c r="A453" t="s">
        <v>457</v>
      </c>
      <c r="B453">
        <v>0.99999676499088797</v>
      </c>
      <c r="C453">
        <v>0.99026766789145504</v>
      </c>
      <c r="D453">
        <v>1.0236482990962601</v>
      </c>
      <c r="E453">
        <v>0.96410420868330404</v>
      </c>
      <c r="F453">
        <v>0.43242936275072702</v>
      </c>
      <c r="G453">
        <v>0.28607135631235803</v>
      </c>
      <c r="H453">
        <v>0.100088926388484</v>
      </c>
      <c r="I453">
        <v>2.4208632099493099E-2</v>
      </c>
      <c r="J453">
        <v>2.2046574881345701E-2</v>
      </c>
      <c r="K453">
        <v>5.7010085321848598E-2</v>
      </c>
      <c r="L453">
        <v>1445.96638741672</v>
      </c>
      <c r="M453">
        <v>27.209767665973999</v>
      </c>
      <c r="N453">
        <v>53.355622114359697</v>
      </c>
      <c r="O453">
        <v>52.856898816761003</v>
      </c>
      <c r="P453">
        <v>-0.12203854691315</v>
      </c>
      <c r="Q453">
        <v>5.1735087229482203E-2</v>
      </c>
      <c r="R453">
        <v>0.98506427754444803</v>
      </c>
      <c r="S453" t="s">
        <v>7456</v>
      </c>
      <c r="T453" t="s">
        <v>14004</v>
      </c>
      <c r="U453" t="s">
        <v>14004</v>
      </c>
      <c r="V453" t="s">
        <v>14004</v>
      </c>
      <c r="W453" t="s">
        <v>14452</v>
      </c>
      <c r="X453">
        <v>34</v>
      </c>
      <c r="Y453" t="s">
        <v>21390</v>
      </c>
      <c r="Z453" t="s">
        <v>28163</v>
      </c>
      <c r="AA453">
        <v>0.47456474401855753</v>
      </c>
      <c r="AB453" t="str">
        <f>HYPERLINK("Melting_Curves/meltCurve_E7EN19_MAP4K4.pdf", "Melting_Curves/meltCurve_E7EN19_MAP4K4.pdf")</f>
        <v>Melting_Curves/meltCurve_E7EN19_MAP4K4.pdf</v>
      </c>
    </row>
    <row r="454" spans="1:28" x14ac:dyDescent="0.25">
      <c r="A454" t="s">
        <v>458</v>
      </c>
      <c r="B454">
        <v>0.99999676499088797</v>
      </c>
      <c r="C454">
        <v>1.0575916518633099</v>
      </c>
      <c r="D454">
        <v>1.1201001102564301</v>
      </c>
      <c r="E454">
        <v>1.08261545510665</v>
      </c>
      <c r="F454">
        <v>1.0551014998363399</v>
      </c>
      <c r="G454">
        <v>1.09859127415161</v>
      </c>
      <c r="H454">
        <v>0.54573119810705095</v>
      </c>
      <c r="I454">
        <v>0.41341253552516199</v>
      </c>
      <c r="J454">
        <v>0.60478258094596804</v>
      </c>
      <c r="K454">
        <v>0.35249654534795499</v>
      </c>
      <c r="L454">
        <v>15000</v>
      </c>
      <c r="M454">
        <v>248.342447434295</v>
      </c>
      <c r="N454">
        <v>61.002533873458503</v>
      </c>
      <c r="O454">
        <v>60.396552587713401</v>
      </c>
      <c r="P454">
        <v>-0.55829138681379697</v>
      </c>
      <c r="Q454">
        <v>0.45689712865417298</v>
      </c>
      <c r="R454">
        <v>0.91861488540647895</v>
      </c>
      <c r="S454" t="s">
        <v>7457</v>
      </c>
      <c r="T454" t="s">
        <v>14004</v>
      </c>
      <c r="U454" t="s">
        <v>14004</v>
      </c>
      <c r="V454" t="s">
        <v>14004</v>
      </c>
      <c r="W454" t="s">
        <v>14453</v>
      </c>
      <c r="X454">
        <v>1</v>
      </c>
      <c r="Y454" t="s">
        <v>21391</v>
      </c>
      <c r="Z454" t="s">
        <v>28164</v>
      </c>
      <c r="AA454">
        <v>0.82627389114070793</v>
      </c>
      <c r="AB454" t="str">
        <f>HYPERLINK("Melting_Curves/meltCurve_E7EN67_COCH.pdf", "Melting_Curves/meltCurve_E7EN67_COCH.pdf")</f>
        <v>Melting_Curves/meltCurve_E7EN67_COCH.pdf</v>
      </c>
    </row>
    <row r="455" spans="1:28" x14ac:dyDescent="0.25">
      <c r="A455" t="s">
        <v>459</v>
      </c>
      <c r="B455">
        <v>0.99999676499088797</v>
      </c>
      <c r="C455">
        <v>0.97024002795944297</v>
      </c>
      <c r="D455">
        <v>1.01004516054148</v>
      </c>
      <c r="E455">
        <v>1.10740086259286</v>
      </c>
      <c r="F455">
        <v>0.86907368172758104</v>
      </c>
      <c r="G455">
        <v>0.73130141121342496</v>
      </c>
      <c r="H455">
        <v>0.387512569095319</v>
      </c>
      <c r="I455">
        <v>0.30139771616981198</v>
      </c>
      <c r="J455">
        <v>0.26771336516970801</v>
      </c>
      <c r="K455">
        <v>0.293185751203622</v>
      </c>
      <c r="L455">
        <v>1617.6070860934001</v>
      </c>
      <c r="M455">
        <v>28.087670013032302</v>
      </c>
      <c r="N455">
        <v>59.190020281422598</v>
      </c>
      <c r="O455">
        <v>57.301800279404802</v>
      </c>
      <c r="P455">
        <v>-8.9966266232926403E-2</v>
      </c>
      <c r="Q455">
        <v>0.26584363755558499</v>
      </c>
      <c r="R455">
        <v>0.98104642039288403</v>
      </c>
      <c r="S455" t="s">
        <v>7458</v>
      </c>
      <c r="T455" t="s">
        <v>14004</v>
      </c>
      <c r="U455" t="s">
        <v>14004</v>
      </c>
      <c r="V455" t="s">
        <v>14004</v>
      </c>
      <c r="W455" t="s">
        <v>14454</v>
      </c>
      <c r="X455">
        <v>6</v>
      </c>
      <c r="Y455" t="s">
        <v>21392</v>
      </c>
      <c r="Z455" t="s">
        <v>28165</v>
      </c>
      <c r="AA455">
        <v>0.70176248041804112</v>
      </c>
      <c r="AB455" t="str">
        <f>HYPERLINK("Melting_Curves/meltCurve_E7EN73_KIAA0319L.pdf", "Melting_Curves/meltCurve_E7EN73_KIAA0319L.pdf")</f>
        <v>Melting_Curves/meltCurve_E7EN73_KIAA0319L.pdf</v>
      </c>
    </row>
    <row r="456" spans="1:28" x14ac:dyDescent="0.25">
      <c r="A456" t="s">
        <v>460</v>
      </c>
      <c r="B456">
        <v>0.99999676499088797</v>
      </c>
      <c r="C456">
        <v>0.74952333858249598</v>
      </c>
      <c r="D456">
        <v>0.81662467261899496</v>
      </c>
      <c r="E456">
        <v>0.58805690635976504</v>
      </c>
      <c r="F456">
        <v>0.54334509513417595</v>
      </c>
      <c r="G456">
        <v>0.34328315149037297</v>
      </c>
      <c r="H456">
        <v>0.225457602933478</v>
      </c>
      <c r="I456">
        <v>0.15147740110048699</v>
      </c>
      <c r="J456">
        <v>0.119943631814779</v>
      </c>
      <c r="K456">
        <v>0.18089260880616501</v>
      </c>
      <c r="L456">
        <v>437.00447064933098</v>
      </c>
      <c r="M456">
        <v>8.3346552012523407</v>
      </c>
      <c r="N456">
        <v>52.566649267378303</v>
      </c>
      <c r="O456">
        <v>49.674166403314899</v>
      </c>
      <c r="P456">
        <v>-4.1544581407203601E-2</v>
      </c>
      <c r="Q456">
        <v>1.05445866080857E-2</v>
      </c>
      <c r="R456">
        <v>0.96218152773090804</v>
      </c>
      <c r="S456" t="s">
        <v>7459</v>
      </c>
      <c r="T456" t="s">
        <v>14004</v>
      </c>
      <c r="U456" t="s">
        <v>14004</v>
      </c>
      <c r="V456" t="s">
        <v>14004</v>
      </c>
      <c r="W456" t="s">
        <v>14455</v>
      </c>
      <c r="X456">
        <v>5</v>
      </c>
      <c r="Y456" t="s">
        <v>21393</v>
      </c>
      <c r="Z456" t="s">
        <v>28166</v>
      </c>
      <c r="AA456">
        <v>0.46306860767394808</v>
      </c>
      <c r="AB456" t="str">
        <f>HYPERLINK("Melting_Curves/meltCurve_E7ENA9_NCSTN.pdf", "Melting_Curves/meltCurve_E7ENA9_NCSTN.pdf")</f>
        <v>Melting_Curves/meltCurve_E7ENA9_NCSTN.pdf</v>
      </c>
    </row>
    <row r="457" spans="1:28" x14ac:dyDescent="0.25">
      <c r="A457" t="s">
        <v>461</v>
      </c>
      <c r="B457">
        <v>0.99999676499088797</v>
      </c>
      <c r="C457">
        <v>0.97204079404473098</v>
      </c>
      <c r="D457">
        <v>0.95169336600324494</v>
      </c>
      <c r="E457">
        <v>0.72508439756647203</v>
      </c>
      <c r="F457">
        <v>0.43186057562913199</v>
      </c>
      <c r="G457">
        <v>0.26840584152331798</v>
      </c>
      <c r="H457">
        <v>0.14274360121510399</v>
      </c>
      <c r="I457">
        <v>0.14023327172047001</v>
      </c>
      <c r="J457">
        <v>0.124772151418004</v>
      </c>
      <c r="K457">
        <v>0.116464361596537</v>
      </c>
      <c r="L457">
        <v>1011.93856533415</v>
      </c>
      <c r="M457">
        <v>19.561671822291601</v>
      </c>
      <c r="N457">
        <v>52.425997464744498</v>
      </c>
      <c r="O457">
        <v>51.199165041213</v>
      </c>
      <c r="P457">
        <v>-8.4606561617812798E-2</v>
      </c>
      <c r="Q457">
        <v>0.114261509666086</v>
      </c>
      <c r="R457">
        <v>0.99875238372280195</v>
      </c>
      <c r="S457" t="s">
        <v>7460</v>
      </c>
      <c r="T457" t="s">
        <v>14004</v>
      </c>
      <c r="U457" t="s">
        <v>14004</v>
      </c>
      <c r="V457" t="s">
        <v>14004</v>
      </c>
      <c r="W457" t="s">
        <v>14456</v>
      </c>
      <c r="X457">
        <v>16</v>
      </c>
      <c r="Y457" t="s">
        <v>21394</v>
      </c>
      <c r="Z457" t="s">
        <v>28167</v>
      </c>
      <c r="AA457">
        <v>0.47337638367868051</v>
      </c>
      <c r="AB457" t="str">
        <f>HYPERLINK("Melting_Curves/meltCurve_E7ENK0_CALCOCO2.pdf", "Melting_Curves/meltCurve_E7ENK0_CALCOCO2.pdf")</f>
        <v>Melting_Curves/meltCurve_E7ENK0_CALCOCO2.pdf</v>
      </c>
    </row>
    <row r="458" spans="1:28" x14ac:dyDescent="0.25">
      <c r="A458" t="s">
        <v>462</v>
      </c>
      <c r="B458">
        <v>0.99999676499088797</v>
      </c>
      <c r="C458">
        <v>1.0176125622508601</v>
      </c>
      <c r="D458">
        <v>0.94663477137525498</v>
      </c>
      <c r="E458">
        <v>0.75461933824557104</v>
      </c>
      <c r="F458">
        <v>0.22930581939710301</v>
      </c>
      <c r="G458">
        <v>0.15432578966764901</v>
      </c>
      <c r="H458">
        <v>6.9456944963655898E-2</v>
      </c>
      <c r="I458">
        <v>6.7601527494282096E-2</v>
      </c>
      <c r="J458">
        <v>6.3981606305831995E-2</v>
      </c>
      <c r="K458">
        <v>4.3359429651432503E-2</v>
      </c>
      <c r="L458">
        <v>1721.42714459126</v>
      </c>
      <c r="M458">
        <v>33.7572992119294</v>
      </c>
      <c r="N458">
        <v>51.220882724581202</v>
      </c>
      <c r="O458">
        <v>50.816263748647998</v>
      </c>
      <c r="P458">
        <v>-0.15455353640379699</v>
      </c>
      <c r="Q458">
        <v>6.9380383168979196E-2</v>
      </c>
      <c r="R458">
        <v>0.99648946979845998</v>
      </c>
      <c r="S458" t="s">
        <v>7461</v>
      </c>
      <c r="T458" t="s">
        <v>14004</v>
      </c>
      <c r="U458" t="s">
        <v>14004</v>
      </c>
      <c r="V458" t="s">
        <v>14004</v>
      </c>
      <c r="W458" t="s">
        <v>14457</v>
      </c>
      <c r="X458">
        <v>51</v>
      </c>
      <c r="Y458" t="s">
        <v>21395</v>
      </c>
      <c r="Z458" t="s">
        <v>28168</v>
      </c>
      <c r="AA458">
        <v>0.41504456361655351</v>
      </c>
      <c r="AB458" t="str">
        <f>HYPERLINK("Melting_Curves/meltCurve_E7ENR4_HK1.pdf", "Melting_Curves/meltCurve_E7ENR4_HK1.pdf")</f>
        <v>Melting_Curves/meltCurve_E7ENR4_HK1.pdf</v>
      </c>
    </row>
    <row r="459" spans="1:28" x14ac:dyDescent="0.25">
      <c r="A459" t="s">
        <v>463</v>
      </c>
      <c r="B459">
        <v>0.99999676499088797</v>
      </c>
      <c r="C459">
        <v>0.92717848853149698</v>
      </c>
      <c r="D459">
        <v>0.64675302007699098</v>
      </c>
      <c r="E459">
        <v>0.24220797379516601</v>
      </c>
      <c r="F459">
        <v>0.17185687321429099</v>
      </c>
      <c r="G459">
        <v>0.11161715813020701</v>
      </c>
      <c r="H459">
        <v>5.33199777025904E-2</v>
      </c>
      <c r="I459">
        <v>5.8525187682503803E-2</v>
      </c>
      <c r="J459">
        <v>5.6790802187949699E-2</v>
      </c>
      <c r="K459">
        <v>5.1428851643753902E-2</v>
      </c>
      <c r="L459">
        <v>1139.33670725773</v>
      </c>
      <c r="M459">
        <v>24.2739557165897</v>
      </c>
      <c r="N459">
        <v>47.223674343891403</v>
      </c>
      <c r="O459">
        <v>46.6215255254425</v>
      </c>
      <c r="P459">
        <v>-0.12123779010121601</v>
      </c>
      <c r="Q459">
        <v>6.8597767070757501E-2</v>
      </c>
      <c r="R459">
        <v>0.99565357727791903</v>
      </c>
      <c r="S459" t="s">
        <v>7462</v>
      </c>
      <c r="T459" t="s">
        <v>14004</v>
      </c>
      <c r="U459" t="s">
        <v>14004</v>
      </c>
      <c r="V459" t="s">
        <v>14004</v>
      </c>
      <c r="W459" t="s">
        <v>14458</v>
      </c>
      <c r="X459">
        <v>38</v>
      </c>
      <c r="Y459" t="s">
        <v>21396</v>
      </c>
      <c r="Z459" t="s">
        <v>28169</v>
      </c>
      <c r="AA459">
        <v>0.29284460167535881</v>
      </c>
      <c r="AB459" t="str">
        <f>HYPERLINK("Melting_Curves/meltCurve_E7ENU4_ADAR.pdf", "Melting_Curves/meltCurve_E7ENU4_ADAR.pdf")</f>
        <v>Melting_Curves/meltCurve_E7ENU4_ADAR.pdf</v>
      </c>
    </row>
    <row r="460" spans="1:28" x14ac:dyDescent="0.25">
      <c r="A460" t="s">
        <v>464</v>
      </c>
      <c r="B460">
        <v>0.99999676499088797</v>
      </c>
      <c r="C460">
        <v>0.88721244585324099</v>
      </c>
      <c r="D460">
        <v>0.88955450891599197</v>
      </c>
      <c r="E460">
        <v>0.66512720352005295</v>
      </c>
      <c r="F460">
        <v>0.349235399362611</v>
      </c>
      <c r="G460">
        <v>0.41237930586034399</v>
      </c>
      <c r="H460">
        <v>0.218775202535927</v>
      </c>
      <c r="I460">
        <v>0.27865203751402101</v>
      </c>
      <c r="J460">
        <v>0.23855766643324799</v>
      </c>
      <c r="K460">
        <v>0.23318846224050199</v>
      </c>
      <c r="L460">
        <v>872.80427884563699</v>
      </c>
      <c r="M460">
        <v>17.493062731709902</v>
      </c>
      <c r="N460">
        <v>51.797984897763001</v>
      </c>
      <c r="O460">
        <v>49.255972743607003</v>
      </c>
      <c r="P460">
        <v>-6.7737345245982003E-2</v>
      </c>
      <c r="Q460">
        <v>0.23711824348496799</v>
      </c>
      <c r="R460">
        <v>0.97092547073414603</v>
      </c>
      <c r="S460" t="s">
        <v>7463</v>
      </c>
      <c r="T460" t="s">
        <v>14004</v>
      </c>
      <c r="U460" t="s">
        <v>14004</v>
      </c>
      <c r="V460" t="s">
        <v>14004</v>
      </c>
      <c r="W460" t="s">
        <v>14459</v>
      </c>
      <c r="X460">
        <v>8</v>
      </c>
      <c r="Y460" t="s">
        <v>21397</v>
      </c>
      <c r="Z460" t="s">
        <v>28170</v>
      </c>
      <c r="AA460">
        <v>0.5024795557566698</v>
      </c>
      <c r="AB460" t="str">
        <f>HYPERLINK("Melting_Curves/meltCurve_E7ENW2_CBLB.pdf", "Melting_Curves/meltCurve_E7ENW2_CBLB.pdf")</f>
        <v>Melting_Curves/meltCurve_E7ENW2_CBLB.pdf</v>
      </c>
    </row>
    <row r="461" spans="1:28" x14ac:dyDescent="0.25">
      <c r="A461" t="s">
        <v>465</v>
      </c>
      <c r="B461">
        <v>0.99999676499088797</v>
      </c>
      <c r="C461">
        <v>1.0178552986454601</v>
      </c>
      <c r="D461">
        <v>0.88615256656172803</v>
      </c>
      <c r="E461">
        <v>0.78457399365452296</v>
      </c>
      <c r="F461">
        <v>0.75064683393408904</v>
      </c>
      <c r="G461">
        <v>0.411679272620603</v>
      </c>
      <c r="H461">
        <v>0.192595977940129</v>
      </c>
      <c r="I461">
        <v>0.16230485934761599</v>
      </c>
      <c r="J461">
        <v>0.14350236404755101</v>
      </c>
      <c r="K461">
        <v>0.13681743806465099</v>
      </c>
      <c r="L461">
        <v>837.20451668200201</v>
      </c>
      <c r="M461">
        <v>15.2276088388286</v>
      </c>
      <c r="N461">
        <v>55.567782269066797</v>
      </c>
      <c r="O461">
        <v>54.0573703961375</v>
      </c>
      <c r="P461">
        <v>-6.5186038599461996E-2</v>
      </c>
      <c r="Q461">
        <v>7.4457451198998201E-2</v>
      </c>
      <c r="R461">
        <v>0.98084026728939899</v>
      </c>
      <c r="S461" t="s">
        <v>7464</v>
      </c>
      <c r="T461" t="s">
        <v>14004</v>
      </c>
      <c r="U461" t="s">
        <v>14004</v>
      </c>
      <c r="V461" t="s">
        <v>14004</v>
      </c>
      <c r="W461" t="s">
        <v>14460</v>
      </c>
      <c r="X461">
        <v>2</v>
      </c>
      <c r="Y461" t="s">
        <v>21398</v>
      </c>
      <c r="Z461" t="s">
        <v>28171</v>
      </c>
      <c r="AA461">
        <v>0.55417753927749669</v>
      </c>
      <c r="AB461" t="str">
        <f>HYPERLINK("Melting_Curves/meltCurve_E7ENX6_LRFN4.pdf", "Melting_Curves/meltCurve_E7ENX6_LRFN4.pdf")</f>
        <v>Melting_Curves/meltCurve_E7ENX6_LRFN4.pdf</v>
      </c>
    </row>
    <row r="462" spans="1:28" x14ac:dyDescent="0.25">
      <c r="A462" t="s">
        <v>466</v>
      </c>
      <c r="B462">
        <v>0.99999676499088797</v>
      </c>
      <c r="C462">
        <v>0.91391451981554594</v>
      </c>
      <c r="D462">
        <v>1.0497475800046101</v>
      </c>
      <c r="E462">
        <v>0.87483718695998403</v>
      </c>
      <c r="F462">
        <v>1.07456267457344</v>
      </c>
      <c r="G462">
        <v>1.1057572147191901</v>
      </c>
      <c r="H462">
        <v>0.99106612727948395</v>
      </c>
      <c r="I462">
        <v>0.74009421792413099</v>
      </c>
      <c r="J462">
        <v>0.70139292613972604</v>
      </c>
      <c r="K462">
        <v>1.6503564149466201</v>
      </c>
      <c r="L462">
        <v>15000</v>
      </c>
      <c r="M462">
        <v>218.58274730248701</v>
      </c>
      <c r="O462">
        <v>68.618153727952802</v>
      </c>
      <c r="P462">
        <v>0.39818681088838997</v>
      </c>
      <c r="Q462">
        <v>1.5</v>
      </c>
      <c r="R462">
        <v>0.63633085184187299</v>
      </c>
      <c r="S462" t="s">
        <v>7465</v>
      </c>
      <c r="T462" t="s">
        <v>14004</v>
      </c>
      <c r="U462" t="s">
        <v>14004</v>
      </c>
      <c r="V462" t="s">
        <v>14004</v>
      </c>
      <c r="W462" t="s">
        <v>14461</v>
      </c>
      <c r="X462">
        <v>1</v>
      </c>
      <c r="Y462" t="s">
        <v>21399</v>
      </c>
      <c r="Z462" t="s">
        <v>28172</v>
      </c>
      <c r="AA462">
        <v>1.0229305608991131</v>
      </c>
      <c r="AB462" t="str">
        <f>HYPERLINK("Melting_Curves/meltCurve_E7EP17_DNAH9.pdf", "Melting_Curves/meltCurve_E7EP17_DNAH9.pdf")</f>
        <v>Melting_Curves/meltCurve_E7EP17_DNAH9.pdf</v>
      </c>
    </row>
    <row r="463" spans="1:28" x14ac:dyDescent="0.25">
      <c r="A463" t="s">
        <v>467</v>
      </c>
      <c r="B463">
        <v>0.99999676499088797</v>
      </c>
      <c r="C463">
        <v>1.12150468287683</v>
      </c>
      <c r="D463">
        <v>0.83467896179974099</v>
      </c>
      <c r="E463">
        <v>0.70679352599551504</v>
      </c>
      <c r="F463">
        <v>0.91423686253898095</v>
      </c>
      <c r="G463">
        <v>0.69518051156535299</v>
      </c>
      <c r="H463">
        <v>0.51391241286537703</v>
      </c>
      <c r="I463">
        <v>0.63868915734730503</v>
      </c>
      <c r="J463">
        <v>0.70528749527038204</v>
      </c>
      <c r="K463">
        <v>0.74090635217232204</v>
      </c>
      <c r="L463">
        <v>871.06384044097604</v>
      </c>
      <c r="M463">
        <v>18.076530548363799</v>
      </c>
      <c r="O463">
        <v>47.609434255526303</v>
      </c>
      <c r="P463">
        <v>-3.1050626555348002E-2</v>
      </c>
      <c r="Q463">
        <v>0.67289496592165099</v>
      </c>
      <c r="R463">
        <v>0.638315303008263</v>
      </c>
      <c r="S463" t="s">
        <v>7466</v>
      </c>
      <c r="T463" t="s">
        <v>14004</v>
      </c>
      <c r="U463" t="s">
        <v>14004</v>
      </c>
      <c r="V463" t="s">
        <v>14004</v>
      </c>
      <c r="W463" t="s">
        <v>14462</v>
      </c>
      <c r="X463">
        <v>4</v>
      </c>
      <c r="Y463" t="s">
        <v>21400</v>
      </c>
      <c r="Z463" t="s">
        <v>28173</v>
      </c>
      <c r="AA463">
        <v>0.76788969043071531</v>
      </c>
      <c r="AB463" t="str">
        <f>HYPERLINK("Melting_Curves/meltCurve_E7EP72_C19orf25.pdf", "Melting_Curves/meltCurve_E7EP72_C19orf25.pdf")</f>
        <v>Melting_Curves/meltCurve_E7EP72_C19orf25.pdf</v>
      </c>
    </row>
    <row r="464" spans="1:28" x14ac:dyDescent="0.25">
      <c r="A464" t="s">
        <v>468</v>
      </c>
      <c r="B464">
        <v>0.99999676499088797</v>
      </c>
      <c r="C464">
        <v>1.06526707490496</v>
      </c>
      <c r="D464">
        <v>1.1651664460965401</v>
      </c>
      <c r="E464">
        <v>1.03860265644183</v>
      </c>
      <c r="F464">
        <v>1.0479800795015799</v>
      </c>
      <c r="G464">
        <v>0.927614976527252</v>
      </c>
      <c r="H464">
        <v>0.24228236994269101</v>
      </c>
      <c r="I464">
        <v>0.194230417738191</v>
      </c>
      <c r="J464">
        <v>0.12974799075318599</v>
      </c>
      <c r="K464">
        <v>0.116983037360176</v>
      </c>
      <c r="L464">
        <v>3770.20851861446</v>
      </c>
      <c r="M464">
        <v>64.009931515352093</v>
      </c>
      <c r="N464">
        <v>59.214570790657802</v>
      </c>
      <c r="O464">
        <v>58.842959359701702</v>
      </c>
      <c r="P464">
        <v>-0.23279439591928699</v>
      </c>
      <c r="Q464">
        <v>0.14398865947609901</v>
      </c>
      <c r="R464">
        <v>0.97931956668054798</v>
      </c>
      <c r="S464" t="s">
        <v>7467</v>
      </c>
      <c r="T464" t="s">
        <v>14004</v>
      </c>
      <c r="U464" t="s">
        <v>14004</v>
      </c>
      <c r="V464" t="s">
        <v>14004</v>
      </c>
      <c r="W464" t="s">
        <v>14463</v>
      </c>
      <c r="X464">
        <v>4</v>
      </c>
      <c r="Y464" t="s">
        <v>21401</v>
      </c>
      <c r="Z464" t="s">
        <v>28174</v>
      </c>
      <c r="AA464">
        <v>0.68463884261490671</v>
      </c>
      <c r="AB464" t="str">
        <f>HYPERLINK("Melting_Curves/meltCurve_E7EPB3_RPL14.pdf", "Melting_Curves/meltCurve_E7EPB3_RPL14.pdf")</f>
        <v>Melting_Curves/meltCurve_E7EPB3_RPL14.pdf</v>
      </c>
    </row>
    <row r="465" spans="1:28" x14ac:dyDescent="0.25">
      <c r="A465" t="s">
        <v>469</v>
      </c>
      <c r="B465">
        <v>0.99999676499088797</v>
      </c>
      <c r="C465">
        <v>0.92854342137674295</v>
      </c>
      <c r="D465">
        <v>0.91884901749048997</v>
      </c>
      <c r="E465">
        <v>0.59849045104967602</v>
      </c>
      <c r="F465">
        <v>0.37583602620420697</v>
      </c>
      <c r="G465">
        <v>0.22321751098607001</v>
      </c>
      <c r="H465">
        <v>8.9697206037539404E-2</v>
      </c>
      <c r="I465">
        <v>9.8836053600942803E-2</v>
      </c>
      <c r="J465">
        <v>8.6045495861330604E-2</v>
      </c>
      <c r="K465">
        <v>7.8103738446673093E-2</v>
      </c>
      <c r="L465">
        <v>877.52797072686405</v>
      </c>
      <c r="M465">
        <v>17.256973823732402</v>
      </c>
      <c r="N465">
        <v>51.286896135989501</v>
      </c>
      <c r="O465">
        <v>50.182547824370303</v>
      </c>
      <c r="P465">
        <v>-8.0106932988585303E-2</v>
      </c>
      <c r="Q465">
        <v>6.8264448901444494E-2</v>
      </c>
      <c r="R465">
        <v>0.99512743687662997</v>
      </c>
      <c r="S465" t="s">
        <v>7468</v>
      </c>
      <c r="T465" t="s">
        <v>14004</v>
      </c>
      <c r="U465" t="s">
        <v>14004</v>
      </c>
      <c r="V465" t="s">
        <v>14004</v>
      </c>
      <c r="W465" t="s">
        <v>14464</v>
      </c>
      <c r="X465">
        <v>11</v>
      </c>
      <c r="Y465" t="s">
        <v>21402</v>
      </c>
      <c r="Z465" t="s">
        <v>28175</v>
      </c>
      <c r="AA465">
        <v>0.42223001912835889</v>
      </c>
      <c r="AB465" t="str">
        <f>HYPERLINK("Melting_Curves/meltCurve_E7EPD0_TOM1.pdf", "Melting_Curves/meltCurve_E7EPD0_TOM1.pdf")</f>
        <v>Melting_Curves/meltCurve_E7EPD0_TOM1.pdf</v>
      </c>
    </row>
    <row r="466" spans="1:28" x14ac:dyDescent="0.25">
      <c r="A466" t="s">
        <v>470</v>
      </c>
      <c r="B466">
        <v>0.99999676499088797</v>
      </c>
      <c r="C466">
        <v>0.85547352039429503</v>
      </c>
      <c r="D466">
        <v>0.776648513214796</v>
      </c>
      <c r="E466">
        <v>0.46210348166779402</v>
      </c>
      <c r="F466">
        <v>0.28150343865884297</v>
      </c>
      <c r="G466">
        <v>0.23428428629772399</v>
      </c>
      <c r="H466">
        <v>0.15545084295190301</v>
      </c>
      <c r="I466">
        <v>0.159604330328384</v>
      </c>
      <c r="J466">
        <v>0.14384891250240001</v>
      </c>
      <c r="K466">
        <v>0.16107414453722199</v>
      </c>
      <c r="L466">
        <v>811.75416896343904</v>
      </c>
      <c r="M466">
        <v>16.824623688172998</v>
      </c>
      <c r="N466">
        <v>49.254147276427901</v>
      </c>
      <c r="O466">
        <v>47.581830812133397</v>
      </c>
      <c r="P466">
        <v>-7.5547732007234497E-2</v>
      </c>
      <c r="Q466">
        <v>0.145426826643831</v>
      </c>
      <c r="R466">
        <v>0.99378516284093898</v>
      </c>
      <c r="S466" t="s">
        <v>7469</v>
      </c>
      <c r="T466" t="s">
        <v>14004</v>
      </c>
      <c r="U466" t="s">
        <v>14004</v>
      </c>
      <c r="V466" t="s">
        <v>14004</v>
      </c>
      <c r="W466" t="s">
        <v>14465</v>
      </c>
      <c r="X466">
        <v>2</v>
      </c>
      <c r="Y466" t="s">
        <v>21403</v>
      </c>
      <c r="Z466" t="s">
        <v>28176</v>
      </c>
      <c r="AA466">
        <v>0.39766714998638852</v>
      </c>
      <c r="AB466" t="str">
        <f>HYPERLINK("Melting_Curves/meltCurve_E7EPF0_ZCCHC17.pdf", "Melting_Curves/meltCurve_E7EPF0_ZCCHC17.pdf")</f>
        <v>Melting_Curves/meltCurve_E7EPF0_ZCCHC17.pdf</v>
      </c>
    </row>
    <row r="467" spans="1:28" x14ac:dyDescent="0.25">
      <c r="A467" t="s">
        <v>471</v>
      </c>
      <c r="B467">
        <v>0.99999676499088797</v>
      </c>
      <c r="C467">
        <v>0.90559391410457801</v>
      </c>
      <c r="D467">
        <v>0.55869687352923403</v>
      </c>
      <c r="E467">
        <v>0.175553541601003</v>
      </c>
      <c r="F467">
        <v>0.18238243621961001</v>
      </c>
      <c r="G467">
        <v>0.120936865586788</v>
      </c>
      <c r="H467">
        <v>6.4748595789770297E-2</v>
      </c>
      <c r="I467">
        <v>5.6689051079045899E-2</v>
      </c>
      <c r="J467">
        <v>3.7762462110222397E-2</v>
      </c>
      <c r="K467">
        <v>2.37421669957283E-2</v>
      </c>
      <c r="L467">
        <v>1211.1588955177599</v>
      </c>
      <c r="M467">
        <v>26.208468640353999</v>
      </c>
      <c r="N467">
        <v>46.4806478841735</v>
      </c>
      <c r="O467">
        <v>45.945970909217699</v>
      </c>
      <c r="P467">
        <v>-0.13260148544727501</v>
      </c>
      <c r="Q467">
        <v>7.0157647439514803E-2</v>
      </c>
      <c r="R467">
        <v>0.98907136158580899</v>
      </c>
      <c r="S467" t="s">
        <v>7470</v>
      </c>
      <c r="T467" t="s">
        <v>14004</v>
      </c>
      <c r="U467" t="s">
        <v>14004</v>
      </c>
      <c r="V467" t="s">
        <v>14004</v>
      </c>
      <c r="W467" t="s">
        <v>14466</v>
      </c>
      <c r="X467">
        <v>8</v>
      </c>
      <c r="Y467" t="s">
        <v>21404</v>
      </c>
      <c r="Z467" t="s">
        <v>28177</v>
      </c>
      <c r="AA467">
        <v>0.27034937247516722</v>
      </c>
      <c r="AB467" t="str">
        <f>HYPERLINK("Melting_Curves/meltCurve_E7EPL4_PDXDC1.pdf", "Melting_Curves/meltCurve_E7EPL4_PDXDC1.pdf")</f>
        <v>Melting_Curves/meltCurve_E7EPL4_PDXDC1.pdf</v>
      </c>
    </row>
    <row r="468" spans="1:28" x14ac:dyDescent="0.25">
      <c r="A468" t="s">
        <v>472</v>
      </c>
      <c r="B468">
        <v>0.99999676499088797</v>
      </c>
      <c r="C468">
        <v>0.97249709733893097</v>
      </c>
      <c r="D468">
        <v>0.98951179491435304</v>
      </c>
      <c r="E468">
        <v>0.96463087539803305</v>
      </c>
      <c r="F468">
        <v>0.65362016257014599</v>
      </c>
      <c r="G468">
        <v>0.33594092449882301</v>
      </c>
      <c r="H468">
        <v>0.15193310044198399</v>
      </c>
      <c r="I468">
        <v>0.119710974887955</v>
      </c>
      <c r="J468">
        <v>9.3095723822957901E-2</v>
      </c>
      <c r="K468">
        <v>7.2259578209657199E-2</v>
      </c>
      <c r="L468">
        <v>1367.3360470518601</v>
      </c>
      <c r="M468">
        <v>25.105732367904</v>
      </c>
      <c r="N468">
        <v>54.875829026681998</v>
      </c>
      <c r="O468">
        <v>54.121061591980201</v>
      </c>
      <c r="P468">
        <v>-0.10599449922946499</v>
      </c>
      <c r="Q468">
        <v>8.60317098173803E-2</v>
      </c>
      <c r="R468">
        <v>0.99805827539426595</v>
      </c>
      <c r="S468" t="s">
        <v>7471</v>
      </c>
      <c r="T468" t="s">
        <v>14004</v>
      </c>
      <c r="U468" t="s">
        <v>14004</v>
      </c>
      <c r="V468" t="s">
        <v>14004</v>
      </c>
      <c r="W468" t="s">
        <v>14467</v>
      </c>
      <c r="X468">
        <v>12</v>
      </c>
      <c r="Y468" t="s">
        <v>21405</v>
      </c>
      <c r="Z468" t="s">
        <v>28178</v>
      </c>
      <c r="AA468">
        <v>0.53505848650467935</v>
      </c>
      <c r="AB468" t="str">
        <f>HYPERLINK("Melting_Curves/meltCurve_E7EPT4_NDUFV2.pdf", "Melting_Curves/meltCurve_E7EPT4_NDUFV2.pdf")</f>
        <v>Melting_Curves/meltCurve_E7EPT4_NDUFV2.pdf</v>
      </c>
    </row>
    <row r="469" spans="1:28" x14ac:dyDescent="0.25">
      <c r="A469" t="s">
        <v>473</v>
      </c>
      <c r="B469">
        <v>0.99999676499088797</v>
      </c>
      <c r="C469">
        <v>0.94473079434910501</v>
      </c>
      <c r="D469">
        <v>0.897183132916895</v>
      </c>
      <c r="E469">
        <v>0.67873968453289601</v>
      </c>
      <c r="F469">
        <v>0.26608724401057299</v>
      </c>
      <c r="G469">
        <v>0.22512973185789101</v>
      </c>
      <c r="H469">
        <v>0.12960410773988701</v>
      </c>
      <c r="I469">
        <v>0.10291642467581801</v>
      </c>
      <c r="J469">
        <v>8.3001403872355994E-2</v>
      </c>
      <c r="K469">
        <v>6.4533755998439399E-2</v>
      </c>
      <c r="L469">
        <v>1086.4781692522499</v>
      </c>
      <c r="M469">
        <v>21.463182500564901</v>
      </c>
      <c r="N469">
        <v>51.087418500991802</v>
      </c>
      <c r="O469">
        <v>50.187269693443497</v>
      </c>
      <c r="P469">
        <v>-9.7396798653594699E-2</v>
      </c>
      <c r="Q469">
        <v>8.90523235532764E-2</v>
      </c>
      <c r="R469">
        <v>0.99240043343546802</v>
      </c>
      <c r="S469" t="s">
        <v>7472</v>
      </c>
      <c r="T469" t="s">
        <v>14004</v>
      </c>
      <c r="U469" t="s">
        <v>14004</v>
      </c>
      <c r="V469" t="s">
        <v>14004</v>
      </c>
      <c r="W469" t="s">
        <v>14468</v>
      </c>
      <c r="X469">
        <v>4</v>
      </c>
      <c r="Y469" t="s">
        <v>21406</v>
      </c>
      <c r="Z469" t="s">
        <v>28179</v>
      </c>
      <c r="AA469">
        <v>0.42259830579046181</v>
      </c>
      <c r="AB469" t="str">
        <f>HYPERLINK("Melting_Curves/meltCurve_E7EQ45_AP5M1.pdf", "Melting_Curves/meltCurve_E7EQ45_AP5M1.pdf")</f>
        <v>Melting_Curves/meltCurve_E7EQ45_AP5M1.pdf</v>
      </c>
    </row>
    <row r="470" spans="1:28" x14ac:dyDescent="0.25">
      <c r="A470" t="s">
        <v>474</v>
      </c>
      <c r="B470">
        <v>0.99999676499088797</v>
      </c>
      <c r="C470">
        <v>0.94553235565379301</v>
      </c>
      <c r="D470">
        <v>1.00698480231373</v>
      </c>
      <c r="E470">
        <v>1.0553140434580099</v>
      </c>
      <c r="F470">
        <v>1.04498812741272</v>
      </c>
      <c r="G470">
        <v>0.41313993366226498</v>
      </c>
      <c r="H470">
        <v>8.8757319822716299E-2</v>
      </c>
      <c r="I470">
        <v>8.0619090236744698E-2</v>
      </c>
      <c r="J470">
        <v>7.9921033346309803E-2</v>
      </c>
      <c r="K470">
        <v>7.9677326660043596E-2</v>
      </c>
      <c r="L470">
        <v>14167.4546549928</v>
      </c>
      <c r="M470">
        <v>250</v>
      </c>
      <c r="N470">
        <v>56.710584922055197</v>
      </c>
      <c r="O470">
        <v>56.666190558700997</v>
      </c>
      <c r="P470">
        <v>-1.01223971221947</v>
      </c>
      <c r="Q470">
        <v>8.2243680877780598E-2</v>
      </c>
      <c r="R470">
        <v>0.99582465820947097</v>
      </c>
      <c r="S470" t="s">
        <v>7473</v>
      </c>
      <c r="T470" t="s">
        <v>14004</v>
      </c>
      <c r="U470" t="s">
        <v>14004</v>
      </c>
      <c r="V470" t="s">
        <v>14004</v>
      </c>
      <c r="W470" t="s">
        <v>14469</v>
      </c>
      <c r="X470">
        <v>16</v>
      </c>
      <c r="Y470" t="s">
        <v>21407</v>
      </c>
      <c r="Z470" t="s">
        <v>28180</v>
      </c>
      <c r="AA470">
        <v>0.59229600191433662</v>
      </c>
      <c r="AB470" t="str">
        <f>HYPERLINK("Melting_Curves/meltCurve_E7EQ69_NAA50.pdf", "Melting_Curves/meltCurve_E7EQ69_NAA50.pdf")</f>
        <v>Melting_Curves/meltCurve_E7EQ69_NAA50.pdf</v>
      </c>
    </row>
    <row r="471" spans="1:28" x14ac:dyDescent="0.25">
      <c r="A471" t="s">
        <v>475</v>
      </c>
      <c r="B471">
        <v>0.99999676499088797</v>
      </c>
      <c r="C471">
        <v>0.90224902914245497</v>
      </c>
      <c r="D471">
        <v>0.915835339860266</v>
      </c>
      <c r="E471">
        <v>0.87463092159066003</v>
      </c>
      <c r="F471">
        <v>0.84123762715058004</v>
      </c>
      <c r="G471">
        <v>0.77752577905846398</v>
      </c>
      <c r="H471">
        <v>0.52363683467028599</v>
      </c>
      <c r="I471">
        <v>0.48121937508854801</v>
      </c>
      <c r="J471">
        <v>0.58472567766914396</v>
      </c>
      <c r="K471">
        <v>0.494325141291444</v>
      </c>
      <c r="L471">
        <v>542.24089337353303</v>
      </c>
      <c r="M471">
        <v>9.5067802093595404</v>
      </c>
      <c r="N471">
        <v>68.293372307352399</v>
      </c>
      <c r="O471">
        <v>54.684628348392899</v>
      </c>
      <c r="P471">
        <v>-2.62814590326646E-2</v>
      </c>
      <c r="Q471">
        <v>0.39565483429661003</v>
      </c>
      <c r="R471">
        <v>0.90969165890342396</v>
      </c>
      <c r="S471" t="s">
        <v>7474</v>
      </c>
      <c r="T471" t="s">
        <v>14004</v>
      </c>
      <c r="U471" t="s">
        <v>14004</v>
      </c>
      <c r="V471" t="s">
        <v>14004</v>
      </c>
      <c r="W471" t="s">
        <v>14470</v>
      </c>
      <c r="X471">
        <v>7</v>
      </c>
      <c r="Y471" t="s">
        <v>21408</v>
      </c>
      <c r="Z471" t="s">
        <v>28181</v>
      </c>
      <c r="AA471">
        <v>0.74790861949028864</v>
      </c>
      <c r="AB471" t="str">
        <f>HYPERLINK("Melting_Curves/meltCurve_E7EQB2_LTF.pdf", "Melting_Curves/meltCurve_E7EQB2_LTF.pdf")</f>
        <v>Melting_Curves/meltCurve_E7EQB2_LTF.pdf</v>
      </c>
    </row>
    <row r="472" spans="1:28" x14ac:dyDescent="0.25">
      <c r="A472" t="s">
        <v>476</v>
      </c>
      <c r="B472">
        <v>0.99999676499088797</v>
      </c>
      <c r="C472">
        <v>0.85992212379529398</v>
      </c>
      <c r="D472">
        <v>0.54542275326896394</v>
      </c>
      <c r="E472">
        <v>0.215424632056676</v>
      </c>
      <c r="F472">
        <v>0.145534249907006</v>
      </c>
      <c r="G472">
        <v>0.112113694801991</v>
      </c>
      <c r="H472">
        <v>5.1615443180346603E-2</v>
      </c>
      <c r="I472">
        <v>4.2229701716440499E-2</v>
      </c>
      <c r="J472">
        <v>2.58189120205298E-2</v>
      </c>
      <c r="K472">
        <v>3.0531092054645E-2</v>
      </c>
      <c r="L472">
        <v>996.97360836677694</v>
      </c>
      <c r="M472">
        <v>21.550473683413902</v>
      </c>
      <c r="N472">
        <v>46.496743777955103</v>
      </c>
      <c r="O472">
        <v>45.869435709009998</v>
      </c>
      <c r="P472">
        <v>-0.111410348336454</v>
      </c>
      <c r="Q472">
        <v>5.1490706057581902E-2</v>
      </c>
      <c r="R472">
        <v>0.99480607255296305</v>
      </c>
      <c r="S472" t="s">
        <v>7475</v>
      </c>
      <c r="T472" t="s">
        <v>14004</v>
      </c>
      <c r="U472" t="s">
        <v>14004</v>
      </c>
      <c r="V472" t="s">
        <v>14004</v>
      </c>
      <c r="W472" t="s">
        <v>14471</v>
      </c>
      <c r="X472">
        <v>1</v>
      </c>
      <c r="Y472" t="s">
        <v>21409</v>
      </c>
      <c r="Z472" t="s">
        <v>28182</v>
      </c>
      <c r="AA472">
        <v>0.26163993394540891</v>
      </c>
      <c r="AB472" t="str">
        <f>HYPERLINK("Melting_Curves/meltCurve_E7EQH1_BBS1.pdf", "Melting_Curves/meltCurve_E7EQH1_BBS1.pdf")</f>
        <v>Melting_Curves/meltCurve_E7EQH1_BBS1.pdf</v>
      </c>
    </row>
    <row r="473" spans="1:28" x14ac:dyDescent="0.25">
      <c r="A473" t="s">
        <v>477</v>
      </c>
      <c r="B473">
        <v>0.99999676499088797</v>
      </c>
      <c r="C473">
        <v>1.51733224948371</v>
      </c>
      <c r="D473">
        <v>1.2432041555367701</v>
      </c>
      <c r="E473">
        <v>0.83196267669409296</v>
      </c>
      <c r="F473">
        <v>0.396034824120441</v>
      </c>
      <c r="G473">
        <v>0.68661092784453004</v>
      </c>
      <c r="H473">
        <v>0.51379283522515995</v>
      </c>
      <c r="I473">
        <v>0.66056745461703803</v>
      </c>
      <c r="J473">
        <v>0.70315097382816605</v>
      </c>
      <c r="K473">
        <v>0.62887812818001998</v>
      </c>
      <c r="L473">
        <v>12416.3797725489</v>
      </c>
      <c r="M473">
        <v>250</v>
      </c>
      <c r="O473">
        <v>49.662340836705802</v>
      </c>
      <c r="P473">
        <v>-0.50569942514946797</v>
      </c>
      <c r="Q473">
        <v>0.598172525151215</v>
      </c>
      <c r="R473">
        <v>0.62580356873962495</v>
      </c>
      <c r="S473" t="s">
        <v>7476</v>
      </c>
      <c r="T473" t="s">
        <v>14004</v>
      </c>
      <c r="U473" t="s">
        <v>14004</v>
      </c>
      <c r="V473" t="s">
        <v>14004</v>
      </c>
      <c r="W473" t="s">
        <v>14472</v>
      </c>
      <c r="X473">
        <v>2</v>
      </c>
      <c r="Y473" t="s">
        <v>21410</v>
      </c>
      <c r="Z473" t="s">
        <v>28183</v>
      </c>
      <c r="AA473">
        <v>0.72766992029371957</v>
      </c>
      <c r="AB473" t="str">
        <f>HYPERLINK("Melting_Curves/meltCurve_E7EQL8_TUBGCP6.pdf", "Melting_Curves/meltCurve_E7EQL8_TUBGCP6.pdf")</f>
        <v>Melting_Curves/meltCurve_E7EQL8_TUBGCP6.pdf</v>
      </c>
    </row>
    <row r="474" spans="1:28" x14ac:dyDescent="0.25">
      <c r="A474" t="s">
        <v>478</v>
      </c>
      <c r="B474">
        <v>0.99999676499088797</v>
      </c>
      <c r="C474">
        <v>0.93982349466946902</v>
      </c>
      <c r="D474">
        <v>0.87380437791986898</v>
      </c>
      <c r="E474">
        <v>0.55203442096432298</v>
      </c>
      <c r="F474">
        <v>0.117755581348869</v>
      </c>
      <c r="G474">
        <v>7.5654498054290101E-2</v>
      </c>
      <c r="H474">
        <v>2.9474493973845699E-2</v>
      </c>
      <c r="I474">
        <v>3.3501016348454898E-2</v>
      </c>
      <c r="J474">
        <v>3.5795947769591899E-2</v>
      </c>
      <c r="K474">
        <v>2.17875777243157E-2</v>
      </c>
      <c r="L474">
        <v>1354.60342956152</v>
      </c>
      <c r="M474">
        <v>27.278091269624401</v>
      </c>
      <c r="N474">
        <v>49.755682933595601</v>
      </c>
      <c r="O474">
        <v>49.394442676991098</v>
      </c>
      <c r="P474">
        <v>-0.13450099214813599</v>
      </c>
      <c r="Q474">
        <v>2.5805978449366399E-2</v>
      </c>
      <c r="R474">
        <v>0.99606714118018302</v>
      </c>
      <c r="S474" t="s">
        <v>7477</v>
      </c>
      <c r="T474" t="s">
        <v>14004</v>
      </c>
      <c r="U474" t="s">
        <v>14004</v>
      </c>
      <c r="V474" t="s">
        <v>14004</v>
      </c>
      <c r="W474" t="s">
        <v>14473</v>
      </c>
      <c r="X474">
        <v>4</v>
      </c>
      <c r="Y474" t="s">
        <v>21411</v>
      </c>
      <c r="Z474" t="s">
        <v>28184</v>
      </c>
      <c r="AA474">
        <v>0.34673526887359529</v>
      </c>
      <c r="AB474" t="str">
        <f>HYPERLINK("Melting_Curves/meltCurve_E7EQN6_SENP6.pdf", "Melting_Curves/meltCurve_E7EQN6_SENP6.pdf")</f>
        <v>Melting_Curves/meltCurve_E7EQN6_SENP6.pdf</v>
      </c>
    </row>
    <row r="475" spans="1:28" x14ac:dyDescent="0.25">
      <c r="A475" t="s">
        <v>479</v>
      </c>
      <c r="B475">
        <v>0.99999676499088797</v>
      </c>
      <c r="C475">
        <v>1.1296233584423601</v>
      </c>
      <c r="D475">
        <v>1.3811355213283201</v>
      </c>
      <c r="E475">
        <v>1.6057648691999999</v>
      </c>
      <c r="F475">
        <v>1.5131424745869899</v>
      </c>
      <c r="G475">
        <v>1.77862385766336</v>
      </c>
      <c r="H475">
        <v>0.98964561292542996</v>
      </c>
      <c r="I475">
        <v>0.66694762665224006</v>
      </c>
      <c r="J475">
        <v>0.53159393421557599</v>
      </c>
      <c r="K475">
        <v>0.61020912341285705</v>
      </c>
      <c r="L475">
        <v>7187.8537023290201</v>
      </c>
      <c r="M475">
        <v>113.562224016155</v>
      </c>
      <c r="O475">
        <v>63.274786155130599</v>
      </c>
      <c r="P475">
        <v>-0.19256396457343</v>
      </c>
      <c r="Q475">
        <v>0.57082759205255096</v>
      </c>
      <c r="R475">
        <v>0.19222510085834699</v>
      </c>
      <c r="S475" t="s">
        <v>7478</v>
      </c>
      <c r="T475" t="s">
        <v>14004</v>
      </c>
      <c r="U475" t="s">
        <v>14004</v>
      </c>
      <c r="V475" t="s">
        <v>14004</v>
      </c>
      <c r="W475" t="s">
        <v>14474</v>
      </c>
      <c r="X475">
        <v>3</v>
      </c>
      <c r="Y475" t="s">
        <v>21412</v>
      </c>
      <c r="Z475" t="s">
        <v>28185</v>
      </c>
      <c r="AA475">
        <v>0.90430254003043253</v>
      </c>
      <c r="AB475" t="str">
        <f>HYPERLINK("Melting_Curves/meltCurve_E7EQR8_YIPF3.pdf", "Melting_Curves/meltCurve_E7EQR8_YIPF3.pdf")</f>
        <v>Melting_Curves/meltCurve_E7EQR8_YIPF3.pdf</v>
      </c>
    </row>
    <row r="476" spans="1:28" x14ac:dyDescent="0.25">
      <c r="A476" t="s">
        <v>480</v>
      </c>
      <c r="B476">
        <v>0.99999676499088797</v>
      </c>
      <c r="C476">
        <v>0.99264247398798799</v>
      </c>
      <c r="D476">
        <v>0.99755484015615603</v>
      </c>
      <c r="E476">
        <v>0.77968511980952704</v>
      </c>
      <c r="F476">
        <v>0.415904886659762</v>
      </c>
      <c r="G476">
        <v>0.34583710936607498</v>
      </c>
      <c r="H476">
        <v>0.25079097469322198</v>
      </c>
      <c r="I476">
        <v>0.28596815544202703</v>
      </c>
      <c r="J476">
        <v>0.34272361390216899</v>
      </c>
      <c r="K476">
        <v>0.40978324239857999</v>
      </c>
      <c r="L476">
        <v>1938.8251429331001</v>
      </c>
      <c r="M476">
        <v>38.345599237309997</v>
      </c>
      <c r="N476">
        <v>51.986480095569803</v>
      </c>
      <c r="O476">
        <v>50.424946036922101</v>
      </c>
      <c r="P476">
        <v>-0.12829345202894801</v>
      </c>
      <c r="Q476">
        <v>0.32517169223713999</v>
      </c>
      <c r="R476">
        <v>0.98370401997596102</v>
      </c>
      <c r="S476" t="s">
        <v>7479</v>
      </c>
      <c r="T476" t="s">
        <v>14004</v>
      </c>
      <c r="U476" t="s">
        <v>14004</v>
      </c>
      <c r="V476" t="s">
        <v>14004</v>
      </c>
      <c r="W476" t="s">
        <v>14475</v>
      </c>
      <c r="X476">
        <v>54</v>
      </c>
      <c r="Y476" t="s">
        <v>21413</v>
      </c>
      <c r="Z476" t="s">
        <v>28186</v>
      </c>
      <c r="AA476">
        <v>0.56532171715753921</v>
      </c>
      <c r="AB476" t="str">
        <f>HYPERLINK("Melting_Curves/meltCurve_E7EQT4_ACIN1.pdf", "Melting_Curves/meltCurve_E7EQT4_ACIN1.pdf")</f>
        <v>Melting_Curves/meltCurve_E7EQT4_ACIN1.pdf</v>
      </c>
    </row>
    <row r="477" spans="1:28" x14ac:dyDescent="0.25">
      <c r="A477" t="s">
        <v>481</v>
      </c>
      <c r="B477">
        <v>0.99999676499088797</v>
      </c>
      <c r="C477">
        <v>1.03635972369635</v>
      </c>
      <c r="D477">
        <v>0.95655030015536202</v>
      </c>
      <c r="E477">
        <v>0.93099488861694801</v>
      </c>
      <c r="F477">
        <v>1.1887565626410099</v>
      </c>
      <c r="G477">
        <v>1.44140796580538</v>
      </c>
      <c r="H477">
        <v>0.34397748234429099</v>
      </c>
      <c r="I477">
        <v>0.21582552473847499</v>
      </c>
      <c r="J477">
        <v>0.207510699446985</v>
      </c>
      <c r="K477">
        <v>0.19510155031916401</v>
      </c>
      <c r="L477">
        <v>15000</v>
      </c>
      <c r="M477">
        <v>248.27068226744399</v>
      </c>
      <c r="N477">
        <v>60.547554843285397</v>
      </c>
      <c r="O477">
        <v>60.4140084282608</v>
      </c>
      <c r="P477">
        <v>-0.81558397227879398</v>
      </c>
      <c r="Q477">
        <v>0.20614556462393099</v>
      </c>
      <c r="R477">
        <v>0.87716029732364198</v>
      </c>
      <c r="S477" t="s">
        <v>7480</v>
      </c>
      <c r="T477" t="s">
        <v>14004</v>
      </c>
      <c r="U477" t="s">
        <v>14004</v>
      </c>
      <c r="V477" t="s">
        <v>14004</v>
      </c>
      <c r="W477" t="s">
        <v>14476</v>
      </c>
      <c r="X477">
        <v>2</v>
      </c>
      <c r="Y477" t="s">
        <v>21414</v>
      </c>
      <c r="Z477" t="s">
        <v>28187</v>
      </c>
      <c r="AA477">
        <v>0.74652631752213883</v>
      </c>
      <c r="AB477" t="str">
        <f>HYPERLINK("Melting_Curves/meltCurve_E7EQV9_RPL15.pdf", "Melting_Curves/meltCurve_E7EQV9_RPL15.pdf")</f>
        <v>Melting_Curves/meltCurve_E7EQV9_RPL15.pdf</v>
      </c>
    </row>
    <row r="478" spans="1:28" x14ac:dyDescent="0.25">
      <c r="A478" t="s">
        <v>482</v>
      </c>
      <c r="B478">
        <v>0.99999676499088797</v>
      </c>
      <c r="C478">
        <v>1.2411060054942999</v>
      </c>
      <c r="D478">
        <v>0.88192569024158995</v>
      </c>
      <c r="E478">
        <v>0.53698464626949705</v>
      </c>
      <c r="F478">
        <v>0.44836240465946697</v>
      </c>
      <c r="G478">
        <v>0.139002255498862</v>
      </c>
      <c r="H478">
        <v>6.1936747243703599E-2</v>
      </c>
      <c r="I478">
        <v>5.2917489063321499E-2</v>
      </c>
      <c r="J478">
        <v>8.7756261417898704E-2</v>
      </c>
      <c r="K478">
        <v>8.5129414461783903E-2</v>
      </c>
      <c r="L478">
        <v>999.016684141356</v>
      </c>
      <c r="M478">
        <v>19.661712728008698</v>
      </c>
      <c r="N478">
        <v>51.152097932825903</v>
      </c>
      <c r="O478">
        <v>50.293429911158199</v>
      </c>
      <c r="P478">
        <v>-9.1721222436569994E-2</v>
      </c>
      <c r="Q478">
        <v>6.1564471987114497E-2</v>
      </c>
      <c r="R478">
        <v>0.94562980752694703</v>
      </c>
      <c r="S478" t="s">
        <v>7481</v>
      </c>
      <c r="T478" t="s">
        <v>14004</v>
      </c>
      <c r="U478" t="s">
        <v>14004</v>
      </c>
      <c r="V478" t="s">
        <v>14004</v>
      </c>
      <c r="W478" t="s">
        <v>14477</v>
      </c>
      <c r="X478">
        <v>8</v>
      </c>
      <c r="Y478" t="s">
        <v>21415</v>
      </c>
      <c r="Z478" t="s">
        <v>28188</v>
      </c>
      <c r="AA478">
        <v>0.41318034608405629</v>
      </c>
      <c r="AB478" t="str">
        <f>HYPERLINK("Melting_Curves/meltCurve_E7EQY4_MTA3.pdf", "Melting_Curves/meltCurve_E7EQY4_MTA3.pdf")</f>
        <v>Melting_Curves/meltCurve_E7EQY4_MTA3.pdf</v>
      </c>
    </row>
    <row r="479" spans="1:28" x14ac:dyDescent="0.25">
      <c r="A479" t="s">
        <v>483</v>
      </c>
      <c r="B479">
        <v>0.99999676499088797</v>
      </c>
      <c r="C479">
        <v>1.3290031119988399</v>
      </c>
      <c r="D479">
        <v>1.0849077287251201</v>
      </c>
      <c r="E479">
        <v>0.47345402023357602</v>
      </c>
      <c r="F479">
        <v>0.22576076422744601</v>
      </c>
      <c r="G479">
        <v>0.204689903441684</v>
      </c>
      <c r="H479">
        <v>8.7454524762292402E-2</v>
      </c>
      <c r="I479">
        <v>0.19282096905391</v>
      </c>
      <c r="J479">
        <v>0.18126748093276801</v>
      </c>
      <c r="K479">
        <v>9.14285022944029E-2</v>
      </c>
      <c r="L479">
        <v>7141.4176484694899</v>
      </c>
      <c r="M479">
        <v>144.51130344289501</v>
      </c>
      <c r="N479">
        <v>49.553909910237202</v>
      </c>
      <c r="O479">
        <v>49.408247370579097</v>
      </c>
      <c r="P479">
        <v>-0.61136721286530105</v>
      </c>
      <c r="Q479">
        <v>0.163897040693079</v>
      </c>
      <c r="R479">
        <v>0.93253071788875297</v>
      </c>
      <c r="S479" t="s">
        <v>7482</v>
      </c>
      <c r="T479" t="s">
        <v>14004</v>
      </c>
      <c r="U479" t="s">
        <v>14004</v>
      </c>
      <c r="V479" t="s">
        <v>14004</v>
      </c>
      <c r="W479" t="s">
        <v>14478</v>
      </c>
      <c r="X479">
        <v>1</v>
      </c>
      <c r="Y479" t="s">
        <v>21416</v>
      </c>
      <c r="Z479" t="s">
        <v>28189</v>
      </c>
      <c r="AA479">
        <v>0.42658665220861491</v>
      </c>
      <c r="AB479" t="str">
        <f>HYPERLINK("Melting_Curves/meltCurve_E7EQZ4_SMN1.pdf", "Melting_Curves/meltCurve_E7EQZ4_SMN1.pdf")</f>
        <v>Melting_Curves/meltCurve_E7EQZ4_SMN1.pdf</v>
      </c>
    </row>
    <row r="480" spans="1:28" x14ac:dyDescent="0.25">
      <c r="A480" t="s">
        <v>484</v>
      </c>
      <c r="B480">
        <v>0.99999676499088797</v>
      </c>
      <c r="C480">
        <v>0.96787497224565899</v>
      </c>
      <c r="D480">
        <v>0.89664071383206601</v>
      </c>
      <c r="E480">
        <v>0.66489041173379204</v>
      </c>
      <c r="F480">
        <v>0.42533093055165699</v>
      </c>
      <c r="G480">
        <v>0.47410371849143201</v>
      </c>
      <c r="H480">
        <v>0.37781844576718498</v>
      </c>
      <c r="I480">
        <v>0.57000746866153595</v>
      </c>
      <c r="J480">
        <v>0.54968439925023904</v>
      </c>
      <c r="K480">
        <v>0.74246076427503604</v>
      </c>
      <c r="L480">
        <v>1720.85355693099</v>
      </c>
      <c r="M480">
        <v>35.937024268959703</v>
      </c>
      <c r="O480">
        <v>47.737703418595302</v>
      </c>
      <c r="P480">
        <v>-8.9373172910260298E-2</v>
      </c>
      <c r="Q480">
        <v>0.52511855930511897</v>
      </c>
      <c r="R480">
        <v>0.80744250561828501</v>
      </c>
      <c r="S480" t="s">
        <v>7483</v>
      </c>
      <c r="T480" t="s">
        <v>14004</v>
      </c>
      <c r="U480" t="s">
        <v>14004</v>
      </c>
      <c r="V480" t="s">
        <v>14004</v>
      </c>
      <c r="W480" t="s">
        <v>14479</v>
      </c>
      <c r="X480">
        <v>2</v>
      </c>
      <c r="Y480" t="s">
        <v>21417</v>
      </c>
      <c r="Z480" t="s">
        <v>28190</v>
      </c>
      <c r="AA480">
        <v>0.65190056004285402</v>
      </c>
      <c r="AB480" t="str">
        <f>HYPERLINK("Melting_Curves/meltCurve_E7ER81_FAM193B.pdf", "Melting_Curves/meltCurve_E7ER81_FAM193B.pdf")</f>
        <v>Melting_Curves/meltCurve_E7ER81_FAM193B.pdf</v>
      </c>
    </row>
    <row r="481" spans="1:28" x14ac:dyDescent="0.25">
      <c r="A481" t="s">
        <v>485</v>
      </c>
      <c r="B481">
        <v>0.99999676499088797</v>
      </c>
      <c r="C481">
        <v>0.96856012482121601</v>
      </c>
      <c r="D481">
        <v>1.0338667826614401</v>
      </c>
      <c r="E481">
        <v>1.0378711753668199</v>
      </c>
      <c r="F481">
        <v>0.87579881963852302</v>
      </c>
      <c r="G481">
        <v>0.33790770933123798</v>
      </c>
      <c r="H481">
        <v>0.12201810479880799</v>
      </c>
      <c r="I481">
        <v>0.10354137459518201</v>
      </c>
      <c r="J481">
        <v>0.102207218903378</v>
      </c>
      <c r="K481">
        <v>8.4491632656746099E-2</v>
      </c>
      <c r="L481">
        <v>2419.2132341228798</v>
      </c>
      <c r="M481">
        <v>43.605287909470498</v>
      </c>
      <c r="N481">
        <v>55.756629637851702</v>
      </c>
      <c r="O481">
        <v>55.363509656035099</v>
      </c>
      <c r="P481">
        <v>-0.177740199850422</v>
      </c>
      <c r="Q481">
        <v>9.7329052348354594E-2</v>
      </c>
      <c r="R481">
        <v>0.99764780721930701</v>
      </c>
      <c r="S481" t="s">
        <v>7484</v>
      </c>
      <c r="T481" t="s">
        <v>14004</v>
      </c>
      <c r="U481" t="s">
        <v>14004</v>
      </c>
      <c r="V481" t="s">
        <v>14004</v>
      </c>
      <c r="W481" t="s">
        <v>14480</v>
      </c>
      <c r="X481">
        <v>12</v>
      </c>
      <c r="Y481" t="s">
        <v>21418</v>
      </c>
      <c r="Z481" t="s">
        <v>28191</v>
      </c>
      <c r="AA481">
        <v>0.56600365155911081</v>
      </c>
      <c r="AB481" t="str">
        <f>HYPERLINK("Melting_Curves/meltCurve_E7ERC6_ATP2C1.pdf", "Melting_Curves/meltCurve_E7ERC6_ATP2C1.pdf")</f>
        <v>Melting_Curves/meltCurve_E7ERC6_ATP2C1.pdf</v>
      </c>
    </row>
    <row r="482" spans="1:28" x14ac:dyDescent="0.25">
      <c r="A482" t="s">
        <v>486</v>
      </c>
      <c r="B482">
        <v>0.99999676499088797</v>
      </c>
      <c r="C482">
        <v>1.00928259670535</v>
      </c>
      <c r="D482">
        <v>1.08855930771135</v>
      </c>
      <c r="E482">
        <v>1.1290800823266101</v>
      </c>
      <c r="F482">
        <v>0.76127536467900503</v>
      </c>
      <c r="G482">
        <v>0.29314085789570099</v>
      </c>
      <c r="H482">
        <v>0.187998473720181</v>
      </c>
      <c r="I482">
        <v>0.204165451002709</v>
      </c>
      <c r="J482">
        <v>0.10490210179878399</v>
      </c>
      <c r="K482">
        <v>9.7052326446881096E-2</v>
      </c>
      <c r="L482">
        <v>2296.7674231052001</v>
      </c>
      <c r="M482">
        <v>42.100262946959397</v>
      </c>
      <c r="N482">
        <v>55.0078604877502</v>
      </c>
      <c r="O482">
        <v>54.43205048387</v>
      </c>
      <c r="P482">
        <v>-0.16502774269307699</v>
      </c>
      <c r="Q482">
        <v>0.14653428060552101</v>
      </c>
      <c r="R482">
        <v>0.97939445089814303</v>
      </c>
      <c r="S482" t="s">
        <v>7485</v>
      </c>
      <c r="T482" t="s">
        <v>14004</v>
      </c>
      <c r="U482" t="s">
        <v>14004</v>
      </c>
      <c r="V482" t="s">
        <v>14004</v>
      </c>
      <c r="W482" t="s">
        <v>14481</v>
      </c>
      <c r="X482">
        <v>2</v>
      </c>
      <c r="Y482" t="s">
        <v>21419</v>
      </c>
      <c r="Z482" t="s">
        <v>28192</v>
      </c>
      <c r="AA482">
        <v>0.56349664188172188</v>
      </c>
      <c r="AB482" t="str">
        <f>HYPERLINK("Melting_Curves/meltCurve_E7ERR0_KLHDC3.pdf", "Melting_Curves/meltCurve_E7ERR0_KLHDC3.pdf")</f>
        <v>Melting_Curves/meltCurve_E7ERR0_KLHDC3.pdf</v>
      </c>
    </row>
    <row r="483" spans="1:28" x14ac:dyDescent="0.25">
      <c r="A483" t="s">
        <v>487</v>
      </c>
      <c r="B483">
        <v>0.99999676499088797</v>
      </c>
      <c r="C483">
        <v>1.0136153149043901</v>
      </c>
      <c r="D483">
        <v>0.96649152181869802</v>
      </c>
      <c r="E483">
        <v>0.857042300728446</v>
      </c>
      <c r="F483">
        <v>0.69705890947786997</v>
      </c>
      <c r="G483">
        <v>0.68068246820656197</v>
      </c>
      <c r="H483">
        <v>0.76073166057854202</v>
      </c>
      <c r="I483">
        <v>0.70644863168503502</v>
      </c>
      <c r="J483">
        <v>0.63016471840295996</v>
      </c>
      <c r="K483">
        <v>0.90387647069029697</v>
      </c>
      <c r="L483">
        <v>12394.2132155129</v>
      </c>
      <c r="M483">
        <v>250</v>
      </c>
      <c r="O483">
        <v>49.573667024532099</v>
      </c>
      <c r="P483">
        <v>-0.34062033588829499</v>
      </c>
      <c r="Q483">
        <v>0.72982714200559495</v>
      </c>
      <c r="R483">
        <v>0.75079896948758995</v>
      </c>
      <c r="S483" t="s">
        <v>7486</v>
      </c>
      <c r="T483" t="s">
        <v>14004</v>
      </c>
      <c r="U483" t="s">
        <v>14004</v>
      </c>
      <c r="V483" t="s">
        <v>14004</v>
      </c>
      <c r="W483" t="s">
        <v>14482</v>
      </c>
      <c r="X483">
        <v>11</v>
      </c>
      <c r="Y483" t="s">
        <v>21420</v>
      </c>
      <c r="Z483" t="s">
        <v>28193</v>
      </c>
      <c r="AA483">
        <v>0.81609750577319373</v>
      </c>
      <c r="AB483" t="str">
        <f>HYPERLINK("Melting_Curves/meltCurve_E7ERS3_ZC3H18.pdf", "Melting_Curves/meltCurve_E7ERS3_ZC3H18.pdf")</f>
        <v>Melting_Curves/meltCurve_E7ERS3_ZC3H18.pdf</v>
      </c>
    </row>
    <row r="484" spans="1:28" x14ac:dyDescent="0.25">
      <c r="A484" t="s">
        <v>488</v>
      </c>
      <c r="B484">
        <v>0.99999676499088797</v>
      </c>
      <c r="C484">
        <v>0.98963910890682305</v>
      </c>
      <c r="D484">
        <v>0.97359012331998596</v>
      </c>
      <c r="E484">
        <v>1.3028310443680899</v>
      </c>
      <c r="F484">
        <v>1.25603262038505</v>
      </c>
      <c r="G484">
        <v>1.1696577483921</v>
      </c>
      <c r="H484">
        <v>0.92653153795283905</v>
      </c>
      <c r="I484">
        <v>0.56135678314585502</v>
      </c>
      <c r="J484">
        <v>0.29914698293716502</v>
      </c>
      <c r="K484">
        <v>0.44482807057111201</v>
      </c>
      <c r="L484">
        <v>4065.8275119498198</v>
      </c>
      <c r="M484">
        <v>64.475207108256399</v>
      </c>
      <c r="N484">
        <v>64.409551002617505</v>
      </c>
      <c r="O484">
        <v>62.999744200644201</v>
      </c>
      <c r="P484">
        <v>-0.16107206141066899</v>
      </c>
      <c r="Q484">
        <v>0.37045596336725101</v>
      </c>
      <c r="R484">
        <v>0.812654536229927</v>
      </c>
      <c r="S484" t="s">
        <v>7487</v>
      </c>
      <c r="T484" t="s">
        <v>14004</v>
      </c>
      <c r="U484" t="s">
        <v>14004</v>
      </c>
      <c r="V484" t="s">
        <v>14004</v>
      </c>
      <c r="W484" t="s">
        <v>14483</v>
      </c>
      <c r="X484">
        <v>3</v>
      </c>
      <c r="Y484" t="s">
        <v>21421</v>
      </c>
      <c r="Z484" t="s">
        <v>28194</v>
      </c>
      <c r="AA484">
        <v>0.8553792010447101</v>
      </c>
      <c r="AB484" t="str">
        <f>HYPERLINK("Melting_Curves/meltCurve_E7ERU0_DST.pdf", "Melting_Curves/meltCurve_E7ERU0_DST.pdf")</f>
        <v>Melting_Curves/meltCurve_E7ERU0_DST.pdf</v>
      </c>
    </row>
    <row r="485" spans="1:28" x14ac:dyDescent="0.25">
      <c r="A485" t="s">
        <v>489</v>
      </c>
      <c r="B485">
        <v>0.99999676499088797</v>
      </c>
      <c r="C485">
        <v>1.0307500264831899</v>
      </c>
      <c r="D485">
        <v>1.00860877023332</v>
      </c>
      <c r="E485">
        <v>0.73784808079737296</v>
      </c>
      <c r="F485">
        <v>0.31198888793415602</v>
      </c>
      <c r="G485">
        <v>0.189424903598923</v>
      </c>
      <c r="H485">
        <v>9.8230468388228506E-2</v>
      </c>
      <c r="I485">
        <v>0.102844406352089</v>
      </c>
      <c r="J485">
        <v>9.77290636112252E-2</v>
      </c>
      <c r="K485">
        <v>9.3166599513005405E-2</v>
      </c>
      <c r="L485">
        <v>1519.26467593091</v>
      </c>
      <c r="M485">
        <v>29.699341742664799</v>
      </c>
      <c r="N485">
        <v>51.556418897505601</v>
      </c>
      <c r="O485">
        <v>50.924584308358</v>
      </c>
      <c r="P485">
        <v>-0.13074538877997499</v>
      </c>
      <c r="Q485">
        <v>0.103265065563988</v>
      </c>
      <c r="R485">
        <v>0.99695910354238204</v>
      </c>
      <c r="S485" t="s">
        <v>7488</v>
      </c>
      <c r="T485" t="s">
        <v>14004</v>
      </c>
      <c r="U485" t="s">
        <v>14004</v>
      </c>
      <c r="V485" t="s">
        <v>14004</v>
      </c>
      <c r="W485" t="s">
        <v>14484</v>
      </c>
      <c r="X485">
        <v>48</v>
      </c>
      <c r="Y485" t="s">
        <v>21422</v>
      </c>
      <c r="Z485" t="s">
        <v>28195</v>
      </c>
      <c r="AA485">
        <v>0.44246328051029882</v>
      </c>
      <c r="AB485" t="str">
        <f>HYPERLINK("Melting_Curves/meltCurve_E7ES43_HSPA4L.pdf", "Melting_Curves/meltCurve_E7ES43_HSPA4L.pdf")</f>
        <v>Melting_Curves/meltCurve_E7ES43_HSPA4L.pdf</v>
      </c>
    </row>
    <row r="486" spans="1:28" x14ac:dyDescent="0.25">
      <c r="A486" t="s">
        <v>490</v>
      </c>
      <c r="B486">
        <v>0.99999676499088797</v>
      </c>
      <c r="C486">
        <v>1.1011680397624</v>
      </c>
      <c r="D486">
        <v>1.099332151826</v>
      </c>
      <c r="E486">
        <v>1.04622099133311</v>
      </c>
      <c r="F486">
        <v>0.874277201111618</v>
      </c>
      <c r="G486">
        <v>0.52271234201752403</v>
      </c>
      <c r="H486">
        <v>0.29113527777369103</v>
      </c>
      <c r="I486">
        <v>0.46847705572522702</v>
      </c>
      <c r="J486">
        <v>0.74154574073108903</v>
      </c>
      <c r="K486">
        <v>0.78523193830930604</v>
      </c>
      <c r="L486">
        <v>13348.4325345735</v>
      </c>
      <c r="M486">
        <v>250</v>
      </c>
      <c r="O486">
        <v>53.390325117887798</v>
      </c>
      <c r="P486">
        <v>-0.51294364530233405</v>
      </c>
      <c r="Q486">
        <v>0.56182044938292797</v>
      </c>
      <c r="R486">
        <v>0.74437939659895203</v>
      </c>
      <c r="S486" t="s">
        <v>7489</v>
      </c>
      <c r="T486" t="s">
        <v>14004</v>
      </c>
      <c r="U486" t="s">
        <v>14004</v>
      </c>
      <c r="V486" t="s">
        <v>14004</v>
      </c>
      <c r="W486" t="s">
        <v>14485</v>
      </c>
      <c r="X486">
        <v>3</v>
      </c>
      <c r="Y486" t="s">
        <v>21423</v>
      </c>
      <c r="Z486" t="s">
        <v>28196</v>
      </c>
      <c r="AA486">
        <v>0.75749013083966177</v>
      </c>
      <c r="AB486" t="str">
        <f>HYPERLINK("Melting_Curves/meltCurve_E7ESC9_WDR17.pdf", "Melting_Curves/meltCurve_E7ESC9_WDR17.pdf")</f>
        <v>Melting_Curves/meltCurve_E7ESC9_WDR17.pdf</v>
      </c>
    </row>
    <row r="487" spans="1:28" x14ac:dyDescent="0.25">
      <c r="A487" t="s">
        <v>491</v>
      </c>
      <c r="B487">
        <v>0.99999676499088797</v>
      </c>
      <c r="C487">
        <v>0.98619210297799098</v>
      </c>
      <c r="D487">
        <v>0.77382890897441903</v>
      </c>
      <c r="E487">
        <v>0.70840145227756002</v>
      </c>
      <c r="F487">
        <v>0.34134021685763499</v>
      </c>
      <c r="G487">
        <v>0.32047990321408298</v>
      </c>
      <c r="H487">
        <v>0.173795089454225</v>
      </c>
      <c r="I487">
        <v>0.188534952442694</v>
      </c>
      <c r="J487">
        <v>0.20356046576505299</v>
      </c>
      <c r="K487">
        <v>0.16263541111364199</v>
      </c>
      <c r="L487">
        <v>814.66557959454803</v>
      </c>
      <c r="M487">
        <v>16.189759790769799</v>
      </c>
      <c r="N487">
        <v>51.565752698090002</v>
      </c>
      <c r="O487">
        <v>49.570859933369597</v>
      </c>
      <c r="P487">
        <v>-6.8438091459876393E-2</v>
      </c>
      <c r="Q487">
        <v>0.161869960134427</v>
      </c>
      <c r="R487">
        <v>0.97951124287481195</v>
      </c>
      <c r="S487" t="s">
        <v>7490</v>
      </c>
      <c r="T487" t="s">
        <v>14004</v>
      </c>
      <c r="U487" t="s">
        <v>14004</v>
      </c>
      <c r="V487" t="s">
        <v>14004</v>
      </c>
      <c r="W487" t="s">
        <v>14486</v>
      </c>
      <c r="X487">
        <v>3</v>
      </c>
      <c r="Y487" t="s">
        <v>21424</v>
      </c>
      <c r="Z487" t="s">
        <v>28197</v>
      </c>
      <c r="AA487">
        <v>0.46747033125261489</v>
      </c>
      <c r="AB487" t="str">
        <f>HYPERLINK("Melting_Curves/meltCurve_E7ESL0_MRPL22.pdf", "Melting_Curves/meltCurve_E7ESL0_MRPL22.pdf")</f>
        <v>Melting_Curves/meltCurve_E7ESL0_MRPL22.pdf</v>
      </c>
    </row>
    <row r="488" spans="1:28" x14ac:dyDescent="0.25">
      <c r="A488" t="s">
        <v>492</v>
      </c>
      <c r="B488">
        <v>0.99999676499088797</v>
      </c>
      <c r="C488">
        <v>1.0077313204256</v>
      </c>
      <c r="D488">
        <v>1.0234740106372899</v>
      </c>
      <c r="E488">
        <v>1.0052698419067401</v>
      </c>
      <c r="F488">
        <v>1.00306276693839</v>
      </c>
      <c r="G488">
        <v>0.83331545872786095</v>
      </c>
      <c r="H488">
        <v>0.64499092923048795</v>
      </c>
      <c r="I488">
        <v>0.69761215338133697</v>
      </c>
      <c r="J488">
        <v>0.63590375814664102</v>
      </c>
      <c r="K488">
        <v>0.79116557283479005</v>
      </c>
      <c r="L488">
        <v>14190.453537699001</v>
      </c>
      <c r="M488">
        <v>250</v>
      </c>
      <c r="O488">
        <v>56.7581817909875</v>
      </c>
      <c r="P488">
        <v>-0.33869775454978701</v>
      </c>
      <c r="Q488">
        <v>0.69241810086887301</v>
      </c>
      <c r="R488">
        <v>0.93326797441916498</v>
      </c>
      <c r="S488" t="s">
        <v>7491</v>
      </c>
      <c r="T488" t="s">
        <v>14004</v>
      </c>
      <c r="U488" t="s">
        <v>14004</v>
      </c>
      <c r="V488" t="s">
        <v>14004</v>
      </c>
      <c r="W488" t="s">
        <v>14487</v>
      </c>
      <c r="X488">
        <v>18</v>
      </c>
      <c r="Y488" t="s">
        <v>21425</v>
      </c>
      <c r="Z488" t="s">
        <v>28198</v>
      </c>
      <c r="AA488">
        <v>0.86430309529105387</v>
      </c>
      <c r="AB488" t="str">
        <f>HYPERLINK("Melting_Curves/meltCurve_E7ESM9_CAST.pdf", "Melting_Curves/meltCurve_E7ESM9_CAST.pdf")</f>
        <v>Melting_Curves/meltCurve_E7ESM9_CAST.pdf</v>
      </c>
    </row>
    <row r="489" spans="1:28" x14ac:dyDescent="0.25">
      <c r="A489" t="s">
        <v>493</v>
      </c>
      <c r="B489">
        <v>0.99999676499088797</v>
      </c>
      <c r="C489">
        <v>1.1172152673111899</v>
      </c>
      <c r="D489">
        <v>0.99176296495754201</v>
      </c>
      <c r="E489">
        <v>1.3184265441974301</v>
      </c>
      <c r="F489">
        <v>1.1683041406689501</v>
      </c>
      <c r="G489">
        <v>1.0136459276436001</v>
      </c>
      <c r="H489">
        <v>0.68539211608509998</v>
      </c>
      <c r="I489">
        <v>0.48484863566346798</v>
      </c>
      <c r="J489">
        <v>0.22736795755547301</v>
      </c>
      <c r="K489">
        <v>0.18289952110553001</v>
      </c>
      <c r="L489">
        <v>1849.16269139312</v>
      </c>
      <c r="M489">
        <v>29.5664927082716</v>
      </c>
      <c r="N489">
        <v>63.2924107237938</v>
      </c>
      <c r="O489">
        <v>62.258505728461799</v>
      </c>
      <c r="P489">
        <v>-0.101182086017751</v>
      </c>
      <c r="Q489">
        <v>0.14776485080705401</v>
      </c>
      <c r="R489">
        <v>0.89294379595680995</v>
      </c>
      <c r="S489" t="s">
        <v>7492</v>
      </c>
      <c r="T489" t="s">
        <v>14004</v>
      </c>
      <c r="U489" t="s">
        <v>14004</v>
      </c>
      <c r="V489" t="s">
        <v>14004</v>
      </c>
      <c r="W489" t="s">
        <v>14488</v>
      </c>
      <c r="X489">
        <v>1</v>
      </c>
      <c r="Y489" t="s">
        <v>21426</v>
      </c>
      <c r="Z489" t="s">
        <v>28199</v>
      </c>
      <c r="AA489">
        <v>0.79151156780548404</v>
      </c>
      <c r="AB489" t="str">
        <f>HYPERLINK("Melting_Curves/meltCurve_E7ESU6_SLC38A9.pdf", "Melting_Curves/meltCurve_E7ESU6_SLC38A9.pdf")</f>
        <v>Melting_Curves/meltCurve_E7ESU6_SLC38A9.pdf</v>
      </c>
    </row>
    <row r="490" spans="1:28" x14ac:dyDescent="0.25">
      <c r="A490" t="s">
        <v>494</v>
      </c>
      <c r="B490">
        <v>0.99999676499088797</v>
      </c>
      <c r="C490">
        <v>1.1523618456387601</v>
      </c>
      <c r="D490">
        <v>1.2867245511954699</v>
      </c>
      <c r="E490">
        <v>1.4939911165352799</v>
      </c>
      <c r="F490">
        <v>0.49337177885718198</v>
      </c>
      <c r="G490">
        <v>0.57470014892510801</v>
      </c>
      <c r="H490">
        <v>0.27625584664471298</v>
      </c>
      <c r="I490">
        <v>0.867215213553442</v>
      </c>
      <c r="J490">
        <v>1.168178199095</v>
      </c>
      <c r="K490">
        <v>0.83345315759918503</v>
      </c>
      <c r="L490">
        <v>4598.2153029333303</v>
      </c>
      <c r="M490">
        <v>89.110487421091094</v>
      </c>
      <c r="O490">
        <v>51.575309101089999</v>
      </c>
      <c r="P490">
        <v>-0.12811628670722899</v>
      </c>
      <c r="Q490">
        <v>0.70339578366509903</v>
      </c>
      <c r="R490">
        <v>0.33771327328249001</v>
      </c>
      <c r="S490" t="s">
        <v>7493</v>
      </c>
      <c r="T490" t="s">
        <v>14004</v>
      </c>
      <c r="U490" t="s">
        <v>14004</v>
      </c>
      <c r="V490" t="s">
        <v>14004</v>
      </c>
      <c r="W490" t="s">
        <v>14489</v>
      </c>
      <c r="X490">
        <v>11</v>
      </c>
      <c r="Y490" t="s">
        <v>21427</v>
      </c>
      <c r="Z490" t="s">
        <v>28200</v>
      </c>
      <c r="AA490">
        <v>0.81830714883603961</v>
      </c>
      <c r="AB490" t="str">
        <f>HYPERLINK("Melting_Curves/meltCurve_E7ESU7_CTBP1.pdf", "Melting_Curves/meltCurve_E7ESU7_CTBP1.pdf")</f>
        <v>Melting_Curves/meltCurve_E7ESU7_CTBP1.pdf</v>
      </c>
    </row>
    <row r="491" spans="1:28" x14ac:dyDescent="0.25">
      <c r="A491" t="s">
        <v>495</v>
      </c>
      <c r="B491">
        <v>0.99999676499088797</v>
      </c>
      <c r="C491">
        <v>1.05240661391156</v>
      </c>
      <c r="D491">
        <v>0.91276426779085496</v>
      </c>
      <c r="E491">
        <v>0.52885630210970103</v>
      </c>
      <c r="F491">
        <v>0.27134062846025497</v>
      </c>
      <c r="G491">
        <v>0.16499305722526</v>
      </c>
      <c r="H491">
        <v>8.5294255547538902E-2</v>
      </c>
      <c r="I491">
        <v>6.3876508589323103E-2</v>
      </c>
      <c r="J491">
        <v>6.4428969538204997E-2</v>
      </c>
      <c r="K491">
        <v>5.67382237414591E-2</v>
      </c>
      <c r="L491">
        <v>1161.5648814640699</v>
      </c>
      <c r="M491">
        <v>23.280840146110201</v>
      </c>
      <c r="N491">
        <v>50.232074561572198</v>
      </c>
      <c r="O491">
        <v>49.529844121495898</v>
      </c>
      <c r="P491">
        <v>-0.10898074786721</v>
      </c>
      <c r="Q491">
        <v>7.2593066469248194E-2</v>
      </c>
      <c r="R491">
        <v>0.99346555670478198</v>
      </c>
      <c r="S491" t="s">
        <v>7494</v>
      </c>
      <c r="T491" t="s">
        <v>14004</v>
      </c>
      <c r="U491" t="s">
        <v>14004</v>
      </c>
      <c r="V491" t="s">
        <v>14004</v>
      </c>
      <c r="W491" t="s">
        <v>14490</v>
      </c>
      <c r="X491">
        <v>15</v>
      </c>
      <c r="Y491" t="s">
        <v>21428</v>
      </c>
      <c r="Z491" t="s">
        <v>28201</v>
      </c>
      <c r="AA491">
        <v>0.38799463696862091</v>
      </c>
      <c r="AB491" t="str">
        <f>HYPERLINK("Melting_Curves/meltCurve_E7ESZ7_NDUFA10.pdf", "Melting_Curves/meltCurve_E7ESZ7_NDUFA10.pdf")</f>
        <v>Melting_Curves/meltCurve_E7ESZ7_NDUFA10.pdf</v>
      </c>
    </row>
    <row r="492" spans="1:28" x14ac:dyDescent="0.25">
      <c r="A492" t="s">
        <v>496</v>
      </c>
      <c r="B492">
        <v>0.99999676499088797</v>
      </c>
      <c r="C492">
        <v>0.83541677396357195</v>
      </c>
      <c r="D492">
        <v>0.57708992197909004</v>
      </c>
      <c r="E492">
        <v>0.23942462332087</v>
      </c>
      <c r="F492">
        <v>0.17942024738503001</v>
      </c>
      <c r="G492">
        <v>0.12034538490713</v>
      </c>
      <c r="H492">
        <v>6.8398954091601002E-2</v>
      </c>
      <c r="I492">
        <v>6.3014470395031594E-2</v>
      </c>
      <c r="J492">
        <v>5.6591335792567102E-2</v>
      </c>
      <c r="K492">
        <v>5.5328699920318997E-2</v>
      </c>
      <c r="L492">
        <v>923.70162864971303</v>
      </c>
      <c r="M492">
        <v>19.920816352928099</v>
      </c>
      <c r="N492">
        <v>46.716468586571501</v>
      </c>
      <c r="O492">
        <v>45.908986065459899</v>
      </c>
      <c r="P492">
        <v>-0.101006996741089</v>
      </c>
      <c r="Q492">
        <v>6.8918582274992105E-2</v>
      </c>
      <c r="R492">
        <v>0.99499038965792796</v>
      </c>
      <c r="S492" t="s">
        <v>7495</v>
      </c>
      <c r="T492" t="s">
        <v>14004</v>
      </c>
      <c r="U492" t="s">
        <v>14004</v>
      </c>
      <c r="V492" t="s">
        <v>14004</v>
      </c>
      <c r="W492" t="s">
        <v>14491</v>
      </c>
      <c r="X492">
        <v>28</v>
      </c>
      <c r="Y492" t="s">
        <v>21429</v>
      </c>
      <c r="Z492" t="s">
        <v>28202</v>
      </c>
      <c r="AA492">
        <v>0.28076022642721182</v>
      </c>
      <c r="AB492" t="str">
        <f>HYPERLINK("Melting_Curves/meltCurve_E7ET15_U2SURP.pdf", "Melting_Curves/meltCurve_E7ET15_U2SURP.pdf")</f>
        <v>Melting_Curves/meltCurve_E7ET15_U2SURP.pdf</v>
      </c>
    </row>
    <row r="493" spans="1:28" x14ac:dyDescent="0.25">
      <c r="A493" t="s">
        <v>497</v>
      </c>
      <c r="B493">
        <v>0.99999676499088797</v>
      </c>
      <c r="C493">
        <v>1.0380096712809199</v>
      </c>
      <c r="D493">
        <v>0.98661415880053505</v>
      </c>
      <c r="E493">
        <v>0.83289723610515098</v>
      </c>
      <c r="F493">
        <v>0.93729964922114295</v>
      </c>
      <c r="G493">
        <v>0.75398789084939499</v>
      </c>
      <c r="H493">
        <v>0.55871622676260102</v>
      </c>
      <c r="I493">
        <v>0.47861711372709898</v>
      </c>
      <c r="J493">
        <v>0.43752594797939398</v>
      </c>
      <c r="K493">
        <v>0.26995290519398302</v>
      </c>
      <c r="L493">
        <v>590.28682804206096</v>
      </c>
      <c r="M493">
        <v>9.29891789380682</v>
      </c>
      <c r="N493">
        <v>63.556616007807101</v>
      </c>
      <c r="O493">
        <v>60.750643286200898</v>
      </c>
      <c r="P493">
        <v>-3.8075323386214097E-2</v>
      </c>
      <c r="Q493">
        <v>5.6403316520117703E-3</v>
      </c>
      <c r="R493">
        <v>0.96347698930667502</v>
      </c>
      <c r="S493" t="s">
        <v>7496</v>
      </c>
      <c r="T493" t="s">
        <v>14004</v>
      </c>
      <c r="U493" t="s">
        <v>14004</v>
      </c>
      <c r="V493" t="s">
        <v>14004</v>
      </c>
      <c r="W493" t="s">
        <v>14492</v>
      </c>
      <c r="X493">
        <v>3</v>
      </c>
      <c r="Y493" t="s">
        <v>21430</v>
      </c>
      <c r="Z493" t="s">
        <v>28203</v>
      </c>
      <c r="AA493">
        <v>0.74208823878338748</v>
      </c>
      <c r="AB493" t="str">
        <f>HYPERLINK("Melting_Curves/meltCurve_E7ET31_CD1E.pdf", "Melting_Curves/meltCurve_E7ET31_CD1E.pdf")</f>
        <v>Melting_Curves/meltCurve_E7ET31_CD1E.pdf</v>
      </c>
    </row>
    <row r="494" spans="1:28" x14ac:dyDescent="0.25">
      <c r="A494" t="s">
        <v>498</v>
      </c>
      <c r="B494">
        <v>0.99999676499088797</v>
      </c>
      <c r="C494">
        <v>1.02451846330584</v>
      </c>
      <c r="D494">
        <v>0.99269786222360101</v>
      </c>
      <c r="E494">
        <v>1.0094174440736501</v>
      </c>
      <c r="F494">
        <v>1.03963259554674</v>
      </c>
      <c r="G494">
        <v>1.0173471979927999</v>
      </c>
      <c r="H494">
        <v>0.74857592531259598</v>
      </c>
      <c r="I494">
        <v>0.66757528526104004</v>
      </c>
      <c r="J494">
        <v>0.57118342254822496</v>
      </c>
      <c r="K494">
        <v>0.74584360889088097</v>
      </c>
      <c r="L494">
        <v>10524.9692263868</v>
      </c>
      <c r="M494">
        <v>174.16866127738501</v>
      </c>
      <c r="O494">
        <v>60.421791247869201</v>
      </c>
      <c r="P494">
        <v>-0.243916499450549</v>
      </c>
      <c r="Q494">
        <v>0.66152646546099603</v>
      </c>
      <c r="R494">
        <v>0.93707292045415702</v>
      </c>
      <c r="S494" t="s">
        <v>7497</v>
      </c>
      <c r="T494" t="s">
        <v>14004</v>
      </c>
      <c r="U494" t="s">
        <v>14004</v>
      </c>
      <c r="V494" t="s">
        <v>14004</v>
      </c>
      <c r="W494" t="s">
        <v>14493</v>
      </c>
      <c r="X494">
        <v>14</v>
      </c>
      <c r="Y494" t="s">
        <v>21431</v>
      </c>
      <c r="Z494" t="s">
        <v>28204</v>
      </c>
      <c r="AA494">
        <v>0.8920981346146718</v>
      </c>
      <c r="AB494" t="str">
        <f>HYPERLINK("Melting_Curves/meltCurve_E7ETB3_DNPEP.pdf", "Melting_Curves/meltCurve_E7ETB3_DNPEP.pdf")</f>
        <v>Melting_Curves/meltCurve_E7ETB3_DNPEP.pdf</v>
      </c>
    </row>
    <row r="495" spans="1:28" x14ac:dyDescent="0.25">
      <c r="A495" t="s">
        <v>499</v>
      </c>
      <c r="B495">
        <v>0.99999676499088797</v>
      </c>
      <c r="C495">
        <v>1.0181072423673401</v>
      </c>
      <c r="D495">
        <v>1.0610736059160799</v>
      </c>
      <c r="E495">
        <v>1.1173623998806801</v>
      </c>
      <c r="F495">
        <v>0.63653186939072703</v>
      </c>
      <c r="G495">
        <v>0.445788070560308</v>
      </c>
      <c r="H495">
        <v>0.116241744255517</v>
      </c>
      <c r="I495">
        <v>9.6114720771753107E-2</v>
      </c>
      <c r="J495">
        <v>9.8514816955830795E-2</v>
      </c>
      <c r="K495">
        <v>7.6167934760486194E-2</v>
      </c>
      <c r="L495">
        <v>1427.7344781990801</v>
      </c>
      <c r="M495">
        <v>25.879293488699101</v>
      </c>
      <c r="N495">
        <v>55.521263644245202</v>
      </c>
      <c r="O495">
        <v>54.842733314335803</v>
      </c>
      <c r="P495">
        <v>-0.10903975436310701</v>
      </c>
      <c r="Q495">
        <v>7.5713807056488697E-2</v>
      </c>
      <c r="R495">
        <v>0.97269146470789203</v>
      </c>
      <c r="S495" t="s">
        <v>7498</v>
      </c>
      <c r="T495" t="s">
        <v>14004</v>
      </c>
      <c r="U495" t="s">
        <v>14004</v>
      </c>
      <c r="V495" t="s">
        <v>14004</v>
      </c>
      <c r="W495" t="s">
        <v>14494</v>
      </c>
      <c r="X495">
        <v>5</v>
      </c>
      <c r="Y495" t="s">
        <v>21432</v>
      </c>
      <c r="Z495" t="s">
        <v>28205</v>
      </c>
      <c r="AA495">
        <v>0.55110597933450478</v>
      </c>
      <c r="AB495" t="str">
        <f>HYPERLINK("Melting_Curves/meltCurve_E7ETK0_RPS24.pdf", "Melting_Curves/meltCurve_E7ETK0_RPS24.pdf")</f>
        <v>Melting_Curves/meltCurve_E7ETK0_RPS24.pdf</v>
      </c>
    </row>
    <row r="496" spans="1:28" x14ac:dyDescent="0.25">
      <c r="A496" t="s">
        <v>500</v>
      </c>
      <c r="B496">
        <v>0.99999676499088797</v>
      </c>
      <c r="C496">
        <v>0.93058767373847595</v>
      </c>
      <c r="D496">
        <v>1.0255388262529901</v>
      </c>
      <c r="E496">
        <v>0.986046282098203</v>
      </c>
      <c r="F496">
        <v>0.940563896784126</v>
      </c>
      <c r="G496">
        <v>0.63257141527169103</v>
      </c>
      <c r="H496">
        <v>0.40896811335302302</v>
      </c>
      <c r="I496">
        <v>0.29678790607155597</v>
      </c>
      <c r="J496">
        <v>0.30181064807248997</v>
      </c>
      <c r="K496">
        <v>0.297853392517546</v>
      </c>
      <c r="L496">
        <v>1720.6389105538899</v>
      </c>
      <c r="M496">
        <v>30.277593420971101</v>
      </c>
      <c r="N496">
        <v>58.548916705518799</v>
      </c>
      <c r="O496">
        <v>56.582613798938901</v>
      </c>
      <c r="P496">
        <v>-9.4369309038943902E-2</v>
      </c>
      <c r="Q496">
        <v>0.29457688549876598</v>
      </c>
      <c r="R496">
        <v>0.99219365777577395</v>
      </c>
      <c r="S496" t="s">
        <v>7499</v>
      </c>
      <c r="T496" t="s">
        <v>14004</v>
      </c>
      <c r="U496" t="s">
        <v>14004</v>
      </c>
      <c r="V496" t="s">
        <v>14004</v>
      </c>
      <c r="W496" t="s">
        <v>14495</v>
      </c>
      <c r="X496">
        <v>1</v>
      </c>
      <c r="Y496" t="s">
        <v>21433</v>
      </c>
      <c r="Z496" t="s">
        <v>28206</v>
      </c>
      <c r="AA496">
        <v>0.69491588400477766</v>
      </c>
      <c r="AB496" t="str">
        <f>HYPERLINK("Melting_Curves/meltCurve_E7ETM6_SYS1.pdf", "Melting_Curves/meltCurve_E7ETM6_SYS1.pdf")</f>
        <v>Melting_Curves/meltCurve_E7ETM6_SYS1.pdf</v>
      </c>
    </row>
    <row r="497" spans="1:28" x14ac:dyDescent="0.25">
      <c r="A497" t="s">
        <v>501</v>
      </c>
      <c r="B497">
        <v>0.99999676499088797</v>
      </c>
      <c r="C497">
        <v>0.98066666177994399</v>
      </c>
      <c r="D497">
        <v>1.0373924169120201</v>
      </c>
      <c r="E497">
        <v>1.0993607235151599</v>
      </c>
      <c r="F497">
        <v>1.07241855320794</v>
      </c>
      <c r="G497">
        <v>0.99757736219072901</v>
      </c>
      <c r="H497">
        <v>0.67675107580280602</v>
      </c>
      <c r="I497">
        <v>0.69393710283627696</v>
      </c>
      <c r="J497">
        <v>0.58803295479760498</v>
      </c>
      <c r="K497">
        <v>0.60349067905681297</v>
      </c>
      <c r="L497">
        <v>4842.8041345309703</v>
      </c>
      <c r="M497">
        <v>81.467693587945902</v>
      </c>
      <c r="O497">
        <v>59.408702367099103</v>
      </c>
      <c r="P497">
        <v>-0.12776895250812301</v>
      </c>
      <c r="Q497">
        <v>0.627308251883544</v>
      </c>
      <c r="R497">
        <v>0.93948761189285301</v>
      </c>
      <c r="S497" t="s">
        <v>7500</v>
      </c>
      <c r="T497" t="s">
        <v>14004</v>
      </c>
      <c r="U497" t="s">
        <v>14004</v>
      </c>
      <c r="V497" t="s">
        <v>14004</v>
      </c>
      <c r="W497" t="s">
        <v>14496</v>
      </c>
      <c r="X497">
        <v>1</v>
      </c>
      <c r="Y497" t="s">
        <v>21434</v>
      </c>
      <c r="Z497" t="s">
        <v>28207</v>
      </c>
      <c r="AA497">
        <v>0.86923483841830296</v>
      </c>
      <c r="AB497" t="str">
        <f>HYPERLINK("Melting_Curves/meltCurve_E7ETP9_LAMP3.pdf", "Melting_Curves/meltCurve_E7ETP9_LAMP3.pdf")</f>
        <v>Melting_Curves/meltCurve_E7ETP9_LAMP3.pdf</v>
      </c>
    </row>
    <row r="498" spans="1:28" x14ac:dyDescent="0.25">
      <c r="A498" t="s">
        <v>502</v>
      </c>
      <c r="B498">
        <v>0.99999676499088797</v>
      </c>
      <c r="C498">
        <v>0.93279220425890197</v>
      </c>
      <c r="D498">
        <v>0.85189836926234497</v>
      </c>
      <c r="E498">
        <v>0.54818272846532201</v>
      </c>
      <c r="F498">
        <v>0.36635316440299998</v>
      </c>
      <c r="G498">
        <v>0.316251458035327</v>
      </c>
      <c r="H498">
        <v>0.28828824023961702</v>
      </c>
      <c r="I498">
        <v>0.39276505130154199</v>
      </c>
      <c r="J498">
        <v>0.30645863667747603</v>
      </c>
      <c r="K498">
        <v>0.39988206663211501</v>
      </c>
      <c r="L498">
        <v>1282.91351774547</v>
      </c>
      <c r="M498">
        <v>26.693522350791099</v>
      </c>
      <c r="N498">
        <v>50.157991442752099</v>
      </c>
      <c r="O498">
        <v>47.793562648555898</v>
      </c>
      <c r="P498">
        <v>-9.2684595170148307E-2</v>
      </c>
      <c r="Q498">
        <v>0.336216442586172</v>
      </c>
      <c r="R498">
        <v>0.98054232103286498</v>
      </c>
      <c r="S498" t="s">
        <v>7501</v>
      </c>
      <c r="T498" t="s">
        <v>14004</v>
      </c>
      <c r="U498" t="s">
        <v>14004</v>
      </c>
      <c r="V498" t="s">
        <v>14004</v>
      </c>
      <c r="W498" t="s">
        <v>14497</v>
      </c>
      <c r="X498">
        <v>3</v>
      </c>
      <c r="Y498" t="s">
        <v>21435</v>
      </c>
      <c r="Z498" t="s">
        <v>28208</v>
      </c>
      <c r="AA498">
        <v>0.51967886893629223</v>
      </c>
      <c r="AB498" t="str">
        <f>HYPERLINK("Melting_Curves/meltCurve_E7ETU5_RBMS1.pdf", "Melting_Curves/meltCurve_E7ETU5_RBMS1.pdf")</f>
        <v>Melting_Curves/meltCurve_E7ETU5_RBMS1.pdf</v>
      </c>
    </row>
    <row r="499" spans="1:28" x14ac:dyDescent="0.25">
      <c r="A499" t="s">
        <v>503</v>
      </c>
      <c r="B499">
        <v>0.99999676499088797</v>
      </c>
      <c r="C499">
        <v>0.83899101102859397</v>
      </c>
      <c r="D499">
        <v>0.59051039978811704</v>
      </c>
      <c r="E499">
        <v>0.37560365919751099</v>
      </c>
      <c r="F499">
        <v>0.25350549507192899</v>
      </c>
      <c r="G499">
        <v>0.19322047249996999</v>
      </c>
      <c r="H499">
        <v>0.120664059593777</v>
      </c>
      <c r="I499">
        <v>6.4218057228986297E-2</v>
      </c>
      <c r="J499">
        <v>3.9511142131894099E-2</v>
      </c>
      <c r="K499">
        <v>3.8452160886379198E-2</v>
      </c>
      <c r="L499">
        <v>644.90427103052104</v>
      </c>
      <c r="M499">
        <v>13.5584333989689</v>
      </c>
      <c r="N499">
        <v>47.932769481436601</v>
      </c>
      <c r="O499">
        <v>46.565876837891899</v>
      </c>
      <c r="P499">
        <v>-6.9204171290716099E-2</v>
      </c>
      <c r="Q499">
        <v>4.9427235603116099E-2</v>
      </c>
      <c r="R499">
        <v>0.98889614608863896</v>
      </c>
      <c r="S499" t="s">
        <v>7502</v>
      </c>
      <c r="T499" t="s">
        <v>14004</v>
      </c>
      <c r="U499" t="s">
        <v>14004</v>
      </c>
      <c r="V499" t="s">
        <v>14004</v>
      </c>
      <c r="W499" t="s">
        <v>14498</v>
      </c>
      <c r="X499">
        <v>4</v>
      </c>
      <c r="Y499" t="s">
        <v>21436</v>
      </c>
      <c r="Z499" t="s">
        <v>28209</v>
      </c>
      <c r="AA499">
        <v>0.31963909984521122</v>
      </c>
      <c r="AB499" t="str">
        <f>HYPERLINK("Melting_Curves/meltCurve_E7ETY4_MARK2.pdf", "Melting_Curves/meltCurve_E7ETY4_MARK2.pdf")</f>
        <v>Melting_Curves/meltCurve_E7ETY4_MARK2.pdf</v>
      </c>
    </row>
    <row r="500" spans="1:28" x14ac:dyDescent="0.25">
      <c r="A500" t="s">
        <v>504</v>
      </c>
      <c r="B500">
        <v>0.99999676499088797</v>
      </c>
      <c r="C500">
        <v>0.88432548588511894</v>
      </c>
      <c r="D500">
        <v>0.94129689049276299</v>
      </c>
      <c r="E500">
        <v>0.87223207414427395</v>
      </c>
      <c r="F500">
        <v>0.27664126101179398</v>
      </c>
      <c r="G500">
        <v>0.20152899801490001</v>
      </c>
      <c r="H500">
        <v>8.9474738452473807E-2</v>
      </c>
      <c r="I500">
        <v>9.7187251186406698E-2</v>
      </c>
      <c r="J500">
        <v>9.6959361428077401E-2</v>
      </c>
      <c r="K500">
        <v>9.5229109372083495E-2</v>
      </c>
      <c r="L500">
        <v>2203.8001903980398</v>
      </c>
      <c r="M500">
        <v>42.767374048394998</v>
      </c>
      <c r="N500">
        <v>51.830387517452202</v>
      </c>
      <c r="O500">
        <v>51.417667682034697</v>
      </c>
      <c r="P500">
        <v>-0.18511213497005899</v>
      </c>
      <c r="Q500">
        <v>0.109787103082909</v>
      </c>
      <c r="R500">
        <v>0.984490184297525</v>
      </c>
      <c r="S500" t="s">
        <v>7503</v>
      </c>
      <c r="T500" t="s">
        <v>14004</v>
      </c>
      <c r="U500" t="s">
        <v>14004</v>
      </c>
      <c r="V500" t="s">
        <v>14004</v>
      </c>
      <c r="W500" t="s">
        <v>14499</v>
      </c>
      <c r="X500">
        <v>23</v>
      </c>
      <c r="Y500" t="s">
        <v>21437</v>
      </c>
      <c r="Z500" t="s">
        <v>28210</v>
      </c>
      <c r="AA500">
        <v>0.4546944760290394</v>
      </c>
      <c r="AB500" t="str">
        <f>HYPERLINK("Melting_Curves/meltCurve_E7ETZ4_BZW2.pdf", "Melting_Curves/meltCurve_E7ETZ4_BZW2.pdf")</f>
        <v>Melting_Curves/meltCurve_E7ETZ4_BZW2.pdf</v>
      </c>
    </row>
    <row r="501" spans="1:28" x14ac:dyDescent="0.25">
      <c r="A501" t="s">
        <v>505</v>
      </c>
      <c r="B501">
        <v>0.99999676499088797</v>
      </c>
      <c r="C501">
        <v>0.70169608411763595</v>
      </c>
      <c r="D501">
        <v>0.86528619203090695</v>
      </c>
      <c r="E501">
        <v>0.94369214862261297</v>
      </c>
      <c r="F501">
        <v>0.486561767006149</v>
      </c>
      <c r="G501">
        <v>0.27978230827363698</v>
      </c>
      <c r="H501">
        <v>0.17278976543517699</v>
      </c>
      <c r="I501">
        <v>0.211165415510708</v>
      </c>
      <c r="J501">
        <v>0.25462558811685998</v>
      </c>
      <c r="K501">
        <v>0.18687733758424699</v>
      </c>
      <c r="L501">
        <v>1968.33723543881</v>
      </c>
      <c r="M501">
        <v>37.547471924074799</v>
      </c>
      <c r="N501">
        <v>53.195253110854303</v>
      </c>
      <c r="O501">
        <v>52.2745958389213</v>
      </c>
      <c r="P501">
        <v>-0.141827041637242</v>
      </c>
      <c r="Q501">
        <v>0.210180523127143</v>
      </c>
      <c r="R501">
        <v>0.89004549188594495</v>
      </c>
      <c r="S501" t="s">
        <v>7504</v>
      </c>
      <c r="T501" t="s">
        <v>14004</v>
      </c>
      <c r="U501" t="s">
        <v>14004</v>
      </c>
      <c r="V501" t="s">
        <v>14004</v>
      </c>
      <c r="W501" t="s">
        <v>14500</v>
      </c>
      <c r="X501">
        <v>2</v>
      </c>
      <c r="Y501" t="s">
        <v>21438</v>
      </c>
      <c r="Z501" t="s">
        <v>28211</v>
      </c>
      <c r="AA501">
        <v>0.54048245485455837</v>
      </c>
      <c r="AB501" t="str">
        <f>HYPERLINK("Melting_Curves/meltCurve_E7ETZ8_MAP9.pdf", "Melting_Curves/meltCurve_E7ETZ8_MAP9.pdf")</f>
        <v>Melting_Curves/meltCurve_E7ETZ8_MAP9.pdf</v>
      </c>
    </row>
    <row r="502" spans="1:28" x14ac:dyDescent="0.25">
      <c r="A502" t="s">
        <v>506</v>
      </c>
      <c r="B502">
        <v>0.99999676499088797</v>
      </c>
      <c r="C502">
        <v>0.90962027377031496</v>
      </c>
      <c r="D502">
        <v>0.80902192502461601</v>
      </c>
      <c r="E502">
        <v>0.40978918645950502</v>
      </c>
      <c r="F502">
        <v>0.35428161613255199</v>
      </c>
      <c r="G502">
        <v>0.31330344233149698</v>
      </c>
      <c r="H502">
        <v>0.12987549185592101</v>
      </c>
      <c r="I502">
        <v>7.9587995312477802E-2</v>
      </c>
      <c r="J502">
        <v>7.1301842842743698E-2</v>
      </c>
      <c r="K502">
        <v>8.6779918667177394E-2</v>
      </c>
      <c r="L502">
        <v>669.08997778892297</v>
      </c>
      <c r="M502">
        <v>13.528631781331899</v>
      </c>
      <c r="N502">
        <v>50.021431211939301</v>
      </c>
      <c r="O502">
        <v>48.414214042984099</v>
      </c>
      <c r="P502">
        <v>-6.4926169313325094E-2</v>
      </c>
      <c r="Q502">
        <v>7.0748668078370394E-2</v>
      </c>
      <c r="R502">
        <v>0.97312208172886205</v>
      </c>
      <c r="S502" t="s">
        <v>7505</v>
      </c>
      <c r="T502" t="s">
        <v>14004</v>
      </c>
      <c r="U502" t="s">
        <v>14004</v>
      </c>
      <c r="V502" t="s">
        <v>14004</v>
      </c>
      <c r="W502" t="s">
        <v>14501</v>
      </c>
      <c r="X502">
        <v>2</v>
      </c>
      <c r="Y502" t="s">
        <v>21439</v>
      </c>
      <c r="Z502" t="s">
        <v>28212</v>
      </c>
      <c r="AA502">
        <v>0.3908282000341789</v>
      </c>
      <c r="AB502" t="str">
        <f>HYPERLINK("Melting_Curves/meltCurve_E7EU09_FGFR1.pdf", "Melting_Curves/meltCurve_E7EU09_FGFR1.pdf")</f>
        <v>Melting_Curves/meltCurve_E7EU09_FGFR1.pdf</v>
      </c>
    </row>
    <row r="503" spans="1:28" x14ac:dyDescent="0.25">
      <c r="A503" t="s">
        <v>507</v>
      </c>
      <c r="B503">
        <v>0.99999676499088797</v>
      </c>
      <c r="C503">
        <v>0.94734595444405201</v>
      </c>
      <c r="D503">
        <v>0.47734109469326103</v>
      </c>
      <c r="E503">
        <v>0.29805688313197998</v>
      </c>
      <c r="F503">
        <v>0.243935006002374</v>
      </c>
      <c r="G503">
        <v>0.165944888990465</v>
      </c>
      <c r="H503">
        <v>7.63069484151533E-2</v>
      </c>
      <c r="I503">
        <v>7.8291762200339302E-2</v>
      </c>
      <c r="J503">
        <v>6.9513295152162993E-2</v>
      </c>
      <c r="K503">
        <v>5.3064534263179197E-2</v>
      </c>
      <c r="L503">
        <v>982.03079088504296</v>
      </c>
      <c r="M503">
        <v>21.248254000635001</v>
      </c>
      <c r="N503">
        <v>46.703604743360501</v>
      </c>
      <c r="O503">
        <v>45.813489151480503</v>
      </c>
      <c r="P503">
        <v>-0.104439636026398</v>
      </c>
      <c r="Q503">
        <v>9.9291280482078706E-2</v>
      </c>
      <c r="R503">
        <v>0.96974834268808696</v>
      </c>
      <c r="S503" t="s">
        <v>7506</v>
      </c>
      <c r="T503" t="s">
        <v>14004</v>
      </c>
      <c r="U503" t="s">
        <v>14004</v>
      </c>
      <c r="V503" t="s">
        <v>14004</v>
      </c>
      <c r="W503" t="s">
        <v>14502</v>
      </c>
      <c r="X503">
        <v>11</v>
      </c>
      <c r="Y503" t="s">
        <v>21440</v>
      </c>
      <c r="Z503" t="s">
        <v>28213</v>
      </c>
      <c r="AA503">
        <v>0.29790108749484201</v>
      </c>
      <c r="AB503" t="str">
        <f>HYPERLINK("Melting_Curves/meltCurve_E7EU13_ARAP1.pdf", "Melting_Curves/meltCurve_E7EU13_ARAP1.pdf")</f>
        <v>Melting_Curves/meltCurve_E7EU13_ARAP1.pdf</v>
      </c>
    </row>
    <row r="504" spans="1:28" x14ac:dyDescent="0.25">
      <c r="A504" t="s">
        <v>508</v>
      </c>
      <c r="B504">
        <v>0.99999676499088797</v>
      </c>
      <c r="C504">
        <v>0.95519483028810204</v>
      </c>
      <c r="D504">
        <v>0.97577201275118797</v>
      </c>
      <c r="E504">
        <v>1.02754449158726</v>
      </c>
      <c r="F504">
        <v>0.80611341079742604</v>
      </c>
      <c r="G504">
        <v>0.41067271570324998</v>
      </c>
      <c r="H504">
        <v>0.10832087786394499</v>
      </c>
      <c r="I504">
        <v>9.4186257794307796E-2</v>
      </c>
      <c r="J504">
        <v>9.3526937506957106E-2</v>
      </c>
      <c r="K504">
        <v>7.9158937772702803E-2</v>
      </c>
      <c r="L504">
        <v>1772.85754873015</v>
      </c>
      <c r="M504">
        <v>31.8588100440384</v>
      </c>
      <c r="N504">
        <v>55.939864330395203</v>
      </c>
      <c r="O504">
        <v>55.429451019558698</v>
      </c>
      <c r="P504">
        <v>-0.13266554476113401</v>
      </c>
      <c r="Q504">
        <v>7.6733801482626804E-2</v>
      </c>
      <c r="R504">
        <v>0.99631309177329397</v>
      </c>
      <c r="S504" t="s">
        <v>7507</v>
      </c>
      <c r="T504" t="s">
        <v>14004</v>
      </c>
      <c r="U504" t="s">
        <v>14004</v>
      </c>
      <c r="V504" t="s">
        <v>14004</v>
      </c>
      <c r="W504" t="s">
        <v>14503</v>
      </c>
      <c r="X504">
        <v>48</v>
      </c>
      <c r="Y504" t="s">
        <v>21441</v>
      </c>
      <c r="Z504" t="s">
        <v>28214</v>
      </c>
      <c r="AA504">
        <v>0.56378288847841951</v>
      </c>
      <c r="AB504" t="str">
        <f>HYPERLINK("Melting_Curves/meltCurve_E7EU23_GDI2.pdf", "Melting_Curves/meltCurve_E7EU23_GDI2.pdf")</f>
        <v>Melting_Curves/meltCurve_E7EU23_GDI2.pdf</v>
      </c>
    </row>
    <row r="505" spans="1:28" x14ac:dyDescent="0.25">
      <c r="A505" t="s">
        <v>509</v>
      </c>
      <c r="B505">
        <v>0.99999676499088797</v>
      </c>
      <c r="C505">
        <v>0.89479925286214601</v>
      </c>
      <c r="D505">
        <v>0.912097765334837</v>
      </c>
      <c r="E505">
        <v>0.841890916601581</v>
      </c>
      <c r="F505">
        <v>0.389237304918095</v>
      </c>
      <c r="G505">
        <v>0.26417121235464103</v>
      </c>
      <c r="H505">
        <v>0.124198624720312</v>
      </c>
      <c r="I505">
        <v>0.16009912516540201</v>
      </c>
      <c r="J505">
        <v>0.121247089635125</v>
      </c>
      <c r="K505">
        <v>0.113669769788105</v>
      </c>
      <c r="L505">
        <v>1290.5483820094501</v>
      </c>
      <c r="M505">
        <v>24.861185193186699</v>
      </c>
      <c r="N505">
        <v>52.5256730338211</v>
      </c>
      <c r="O505">
        <v>51.577793426218904</v>
      </c>
      <c r="P505">
        <v>-0.105277472187915</v>
      </c>
      <c r="Q505">
        <v>0.126364051170471</v>
      </c>
      <c r="R505">
        <v>0.98369186018808896</v>
      </c>
      <c r="S505" t="s">
        <v>7508</v>
      </c>
      <c r="T505" t="s">
        <v>14004</v>
      </c>
      <c r="U505" t="s">
        <v>14004</v>
      </c>
      <c r="V505" t="s">
        <v>14004</v>
      </c>
      <c r="W505" t="s">
        <v>14504</v>
      </c>
      <c r="X505">
        <v>7</v>
      </c>
      <c r="Y505" t="s">
        <v>21442</v>
      </c>
      <c r="Z505" t="s">
        <v>28215</v>
      </c>
      <c r="AA505">
        <v>0.48125688111926418</v>
      </c>
      <c r="AB505" t="str">
        <f>HYPERLINK("Melting_Curves/meltCurve_E7EU35_PITPNC1.pdf", "Melting_Curves/meltCurve_E7EU35_PITPNC1.pdf")</f>
        <v>Melting_Curves/meltCurve_E7EU35_PITPNC1.pdf</v>
      </c>
    </row>
    <row r="506" spans="1:28" x14ac:dyDescent="0.25">
      <c r="A506" t="s">
        <v>510</v>
      </c>
      <c r="B506">
        <v>0.99999676499088797</v>
      </c>
      <c r="C506">
        <v>1.0569605586323301</v>
      </c>
      <c r="D506">
        <v>1.0540184298884201</v>
      </c>
      <c r="E506">
        <v>1.31462616918262</v>
      </c>
      <c r="F506">
        <v>0.81990831728704505</v>
      </c>
      <c r="G506">
        <v>0.61311850886092101</v>
      </c>
      <c r="H506">
        <v>0.15081144201178401</v>
      </c>
      <c r="I506">
        <v>0.122603240410024</v>
      </c>
      <c r="J506">
        <v>0.12313994963299101</v>
      </c>
      <c r="K506">
        <v>9.7894393687830497E-2</v>
      </c>
      <c r="L506">
        <v>1924.20635487185</v>
      </c>
      <c r="M506">
        <v>33.762012046238098</v>
      </c>
      <c r="N506">
        <v>57.3555015359211</v>
      </c>
      <c r="O506">
        <v>56.7944007194072</v>
      </c>
      <c r="P506">
        <v>-0.134345257658988</v>
      </c>
      <c r="Q506">
        <v>9.60222047930651E-2</v>
      </c>
      <c r="R506">
        <v>0.93901497630475494</v>
      </c>
      <c r="S506" t="s">
        <v>7509</v>
      </c>
      <c r="T506" t="s">
        <v>14004</v>
      </c>
      <c r="U506" t="s">
        <v>14004</v>
      </c>
      <c r="V506" t="s">
        <v>14004</v>
      </c>
      <c r="W506" t="s">
        <v>14505</v>
      </c>
      <c r="X506">
        <v>19</v>
      </c>
      <c r="Y506" t="s">
        <v>21443</v>
      </c>
      <c r="Z506" t="s">
        <v>28216</v>
      </c>
      <c r="AA506">
        <v>0.61293445640004429</v>
      </c>
      <c r="AB506" t="str">
        <f>HYPERLINK("Melting_Curves/meltCurve_E7EU96_CSNK2A1.pdf", "Melting_Curves/meltCurve_E7EU96_CSNK2A1.pdf")</f>
        <v>Melting_Curves/meltCurve_E7EU96_CSNK2A1.pdf</v>
      </c>
    </row>
    <row r="507" spans="1:28" x14ac:dyDescent="0.25">
      <c r="A507" t="s">
        <v>511</v>
      </c>
      <c r="B507">
        <v>0.99999676499088797</v>
      </c>
      <c r="C507">
        <v>1.03713102042887</v>
      </c>
      <c r="D507">
        <v>1.12665525677102</v>
      </c>
      <c r="E507">
        <v>1.39994147183866</v>
      </c>
      <c r="F507">
        <v>1.3648847594875</v>
      </c>
      <c r="G507">
        <v>0.60451399486187396</v>
      </c>
      <c r="H507">
        <v>9.9727335815977702E-2</v>
      </c>
      <c r="I507">
        <v>9.2080965367908996E-2</v>
      </c>
      <c r="J507">
        <v>8.3705209970235298E-2</v>
      </c>
      <c r="K507">
        <v>6.4613881472269194E-2</v>
      </c>
      <c r="L507">
        <v>14215.4903466982</v>
      </c>
      <c r="M507">
        <v>250</v>
      </c>
      <c r="N507">
        <v>56.904397753728503</v>
      </c>
      <c r="O507">
        <v>56.858322611483104</v>
      </c>
      <c r="P507">
        <v>-1.0057544645185601</v>
      </c>
      <c r="Q507">
        <v>8.5031812298089607E-2</v>
      </c>
      <c r="R507">
        <v>0.89036968135263606</v>
      </c>
      <c r="S507" t="s">
        <v>7510</v>
      </c>
      <c r="T507" t="s">
        <v>14004</v>
      </c>
      <c r="U507" t="s">
        <v>14004</v>
      </c>
      <c r="V507" t="s">
        <v>14004</v>
      </c>
      <c r="W507" t="s">
        <v>14506</v>
      </c>
      <c r="X507">
        <v>23</v>
      </c>
      <c r="Y507" t="s">
        <v>21444</v>
      </c>
      <c r="Z507" t="s">
        <v>28217</v>
      </c>
      <c r="AA507">
        <v>0.59939506037865975</v>
      </c>
      <c r="AB507" t="str">
        <f>HYPERLINK("Melting_Curves/meltCurve_E7EUC7_UGP2.pdf", "Melting_Curves/meltCurve_E7EUC7_UGP2.pdf")</f>
        <v>Melting_Curves/meltCurve_E7EUC7_UGP2.pdf</v>
      </c>
    </row>
    <row r="508" spans="1:28" x14ac:dyDescent="0.25">
      <c r="A508" t="s">
        <v>512</v>
      </c>
      <c r="B508">
        <v>0.99999676499088797</v>
      </c>
      <c r="C508">
        <v>0.97382488027254099</v>
      </c>
      <c r="D508">
        <v>0.94013785798273897</v>
      </c>
      <c r="E508">
        <v>0.94342351538441904</v>
      </c>
      <c r="F508">
        <v>0.68619656577687504</v>
      </c>
      <c r="G508">
        <v>0.51868791669708603</v>
      </c>
      <c r="H508">
        <v>0.12637353387812</v>
      </c>
      <c r="I508">
        <v>0.120850171748708</v>
      </c>
      <c r="J508">
        <v>0.12125971889877001</v>
      </c>
      <c r="K508">
        <v>0.102642632931692</v>
      </c>
      <c r="L508">
        <v>1112.39724139232</v>
      </c>
      <c r="M508">
        <v>19.9988198359138</v>
      </c>
      <c r="N508">
        <v>56.025855087373003</v>
      </c>
      <c r="O508">
        <v>55.075945880036599</v>
      </c>
      <c r="P508">
        <v>-8.47035817843792E-2</v>
      </c>
      <c r="Q508">
        <v>6.6949349747629894E-2</v>
      </c>
      <c r="R508">
        <v>0.98634240256612105</v>
      </c>
      <c r="S508" t="s">
        <v>7511</v>
      </c>
      <c r="T508" t="s">
        <v>14004</v>
      </c>
      <c r="U508" t="s">
        <v>14004</v>
      </c>
      <c r="V508" t="s">
        <v>14004</v>
      </c>
      <c r="W508" t="s">
        <v>14507</v>
      </c>
      <c r="X508">
        <v>19</v>
      </c>
      <c r="Y508" t="s">
        <v>21445</v>
      </c>
      <c r="Z508" t="s">
        <v>28218</v>
      </c>
      <c r="AA508">
        <v>0.56504785271598479</v>
      </c>
      <c r="AB508" t="str">
        <f>HYPERLINK("Melting_Curves/meltCurve_E7EUE1_ABCD3.pdf", "Melting_Curves/meltCurve_E7EUE1_ABCD3.pdf")</f>
        <v>Melting_Curves/meltCurve_E7EUE1_ABCD3.pdf</v>
      </c>
    </row>
    <row r="509" spans="1:28" x14ac:dyDescent="0.25">
      <c r="A509" t="s">
        <v>513</v>
      </c>
      <c r="B509">
        <v>0.99999676499088797</v>
      </c>
      <c r="C509">
        <v>1.05771775860932</v>
      </c>
      <c r="D509">
        <v>1.02690790312653</v>
      </c>
      <c r="E509">
        <v>0.77554361287486295</v>
      </c>
      <c r="F509">
        <v>0.52996423923218305</v>
      </c>
      <c r="G509">
        <v>0.31650723210238302</v>
      </c>
      <c r="H509">
        <v>0.16390575154425899</v>
      </c>
      <c r="I509">
        <v>0.13930910687313799</v>
      </c>
      <c r="J509">
        <v>0.202132440612418</v>
      </c>
      <c r="K509">
        <v>0.12178088549908</v>
      </c>
      <c r="L509">
        <v>1115.96540279744</v>
      </c>
      <c r="M509">
        <v>21.1958278153874</v>
      </c>
      <c r="N509">
        <v>53.490662666371399</v>
      </c>
      <c r="O509">
        <v>52.188309252784201</v>
      </c>
      <c r="P509">
        <v>-8.7157849687019506E-2</v>
      </c>
      <c r="Q509">
        <v>0.141622939214301</v>
      </c>
      <c r="R509">
        <v>0.98930290668807797</v>
      </c>
      <c r="S509" t="s">
        <v>7512</v>
      </c>
      <c r="T509" t="s">
        <v>14004</v>
      </c>
      <c r="U509" t="s">
        <v>14004</v>
      </c>
      <c r="V509" t="s">
        <v>14004</v>
      </c>
      <c r="W509" t="s">
        <v>14508</v>
      </c>
      <c r="X509">
        <v>2</v>
      </c>
      <c r="Y509" t="s">
        <v>21446</v>
      </c>
      <c r="Z509" t="s">
        <v>28219</v>
      </c>
      <c r="AA509">
        <v>0.51426494576960735</v>
      </c>
      <c r="AB509" t="str">
        <f>HYPERLINK("Melting_Curves/meltCurve_E7EUG4_GNA12.pdf", "Melting_Curves/meltCurve_E7EUG4_GNA12.pdf")</f>
        <v>Melting_Curves/meltCurve_E7EUG4_GNA12.pdf</v>
      </c>
    </row>
    <row r="510" spans="1:28" x14ac:dyDescent="0.25">
      <c r="A510" t="s">
        <v>514</v>
      </c>
      <c r="B510">
        <v>0.99999676499088797</v>
      </c>
      <c r="C510">
        <v>1.0658459687697399</v>
      </c>
      <c r="D510">
        <v>1.01712231615449</v>
      </c>
      <c r="E510">
        <v>0.71530774228345395</v>
      </c>
      <c r="F510">
        <v>0.26708237246406702</v>
      </c>
      <c r="G510">
        <v>0.17701050087977199</v>
      </c>
      <c r="H510">
        <v>7.52472144389634E-2</v>
      </c>
      <c r="I510">
        <v>7.7477839822762004E-2</v>
      </c>
      <c r="J510">
        <v>7.8288588246499702E-2</v>
      </c>
      <c r="K510">
        <v>5.87133881822288E-2</v>
      </c>
      <c r="L510">
        <v>1589.7209770705899</v>
      </c>
      <c r="M510">
        <v>31.1965753949925</v>
      </c>
      <c r="N510">
        <v>51.253925680566503</v>
      </c>
      <c r="O510">
        <v>50.750174137723803</v>
      </c>
      <c r="P510">
        <v>-0.14102033294446201</v>
      </c>
      <c r="Q510">
        <v>8.2365144168869697E-2</v>
      </c>
      <c r="R510">
        <v>0.99345785138342302</v>
      </c>
      <c r="S510" t="s">
        <v>7513</v>
      </c>
      <c r="T510" t="s">
        <v>14004</v>
      </c>
      <c r="U510" t="s">
        <v>14004</v>
      </c>
      <c r="V510" t="s">
        <v>14004</v>
      </c>
      <c r="W510" t="s">
        <v>14509</v>
      </c>
      <c r="X510">
        <v>19</v>
      </c>
      <c r="Y510" t="s">
        <v>21447</v>
      </c>
      <c r="Z510" t="s">
        <v>28220</v>
      </c>
      <c r="AA510">
        <v>0.42288295402262949</v>
      </c>
      <c r="AB510" t="str">
        <f>HYPERLINK("Melting_Curves/meltCurve_E7EUM5_NUP54.pdf", "Melting_Curves/meltCurve_E7EUM5_NUP54.pdf")</f>
        <v>Melting_Curves/meltCurve_E7EUM5_NUP54.pdf</v>
      </c>
    </row>
    <row r="511" spans="1:28" x14ac:dyDescent="0.25">
      <c r="A511" t="s">
        <v>515</v>
      </c>
      <c r="B511">
        <v>0.99999676499088797</v>
      </c>
      <c r="C511">
        <v>1.0397979651632601</v>
      </c>
      <c r="D511">
        <v>1.37319056513259</v>
      </c>
      <c r="E511">
        <v>0.84195931181140604</v>
      </c>
      <c r="F511">
        <v>0.428960513742705</v>
      </c>
      <c r="G511">
        <v>0.86172792494202</v>
      </c>
      <c r="H511">
        <v>0.181445037481856</v>
      </c>
      <c r="I511">
        <v>0.60096110869504205</v>
      </c>
      <c r="J511">
        <v>0.56849664527938804</v>
      </c>
      <c r="K511">
        <v>0.20632555202580499</v>
      </c>
      <c r="L511">
        <v>12441.829864122499</v>
      </c>
      <c r="M511">
        <v>250</v>
      </c>
      <c r="N511">
        <v>50.368112815017398</v>
      </c>
      <c r="O511">
        <v>49.764134698237001</v>
      </c>
      <c r="P511">
        <v>-0.65979647782850004</v>
      </c>
      <c r="Q511">
        <v>0.47465278809061601</v>
      </c>
      <c r="R511">
        <v>0.63897200128127696</v>
      </c>
      <c r="S511" t="s">
        <v>7514</v>
      </c>
      <c r="T511" t="s">
        <v>14004</v>
      </c>
      <c r="U511" t="s">
        <v>14004</v>
      </c>
      <c r="V511" t="s">
        <v>14004</v>
      </c>
      <c r="W511" t="s">
        <v>14510</v>
      </c>
      <c r="X511">
        <v>13</v>
      </c>
      <c r="Y511" t="s">
        <v>21448</v>
      </c>
      <c r="Z511" t="s">
        <v>28221</v>
      </c>
      <c r="AA511">
        <v>0.64573980718357515</v>
      </c>
      <c r="AB511" t="str">
        <f>HYPERLINK("Melting_Curves/meltCurve_E7EUY5_SSBP1.pdf", "Melting_Curves/meltCurve_E7EUY5_SSBP1.pdf")</f>
        <v>Melting_Curves/meltCurve_E7EUY5_SSBP1.pdf</v>
      </c>
    </row>
    <row r="512" spans="1:28" x14ac:dyDescent="0.25">
      <c r="A512" t="s">
        <v>516</v>
      </c>
      <c r="B512">
        <v>0.99999676499088797</v>
      </c>
      <c r="C512">
        <v>1.14913439322807</v>
      </c>
      <c r="D512">
        <v>1.00903365803787</v>
      </c>
      <c r="E512">
        <v>0.71189314405067605</v>
      </c>
      <c r="F512">
        <v>0.50494392684415701</v>
      </c>
      <c r="G512">
        <v>0.351523692275517</v>
      </c>
      <c r="H512">
        <v>9.2250025080219997E-2</v>
      </c>
      <c r="I512">
        <v>0.12129167904690499</v>
      </c>
      <c r="J512">
        <v>8.0573758449708793E-2</v>
      </c>
      <c r="K512">
        <v>6.6875272567056304E-2</v>
      </c>
      <c r="L512">
        <v>933.934435885217</v>
      </c>
      <c r="M512">
        <v>17.617446020795398</v>
      </c>
      <c r="N512">
        <v>53.392819591437998</v>
      </c>
      <c r="O512">
        <v>52.3430299586228</v>
      </c>
      <c r="P512">
        <v>-7.9179512328626606E-2</v>
      </c>
      <c r="Q512">
        <v>5.9052479471560698E-2</v>
      </c>
      <c r="R512">
        <v>0.97282661489580402</v>
      </c>
      <c r="S512" t="s">
        <v>7515</v>
      </c>
      <c r="T512" t="s">
        <v>14004</v>
      </c>
      <c r="U512" t="s">
        <v>14004</v>
      </c>
      <c r="V512" t="s">
        <v>14004</v>
      </c>
      <c r="W512" t="s">
        <v>14511</v>
      </c>
      <c r="X512">
        <v>3</v>
      </c>
      <c r="Y512" t="s">
        <v>21449</v>
      </c>
      <c r="Z512" t="s">
        <v>28222</v>
      </c>
      <c r="AA512">
        <v>0.4831080025636833</v>
      </c>
      <c r="AB512" t="str">
        <f>HYPERLINK("Melting_Curves/meltCurve_E7EV01_CAPN5.pdf", "Melting_Curves/meltCurve_E7EV01_CAPN5.pdf")</f>
        <v>Melting_Curves/meltCurve_E7EV01_CAPN5.pdf</v>
      </c>
    </row>
    <row r="513" spans="1:28" x14ac:dyDescent="0.25">
      <c r="A513" t="s">
        <v>517</v>
      </c>
      <c r="B513">
        <v>0.99999676499088797</v>
      </c>
      <c r="C513">
        <v>0.86436428105422403</v>
      </c>
      <c r="D513">
        <v>0.85714209139081698</v>
      </c>
      <c r="E513">
        <v>0.748694298730045</v>
      </c>
      <c r="F513">
        <v>0.66750734510321696</v>
      </c>
      <c r="G513">
        <v>0.54866348391675601</v>
      </c>
      <c r="H513">
        <v>0.27298780523945299</v>
      </c>
      <c r="I513">
        <v>0.179667405066853</v>
      </c>
      <c r="J513">
        <v>0.16653403614315701</v>
      </c>
      <c r="K513">
        <v>0.15180731370001799</v>
      </c>
      <c r="L513">
        <v>526.00598610044506</v>
      </c>
      <c r="M513">
        <v>9.3897782316241702</v>
      </c>
      <c r="N513">
        <v>56.018999929307199</v>
      </c>
      <c r="O513">
        <v>53.654395456634802</v>
      </c>
      <c r="P513">
        <v>-4.3778270097975497E-2</v>
      </c>
      <c r="Q513">
        <v>0</v>
      </c>
      <c r="R513">
        <v>0.97583142544551604</v>
      </c>
      <c r="S513" t="s">
        <v>7516</v>
      </c>
      <c r="T513" t="s">
        <v>14004</v>
      </c>
      <c r="U513" t="s">
        <v>14004</v>
      </c>
      <c r="V513" t="s">
        <v>14004</v>
      </c>
      <c r="W513" t="s">
        <v>14512</v>
      </c>
      <c r="X513">
        <v>1</v>
      </c>
      <c r="Y513" t="s">
        <v>21450</v>
      </c>
      <c r="Z513" t="s">
        <v>28223</v>
      </c>
      <c r="AA513">
        <v>0.55483972787584912</v>
      </c>
      <c r="AB513" t="str">
        <f>HYPERLINK("Melting_Curves/meltCurve_E7EV46_PGBD3.pdf", "Melting_Curves/meltCurve_E7EV46_PGBD3.pdf")</f>
        <v>Melting_Curves/meltCurve_E7EV46_PGBD3.pdf</v>
      </c>
    </row>
    <row r="514" spans="1:28" x14ac:dyDescent="0.25">
      <c r="A514" t="s">
        <v>518</v>
      </c>
      <c r="B514">
        <v>0.99999676499088797</v>
      </c>
      <c r="C514">
        <v>0.94754662826628699</v>
      </c>
      <c r="D514">
        <v>0.99731909956790299</v>
      </c>
      <c r="E514">
        <v>1.0379377781352701</v>
      </c>
      <c r="F514">
        <v>0.98317973317100604</v>
      </c>
      <c r="G514">
        <v>0.863862917278167</v>
      </c>
      <c r="H514">
        <v>0.60656067267047298</v>
      </c>
      <c r="I514">
        <v>0.63260863087046404</v>
      </c>
      <c r="J514">
        <v>0.59774619562924303</v>
      </c>
      <c r="K514">
        <v>0.78988379016948096</v>
      </c>
      <c r="L514">
        <v>14223.8471272479</v>
      </c>
      <c r="M514">
        <v>250</v>
      </c>
      <c r="O514">
        <v>56.8917476087951</v>
      </c>
      <c r="P514">
        <v>-0.37714189489656202</v>
      </c>
      <c r="Q514">
        <v>0.65669981661253896</v>
      </c>
      <c r="R514">
        <v>0.89738402156840802</v>
      </c>
      <c r="S514" t="s">
        <v>7517</v>
      </c>
      <c r="T514" t="s">
        <v>14004</v>
      </c>
      <c r="U514" t="s">
        <v>14004</v>
      </c>
      <c r="V514" t="s">
        <v>14004</v>
      </c>
      <c r="W514" t="s">
        <v>14513</v>
      </c>
      <c r="X514">
        <v>84</v>
      </c>
      <c r="Y514" t="s">
        <v>21451</v>
      </c>
      <c r="Z514" t="s">
        <v>28224</v>
      </c>
      <c r="AA514">
        <v>0.85007376109946875</v>
      </c>
      <c r="AB514" t="str">
        <f>HYPERLINK("Melting_Curves/meltCurve_E7EVA0_MAP4.pdf", "Melting_Curves/meltCurve_E7EVA0_MAP4.pdf")</f>
        <v>Melting_Curves/meltCurve_E7EVA0_MAP4.pdf</v>
      </c>
    </row>
    <row r="515" spans="1:28" x14ac:dyDescent="0.25">
      <c r="A515" t="s">
        <v>519</v>
      </c>
      <c r="B515">
        <v>0.99999676499088797</v>
      </c>
      <c r="C515">
        <v>1.2123769981003201</v>
      </c>
      <c r="D515">
        <v>1.1836854103972201</v>
      </c>
      <c r="E515">
        <v>1.08994340702723</v>
      </c>
      <c r="F515">
        <v>0.80670905922295599</v>
      </c>
      <c r="G515">
        <v>0.46732698860674998</v>
      </c>
      <c r="H515">
        <v>0.25027156712861598</v>
      </c>
      <c r="I515">
        <v>0.24974473853892301</v>
      </c>
      <c r="J515">
        <v>0.18800819704277999</v>
      </c>
      <c r="K515">
        <v>0.156066360939147</v>
      </c>
      <c r="L515">
        <v>1747.5475763383899</v>
      </c>
      <c r="M515">
        <v>31.4701824164597</v>
      </c>
      <c r="N515">
        <v>56.412402631699898</v>
      </c>
      <c r="O515">
        <v>55.307483404623</v>
      </c>
      <c r="P515">
        <v>-0.114607681916143</v>
      </c>
      <c r="Q515">
        <v>0.194332183938217</v>
      </c>
      <c r="R515">
        <v>0.94541971893882704</v>
      </c>
      <c r="S515" t="s">
        <v>7518</v>
      </c>
      <c r="T515" t="s">
        <v>14004</v>
      </c>
      <c r="U515" t="s">
        <v>14004</v>
      </c>
      <c r="V515" t="s">
        <v>14004</v>
      </c>
      <c r="W515" t="s">
        <v>14514</v>
      </c>
      <c r="X515">
        <v>17</v>
      </c>
      <c r="Y515" t="s">
        <v>21452</v>
      </c>
      <c r="Z515" t="s">
        <v>28225</v>
      </c>
      <c r="AA515">
        <v>0.61630923511575963</v>
      </c>
      <c r="AB515" t="str">
        <f>HYPERLINK("Melting_Curves/meltCurve_E7EVC7_ATG16L1.pdf", "Melting_Curves/meltCurve_E7EVC7_ATG16L1.pdf")</f>
        <v>Melting_Curves/meltCurve_E7EVC7_ATG16L1.pdf</v>
      </c>
    </row>
    <row r="516" spans="1:28" x14ac:dyDescent="0.25">
      <c r="A516" t="s">
        <v>520</v>
      </c>
      <c r="B516">
        <v>0.99999676499088797</v>
      </c>
      <c r="C516">
        <v>0.97812277548874504</v>
      </c>
      <c r="D516">
        <v>1.1336760069805401</v>
      </c>
      <c r="E516">
        <v>1.16149353581361</v>
      </c>
      <c r="F516">
        <v>1.05990551565962</v>
      </c>
      <c r="G516">
        <v>0.667668440604689</v>
      </c>
      <c r="H516">
        <v>0.22793341552979901</v>
      </c>
      <c r="I516">
        <v>0.20075443661432499</v>
      </c>
      <c r="J516">
        <v>0.21045150468663301</v>
      </c>
      <c r="K516">
        <v>0.18592171108462999</v>
      </c>
      <c r="L516">
        <v>11766.427867557701</v>
      </c>
      <c r="M516">
        <v>206.82727883380699</v>
      </c>
      <c r="N516">
        <v>57.036806299284898</v>
      </c>
      <c r="O516">
        <v>56.884776600240997</v>
      </c>
      <c r="P516">
        <v>-0.721484818103313</v>
      </c>
      <c r="Q516">
        <v>0.20626490527090799</v>
      </c>
      <c r="R516">
        <v>0.97072446711125504</v>
      </c>
      <c r="S516" t="s">
        <v>7519</v>
      </c>
      <c r="T516" t="s">
        <v>14004</v>
      </c>
      <c r="U516" t="s">
        <v>14004</v>
      </c>
      <c r="V516" t="s">
        <v>14004</v>
      </c>
      <c r="W516" t="s">
        <v>14515</v>
      </c>
      <c r="X516">
        <v>5</v>
      </c>
      <c r="Y516" t="s">
        <v>21453</v>
      </c>
      <c r="Z516" t="s">
        <v>28226</v>
      </c>
      <c r="AA516">
        <v>0.6532566267185459</v>
      </c>
      <c r="AB516" t="str">
        <f>HYPERLINK("Melting_Curves/meltCurve_E7EVH9_HDHD1.pdf", "Melting_Curves/meltCurve_E7EVH9_HDHD1.pdf")</f>
        <v>Melting_Curves/meltCurve_E7EVH9_HDHD1.pdf</v>
      </c>
    </row>
    <row r="517" spans="1:28" x14ac:dyDescent="0.25">
      <c r="A517" t="s">
        <v>521</v>
      </c>
      <c r="B517">
        <v>0.99999676499088797</v>
      </c>
      <c r="C517">
        <v>1.17426445191088</v>
      </c>
      <c r="D517">
        <v>1.23948982933931</v>
      </c>
      <c r="E517">
        <v>1.1570123912655501</v>
      </c>
      <c r="F517">
        <v>0.34465528062675699</v>
      </c>
      <c r="G517">
        <v>0.23377497254719501</v>
      </c>
      <c r="H517">
        <v>0.10870775301575</v>
      </c>
      <c r="I517">
        <v>0.11684993482159001</v>
      </c>
      <c r="J517">
        <v>0.11296610685134301</v>
      </c>
      <c r="K517">
        <v>7.7457541886952003E-2</v>
      </c>
      <c r="L517">
        <v>13240.634093847801</v>
      </c>
      <c r="M517">
        <v>250</v>
      </c>
      <c r="N517">
        <v>53.026350107665003</v>
      </c>
      <c r="O517">
        <v>52.959124861434198</v>
      </c>
      <c r="P517">
        <v>-1.02679234934082</v>
      </c>
      <c r="Q517">
        <v>0.12995124509643999</v>
      </c>
      <c r="R517">
        <v>0.94658871745585604</v>
      </c>
      <c r="S517" t="s">
        <v>7520</v>
      </c>
      <c r="T517" t="s">
        <v>14004</v>
      </c>
      <c r="U517" t="s">
        <v>14004</v>
      </c>
      <c r="V517" t="s">
        <v>14004</v>
      </c>
      <c r="W517" t="s">
        <v>14516</v>
      </c>
      <c r="X517">
        <v>20</v>
      </c>
      <c r="Y517" t="s">
        <v>21454</v>
      </c>
      <c r="Z517" t="s">
        <v>28227</v>
      </c>
      <c r="AA517">
        <v>0.50596673588638175</v>
      </c>
      <c r="AB517" t="str">
        <f>HYPERLINK("Melting_Curves/meltCurve_E7EVJ5_CYFIP2.pdf", "Melting_Curves/meltCurve_E7EVJ5_CYFIP2.pdf")</f>
        <v>Melting_Curves/meltCurve_E7EVJ5_CYFIP2.pdf</v>
      </c>
    </row>
    <row r="518" spans="1:28" x14ac:dyDescent="0.25">
      <c r="A518" t="s">
        <v>522</v>
      </c>
      <c r="B518">
        <v>0.99999676499088797</v>
      </c>
      <c r="C518">
        <v>1.0645852966156999</v>
      </c>
      <c r="D518">
        <v>1.0760417293625</v>
      </c>
      <c r="E518">
        <v>0.99957853085314996</v>
      </c>
      <c r="F518">
        <v>0.60292155311693896</v>
      </c>
      <c r="G518">
        <v>0.55716513327155703</v>
      </c>
      <c r="H518">
        <v>0.17516241173373201</v>
      </c>
      <c r="I518">
        <v>0.32771529830461399</v>
      </c>
      <c r="J518">
        <v>0.28113038389359102</v>
      </c>
      <c r="K518">
        <v>0.19505937375285101</v>
      </c>
      <c r="L518">
        <v>1259.23427495531</v>
      </c>
      <c r="M518">
        <v>23.1925802561274</v>
      </c>
      <c r="N518">
        <v>55.841877577523697</v>
      </c>
      <c r="O518">
        <v>53.895906136614599</v>
      </c>
      <c r="P518">
        <v>-8.2081792521542296E-2</v>
      </c>
      <c r="Q518">
        <v>0.23703350303778001</v>
      </c>
      <c r="R518">
        <v>0.94868750964954396</v>
      </c>
      <c r="S518" t="s">
        <v>7521</v>
      </c>
      <c r="T518" t="s">
        <v>14004</v>
      </c>
      <c r="U518" t="s">
        <v>14004</v>
      </c>
      <c r="V518" t="s">
        <v>14004</v>
      </c>
      <c r="W518" t="s">
        <v>14517</v>
      </c>
      <c r="X518">
        <v>2</v>
      </c>
      <c r="Y518" t="s">
        <v>21455</v>
      </c>
      <c r="Z518" t="s">
        <v>28228</v>
      </c>
      <c r="AA518">
        <v>0.60864752154697621</v>
      </c>
      <c r="AB518" t="str">
        <f>HYPERLINK("Melting_Curves/meltCurve_E7EVK2_MTG1.pdf", "Melting_Curves/meltCurve_E7EVK2_MTG1.pdf")</f>
        <v>Melting_Curves/meltCurve_E7EVK2_MTG1.pdf</v>
      </c>
    </row>
    <row r="519" spans="1:28" x14ac:dyDescent="0.25">
      <c r="A519" t="s">
        <v>523</v>
      </c>
      <c r="B519">
        <v>0.99999676499088797</v>
      </c>
      <c r="C519">
        <v>1.0880021031590199</v>
      </c>
      <c r="D519">
        <v>0.96646541874606595</v>
      </c>
      <c r="E519">
        <v>0.62275356508528801</v>
      </c>
      <c r="F519">
        <v>0.55281066746481999</v>
      </c>
      <c r="G519">
        <v>0.42160573559754999</v>
      </c>
      <c r="H519">
        <v>0.30442673077871801</v>
      </c>
      <c r="I519">
        <v>0.36947944017266998</v>
      </c>
      <c r="J519">
        <v>0.40202894701105202</v>
      </c>
      <c r="K519">
        <v>0.41659325176052803</v>
      </c>
      <c r="L519">
        <v>1298.1002624021901</v>
      </c>
      <c r="M519">
        <v>26.2270228373132</v>
      </c>
      <c r="N519">
        <v>52.457629800992699</v>
      </c>
      <c r="O519">
        <v>49.2097012054655</v>
      </c>
      <c r="P519">
        <v>-8.1766621708032797E-2</v>
      </c>
      <c r="Q519">
        <v>0.38633274628502101</v>
      </c>
      <c r="R519">
        <v>0.96018590572377505</v>
      </c>
      <c r="S519" t="s">
        <v>7522</v>
      </c>
      <c r="T519" t="s">
        <v>14004</v>
      </c>
      <c r="U519" t="s">
        <v>14004</v>
      </c>
      <c r="V519" t="s">
        <v>14004</v>
      </c>
      <c r="W519" t="s">
        <v>14518</v>
      </c>
      <c r="X519">
        <v>9</v>
      </c>
      <c r="Y519" t="s">
        <v>21456</v>
      </c>
      <c r="Z519" t="s">
        <v>28229</v>
      </c>
      <c r="AA519">
        <v>0.58550477706232751</v>
      </c>
      <c r="AB519" t="str">
        <f>HYPERLINK("Melting_Curves/meltCurve_E7EVM2_TAL1.pdf", "Melting_Curves/meltCurve_E7EVM2_TAL1.pdf")</f>
        <v>Melting_Curves/meltCurve_E7EVM2_TAL1.pdf</v>
      </c>
    </row>
    <row r="520" spans="1:28" x14ac:dyDescent="0.25">
      <c r="A520" t="s">
        <v>524</v>
      </c>
      <c r="B520">
        <v>0.99999676499088797</v>
      </c>
      <c r="C520">
        <v>1.88470966488794</v>
      </c>
      <c r="D520">
        <v>1.6570707976352499</v>
      </c>
      <c r="E520">
        <v>1.1446164968455399</v>
      </c>
      <c r="F520">
        <v>0.715532173454278</v>
      </c>
      <c r="G520">
        <v>0.69952862004189997</v>
      </c>
      <c r="H520">
        <v>0</v>
      </c>
      <c r="I520">
        <v>0.17119057420839501</v>
      </c>
      <c r="J520">
        <v>0.39857793164710398</v>
      </c>
      <c r="K520">
        <v>0</v>
      </c>
      <c r="L520">
        <v>14235.066473585701</v>
      </c>
      <c r="M520">
        <v>250</v>
      </c>
      <c r="N520">
        <v>57.016739560516697</v>
      </c>
      <c r="O520">
        <v>56.936617902445597</v>
      </c>
      <c r="P520">
        <v>-0.94135138790752204</v>
      </c>
      <c r="Q520">
        <v>0.14244210922178899</v>
      </c>
      <c r="R520">
        <v>0.63625292302541603</v>
      </c>
      <c r="S520" t="s">
        <v>7523</v>
      </c>
      <c r="T520" t="s">
        <v>14004</v>
      </c>
      <c r="U520" t="s">
        <v>14004</v>
      </c>
      <c r="V520" t="s">
        <v>14004</v>
      </c>
      <c r="W520" t="s">
        <v>14519</v>
      </c>
      <c r="X520">
        <v>1</v>
      </c>
      <c r="Y520" t="s">
        <v>21457</v>
      </c>
      <c r="Z520" t="s">
        <v>28230</v>
      </c>
      <c r="AA520">
        <v>0.62676976068392187</v>
      </c>
      <c r="AB520" t="str">
        <f>HYPERLINK("Melting_Curves/meltCurve_E7EVT1_DDR1.pdf", "Melting_Curves/meltCurve_E7EVT1_DDR1.pdf")</f>
        <v>Melting_Curves/meltCurve_E7EVT1_DDR1.pdf</v>
      </c>
    </row>
    <row r="521" spans="1:28" x14ac:dyDescent="0.25">
      <c r="A521" t="s">
        <v>525</v>
      </c>
      <c r="B521">
        <v>0.99999676499088797</v>
      </c>
      <c r="C521">
        <v>0.93882694412419698</v>
      </c>
      <c r="D521">
        <v>0.74903894594179199</v>
      </c>
      <c r="E521">
        <v>0.45649894886294701</v>
      </c>
      <c r="F521">
        <v>0.41535387710126798</v>
      </c>
      <c r="G521">
        <v>0.35666772522314799</v>
      </c>
      <c r="H521">
        <v>0.30613379963669202</v>
      </c>
      <c r="I521">
        <v>0.52409117200338096</v>
      </c>
      <c r="J521">
        <v>0.68992683055871395</v>
      </c>
      <c r="K521">
        <v>0.70551518845175398</v>
      </c>
      <c r="L521">
        <v>2371.9410726041201</v>
      </c>
      <c r="M521">
        <v>51.613150909759099</v>
      </c>
      <c r="N521">
        <v>50.0181747528475</v>
      </c>
      <c r="O521">
        <v>45.887305549513002</v>
      </c>
      <c r="P521">
        <v>-0.14272384362792001</v>
      </c>
      <c r="Q521">
        <v>0.49243884825943801</v>
      </c>
      <c r="R521">
        <v>0.71313181938969805</v>
      </c>
      <c r="S521" t="s">
        <v>7524</v>
      </c>
      <c r="T521" t="s">
        <v>14004</v>
      </c>
      <c r="U521" t="s">
        <v>14004</v>
      </c>
      <c r="V521" t="s">
        <v>14004</v>
      </c>
      <c r="W521" t="s">
        <v>14520</v>
      </c>
      <c r="X521">
        <v>4</v>
      </c>
      <c r="Y521" t="s">
        <v>21458</v>
      </c>
      <c r="Z521" t="s">
        <v>28231</v>
      </c>
      <c r="AA521">
        <v>0.59417931463968443</v>
      </c>
      <c r="AB521" t="str">
        <f>HYPERLINK("Melting_Curves/meltCurve_E7EVZ3_RAI1.pdf", "Melting_Curves/meltCurve_E7EVZ3_RAI1.pdf")</f>
        <v>Melting_Curves/meltCurve_E7EVZ3_RAI1.pdf</v>
      </c>
    </row>
    <row r="522" spans="1:28" x14ac:dyDescent="0.25">
      <c r="A522" t="s">
        <v>526</v>
      </c>
      <c r="B522">
        <v>0.99999676499088797</v>
      </c>
      <c r="C522">
        <v>0.96532216823969597</v>
      </c>
      <c r="D522">
        <v>0.870720400525134</v>
      </c>
      <c r="E522">
        <v>0.84196660494501396</v>
      </c>
      <c r="F522">
        <v>0.73291845789100296</v>
      </c>
      <c r="G522">
        <v>0.54187128154827502</v>
      </c>
      <c r="H522">
        <v>0.444296525620341</v>
      </c>
      <c r="I522">
        <v>0.29028411100919599</v>
      </c>
      <c r="J522">
        <v>0.168684212941275</v>
      </c>
      <c r="K522">
        <v>0.10344569230688699</v>
      </c>
      <c r="L522">
        <v>588.56990791030898</v>
      </c>
      <c r="M522">
        <v>10.1423588204906</v>
      </c>
      <c r="N522">
        <v>58.030869314550401</v>
      </c>
      <c r="O522">
        <v>55.910454795301099</v>
      </c>
      <c r="P522">
        <v>-4.5371790373560802E-2</v>
      </c>
      <c r="Q522">
        <v>0</v>
      </c>
      <c r="R522">
        <v>0.98851493666273105</v>
      </c>
      <c r="S522" t="s">
        <v>7525</v>
      </c>
      <c r="T522" t="s">
        <v>14004</v>
      </c>
      <c r="U522" t="s">
        <v>14004</v>
      </c>
      <c r="V522" t="s">
        <v>14004</v>
      </c>
      <c r="W522" t="s">
        <v>14521</v>
      </c>
      <c r="X522">
        <v>2</v>
      </c>
      <c r="Y522" t="s">
        <v>21459</v>
      </c>
      <c r="Z522" t="s">
        <v>28232</v>
      </c>
      <c r="AA522">
        <v>0.61104759979988665</v>
      </c>
      <c r="AB522" t="str">
        <f>HYPERLINK("Melting_Curves/meltCurve_E7EW26_RNF145.pdf", "Melting_Curves/meltCurve_E7EW26_RNF145.pdf")</f>
        <v>Melting_Curves/meltCurve_E7EW26_RNF145.pdf</v>
      </c>
    </row>
    <row r="523" spans="1:28" x14ac:dyDescent="0.25">
      <c r="A523" t="s">
        <v>527</v>
      </c>
      <c r="B523">
        <v>0.99999676499088797</v>
      </c>
      <c r="C523">
        <v>1.0715036480686499</v>
      </c>
      <c r="D523">
        <v>0.84745832360025197</v>
      </c>
      <c r="E523">
        <v>0.87183495518161103</v>
      </c>
      <c r="F523">
        <v>0.61856693618788205</v>
      </c>
      <c r="G523">
        <v>0.44587424602937598</v>
      </c>
      <c r="H523">
        <v>0.172763293903097</v>
      </c>
      <c r="I523">
        <v>0.149417015218889</v>
      </c>
      <c r="J523">
        <v>0.17391681761392699</v>
      </c>
      <c r="K523">
        <v>0.122792521625225</v>
      </c>
      <c r="L523">
        <v>871.95661497083097</v>
      </c>
      <c r="M523">
        <v>16.018478971627601</v>
      </c>
      <c r="N523">
        <v>55.136239685894999</v>
      </c>
      <c r="O523">
        <v>53.607251543769401</v>
      </c>
      <c r="P523">
        <v>-6.7818786075730997E-2</v>
      </c>
      <c r="Q523">
        <v>9.2224700237947196E-2</v>
      </c>
      <c r="R523">
        <v>0.97912038716401195</v>
      </c>
      <c r="S523" t="s">
        <v>7526</v>
      </c>
      <c r="T523" t="s">
        <v>14004</v>
      </c>
      <c r="U523" t="s">
        <v>14004</v>
      </c>
      <c r="V523" t="s">
        <v>14004</v>
      </c>
      <c r="W523" t="s">
        <v>14522</v>
      </c>
      <c r="X523">
        <v>9</v>
      </c>
      <c r="Y523" t="s">
        <v>21460</v>
      </c>
      <c r="Z523" t="s">
        <v>28233</v>
      </c>
      <c r="AA523">
        <v>0.54577240699411311</v>
      </c>
      <c r="AB523" t="str">
        <f>HYPERLINK("Melting_Curves/meltCurve_E7EW32_MON1B.pdf", "Melting_Curves/meltCurve_E7EW32_MON1B.pdf")</f>
        <v>Melting_Curves/meltCurve_E7EW32_MON1B.pdf</v>
      </c>
    </row>
    <row r="524" spans="1:28" x14ac:dyDescent="0.25">
      <c r="A524" t="s">
        <v>528</v>
      </c>
      <c r="B524">
        <v>0.99999676499088797</v>
      </c>
      <c r="C524">
        <v>1.0227771373900001</v>
      </c>
      <c r="D524">
        <v>1.0359826112625501</v>
      </c>
      <c r="E524">
        <v>0.93139052744600603</v>
      </c>
      <c r="F524">
        <v>0.39922464323335299</v>
      </c>
      <c r="G524">
        <v>0.26972143471798399</v>
      </c>
      <c r="H524">
        <v>0.13592711581782399</v>
      </c>
      <c r="I524">
        <v>0.123535394020253</v>
      </c>
      <c r="J524">
        <v>0.15374368232559299</v>
      </c>
      <c r="K524">
        <v>0.14638819993201899</v>
      </c>
      <c r="L524">
        <v>2134.6290011824399</v>
      </c>
      <c r="M524">
        <v>40.902582900601502</v>
      </c>
      <c r="N524">
        <v>52.670303692016503</v>
      </c>
      <c r="O524">
        <v>52.063840259271103</v>
      </c>
      <c r="P524">
        <v>-0.16573415882203399</v>
      </c>
      <c r="Q524">
        <v>0.15616667472916501</v>
      </c>
      <c r="R524">
        <v>0.99249846601158298</v>
      </c>
      <c r="S524" t="s">
        <v>7527</v>
      </c>
      <c r="T524" t="s">
        <v>14004</v>
      </c>
      <c r="U524" t="s">
        <v>14004</v>
      </c>
      <c r="V524" t="s">
        <v>14004</v>
      </c>
      <c r="W524" t="s">
        <v>14523</v>
      </c>
      <c r="X524">
        <v>8</v>
      </c>
      <c r="Y524" t="s">
        <v>21461</v>
      </c>
      <c r="Z524" t="s">
        <v>28234</v>
      </c>
      <c r="AA524">
        <v>0.50190033987488503</v>
      </c>
      <c r="AB524" t="str">
        <f>HYPERLINK("Melting_Curves/meltCurve_E7EW77_ABI2.pdf", "Melting_Curves/meltCurve_E7EW77_ABI2.pdf")</f>
        <v>Melting_Curves/meltCurve_E7EW77_ABI2.pdf</v>
      </c>
    </row>
    <row r="525" spans="1:28" x14ac:dyDescent="0.25">
      <c r="A525" t="s">
        <v>529</v>
      </c>
      <c r="B525">
        <v>0.99999676499088797</v>
      </c>
      <c r="C525">
        <v>0.97175377759586101</v>
      </c>
      <c r="D525">
        <v>0.60599237746089796</v>
      </c>
      <c r="E525">
        <v>0.29734375371140498</v>
      </c>
      <c r="F525">
        <v>0.93740882076621401</v>
      </c>
      <c r="G525">
        <v>0.23774217338866399</v>
      </c>
      <c r="H525">
        <v>0.13083956791969201</v>
      </c>
      <c r="I525">
        <v>0.117368329771323</v>
      </c>
      <c r="J525">
        <v>9.6009835347411004E-2</v>
      </c>
      <c r="K525">
        <v>7.9634402557070202E-2</v>
      </c>
      <c r="L525">
        <v>451.996004435288</v>
      </c>
      <c r="M525">
        <v>8.7238266429826403</v>
      </c>
      <c r="N525">
        <v>51.811662751548397</v>
      </c>
      <c r="O525">
        <v>49.305313545774403</v>
      </c>
      <c r="P525">
        <v>-4.4269844265004799E-2</v>
      </c>
      <c r="Q525">
        <v>0</v>
      </c>
      <c r="R525">
        <v>0.71882935069696996</v>
      </c>
      <c r="S525" t="s">
        <v>7528</v>
      </c>
      <c r="T525" t="s">
        <v>14004</v>
      </c>
      <c r="U525" t="s">
        <v>14004</v>
      </c>
      <c r="V525" t="s">
        <v>14004</v>
      </c>
      <c r="W525" t="s">
        <v>14524</v>
      </c>
      <c r="X525">
        <v>4</v>
      </c>
      <c r="Y525" t="s">
        <v>21462</v>
      </c>
      <c r="Z525" t="s">
        <v>28235</v>
      </c>
      <c r="AA525">
        <v>0.43828713696819438</v>
      </c>
      <c r="AB525" t="str">
        <f>HYPERLINK("Melting_Curves/meltCurve_E7EW84_EXOC6.pdf", "Melting_Curves/meltCurve_E7EW84_EXOC6.pdf")</f>
        <v>Melting_Curves/meltCurve_E7EW84_EXOC6.pdf</v>
      </c>
    </row>
    <row r="526" spans="1:28" x14ac:dyDescent="0.25">
      <c r="A526" t="s">
        <v>530</v>
      </c>
      <c r="B526">
        <v>0.99999676499088797</v>
      </c>
      <c r="C526">
        <v>0.94459771951225502</v>
      </c>
      <c r="D526">
        <v>0.88023694656408402</v>
      </c>
      <c r="E526">
        <v>0.943959361129867</v>
      </c>
      <c r="F526">
        <v>0.88315131408908598</v>
      </c>
      <c r="G526">
        <v>0.55259891629333002</v>
      </c>
      <c r="H526">
        <v>0.174202131270454</v>
      </c>
      <c r="I526">
        <v>0.10232540968646101</v>
      </c>
      <c r="J526">
        <v>7.8334159211494198E-2</v>
      </c>
      <c r="K526">
        <v>8.4070828953714705E-2</v>
      </c>
      <c r="L526">
        <v>1626.6681388709601</v>
      </c>
      <c r="M526">
        <v>28.6114360266583</v>
      </c>
      <c r="N526">
        <v>57.141138500675602</v>
      </c>
      <c r="O526">
        <v>56.578211566599101</v>
      </c>
      <c r="P526">
        <v>-0.117953742167207</v>
      </c>
      <c r="Q526">
        <v>6.7008138942145398E-2</v>
      </c>
      <c r="R526">
        <v>0.98704401964503496</v>
      </c>
      <c r="S526" t="s">
        <v>7529</v>
      </c>
      <c r="T526" t="s">
        <v>14004</v>
      </c>
      <c r="U526" t="s">
        <v>14004</v>
      </c>
      <c r="V526" t="s">
        <v>14004</v>
      </c>
      <c r="W526" t="s">
        <v>14525</v>
      </c>
      <c r="X526">
        <v>8</v>
      </c>
      <c r="Y526" t="s">
        <v>21463</v>
      </c>
      <c r="Z526" t="s">
        <v>28236</v>
      </c>
      <c r="AA526">
        <v>0.59791002079843913</v>
      </c>
      <c r="AB526" t="str">
        <f>HYPERLINK("Melting_Curves/meltCurve_E7EWM3_ZMIZ2.pdf", "Melting_Curves/meltCurve_E7EWM3_ZMIZ2.pdf")</f>
        <v>Melting_Curves/meltCurve_E7EWM3_ZMIZ2.pdf</v>
      </c>
    </row>
    <row r="527" spans="1:28" x14ac:dyDescent="0.25">
      <c r="A527" t="s">
        <v>531</v>
      </c>
      <c r="B527">
        <v>0.99999676499088797</v>
      </c>
      <c r="C527">
        <v>1.0179854462486</v>
      </c>
      <c r="D527">
        <v>0.97456073588405301</v>
      </c>
      <c r="E527">
        <v>0.81188757865082095</v>
      </c>
      <c r="F527">
        <v>0.28967018508296</v>
      </c>
      <c r="G527">
        <v>0.27247299765066002</v>
      </c>
      <c r="H527">
        <v>0.10342534002743101</v>
      </c>
      <c r="I527">
        <v>0.123531868946693</v>
      </c>
      <c r="J527">
        <v>0.122270311643977</v>
      </c>
      <c r="K527">
        <v>0.119896778710653</v>
      </c>
      <c r="L527">
        <v>1796.4926662964799</v>
      </c>
      <c r="M527">
        <v>35.048087648313299</v>
      </c>
      <c r="N527">
        <v>51.728726269733301</v>
      </c>
      <c r="O527">
        <v>51.091923575398397</v>
      </c>
      <c r="P527">
        <v>-0.148076872321212</v>
      </c>
      <c r="Q527">
        <v>0.13655709304315899</v>
      </c>
      <c r="R527">
        <v>0.98964627925821202</v>
      </c>
      <c r="S527" t="s">
        <v>7530</v>
      </c>
      <c r="T527" t="s">
        <v>14004</v>
      </c>
      <c r="U527" t="s">
        <v>14004</v>
      </c>
      <c r="V527" t="s">
        <v>14004</v>
      </c>
      <c r="W527" t="s">
        <v>14526</v>
      </c>
      <c r="X527">
        <v>11</v>
      </c>
      <c r="Y527" t="s">
        <v>21464</v>
      </c>
      <c r="Z527" t="s">
        <v>28237</v>
      </c>
      <c r="AA527">
        <v>0.46456749061555541</v>
      </c>
      <c r="AB527" t="str">
        <f>HYPERLINK("Melting_Curves/meltCurve_E7EWW0_C16orf62.pdf", "Melting_Curves/meltCurve_E7EWW0_C16orf62.pdf")</f>
        <v>Melting_Curves/meltCurve_E7EWW0_C16orf62.pdf</v>
      </c>
    </row>
    <row r="528" spans="1:28" x14ac:dyDescent="0.25">
      <c r="A528" t="s">
        <v>532</v>
      </c>
      <c r="B528">
        <v>0.99999676499088797</v>
      </c>
      <c r="C528">
        <v>0.83833787150260097</v>
      </c>
      <c r="D528">
        <v>0.53290586934651996</v>
      </c>
      <c r="E528">
        <v>0.24466344320042799</v>
      </c>
      <c r="F528">
        <v>0.183612357424354</v>
      </c>
      <c r="G528">
        <v>0.121712002572562</v>
      </c>
      <c r="H528">
        <v>7.1892754696528602E-2</v>
      </c>
      <c r="I528">
        <v>8.8751720279167098E-2</v>
      </c>
      <c r="J528">
        <v>7.8002115728257895E-2</v>
      </c>
      <c r="K528">
        <v>6.0448037058344103E-2</v>
      </c>
      <c r="L528">
        <v>952.10362389330896</v>
      </c>
      <c r="M528">
        <v>20.6793157396914</v>
      </c>
      <c r="N528">
        <v>46.457651608087403</v>
      </c>
      <c r="O528">
        <v>45.6172833684479</v>
      </c>
      <c r="P528">
        <v>-0.103748832515432</v>
      </c>
      <c r="Q528">
        <v>8.4572213519088904E-2</v>
      </c>
      <c r="R528">
        <v>0.99512961480574103</v>
      </c>
      <c r="S528" t="s">
        <v>7531</v>
      </c>
      <c r="T528" t="s">
        <v>14004</v>
      </c>
      <c r="U528" t="s">
        <v>14004</v>
      </c>
      <c r="V528" t="s">
        <v>14004</v>
      </c>
      <c r="W528" t="s">
        <v>14527</v>
      </c>
      <c r="X528">
        <v>11</v>
      </c>
      <c r="Y528" t="s">
        <v>21465</v>
      </c>
      <c r="Z528" t="s">
        <v>28238</v>
      </c>
      <c r="AA528">
        <v>0.28199017893867179</v>
      </c>
      <c r="AB528" t="str">
        <f>HYPERLINK("Melting_Curves/meltCurve_E7EX01_MPP2.pdf", "Melting_Curves/meltCurve_E7EX01_MPP2.pdf")</f>
        <v>Melting_Curves/meltCurve_E7EX01_MPP2.pdf</v>
      </c>
    </row>
    <row r="529" spans="1:28" x14ac:dyDescent="0.25">
      <c r="A529" t="s">
        <v>533</v>
      </c>
      <c r="B529">
        <v>0.99999676499088797</v>
      </c>
      <c r="C529">
        <v>1.0935871742899499</v>
      </c>
      <c r="D529">
        <v>1.0125692304590399</v>
      </c>
      <c r="E529">
        <v>0.86900608465073903</v>
      </c>
      <c r="F529">
        <v>0.74475018631574097</v>
      </c>
      <c r="G529">
        <v>0.70167157583264295</v>
      </c>
      <c r="H529">
        <v>0.48331974937355299</v>
      </c>
      <c r="I529">
        <v>0.57117283383919004</v>
      </c>
      <c r="J529">
        <v>0.51250759242923905</v>
      </c>
      <c r="K529">
        <v>0.56833756877561104</v>
      </c>
      <c r="L529">
        <v>1016.24023840243</v>
      </c>
      <c r="M529">
        <v>19.144362468876899</v>
      </c>
      <c r="O529">
        <v>52.5139827808975</v>
      </c>
      <c r="P529">
        <v>-4.2966257609783898E-2</v>
      </c>
      <c r="Q529">
        <v>0.52858350075919702</v>
      </c>
      <c r="R529">
        <v>0.94226534102221404</v>
      </c>
      <c r="S529" t="s">
        <v>7532</v>
      </c>
      <c r="T529" t="s">
        <v>14004</v>
      </c>
      <c r="U529" t="s">
        <v>14004</v>
      </c>
      <c r="V529" t="s">
        <v>14004</v>
      </c>
      <c r="W529" t="s">
        <v>14528</v>
      </c>
      <c r="X529">
        <v>49</v>
      </c>
      <c r="Y529" t="s">
        <v>21466</v>
      </c>
      <c r="Z529" t="s">
        <v>28239</v>
      </c>
      <c r="AA529">
        <v>0.74114054074732771</v>
      </c>
      <c r="AB529" t="str">
        <f>HYPERLINK("Melting_Curves/meltCurve_E7EX17_EIF4B.pdf", "Melting_Curves/meltCurve_E7EX17_EIF4B.pdf")</f>
        <v>Melting_Curves/meltCurve_E7EX17_EIF4B.pdf</v>
      </c>
    </row>
    <row r="530" spans="1:28" x14ac:dyDescent="0.25">
      <c r="A530" t="s">
        <v>534</v>
      </c>
      <c r="B530">
        <v>0.99999676499088797</v>
      </c>
      <c r="C530">
        <v>0.89444755392103603</v>
      </c>
      <c r="D530">
        <v>0.75502211418677301</v>
      </c>
      <c r="E530">
        <v>0.26855275020009201</v>
      </c>
      <c r="F530">
        <v>0.207913806405714</v>
      </c>
      <c r="G530">
        <v>0.15246647754595499</v>
      </c>
      <c r="H530">
        <v>8.3652149524883201E-2</v>
      </c>
      <c r="I530">
        <v>7.4664034590391101E-2</v>
      </c>
      <c r="J530">
        <v>7.6305049982455297E-2</v>
      </c>
      <c r="K530">
        <v>6.5304757986862805E-2</v>
      </c>
      <c r="L530">
        <v>1156.4879572928601</v>
      </c>
      <c r="M530">
        <v>24.369644387392601</v>
      </c>
      <c r="N530">
        <v>47.8456778373342</v>
      </c>
      <c r="O530">
        <v>47.140002368482797</v>
      </c>
      <c r="P530">
        <v>-0.117611338719172</v>
      </c>
      <c r="Q530">
        <v>8.9996507843593102E-2</v>
      </c>
      <c r="R530">
        <v>0.98920679168577796</v>
      </c>
      <c r="S530" t="s">
        <v>7533</v>
      </c>
      <c r="T530" t="s">
        <v>14004</v>
      </c>
      <c r="U530" t="s">
        <v>14004</v>
      </c>
      <c r="V530" t="s">
        <v>14004</v>
      </c>
      <c r="W530" t="s">
        <v>14529</v>
      </c>
      <c r="X530">
        <v>55</v>
      </c>
      <c r="Y530" t="s">
        <v>21467</v>
      </c>
      <c r="Z530" t="s">
        <v>28240</v>
      </c>
      <c r="AA530">
        <v>0.32469474469954213</v>
      </c>
      <c r="AB530" t="str">
        <f>HYPERLINK("Melting_Curves/meltCurve_E7EX73_EIF4G1.pdf", "Melting_Curves/meltCurve_E7EX73_EIF4G1.pdf")</f>
        <v>Melting_Curves/meltCurve_E7EX73_EIF4G1.pdf</v>
      </c>
    </row>
    <row r="531" spans="1:28" x14ac:dyDescent="0.25">
      <c r="A531" t="s">
        <v>535</v>
      </c>
      <c r="B531">
        <v>0.99999676499088797</v>
      </c>
      <c r="C531">
        <v>0.986686257669811</v>
      </c>
      <c r="D531">
        <v>0.92415795708256798</v>
      </c>
      <c r="E531">
        <v>0.397967715050005</v>
      </c>
      <c r="F531">
        <v>0.23556332858605999</v>
      </c>
      <c r="G531">
        <v>0.15942268337812901</v>
      </c>
      <c r="H531">
        <v>9.3554376290832103E-2</v>
      </c>
      <c r="I531">
        <v>8.8849646170781504E-2</v>
      </c>
      <c r="J531">
        <v>8.1986319659739196E-2</v>
      </c>
      <c r="K531">
        <v>7.1526251547765804E-2</v>
      </c>
      <c r="L531">
        <v>1539.61305700413</v>
      </c>
      <c r="M531">
        <v>31.565387575560699</v>
      </c>
      <c r="N531">
        <v>49.144118014283499</v>
      </c>
      <c r="O531">
        <v>48.5808403856769</v>
      </c>
      <c r="P531">
        <v>-0.14530947386100301</v>
      </c>
      <c r="Q531">
        <v>0.105448069178812</v>
      </c>
      <c r="R531">
        <v>0.99168026263175801</v>
      </c>
      <c r="S531" t="s">
        <v>7534</v>
      </c>
      <c r="T531" t="s">
        <v>14004</v>
      </c>
      <c r="U531" t="s">
        <v>14004</v>
      </c>
      <c r="V531" t="s">
        <v>14004</v>
      </c>
      <c r="W531" t="s">
        <v>14530</v>
      </c>
      <c r="X531">
        <v>50</v>
      </c>
      <c r="Y531" t="s">
        <v>21468</v>
      </c>
      <c r="Z531" t="s">
        <v>28241</v>
      </c>
      <c r="AA531">
        <v>0.37200783886720978</v>
      </c>
      <c r="AB531" t="str">
        <f>HYPERLINK("Melting_Curves/meltCurve_E7EX90_DCTN1.pdf", "Melting_Curves/meltCurve_E7EX90_DCTN1.pdf")</f>
        <v>Melting_Curves/meltCurve_E7EX90_DCTN1.pdf</v>
      </c>
    </row>
    <row r="532" spans="1:28" x14ac:dyDescent="0.25">
      <c r="A532" t="s">
        <v>536</v>
      </c>
      <c r="B532">
        <v>0.99999676499088797</v>
      </c>
      <c r="C532">
        <v>0.88618439998711196</v>
      </c>
      <c r="D532">
        <v>0.519269617994358</v>
      </c>
      <c r="E532">
        <v>0.250752848688231</v>
      </c>
      <c r="F532">
        <v>0.228213203448066</v>
      </c>
      <c r="G532">
        <v>0.157554441719224</v>
      </c>
      <c r="H532">
        <v>0.115837861152167</v>
      </c>
      <c r="I532">
        <v>0.12760270430512899</v>
      </c>
      <c r="J532">
        <v>0.141134026931724</v>
      </c>
      <c r="K532">
        <v>0.110923956381554</v>
      </c>
      <c r="L532">
        <v>1162.2795364423901</v>
      </c>
      <c r="M532">
        <v>25.402707365733001</v>
      </c>
      <c r="N532">
        <v>46.356394822090898</v>
      </c>
      <c r="O532">
        <v>45.473432760396001</v>
      </c>
      <c r="P532">
        <v>-0.12003043682106</v>
      </c>
      <c r="Q532">
        <v>0.140543899854253</v>
      </c>
      <c r="R532">
        <v>0.99271314126357801</v>
      </c>
      <c r="S532" t="s">
        <v>7535</v>
      </c>
      <c r="T532" t="s">
        <v>14004</v>
      </c>
      <c r="U532" t="s">
        <v>14004</v>
      </c>
      <c r="V532" t="s">
        <v>14004</v>
      </c>
      <c r="W532" t="s">
        <v>14531</v>
      </c>
      <c r="X532">
        <v>8</v>
      </c>
      <c r="Y532" t="s">
        <v>21469</v>
      </c>
      <c r="Z532" t="s">
        <v>28242</v>
      </c>
      <c r="AA532">
        <v>0.31314886810966891</v>
      </c>
      <c r="AB532" t="str">
        <f>HYPERLINK("Melting_Curves/meltCurve_E9PAU2_RAVER1.pdf", "Melting_Curves/meltCurve_E9PAU2_RAVER1.pdf")</f>
        <v>Melting_Curves/meltCurve_E9PAU2_RAVER1.pdf</v>
      </c>
    </row>
    <row r="533" spans="1:28" x14ac:dyDescent="0.25">
      <c r="A533" t="s">
        <v>537</v>
      </c>
      <c r="B533">
        <v>0.99999676499088797</v>
      </c>
      <c r="C533">
        <v>0.87485061514571405</v>
      </c>
      <c r="D533">
        <v>0.95323074270937802</v>
      </c>
      <c r="E533">
        <v>0.92984827451896801</v>
      </c>
      <c r="F533">
        <v>0.76831124981073595</v>
      </c>
      <c r="G533">
        <v>0.88129954475781702</v>
      </c>
      <c r="H533">
        <v>0.52185555083937196</v>
      </c>
      <c r="I533">
        <v>0.59730261838392695</v>
      </c>
      <c r="J533">
        <v>0.57929979144356702</v>
      </c>
      <c r="K533">
        <v>0.65009525149848901</v>
      </c>
      <c r="L533">
        <v>630.44069284129796</v>
      </c>
      <c r="M533">
        <v>11.4452580556573</v>
      </c>
      <c r="O533">
        <v>53.482008024248003</v>
      </c>
      <c r="P533">
        <v>-2.4465454567648599E-2</v>
      </c>
      <c r="Q533">
        <v>0.54283846330868502</v>
      </c>
      <c r="R533">
        <v>0.77702562348186299</v>
      </c>
      <c r="S533" t="s">
        <v>7536</v>
      </c>
      <c r="T533" t="s">
        <v>14004</v>
      </c>
      <c r="U533" t="s">
        <v>14004</v>
      </c>
      <c r="V533" t="s">
        <v>14004</v>
      </c>
      <c r="W533" t="s">
        <v>14532</v>
      </c>
      <c r="X533">
        <v>1</v>
      </c>
      <c r="Y533" t="s">
        <v>21470</v>
      </c>
      <c r="Z533" t="s">
        <v>28243</v>
      </c>
      <c r="AA533">
        <v>0.78361805930671835</v>
      </c>
      <c r="AB533" t="str">
        <f>HYPERLINK("Melting_Curves/meltCurve_E9PB28_HES4.pdf", "Melting_Curves/meltCurve_E9PB28_HES4.pdf")</f>
        <v>Melting_Curves/meltCurve_E9PB28_HES4.pdf</v>
      </c>
    </row>
    <row r="534" spans="1:28" x14ac:dyDescent="0.25">
      <c r="A534" t="s">
        <v>538</v>
      </c>
      <c r="B534">
        <v>0.99999676499088797</v>
      </c>
      <c r="C534">
        <v>1.0303517387082599</v>
      </c>
      <c r="D534">
        <v>0.91521282962713701</v>
      </c>
      <c r="E534">
        <v>0.72652060171650101</v>
      </c>
      <c r="F534">
        <v>0.418049749425012</v>
      </c>
      <c r="G534">
        <v>0.55618377920733797</v>
      </c>
      <c r="H534">
        <v>0.45330436715593803</v>
      </c>
      <c r="I534">
        <v>0.70461925418170002</v>
      </c>
      <c r="J534">
        <v>0.83081527259620702</v>
      </c>
      <c r="K534">
        <v>0.72846356456566197</v>
      </c>
      <c r="L534">
        <v>2010.71661812403</v>
      </c>
      <c r="M534">
        <v>42.071194340145396</v>
      </c>
      <c r="O534">
        <v>47.685587574356198</v>
      </c>
      <c r="P534">
        <v>-8.3906053940908706E-2</v>
      </c>
      <c r="Q534">
        <v>0.61958743638519798</v>
      </c>
      <c r="R534">
        <v>0.65675051675459795</v>
      </c>
      <c r="S534" t="s">
        <v>7537</v>
      </c>
      <c r="T534" t="s">
        <v>14004</v>
      </c>
      <c r="U534" t="s">
        <v>14004</v>
      </c>
      <c r="V534" t="s">
        <v>14004</v>
      </c>
      <c r="W534" t="s">
        <v>14533</v>
      </c>
      <c r="X534">
        <v>16</v>
      </c>
      <c r="Y534" t="s">
        <v>21471</v>
      </c>
      <c r="Z534" t="s">
        <v>28244</v>
      </c>
      <c r="AA534">
        <v>0.719546376570949</v>
      </c>
      <c r="AB534" t="str">
        <f>HYPERLINK("Melting_Curves/meltCurve_E9PB61_ALYREF.pdf", "Melting_Curves/meltCurve_E9PB61_ALYREF.pdf")</f>
        <v>Melting_Curves/meltCurve_E9PB61_ALYREF.pdf</v>
      </c>
    </row>
    <row r="535" spans="1:28" x14ac:dyDescent="0.25">
      <c r="A535" t="s">
        <v>539</v>
      </c>
      <c r="B535">
        <v>0.99999676499088797</v>
      </c>
      <c r="C535">
        <v>1.2472028130550299</v>
      </c>
      <c r="D535">
        <v>1.3560902354864299</v>
      </c>
      <c r="E535">
        <v>0</v>
      </c>
      <c r="F535">
        <v>20.391687913528401</v>
      </c>
      <c r="G535">
        <v>0.59033683179378005</v>
      </c>
      <c r="H535">
        <v>0.77367554423471896</v>
      </c>
      <c r="I535">
        <v>0</v>
      </c>
      <c r="J535">
        <v>0</v>
      </c>
      <c r="K535">
        <v>0.265444171683205</v>
      </c>
      <c r="L535">
        <v>15000</v>
      </c>
      <c r="M535">
        <v>245.60282634718499</v>
      </c>
      <c r="N535">
        <v>61.1226802417589</v>
      </c>
      <c r="O535">
        <v>61.070149866565899</v>
      </c>
      <c r="P535">
        <v>-0.91645530649066698</v>
      </c>
      <c r="Q535">
        <v>8.8478276823972996E-2</v>
      </c>
      <c r="R535">
        <v>-6.15022784927153E-2</v>
      </c>
      <c r="S535" t="s">
        <v>7538</v>
      </c>
      <c r="T535" t="s">
        <v>14004</v>
      </c>
      <c r="U535" t="s">
        <v>14004</v>
      </c>
      <c r="V535" t="s">
        <v>14004</v>
      </c>
      <c r="W535" t="s">
        <v>14534</v>
      </c>
      <c r="X535">
        <v>2</v>
      </c>
      <c r="Y535" t="s">
        <v>21472</v>
      </c>
      <c r="Z535" t="s">
        <v>28245</v>
      </c>
      <c r="AA535">
        <v>0.72889968935642091</v>
      </c>
      <c r="AB535" t="str">
        <f>HYPERLINK("Melting_Curves/meltCurve_E9PBJ0_MUC5B.pdf", "Melting_Curves/meltCurve_E9PBJ0_MUC5B.pdf")</f>
        <v>Melting_Curves/meltCurve_E9PBJ0_MUC5B.pdf</v>
      </c>
    </row>
    <row r="536" spans="1:28" x14ac:dyDescent="0.25">
      <c r="A536" t="s">
        <v>540</v>
      </c>
      <c r="B536">
        <v>0.99999676499088797</v>
      </c>
      <c r="C536">
        <v>1.08180369639159</v>
      </c>
      <c r="D536">
        <v>1.03340851515094</v>
      </c>
      <c r="E536">
        <v>0.95531534627382997</v>
      </c>
      <c r="F536">
        <v>0.85876712276024103</v>
      </c>
      <c r="G536">
        <v>0.69921246402692505</v>
      </c>
      <c r="H536">
        <v>0.32445325636882399</v>
      </c>
      <c r="I536">
        <v>0.13869684743812</v>
      </c>
      <c r="J536">
        <v>0.10999625826863201</v>
      </c>
      <c r="K536">
        <v>8.4329666466234895E-2</v>
      </c>
      <c r="L536">
        <v>1277.84956846977</v>
      </c>
      <c r="M536">
        <v>21.8826572927541</v>
      </c>
      <c r="N536">
        <v>58.658713306879299</v>
      </c>
      <c r="O536">
        <v>57.914425703183603</v>
      </c>
      <c r="P536">
        <v>-9.0046949244163302E-2</v>
      </c>
      <c r="Q536">
        <v>4.67522523141536E-2</v>
      </c>
      <c r="R536">
        <v>0.99190584978174201</v>
      </c>
      <c r="S536" t="s">
        <v>7539</v>
      </c>
      <c r="T536" t="s">
        <v>14004</v>
      </c>
      <c r="U536" t="s">
        <v>14004</v>
      </c>
      <c r="V536" t="s">
        <v>14004</v>
      </c>
      <c r="W536" t="s">
        <v>14535</v>
      </c>
      <c r="X536">
        <v>29</v>
      </c>
      <c r="Y536" t="s">
        <v>21473</v>
      </c>
      <c r="Z536" t="s">
        <v>28246</v>
      </c>
      <c r="AA536">
        <v>0.64078925782504992</v>
      </c>
      <c r="AB536" t="str">
        <f>HYPERLINK("Melting_Curves/meltCurve_E9PBJ5_SDHA.pdf", "Melting_Curves/meltCurve_E9PBJ5_SDHA.pdf")</f>
        <v>Melting_Curves/meltCurve_E9PBJ5_SDHA.pdf</v>
      </c>
    </row>
    <row r="537" spans="1:28" x14ac:dyDescent="0.25">
      <c r="A537" t="s">
        <v>541</v>
      </c>
      <c r="B537">
        <v>0.99999676499088797</v>
      </c>
      <c r="C537">
        <v>0.67938094328600496</v>
      </c>
      <c r="D537">
        <v>0.487812997039765</v>
      </c>
      <c r="E537">
        <v>0.13345594675272601</v>
      </c>
      <c r="F537">
        <v>5.4832224489792601E-2</v>
      </c>
      <c r="G537">
        <v>6.9151679439858796E-2</v>
      </c>
      <c r="H537">
        <v>0</v>
      </c>
      <c r="I537">
        <v>4.4484930730137998E-2</v>
      </c>
      <c r="J537">
        <v>0</v>
      </c>
      <c r="K537">
        <v>0</v>
      </c>
      <c r="L537">
        <v>877.92405445627605</v>
      </c>
      <c r="M537">
        <v>19.378767010502902</v>
      </c>
      <c r="N537">
        <v>45.360524081182497</v>
      </c>
      <c r="O537">
        <v>44.8292504165683</v>
      </c>
      <c r="P537">
        <v>-0.10677111561602699</v>
      </c>
      <c r="Q537">
        <v>1.2054262053769201E-2</v>
      </c>
      <c r="R537">
        <v>0.98464219463856095</v>
      </c>
      <c r="S537" t="s">
        <v>7540</v>
      </c>
      <c r="T537" t="s">
        <v>14004</v>
      </c>
      <c r="U537" t="s">
        <v>14004</v>
      </c>
      <c r="V537" t="s">
        <v>14004</v>
      </c>
      <c r="W537" t="s">
        <v>14536</v>
      </c>
      <c r="X537">
        <v>3</v>
      </c>
      <c r="Y537" t="s">
        <v>21474</v>
      </c>
      <c r="Z537" t="s">
        <v>28247</v>
      </c>
      <c r="AA537">
        <v>0.20412790476649051</v>
      </c>
      <c r="AB537" t="str">
        <f>HYPERLINK("Melting_Curves/meltCurve_E9PC26_BUB1.pdf", "Melting_Curves/meltCurve_E9PC26_BUB1.pdf")</f>
        <v>Melting_Curves/meltCurve_E9PC26_BUB1.pdf</v>
      </c>
    </row>
    <row r="538" spans="1:28" x14ac:dyDescent="0.25">
      <c r="A538" t="s">
        <v>542</v>
      </c>
      <c r="B538">
        <v>0.99999676499088797</v>
      </c>
      <c r="C538">
        <v>0.90446570866834497</v>
      </c>
      <c r="D538">
        <v>1.03234010559927</v>
      </c>
      <c r="E538">
        <v>1.1189702896356399</v>
      </c>
      <c r="F538">
        <v>1.1470555365894599</v>
      </c>
      <c r="G538">
        <v>0.84877519589544304</v>
      </c>
      <c r="H538">
        <v>0.62184572205355704</v>
      </c>
      <c r="I538">
        <v>0.38818630895536199</v>
      </c>
      <c r="J538">
        <v>0.26581344942252799</v>
      </c>
      <c r="K538">
        <v>0.22727861525658699</v>
      </c>
      <c r="L538">
        <v>1667.01671259163</v>
      </c>
      <c r="M538">
        <v>27.3594928422796</v>
      </c>
      <c r="N538">
        <v>62.166793605316798</v>
      </c>
      <c r="O538">
        <v>60.607381069729797</v>
      </c>
      <c r="P538">
        <v>-8.91718044616924E-2</v>
      </c>
      <c r="Q538">
        <v>0.20986567285065</v>
      </c>
      <c r="R538">
        <v>0.95184171387698302</v>
      </c>
      <c r="S538" t="s">
        <v>7541</v>
      </c>
      <c r="T538" t="s">
        <v>14004</v>
      </c>
      <c r="U538" t="s">
        <v>14004</v>
      </c>
      <c r="V538" t="s">
        <v>14004</v>
      </c>
      <c r="W538" t="s">
        <v>14537</v>
      </c>
      <c r="X538">
        <v>15</v>
      </c>
      <c r="Y538" t="s">
        <v>21475</v>
      </c>
      <c r="Z538" t="s">
        <v>28248</v>
      </c>
      <c r="AA538">
        <v>0.76588951124708216</v>
      </c>
      <c r="AB538" t="str">
        <f>HYPERLINK("Melting_Curves/meltCurve_E9PC50_GIGYF2.pdf", "Melting_Curves/meltCurve_E9PC50_GIGYF2.pdf")</f>
        <v>Melting_Curves/meltCurve_E9PC50_GIGYF2.pdf</v>
      </c>
    </row>
    <row r="539" spans="1:28" x14ac:dyDescent="0.25">
      <c r="A539" t="s">
        <v>543</v>
      </c>
      <c r="B539">
        <v>0.99999676499088797</v>
      </c>
      <c r="C539">
        <v>1.0764003802738</v>
      </c>
      <c r="D539">
        <v>0.92232019508857799</v>
      </c>
      <c r="E539">
        <v>0.57351464173806299</v>
      </c>
      <c r="F539">
        <v>0.23911960658287401</v>
      </c>
      <c r="G539">
        <v>0.13935358776989901</v>
      </c>
      <c r="H539">
        <v>7.40434727748112E-2</v>
      </c>
      <c r="I539">
        <v>5.7046513770207002E-2</v>
      </c>
      <c r="J539">
        <v>6.0775262971390499E-2</v>
      </c>
      <c r="K539">
        <v>5.0425492551908903E-2</v>
      </c>
      <c r="L539">
        <v>1296.6792745443499</v>
      </c>
      <c r="M539">
        <v>25.894036473942901</v>
      </c>
      <c r="N539">
        <v>50.345952661459599</v>
      </c>
      <c r="O539">
        <v>49.780562796110097</v>
      </c>
      <c r="P539">
        <v>-0.121624091104299</v>
      </c>
      <c r="Q539">
        <v>6.4735230043620196E-2</v>
      </c>
      <c r="R539">
        <v>0.99420790557037297</v>
      </c>
      <c r="S539" t="s">
        <v>7542</v>
      </c>
      <c r="T539" t="s">
        <v>14004</v>
      </c>
      <c r="U539" t="s">
        <v>14004</v>
      </c>
      <c r="V539" t="s">
        <v>14004</v>
      </c>
      <c r="W539" t="s">
        <v>14538</v>
      </c>
      <c r="X539">
        <v>18</v>
      </c>
      <c r="Y539" t="s">
        <v>21476</v>
      </c>
      <c r="Z539" t="s">
        <v>28249</v>
      </c>
      <c r="AA539">
        <v>0.38666620059729723</v>
      </c>
      <c r="AB539" t="str">
        <f>HYPERLINK("Melting_Curves/meltCurve_E9PC62_CELF2.pdf", "Melting_Curves/meltCurve_E9PC62_CELF2.pdf")</f>
        <v>Melting_Curves/meltCurve_E9PC62_CELF2.pdf</v>
      </c>
    </row>
    <row r="540" spans="1:28" x14ac:dyDescent="0.25">
      <c r="A540" t="s">
        <v>544</v>
      </c>
      <c r="B540">
        <v>0.99999676499088797</v>
      </c>
      <c r="C540">
        <v>0.96493694620320702</v>
      </c>
      <c r="D540">
        <v>0.96770628764056399</v>
      </c>
      <c r="E540">
        <v>0.89613112809120399</v>
      </c>
      <c r="F540">
        <v>0.28815540029315001</v>
      </c>
      <c r="G540">
        <v>0.19386905998221399</v>
      </c>
      <c r="H540">
        <v>9.2623179682788701E-2</v>
      </c>
      <c r="I540">
        <v>8.4501737869556504E-2</v>
      </c>
      <c r="J540">
        <v>7.5319434467596202E-2</v>
      </c>
      <c r="K540">
        <v>8.3187527248860901E-2</v>
      </c>
      <c r="L540">
        <v>2294.5356939527801</v>
      </c>
      <c r="M540">
        <v>44.357991085142402</v>
      </c>
      <c r="N540">
        <v>51.988789311598801</v>
      </c>
      <c r="O540">
        <v>51.622871859154699</v>
      </c>
      <c r="P540">
        <v>-0.193367179872278</v>
      </c>
      <c r="Q540">
        <v>9.9855052435546807E-2</v>
      </c>
      <c r="R540">
        <v>0.99421050916928799</v>
      </c>
      <c r="S540" t="s">
        <v>7543</v>
      </c>
      <c r="T540" t="s">
        <v>14004</v>
      </c>
      <c r="U540" t="s">
        <v>14004</v>
      </c>
      <c r="V540" t="s">
        <v>14004</v>
      </c>
      <c r="W540" t="s">
        <v>14539</v>
      </c>
      <c r="X540">
        <v>10</v>
      </c>
      <c r="Y540" t="s">
        <v>21477</v>
      </c>
      <c r="Z540" t="s">
        <v>28250</v>
      </c>
      <c r="AA540">
        <v>0.45435492569229591</v>
      </c>
      <c r="AB540" t="str">
        <f>HYPERLINK("Melting_Curves/meltCurve_E9PC74_EIF2B5.pdf", "Melting_Curves/meltCurve_E9PC74_EIF2B5.pdf")</f>
        <v>Melting_Curves/meltCurve_E9PC74_EIF2B5.pdf</v>
      </c>
    </row>
    <row r="541" spans="1:28" x14ac:dyDescent="0.25">
      <c r="A541" t="s">
        <v>545</v>
      </c>
      <c r="B541">
        <v>0.99999676499088797</v>
      </c>
      <c r="C541">
        <v>1.0652076195436899</v>
      </c>
      <c r="D541">
        <v>0.89472920685164503</v>
      </c>
      <c r="E541">
        <v>0.74238667769658795</v>
      </c>
      <c r="F541">
        <v>0.65455646242563004</v>
      </c>
      <c r="G541">
        <v>0.56941735019344597</v>
      </c>
      <c r="H541">
        <v>0.32006583264438399</v>
      </c>
      <c r="I541">
        <v>0.38607090989457599</v>
      </c>
      <c r="J541">
        <v>0.35027046174597998</v>
      </c>
      <c r="K541">
        <v>0.31977582914208402</v>
      </c>
      <c r="L541">
        <v>687.99671008304995</v>
      </c>
      <c r="M541">
        <v>12.972549070729601</v>
      </c>
      <c r="N541">
        <v>56.906324283345903</v>
      </c>
      <c r="O541">
        <v>51.8219974133942</v>
      </c>
      <c r="P541">
        <v>-4.4244816709962699E-2</v>
      </c>
      <c r="Q541">
        <v>0.29313925385363099</v>
      </c>
      <c r="R541">
        <v>0.96574076872005998</v>
      </c>
      <c r="S541" t="s">
        <v>7544</v>
      </c>
      <c r="T541" t="s">
        <v>14004</v>
      </c>
      <c r="U541" t="s">
        <v>14004</v>
      </c>
      <c r="V541" t="s">
        <v>14004</v>
      </c>
      <c r="W541" t="s">
        <v>14540</v>
      </c>
      <c r="X541">
        <v>3</v>
      </c>
      <c r="Y541" t="s">
        <v>21478</v>
      </c>
      <c r="Z541" t="s">
        <v>28251</v>
      </c>
      <c r="AA541">
        <v>0.61860296559327332</v>
      </c>
      <c r="AB541" t="str">
        <f>HYPERLINK("Melting_Curves/meltCurve_E9PC87_TMCC1.pdf", "Melting_Curves/meltCurve_E9PC87_TMCC1.pdf")</f>
        <v>Melting_Curves/meltCurve_E9PC87_TMCC1.pdf</v>
      </c>
    </row>
    <row r="542" spans="1:28" x14ac:dyDescent="0.25">
      <c r="A542" t="s">
        <v>546</v>
      </c>
      <c r="B542">
        <v>0.99999676499088797</v>
      </c>
      <c r="C542">
        <v>0.740290299174862</v>
      </c>
      <c r="D542">
        <v>0.49520316982882101</v>
      </c>
      <c r="E542">
        <v>0.236273754522625</v>
      </c>
      <c r="F542">
        <v>0.15373396106206699</v>
      </c>
      <c r="G542">
        <v>8.7012869871995704E-2</v>
      </c>
      <c r="H542">
        <v>5.2865847235021399E-2</v>
      </c>
      <c r="I542">
        <v>4.2683089555196799E-2</v>
      </c>
      <c r="J542">
        <v>7.5833719566353999E-2</v>
      </c>
      <c r="K542">
        <v>3.6916930408616301E-2</v>
      </c>
      <c r="L542">
        <v>821.67068621892804</v>
      </c>
      <c r="M542">
        <v>17.992911990554099</v>
      </c>
      <c r="N542">
        <v>45.959945546039201</v>
      </c>
      <c r="O542">
        <v>45.1134774202269</v>
      </c>
      <c r="P542">
        <v>-9.4300637130475901E-2</v>
      </c>
      <c r="Q542">
        <v>5.42899470226424E-2</v>
      </c>
      <c r="R542">
        <v>0.99230743109893704</v>
      </c>
      <c r="S542" t="s">
        <v>7545</v>
      </c>
      <c r="T542" t="s">
        <v>14004</v>
      </c>
      <c r="U542" t="s">
        <v>14004</v>
      </c>
      <c r="V542" t="s">
        <v>14004</v>
      </c>
      <c r="W542" t="s">
        <v>14541</v>
      </c>
      <c r="X542">
        <v>1</v>
      </c>
      <c r="Y542" t="s">
        <v>21479</v>
      </c>
      <c r="Z542" t="s">
        <v>28252</v>
      </c>
      <c r="AA542">
        <v>0.25201328600890471</v>
      </c>
      <c r="AB542" t="str">
        <f>HYPERLINK("Melting_Curves/meltCurve_E9PCH4_FNIP1.pdf", "Melting_Curves/meltCurve_E9PCH4_FNIP1.pdf")</f>
        <v>Melting_Curves/meltCurve_E9PCH4_FNIP1.pdf</v>
      </c>
    </row>
    <row r="543" spans="1:28" x14ac:dyDescent="0.25">
      <c r="A543" t="s">
        <v>547</v>
      </c>
      <c r="B543">
        <v>0.99999676499088797</v>
      </c>
      <c r="C543">
        <v>0.81082162715061301</v>
      </c>
      <c r="D543">
        <v>0.45385102034833502</v>
      </c>
      <c r="E543">
        <v>0.26862063846525602</v>
      </c>
      <c r="F543">
        <v>0.20694407206474</v>
      </c>
      <c r="G543">
        <v>0.15087866355659699</v>
      </c>
      <c r="H543">
        <v>5.8989141854950099E-2</v>
      </c>
      <c r="I543">
        <v>5.5839450101506302E-2</v>
      </c>
      <c r="J543">
        <v>4.2840541636327903E-2</v>
      </c>
      <c r="K543">
        <v>4.7205467658377298E-2</v>
      </c>
      <c r="L543">
        <v>826.44080916981204</v>
      </c>
      <c r="M543">
        <v>18.048179254000001</v>
      </c>
      <c r="N543">
        <v>46.182181895223998</v>
      </c>
      <c r="O543">
        <v>45.239752694152301</v>
      </c>
      <c r="P543">
        <v>-9.2668190849295007E-2</v>
      </c>
      <c r="Q543">
        <v>7.0913182000365699E-2</v>
      </c>
      <c r="R543">
        <v>0.98257178266651202</v>
      </c>
      <c r="S543" t="s">
        <v>7546</v>
      </c>
      <c r="T543" t="s">
        <v>14004</v>
      </c>
      <c r="U543" t="s">
        <v>14004</v>
      </c>
      <c r="V543" t="s">
        <v>14004</v>
      </c>
      <c r="W543" t="s">
        <v>14256</v>
      </c>
      <c r="X543">
        <v>11</v>
      </c>
      <c r="Y543" t="s">
        <v>21480</v>
      </c>
      <c r="Z543" t="s">
        <v>28253</v>
      </c>
      <c r="AA543">
        <v>0.26868880337327422</v>
      </c>
      <c r="AB543" t="str">
        <f>HYPERLINK("Melting_Curves/meltCurve_E9PCQ3_USP15.pdf", "Melting_Curves/meltCurve_E9PCQ3_USP15.pdf")</f>
        <v>Melting_Curves/meltCurve_E9PCQ3_USP15.pdf</v>
      </c>
    </row>
    <row r="544" spans="1:28" x14ac:dyDescent="0.25">
      <c r="A544" t="s">
        <v>548</v>
      </c>
      <c r="B544">
        <v>0.99999676499088797</v>
      </c>
      <c r="C544">
        <v>1.01149163718004</v>
      </c>
      <c r="D544">
        <v>1.02662598400419</v>
      </c>
      <c r="E544">
        <v>0.85142116399212198</v>
      </c>
      <c r="F544">
        <v>0.925337910056793</v>
      </c>
      <c r="G544">
        <v>0.58723318092253596</v>
      </c>
      <c r="H544">
        <v>0.53829934815772995</v>
      </c>
      <c r="I544">
        <v>0.51571759206767898</v>
      </c>
      <c r="J544">
        <v>0.56969857227293497</v>
      </c>
      <c r="K544">
        <v>0.33749080437844298</v>
      </c>
      <c r="L544">
        <v>980.10536964792504</v>
      </c>
      <c r="M544">
        <v>17.625696352121601</v>
      </c>
      <c r="N544">
        <v>62.857444698838599</v>
      </c>
      <c r="O544">
        <v>54.905644137876102</v>
      </c>
      <c r="P544">
        <v>-4.5383015034127602E-2</v>
      </c>
      <c r="Q544">
        <v>0.43454146456068898</v>
      </c>
      <c r="R544">
        <v>0.91085927982695203</v>
      </c>
      <c r="S544" t="s">
        <v>7547</v>
      </c>
      <c r="T544" t="s">
        <v>14004</v>
      </c>
      <c r="U544" t="s">
        <v>14004</v>
      </c>
      <c r="V544" t="s">
        <v>14004</v>
      </c>
      <c r="W544" t="s">
        <v>14542</v>
      </c>
      <c r="X544">
        <v>5</v>
      </c>
      <c r="Y544" t="s">
        <v>21481</v>
      </c>
      <c r="Z544" t="s">
        <v>28254</v>
      </c>
      <c r="AA544">
        <v>0.73743912595525918</v>
      </c>
      <c r="AB544" t="str">
        <f>HYPERLINK("Melting_Curves/meltCurve_E9PCV0_GUSB.pdf", "Melting_Curves/meltCurve_E9PCV0_GUSB.pdf")</f>
        <v>Melting_Curves/meltCurve_E9PCV0_GUSB.pdf</v>
      </c>
    </row>
    <row r="545" spans="1:28" x14ac:dyDescent="0.25">
      <c r="A545" t="s">
        <v>549</v>
      </c>
      <c r="B545">
        <v>0.99999676499088797</v>
      </c>
      <c r="C545">
        <v>0.97624067836884898</v>
      </c>
      <c r="D545">
        <v>0.97452937427833097</v>
      </c>
      <c r="E545">
        <v>0.79197711193325204</v>
      </c>
      <c r="F545">
        <v>0.65299232067280499</v>
      </c>
      <c r="G545">
        <v>0.53091709226825901</v>
      </c>
      <c r="H545">
        <v>0.24905849749832901</v>
      </c>
      <c r="I545">
        <v>0.18091611706645</v>
      </c>
      <c r="J545">
        <v>0.119857231932469</v>
      </c>
      <c r="K545">
        <v>8.7706836274247593E-2</v>
      </c>
      <c r="L545">
        <v>684.50876249342696</v>
      </c>
      <c r="M545">
        <v>12.1723127259334</v>
      </c>
      <c r="N545">
        <v>56.234908902979299</v>
      </c>
      <c r="O545">
        <v>54.781684768257101</v>
      </c>
      <c r="P545">
        <v>-5.5561860674912901E-2</v>
      </c>
      <c r="Q545">
        <v>0</v>
      </c>
      <c r="R545">
        <v>0.99307764956976396</v>
      </c>
      <c r="S545" t="s">
        <v>7548</v>
      </c>
      <c r="T545" t="s">
        <v>14004</v>
      </c>
      <c r="U545" t="s">
        <v>14004</v>
      </c>
      <c r="V545" t="s">
        <v>14004</v>
      </c>
      <c r="W545" t="s">
        <v>14543</v>
      </c>
      <c r="X545">
        <v>14</v>
      </c>
      <c r="Y545" t="s">
        <v>21482</v>
      </c>
      <c r="Z545" t="s">
        <v>28255</v>
      </c>
      <c r="AA545">
        <v>0.56067077688586087</v>
      </c>
      <c r="AB545" t="str">
        <f>HYPERLINK("Melting_Curves/meltCurve_E9PCW1_GOSR1.pdf", "Melting_Curves/meltCurve_E9PCW1_GOSR1.pdf")</f>
        <v>Melting_Curves/meltCurve_E9PCW1_GOSR1.pdf</v>
      </c>
    </row>
    <row r="546" spans="1:28" x14ac:dyDescent="0.25">
      <c r="A546" t="s">
        <v>550</v>
      </c>
      <c r="B546">
        <v>0.99999676499088797</v>
      </c>
      <c r="C546">
        <v>0.88267683083733095</v>
      </c>
      <c r="D546">
        <v>0.68697726833739103</v>
      </c>
      <c r="E546">
        <v>0.404366078345132</v>
      </c>
      <c r="F546">
        <v>0.21684030698450801</v>
      </c>
      <c r="G546">
        <v>0.182610890426218</v>
      </c>
      <c r="H546">
        <v>5.6145255358516701E-2</v>
      </c>
      <c r="I546">
        <v>0.12938772671469501</v>
      </c>
      <c r="J546">
        <v>9.9654595569246496E-2</v>
      </c>
      <c r="K546">
        <v>0.105093682077523</v>
      </c>
      <c r="L546">
        <v>839.81004513065398</v>
      </c>
      <c r="M546">
        <v>17.599770513184598</v>
      </c>
      <c r="N546">
        <v>48.298356101332502</v>
      </c>
      <c r="O546">
        <v>47.113846375791198</v>
      </c>
      <c r="P546">
        <v>-8.4481064464666494E-2</v>
      </c>
      <c r="Q546">
        <v>9.5439727134068397E-2</v>
      </c>
      <c r="R546">
        <v>0.99428973431085599</v>
      </c>
      <c r="S546" t="s">
        <v>7549</v>
      </c>
      <c r="T546" t="s">
        <v>14004</v>
      </c>
      <c r="U546" t="s">
        <v>14004</v>
      </c>
      <c r="V546" t="s">
        <v>14004</v>
      </c>
      <c r="W546" t="s">
        <v>14544</v>
      </c>
      <c r="X546">
        <v>3</v>
      </c>
      <c r="Y546" t="s">
        <v>21483</v>
      </c>
      <c r="Z546" t="s">
        <v>28256</v>
      </c>
      <c r="AA546">
        <v>0.345110379160813</v>
      </c>
      <c r="AB546" t="str">
        <f>HYPERLINK("Melting_Curves/meltCurve_E9PD50_SMG7.pdf", "Melting_Curves/meltCurve_E9PD50_SMG7.pdf")</f>
        <v>Melting_Curves/meltCurve_E9PD50_SMG7.pdf</v>
      </c>
    </row>
    <row r="547" spans="1:28" x14ac:dyDescent="0.25">
      <c r="A547" t="s">
        <v>551</v>
      </c>
      <c r="B547">
        <v>0.99999676499088797</v>
      </c>
      <c r="C547">
        <v>0.80231275655512202</v>
      </c>
      <c r="D547">
        <v>0.55149960787657304</v>
      </c>
      <c r="E547">
        <v>0.39977804217012802</v>
      </c>
      <c r="F547">
        <v>0.35679325305683501</v>
      </c>
      <c r="G547">
        <v>0.24777966430794501</v>
      </c>
      <c r="H547">
        <v>0.134489697502749</v>
      </c>
      <c r="I547">
        <v>0.111567060387774</v>
      </c>
      <c r="J547">
        <v>0.11648168207661801</v>
      </c>
      <c r="K547">
        <v>8.5166019569672902E-2</v>
      </c>
      <c r="L547">
        <v>556.96669352959304</v>
      </c>
      <c r="M547">
        <v>11.751530633139501</v>
      </c>
      <c r="N547">
        <v>48.197302551448701</v>
      </c>
      <c r="O547">
        <v>46.085245096759898</v>
      </c>
      <c r="P547">
        <v>-5.8102362193972398E-2</v>
      </c>
      <c r="Q547">
        <v>8.8812582736029794E-2</v>
      </c>
      <c r="R547">
        <v>0.97434006679569296</v>
      </c>
      <c r="S547" t="s">
        <v>7550</v>
      </c>
      <c r="T547" t="s">
        <v>14004</v>
      </c>
      <c r="U547" t="s">
        <v>14004</v>
      </c>
      <c r="V547" t="s">
        <v>14004</v>
      </c>
      <c r="W547" t="s">
        <v>14545</v>
      </c>
      <c r="X547">
        <v>2</v>
      </c>
      <c r="Y547" t="s">
        <v>21484</v>
      </c>
      <c r="Z547" t="s">
        <v>28257</v>
      </c>
      <c r="AA547">
        <v>0.35201710054427138</v>
      </c>
      <c r="AB547" t="str">
        <f>HYPERLINK("Melting_Curves/meltCurve_E9PD55_RCAN1.pdf", "Melting_Curves/meltCurve_E9PD55_RCAN1.pdf")</f>
        <v>Melting_Curves/meltCurve_E9PD55_RCAN1.pdf</v>
      </c>
    </row>
    <row r="548" spans="1:28" x14ac:dyDescent="0.25">
      <c r="A548" t="s">
        <v>552</v>
      </c>
      <c r="B548">
        <v>0.99999676499088797</v>
      </c>
      <c r="C548">
        <v>1.17199724456971</v>
      </c>
      <c r="D548">
        <v>0.89186293783903703</v>
      </c>
      <c r="E548">
        <v>0.49301116911007398</v>
      </c>
      <c r="F548">
        <v>0.27490073506330998</v>
      </c>
      <c r="G548">
        <v>0.24067270571601501</v>
      </c>
      <c r="H548">
        <v>0.11679669367484399</v>
      </c>
      <c r="I548">
        <v>0.112914432582498</v>
      </c>
      <c r="J548">
        <v>0.206095444921777</v>
      </c>
      <c r="K548">
        <v>0.15647614068803001</v>
      </c>
      <c r="L548">
        <v>1495.11176255379</v>
      </c>
      <c r="M548">
        <v>30.489172197264899</v>
      </c>
      <c r="N548">
        <v>49.704575214842698</v>
      </c>
      <c r="O548">
        <v>48.827960519610301</v>
      </c>
      <c r="P548">
        <v>-0.12989367701343299</v>
      </c>
      <c r="Q548">
        <v>0.16791383572657301</v>
      </c>
      <c r="R548">
        <v>0.96836644374891001</v>
      </c>
      <c r="S548" t="s">
        <v>7551</v>
      </c>
      <c r="T548" t="s">
        <v>14004</v>
      </c>
      <c r="U548" t="s">
        <v>14004</v>
      </c>
      <c r="V548" t="s">
        <v>14004</v>
      </c>
      <c r="W548" t="s">
        <v>14546</v>
      </c>
      <c r="X548">
        <v>13</v>
      </c>
      <c r="Y548" t="s">
        <v>21485</v>
      </c>
      <c r="Z548" t="s">
        <v>28258</v>
      </c>
      <c r="AA548">
        <v>0.42348430403239301</v>
      </c>
      <c r="AB548" t="str">
        <f>HYPERLINK("Melting_Curves/meltCurve_E9PDF6_MYO1B.pdf", "Melting_Curves/meltCurve_E9PDF6_MYO1B.pdf")</f>
        <v>Melting_Curves/meltCurve_E9PDF6_MYO1B.pdf</v>
      </c>
    </row>
    <row r="549" spans="1:28" x14ac:dyDescent="0.25">
      <c r="A549" t="s">
        <v>553</v>
      </c>
      <c r="B549">
        <v>0.99999676499088797</v>
      </c>
      <c r="C549">
        <v>0.93062790348028701</v>
      </c>
      <c r="D549">
        <v>0.88611470084593902</v>
      </c>
      <c r="E549">
        <v>1.0679831507587201</v>
      </c>
      <c r="F549">
        <v>1.28369037634585</v>
      </c>
      <c r="G549">
        <v>1.1265319758730099</v>
      </c>
      <c r="H549">
        <v>0.29815752821437902</v>
      </c>
      <c r="I549">
        <v>0.17653550991012501</v>
      </c>
      <c r="J549">
        <v>0.13611405518610301</v>
      </c>
      <c r="K549">
        <v>0.11016803470061499</v>
      </c>
      <c r="L549">
        <v>13703.0336765509</v>
      </c>
      <c r="M549">
        <v>226.874900566317</v>
      </c>
      <c r="N549">
        <v>60.4873482577811</v>
      </c>
      <c r="O549">
        <v>60.394379975851898</v>
      </c>
      <c r="P549">
        <v>-0.80677868150365795</v>
      </c>
      <c r="Q549">
        <v>0.140938059901176</v>
      </c>
      <c r="R549">
        <v>0.93747059575138703</v>
      </c>
      <c r="S549" t="s">
        <v>7552</v>
      </c>
      <c r="T549" t="s">
        <v>14004</v>
      </c>
      <c r="U549" t="s">
        <v>14004</v>
      </c>
      <c r="V549" t="s">
        <v>14004</v>
      </c>
      <c r="W549" t="s">
        <v>14547</v>
      </c>
      <c r="X549">
        <v>8</v>
      </c>
      <c r="Y549" t="s">
        <v>21486</v>
      </c>
      <c r="Z549" t="s">
        <v>28259</v>
      </c>
      <c r="AA549">
        <v>0.72518420825905305</v>
      </c>
      <c r="AB549" t="str">
        <f>HYPERLINK("Melting_Curves/meltCurve_E9PDR0_PCCB.pdf", "Melting_Curves/meltCurve_E9PDR0_PCCB.pdf")</f>
        <v>Melting_Curves/meltCurve_E9PDR0_PCCB.pdf</v>
      </c>
    </row>
    <row r="550" spans="1:28" x14ac:dyDescent="0.25">
      <c r="A550" t="s">
        <v>554</v>
      </c>
      <c r="B550">
        <v>0.99999676499088797</v>
      </c>
      <c r="C550">
        <v>1.04829778043532</v>
      </c>
      <c r="D550">
        <v>1.00570161097623</v>
      </c>
      <c r="E550">
        <v>0.97418400999533505</v>
      </c>
      <c r="F550">
        <v>0.50367053193171596</v>
      </c>
      <c r="G550">
        <v>0.31541462360740502</v>
      </c>
      <c r="H550">
        <v>0.172081808637112</v>
      </c>
      <c r="I550">
        <v>0.25280404474345303</v>
      </c>
      <c r="J550">
        <v>0.25706602083548202</v>
      </c>
      <c r="K550">
        <v>0.17320195895072399</v>
      </c>
      <c r="L550">
        <v>2283.8705873386102</v>
      </c>
      <c r="M550">
        <v>43.4203099775537</v>
      </c>
      <c r="N550">
        <v>53.335854924895898</v>
      </c>
      <c r="O550">
        <v>52.487931793106199</v>
      </c>
      <c r="P550">
        <v>-0.160169441209528</v>
      </c>
      <c r="Q550">
        <v>0.22552838149218299</v>
      </c>
      <c r="R550">
        <v>0.98927355741920797</v>
      </c>
      <c r="S550" t="s">
        <v>7553</v>
      </c>
      <c r="T550" t="s">
        <v>14004</v>
      </c>
      <c r="U550" t="s">
        <v>14004</v>
      </c>
      <c r="V550" t="s">
        <v>14004</v>
      </c>
      <c r="W550" t="s">
        <v>14548</v>
      </c>
      <c r="X550">
        <v>7</v>
      </c>
      <c r="Y550" t="s">
        <v>21487</v>
      </c>
      <c r="Z550" t="s">
        <v>28260</v>
      </c>
      <c r="AA550">
        <v>0.55316999790706478</v>
      </c>
      <c r="AB550" t="str">
        <f>HYPERLINK("Melting_Curves/meltCurve_E9PDU5_WDR6.pdf", "Melting_Curves/meltCurve_E9PDU5_WDR6.pdf")</f>
        <v>Melting_Curves/meltCurve_E9PDU5_WDR6.pdf</v>
      </c>
    </row>
    <row r="551" spans="1:28" x14ac:dyDescent="0.25">
      <c r="A551" t="s">
        <v>555</v>
      </c>
      <c r="B551">
        <v>0.99999676499088797</v>
      </c>
      <c r="C551">
        <v>0.70399961647357101</v>
      </c>
      <c r="D551">
        <v>0.30665442363282602</v>
      </c>
      <c r="E551">
        <v>0.105658382647247</v>
      </c>
      <c r="F551">
        <v>8.7725531678624694E-2</v>
      </c>
      <c r="G551">
        <v>0</v>
      </c>
      <c r="H551">
        <v>0</v>
      </c>
      <c r="I551">
        <v>0</v>
      </c>
      <c r="J551">
        <v>2.5755281589446701E-2</v>
      </c>
      <c r="K551">
        <v>0</v>
      </c>
      <c r="L551">
        <v>1122.9995528285599</v>
      </c>
      <c r="M551">
        <v>25.2519626790512</v>
      </c>
      <c r="N551">
        <v>44.534146781485099</v>
      </c>
      <c r="O551">
        <v>44.1956997546867</v>
      </c>
      <c r="P551">
        <v>-0.14036176270909101</v>
      </c>
      <c r="Q551">
        <v>1.73746948403204E-2</v>
      </c>
      <c r="R551">
        <v>0.99250129560286005</v>
      </c>
      <c r="S551" t="s">
        <v>7554</v>
      </c>
      <c r="T551" t="s">
        <v>14004</v>
      </c>
      <c r="U551" t="s">
        <v>14004</v>
      </c>
      <c r="V551" t="s">
        <v>14004</v>
      </c>
      <c r="W551" t="s">
        <v>14549</v>
      </c>
      <c r="X551">
        <v>1</v>
      </c>
      <c r="Y551" t="s">
        <v>21488</v>
      </c>
      <c r="Z551" t="s">
        <v>28261</v>
      </c>
      <c r="AA551">
        <v>0.17403186058428069</v>
      </c>
      <c r="AB551" t="str">
        <f>HYPERLINK("Melting_Curves/meltCurve_E9PEC4_CCM2.pdf", "Melting_Curves/meltCurve_E9PEC4_CCM2.pdf")</f>
        <v>Melting_Curves/meltCurve_E9PEC4_CCM2.pdf</v>
      </c>
    </row>
    <row r="552" spans="1:28" x14ac:dyDescent="0.25">
      <c r="A552" t="s">
        <v>556</v>
      </c>
      <c r="B552">
        <v>0.99999676499088797</v>
      </c>
      <c r="C552">
        <v>0.98048503224956196</v>
      </c>
      <c r="D552">
        <v>0.92578869825530596</v>
      </c>
      <c r="E552">
        <v>1.1243841044165499</v>
      </c>
      <c r="F552">
        <v>0.93247379770231598</v>
      </c>
      <c r="G552">
        <v>0.97604669789505305</v>
      </c>
      <c r="H552">
        <v>0.64631982035336899</v>
      </c>
      <c r="I552">
        <v>0.856166283413894</v>
      </c>
      <c r="J552">
        <v>0.83089739287629505</v>
      </c>
      <c r="K552">
        <v>0.998176731953624</v>
      </c>
      <c r="L552">
        <v>14301.5474061883</v>
      </c>
      <c r="M552">
        <v>250</v>
      </c>
      <c r="O552">
        <v>57.202551497357</v>
      </c>
      <c r="P552">
        <v>-0.18258581035654001</v>
      </c>
      <c r="Q552">
        <v>0.83289007855562003</v>
      </c>
      <c r="R552">
        <v>0.40012918766837102</v>
      </c>
      <c r="S552" t="s">
        <v>7555</v>
      </c>
      <c r="T552" t="s">
        <v>14004</v>
      </c>
      <c r="U552" t="s">
        <v>14004</v>
      </c>
      <c r="V552" t="s">
        <v>14004</v>
      </c>
      <c r="W552" t="s">
        <v>14550</v>
      </c>
      <c r="X552">
        <v>1</v>
      </c>
      <c r="Y552" t="s">
        <v>21489</v>
      </c>
      <c r="Z552" t="s">
        <v>28262</v>
      </c>
      <c r="AA552">
        <v>0.928751022270346</v>
      </c>
      <c r="AB552" t="str">
        <f>HYPERLINK("Melting_Curves/meltCurve_E9PEE8_ITGB6.pdf", "Melting_Curves/meltCurve_E9PEE8_ITGB6.pdf")</f>
        <v>Melting_Curves/meltCurve_E9PEE8_ITGB6.pdf</v>
      </c>
    </row>
    <row r="553" spans="1:28" x14ac:dyDescent="0.25">
      <c r="A553" t="s">
        <v>557</v>
      </c>
      <c r="B553">
        <v>0.99999676499088797</v>
      </c>
      <c r="C553">
        <v>0.98823172674486504</v>
      </c>
      <c r="D553">
        <v>1.0040520741964001</v>
      </c>
      <c r="E553">
        <v>0.51572954882392397</v>
      </c>
      <c r="F553">
        <v>0.24872328811587599</v>
      </c>
      <c r="G553">
        <v>0.180071734309313</v>
      </c>
      <c r="H553">
        <v>8.2170808966331194E-2</v>
      </c>
      <c r="I553">
        <v>0.100965901423266</v>
      </c>
      <c r="J553">
        <v>8.2515225797230501E-2</v>
      </c>
      <c r="K553">
        <v>7.9224491825298393E-2</v>
      </c>
      <c r="L553">
        <v>1545.0613623235799</v>
      </c>
      <c r="M553">
        <v>31.1244346133481</v>
      </c>
      <c r="N553">
        <v>50.021448969252702</v>
      </c>
      <c r="O553">
        <v>49.437852359453601</v>
      </c>
      <c r="P553">
        <v>-0.14082068653301599</v>
      </c>
      <c r="Q553">
        <v>0.105290343730298</v>
      </c>
      <c r="R553">
        <v>0.99057047957186095</v>
      </c>
      <c r="S553" t="s">
        <v>7556</v>
      </c>
      <c r="T553" t="s">
        <v>14004</v>
      </c>
      <c r="U553" t="s">
        <v>14004</v>
      </c>
      <c r="V553" t="s">
        <v>14004</v>
      </c>
      <c r="W553" t="s">
        <v>14551</v>
      </c>
      <c r="X553">
        <v>4</v>
      </c>
      <c r="Y553" t="s">
        <v>21490</v>
      </c>
      <c r="Z553" t="s">
        <v>28263</v>
      </c>
      <c r="AA553">
        <v>0.3979389265200724</v>
      </c>
      <c r="AB553" t="str">
        <f>HYPERLINK("Melting_Curves/meltCurve_E9PEL9_SYNE1.pdf", "Melting_Curves/meltCurve_E9PEL9_SYNE1.pdf")</f>
        <v>Melting_Curves/meltCurve_E9PEL9_SYNE1.pdf</v>
      </c>
    </row>
    <row r="554" spans="1:28" x14ac:dyDescent="0.25">
      <c r="A554" t="s">
        <v>558</v>
      </c>
      <c r="B554">
        <v>0.99999676499088797</v>
      </c>
      <c r="C554">
        <v>1.0161552993351199</v>
      </c>
      <c r="D554">
        <v>0.95588366472573305</v>
      </c>
      <c r="E554">
        <v>0.88350743072405902</v>
      </c>
      <c r="F554">
        <v>0.32213876805521602</v>
      </c>
      <c r="G554">
        <v>0.20676317812249101</v>
      </c>
      <c r="H554">
        <v>9.4817514458018698E-2</v>
      </c>
      <c r="I554">
        <v>9.9898834912769199E-2</v>
      </c>
      <c r="J554">
        <v>9.50261014580598E-2</v>
      </c>
      <c r="K554">
        <v>7.4901981438668094E-2</v>
      </c>
      <c r="L554">
        <v>1992.1857175898599</v>
      </c>
      <c r="M554">
        <v>38.446513971569502</v>
      </c>
      <c r="N554">
        <v>52.134197078512599</v>
      </c>
      <c r="O554">
        <v>51.677476549660597</v>
      </c>
      <c r="P554">
        <v>-0.16660022851182199</v>
      </c>
      <c r="Q554">
        <v>0.10426640668315799</v>
      </c>
      <c r="R554">
        <v>0.99454207250683901</v>
      </c>
      <c r="S554" t="s">
        <v>7557</v>
      </c>
      <c r="T554" t="s">
        <v>14004</v>
      </c>
      <c r="U554" t="s">
        <v>14004</v>
      </c>
      <c r="V554" t="s">
        <v>14004</v>
      </c>
      <c r="W554" t="s">
        <v>14552</v>
      </c>
      <c r="X554">
        <v>34</v>
      </c>
      <c r="Y554" t="s">
        <v>21491</v>
      </c>
      <c r="Z554" t="s">
        <v>28264</v>
      </c>
      <c r="AA554">
        <v>0.46057094888013123</v>
      </c>
      <c r="AB554" t="str">
        <f>HYPERLINK("Melting_Curves/meltCurve_E9PEN8_XPO7.pdf", "Melting_Curves/meltCurve_E9PEN8_XPO7.pdf")</f>
        <v>Melting_Curves/meltCurve_E9PEN8_XPO7.pdf</v>
      </c>
    </row>
    <row r="555" spans="1:28" x14ac:dyDescent="0.25">
      <c r="A555" t="s">
        <v>559</v>
      </c>
      <c r="B555">
        <v>0.99999676499088797</v>
      </c>
      <c r="C555">
        <v>1.0490674435279199</v>
      </c>
      <c r="D555">
        <v>1.00172687164731</v>
      </c>
      <c r="E555">
        <v>0.89485181666077995</v>
      </c>
      <c r="F555">
        <v>0.32550500905265101</v>
      </c>
      <c r="G555">
        <v>0.23405710494838999</v>
      </c>
      <c r="H555">
        <v>0.10411769743801599</v>
      </c>
      <c r="I555">
        <v>7.3952326069158997E-2</v>
      </c>
      <c r="J555">
        <v>7.8261617557070201E-2</v>
      </c>
      <c r="K555">
        <v>8.4942908114857898E-2</v>
      </c>
      <c r="L555">
        <v>2012.9489307086601</v>
      </c>
      <c r="M555">
        <v>38.7807212055666</v>
      </c>
      <c r="N555">
        <v>52.219516897437799</v>
      </c>
      <c r="O555">
        <v>51.768474090717902</v>
      </c>
      <c r="P555">
        <v>-0.167825163849915</v>
      </c>
      <c r="Q555">
        <v>0.103881309902968</v>
      </c>
      <c r="R555">
        <v>0.99100575182417405</v>
      </c>
      <c r="S555" t="s">
        <v>7558</v>
      </c>
      <c r="T555" t="s">
        <v>14004</v>
      </c>
      <c r="U555" t="s">
        <v>14004</v>
      </c>
      <c r="V555" t="s">
        <v>14004</v>
      </c>
      <c r="W555" t="s">
        <v>14553</v>
      </c>
      <c r="X555">
        <v>3</v>
      </c>
      <c r="Y555" t="s">
        <v>21492</v>
      </c>
      <c r="Z555" t="s">
        <v>28265</v>
      </c>
      <c r="AA555">
        <v>0.46293870201900439</v>
      </c>
      <c r="AB555" t="str">
        <f>HYPERLINK("Melting_Curves/meltCurve_E9PER1_DIP2A.pdf", "Melting_Curves/meltCurve_E9PER1_DIP2A.pdf")</f>
        <v>Melting_Curves/meltCurve_E9PER1_DIP2A.pdf</v>
      </c>
    </row>
    <row r="556" spans="1:28" x14ac:dyDescent="0.25">
      <c r="A556" t="s">
        <v>560</v>
      </c>
      <c r="B556">
        <v>0.99999676499088797</v>
      </c>
      <c r="C556">
        <v>0.98728007555622399</v>
      </c>
      <c r="D556">
        <v>0.85323321257635798</v>
      </c>
      <c r="E556">
        <v>0.24310591155247499</v>
      </c>
      <c r="F556">
        <v>0.18565327910912199</v>
      </c>
      <c r="G556">
        <v>0.13142248802878601</v>
      </c>
      <c r="H556">
        <v>6.6690754521298398E-2</v>
      </c>
      <c r="I556">
        <v>6.6903785653103606E-2</v>
      </c>
      <c r="J556">
        <v>6.2177245325062698E-2</v>
      </c>
      <c r="K556">
        <v>5.80530892127726E-2</v>
      </c>
      <c r="L556">
        <v>1931.36012540515</v>
      </c>
      <c r="M556">
        <v>40.409059505568102</v>
      </c>
      <c r="N556">
        <v>48.031469930358</v>
      </c>
      <c r="O556">
        <v>47.678620559094199</v>
      </c>
      <c r="P556">
        <v>-0.19278850096647901</v>
      </c>
      <c r="Q556">
        <v>9.0117750741317199E-2</v>
      </c>
      <c r="R556">
        <v>0.992368630365422</v>
      </c>
      <c r="S556" t="s">
        <v>7559</v>
      </c>
      <c r="T556" t="s">
        <v>14004</v>
      </c>
      <c r="U556" t="s">
        <v>14004</v>
      </c>
      <c r="V556" t="s">
        <v>14004</v>
      </c>
      <c r="W556" t="s">
        <v>14554</v>
      </c>
      <c r="X556">
        <v>71</v>
      </c>
      <c r="Y556" t="s">
        <v>21493</v>
      </c>
      <c r="Z556" t="s">
        <v>28266</v>
      </c>
      <c r="AA556">
        <v>0.32949707569808379</v>
      </c>
      <c r="AB556" t="str">
        <f>HYPERLINK("Melting_Curves/meltCurve_E9PEZ3_DIAPH1.pdf", "Melting_Curves/meltCurve_E9PEZ3_DIAPH1.pdf")</f>
        <v>Melting_Curves/meltCurve_E9PEZ3_DIAPH1.pdf</v>
      </c>
    </row>
    <row r="557" spans="1:28" x14ac:dyDescent="0.25">
      <c r="A557" t="s">
        <v>561</v>
      </c>
      <c r="B557">
        <v>0.99999676499088797</v>
      </c>
      <c r="C557">
        <v>1.0044035545933501</v>
      </c>
      <c r="D557">
        <v>1.01194458082143</v>
      </c>
      <c r="E557">
        <v>0.91708148386763899</v>
      </c>
      <c r="F557">
        <v>0.59257451907046998</v>
      </c>
      <c r="G557">
        <v>0.222720941465686</v>
      </c>
      <c r="H557">
        <v>0.102651755368538</v>
      </c>
      <c r="I557">
        <v>7.5855042670639097E-2</v>
      </c>
      <c r="J557">
        <v>7.7296056065767907E-2</v>
      </c>
      <c r="K557">
        <v>7.3625134627322203E-2</v>
      </c>
      <c r="L557">
        <v>1574.3603833908301</v>
      </c>
      <c r="M557">
        <v>29.354125516979899</v>
      </c>
      <c r="N557">
        <v>53.920386389808499</v>
      </c>
      <c r="O557">
        <v>53.386272444719403</v>
      </c>
      <c r="P557">
        <v>-0.127519278767772</v>
      </c>
      <c r="Q557">
        <v>7.23302837444562E-2</v>
      </c>
      <c r="R557">
        <v>0.999744143602321</v>
      </c>
      <c r="S557" t="s">
        <v>7560</v>
      </c>
      <c r="T557" t="s">
        <v>14004</v>
      </c>
      <c r="U557" t="s">
        <v>14004</v>
      </c>
      <c r="V557" t="s">
        <v>14004</v>
      </c>
      <c r="W557" t="s">
        <v>14555</v>
      </c>
      <c r="X557">
        <v>19</v>
      </c>
      <c r="Y557" t="s">
        <v>21494</v>
      </c>
      <c r="Z557" t="s">
        <v>28267</v>
      </c>
      <c r="AA557">
        <v>0.50023341144318956</v>
      </c>
      <c r="AB557" t="str">
        <f>HYPERLINK("Melting_Curves/meltCurve_E9PF18_HADH.pdf", "Melting_Curves/meltCurve_E9PF18_HADH.pdf")</f>
        <v>Melting_Curves/meltCurve_E9PF18_HADH.pdf</v>
      </c>
    </row>
    <row r="558" spans="1:28" x14ac:dyDescent="0.25">
      <c r="A558" t="s">
        <v>562</v>
      </c>
      <c r="B558">
        <v>0.99999676499088797</v>
      </c>
      <c r="C558">
        <v>1.0304828654626399</v>
      </c>
      <c r="D558">
        <v>0.95699041799968398</v>
      </c>
      <c r="E558">
        <v>0.588767522735823</v>
      </c>
      <c r="F558">
        <v>0.208772024718863</v>
      </c>
      <c r="G558">
        <v>0.12890226598865101</v>
      </c>
      <c r="H558">
        <v>5.60127841510321E-2</v>
      </c>
      <c r="I558">
        <v>6.3927034298599597E-2</v>
      </c>
      <c r="J558">
        <v>6.6243838077368097E-2</v>
      </c>
      <c r="K558">
        <v>5.14433295035032E-2</v>
      </c>
      <c r="L558">
        <v>1485.33337266335</v>
      </c>
      <c r="M558">
        <v>29.657091753011599</v>
      </c>
      <c r="N558">
        <v>50.324129859613599</v>
      </c>
      <c r="O558">
        <v>49.857518999685801</v>
      </c>
      <c r="P558">
        <v>-0.138882684157562</v>
      </c>
      <c r="Q558">
        <v>6.6085193616543497E-2</v>
      </c>
      <c r="R558">
        <v>0.99784135314349198</v>
      </c>
      <c r="S558" t="s">
        <v>7561</v>
      </c>
      <c r="T558" t="s">
        <v>14004</v>
      </c>
      <c r="U558" t="s">
        <v>14004</v>
      </c>
      <c r="V558" t="s">
        <v>14004</v>
      </c>
      <c r="W558" t="s">
        <v>14556</v>
      </c>
      <c r="X558">
        <v>13</v>
      </c>
      <c r="Y558" t="s">
        <v>21495</v>
      </c>
      <c r="Z558" t="s">
        <v>28268</v>
      </c>
      <c r="AA558">
        <v>0.38591231280056049</v>
      </c>
      <c r="AB558" t="str">
        <f>HYPERLINK("Melting_Curves/meltCurve_E9PF19_TBL2.pdf", "Melting_Curves/meltCurve_E9PF19_TBL2.pdf")</f>
        <v>Melting_Curves/meltCurve_E9PF19_TBL2.pdf</v>
      </c>
    </row>
    <row r="559" spans="1:28" x14ac:dyDescent="0.25">
      <c r="A559" t="s">
        <v>563</v>
      </c>
      <c r="B559">
        <v>0.99999676499088797</v>
      </c>
      <c r="C559">
        <v>0.932043644114953</v>
      </c>
      <c r="D559">
        <v>0.74025472289001504</v>
      </c>
      <c r="E559">
        <v>0.56100851756369496</v>
      </c>
      <c r="F559">
        <v>0.33723523475031603</v>
      </c>
      <c r="G559">
        <v>0.22504673335870601</v>
      </c>
      <c r="H559">
        <v>8.6984690618011007E-2</v>
      </c>
      <c r="I559">
        <v>0.10714588986976201</v>
      </c>
      <c r="J559">
        <v>0.104984242036767</v>
      </c>
      <c r="K559">
        <v>6.2807430743608797E-2</v>
      </c>
      <c r="L559">
        <v>689.48030040742299</v>
      </c>
      <c r="M559">
        <v>13.815264808947299</v>
      </c>
      <c r="N559">
        <v>50.335483854136903</v>
      </c>
      <c r="O559">
        <v>48.896326342100501</v>
      </c>
      <c r="P559">
        <v>-6.6727416420153202E-2</v>
      </c>
      <c r="Q559">
        <v>5.5459045125277703E-2</v>
      </c>
      <c r="R559">
        <v>0.99521320747076003</v>
      </c>
      <c r="S559" t="s">
        <v>7562</v>
      </c>
      <c r="T559" t="s">
        <v>14004</v>
      </c>
      <c r="U559" t="s">
        <v>14004</v>
      </c>
      <c r="V559" t="s">
        <v>14004</v>
      </c>
      <c r="W559" t="s">
        <v>14557</v>
      </c>
      <c r="X559">
        <v>7</v>
      </c>
      <c r="Y559" t="s">
        <v>21496</v>
      </c>
      <c r="Z559" t="s">
        <v>28269</v>
      </c>
      <c r="AA559">
        <v>0.39346569748576221</v>
      </c>
      <c r="AB559" t="str">
        <f>HYPERLINK("Melting_Curves/meltCurve_E9PFK9_RABGEF1.pdf", "Melting_Curves/meltCurve_E9PFK9_RABGEF1.pdf")</f>
        <v>Melting_Curves/meltCurve_E9PFK9_RABGEF1.pdf</v>
      </c>
    </row>
    <row r="560" spans="1:28" x14ac:dyDescent="0.25">
      <c r="A560" t="s">
        <v>564</v>
      </c>
      <c r="B560">
        <v>0.99999676499088797</v>
      </c>
      <c r="C560">
        <v>1.00969443585937</v>
      </c>
      <c r="D560">
        <v>0.94014479885732105</v>
      </c>
      <c r="E560">
        <v>0.91392382475813205</v>
      </c>
      <c r="F560">
        <v>0.64429217537603001</v>
      </c>
      <c r="G560">
        <v>0.43703906102133</v>
      </c>
      <c r="H560">
        <v>0.23787626591675201</v>
      </c>
      <c r="I560">
        <v>0.10595666770614399</v>
      </c>
      <c r="J560">
        <v>9.7468028284459704E-2</v>
      </c>
      <c r="K560">
        <v>0.109497221417326</v>
      </c>
      <c r="L560">
        <v>944.86858794788498</v>
      </c>
      <c r="M560">
        <v>17.125069830469499</v>
      </c>
      <c r="N560">
        <v>55.604139227205202</v>
      </c>
      <c r="O560">
        <v>54.438701483323399</v>
      </c>
      <c r="P560">
        <v>-7.3775553698799304E-2</v>
      </c>
      <c r="Q560">
        <v>6.1958963553239099E-2</v>
      </c>
      <c r="R560">
        <v>0.99588769712835501</v>
      </c>
      <c r="S560" t="s">
        <v>7563</v>
      </c>
      <c r="T560" t="s">
        <v>14004</v>
      </c>
      <c r="U560" t="s">
        <v>14004</v>
      </c>
      <c r="V560" t="s">
        <v>14004</v>
      </c>
      <c r="W560" t="s">
        <v>14558</v>
      </c>
      <c r="X560">
        <v>11</v>
      </c>
      <c r="Y560" t="s">
        <v>21497</v>
      </c>
      <c r="Z560" t="s">
        <v>28270</v>
      </c>
      <c r="AA560">
        <v>0.55179653562575526</v>
      </c>
      <c r="AB560" t="str">
        <f>HYPERLINK("Melting_Curves/meltCurve_E9PFP8_PCBP3.pdf", "Melting_Curves/meltCurve_E9PFP8_PCBP3.pdf")</f>
        <v>Melting_Curves/meltCurve_E9PFP8_PCBP3.pdf</v>
      </c>
    </row>
    <row r="561" spans="1:28" x14ac:dyDescent="0.25">
      <c r="A561" t="s">
        <v>565</v>
      </c>
      <c r="B561">
        <v>0.99999676499088797</v>
      </c>
      <c r="C561">
        <v>0.79282231419339699</v>
      </c>
      <c r="D561">
        <v>0.53162312860077399</v>
      </c>
      <c r="E561">
        <v>0.22541579450334301</v>
      </c>
      <c r="F561">
        <v>0.133867123227046</v>
      </c>
      <c r="G561">
        <v>8.5927140055439596E-2</v>
      </c>
      <c r="H561">
        <v>4.95457721749058E-2</v>
      </c>
      <c r="I561">
        <v>5.1375071328160798E-2</v>
      </c>
      <c r="J561">
        <v>4.2214335793154797E-2</v>
      </c>
      <c r="K561">
        <v>3.7852698785703798E-2</v>
      </c>
      <c r="L561">
        <v>895.46018594439204</v>
      </c>
      <c r="M561">
        <v>19.454239924070301</v>
      </c>
      <c r="N561">
        <v>46.268729001818599</v>
      </c>
      <c r="O561">
        <v>45.550970941727499</v>
      </c>
      <c r="P561">
        <v>-0.101657695968755</v>
      </c>
      <c r="Q561">
        <v>4.7932247998227998E-2</v>
      </c>
      <c r="R561">
        <v>0.99658551015893004</v>
      </c>
      <c r="S561" t="s">
        <v>7564</v>
      </c>
      <c r="T561" t="s">
        <v>14004</v>
      </c>
      <c r="U561" t="s">
        <v>14004</v>
      </c>
      <c r="V561" t="s">
        <v>14004</v>
      </c>
      <c r="W561" t="s">
        <v>14559</v>
      </c>
      <c r="X561">
        <v>21</v>
      </c>
      <c r="Y561" t="s">
        <v>21498</v>
      </c>
      <c r="Z561" t="s">
        <v>28271</v>
      </c>
      <c r="AA561">
        <v>0.25491344469475308</v>
      </c>
      <c r="AB561" t="str">
        <f>HYPERLINK("Melting_Curves/meltCurve_E9PFR3_PPP2R5D.pdf", "Melting_Curves/meltCurve_E9PFR3_PPP2R5D.pdf")</f>
        <v>Melting_Curves/meltCurve_E9PFR3_PPP2R5D.pdf</v>
      </c>
    </row>
    <row r="562" spans="1:28" x14ac:dyDescent="0.25">
      <c r="A562" t="s">
        <v>566</v>
      </c>
      <c r="B562">
        <v>0.99999676499088797</v>
      </c>
      <c r="C562">
        <v>1.0791031397619799</v>
      </c>
      <c r="D562">
        <v>1.0338094287478801</v>
      </c>
      <c r="E562">
        <v>1.1810082561895601</v>
      </c>
      <c r="F562">
        <v>1.2789748749136001</v>
      </c>
      <c r="G562">
        <v>0.92900396372527205</v>
      </c>
      <c r="H562">
        <v>0.68567335447114697</v>
      </c>
      <c r="I562">
        <v>0.52334482002379601</v>
      </c>
      <c r="J562">
        <v>0.44378774870368898</v>
      </c>
      <c r="K562">
        <v>0.67127149359406002</v>
      </c>
      <c r="L562">
        <v>2974.8081306198001</v>
      </c>
      <c r="M562">
        <v>49.901773729333598</v>
      </c>
      <c r="O562">
        <v>59.517758907175597</v>
      </c>
      <c r="P562">
        <v>-9.5495777040414995E-2</v>
      </c>
      <c r="Q562">
        <v>0.54440969337177403</v>
      </c>
      <c r="R562">
        <v>0.79700575547402797</v>
      </c>
      <c r="S562" t="s">
        <v>7565</v>
      </c>
      <c r="T562" t="s">
        <v>14004</v>
      </c>
      <c r="U562" t="s">
        <v>14004</v>
      </c>
      <c r="V562" t="s">
        <v>14004</v>
      </c>
      <c r="W562" t="s">
        <v>14560</v>
      </c>
      <c r="X562">
        <v>5</v>
      </c>
      <c r="Y562" t="s">
        <v>21499</v>
      </c>
      <c r="Z562" t="s">
        <v>28272</v>
      </c>
      <c r="AA562">
        <v>0.84345038132161843</v>
      </c>
      <c r="AB562" t="str">
        <f>HYPERLINK("Melting_Curves/meltCurve_E9PFU9_ZFAND2B.pdf", "Melting_Curves/meltCurve_E9PFU9_ZFAND2B.pdf")</f>
        <v>Melting_Curves/meltCurve_E9PFU9_ZFAND2B.pdf</v>
      </c>
    </row>
    <row r="563" spans="1:28" x14ac:dyDescent="0.25">
      <c r="A563" t="s">
        <v>567</v>
      </c>
      <c r="B563">
        <v>0.99999676499088797</v>
      </c>
      <c r="C563">
        <v>0.86852582769458497</v>
      </c>
      <c r="D563">
        <v>0.271082507423277</v>
      </c>
      <c r="E563">
        <v>0.146155577972748</v>
      </c>
      <c r="F563">
        <v>8.6674740875661502E-2</v>
      </c>
      <c r="G563">
        <v>0.10413777218971899</v>
      </c>
      <c r="H563">
        <v>3.9923344123306503E-2</v>
      </c>
      <c r="I563">
        <v>5.6687854942922701E-2</v>
      </c>
      <c r="J563">
        <v>4.9124652969184598E-2</v>
      </c>
      <c r="K563">
        <v>3.3016961086449297E-2</v>
      </c>
      <c r="L563">
        <v>1891.5004292776</v>
      </c>
      <c r="M563">
        <v>42.345378734504898</v>
      </c>
      <c r="N563">
        <v>44.8291660694074</v>
      </c>
      <c r="O563">
        <v>44.569125848392702</v>
      </c>
      <c r="P563">
        <v>-0.22079445410575599</v>
      </c>
      <c r="Q563">
        <v>7.0444011484592894E-2</v>
      </c>
      <c r="R563">
        <v>0.99283572107016205</v>
      </c>
      <c r="S563" t="s">
        <v>7566</v>
      </c>
      <c r="T563" t="s">
        <v>14004</v>
      </c>
      <c r="U563" t="s">
        <v>14004</v>
      </c>
      <c r="V563" t="s">
        <v>14004</v>
      </c>
      <c r="W563" t="s">
        <v>14561</v>
      </c>
      <c r="X563">
        <v>2</v>
      </c>
      <c r="Y563" t="s">
        <v>21500</v>
      </c>
      <c r="Z563" t="s">
        <v>28273</v>
      </c>
      <c r="AA563">
        <v>0.21783366405163529</v>
      </c>
      <c r="AB563" t="str">
        <f>HYPERLINK("Melting_Curves/meltCurve_E9PG19_FCHSD2.pdf", "Melting_Curves/meltCurve_E9PG19_FCHSD2.pdf")</f>
        <v>Melting_Curves/meltCurve_E9PG19_FCHSD2.pdf</v>
      </c>
    </row>
    <row r="564" spans="1:28" x14ac:dyDescent="0.25">
      <c r="A564" t="s">
        <v>568</v>
      </c>
      <c r="B564">
        <v>0.99999676499088797</v>
      </c>
      <c r="C564">
        <v>0.87042363653326604</v>
      </c>
      <c r="D564">
        <v>0.63322677897816004</v>
      </c>
      <c r="E564">
        <v>0.25164774535794698</v>
      </c>
      <c r="F564">
        <v>0.19461025085865499</v>
      </c>
      <c r="G564">
        <v>0.117722788294327</v>
      </c>
      <c r="H564">
        <v>6.1228498590669499E-2</v>
      </c>
      <c r="I564">
        <v>5.51740941206623E-2</v>
      </c>
      <c r="J564">
        <v>5.1100032188395199E-2</v>
      </c>
      <c r="K564">
        <v>5.2886516057318103E-2</v>
      </c>
      <c r="L564">
        <v>953.50912666083195</v>
      </c>
      <c r="M564">
        <v>20.345362387289999</v>
      </c>
      <c r="N564">
        <v>47.1828524530751</v>
      </c>
      <c r="O564">
        <v>46.4204413685069</v>
      </c>
      <c r="P564">
        <v>-0.10258128586468</v>
      </c>
      <c r="Q564">
        <v>6.3821301415635204E-2</v>
      </c>
      <c r="R564">
        <v>0.99406678407320004</v>
      </c>
      <c r="S564" t="s">
        <v>7567</v>
      </c>
      <c r="T564" t="s">
        <v>14004</v>
      </c>
      <c r="U564" t="s">
        <v>14004</v>
      </c>
      <c r="V564" t="s">
        <v>14004</v>
      </c>
      <c r="W564" t="s">
        <v>14562</v>
      </c>
      <c r="X564">
        <v>9</v>
      </c>
      <c r="Y564" t="s">
        <v>21501</v>
      </c>
      <c r="Z564" t="s">
        <v>28274</v>
      </c>
      <c r="AA564">
        <v>0.29135393492014239</v>
      </c>
      <c r="AB564" t="str">
        <f>HYPERLINK("Melting_Curves/meltCurve_E9PG22_CEP97.pdf", "Melting_Curves/meltCurve_E9PG22_CEP97.pdf")</f>
        <v>Melting_Curves/meltCurve_E9PG22_CEP97.pdf</v>
      </c>
    </row>
    <row r="565" spans="1:28" x14ac:dyDescent="0.25">
      <c r="A565" t="s">
        <v>569</v>
      </c>
      <c r="B565">
        <v>0.99999676499088797</v>
      </c>
      <c r="C565">
        <v>0.992175577634544</v>
      </c>
      <c r="D565">
        <v>0.87121182134187303</v>
      </c>
      <c r="E565">
        <v>0.75982750585310199</v>
      </c>
      <c r="F565">
        <v>0.239453628707162</v>
      </c>
      <c r="G565">
        <v>0.20913550327602901</v>
      </c>
      <c r="H565">
        <v>0.112515540880506</v>
      </c>
      <c r="I565">
        <v>0.15518253616637601</v>
      </c>
      <c r="J565">
        <v>0.15031627192758701</v>
      </c>
      <c r="K565">
        <v>0.135539809628375</v>
      </c>
      <c r="L565">
        <v>1814.99788861707</v>
      </c>
      <c r="M565">
        <v>35.818437409055399</v>
      </c>
      <c r="N565">
        <v>51.155298224697702</v>
      </c>
      <c r="O565">
        <v>50.5149800458085</v>
      </c>
      <c r="P565">
        <v>-0.15182865016338601</v>
      </c>
      <c r="Q565">
        <v>0.14350261657848901</v>
      </c>
      <c r="R565">
        <v>0.98727338907333395</v>
      </c>
      <c r="S565" t="s">
        <v>7568</v>
      </c>
      <c r="T565" t="s">
        <v>14004</v>
      </c>
      <c r="U565" t="s">
        <v>14004</v>
      </c>
      <c r="V565" t="s">
        <v>14004</v>
      </c>
      <c r="W565" t="s">
        <v>14563</v>
      </c>
      <c r="X565">
        <v>5</v>
      </c>
      <c r="Y565" t="s">
        <v>21502</v>
      </c>
      <c r="Z565" t="s">
        <v>28275</v>
      </c>
      <c r="AA565">
        <v>0.45194022584132632</v>
      </c>
      <c r="AB565" t="str">
        <f>HYPERLINK("Melting_Curves/meltCurve_E9PG35_MCCC1.pdf", "Melting_Curves/meltCurve_E9PG35_MCCC1.pdf")</f>
        <v>Melting_Curves/meltCurve_E9PG35_MCCC1.pdf</v>
      </c>
    </row>
    <row r="566" spans="1:28" x14ac:dyDescent="0.25">
      <c r="A566" t="s">
        <v>570</v>
      </c>
      <c r="B566">
        <v>0.99999676499088797</v>
      </c>
      <c r="C566">
        <v>0.98559201109713201</v>
      </c>
      <c r="D566">
        <v>0.78585761949231303</v>
      </c>
      <c r="E566">
        <v>0.34511099887653401</v>
      </c>
      <c r="F566">
        <v>0.166464241671786</v>
      </c>
      <c r="G566">
        <v>0.255970237482746</v>
      </c>
      <c r="H566">
        <v>6.1601588244515802E-2</v>
      </c>
      <c r="I566">
        <v>6.7077766156176596E-2</v>
      </c>
      <c r="J566">
        <v>6.2612003356267196E-2</v>
      </c>
      <c r="K566">
        <v>3.9073363687809698E-2</v>
      </c>
      <c r="L566">
        <v>1211.5805415397499</v>
      </c>
      <c r="M566">
        <v>25.217810079110599</v>
      </c>
      <c r="N566">
        <v>48.422240896134099</v>
      </c>
      <c r="O566">
        <v>47.745575703185402</v>
      </c>
      <c r="P566">
        <v>-0.120257298170816</v>
      </c>
      <c r="Q566">
        <v>8.9266084359476597E-2</v>
      </c>
      <c r="R566">
        <v>0.97944658060897305</v>
      </c>
      <c r="S566" t="s">
        <v>7569</v>
      </c>
      <c r="T566" t="s">
        <v>14004</v>
      </c>
      <c r="U566" t="s">
        <v>14004</v>
      </c>
      <c r="V566" t="s">
        <v>14004</v>
      </c>
      <c r="W566" t="s">
        <v>14564</v>
      </c>
      <c r="X566">
        <v>9</v>
      </c>
      <c r="Y566" t="s">
        <v>21503</v>
      </c>
      <c r="Z566" t="s">
        <v>28276</v>
      </c>
      <c r="AA566">
        <v>0.3413857684199883</v>
      </c>
      <c r="AB566" t="str">
        <f>HYPERLINK("Melting_Curves/meltCurve_E9PGC0_RASA1.pdf", "Melting_Curves/meltCurve_E9PGC0_RASA1.pdf")</f>
        <v>Melting_Curves/meltCurve_E9PGC0_RASA1.pdf</v>
      </c>
    </row>
    <row r="567" spans="1:28" x14ac:dyDescent="0.25">
      <c r="A567" t="s">
        <v>571</v>
      </c>
      <c r="B567">
        <v>0.99999676499088797</v>
      </c>
      <c r="C567">
        <v>0.96548565820329602</v>
      </c>
      <c r="D567">
        <v>0.90624933433634902</v>
      </c>
      <c r="E567">
        <v>0.76188326289178798</v>
      </c>
      <c r="F567">
        <v>0.43604124471400402</v>
      </c>
      <c r="G567">
        <v>0.28182786857171699</v>
      </c>
      <c r="H567">
        <v>0.18135018799180599</v>
      </c>
      <c r="I567">
        <v>0.17937926815001401</v>
      </c>
      <c r="J567">
        <v>0.18688405241119399</v>
      </c>
      <c r="K567">
        <v>0.18849434704641199</v>
      </c>
      <c r="L567">
        <v>1070.7543447857099</v>
      </c>
      <c r="M567">
        <v>20.8142362633231</v>
      </c>
      <c r="N567">
        <v>52.501185728880699</v>
      </c>
      <c r="O567">
        <v>50.975573669320902</v>
      </c>
      <c r="P567">
        <v>-8.4598501719298405E-2</v>
      </c>
      <c r="Q567">
        <v>0.171271575800343</v>
      </c>
      <c r="R567">
        <v>0.99749337729781695</v>
      </c>
      <c r="S567" t="s">
        <v>7570</v>
      </c>
      <c r="T567" t="s">
        <v>14004</v>
      </c>
      <c r="U567" t="s">
        <v>14004</v>
      </c>
      <c r="V567" t="s">
        <v>14004</v>
      </c>
      <c r="W567" t="s">
        <v>14565</v>
      </c>
      <c r="X567">
        <v>73</v>
      </c>
      <c r="Y567" t="s">
        <v>21504</v>
      </c>
      <c r="Z567" t="s">
        <v>28277</v>
      </c>
      <c r="AA567">
        <v>0.49805942847101309</v>
      </c>
      <c r="AB567" t="str">
        <f>HYPERLINK("Melting_Curves/meltCurve_E9PGC8_MAP1A.pdf", "Melting_Curves/meltCurve_E9PGC8_MAP1A.pdf")</f>
        <v>Melting_Curves/meltCurve_E9PGC8_MAP1A.pdf</v>
      </c>
    </row>
    <row r="568" spans="1:28" x14ac:dyDescent="0.25">
      <c r="A568" t="s">
        <v>572</v>
      </c>
      <c r="B568">
        <v>0.99999676499088797</v>
      </c>
      <c r="C568">
        <v>1.07179915616918</v>
      </c>
      <c r="D568">
        <v>1.0137332014168701</v>
      </c>
      <c r="E568">
        <v>0.56655776527606605</v>
      </c>
      <c r="F568">
        <v>0.28262014211597403</v>
      </c>
      <c r="G568">
        <v>0.19092664322127301</v>
      </c>
      <c r="H568">
        <v>9.5016453841170995E-2</v>
      </c>
      <c r="I568">
        <v>0.123917026783088</v>
      </c>
      <c r="J568">
        <v>0.149610959214839</v>
      </c>
      <c r="K568">
        <v>0.130886405867912</v>
      </c>
      <c r="L568">
        <v>1624.6112270748199</v>
      </c>
      <c r="M568">
        <v>32.5950610422219</v>
      </c>
      <c r="N568">
        <v>50.348393683952303</v>
      </c>
      <c r="O568">
        <v>49.655768327872998</v>
      </c>
      <c r="P568">
        <v>-0.14118027814909401</v>
      </c>
      <c r="Q568">
        <v>0.13970005272643399</v>
      </c>
      <c r="R568">
        <v>0.98852076520350596</v>
      </c>
      <c r="S568" t="s">
        <v>7571</v>
      </c>
      <c r="T568" t="s">
        <v>14004</v>
      </c>
      <c r="U568" t="s">
        <v>14004</v>
      </c>
      <c r="V568" t="s">
        <v>14004</v>
      </c>
      <c r="W568" t="s">
        <v>14566</v>
      </c>
      <c r="X568">
        <v>4</v>
      </c>
      <c r="Y568" t="s">
        <v>21505</v>
      </c>
      <c r="Z568" t="s">
        <v>28278</v>
      </c>
      <c r="AA568">
        <v>0.42642912470124023</v>
      </c>
      <c r="AB568" t="str">
        <f>HYPERLINK("Melting_Curves/meltCurve_E9PGE5_TBC1D23.pdf", "Melting_Curves/meltCurve_E9PGE5_TBC1D23.pdf")</f>
        <v>Melting_Curves/meltCurve_E9PGE5_TBC1D23.pdf</v>
      </c>
    </row>
    <row r="569" spans="1:28" x14ac:dyDescent="0.25">
      <c r="A569" t="s">
        <v>573</v>
      </c>
      <c r="B569">
        <v>0.99999676499088797</v>
      </c>
      <c r="C569">
        <v>0.95558008781340298</v>
      </c>
      <c r="D569">
        <v>0.92094068482733304</v>
      </c>
      <c r="E569">
        <v>0.79204593740842399</v>
      </c>
      <c r="F569">
        <v>0.40309136488870301</v>
      </c>
      <c r="G569">
        <v>0.21293399567458399</v>
      </c>
      <c r="H569">
        <v>0.102697644358461</v>
      </c>
      <c r="I569">
        <v>8.9634067953549806E-2</v>
      </c>
      <c r="J569">
        <v>0.106606544165009</v>
      </c>
      <c r="K569">
        <v>8.6158782237796799E-2</v>
      </c>
      <c r="L569">
        <v>1181.81351259704</v>
      </c>
      <c r="M569">
        <v>22.758403389774301</v>
      </c>
      <c r="N569">
        <v>52.356472973847801</v>
      </c>
      <c r="O569">
        <v>51.532735023039997</v>
      </c>
      <c r="P569">
        <v>-0.10104203020463599</v>
      </c>
      <c r="Q569">
        <v>8.4844662848949703E-2</v>
      </c>
      <c r="R569">
        <v>0.99713288839014602</v>
      </c>
      <c r="S569" t="s">
        <v>7572</v>
      </c>
      <c r="T569" t="s">
        <v>14004</v>
      </c>
      <c r="U569" t="s">
        <v>14004</v>
      </c>
      <c r="V569" t="s">
        <v>14004</v>
      </c>
      <c r="W569" t="s">
        <v>14567</v>
      </c>
      <c r="X569">
        <v>6</v>
      </c>
      <c r="Y569" t="s">
        <v>21506</v>
      </c>
      <c r="Z569" t="s">
        <v>28279</v>
      </c>
      <c r="AA569">
        <v>0.45871624232981478</v>
      </c>
      <c r="AB569" t="str">
        <f>HYPERLINK("Melting_Curves/meltCurve_E9PGF9_MGEA5.pdf", "Melting_Curves/meltCurve_E9PGF9_MGEA5.pdf")</f>
        <v>Melting_Curves/meltCurve_E9PGF9_MGEA5.pdf</v>
      </c>
    </row>
    <row r="570" spans="1:28" x14ac:dyDescent="0.25">
      <c r="A570" t="s">
        <v>574</v>
      </c>
      <c r="B570">
        <v>0.99999676499088797</v>
      </c>
      <c r="C570">
        <v>0.988778111422144</v>
      </c>
      <c r="D570">
        <v>0.97329004864838198</v>
      </c>
      <c r="E570">
        <v>1.09945404919554</v>
      </c>
      <c r="F570">
        <v>1.2422243243778901</v>
      </c>
      <c r="G570">
        <v>1.0963189394453701</v>
      </c>
      <c r="H570">
        <v>0.83869426109674405</v>
      </c>
      <c r="I570">
        <v>0.61683261758465102</v>
      </c>
      <c r="J570">
        <v>0.57177620690378905</v>
      </c>
      <c r="K570">
        <v>0.72792595378977798</v>
      </c>
      <c r="L570">
        <v>15000</v>
      </c>
      <c r="M570">
        <v>246.496266729534</v>
      </c>
      <c r="O570">
        <v>60.848842971800302</v>
      </c>
      <c r="P570">
        <v>-0.36575679732222799</v>
      </c>
      <c r="Q570">
        <v>0.63884438197587301</v>
      </c>
      <c r="R570">
        <v>0.790662096761789</v>
      </c>
      <c r="S570" t="s">
        <v>7573</v>
      </c>
      <c r="T570" t="s">
        <v>14004</v>
      </c>
      <c r="U570" t="s">
        <v>14004</v>
      </c>
      <c r="V570" t="s">
        <v>14004</v>
      </c>
      <c r="W570" t="s">
        <v>14568</v>
      </c>
      <c r="X570">
        <v>3</v>
      </c>
      <c r="Y570" t="s">
        <v>21507</v>
      </c>
      <c r="Z570" t="s">
        <v>28280</v>
      </c>
      <c r="AA570">
        <v>0.88992150386855973</v>
      </c>
      <c r="AB570" t="str">
        <f>HYPERLINK("Melting_Curves/meltCurve_E9PGQ0_SLC25A44.pdf", "Melting_Curves/meltCurve_E9PGQ0_SLC25A44.pdf")</f>
        <v>Melting_Curves/meltCurve_E9PGQ0_SLC25A44.pdf</v>
      </c>
    </row>
    <row r="571" spans="1:28" x14ac:dyDescent="0.25">
      <c r="A571" t="s">
        <v>575</v>
      </c>
      <c r="B571">
        <v>0.99999676499088797</v>
      </c>
      <c r="C571">
        <v>0.90590317740028203</v>
      </c>
      <c r="D571">
        <v>0.85418561129607795</v>
      </c>
      <c r="E571">
        <v>0.39693011778654202</v>
      </c>
      <c r="F571">
        <v>0.19735946495423801</v>
      </c>
      <c r="G571">
        <v>0.13348662605289499</v>
      </c>
      <c r="H571">
        <v>7.96004263920808E-2</v>
      </c>
      <c r="I571">
        <v>7.3170287693027594E-2</v>
      </c>
      <c r="J571">
        <v>7.19429839060724E-2</v>
      </c>
      <c r="K571">
        <v>8.84815468583416E-2</v>
      </c>
      <c r="L571">
        <v>1194.7859509119901</v>
      </c>
      <c r="M571">
        <v>24.605906387413199</v>
      </c>
      <c r="N571">
        <v>48.917997687832901</v>
      </c>
      <c r="O571">
        <v>48.239588400443203</v>
      </c>
      <c r="P571">
        <v>-0.11693034000986199</v>
      </c>
      <c r="Q571">
        <v>8.3051362848326205E-2</v>
      </c>
      <c r="R571">
        <v>0.99447520966491898</v>
      </c>
      <c r="S571" t="s">
        <v>7574</v>
      </c>
      <c r="T571" t="s">
        <v>14004</v>
      </c>
      <c r="U571" t="s">
        <v>14004</v>
      </c>
      <c r="V571" t="s">
        <v>14004</v>
      </c>
      <c r="W571" t="s">
        <v>14569</v>
      </c>
      <c r="X571">
        <v>50</v>
      </c>
      <c r="Y571" t="s">
        <v>21508</v>
      </c>
      <c r="Z571" t="s">
        <v>28281</v>
      </c>
      <c r="AA571">
        <v>0.35297290166663109</v>
      </c>
      <c r="AB571" t="str">
        <f>HYPERLINK("Melting_Curves/meltCurve_E9PGQ4_FNBP1.pdf", "Melting_Curves/meltCurve_E9PGQ4_FNBP1.pdf")</f>
        <v>Melting_Curves/meltCurve_E9PGQ4_FNBP1.pdf</v>
      </c>
    </row>
    <row r="572" spans="1:28" x14ac:dyDescent="0.25">
      <c r="A572" t="s">
        <v>576</v>
      </c>
      <c r="B572">
        <v>0.99999676499088797</v>
      </c>
      <c r="C572">
        <v>0.91508827042742102</v>
      </c>
      <c r="D572">
        <v>0.90195143098910002</v>
      </c>
      <c r="E572">
        <v>0.84989849390901495</v>
      </c>
      <c r="F572">
        <v>0.72187683453074303</v>
      </c>
      <c r="G572">
        <v>0.66515930972450399</v>
      </c>
      <c r="H572">
        <v>0.33434562581906802</v>
      </c>
      <c r="I572">
        <v>0.21374964178552699</v>
      </c>
      <c r="J572">
        <v>0.11445974162252499</v>
      </c>
      <c r="K572">
        <v>0.100710520655325</v>
      </c>
      <c r="L572">
        <v>713.19700982972597</v>
      </c>
      <c r="M572">
        <v>12.322231678354299</v>
      </c>
      <c r="N572">
        <v>57.878896554471901</v>
      </c>
      <c r="O572">
        <v>56.417858055879002</v>
      </c>
      <c r="P572">
        <v>-5.4614410278041002E-2</v>
      </c>
      <c r="Q572">
        <v>0</v>
      </c>
      <c r="R572">
        <v>0.97831147549397701</v>
      </c>
      <c r="S572" t="s">
        <v>7575</v>
      </c>
      <c r="T572" t="s">
        <v>14004</v>
      </c>
      <c r="U572" t="s">
        <v>14004</v>
      </c>
      <c r="V572" t="s">
        <v>14004</v>
      </c>
      <c r="W572" t="s">
        <v>14570</v>
      </c>
      <c r="X572">
        <v>19</v>
      </c>
      <c r="Y572" t="s">
        <v>21509</v>
      </c>
      <c r="Z572" t="s">
        <v>28282</v>
      </c>
      <c r="AA572">
        <v>0.60940222747905348</v>
      </c>
      <c r="AB572" t="str">
        <f>HYPERLINK("Melting_Curves/meltCurve_E9PGT1_TSN.pdf", "Melting_Curves/meltCurve_E9PGT1_TSN.pdf")</f>
        <v>Melting_Curves/meltCurve_E9PGT1_TSN.pdf</v>
      </c>
    </row>
    <row r="573" spans="1:28" x14ac:dyDescent="0.25">
      <c r="A573" t="s">
        <v>577</v>
      </c>
      <c r="B573">
        <v>0.99999676499088797</v>
      </c>
      <c r="C573">
        <v>0.97129155564971703</v>
      </c>
      <c r="D573">
        <v>0.92386978392068797</v>
      </c>
      <c r="E573">
        <v>0.64846828795442701</v>
      </c>
      <c r="F573">
        <v>0.23433357180535599</v>
      </c>
      <c r="G573">
        <v>0.16424030075219501</v>
      </c>
      <c r="H573">
        <v>6.9777292608972197E-2</v>
      </c>
      <c r="I573">
        <v>5.6028581587823902E-2</v>
      </c>
      <c r="J573">
        <v>4.8179538791064E-2</v>
      </c>
      <c r="K573">
        <v>4.4210824030580097E-2</v>
      </c>
      <c r="L573">
        <v>1250.6411888651</v>
      </c>
      <c r="M573">
        <v>24.7507025965519</v>
      </c>
      <c r="N573">
        <v>50.771866873990398</v>
      </c>
      <c r="O573">
        <v>50.203132616561199</v>
      </c>
      <c r="P573">
        <v>-0.11638748923530599</v>
      </c>
      <c r="Q573">
        <v>5.5714112448456303E-2</v>
      </c>
      <c r="R573">
        <v>0.99721026962662296</v>
      </c>
      <c r="S573" t="s">
        <v>7576</v>
      </c>
      <c r="T573" t="s">
        <v>14004</v>
      </c>
      <c r="U573" t="s">
        <v>14004</v>
      </c>
      <c r="V573" t="s">
        <v>14004</v>
      </c>
      <c r="W573" t="s">
        <v>14571</v>
      </c>
      <c r="X573">
        <v>24</v>
      </c>
      <c r="Y573" t="s">
        <v>21510</v>
      </c>
      <c r="Z573" t="s">
        <v>28283</v>
      </c>
      <c r="AA573">
        <v>0.39580107808830189</v>
      </c>
      <c r="AB573" t="str">
        <f>HYPERLINK("Melting_Curves/meltCurve_E9PGT3_RPS6KA1.pdf", "Melting_Curves/meltCurve_E9PGT3_RPS6KA1.pdf")</f>
        <v>Melting_Curves/meltCurve_E9PGT3_RPS6KA1.pdf</v>
      </c>
    </row>
    <row r="574" spans="1:28" x14ac:dyDescent="0.25">
      <c r="A574" t="s">
        <v>578</v>
      </c>
      <c r="B574">
        <v>0.99999676499088797</v>
      </c>
      <c r="C574">
        <v>1.0413153855133399</v>
      </c>
      <c r="D574">
        <v>1.0137072687895301</v>
      </c>
      <c r="E574">
        <v>0.97956996265460805</v>
      </c>
      <c r="F574">
        <v>0.61700897111798203</v>
      </c>
      <c r="G574">
        <v>0.27423253992957902</v>
      </c>
      <c r="H574">
        <v>0.28510564720959097</v>
      </c>
      <c r="I574">
        <v>0.19801687846483301</v>
      </c>
      <c r="J574">
        <v>0.101697040869742</v>
      </c>
      <c r="K574">
        <v>9.6477648170322505E-2</v>
      </c>
      <c r="L574">
        <v>1663.0594309833</v>
      </c>
      <c r="M574">
        <v>31.0012666092369</v>
      </c>
      <c r="N574">
        <v>54.314294053959898</v>
      </c>
      <c r="O574">
        <v>53.423160178413703</v>
      </c>
      <c r="P574">
        <v>-0.12203938540405899</v>
      </c>
      <c r="Q574">
        <v>0.158783848145165</v>
      </c>
      <c r="R574">
        <v>0.98437191521569301</v>
      </c>
      <c r="S574" t="s">
        <v>7577</v>
      </c>
      <c r="T574" t="s">
        <v>14004</v>
      </c>
      <c r="U574" t="s">
        <v>14004</v>
      </c>
      <c r="V574" t="s">
        <v>14004</v>
      </c>
      <c r="W574" t="s">
        <v>14572</v>
      </c>
      <c r="X574">
        <v>5</v>
      </c>
      <c r="Y574" t="s">
        <v>21511</v>
      </c>
      <c r="Z574" t="s">
        <v>28284</v>
      </c>
      <c r="AA574">
        <v>0.54655541491451975</v>
      </c>
      <c r="AB574" t="str">
        <f>HYPERLINK("Melting_Curves/meltCurve_E9PGT6_COPS8.pdf", "Melting_Curves/meltCurve_E9PGT6_COPS8.pdf")</f>
        <v>Melting_Curves/meltCurve_E9PGT6_COPS8.pdf</v>
      </c>
    </row>
    <row r="575" spans="1:28" x14ac:dyDescent="0.25">
      <c r="A575" t="s">
        <v>579</v>
      </c>
      <c r="B575">
        <v>0.99999676499088797</v>
      </c>
      <c r="C575">
        <v>1.02225622460559</v>
      </c>
      <c r="D575">
        <v>1.0335476777552299</v>
      </c>
      <c r="E575">
        <v>0.98331934903775498</v>
      </c>
      <c r="F575">
        <v>0.91554960119055195</v>
      </c>
      <c r="G575">
        <v>0.777362165938007</v>
      </c>
      <c r="H575">
        <v>0.248393321898842</v>
      </c>
      <c r="I575">
        <v>0.127152598108386</v>
      </c>
      <c r="J575">
        <v>8.2230441797589093E-2</v>
      </c>
      <c r="K575">
        <v>5.9271854401844702E-2</v>
      </c>
      <c r="L575">
        <v>2018.83393507592</v>
      </c>
      <c r="M575">
        <v>34.499116457874599</v>
      </c>
      <c r="N575">
        <v>58.757690301088303</v>
      </c>
      <c r="O575">
        <v>58.322851470748901</v>
      </c>
      <c r="P575">
        <v>-0.138189960870617</v>
      </c>
      <c r="Q575">
        <v>6.5529437454996398E-2</v>
      </c>
      <c r="R575">
        <v>0.99644830584928401</v>
      </c>
      <c r="S575" t="s">
        <v>7578</v>
      </c>
      <c r="T575" t="s">
        <v>14004</v>
      </c>
      <c r="U575" t="s">
        <v>14004</v>
      </c>
      <c r="V575" t="s">
        <v>14004</v>
      </c>
      <c r="W575" t="s">
        <v>14573</v>
      </c>
      <c r="X575">
        <v>13</v>
      </c>
      <c r="Y575" t="s">
        <v>21512</v>
      </c>
      <c r="Z575" t="s">
        <v>28285</v>
      </c>
      <c r="AA575">
        <v>0.64717509208211965</v>
      </c>
      <c r="AB575" t="str">
        <f>HYPERLINK("Melting_Curves/meltCurve_E9PH29_PRDX3.pdf", "Melting_Curves/meltCurve_E9PH29_PRDX3.pdf")</f>
        <v>Melting_Curves/meltCurve_E9PH29_PRDX3.pdf</v>
      </c>
    </row>
    <row r="576" spans="1:28" x14ac:dyDescent="0.25">
      <c r="A576" t="s">
        <v>580</v>
      </c>
      <c r="B576">
        <v>0.99999676499088797</v>
      </c>
      <c r="C576">
        <v>1.0035465746561201</v>
      </c>
      <c r="D576">
        <v>1.0701663639339201</v>
      </c>
      <c r="E576">
        <v>1.32894987076728</v>
      </c>
      <c r="F576">
        <v>1.0793475008247</v>
      </c>
      <c r="G576">
        <v>0.32779288797921102</v>
      </c>
      <c r="H576">
        <v>0.11725102724535701</v>
      </c>
      <c r="I576">
        <v>8.6662051058553499E-2</v>
      </c>
      <c r="J576">
        <v>9.53848905685796E-2</v>
      </c>
      <c r="K576">
        <v>7.2296826312451198E-2</v>
      </c>
      <c r="L576">
        <v>14140.278722761699</v>
      </c>
      <c r="M576">
        <v>250</v>
      </c>
      <c r="N576">
        <v>56.607656734271899</v>
      </c>
      <c r="O576">
        <v>56.5574953730979</v>
      </c>
      <c r="P576">
        <v>-1.00241058337986</v>
      </c>
      <c r="Q576">
        <v>9.2898690452614993E-2</v>
      </c>
      <c r="R576">
        <v>0.94990586651124898</v>
      </c>
      <c r="S576" t="s">
        <v>7579</v>
      </c>
      <c r="T576" t="s">
        <v>14004</v>
      </c>
      <c r="U576" t="s">
        <v>14004</v>
      </c>
      <c r="V576" t="s">
        <v>14004</v>
      </c>
      <c r="W576" t="s">
        <v>14574</v>
      </c>
      <c r="X576">
        <v>8</v>
      </c>
      <c r="Y576" t="s">
        <v>21513</v>
      </c>
      <c r="Z576" t="s">
        <v>28286</v>
      </c>
      <c r="AA576">
        <v>0.59374236635261624</v>
      </c>
      <c r="AB576" t="str">
        <f>HYPERLINK("Melting_Curves/meltCurve_E9PHG5_CYP20A1.pdf", "Melting_Curves/meltCurve_E9PHG5_CYP20A1.pdf")</f>
        <v>Melting_Curves/meltCurve_E9PHG5_CYP20A1.pdf</v>
      </c>
    </row>
    <row r="577" spans="1:28" x14ac:dyDescent="0.25">
      <c r="A577" t="s">
        <v>581</v>
      </c>
      <c r="B577">
        <v>0.99999676499088797</v>
      </c>
      <c r="C577">
        <v>0.95826836716532604</v>
      </c>
      <c r="D577">
        <v>0.97671531974163495</v>
      </c>
      <c r="E577">
        <v>0.89875791864846999</v>
      </c>
      <c r="F577">
        <v>0.41919188077247599</v>
      </c>
      <c r="G577">
        <v>0.252510207988345</v>
      </c>
      <c r="H577">
        <v>0.11470082261021</v>
      </c>
      <c r="I577">
        <v>0.11778020247344501</v>
      </c>
      <c r="J577">
        <v>0.112732282691537</v>
      </c>
      <c r="K577">
        <v>9.4469001674945693E-2</v>
      </c>
      <c r="L577">
        <v>1601.4834574635499</v>
      </c>
      <c r="M577">
        <v>30.570685689912501</v>
      </c>
      <c r="N577">
        <v>52.839337393217299</v>
      </c>
      <c r="O577">
        <v>52.163618677935197</v>
      </c>
      <c r="P577">
        <v>-0.129621460016449</v>
      </c>
      <c r="Q577">
        <v>0.115298455092098</v>
      </c>
      <c r="R577">
        <v>0.99426604319093104</v>
      </c>
      <c r="S577" t="s">
        <v>7580</v>
      </c>
      <c r="T577" t="s">
        <v>14004</v>
      </c>
      <c r="U577" t="s">
        <v>14004</v>
      </c>
      <c r="V577" t="s">
        <v>14004</v>
      </c>
      <c r="W577" t="s">
        <v>14575</v>
      </c>
      <c r="X577">
        <v>30</v>
      </c>
      <c r="Y577" t="s">
        <v>21514</v>
      </c>
      <c r="Z577" t="s">
        <v>28287</v>
      </c>
      <c r="AA577">
        <v>0.4860478609594362</v>
      </c>
      <c r="AB577" t="str">
        <f>HYPERLINK("Melting_Curves/meltCurve_E9PHY5_EPB41L2.pdf", "Melting_Curves/meltCurve_E9PHY5_EPB41L2.pdf")</f>
        <v>Melting_Curves/meltCurve_E9PHY5_EPB41L2.pdf</v>
      </c>
    </row>
    <row r="578" spans="1:28" x14ac:dyDescent="0.25">
      <c r="A578" t="s">
        <v>582</v>
      </c>
      <c r="B578">
        <v>0.99999676499088797</v>
      </c>
      <c r="C578">
        <v>0.99089598058467099</v>
      </c>
      <c r="D578">
        <v>1.0391021632552599</v>
      </c>
      <c r="E578">
        <v>0.87789222835160896</v>
      </c>
      <c r="F578">
        <v>0.51795229813649102</v>
      </c>
      <c r="G578">
        <v>0.29116758230650402</v>
      </c>
      <c r="H578">
        <v>0.12572431953351201</v>
      </c>
      <c r="I578">
        <v>9.90448277359922E-2</v>
      </c>
      <c r="J578">
        <v>7.6885346511402802E-2</v>
      </c>
      <c r="K578">
        <v>9.6530746723469604E-2</v>
      </c>
      <c r="L578">
        <v>1278.26862616894</v>
      </c>
      <c r="M578">
        <v>24.002096511570699</v>
      </c>
      <c r="N578">
        <v>53.682868735098801</v>
      </c>
      <c r="O578">
        <v>52.890990844970197</v>
      </c>
      <c r="P578">
        <v>-0.103607358999218</v>
      </c>
      <c r="Q578">
        <v>8.6778230154584607E-2</v>
      </c>
      <c r="R578">
        <v>0.99601550568223896</v>
      </c>
      <c r="S578" t="s">
        <v>7581</v>
      </c>
      <c r="T578" t="s">
        <v>14004</v>
      </c>
      <c r="U578" t="s">
        <v>14004</v>
      </c>
      <c r="V578" t="s">
        <v>14004</v>
      </c>
      <c r="W578" t="s">
        <v>14576</v>
      </c>
      <c r="X578">
        <v>1</v>
      </c>
      <c r="Y578" t="s">
        <v>21515</v>
      </c>
      <c r="Z578" t="s">
        <v>28288</v>
      </c>
      <c r="AA578">
        <v>0.49939889843541418</v>
      </c>
      <c r="AB578" t="str">
        <f>HYPERLINK("Melting_Curves/meltCurve_E9PI30_CTSW.pdf", "Melting_Curves/meltCurve_E9PI30_CTSW.pdf")</f>
        <v>Melting_Curves/meltCurve_E9PI30_CTSW.pdf</v>
      </c>
    </row>
    <row r="579" spans="1:28" x14ac:dyDescent="0.25">
      <c r="A579" t="s">
        <v>583</v>
      </c>
      <c r="B579">
        <v>0.99999676499088797</v>
      </c>
      <c r="C579">
        <v>1.0923057369043301</v>
      </c>
      <c r="D579">
        <v>1.06295370703879</v>
      </c>
      <c r="E579">
        <v>0.83503541305793305</v>
      </c>
      <c r="F579">
        <v>0.38232506686970302</v>
      </c>
      <c r="G579">
        <v>0.24943224284877899</v>
      </c>
      <c r="H579">
        <v>0.111083683586702</v>
      </c>
      <c r="I579">
        <v>0.118530594668835</v>
      </c>
      <c r="J579">
        <v>0.112249286140437</v>
      </c>
      <c r="K579">
        <v>7.6279093639180298E-2</v>
      </c>
      <c r="L579">
        <v>1572.21667846628</v>
      </c>
      <c r="M579">
        <v>30.231960564973399</v>
      </c>
      <c r="N579">
        <v>52.4500240526799</v>
      </c>
      <c r="O579">
        <v>51.779174727485497</v>
      </c>
      <c r="P579">
        <v>-0.12945793679411399</v>
      </c>
      <c r="Q579">
        <v>0.113100012924433</v>
      </c>
      <c r="R579">
        <v>0.98685302540511899</v>
      </c>
      <c r="S579" t="s">
        <v>7582</v>
      </c>
      <c r="T579" t="s">
        <v>14004</v>
      </c>
      <c r="U579" t="s">
        <v>14004</v>
      </c>
      <c r="V579" t="s">
        <v>14004</v>
      </c>
      <c r="W579" t="s">
        <v>14577</v>
      </c>
      <c r="X579">
        <v>14</v>
      </c>
      <c r="Y579" t="s">
        <v>21516</v>
      </c>
      <c r="Z579" t="s">
        <v>28289</v>
      </c>
      <c r="AA579">
        <v>0.47359254582264798</v>
      </c>
      <c r="AB579" t="str">
        <f>HYPERLINK("Melting_Curves/meltCurve_E9PI68_SPCS2.pdf", "Melting_Curves/meltCurve_E9PI68_SPCS2.pdf")</f>
        <v>Melting_Curves/meltCurve_E9PI68_SPCS2.pdf</v>
      </c>
    </row>
    <row r="580" spans="1:28" x14ac:dyDescent="0.25">
      <c r="A580" t="s">
        <v>584</v>
      </c>
      <c r="B580">
        <v>0.99999676499088797</v>
      </c>
      <c r="C580">
        <v>0.99790807633692702</v>
      </c>
      <c r="D580">
        <v>1.05649518901835</v>
      </c>
      <c r="E580">
        <v>1.0303549206354701</v>
      </c>
      <c r="F580">
        <v>0.83908966623569903</v>
      </c>
      <c r="G580">
        <v>0.78069756159932402</v>
      </c>
      <c r="H580">
        <v>0.33524074479640698</v>
      </c>
      <c r="I580">
        <v>0.169223770008851</v>
      </c>
      <c r="J580">
        <v>9.6485321242312599E-2</v>
      </c>
      <c r="K580">
        <v>8.8364623092779607E-2</v>
      </c>
      <c r="L580">
        <v>1436.29814437601</v>
      </c>
      <c r="M580">
        <v>24.3797865718327</v>
      </c>
      <c r="N580">
        <v>59.1955792923521</v>
      </c>
      <c r="O580">
        <v>58.521399189575703</v>
      </c>
      <c r="P580">
        <v>-9.8438611800193698E-2</v>
      </c>
      <c r="Q580">
        <v>5.4843289796138901E-2</v>
      </c>
      <c r="R580">
        <v>0.98862759640894704</v>
      </c>
      <c r="S580" t="s">
        <v>7583</v>
      </c>
      <c r="T580" t="s">
        <v>14004</v>
      </c>
      <c r="U580" t="s">
        <v>14004</v>
      </c>
      <c r="V580" t="s">
        <v>14004</v>
      </c>
      <c r="W580" t="s">
        <v>14578</v>
      </c>
      <c r="X580">
        <v>9</v>
      </c>
      <c r="Y580" t="s">
        <v>21517</v>
      </c>
      <c r="Z580" t="s">
        <v>28290</v>
      </c>
      <c r="AA580">
        <v>0.65874527321073562</v>
      </c>
      <c r="AB580" t="str">
        <f>HYPERLINK("Melting_Curves/meltCurve_E9PIE4_MTCH2.pdf", "Melting_Curves/meltCurve_E9PIE4_MTCH2.pdf")</f>
        <v>Melting_Curves/meltCurve_E9PIE4_MTCH2.pdf</v>
      </c>
    </row>
    <row r="581" spans="1:28" x14ac:dyDescent="0.25">
      <c r="A581" t="s">
        <v>585</v>
      </c>
      <c r="B581">
        <v>0.99999676499088797</v>
      </c>
      <c r="C581">
        <v>0.96588573821755397</v>
      </c>
      <c r="D581">
        <v>0.94710926747080504</v>
      </c>
      <c r="E581">
        <v>1.0305183761607899</v>
      </c>
      <c r="F581">
        <v>1.0194872889450699</v>
      </c>
      <c r="G581">
        <v>0.79687884486934701</v>
      </c>
      <c r="H581">
        <v>0.59009195001925296</v>
      </c>
      <c r="I581">
        <v>0.47935648327464297</v>
      </c>
      <c r="J581">
        <v>0.43535857830592001</v>
      </c>
      <c r="K581">
        <v>0.61506993433087798</v>
      </c>
      <c r="L581">
        <v>2422.9249141324799</v>
      </c>
      <c r="M581">
        <v>42.2215536541501</v>
      </c>
      <c r="O581">
        <v>57.257691553597802</v>
      </c>
      <c r="P581">
        <v>-8.9169070672104694E-2</v>
      </c>
      <c r="Q581">
        <v>0.51630333039300103</v>
      </c>
      <c r="R581">
        <v>0.94879021448409895</v>
      </c>
      <c r="S581" t="s">
        <v>7584</v>
      </c>
      <c r="T581" t="s">
        <v>14004</v>
      </c>
      <c r="U581" t="s">
        <v>14004</v>
      </c>
      <c r="V581" t="s">
        <v>14004</v>
      </c>
      <c r="W581" t="s">
        <v>14579</v>
      </c>
      <c r="X581">
        <v>3</v>
      </c>
      <c r="Y581" t="s">
        <v>21518</v>
      </c>
      <c r="Z581" t="s">
        <v>28291</v>
      </c>
      <c r="AA581">
        <v>0.79832502572127595</v>
      </c>
      <c r="AB581" t="str">
        <f>HYPERLINK("Melting_Curves/meltCurve_E9PIM6_THY1.pdf", "Melting_Curves/meltCurve_E9PIM6_THY1.pdf")</f>
        <v>Melting_Curves/meltCurve_E9PIM6_THY1.pdf</v>
      </c>
    </row>
    <row r="582" spans="1:28" x14ac:dyDescent="0.25">
      <c r="A582" t="s">
        <v>586</v>
      </c>
      <c r="B582">
        <v>0.99999676499088797</v>
      </c>
      <c r="C582">
        <v>0.89598773037596002</v>
      </c>
      <c r="D582">
        <v>0.99766715478915802</v>
      </c>
      <c r="E582">
        <v>1.28385283417878</v>
      </c>
      <c r="F582">
        <v>1.1604344659060899</v>
      </c>
      <c r="G582">
        <v>0.70848341754059796</v>
      </c>
      <c r="H582">
        <v>0.35110236430709701</v>
      </c>
      <c r="I582">
        <v>0.31143208185601101</v>
      </c>
      <c r="J582">
        <v>0.25282233095843498</v>
      </c>
      <c r="K582">
        <v>0.56930398843683105</v>
      </c>
      <c r="L582">
        <v>14208.2888270851</v>
      </c>
      <c r="M582">
        <v>250</v>
      </c>
      <c r="N582">
        <v>57.143096567334297</v>
      </c>
      <c r="O582">
        <v>56.829519999894401</v>
      </c>
      <c r="P582">
        <v>-0.69158031858803204</v>
      </c>
      <c r="Q582">
        <v>0.37116517808997501</v>
      </c>
      <c r="R582">
        <v>0.85841170183002602</v>
      </c>
      <c r="S582" t="s">
        <v>7585</v>
      </c>
      <c r="T582" t="s">
        <v>14004</v>
      </c>
      <c r="U582" t="s">
        <v>14004</v>
      </c>
      <c r="V582" t="s">
        <v>14004</v>
      </c>
      <c r="W582" t="s">
        <v>14580</v>
      </c>
      <c r="X582">
        <v>2</v>
      </c>
      <c r="Y582" t="s">
        <v>21519</v>
      </c>
      <c r="Z582" t="s">
        <v>28292</v>
      </c>
      <c r="AA582">
        <v>0.72407037291131426</v>
      </c>
      <c r="AB582" t="str">
        <f>HYPERLINK("Melting_Curves/meltCurve_E9PIP3_GPSM3.pdf", "Melting_Curves/meltCurve_E9PIP3_GPSM3.pdf")</f>
        <v>Melting_Curves/meltCurve_E9PIP3_GPSM3.pdf</v>
      </c>
    </row>
    <row r="583" spans="1:28" x14ac:dyDescent="0.25">
      <c r="A583" t="s">
        <v>587</v>
      </c>
      <c r="B583">
        <v>0.99999676499088797</v>
      </c>
      <c r="C583">
        <v>0.80390606241819196</v>
      </c>
      <c r="D583">
        <v>0.61068030112927696</v>
      </c>
      <c r="E583">
        <v>0.42662660006312197</v>
      </c>
      <c r="F583">
        <v>0.30359892948791301</v>
      </c>
      <c r="G583">
        <v>0.26287756263381501</v>
      </c>
      <c r="H583">
        <v>0.20141540416478801</v>
      </c>
      <c r="I583">
        <v>0.24110841655645901</v>
      </c>
      <c r="J583">
        <v>0.28155765184862303</v>
      </c>
      <c r="K583">
        <v>0.244347907577458</v>
      </c>
      <c r="L583">
        <v>806.85529464842102</v>
      </c>
      <c r="M583">
        <v>17.551527539096899</v>
      </c>
      <c r="N583">
        <v>47.743031375321301</v>
      </c>
      <c r="O583">
        <v>45.386350817815298</v>
      </c>
      <c r="P583">
        <v>-7.35389840021171E-2</v>
      </c>
      <c r="Q583">
        <v>0.23938603618194099</v>
      </c>
      <c r="R583">
        <v>0.98851595348778198</v>
      </c>
      <c r="S583" t="s">
        <v>7586</v>
      </c>
      <c r="T583" t="s">
        <v>14004</v>
      </c>
      <c r="U583" t="s">
        <v>14004</v>
      </c>
      <c r="V583" t="s">
        <v>14004</v>
      </c>
      <c r="W583" t="s">
        <v>14581</v>
      </c>
      <c r="X583">
        <v>5</v>
      </c>
      <c r="Y583" t="s">
        <v>21520</v>
      </c>
      <c r="Z583" t="s">
        <v>28293</v>
      </c>
      <c r="AA583">
        <v>0.40660004935442101</v>
      </c>
      <c r="AB583" t="str">
        <f>HYPERLINK("Melting_Curves/meltCurve_E9PJ24_PHRF1.pdf", "Melting_Curves/meltCurve_E9PJ24_PHRF1.pdf")</f>
        <v>Melting_Curves/meltCurve_E9PJ24_PHRF1.pdf</v>
      </c>
    </row>
    <row r="584" spans="1:28" x14ac:dyDescent="0.25">
      <c r="A584" t="s">
        <v>588</v>
      </c>
      <c r="B584">
        <v>0.99999676499088797</v>
      </c>
      <c r="C584">
        <v>1.0042782552640901</v>
      </c>
      <c r="D584">
        <v>0.77185849186149702</v>
      </c>
      <c r="E584">
        <v>0.408786881168825</v>
      </c>
      <c r="F584">
        <v>0.348146225180203</v>
      </c>
      <c r="G584">
        <v>0.20984549913866499</v>
      </c>
      <c r="H584">
        <v>0.10144215516624799</v>
      </c>
      <c r="I584">
        <v>0.11119454016300601</v>
      </c>
      <c r="J584">
        <v>0.107775685850174</v>
      </c>
      <c r="K584">
        <v>8.9889543582645101E-2</v>
      </c>
      <c r="L584">
        <v>874.85790695785602</v>
      </c>
      <c r="M584">
        <v>17.940754642920702</v>
      </c>
      <c r="N584">
        <v>49.421310574595999</v>
      </c>
      <c r="O584">
        <v>48.169971621318098</v>
      </c>
      <c r="P584">
        <v>-8.3229173404283305E-2</v>
      </c>
      <c r="Q584">
        <v>0.106181022784607</v>
      </c>
      <c r="R584">
        <v>0.98335492456311302</v>
      </c>
      <c r="S584" t="s">
        <v>7587</v>
      </c>
      <c r="T584" t="s">
        <v>14004</v>
      </c>
      <c r="U584" t="s">
        <v>14004</v>
      </c>
      <c r="V584" t="s">
        <v>14004</v>
      </c>
      <c r="W584" t="s">
        <v>14582</v>
      </c>
      <c r="X584">
        <v>3</v>
      </c>
      <c r="Y584" t="s">
        <v>21521</v>
      </c>
      <c r="Z584" t="s">
        <v>28294</v>
      </c>
      <c r="AA584">
        <v>0.38294528252431792</v>
      </c>
      <c r="AB584" t="str">
        <f>HYPERLINK("Melting_Curves/meltCurve_E9PJ55_TCP11L1.pdf", "Melting_Curves/meltCurve_E9PJ55_TCP11L1.pdf")</f>
        <v>Melting_Curves/meltCurve_E9PJ55_TCP11L1.pdf</v>
      </c>
    </row>
    <row r="585" spans="1:28" x14ac:dyDescent="0.25">
      <c r="A585" t="s">
        <v>589</v>
      </c>
      <c r="B585">
        <v>0.99999676499088797</v>
      </c>
      <c r="C585">
        <v>0.88850793026137598</v>
      </c>
      <c r="D585">
        <v>0.79416474076145804</v>
      </c>
      <c r="E585">
        <v>0.49608087499065401</v>
      </c>
      <c r="F585">
        <v>0.305552775733193</v>
      </c>
      <c r="G585">
        <v>0.215475935419289</v>
      </c>
      <c r="H585">
        <v>0.119038666293481</v>
      </c>
      <c r="I585">
        <v>0.129976170030353</v>
      </c>
      <c r="J585">
        <v>0.12670140816543701</v>
      </c>
      <c r="K585">
        <v>0.116650694683124</v>
      </c>
      <c r="L585">
        <v>793.87746625794796</v>
      </c>
      <c r="M585">
        <v>16.198428085869502</v>
      </c>
      <c r="N585">
        <v>49.760952840354499</v>
      </c>
      <c r="O585">
        <v>48.280852170592503</v>
      </c>
      <c r="P585">
        <v>-7.4781682315017695E-2</v>
      </c>
      <c r="Q585">
        <v>0.10849283537216101</v>
      </c>
      <c r="R585">
        <v>0.99693696573815904</v>
      </c>
      <c r="S585" t="s">
        <v>7588</v>
      </c>
      <c r="T585" t="s">
        <v>14004</v>
      </c>
      <c r="U585" t="s">
        <v>14004</v>
      </c>
      <c r="V585" t="s">
        <v>14004</v>
      </c>
      <c r="W585" t="s">
        <v>14583</v>
      </c>
      <c r="X585">
        <v>12</v>
      </c>
      <c r="Y585" t="s">
        <v>21522</v>
      </c>
      <c r="Z585" t="s">
        <v>28295</v>
      </c>
      <c r="AA585">
        <v>0.39522301320232378</v>
      </c>
      <c r="AB585" t="str">
        <f>HYPERLINK("Melting_Curves/meltCurve_E9PJ81_UBXN1.pdf", "Melting_Curves/meltCurve_E9PJ81_UBXN1.pdf")</f>
        <v>Melting_Curves/meltCurve_E9PJ81_UBXN1.pdf</v>
      </c>
    </row>
    <row r="586" spans="1:28" x14ac:dyDescent="0.25">
      <c r="A586" t="s">
        <v>590</v>
      </c>
      <c r="B586">
        <v>0.99999676499088797</v>
      </c>
      <c r="C586">
        <v>0.63072450163053595</v>
      </c>
      <c r="D586">
        <v>0.66885782740935396</v>
      </c>
      <c r="E586">
        <v>0.541189171628084</v>
      </c>
      <c r="F586">
        <v>0.29196926738052698</v>
      </c>
      <c r="G586">
        <v>5.6508512529255803E-2</v>
      </c>
      <c r="H586">
        <v>1.6420726152110501E-2</v>
      </c>
      <c r="I586">
        <v>0</v>
      </c>
      <c r="J586">
        <v>0</v>
      </c>
      <c r="K586">
        <v>0</v>
      </c>
      <c r="L586">
        <v>578.31156824025095</v>
      </c>
      <c r="M586">
        <v>11.9689777630997</v>
      </c>
      <c r="N586">
        <v>48.317540618428801</v>
      </c>
      <c r="O586">
        <v>47.028019877828797</v>
      </c>
      <c r="P586">
        <v>-6.3642336052852203E-2</v>
      </c>
      <c r="Q586">
        <v>0</v>
      </c>
      <c r="R586">
        <v>0.93884425073392597</v>
      </c>
      <c r="S586" t="s">
        <v>7589</v>
      </c>
      <c r="T586" t="s">
        <v>14004</v>
      </c>
      <c r="U586" t="s">
        <v>14004</v>
      </c>
      <c r="V586" t="s">
        <v>14004</v>
      </c>
      <c r="W586" t="s">
        <v>14584</v>
      </c>
      <c r="X586">
        <v>1</v>
      </c>
      <c r="Y586" t="s">
        <v>21523</v>
      </c>
      <c r="Z586" t="s">
        <v>28296</v>
      </c>
      <c r="AA586">
        <v>0.31575626313923938</v>
      </c>
      <c r="AB586" t="str">
        <f>HYPERLINK("Melting_Curves/meltCurve_E9PJB2_C11orf73.pdf", "Melting_Curves/meltCurve_E9PJB2_C11orf73.pdf")</f>
        <v>Melting_Curves/meltCurve_E9PJB2_C11orf73.pdf</v>
      </c>
    </row>
    <row r="587" spans="1:28" x14ac:dyDescent="0.25">
      <c r="A587" t="s">
        <v>591</v>
      </c>
      <c r="B587">
        <v>0.99999676499088797</v>
      </c>
      <c r="C587">
        <v>1.0280896956598</v>
      </c>
      <c r="D587">
        <v>0.97055338954621695</v>
      </c>
      <c r="E587">
        <v>0.88066195496000199</v>
      </c>
      <c r="F587">
        <v>0.82394879748022498</v>
      </c>
      <c r="G587">
        <v>0.500187127140857</v>
      </c>
      <c r="H587">
        <v>0.17486218913915799</v>
      </c>
      <c r="I587">
        <v>5.1894555108142101E-2</v>
      </c>
      <c r="J587">
        <v>5.1494312254983798E-2</v>
      </c>
      <c r="K587">
        <v>6.4119321272017096E-2</v>
      </c>
      <c r="L587">
        <v>1260.7974404485699</v>
      </c>
      <c r="M587">
        <v>22.3015984477525</v>
      </c>
      <c r="N587">
        <v>56.632784984643102</v>
      </c>
      <c r="O587">
        <v>56.085299254969001</v>
      </c>
      <c r="P587">
        <v>-9.7513999173962404E-2</v>
      </c>
      <c r="Q587">
        <v>1.90865806585836E-2</v>
      </c>
      <c r="R587">
        <v>0.99372018882351798</v>
      </c>
      <c r="S587" t="s">
        <v>7590</v>
      </c>
      <c r="T587" t="s">
        <v>14004</v>
      </c>
      <c r="U587" t="s">
        <v>14004</v>
      </c>
      <c r="V587" t="s">
        <v>14004</v>
      </c>
      <c r="W587" t="s">
        <v>14585</v>
      </c>
      <c r="X587">
        <v>6</v>
      </c>
      <c r="Y587" t="s">
        <v>21524</v>
      </c>
      <c r="Z587" t="s">
        <v>28297</v>
      </c>
      <c r="AA587">
        <v>0.57032960128076249</v>
      </c>
      <c r="AB587" t="str">
        <f>HYPERLINK("Melting_Curves/meltCurve_E9PJD7_CYHR1.pdf", "Melting_Curves/meltCurve_E9PJD7_CYHR1.pdf")</f>
        <v>Melting_Curves/meltCurve_E9PJD7_CYHR1.pdf</v>
      </c>
    </row>
    <row r="588" spans="1:28" x14ac:dyDescent="0.25">
      <c r="A588" t="s">
        <v>592</v>
      </c>
      <c r="B588">
        <v>0.99999676499088797</v>
      </c>
      <c r="C588">
        <v>0.94026993735920505</v>
      </c>
      <c r="D588">
        <v>1.0325842493911901</v>
      </c>
      <c r="E588">
        <v>1.0769405122089699</v>
      </c>
      <c r="F588">
        <v>0.947485396337854</v>
      </c>
      <c r="G588">
        <v>1.0164295114381301</v>
      </c>
      <c r="H588">
        <v>0.81455891897905097</v>
      </c>
      <c r="I588">
        <v>0.88390128869293405</v>
      </c>
      <c r="J588">
        <v>0.65616684394258096</v>
      </c>
      <c r="K588">
        <v>1.2251266467113</v>
      </c>
      <c r="L588">
        <v>8843.8935569021596</v>
      </c>
      <c r="M588">
        <v>151.322703846308</v>
      </c>
      <c r="O588">
        <v>58.4337246385059</v>
      </c>
      <c r="P588">
        <v>-6.7994822603617902E-2</v>
      </c>
      <c r="Q588">
        <v>0.89497436770759797</v>
      </c>
      <c r="R588">
        <v>0.12876220450381601</v>
      </c>
      <c r="S588" t="s">
        <v>7591</v>
      </c>
      <c r="T588" t="s">
        <v>14004</v>
      </c>
      <c r="U588" t="s">
        <v>14004</v>
      </c>
      <c r="V588" t="s">
        <v>14004</v>
      </c>
      <c r="W588" t="s">
        <v>14586</v>
      </c>
      <c r="X588">
        <v>4</v>
      </c>
      <c r="Y588" t="s">
        <v>21525</v>
      </c>
      <c r="Z588" t="s">
        <v>28298</v>
      </c>
      <c r="AA588">
        <v>0.95957329590266716</v>
      </c>
      <c r="AB588" t="str">
        <f>HYPERLINK("Melting_Curves/meltCurve_E9PJK1_CD81.pdf", "Melting_Curves/meltCurve_E9PJK1_CD81.pdf")</f>
        <v>Melting_Curves/meltCurve_E9PJK1_CD81.pdf</v>
      </c>
    </row>
    <row r="589" spans="1:28" x14ac:dyDescent="0.25">
      <c r="A589" t="s">
        <v>593</v>
      </c>
      <c r="B589">
        <v>0.99999676499088797</v>
      </c>
      <c r="C589">
        <v>1.01112796062346</v>
      </c>
      <c r="D589">
        <v>0.99329889727518605</v>
      </c>
      <c r="E589">
        <v>0.97040182279349796</v>
      </c>
      <c r="F589">
        <v>0.56639784390453296</v>
      </c>
      <c r="G589">
        <v>0.33076538833179198</v>
      </c>
      <c r="H589">
        <v>0.121373983954503</v>
      </c>
      <c r="I589">
        <v>0.130708883614198</v>
      </c>
      <c r="J589">
        <v>0.119677230900275</v>
      </c>
      <c r="K589">
        <v>0.10607777851021299</v>
      </c>
      <c r="L589">
        <v>1445.3569051900299</v>
      </c>
      <c r="M589">
        <v>26.906821629808299</v>
      </c>
      <c r="N589">
        <v>54.231657076855498</v>
      </c>
      <c r="O589">
        <v>53.423049405778002</v>
      </c>
      <c r="P589">
        <v>-0.111730517245169</v>
      </c>
      <c r="Q589">
        <v>0.112652806632388</v>
      </c>
      <c r="R589">
        <v>0.99422434932707404</v>
      </c>
      <c r="S589" t="s">
        <v>7592</v>
      </c>
      <c r="T589" t="s">
        <v>14004</v>
      </c>
      <c r="U589" t="s">
        <v>14004</v>
      </c>
      <c r="V589" t="s">
        <v>14004</v>
      </c>
      <c r="W589" t="s">
        <v>14587</v>
      </c>
      <c r="X589">
        <v>6</v>
      </c>
      <c r="Y589" t="s">
        <v>21526</v>
      </c>
      <c r="Z589" t="s">
        <v>28299</v>
      </c>
      <c r="AA589">
        <v>0.52553469288873156</v>
      </c>
      <c r="AB589" t="str">
        <f>HYPERLINK("Melting_Curves/meltCurve_E9PJM3_FBXO3.pdf", "Melting_Curves/meltCurve_E9PJM3_FBXO3.pdf")</f>
        <v>Melting_Curves/meltCurve_E9PJM3_FBXO3.pdf</v>
      </c>
    </row>
    <row r="590" spans="1:28" x14ac:dyDescent="0.25">
      <c r="A590" t="s">
        <v>594</v>
      </c>
      <c r="B590">
        <v>0.99999676499088797</v>
      </c>
      <c r="C590">
        <v>0.66427209054631298</v>
      </c>
      <c r="D590">
        <v>0.70798956337285102</v>
      </c>
      <c r="E590">
        <v>0.2990840163681</v>
      </c>
      <c r="F590">
        <v>4.7905082993083298E-2</v>
      </c>
      <c r="G590">
        <v>2.2846833468830399E-2</v>
      </c>
      <c r="H590">
        <v>7.9694754664150508E-3</v>
      </c>
      <c r="I590">
        <v>0</v>
      </c>
      <c r="J590">
        <v>5.4773746805477103E-3</v>
      </c>
      <c r="K590">
        <v>7.4710004564852899E-3</v>
      </c>
      <c r="L590">
        <v>790.09377663275598</v>
      </c>
      <c r="M590">
        <v>16.820817927291301</v>
      </c>
      <c r="N590">
        <v>46.971203005027299</v>
      </c>
      <c r="O590">
        <v>46.322351482898199</v>
      </c>
      <c r="P590">
        <v>-9.0787127946941201E-2</v>
      </c>
      <c r="Q590">
        <v>0</v>
      </c>
      <c r="R590">
        <v>0.95931586063209395</v>
      </c>
      <c r="S590" t="s">
        <v>7593</v>
      </c>
      <c r="T590" t="s">
        <v>14004</v>
      </c>
      <c r="U590" t="s">
        <v>14004</v>
      </c>
      <c r="V590" t="s">
        <v>14004</v>
      </c>
      <c r="W590" t="s">
        <v>14588</v>
      </c>
      <c r="X590">
        <v>15</v>
      </c>
      <c r="Y590" t="s">
        <v>21527</v>
      </c>
      <c r="Z590" t="s">
        <v>28300</v>
      </c>
      <c r="AA590">
        <v>0.25376272378718667</v>
      </c>
      <c r="AB590" t="str">
        <f>HYPERLINK("Melting_Curves/meltCurve_E9PK01_EEF1D.pdf", "Melting_Curves/meltCurve_E9PK01_EEF1D.pdf")</f>
        <v>Melting_Curves/meltCurve_E9PK01_EEF1D.pdf</v>
      </c>
    </row>
    <row r="591" spans="1:28" x14ac:dyDescent="0.25">
      <c r="A591" t="s">
        <v>595</v>
      </c>
      <c r="B591">
        <v>0.99999676499088797</v>
      </c>
      <c r="C591">
        <v>0.57262562227861902</v>
      </c>
      <c r="D591">
        <v>0.32356315911588002</v>
      </c>
      <c r="E591">
        <v>0.24154410488178399</v>
      </c>
      <c r="F591">
        <v>0.20327680724011701</v>
      </c>
      <c r="G591">
        <v>0.13802868377376201</v>
      </c>
      <c r="H591">
        <v>6.86794162930872E-2</v>
      </c>
      <c r="I591">
        <v>5.8821877640628399E-2</v>
      </c>
      <c r="J591">
        <v>6.3402354063311697E-2</v>
      </c>
      <c r="K591">
        <v>3.9038598059988702E-2</v>
      </c>
      <c r="L591">
        <v>892.46281931993099</v>
      </c>
      <c r="M591">
        <v>20.378157575568</v>
      </c>
      <c r="N591">
        <v>44.251372966118602</v>
      </c>
      <c r="O591">
        <v>43.379871182201398</v>
      </c>
      <c r="P591">
        <v>-0.10631461960914899</v>
      </c>
      <c r="Q591">
        <v>9.4761127034692597E-2</v>
      </c>
      <c r="R591">
        <v>0.95425227369919496</v>
      </c>
      <c r="S591" t="s">
        <v>7594</v>
      </c>
      <c r="T591" t="s">
        <v>14004</v>
      </c>
      <c r="U591" t="s">
        <v>14004</v>
      </c>
      <c r="V591" t="s">
        <v>14004</v>
      </c>
      <c r="W591" t="s">
        <v>14589</v>
      </c>
      <c r="X591">
        <v>6</v>
      </c>
      <c r="Y591" t="s">
        <v>21528</v>
      </c>
      <c r="Z591" t="s">
        <v>28301</v>
      </c>
      <c r="AA591">
        <v>0.2267365579061161</v>
      </c>
      <c r="AB591" t="str">
        <f>HYPERLINK("Melting_Curves/meltCurve_E9PK67_PARP10.pdf", "Melting_Curves/meltCurve_E9PK67_PARP10.pdf")</f>
        <v>Melting_Curves/meltCurve_E9PK67_PARP10.pdf</v>
      </c>
    </row>
    <row r="592" spans="1:28" x14ac:dyDescent="0.25">
      <c r="A592" t="s">
        <v>596</v>
      </c>
      <c r="B592">
        <v>0.99999676499088797</v>
      </c>
      <c r="C592">
        <v>0.70656609990532904</v>
      </c>
      <c r="D592">
        <v>0.72819183873555904</v>
      </c>
      <c r="E592">
        <v>0.87341551373715598</v>
      </c>
      <c r="F592">
        <v>0.64647483706957598</v>
      </c>
      <c r="G592">
        <v>0.47765280770396901</v>
      </c>
      <c r="H592">
        <v>0.324425390266739</v>
      </c>
      <c r="I592">
        <v>0.75005099872397496</v>
      </c>
      <c r="J592">
        <v>0.67583270860094602</v>
      </c>
      <c r="K592">
        <v>0.44258715045150598</v>
      </c>
      <c r="L592">
        <v>416.58044724444198</v>
      </c>
      <c r="M592">
        <v>8.96537905222905</v>
      </c>
      <c r="O592">
        <v>44.328257487632399</v>
      </c>
      <c r="P592">
        <v>-2.4714115120169799E-2</v>
      </c>
      <c r="Q592">
        <v>0.51157570563063504</v>
      </c>
      <c r="R592">
        <v>0.45809109449630703</v>
      </c>
      <c r="S592" t="s">
        <v>7595</v>
      </c>
      <c r="T592" t="s">
        <v>14004</v>
      </c>
      <c r="U592" t="s">
        <v>14004</v>
      </c>
      <c r="V592" t="s">
        <v>14004</v>
      </c>
      <c r="W592" t="s">
        <v>14590</v>
      </c>
      <c r="X592">
        <v>25</v>
      </c>
      <c r="Y592" t="s">
        <v>21529</v>
      </c>
      <c r="Z592" t="s">
        <v>28302</v>
      </c>
      <c r="AA592">
        <v>0.65161521665891986</v>
      </c>
      <c r="AB592" t="str">
        <f>HYPERLINK("Melting_Curves/meltCurve_E9PK91_BCLAF1.pdf", "Melting_Curves/meltCurve_E9PK91_BCLAF1.pdf")</f>
        <v>Melting_Curves/meltCurve_E9PK91_BCLAF1.pdf</v>
      </c>
    </row>
    <row r="593" spans="1:28" x14ac:dyDescent="0.25">
      <c r="A593" t="s">
        <v>597</v>
      </c>
      <c r="B593">
        <v>0.99999676499088797</v>
      </c>
      <c r="C593">
        <v>1.17437041662526</v>
      </c>
      <c r="D593">
        <v>1.25885939572871</v>
      </c>
      <c r="E593">
        <v>1.35883849197147</v>
      </c>
      <c r="F593">
        <v>0.90966975344068102</v>
      </c>
      <c r="G593">
        <v>0.45238406159059702</v>
      </c>
      <c r="H593">
        <v>0.33539478397001499</v>
      </c>
      <c r="I593">
        <v>0.28687937074616199</v>
      </c>
      <c r="J593">
        <v>0.37885305679607201</v>
      </c>
      <c r="K593">
        <v>0.34933947467052401</v>
      </c>
      <c r="L593">
        <v>3096.34938515364</v>
      </c>
      <c r="M593">
        <v>56.147879256777699</v>
      </c>
      <c r="N593">
        <v>56.274473584625397</v>
      </c>
      <c r="O593">
        <v>55.076488643719898</v>
      </c>
      <c r="P593">
        <v>-0.168777696292323</v>
      </c>
      <c r="Q593">
        <v>0.33777154200261</v>
      </c>
      <c r="R593">
        <v>0.86126469587646504</v>
      </c>
      <c r="S593" t="s">
        <v>7596</v>
      </c>
      <c r="T593" t="s">
        <v>14004</v>
      </c>
      <c r="U593" t="s">
        <v>14004</v>
      </c>
      <c r="V593" t="s">
        <v>14004</v>
      </c>
      <c r="W593" t="s">
        <v>14591</v>
      </c>
      <c r="X593">
        <v>2</v>
      </c>
      <c r="Y593" t="s">
        <v>21530</v>
      </c>
      <c r="Z593" t="s">
        <v>28303</v>
      </c>
      <c r="AA593">
        <v>0.67339156807265821</v>
      </c>
      <c r="AB593" t="str">
        <f>HYPERLINK("Melting_Curves/meltCurve_E9PKA7_RCE1.pdf", "Melting_Curves/meltCurve_E9PKA7_RCE1.pdf")</f>
        <v>Melting_Curves/meltCurve_E9PKA7_RCE1.pdf</v>
      </c>
    </row>
    <row r="594" spans="1:28" x14ac:dyDescent="0.25">
      <c r="A594" t="s">
        <v>598</v>
      </c>
      <c r="B594">
        <v>0.99999676499088797</v>
      </c>
      <c r="C594">
        <v>1.03440306214526</v>
      </c>
      <c r="D594">
        <v>0.87577337869641403</v>
      </c>
      <c r="E594">
        <v>0.49691730858129102</v>
      </c>
      <c r="F594">
        <v>0.25228417497831601</v>
      </c>
      <c r="G594">
        <v>0.24062231264515799</v>
      </c>
      <c r="H594">
        <v>0.111491790565715</v>
      </c>
      <c r="I594">
        <v>0.122475285600599</v>
      </c>
      <c r="J594">
        <v>0.115202794725592</v>
      </c>
      <c r="K594">
        <v>0.10155390901424299</v>
      </c>
      <c r="L594">
        <v>1202.7767024495399</v>
      </c>
      <c r="M594">
        <v>24.445303922868199</v>
      </c>
      <c r="N594">
        <v>49.802631006571197</v>
      </c>
      <c r="O594">
        <v>48.877048449055501</v>
      </c>
      <c r="P594">
        <v>-0.109091495460403</v>
      </c>
      <c r="Q594">
        <v>0.127522905883174</v>
      </c>
      <c r="R594">
        <v>0.99105529495995703</v>
      </c>
      <c r="S594" t="s">
        <v>7597</v>
      </c>
      <c r="T594" t="s">
        <v>14004</v>
      </c>
      <c r="U594" t="s">
        <v>14004</v>
      </c>
      <c r="V594" t="s">
        <v>14004</v>
      </c>
      <c r="W594" t="s">
        <v>14592</v>
      </c>
      <c r="X594">
        <v>11</v>
      </c>
      <c r="Y594" t="s">
        <v>21531</v>
      </c>
      <c r="Z594" t="s">
        <v>28304</v>
      </c>
      <c r="AA594">
        <v>0.40326975778378288</v>
      </c>
      <c r="AB594" t="str">
        <f>HYPERLINK("Melting_Curves/meltCurve_E9PKC0_PLEKHA7.pdf", "Melting_Curves/meltCurve_E9PKC0_PLEKHA7.pdf")</f>
        <v>Melting_Curves/meltCurve_E9PKC0_PLEKHA7.pdf</v>
      </c>
    </row>
    <row r="595" spans="1:28" x14ac:dyDescent="0.25">
      <c r="A595" t="s">
        <v>599</v>
      </c>
      <c r="B595">
        <v>0.99999676499088797</v>
      </c>
      <c r="C595">
        <v>0.96803148780070203</v>
      </c>
      <c r="D595">
        <v>0.99245689405427895</v>
      </c>
      <c r="E595">
        <v>0.95570312442365202</v>
      </c>
      <c r="F595">
        <v>0.81230978807805099</v>
      </c>
      <c r="G595">
        <v>0.75723600457981999</v>
      </c>
      <c r="H595">
        <v>0.51939108886469698</v>
      </c>
      <c r="I595">
        <v>0.42955775126476298</v>
      </c>
      <c r="J595">
        <v>0.286356870909447</v>
      </c>
      <c r="K595">
        <v>0.18935854466330199</v>
      </c>
      <c r="L595">
        <v>693.11827674561096</v>
      </c>
      <c r="M595">
        <v>11.234215744746701</v>
      </c>
      <c r="N595">
        <v>61.6970772841916</v>
      </c>
      <c r="O595">
        <v>59.839052611641698</v>
      </c>
      <c r="P595">
        <v>-4.6949735578076697E-2</v>
      </c>
      <c r="Q595">
        <v>0</v>
      </c>
      <c r="R595">
        <v>0.99321076961568799</v>
      </c>
      <c r="S595" t="s">
        <v>7598</v>
      </c>
      <c r="T595" t="s">
        <v>14004</v>
      </c>
      <c r="U595" t="s">
        <v>14004</v>
      </c>
      <c r="V595" t="s">
        <v>14004</v>
      </c>
      <c r="W595" t="s">
        <v>14593</v>
      </c>
      <c r="X595">
        <v>1</v>
      </c>
      <c r="Y595" t="s">
        <v>21532</v>
      </c>
      <c r="Z595" t="s">
        <v>28305</v>
      </c>
      <c r="AA595">
        <v>0.71113859831849602</v>
      </c>
      <c r="AB595" t="str">
        <f>HYPERLINK("Melting_Curves/meltCurve_E9PKE4_SLC52A2.pdf", "Melting_Curves/meltCurve_E9PKE4_SLC52A2.pdf")</f>
        <v>Melting_Curves/meltCurve_E9PKE4_SLC52A2.pdf</v>
      </c>
    </row>
    <row r="596" spans="1:28" x14ac:dyDescent="0.25">
      <c r="A596" t="s">
        <v>600</v>
      </c>
      <c r="B596">
        <v>0.99999676499088797</v>
      </c>
      <c r="C596">
        <v>1.01030801343466</v>
      </c>
      <c r="D596">
        <v>1.0016815084735899</v>
      </c>
      <c r="E596">
        <v>1.12259864359686</v>
      </c>
      <c r="F596">
        <v>0.426988090296538</v>
      </c>
      <c r="G596">
        <v>0.17200689844742201</v>
      </c>
      <c r="H596">
        <v>7.1694008102663298E-2</v>
      </c>
      <c r="I596">
        <v>6.2866109920047306E-2</v>
      </c>
      <c r="J596">
        <v>4.9275900142822897E-2</v>
      </c>
      <c r="K596">
        <v>3.9378906616443603E-2</v>
      </c>
      <c r="L596">
        <v>8155.0528439848604</v>
      </c>
      <c r="M596">
        <v>153.789176460785</v>
      </c>
      <c r="N596">
        <v>53.086875390027103</v>
      </c>
      <c r="O596">
        <v>53.018509741459901</v>
      </c>
      <c r="P596">
        <v>-0.66785428292998095</v>
      </c>
      <c r="Q596">
        <v>7.9034197948474702E-2</v>
      </c>
      <c r="R596">
        <v>0.98706038712788502</v>
      </c>
      <c r="S596" t="s">
        <v>7599</v>
      </c>
      <c r="T596" t="s">
        <v>14004</v>
      </c>
      <c r="U596" t="s">
        <v>14004</v>
      </c>
      <c r="V596" t="s">
        <v>14004</v>
      </c>
      <c r="W596" t="s">
        <v>14594</v>
      </c>
      <c r="X596">
        <v>20</v>
      </c>
      <c r="Y596" t="s">
        <v>21533</v>
      </c>
      <c r="Z596" t="s">
        <v>28306</v>
      </c>
      <c r="AA596">
        <v>0.4791896273026483</v>
      </c>
      <c r="AB596" t="str">
        <f>HYPERLINK("Melting_Curves/meltCurve_E9PKG1_PRMT1.pdf", "Melting_Curves/meltCurve_E9PKG1_PRMT1.pdf")</f>
        <v>Melting_Curves/meltCurve_E9PKG1_PRMT1.pdf</v>
      </c>
    </row>
    <row r="597" spans="1:28" x14ac:dyDescent="0.25">
      <c r="A597" t="s">
        <v>601</v>
      </c>
      <c r="B597">
        <v>0.99999676499088797</v>
      </c>
      <c r="C597">
        <v>1.07770494190171</v>
      </c>
      <c r="D597">
        <v>1.1863640972718299</v>
      </c>
      <c r="E597">
        <v>1.06406783546858</v>
      </c>
      <c r="F597">
        <v>1.0437904307658601</v>
      </c>
      <c r="G597">
        <v>0.94560199506787601</v>
      </c>
      <c r="H597">
        <v>0.70509917826982405</v>
      </c>
      <c r="I597">
        <v>0.78597865181880899</v>
      </c>
      <c r="J597">
        <v>0.67572946956989499</v>
      </c>
      <c r="K597">
        <v>0.86400695602259803</v>
      </c>
      <c r="L597">
        <v>14270.4077270661</v>
      </c>
      <c r="M597">
        <v>250</v>
      </c>
      <c r="O597">
        <v>57.077978472999398</v>
      </c>
      <c r="P597">
        <v>-0.265312967260109</v>
      </c>
      <c r="Q597">
        <v>0.75770355668431</v>
      </c>
      <c r="R597">
        <v>0.74069686039859794</v>
      </c>
      <c r="S597" t="s">
        <v>7600</v>
      </c>
      <c r="T597" t="s">
        <v>14004</v>
      </c>
      <c r="U597" t="s">
        <v>14004</v>
      </c>
      <c r="V597" t="s">
        <v>14004</v>
      </c>
      <c r="W597" t="s">
        <v>14595</v>
      </c>
      <c r="X597">
        <v>6</v>
      </c>
      <c r="Y597" t="s">
        <v>21534</v>
      </c>
      <c r="Z597" t="s">
        <v>28307</v>
      </c>
      <c r="AA597">
        <v>0.8956884431424903</v>
      </c>
      <c r="AB597" t="str">
        <f>HYPERLINK("Melting_Curves/meltCurve_E9PKN9_TP53I11.pdf", "Melting_Curves/meltCurve_E9PKN9_TP53I11.pdf")</f>
        <v>Melting_Curves/meltCurve_E9PKN9_TP53I11.pdf</v>
      </c>
    </row>
    <row r="598" spans="1:28" x14ac:dyDescent="0.25">
      <c r="A598" t="s">
        <v>602</v>
      </c>
      <c r="B598">
        <v>0.99999676499088797</v>
      </c>
      <c r="C598">
        <v>1.03444459525097</v>
      </c>
      <c r="D598">
        <v>0.85526671972588297</v>
      </c>
      <c r="E598">
        <v>0.69118499844875803</v>
      </c>
      <c r="F598">
        <v>0.21847941704975399</v>
      </c>
      <c r="G598">
        <v>0.105077582221358</v>
      </c>
      <c r="H598">
        <v>4.9188806601598599E-2</v>
      </c>
      <c r="I598">
        <v>8.0992503261519994E-2</v>
      </c>
      <c r="J598">
        <v>8.5596147377840201E-2</v>
      </c>
      <c r="K598">
        <v>0</v>
      </c>
      <c r="L598">
        <v>1336.27666573081</v>
      </c>
      <c r="M598">
        <v>26.4080349975488</v>
      </c>
      <c r="N598">
        <v>50.792561998966001</v>
      </c>
      <c r="O598">
        <v>50.313650034452898</v>
      </c>
      <c r="P598">
        <v>-0.125003222121087</v>
      </c>
      <c r="Q598">
        <v>4.7365646367669198E-2</v>
      </c>
      <c r="R598">
        <v>0.99021350126088403</v>
      </c>
      <c r="S598" t="s">
        <v>7601</v>
      </c>
      <c r="T598" t="s">
        <v>14004</v>
      </c>
      <c r="U598" t="s">
        <v>14004</v>
      </c>
      <c r="V598" t="s">
        <v>14004</v>
      </c>
      <c r="W598" t="s">
        <v>14596</v>
      </c>
      <c r="X598">
        <v>11</v>
      </c>
      <c r="Y598" t="s">
        <v>21535</v>
      </c>
      <c r="Z598" t="s">
        <v>28308</v>
      </c>
      <c r="AA598">
        <v>0.3916827377106144</v>
      </c>
      <c r="AB598" t="str">
        <f>HYPERLINK("Melting_Curves/meltCurve_E9PKQ5_CCDC90B.pdf", "Melting_Curves/meltCurve_E9PKQ5_CCDC90B.pdf")</f>
        <v>Melting_Curves/meltCurve_E9PKQ5_CCDC90B.pdf</v>
      </c>
    </row>
    <row r="599" spans="1:28" x14ac:dyDescent="0.25">
      <c r="A599" t="s">
        <v>603</v>
      </c>
      <c r="B599">
        <v>0.99999676499088797</v>
      </c>
      <c r="C599">
        <v>0.98351974646878304</v>
      </c>
      <c r="D599">
        <v>0.89944507293378295</v>
      </c>
      <c r="E599">
        <v>0.75855629419271298</v>
      </c>
      <c r="F599">
        <v>0.30391546772486699</v>
      </c>
      <c r="G599">
        <v>0.17745575686614601</v>
      </c>
      <c r="H599">
        <v>8.8025341478502106E-2</v>
      </c>
      <c r="I599">
        <v>0.108552671177074</v>
      </c>
      <c r="J599">
        <v>7.6179808896672599E-2</v>
      </c>
      <c r="K599">
        <v>7.95149439260497E-2</v>
      </c>
      <c r="L599">
        <v>1331.4345978813601</v>
      </c>
      <c r="M599">
        <v>26.002836783190698</v>
      </c>
      <c r="N599">
        <v>51.572440839483903</v>
      </c>
      <c r="O599">
        <v>50.903476917109003</v>
      </c>
      <c r="P599">
        <v>-0.116867574616764</v>
      </c>
      <c r="Q599">
        <v>8.4884856109927395E-2</v>
      </c>
      <c r="R599">
        <v>0.99558774521879601</v>
      </c>
      <c r="S599" t="s">
        <v>7602</v>
      </c>
      <c r="T599" t="s">
        <v>14004</v>
      </c>
      <c r="U599" t="s">
        <v>14004</v>
      </c>
      <c r="V599" t="s">
        <v>14004</v>
      </c>
      <c r="W599" t="s">
        <v>14597</v>
      </c>
      <c r="X599">
        <v>5</v>
      </c>
      <c r="Y599" t="s">
        <v>21536</v>
      </c>
      <c r="Z599" t="s">
        <v>28309</v>
      </c>
      <c r="AA599">
        <v>0.43430189041033379</v>
      </c>
      <c r="AB599" t="str">
        <f>HYPERLINK("Melting_Curves/meltCurve_E9PKV2_MRPL17.pdf", "Melting_Curves/meltCurve_E9PKV2_MRPL17.pdf")</f>
        <v>Melting_Curves/meltCurve_E9PKV2_MRPL17.pdf</v>
      </c>
    </row>
    <row r="600" spans="1:28" x14ac:dyDescent="0.25">
      <c r="A600" t="s">
        <v>604</v>
      </c>
      <c r="B600">
        <v>0.99999676499088797</v>
      </c>
      <c r="C600">
        <v>1.0681560466411699</v>
      </c>
      <c r="D600">
        <v>0.84030980110559805</v>
      </c>
      <c r="E600">
        <v>0.453437233361766</v>
      </c>
      <c r="F600">
        <v>0.26582992118335702</v>
      </c>
      <c r="G600">
        <v>0.21112903662944399</v>
      </c>
      <c r="H600">
        <v>8.9128818947479094E-2</v>
      </c>
      <c r="I600">
        <v>0.14394472179720499</v>
      </c>
      <c r="J600">
        <v>0.140704336245731</v>
      </c>
      <c r="K600">
        <v>9.9907865795802298E-2</v>
      </c>
      <c r="L600">
        <v>1229.0037591000701</v>
      </c>
      <c r="M600">
        <v>25.180715024513798</v>
      </c>
      <c r="N600">
        <v>49.416647110177301</v>
      </c>
      <c r="O600">
        <v>48.502649029178798</v>
      </c>
      <c r="P600">
        <v>-0.11247114155270301</v>
      </c>
      <c r="Q600">
        <v>0.13345175965102801</v>
      </c>
      <c r="R600">
        <v>0.98709155132413295</v>
      </c>
      <c r="S600" t="s">
        <v>7603</v>
      </c>
      <c r="T600" t="s">
        <v>14004</v>
      </c>
      <c r="U600" t="s">
        <v>14004</v>
      </c>
      <c r="V600" t="s">
        <v>14004</v>
      </c>
      <c r="W600" t="s">
        <v>14598</v>
      </c>
      <c r="X600">
        <v>8</v>
      </c>
      <c r="Y600" t="s">
        <v>21537</v>
      </c>
      <c r="Z600" t="s">
        <v>28310</v>
      </c>
      <c r="AA600">
        <v>0.39540796619660229</v>
      </c>
      <c r="AB600" t="str">
        <f>HYPERLINK("Melting_Curves/meltCurve_E9PKV8_TTC9C.pdf", "Melting_Curves/meltCurve_E9PKV8_TTC9C.pdf")</f>
        <v>Melting_Curves/meltCurve_E9PKV8_TTC9C.pdf</v>
      </c>
    </row>
    <row r="601" spans="1:28" x14ac:dyDescent="0.25">
      <c r="A601" t="s">
        <v>605</v>
      </c>
      <c r="B601">
        <v>0.99999676499088797</v>
      </c>
      <c r="C601">
        <v>0.990176624191072</v>
      </c>
      <c r="D601">
        <v>0.88610746352195902</v>
      </c>
      <c r="E601">
        <v>0.86123286928774401</v>
      </c>
      <c r="F601">
        <v>0.83366085786002397</v>
      </c>
      <c r="G601">
        <v>0.93702380746746605</v>
      </c>
      <c r="H601">
        <v>0.37610692299583998</v>
      </c>
      <c r="I601">
        <v>0.32432235373738899</v>
      </c>
      <c r="J601">
        <v>0.29074383176832402</v>
      </c>
      <c r="K601">
        <v>0.25996825188210698</v>
      </c>
      <c r="L601">
        <v>3515.7532976494599</v>
      </c>
      <c r="M601">
        <v>59.700930268682399</v>
      </c>
      <c r="N601">
        <v>59.747050350264097</v>
      </c>
      <c r="O601">
        <v>58.823455822137703</v>
      </c>
      <c r="P601">
        <v>-0.18071118285079499</v>
      </c>
      <c r="Q601">
        <v>0.28777981984557699</v>
      </c>
      <c r="R601">
        <v>0.93252750893366199</v>
      </c>
      <c r="S601" t="s">
        <v>7604</v>
      </c>
      <c r="T601" t="s">
        <v>14004</v>
      </c>
      <c r="U601" t="s">
        <v>14004</v>
      </c>
      <c r="V601" t="s">
        <v>14004</v>
      </c>
      <c r="W601" t="s">
        <v>14599</v>
      </c>
      <c r="X601">
        <v>6</v>
      </c>
      <c r="Y601" t="s">
        <v>21538</v>
      </c>
      <c r="Z601" t="s">
        <v>28311</v>
      </c>
      <c r="AA601">
        <v>0.73752028175526652</v>
      </c>
      <c r="AB601" t="str">
        <f>HYPERLINK("Melting_Curves/meltCurve_E9PKZ0_RPL8.pdf", "Melting_Curves/meltCurve_E9PKZ0_RPL8.pdf")</f>
        <v>Melting_Curves/meltCurve_E9PKZ0_RPL8.pdf</v>
      </c>
    </row>
    <row r="602" spans="1:28" x14ac:dyDescent="0.25">
      <c r="A602" t="s">
        <v>606</v>
      </c>
      <c r="B602">
        <v>0.99999676499088797</v>
      </c>
      <c r="C602">
        <v>0.93284413759374596</v>
      </c>
      <c r="D602">
        <v>0.99269405956526602</v>
      </c>
      <c r="E602">
        <v>1.0391927072398499</v>
      </c>
      <c r="F602">
        <v>1.0639772848614799</v>
      </c>
      <c r="G602">
        <v>0.82452606743825596</v>
      </c>
      <c r="H602">
        <v>0.61015699637463805</v>
      </c>
      <c r="I602">
        <v>0.62796075061527701</v>
      </c>
      <c r="J602">
        <v>0.503992791369964</v>
      </c>
      <c r="K602">
        <v>0.74593921786065698</v>
      </c>
      <c r="L602">
        <v>14208.1403940613</v>
      </c>
      <c r="M602">
        <v>250</v>
      </c>
      <c r="O602">
        <v>56.828926315503502</v>
      </c>
      <c r="P602">
        <v>-0.41570772624619201</v>
      </c>
      <c r="Q602">
        <v>0.62201243148973295</v>
      </c>
      <c r="R602">
        <v>0.891892444495201</v>
      </c>
      <c r="S602" t="s">
        <v>7605</v>
      </c>
      <c r="T602" t="s">
        <v>14004</v>
      </c>
      <c r="U602" t="s">
        <v>14004</v>
      </c>
      <c r="V602" t="s">
        <v>14004</v>
      </c>
      <c r="W602" t="s">
        <v>14600</v>
      </c>
      <c r="X602">
        <v>4</v>
      </c>
      <c r="Y602" t="s">
        <v>21539</v>
      </c>
      <c r="Z602" t="s">
        <v>28312</v>
      </c>
      <c r="AA602">
        <v>0.83413343280196783</v>
      </c>
      <c r="AB602" t="str">
        <f>HYPERLINK("Melting_Curves/meltCurve_E9PL10_BTF3L4.pdf", "Melting_Curves/meltCurve_E9PL10_BTF3L4.pdf")</f>
        <v>Melting_Curves/meltCurve_E9PL10_BTF3L4.pdf</v>
      </c>
    </row>
    <row r="603" spans="1:28" x14ac:dyDescent="0.25">
      <c r="A603" t="s">
        <v>607</v>
      </c>
      <c r="B603">
        <v>0.99999676499088797</v>
      </c>
      <c r="C603">
        <v>0.76747479376871797</v>
      </c>
      <c r="D603">
        <v>0.47724007284612802</v>
      </c>
      <c r="E603">
        <v>0.40094873643380402</v>
      </c>
      <c r="F603">
        <v>0.33330796949680902</v>
      </c>
      <c r="G603">
        <v>0.215665933980004</v>
      </c>
      <c r="H603">
        <v>9.3559082641917798E-2</v>
      </c>
      <c r="I603">
        <v>7.9025806382157796E-2</v>
      </c>
      <c r="J603">
        <v>5.8097278683486103E-2</v>
      </c>
      <c r="K603">
        <v>3.5814713043349697E-2</v>
      </c>
      <c r="L603">
        <v>507.219235037305</v>
      </c>
      <c r="M603">
        <v>10.694751748433101</v>
      </c>
      <c r="N603">
        <v>47.694433919997401</v>
      </c>
      <c r="O603">
        <v>45.858947399415001</v>
      </c>
      <c r="P603">
        <v>-5.6626562654161799E-2</v>
      </c>
      <c r="Q603">
        <v>2.9109543915048101E-2</v>
      </c>
      <c r="R603">
        <v>0.96252910343645204</v>
      </c>
      <c r="S603" t="s">
        <v>7606</v>
      </c>
      <c r="T603" t="s">
        <v>14004</v>
      </c>
      <c r="U603" t="s">
        <v>14004</v>
      </c>
      <c r="V603" t="s">
        <v>14004</v>
      </c>
      <c r="W603" t="s">
        <v>14601</v>
      </c>
      <c r="X603">
        <v>7</v>
      </c>
      <c r="Y603" t="s">
        <v>21540</v>
      </c>
      <c r="Z603" t="s">
        <v>28313</v>
      </c>
      <c r="AA603">
        <v>0.31773990036357519</v>
      </c>
      <c r="AB603" t="str">
        <f>HYPERLINK("Melting_Curves/meltCurve_E9PL17_CLP1.pdf", "Melting_Curves/meltCurve_E9PL17_CLP1.pdf")</f>
        <v>Melting_Curves/meltCurve_E9PL17_CLP1.pdf</v>
      </c>
    </row>
    <row r="604" spans="1:28" x14ac:dyDescent="0.25">
      <c r="A604" t="s">
        <v>608</v>
      </c>
      <c r="B604">
        <v>0.99999676499088797</v>
      </c>
      <c r="C604">
        <v>1.3062160843094299</v>
      </c>
      <c r="D604">
        <v>1.1476657953159</v>
      </c>
      <c r="E604">
        <v>1.0294537016951399</v>
      </c>
      <c r="F604">
        <v>0.78929317815757505</v>
      </c>
      <c r="G604">
        <v>0.47851010870946298</v>
      </c>
      <c r="H604">
        <v>0.30355145187960803</v>
      </c>
      <c r="I604">
        <v>0.17411001418542901</v>
      </c>
      <c r="J604">
        <v>3.6364392477167502E-2</v>
      </c>
      <c r="K604">
        <v>2.2170545674932401E-2</v>
      </c>
      <c r="L604">
        <v>1121.71677988849</v>
      </c>
      <c r="M604">
        <v>19.6548268113056</v>
      </c>
      <c r="N604">
        <v>57.208083992050298</v>
      </c>
      <c r="O604">
        <v>56.489880851048099</v>
      </c>
      <c r="P604">
        <v>-8.4983144314418904E-2</v>
      </c>
      <c r="Q604">
        <v>2.30349395230054E-2</v>
      </c>
      <c r="R604">
        <v>0.93545486427982505</v>
      </c>
      <c r="S604" t="s">
        <v>7607</v>
      </c>
      <c r="T604" t="s">
        <v>14004</v>
      </c>
      <c r="U604" t="s">
        <v>14004</v>
      </c>
      <c r="V604" t="s">
        <v>14004</v>
      </c>
      <c r="W604" t="s">
        <v>14602</v>
      </c>
      <c r="X604">
        <v>3</v>
      </c>
      <c r="Y604" t="s">
        <v>21541</v>
      </c>
      <c r="Z604" t="s">
        <v>28314</v>
      </c>
      <c r="AA604">
        <v>0.59110158324380579</v>
      </c>
      <c r="AB604" t="str">
        <f>HYPERLINK("Melting_Curves/meltCurve_E9PL33_EI24.pdf", "Melting_Curves/meltCurve_E9PL33_EI24.pdf")</f>
        <v>Melting_Curves/meltCurve_E9PL33_EI24.pdf</v>
      </c>
    </row>
    <row r="605" spans="1:28" x14ac:dyDescent="0.25">
      <c r="A605" t="s">
        <v>609</v>
      </c>
      <c r="B605">
        <v>0.99999676499088797</v>
      </c>
      <c r="C605">
        <v>0.95495868001770901</v>
      </c>
      <c r="D605">
        <v>1.03319537915098</v>
      </c>
      <c r="E605">
        <v>1.0284421354220701</v>
      </c>
      <c r="F605">
        <v>0.91735359935480598</v>
      </c>
      <c r="G605">
        <v>0.69608710218202097</v>
      </c>
      <c r="H605">
        <v>0.374298772362958</v>
      </c>
      <c r="I605">
        <v>0.347610999223599</v>
      </c>
      <c r="J605">
        <v>0.25972583215176198</v>
      </c>
      <c r="K605">
        <v>0.25305893812309099</v>
      </c>
      <c r="L605">
        <v>1587.1110440943501</v>
      </c>
      <c r="M605">
        <v>27.614656596966601</v>
      </c>
      <c r="N605">
        <v>59.0511714070728</v>
      </c>
      <c r="O605">
        <v>57.174638848405401</v>
      </c>
      <c r="P605">
        <v>-8.9243335456043002E-2</v>
      </c>
      <c r="Q605">
        <v>0.26091287454100198</v>
      </c>
      <c r="R605">
        <v>0.99276376736744598</v>
      </c>
      <c r="S605" t="s">
        <v>7608</v>
      </c>
      <c r="T605" t="s">
        <v>14004</v>
      </c>
      <c r="U605" t="s">
        <v>14004</v>
      </c>
      <c r="V605" t="s">
        <v>14004</v>
      </c>
      <c r="W605" t="s">
        <v>14603</v>
      </c>
      <c r="X605">
        <v>11</v>
      </c>
      <c r="Y605" t="s">
        <v>21542</v>
      </c>
      <c r="Z605" t="s">
        <v>28315</v>
      </c>
      <c r="AA605">
        <v>0.6970215723064821</v>
      </c>
      <c r="AB605" t="str">
        <f>HYPERLINK("Melting_Curves/meltCurve_E9PL57_NEDD8_MDP1.pdf", "Melting_Curves/meltCurve_E9PL57_NEDD8_MDP1.pdf")</f>
        <v>Melting_Curves/meltCurve_E9PL57_NEDD8_MDP1.pdf</v>
      </c>
    </row>
    <row r="606" spans="1:28" x14ac:dyDescent="0.25">
      <c r="A606" t="s">
        <v>610</v>
      </c>
      <c r="B606">
        <v>0.99999676499088797</v>
      </c>
      <c r="C606">
        <v>0.83202840282325896</v>
      </c>
      <c r="D606">
        <v>1.2426479153518299</v>
      </c>
      <c r="E606">
        <v>1.0190804114507399</v>
      </c>
      <c r="F606">
        <v>0.77427162144800898</v>
      </c>
      <c r="G606">
        <v>1.0511510532762001</v>
      </c>
      <c r="H606">
        <v>0.652561836146892</v>
      </c>
      <c r="I606">
        <v>0.47904669224201002</v>
      </c>
      <c r="J606">
        <v>0.34037701100297602</v>
      </c>
      <c r="K606">
        <v>0.35688974210118102</v>
      </c>
      <c r="L606">
        <v>2542.59691733306</v>
      </c>
      <c r="M606">
        <v>41.791961349567302</v>
      </c>
      <c r="N606">
        <v>62.721341568623998</v>
      </c>
      <c r="O606">
        <v>60.700548836283801</v>
      </c>
      <c r="P606">
        <v>-0.110621233825275</v>
      </c>
      <c r="Q606">
        <v>0.357315586612586</v>
      </c>
      <c r="R606">
        <v>0.82994314648853995</v>
      </c>
      <c r="S606" t="s">
        <v>7609</v>
      </c>
      <c r="T606" t="s">
        <v>14004</v>
      </c>
      <c r="U606" t="s">
        <v>14004</v>
      </c>
      <c r="V606" t="s">
        <v>14004</v>
      </c>
      <c r="W606" t="s">
        <v>14292</v>
      </c>
      <c r="X606">
        <v>1</v>
      </c>
      <c r="Z606" t="s">
        <v>28316</v>
      </c>
      <c r="AA606">
        <v>0.80604438102732867</v>
      </c>
      <c r="AB606" t="str">
        <f>HYPERLINK("Melting_Curves/meltCurve_E9PLD3_.pdf", "Melting_Curves/meltCurve_E9PLD3_.pdf")</f>
        <v>Melting_Curves/meltCurve_E9PLD3_.pdf</v>
      </c>
    </row>
    <row r="607" spans="1:28" x14ac:dyDescent="0.25">
      <c r="A607" t="s">
        <v>611</v>
      </c>
      <c r="B607">
        <v>0.99999676499088797</v>
      </c>
      <c r="C607">
        <v>0.701992790999871</v>
      </c>
      <c r="D607">
        <v>0.67854642813855004</v>
      </c>
      <c r="E607">
        <v>0.77306645240382799</v>
      </c>
      <c r="F607">
        <v>0.70361580572372495</v>
      </c>
      <c r="G607">
        <v>0.360488885010117</v>
      </c>
      <c r="H607">
        <v>0.13924320702611601</v>
      </c>
      <c r="I607">
        <v>7.794701740552E-2</v>
      </c>
      <c r="J607">
        <v>3.7829057282589E-2</v>
      </c>
      <c r="K607">
        <v>3.1111981787579901E-2</v>
      </c>
      <c r="L607">
        <v>561.717589436911</v>
      </c>
      <c r="M607">
        <v>10.503597256800701</v>
      </c>
      <c r="N607">
        <v>53.478590951940902</v>
      </c>
      <c r="O607">
        <v>51.649215881332999</v>
      </c>
      <c r="P607">
        <v>-5.08615052211576E-2</v>
      </c>
      <c r="Q607">
        <v>0</v>
      </c>
      <c r="R607">
        <v>0.87911323580225498</v>
      </c>
      <c r="S607" t="s">
        <v>7610</v>
      </c>
      <c r="T607" t="s">
        <v>14004</v>
      </c>
      <c r="U607" t="s">
        <v>14004</v>
      </c>
      <c r="V607" t="s">
        <v>14004</v>
      </c>
      <c r="W607" t="s">
        <v>14604</v>
      </c>
      <c r="X607">
        <v>1</v>
      </c>
      <c r="Y607" t="s">
        <v>21543</v>
      </c>
      <c r="Z607" t="s">
        <v>28317</v>
      </c>
      <c r="AA607">
        <v>0.48032764348043122</v>
      </c>
      <c r="AB607" t="str">
        <f>HYPERLINK("Melting_Curves/meltCurve_E9PLJ2_CHIA.pdf", "Melting_Curves/meltCurve_E9PLJ2_CHIA.pdf")</f>
        <v>Melting_Curves/meltCurve_E9PLJ2_CHIA.pdf</v>
      </c>
    </row>
    <row r="608" spans="1:28" x14ac:dyDescent="0.25">
      <c r="A608" t="s">
        <v>612</v>
      </c>
      <c r="B608">
        <v>0.99999676499088797</v>
      </c>
      <c r="C608">
        <v>1.09714660852843</v>
      </c>
      <c r="D608">
        <v>1.0493040431495499</v>
      </c>
      <c r="E608">
        <v>1.0396950070917099</v>
      </c>
      <c r="F608">
        <v>0.90054189720622402</v>
      </c>
      <c r="G608">
        <v>0.67671525331625504</v>
      </c>
      <c r="H608">
        <v>0.27017360204347102</v>
      </c>
      <c r="I608">
        <v>0.13344852946642599</v>
      </c>
      <c r="J608">
        <v>0.108029394147814</v>
      </c>
      <c r="K608">
        <v>8.62054113903271E-2</v>
      </c>
      <c r="L608">
        <v>1621.0872027842399</v>
      </c>
      <c r="M608">
        <v>27.978748826650001</v>
      </c>
      <c r="N608">
        <v>58.301673660730103</v>
      </c>
      <c r="O608">
        <v>57.646383132354003</v>
      </c>
      <c r="P608">
        <v>-0.11167011435067099</v>
      </c>
      <c r="Q608">
        <v>7.9683976958909206E-2</v>
      </c>
      <c r="R608">
        <v>0.99106275763005103</v>
      </c>
      <c r="S608" t="s">
        <v>7611</v>
      </c>
      <c r="T608" t="s">
        <v>14004</v>
      </c>
      <c r="U608" t="s">
        <v>14004</v>
      </c>
      <c r="V608" t="s">
        <v>14004</v>
      </c>
      <c r="W608" t="s">
        <v>14239</v>
      </c>
      <c r="X608">
        <v>35</v>
      </c>
      <c r="Y608" t="s">
        <v>21176</v>
      </c>
      <c r="Z608" t="s">
        <v>28318</v>
      </c>
      <c r="AA608">
        <v>0.63681945416895092</v>
      </c>
      <c r="AB608" t="str">
        <f>HYPERLINK("Melting_Curves/meltCurve_E9PLK3_NPEPPS.pdf", "Melting_Curves/meltCurve_E9PLK3_NPEPPS.pdf")</f>
        <v>Melting_Curves/meltCurve_E9PLK3_NPEPPS.pdf</v>
      </c>
    </row>
    <row r="609" spans="1:28" x14ac:dyDescent="0.25">
      <c r="A609" t="s">
        <v>613</v>
      </c>
      <c r="B609">
        <v>0.99999676499088797</v>
      </c>
      <c r="C609">
        <v>1.0497699955912501</v>
      </c>
      <c r="D609">
        <v>0.90800855243271295</v>
      </c>
      <c r="E609">
        <v>0.75566814397802595</v>
      </c>
      <c r="F609">
        <v>0.60458248508008205</v>
      </c>
      <c r="G609">
        <v>0.44525347865296699</v>
      </c>
      <c r="H609">
        <v>0.16502333142664599</v>
      </c>
      <c r="I609">
        <v>7.8337118876993198E-2</v>
      </c>
      <c r="J609">
        <v>0.102400138733775</v>
      </c>
      <c r="K609">
        <v>5.9772485752653703E-2</v>
      </c>
      <c r="L609">
        <v>736.63363298933405</v>
      </c>
      <c r="M609">
        <v>13.453402451062299</v>
      </c>
      <c r="N609">
        <v>54.7544485844356</v>
      </c>
      <c r="O609">
        <v>53.587130359819497</v>
      </c>
      <c r="P609">
        <v>-6.2773853476568803E-2</v>
      </c>
      <c r="Q609">
        <v>0</v>
      </c>
      <c r="R609">
        <v>0.98824543298408696</v>
      </c>
      <c r="S609" t="s">
        <v>7612</v>
      </c>
      <c r="T609" t="s">
        <v>14004</v>
      </c>
      <c r="U609" t="s">
        <v>14004</v>
      </c>
      <c r="V609" t="s">
        <v>14004</v>
      </c>
      <c r="W609" t="s">
        <v>14605</v>
      </c>
      <c r="X609">
        <v>1</v>
      </c>
      <c r="Y609" t="s">
        <v>21544</v>
      </c>
      <c r="Z609" t="s">
        <v>28319</v>
      </c>
      <c r="AA609">
        <v>0.51373491543953376</v>
      </c>
      <c r="AB609" t="str">
        <f>HYPERLINK("Melting_Curves/meltCurve_E9PLL6_RPL27A.pdf", "Melting_Curves/meltCurve_E9PLL6_RPL27A.pdf")</f>
        <v>Melting_Curves/meltCurve_E9PLL6_RPL27A.pdf</v>
      </c>
    </row>
    <row r="610" spans="1:28" x14ac:dyDescent="0.25">
      <c r="A610" t="s">
        <v>614</v>
      </c>
      <c r="B610">
        <v>0.99999676499088797</v>
      </c>
      <c r="C610">
        <v>0.96073399213343702</v>
      </c>
      <c r="D610">
        <v>0.75049924639697196</v>
      </c>
      <c r="E610">
        <v>0.43001219401430701</v>
      </c>
      <c r="F610">
        <v>0.25305442350337198</v>
      </c>
      <c r="G610">
        <v>0.254650623528617</v>
      </c>
      <c r="H610">
        <v>0.141192459614564</v>
      </c>
      <c r="I610">
        <v>0.21420109331755099</v>
      </c>
      <c r="J610">
        <v>0.22918781824408299</v>
      </c>
      <c r="K610">
        <v>0.21927974957699201</v>
      </c>
      <c r="L610">
        <v>1155.47897040306</v>
      </c>
      <c r="M610">
        <v>24.280450607421098</v>
      </c>
      <c r="N610">
        <v>48.654049305111897</v>
      </c>
      <c r="O610">
        <v>47.269572189084101</v>
      </c>
      <c r="P610">
        <v>-0.101942434058352</v>
      </c>
      <c r="Q610">
        <v>0.20615922256646499</v>
      </c>
      <c r="R610">
        <v>0.99281669216750801</v>
      </c>
      <c r="S610" t="s">
        <v>7613</v>
      </c>
      <c r="T610" t="s">
        <v>14004</v>
      </c>
      <c r="U610" t="s">
        <v>14004</v>
      </c>
      <c r="V610" t="s">
        <v>14004</v>
      </c>
      <c r="W610" t="s">
        <v>14606</v>
      </c>
      <c r="X610">
        <v>1</v>
      </c>
      <c r="Y610" t="s">
        <v>21545</v>
      </c>
      <c r="Z610" t="s">
        <v>28320</v>
      </c>
      <c r="AA610">
        <v>0.41445922395085771</v>
      </c>
      <c r="AB610" t="str">
        <f>HYPERLINK("Melting_Curves/meltCurve_E9PLM7_BRSK2.pdf", "Melting_Curves/meltCurve_E9PLM7_BRSK2.pdf")</f>
        <v>Melting_Curves/meltCurve_E9PLM7_BRSK2.pdf</v>
      </c>
    </row>
    <row r="611" spans="1:28" x14ac:dyDescent="0.25">
      <c r="A611" t="s">
        <v>615</v>
      </c>
      <c r="B611">
        <v>0.99999676499088797</v>
      </c>
      <c r="C611">
        <v>0.98157358123429295</v>
      </c>
      <c r="D611">
        <v>0.56741116760645804</v>
      </c>
      <c r="E611">
        <v>0.26487176795580097</v>
      </c>
      <c r="F611">
        <v>0.19169934205864</v>
      </c>
      <c r="G611">
        <v>0.123587536100321</v>
      </c>
      <c r="H611">
        <v>6.8937045797544103E-2</v>
      </c>
      <c r="I611">
        <v>6.2589060126593196E-2</v>
      </c>
      <c r="J611">
        <v>5.5479834352008497E-2</v>
      </c>
      <c r="K611">
        <v>5.1973820347773099E-2</v>
      </c>
      <c r="L611">
        <v>1144.3522078092401</v>
      </c>
      <c r="M611">
        <v>24.533022967299601</v>
      </c>
      <c r="N611">
        <v>46.985127923197602</v>
      </c>
      <c r="O611">
        <v>46.338769228074703</v>
      </c>
      <c r="P611">
        <v>-0.12160130927169401</v>
      </c>
      <c r="Q611">
        <v>8.1275349323496796E-2</v>
      </c>
      <c r="R611">
        <v>0.98690693575546695</v>
      </c>
      <c r="S611" t="s">
        <v>7614</v>
      </c>
      <c r="T611" t="s">
        <v>14004</v>
      </c>
      <c r="U611" t="s">
        <v>14004</v>
      </c>
      <c r="V611" t="s">
        <v>14004</v>
      </c>
      <c r="W611" t="s">
        <v>14256</v>
      </c>
      <c r="X611">
        <v>28</v>
      </c>
      <c r="Y611" t="s">
        <v>21546</v>
      </c>
      <c r="Z611" t="s">
        <v>28321</v>
      </c>
      <c r="AA611">
        <v>0.29341512710909468</v>
      </c>
      <c r="AB611" t="str">
        <f>HYPERLINK("Melting_Curves/meltCurve_E9PM46_USP47.pdf", "Melting_Curves/meltCurve_E9PM46_USP47.pdf")</f>
        <v>Melting_Curves/meltCurve_E9PM46_USP47.pdf</v>
      </c>
    </row>
    <row r="612" spans="1:28" x14ac:dyDescent="0.25">
      <c r="A612" t="s">
        <v>616</v>
      </c>
      <c r="B612">
        <v>0.99999676499088797</v>
      </c>
      <c r="C612">
        <v>0.96600417167135699</v>
      </c>
      <c r="D612">
        <v>0.985380212043101</v>
      </c>
      <c r="E612">
        <v>0.94456618375993595</v>
      </c>
      <c r="F612">
        <v>0.94299411707953595</v>
      </c>
      <c r="G612">
        <v>0.85897416788488001</v>
      </c>
      <c r="H612">
        <v>0.64207025695616604</v>
      </c>
      <c r="I612">
        <v>0.71469530067863496</v>
      </c>
      <c r="J612">
        <v>0.68635776731829601</v>
      </c>
      <c r="K612">
        <v>0.69279265937955004</v>
      </c>
      <c r="L612">
        <v>14212.2582940415</v>
      </c>
      <c r="M612">
        <v>250</v>
      </c>
      <c r="O612">
        <v>56.845393420044097</v>
      </c>
      <c r="P612">
        <v>-0.34745669285262099</v>
      </c>
      <c r="Q612">
        <v>0.68397899195993594</v>
      </c>
      <c r="R612">
        <v>0.94323988198457898</v>
      </c>
      <c r="S612" t="s">
        <v>7615</v>
      </c>
      <c r="T612" t="s">
        <v>14004</v>
      </c>
      <c r="U612" t="s">
        <v>14004</v>
      </c>
      <c r="V612" t="s">
        <v>14004</v>
      </c>
      <c r="W612" t="s">
        <v>14607</v>
      </c>
      <c r="X612">
        <v>9</v>
      </c>
      <c r="Y612" t="s">
        <v>21547</v>
      </c>
      <c r="Z612" t="s">
        <v>28322</v>
      </c>
      <c r="AA612">
        <v>0.86149880274087187</v>
      </c>
      <c r="AB612" t="str">
        <f>HYPERLINK("Melting_Curves/meltCurve_E9PM92_C11orf58.pdf", "Melting_Curves/meltCurve_E9PM92_C11orf58.pdf")</f>
        <v>Melting_Curves/meltCurve_E9PM92_C11orf58.pdf</v>
      </c>
    </row>
    <row r="613" spans="1:28" x14ac:dyDescent="0.25">
      <c r="A613" t="s">
        <v>617</v>
      </c>
      <c r="B613">
        <v>0.99999676499088797</v>
      </c>
      <c r="C613">
        <v>0.99669964038460801</v>
      </c>
      <c r="D613">
        <v>0.78003727807593504</v>
      </c>
      <c r="E613">
        <v>0.53482894180311302</v>
      </c>
      <c r="F613">
        <v>0.41418727220211898</v>
      </c>
      <c r="G613">
        <v>0.226836547767723</v>
      </c>
      <c r="H613">
        <v>0.119158917800159</v>
      </c>
      <c r="I613">
        <v>0.120773398399357</v>
      </c>
      <c r="J613">
        <v>0.15249518482771701</v>
      </c>
      <c r="K613">
        <v>9.4004584502427102E-2</v>
      </c>
      <c r="L613">
        <v>751.30963481137405</v>
      </c>
      <c r="M613">
        <v>15.024229701727499</v>
      </c>
      <c r="N613">
        <v>50.733945526214903</v>
      </c>
      <c r="O613">
        <v>49.1457061055346</v>
      </c>
      <c r="P613">
        <v>-6.9028416295409498E-2</v>
      </c>
      <c r="Q613">
        <v>9.6896224228472397E-2</v>
      </c>
      <c r="R613">
        <v>0.98883552409515496</v>
      </c>
      <c r="S613" t="s">
        <v>7616</v>
      </c>
      <c r="T613" t="s">
        <v>14004</v>
      </c>
      <c r="U613" t="s">
        <v>14004</v>
      </c>
      <c r="V613" t="s">
        <v>14004</v>
      </c>
      <c r="W613" t="s">
        <v>14608</v>
      </c>
      <c r="X613">
        <v>2</v>
      </c>
      <c r="Y613" t="s">
        <v>21548</v>
      </c>
      <c r="Z613" t="s">
        <v>28323</v>
      </c>
      <c r="AA613">
        <v>0.41959714129439629</v>
      </c>
      <c r="AB613" t="str">
        <f>HYPERLINK("Melting_Curves/meltCurve_E9PMH5_BIRC2.pdf", "Melting_Curves/meltCurve_E9PMH5_BIRC2.pdf")</f>
        <v>Melting_Curves/meltCurve_E9PMH5_BIRC2.pdf</v>
      </c>
    </row>
    <row r="614" spans="1:28" x14ac:dyDescent="0.25">
      <c r="A614" t="s">
        <v>618</v>
      </c>
      <c r="B614">
        <v>0.99999676499088797</v>
      </c>
      <c r="C614">
        <v>0.99965489273920305</v>
      </c>
      <c r="D614">
        <v>0.89749472941776198</v>
      </c>
      <c r="E614">
        <v>0.91875157444383104</v>
      </c>
      <c r="F614">
        <v>0.56751566379868101</v>
      </c>
      <c r="G614">
        <v>0.23533400610779001</v>
      </c>
      <c r="H614">
        <v>0.106989242183961</v>
      </c>
      <c r="I614">
        <v>9.0979803240648402E-2</v>
      </c>
      <c r="J614">
        <v>8.6209849518685405E-2</v>
      </c>
      <c r="K614">
        <v>0.105920825374757</v>
      </c>
      <c r="L614">
        <v>1467.94669385779</v>
      </c>
      <c r="M614">
        <v>27.4821514911389</v>
      </c>
      <c r="N614">
        <v>53.785654921871597</v>
      </c>
      <c r="O614">
        <v>53.134128913046403</v>
      </c>
      <c r="P614">
        <v>-0.118139400362087</v>
      </c>
      <c r="Q614">
        <v>8.6363200766100906E-2</v>
      </c>
      <c r="R614">
        <v>0.994088041855958</v>
      </c>
      <c r="S614" t="s">
        <v>7617</v>
      </c>
      <c r="T614" t="s">
        <v>14004</v>
      </c>
      <c r="U614" t="s">
        <v>14004</v>
      </c>
      <c r="V614" t="s">
        <v>14004</v>
      </c>
      <c r="W614" t="s">
        <v>14609</v>
      </c>
      <c r="X614">
        <v>5</v>
      </c>
      <c r="Y614" t="s">
        <v>21549</v>
      </c>
      <c r="Z614" t="s">
        <v>28324</v>
      </c>
      <c r="AA614">
        <v>0.50195376339002229</v>
      </c>
      <c r="AB614" t="str">
        <f>HYPERLINK("Melting_Curves/meltCurve_E9PMI6_CLNS1A.pdf", "Melting_Curves/meltCurve_E9PMI6_CLNS1A.pdf")</f>
        <v>Melting_Curves/meltCurve_E9PMI6_CLNS1A.pdf</v>
      </c>
    </row>
    <row r="615" spans="1:28" x14ac:dyDescent="0.25">
      <c r="A615" t="s">
        <v>619</v>
      </c>
      <c r="B615">
        <v>0.99999676499088797</v>
      </c>
      <c r="C615">
        <v>0.89166914186685897</v>
      </c>
      <c r="D615">
        <v>0.86421987395798405</v>
      </c>
      <c r="E615">
        <v>0.478937330041178</v>
      </c>
      <c r="F615">
        <v>0.26262100166191799</v>
      </c>
      <c r="G615">
        <v>0.161976779894554</v>
      </c>
      <c r="H615">
        <v>7.5946460404220595E-2</v>
      </c>
      <c r="I615">
        <v>7.9290258799709898E-2</v>
      </c>
      <c r="J615">
        <v>7.4069027719012595E-2</v>
      </c>
      <c r="K615">
        <v>6.5474562623819996E-2</v>
      </c>
      <c r="L615">
        <v>937.13089222737904</v>
      </c>
      <c r="M615">
        <v>18.9911331245304</v>
      </c>
      <c r="N615">
        <v>49.721255639340299</v>
      </c>
      <c r="O615">
        <v>48.8083184605863</v>
      </c>
      <c r="P615">
        <v>-9.0778365615427903E-2</v>
      </c>
      <c r="Q615">
        <v>6.6814198868052302E-2</v>
      </c>
      <c r="R615">
        <v>0.99395390303720899</v>
      </c>
      <c r="S615" t="s">
        <v>7618</v>
      </c>
      <c r="T615" t="s">
        <v>14004</v>
      </c>
      <c r="U615" t="s">
        <v>14004</v>
      </c>
      <c r="V615" t="s">
        <v>14004</v>
      </c>
      <c r="W615" t="s">
        <v>14610</v>
      </c>
      <c r="X615">
        <v>5</v>
      </c>
      <c r="Y615" t="s">
        <v>21550</v>
      </c>
      <c r="Z615" t="s">
        <v>28325</v>
      </c>
      <c r="AA615">
        <v>0.37197689852942628</v>
      </c>
      <c r="AB615" t="str">
        <f>HYPERLINK("Melting_Curves/meltCurve_E9PMJ2_FAM118B.pdf", "Melting_Curves/meltCurve_E9PMJ2_FAM118B.pdf")</f>
        <v>Melting_Curves/meltCurve_E9PMJ2_FAM118B.pdf</v>
      </c>
    </row>
    <row r="616" spans="1:28" x14ac:dyDescent="0.25">
      <c r="A616" t="s">
        <v>620</v>
      </c>
      <c r="B616">
        <v>0.99999676499088797</v>
      </c>
      <c r="C616">
        <v>1.12793812134935</v>
      </c>
      <c r="D616">
        <v>1.14805088704931</v>
      </c>
      <c r="E616">
        <v>1.29234310122989</v>
      </c>
      <c r="F616">
        <v>0.51818068751693502</v>
      </c>
      <c r="G616">
        <v>0.291118245943916</v>
      </c>
      <c r="H616">
        <v>0.13482917367466701</v>
      </c>
      <c r="I616">
        <v>0.12433105213745101</v>
      </c>
      <c r="J616">
        <v>0.111925471308886</v>
      </c>
      <c r="K616">
        <v>6.8742454989037804E-2</v>
      </c>
      <c r="L616">
        <v>7820.6575779762297</v>
      </c>
      <c r="M616">
        <v>147.26312402097599</v>
      </c>
      <c r="N616">
        <v>53.2317086514552</v>
      </c>
      <c r="O616">
        <v>53.096913222877902</v>
      </c>
      <c r="P616">
        <v>-0.59202078306583605</v>
      </c>
      <c r="Q616">
        <v>0.146168634014784</v>
      </c>
      <c r="R616">
        <v>0.93310788371669096</v>
      </c>
      <c r="S616" t="s">
        <v>7619</v>
      </c>
      <c r="T616" t="s">
        <v>14004</v>
      </c>
      <c r="U616" t="s">
        <v>14004</v>
      </c>
      <c r="V616" t="s">
        <v>14004</v>
      </c>
      <c r="W616" t="s">
        <v>14611</v>
      </c>
      <c r="X616">
        <v>4</v>
      </c>
      <c r="Y616" t="s">
        <v>21551</v>
      </c>
      <c r="Z616" t="s">
        <v>28326</v>
      </c>
      <c r="AA616">
        <v>0.51942827113281209</v>
      </c>
      <c r="AB616" t="str">
        <f>HYPERLINK("Melting_Curves/meltCurve_E9PMM3_PEX16.pdf", "Melting_Curves/meltCurve_E9PMM3_PEX16.pdf")</f>
        <v>Melting_Curves/meltCurve_E9PMM3_PEX16.pdf</v>
      </c>
    </row>
    <row r="617" spans="1:28" x14ac:dyDescent="0.25">
      <c r="A617" t="s">
        <v>621</v>
      </c>
      <c r="B617">
        <v>0.99999676499088797</v>
      </c>
      <c r="C617">
        <v>0.73171336384667895</v>
      </c>
      <c r="D617">
        <v>0.36343264360240501</v>
      </c>
      <c r="E617">
        <v>0.201038042642877</v>
      </c>
      <c r="F617">
        <v>0.119055436051181</v>
      </c>
      <c r="G617">
        <v>7.1994246696208006E-2</v>
      </c>
      <c r="H617">
        <v>4.49853690554144E-2</v>
      </c>
      <c r="I617">
        <v>4.1351636067423599E-2</v>
      </c>
      <c r="J617">
        <v>5.1700093140323297E-2</v>
      </c>
      <c r="K617">
        <v>4.3623054634062602E-2</v>
      </c>
      <c r="L617">
        <v>999.93663081128398</v>
      </c>
      <c r="M617">
        <v>22.335865217755401</v>
      </c>
      <c r="N617">
        <v>45.022625881801197</v>
      </c>
      <c r="O617">
        <v>44.4140008251266</v>
      </c>
      <c r="P617">
        <v>-0.118273311317344</v>
      </c>
      <c r="Q617">
        <v>5.9292482424121398E-2</v>
      </c>
      <c r="R617">
        <v>0.99126064018511495</v>
      </c>
      <c r="S617" t="s">
        <v>7620</v>
      </c>
      <c r="T617" t="s">
        <v>14004</v>
      </c>
      <c r="U617" t="s">
        <v>14004</v>
      </c>
      <c r="V617" t="s">
        <v>14004</v>
      </c>
      <c r="W617" t="s">
        <v>14612</v>
      </c>
      <c r="X617">
        <v>4</v>
      </c>
      <c r="Y617" t="s">
        <v>21552</v>
      </c>
      <c r="Z617" t="s">
        <v>28327</v>
      </c>
      <c r="AA617">
        <v>0.22142009657383571</v>
      </c>
      <c r="AB617" t="str">
        <f>HYPERLINK("Melting_Curves/meltCurve_E9PMQ6_HSF1.pdf", "Melting_Curves/meltCurve_E9PMQ6_HSF1.pdf")</f>
        <v>Melting_Curves/meltCurve_E9PMQ6_HSF1.pdf</v>
      </c>
    </row>
    <row r="618" spans="1:28" x14ac:dyDescent="0.25">
      <c r="A618" t="s">
        <v>622</v>
      </c>
      <c r="B618">
        <v>0.99999676499088797</v>
      </c>
      <c r="C618">
        <v>1.05452087247735</v>
      </c>
      <c r="D618">
        <v>0.887802601357771</v>
      </c>
      <c r="E618">
        <v>0.80484594743013305</v>
      </c>
      <c r="F618">
        <v>1.0331797826954501</v>
      </c>
      <c r="G618">
        <v>0.77441814805796705</v>
      </c>
      <c r="H618">
        <v>0.58843506455678196</v>
      </c>
      <c r="I618">
        <v>0.57542233111086205</v>
      </c>
      <c r="J618">
        <v>0.480435337583619</v>
      </c>
      <c r="K618">
        <v>0.55515207185482895</v>
      </c>
      <c r="L618">
        <v>2736.36488579652</v>
      </c>
      <c r="M618">
        <v>48.059241094760502</v>
      </c>
      <c r="O618">
        <v>56.839008002788297</v>
      </c>
      <c r="P618">
        <v>-9.6625465118899495E-2</v>
      </c>
      <c r="Q618">
        <v>0.54288998379022102</v>
      </c>
      <c r="R618">
        <v>0.85298705434684297</v>
      </c>
      <c r="S618" t="s">
        <v>7621</v>
      </c>
      <c r="T618" t="s">
        <v>14004</v>
      </c>
      <c r="U618" t="s">
        <v>14004</v>
      </c>
      <c r="V618" t="s">
        <v>14004</v>
      </c>
      <c r="W618" t="s">
        <v>14613</v>
      </c>
      <c r="X618">
        <v>1</v>
      </c>
      <c r="Y618" t="s">
        <v>21553</v>
      </c>
      <c r="Z618" t="s">
        <v>28328</v>
      </c>
      <c r="AA618">
        <v>0.80220364518088161</v>
      </c>
      <c r="AB618" t="str">
        <f>HYPERLINK("Melting_Curves/meltCurve_E9PMR4_CD151.pdf", "Melting_Curves/meltCurve_E9PMR4_CD151.pdf")</f>
        <v>Melting_Curves/meltCurve_E9PMR4_CD151.pdf</v>
      </c>
    </row>
    <row r="619" spans="1:28" x14ac:dyDescent="0.25">
      <c r="A619" t="s">
        <v>623</v>
      </c>
      <c r="B619">
        <v>0.99999676499088797</v>
      </c>
      <c r="C619">
        <v>0.94805703784961304</v>
      </c>
      <c r="D619">
        <v>0.779909526742116</v>
      </c>
      <c r="E619">
        <v>0.50884733925612002</v>
      </c>
      <c r="F619">
        <v>0.42895748138929102</v>
      </c>
      <c r="G619">
        <v>0.267633419242439</v>
      </c>
      <c r="H619">
        <v>0.20259330191262001</v>
      </c>
      <c r="I619">
        <v>0.23639003513606799</v>
      </c>
      <c r="J619">
        <v>0.25147114642637403</v>
      </c>
      <c r="K619">
        <v>0.28748905252018803</v>
      </c>
      <c r="L619">
        <v>873.00081278192295</v>
      </c>
      <c r="M619">
        <v>18.042789542241799</v>
      </c>
      <c r="N619">
        <v>50.205760451996703</v>
      </c>
      <c r="O619">
        <v>47.802403227251098</v>
      </c>
      <c r="P619">
        <v>-7.17081914846803E-2</v>
      </c>
      <c r="Q619">
        <v>0.240105013923823</v>
      </c>
      <c r="R619">
        <v>0.98661398057255101</v>
      </c>
      <c r="S619" t="s">
        <v>7622</v>
      </c>
      <c r="T619" t="s">
        <v>14004</v>
      </c>
      <c r="U619" t="s">
        <v>14004</v>
      </c>
      <c r="V619" t="s">
        <v>14004</v>
      </c>
      <c r="W619" t="s">
        <v>14614</v>
      </c>
      <c r="X619">
        <v>12</v>
      </c>
      <c r="Y619" t="s">
        <v>21554</v>
      </c>
      <c r="Z619" t="s">
        <v>28329</v>
      </c>
      <c r="AA619">
        <v>0.46577108966123781</v>
      </c>
      <c r="AB619" t="str">
        <f>HYPERLINK("Melting_Curves/meltCurve_E9PMS6_LMO7.pdf", "Melting_Curves/meltCurve_E9PMS6_LMO7.pdf")</f>
        <v>Melting_Curves/meltCurve_E9PMS6_LMO7.pdf</v>
      </c>
    </row>
    <row r="620" spans="1:28" x14ac:dyDescent="0.25">
      <c r="A620" t="s">
        <v>624</v>
      </c>
      <c r="B620">
        <v>0.99999676499088797</v>
      </c>
      <c r="C620">
        <v>1.0189127862720999</v>
      </c>
      <c r="D620">
        <v>0.98937116765702604</v>
      </c>
      <c r="E620">
        <v>0.81113093314553397</v>
      </c>
      <c r="F620">
        <v>0.62040338254574801</v>
      </c>
      <c r="G620">
        <v>0.37060759204434002</v>
      </c>
      <c r="H620">
        <v>0.15383825435112899</v>
      </c>
      <c r="I620">
        <v>0.22278732558623299</v>
      </c>
      <c r="J620">
        <v>0.19058634968101801</v>
      </c>
      <c r="K620">
        <v>0.1557337849081</v>
      </c>
      <c r="L620">
        <v>1057.56044284581</v>
      </c>
      <c r="M620">
        <v>19.786419829060399</v>
      </c>
      <c r="N620">
        <v>54.469483223735203</v>
      </c>
      <c r="O620">
        <v>52.911847975686101</v>
      </c>
      <c r="P620">
        <v>-7.9009375969191595E-2</v>
      </c>
      <c r="Q620">
        <v>0.15489734576012501</v>
      </c>
      <c r="R620">
        <v>0.99177144356394098</v>
      </c>
      <c r="S620" t="s">
        <v>7623</v>
      </c>
      <c r="T620" t="s">
        <v>14004</v>
      </c>
      <c r="U620" t="s">
        <v>14004</v>
      </c>
      <c r="V620" t="s">
        <v>14004</v>
      </c>
      <c r="W620" t="s">
        <v>14615</v>
      </c>
      <c r="X620">
        <v>2</v>
      </c>
      <c r="Y620" t="s">
        <v>21555</v>
      </c>
      <c r="Z620" t="s">
        <v>28330</v>
      </c>
      <c r="AA620">
        <v>0.54553101050703634</v>
      </c>
      <c r="AB620" t="str">
        <f>HYPERLINK("Melting_Curves/meltCurve_E9PMU5_MANEAL.pdf", "Melting_Curves/meltCurve_E9PMU5_MANEAL.pdf")</f>
        <v>Melting_Curves/meltCurve_E9PMU5_MANEAL.pdf</v>
      </c>
    </row>
    <row r="621" spans="1:28" x14ac:dyDescent="0.25">
      <c r="A621" t="s">
        <v>625</v>
      </c>
      <c r="B621">
        <v>0.99999676499088797</v>
      </c>
      <c r="C621">
        <v>0.79317426569392901</v>
      </c>
      <c r="D621">
        <v>0.70640124940482496</v>
      </c>
      <c r="E621">
        <v>0.58888502434689005</v>
      </c>
      <c r="F621">
        <v>0.35413638356180799</v>
      </c>
      <c r="G621">
        <v>0.26148091874384999</v>
      </c>
      <c r="H621">
        <v>0.14335240817193801</v>
      </c>
      <c r="I621">
        <v>0.130509830286092</v>
      </c>
      <c r="J621">
        <v>0.108907310190657</v>
      </c>
      <c r="K621">
        <v>5.3992490574601003E-2</v>
      </c>
      <c r="L621">
        <v>500.949452197813</v>
      </c>
      <c r="M621">
        <v>9.9493230399455292</v>
      </c>
      <c r="N621">
        <v>50.482539301731897</v>
      </c>
      <c r="O621">
        <v>48.442736449528098</v>
      </c>
      <c r="P621">
        <v>-5.0709599768274799E-2</v>
      </c>
      <c r="Q621">
        <v>1.28799327412043E-2</v>
      </c>
      <c r="R621">
        <v>0.98766142142351299</v>
      </c>
      <c r="S621" t="s">
        <v>7624</v>
      </c>
      <c r="T621" t="s">
        <v>14004</v>
      </c>
      <c r="U621" t="s">
        <v>14004</v>
      </c>
      <c r="V621" t="s">
        <v>14004</v>
      </c>
      <c r="W621" t="s">
        <v>14616</v>
      </c>
      <c r="X621">
        <v>3</v>
      </c>
      <c r="Y621" t="s">
        <v>21556</v>
      </c>
      <c r="Z621" t="s">
        <v>28331</v>
      </c>
      <c r="AA621">
        <v>0.39709900045779167</v>
      </c>
      <c r="AB621" t="str">
        <f>HYPERLINK("Melting_Curves/meltCurve_E9PN39_MTFR2.pdf", "Melting_Curves/meltCurve_E9PN39_MTFR2.pdf")</f>
        <v>Melting_Curves/meltCurve_E9PN39_MTFR2.pdf</v>
      </c>
    </row>
    <row r="622" spans="1:28" x14ac:dyDescent="0.25">
      <c r="A622" t="s">
        <v>626</v>
      </c>
      <c r="B622">
        <v>0.99999676499088797</v>
      </c>
      <c r="C622">
        <v>0.91964439419834698</v>
      </c>
      <c r="D622">
        <v>1.2735977828295899</v>
      </c>
      <c r="E622">
        <v>1.1190681237176101</v>
      </c>
      <c r="F622">
        <v>0.78232998637342399</v>
      </c>
      <c r="G622">
        <v>1.30073524931222</v>
      </c>
      <c r="H622">
        <v>1.06571560665837</v>
      </c>
      <c r="I622">
        <v>1.74487522421068</v>
      </c>
      <c r="J622">
        <v>1.28497292840054</v>
      </c>
      <c r="K622">
        <v>1.2220478154843399</v>
      </c>
      <c r="L622">
        <v>14066.498053917399</v>
      </c>
      <c r="M622">
        <v>250</v>
      </c>
      <c r="O622">
        <v>56.262366823445497</v>
      </c>
      <c r="P622">
        <v>0.36592298843051702</v>
      </c>
      <c r="Q622">
        <v>1.32940323993583</v>
      </c>
      <c r="R622">
        <v>0.36698309598497197</v>
      </c>
      <c r="S622" t="s">
        <v>7625</v>
      </c>
      <c r="T622" t="s">
        <v>14004</v>
      </c>
      <c r="U622" t="s">
        <v>14004</v>
      </c>
      <c r="V622" t="s">
        <v>14004</v>
      </c>
      <c r="W622" t="s">
        <v>14617</v>
      </c>
      <c r="X622">
        <v>36</v>
      </c>
      <c r="Y622" t="s">
        <v>21557</v>
      </c>
      <c r="Z622" t="s">
        <v>28332</v>
      </c>
      <c r="AA622">
        <v>1.150768361482631</v>
      </c>
      <c r="AB622" t="str">
        <f>HYPERLINK("Melting_Curves/meltCurve_E9PN89_HSPA8.pdf", "Melting_Curves/meltCurve_E9PN89_HSPA8.pdf")</f>
        <v>Melting_Curves/meltCurve_E9PN89_HSPA8.pdf</v>
      </c>
    </row>
    <row r="623" spans="1:28" x14ac:dyDescent="0.25">
      <c r="A623" t="s">
        <v>627</v>
      </c>
      <c r="B623">
        <v>0.99999676499088797</v>
      </c>
      <c r="C623">
        <v>0.88718001971375504</v>
      </c>
      <c r="D623">
        <v>0.897505297735539</v>
      </c>
      <c r="E623">
        <v>0.74988930180226898</v>
      </c>
      <c r="F623">
        <v>0.75952567031516305</v>
      </c>
      <c r="G623">
        <v>0.60225448213834898</v>
      </c>
      <c r="H623">
        <v>0.35357291095558901</v>
      </c>
      <c r="I623">
        <v>0.45063436729193301</v>
      </c>
      <c r="J623">
        <v>0.50747981023485</v>
      </c>
      <c r="K623">
        <v>0.62270711708908699</v>
      </c>
      <c r="L623">
        <v>657.45053118790997</v>
      </c>
      <c r="M623">
        <v>12.946297067289301</v>
      </c>
      <c r="N623">
        <v>65.562858787781906</v>
      </c>
      <c r="O623">
        <v>49.6170460304985</v>
      </c>
      <c r="P623">
        <v>-3.43834259760376E-2</v>
      </c>
      <c r="Q623">
        <v>0.47299283004507198</v>
      </c>
      <c r="R623">
        <v>0.83051216301609698</v>
      </c>
      <c r="S623" t="s">
        <v>7626</v>
      </c>
      <c r="T623" t="s">
        <v>14004</v>
      </c>
      <c r="U623" t="s">
        <v>14004</v>
      </c>
      <c r="V623" t="s">
        <v>14004</v>
      </c>
      <c r="W623" t="s">
        <v>14618</v>
      </c>
      <c r="X623">
        <v>3</v>
      </c>
      <c r="Y623" t="s">
        <v>21558</v>
      </c>
      <c r="Z623" t="s">
        <v>28333</v>
      </c>
      <c r="AA623">
        <v>0.67795636862294839</v>
      </c>
      <c r="AB623" t="str">
        <f>HYPERLINK("Melting_Curves/meltCurve_E9PND3_EBAG9.pdf", "Melting_Curves/meltCurve_E9PND3_EBAG9.pdf")</f>
        <v>Melting_Curves/meltCurve_E9PND3_EBAG9.pdf</v>
      </c>
    </row>
    <row r="624" spans="1:28" x14ac:dyDescent="0.25">
      <c r="A624" t="s">
        <v>628</v>
      </c>
      <c r="B624">
        <v>0.99999676499088797</v>
      </c>
      <c r="C624">
        <v>1.0038263056471799</v>
      </c>
      <c r="D624">
        <v>1.05357689104207</v>
      </c>
      <c r="E624">
        <v>1.08471935333518</v>
      </c>
      <c r="F624">
        <v>0.95678098945682899</v>
      </c>
      <c r="G624">
        <v>0.74816118225549599</v>
      </c>
      <c r="H624">
        <v>0.42488078109124899</v>
      </c>
      <c r="I624">
        <v>0.35838361606723701</v>
      </c>
      <c r="J624">
        <v>0.287129114589941</v>
      </c>
      <c r="K624">
        <v>0.33124542347254698</v>
      </c>
      <c r="L624">
        <v>1906.6738396482899</v>
      </c>
      <c r="M624">
        <v>33.006235636813798</v>
      </c>
      <c r="N624">
        <v>59.5457968445508</v>
      </c>
      <c r="O624">
        <v>57.556269138463001</v>
      </c>
      <c r="P624">
        <v>-9.8426806505835199E-2</v>
      </c>
      <c r="Q624">
        <v>0.31345650539988601</v>
      </c>
      <c r="R624">
        <v>0.98788402322215996</v>
      </c>
      <c r="S624" t="s">
        <v>7627</v>
      </c>
      <c r="T624" t="s">
        <v>14004</v>
      </c>
      <c r="U624" t="s">
        <v>14004</v>
      </c>
      <c r="V624" t="s">
        <v>14004</v>
      </c>
      <c r="W624" t="s">
        <v>14619</v>
      </c>
      <c r="X624">
        <v>7</v>
      </c>
      <c r="Y624" t="s">
        <v>21559</v>
      </c>
      <c r="Z624" t="s">
        <v>28334</v>
      </c>
      <c r="AA624">
        <v>0.72389785984547295</v>
      </c>
      <c r="AB624" t="str">
        <f>HYPERLINK("Melting_Curves/meltCurve_E9PNP3_AAMDC.pdf", "Melting_Curves/meltCurve_E9PNP3_AAMDC.pdf")</f>
        <v>Melting_Curves/meltCurve_E9PNP3_AAMDC.pdf</v>
      </c>
    </row>
    <row r="625" spans="1:28" x14ac:dyDescent="0.25">
      <c r="A625" t="s">
        <v>629</v>
      </c>
      <c r="B625">
        <v>0.99999676499088797</v>
      </c>
      <c r="C625">
        <v>1.0794196302624799</v>
      </c>
      <c r="D625">
        <v>0.95561987409061</v>
      </c>
      <c r="E625">
        <v>0.76290104015402005</v>
      </c>
      <c r="F625">
        <v>0.33276714885377701</v>
      </c>
      <c r="G625">
        <v>0.22160531175492801</v>
      </c>
      <c r="H625">
        <v>0.117578183601803</v>
      </c>
      <c r="I625">
        <v>0.105303645435701</v>
      </c>
      <c r="J625">
        <v>8.4509811996747702E-2</v>
      </c>
      <c r="K625">
        <v>5.8743593342507998E-2</v>
      </c>
      <c r="L625">
        <v>1326.35814348903</v>
      </c>
      <c r="M625">
        <v>25.771854239001399</v>
      </c>
      <c r="N625">
        <v>51.8780705654004</v>
      </c>
      <c r="O625">
        <v>51.158520248753298</v>
      </c>
      <c r="P625">
        <v>-0.114269875781338</v>
      </c>
      <c r="Q625">
        <v>9.2683604965922303E-2</v>
      </c>
      <c r="R625">
        <v>0.99207994095030305</v>
      </c>
      <c r="S625" t="s">
        <v>7628</v>
      </c>
      <c r="T625" t="s">
        <v>14004</v>
      </c>
      <c r="U625" t="s">
        <v>14004</v>
      </c>
      <c r="V625" t="s">
        <v>14004</v>
      </c>
      <c r="W625" t="s">
        <v>14620</v>
      </c>
      <c r="X625">
        <v>12</v>
      </c>
      <c r="Y625" t="s">
        <v>21560</v>
      </c>
      <c r="Z625" t="s">
        <v>28335</v>
      </c>
      <c r="AA625">
        <v>0.44720389069407318</v>
      </c>
      <c r="AB625" t="str">
        <f>HYPERLINK("Melting_Curves/meltCurve_E9PNT2_ARHGAP27.pdf", "Melting_Curves/meltCurve_E9PNT2_ARHGAP27.pdf")</f>
        <v>Melting_Curves/meltCurve_E9PNT2_ARHGAP27.pdf</v>
      </c>
    </row>
    <row r="626" spans="1:28" x14ac:dyDescent="0.25">
      <c r="A626" t="s">
        <v>630</v>
      </c>
      <c r="B626">
        <v>0.99999676499088797</v>
      </c>
      <c r="C626">
        <v>0.94402612258048701</v>
      </c>
      <c r="D626">
        <v>0.96583866731980395</v>
      </c>
      <c r="E626">
        <v>0.92638917699935897</v>
      </c>
      <c r="F626">
        <v>0.76605232887084995</v>
      </c>
      <c r="G626">
        <v>0.87980966588431997</v>
      </c>
      <c r="H626">
        <v>0.68623288335891597</v>
      </c>
      <c r="I626">
        <v>0.77375883791956201</v>
      </c>
      <c r="J626">
        <v>0.77056016505622005</v>
      </c>
      <c r="K626">
        <v>0.67470277090195796</v>
      </c>
      <c r="L626">
        <v>526.31300739769904</v>
      </c>
      <c r="M626">
        <v>9.9125354355220701</v>
      </c>
      <c r="O626">
        <v>51.070316509494901</v>
      </c>
      <c r="P626">
        <v>-1.5007717949287999E-2</v>
      </c>
      <c r="Q626">
        <v>0.69087089227559095</v>
      </c>
      <c r="R626">
        <v>0.79898846805004198</v>
      </c>
      <c r="S626" t="s">
        <v>7629</v>
      </c>
      <c r="T626" t="s">
        <v>14004</v>
      </c>
      <c r="U626" t="s">
        <v>14004</v>
      </c>
      <c r="V626" t="s">
        <v>14004</v>
      </c>
      <c r="W626" t="s">
        <v>14621</v>
      </c>
      <c r="X626">
        <v>7</v>
      </c>
      <c r="Y626" t="s">
        <v>21561</v>
      </c>
      <c r="Z626" t="s">
        <v>28336</v>
      </c>
      <c r="AA626">
        <v>0.83635437180671868</v>
      </c>
      <c r="AB626" t="str">
        <f>HYPERLINK("Melting_Curves/meltCurve_E9PNW4_CD59.pdf", "Melting_Curves/meltCurve_E9PNW4_CD59.pdf")</f>
        <v>Melting_Curves/meltCurve_E9PNW4_CD59.pdf</v>
      </c>
    </row>
    <row r="627" spans="1:28" x14ac:dyDescent="0.25">
      <c r="A627" t="s">
        <v>631</v>
      </c>
      <c r="B627">
        <v>0.99999676499088797</v>
      </c>
      <c r="C627">
        <v>1.0903546633077801</v>
      </c>
      <c r="D627">
        <v>0.46049839479168703</v>
      </c>
      <c r="E627">
        <v>9.5127370561723101E-2</v>
      </c>
      <c r="F627">
        <v>0.24635858173269401</v>
      </c>
      <c r="G627">
        <v>3.9592946665413298E-2</v>
      </c>
      <c r="H627">
        <v>0</v>
      </c>
      <c r="I627">
        <v>0</v>
      </c>
      <c r="J627">
        <v>0</v>
      </c>
      <c r="K627">
        <v>0</v>
      </c>
      <c r="L627">
        <v>11486.9291760791</v>
      </c>
      <c r="M627">
        <v>250</v>
      </c>
      <c r="N627">
        <v>45.968915268537899</v>
      </c>
      <c r="O627">
        <v>45.944776855509303</v>
      </c>
      <c r="P627">
        <v>-1.2862726674146601</v>
      </c>
      <c r="Q627">
        <v>5.4439840527626099E-2</v>
      </c>
      <c r="R627">
        <v>0.96358245173916501</v>
      </c>
      <c r="S627" t="s">
        <v>7630</v>
      </c>
      <c r="T627" t="s">
        <v>14004</v>
      </c>
      <c r="U627" t="s">
        <v>14004</v>
      </c>
      <c r="V627" t="s">
        <v>14004</v>
      </c>
      <c r="W627" t="s">
        <v>14622</v>
      </c>
      <c r="X627">
        <v>1</v>
      </c>
      <c r="Y627" t="s">
        <v>21562</v>
      </c>
      <c r="Z627" t="s">
        <v>28337</v>
      </c>
      <c r="AA627">
        <v>0.24198022000885239</v>
      </c>
      <c r="AB627" t="str">
        <f>HYPERLINK("Melting_Curves/meltCurve_E9PP40_LRRC14.pdf", "Melting_Curves/meltCurve_E9PP40_LRRC14.pdf")</f>
        <v>Melting_Curves/meltCurve_E9PP40_LRRC14.pdf</v>
      </c>
    </row>
    <row r="628" spans="1:28" x14ac:dyDescent="0.25">
      <c r="A628" t="s">
        <v>632</v>
      </c>
      <c r="B628">
        <v>0.99999676499088797</v>
      </c>
      <c r="C628">
        <v>0.93794208519062305</v>
      </c>
      <c r="D628">
        <v>1.09104683818814</v>
      </c>
      <c r="E628">
        <v>0.72783682626734003</v>
      </c>
      <c r="F628">
        <v>7.0321478838528497</v>
      </c>
      <c r="G628">
        <v>0.90486561251503805</v>
      </c>
      <c r="H628">
        <v>0.51672711815690198</v>
      </c>
      <c r="I628">
        <v>0.36267999776916299</v>
      </c>
      <c r="J628">
        <v>0.339524591173329</v>
      </c>
      <c r="K628">
        <v>0.15262253683499599</v>
      </c>
      <c r="L628">
        <v>3851.24479803037</v>
      </c>
      <c r="M628">
        <v>64.014153155333602</v>
      </c>
      <c r="N628">
        <v>60.934066988848997</v>
      </c>
      <c r="O628">
        <v>60.103764819878201</v>
      </c>
      <c r="P628">
        <v>-0.19231754711443499</v>
      </c>
      <c r="Q628">
        <v>0.27772192095719</v>
      </c>
      <c r="R628">
        <v>2.2253334596757799E-2</v>
      </c>
      <c r="S628" t="s">
        <v>7631</v>
      </c>
      <c r="T628" t="s">
        <v>14004</v>
      </c>
      <c r="U628" t="s">
        <v>14004</v>
      </c>
      <c r="V628" t="s">
        <v>14004</v>
      </c>
      <c r="W628" t="s">
        <v>14623</v>
      </c>
      <c r="X628">
        <v>3</v>
      </c>
      <c r="Y628" t="s">
        <v>21563</v>
      </c>
      <c r="Z628" t="s">
        <v>28338</v>
      </c>
      <c r="AA628">
        <v>0.764313354573667</v>
      </c>
      <c r="AB628" t="str">
        <f>HYPERLINK("Melting_Curves/meltCurve_E9PPU0_EPPK1.pdf", "Melting_Curves/meltCurve_E9PPU0_EPPK1.pdf")</f>
        <v>Melting_Curves/meltCurve_E9PPU0_EPPK1.pdf</v>
      </c>
    </row>
    <row r="629" spans="1:28" x14ac:dyDescent="0.25">
      <c r="A629" t="s">
        <v>633</v>
      </c>
      <c r="B629">
        <v>0.99999676499088797</v>
      </c>
      <c r="C629">
        <v>1.11219390951827</v>
      </c>
      <c r="D629">
        <v>1.15050752029018</v>
      </c>
      <c r="E629">
        <v>1.3414437605521199</v>
      </c>
      <c r="F629">
        <v>0.33294369466978202</v>
      </c>
      <c r="G629">
        <v>0.257980887015958</v>
      </c>
      <c r="H629">
        <v>0.124478199795692</v>
      </c>
      <c r="I629">
        <v>0.18963068877248501</v>
      </c>
      <c r="J629">
        <v>0.27584334958246798</v>
      </c>
      <c r="K629">
        <v>0.16893871254264101</v>
      </c>
      <c r="L629">
        <v>13212.823494062201</v>
      </c>
      <c r="M629">
        <v>250</v>
      </c>
      <c r="N629">
        <v>52.961885417251601</v>
      </c>
      <c r="O629">
        <v>52.8479293330197</v>
      </c>
      <c r="P629">
        <v>-0.94212055607918299</v>
      </c>
      <c r="Q629">
        <v>0.20337433406667399</v>
      </c>
      <c r="R629">
        <v>0.92197062056660495</v>
      </c>
      <c r="S629" t="s">
        <v>7632</v>
      </c>
      <c r="T629" t="s">
        <v>14004</v>
      </c>
      <c r="U629" t="s">
        <v>14004</v>
      </c>
      <c r="V629" t="s">
        <v>14004</v>
      </c>
      <c r="W629" t="s">
        <v>14624</v>
      </c>
      <c r="X629">
        <v>3</v>
      </c>
      <c r="Y629" t="s">
        <v>21564</v>
      </c>
      <c r="Z629" t="s">
        <v>28339</v>
      </c>
      <c r="AA629">
        <v>0.54470391104290605</v>
      </c>
      <c r="AB629" t="str">
        <f>HYPERLINK("Melting_Curves/meltCurve_E9PPZ9_GPAA1.pdf", "Melting_Curves/meltCurve_E9PPZ9_GPAA1.pdf")</f>
        <v>Melting_Curves/meltCurve_E9PPZ9_GPAA1.pdf</v>
      </c>
    </row>
    <row r="630" spans="1:28" x14ac:dyDescent="0.25">
      <c r="A630" t="s">
        <v>634</v>
      </c>
      <c r="B630">
        <v>0.99999676499088797</v>
      </c>
      <c r="C630">
        <v>0.73167647436377403</v>
      </c>
      <c r="D630">
        <v>0.50395539471494</v>
      </c>
      <c r="E630">
        <v>0.31940673125555702</v>
      </c>
      <c r="F630">
        <v>0.33195467564954201</v>
      </c>
      <c r="G630">
        <v>0.16996269111672199</v>
      </c>
      <c r="H630">
        <v>7.8339151926741901E-2</v>
      </c>
      <c r="I630">
        <v>8.3998169871512998E-2</v>
      </c>
      <c r="J630">
        <v>9.7287501528852793E-2</v>
      </c>
      <c r="K630">
        <v>6.0128943515757302E-2</v>
      </c>
      <c r="L630">
        <v>600.54020619022901</v>
      </c>
      <c r="M630">
        <v>12.965457960187999</v>
      </c>
      <c r="N630">
        <v>46.901295797533699</v>
      </c>
      <c r="O630">
        <v>45.258125447678701</v>
      </c>
      <c r="P630">
        <v>-6.6302580558765797E-2</v>
      </c>
      <c r="Q630">
        <v>7.4403552910970505E-2</v>
      </c>
      <c r="R630">
        <v>0.96642614714942399</v>
      </c>
      <c r="S630" t="s">
        <v>7633</v>
      </c>
      <c r="T630" t="s">
        <v>14004</v>
      </c>
      <c r="U630" t="s">
        <v>14004</v>
      </c>
      <c r="V630" t="s">
        <v>14004</v>
      </c>
      <c r="W630" t="s">
        <v>14625</v>
      </c>
      <c r="X630">
        <v>1</v>
      </c>
      <c r="Y630" t="s">
        <v>21565</v>
      </c>
      <c r="Z630" t="s">
        <v>28340</v>
      </c>
      <c r="AA630">
        <v>0.3047397609683441</v>
      </c>
      <c r="AB630" t="str">
        <f>HYPERLINK("Melting_Curves/meltCurve_E9PQ62_VWA5B1.pdf", "Melting_Curves/meltCurve_E9PQ62_VWA5B1.pdf")</f>
        <v>Melting_Curves/meltCurve_E9PQ62_VWA5B1.pdf</v>
      </c>
    </row>
    <row r="631" spans="1:28" x14ac:dyDescent="0.25">
      <c r="A631" t="s">
        <v>635</v>
      </c>
      <c r="B631">
        <v>0.99999676499088797</v>
      </c>
      <c r="C631">
        <v>0.77734841214607298</v>
      </c>
      <c r="D631">
        <v>0.91055117876922798</v>
      </c>
      <c r="E631">
        <v>0.75926532806100899</v>
      </c>
      <c r="F631">
        <v>0.76353022531451797</v>
      </c>
      <c r="G631">
        <v>0.428326797581563</v>
      </c>
      <c r="H631">
        <v>0.165591902040121</v>
      </c>
      <c r="I631">
        <v>0.23827188351626499</v>
      </c>
      <c r="J631">
        <v>0.14922894677696499</v>
      </c>
      <c r="K631">
        <v>0.141532751015431</v>
      </c>
      <c r="L631">
        <v>589.56796179098797</v>
      </c>
      <c r="M631">
        <v>10.5923878395136</v>
      </c>
      <c r="N631">
        <v>55.711828699001302</v>
      </c>
      <c r="O631">
        <v>53.785651875238301</v>
      </c>
      <c r="P631">
        <v>-4.9010087421237802E-2</v>
      </c>
      <c r="Q631">
        <v>4.94146620967632E-3</v>
      </c>
      <c r="R631">
        <v>0.93076871904384895</v>
      </c>
      <c r="S631" t="s">
        <v>7634</v>
      </c>
      <c r="T631" t="s">
        <v>14004</v>
      </c>
      <c r="U631" t="s">
        <v>14004</v>
      </c>
      <c r="V631" t="s">
        <v>14004</v>
      </c>
      <c r="W631" t="s">
        <v>14626</v>
      </c>
      <c r="X631">
        <v>2</v>
      </c>
      <c r="Y631" t="s">
        <v>21566</v>
      </c>
      <c r="Z631" t="s">
        <v>28341</v>
      </c>
      <c r="AA631">
        <v>0.54675594830682217</v>
      </c>
      <c r="AB631" t="str">
        <f>HYPERLINK("Melting_Curves/meltCurve_E9PQ63_CBR1.pdf", "Melting_Curves/meltCurve_E9PQ63_CBR1.pdf")</f>
        <v>Melting_Curves/meltCurve_E9PQ63_CBR1.pdf</v>
      </c>
    </row>
    <row r="632" spans="1:28" x14ac:dyDescent="0.25">
      <c r="A632" t="s">
        <v>636</v>
      </c>
      <c r="B632">
        <v>0.99999676499088797</v>
      </c>
      <c r="C632">
        <v>0.95398698358493506</v>
      </c>
      <c r="D632">
        <v>0.98860136783293595</v>
      </c>
      <c r="E632">
        <v>1.00068296217997</v>
      </c>
      <c r="F632">
        <v>0.88215230826691304</v>
      </c>
      <c r="G632">
        <v>0.71393808407419201</v>
      </c>
      <c r="H632">
        <v>0.31964981591887298</v>
      </c>
      <c r="I632">
        <v>0.25296487036812798</v>
      </c>
      <c r="J632">
        <v>0.173633695157657</v>
      </c>
      <c r="K632">
        <v>0.21075252612779699</v>
      </c>
      <c r="L632">
        <v>1565.6715619143999</v>
      </c>
      <c r="M632">
        <v>27.107460176913499</v>
      </c>
      <c r="N632">
        <v>58.729516694855498</v>
      </c>
      <c r="O632">
        <v>57.4463734515246</v>
      </c>
      <c r="P632">
        <v>-9.6654087333227001E-2</v>
      </c>
      <c r="Q632">
        <v>0.18068714702836999</v>
      </c>
      <c r="R632">
        <v>0.99361257594969998</v>
      </c>
      <c r="S632" t="s">
        <v>7635</v>
      </c>
      <c r="T632" t="s">
        <v>14004</v>
      </c>
      <c r="U632" t="s">
        <v>14004</v>
      </c>
      <c r="V632" t="s">
        <v>14004</v>
      </c>
      <c r="W632" t="s">
        <v>14627</v>
      </c>
      <c r="X632">
        <v>8</v>
      </c>
      <c r="Y632" t="s">
        <v>21567</v>
      </c>
      <c r="Z632" t="s">
        <v>28342</v>
      </c>
      <c r="AA632">
        <v>0.67204515356519468</v>
      </c>
      <c r="AB632" t="str">
        <f>HYPERLINK("Melting_Curves/meltCurve_E9PQY3_ACP2.pdf", "Melting_Curves/meltCurve_E9PQY3_ACP2.pdf")</f>
        <v>Melting_Curves/meltCurve_E9PQY3_ACP2.pdf</v>
      </c>
    </row>
    <row r="633" spans="1:28" x14ac:dyDescent="0.25">
      <c r="A633" t="s">
        <v>637</v>
      </c>
      <c r="B633">
        <v>0.99999676499088797</v>
      </c>
      <c r="C633">
        <v>0.978350469286281</v>
      </c>
      <c r="D633">
        <v>1.0850500263821199</v>
      </c>
      <c r="E633">
        <v>1.06181186192179</v>
      </c>
      <c r="F633">
        <v>0.72727658187200706</v>
      </c>
      <c r="G633">
        <v>0.46944597099560598</v>
      </c>
      <c r="H633">
        <v>0.36222748883744899</v>
      </c>
      <c r="I633">
        <v>0.45351238380381198</v>
      </c>
      <c r="J633">
        <v>0.44993397334149898</v>
      </c>
      <c r="K633">
        <v>0.380907843653227</v>
      </c>
      <c r="L633">
        <v>3260.1195221581602</v>
      </c>
      <c r="M633">
        <v>61.119823598881602</v>
      </c>
      <c r="N633">
        <v>54.9865799870636</v>
      </c>
      <c r="O633">
        <v>53.282794898844401</v>
      </c>
      <c r="P633">
        <v>-0.166376053171512</v>
      </c>
      <c r="Q633">
        <v>0.41982964697096398</v>
      </c>
      <c r="R633">
        <v>0.97557977828326303</v>
      </c>
      <c r="S633" t="s">
        <v>7636</v>
      </c>
      <c r="T633" t="s">
        <v>14004</v>
      </c>
      <c r="U633" t="s">
        <v>14004</v>
      </c>
      <c r="V633" t="s">
        <v>14004</v>
      </c>
      <c r="W633" t="s">
        <v>14628</v>
      </c>
      <c r="X633">
        <v>2</v>
      </c>
      <c r="Y633" t="s">
        <v>21568</v>
      </c>
      <c r="Z633" t="s">
        <v>28343</v>
      </c>
      <c r="AA633">
        <v>0.67872013055105118</v>
      </c>
      <c r="AB633" t="str">
        <f>HYPERLINK("Melting_Curves/meltCurve_E9PQZ2_ST3GAL4.pdf", "Melting_Curves/meltCurve_E9PQZ2_ST3GAL4.pdf")</f>
        <v>Melting_Curves/meltCurve_E9PQZ2_ST3GAL4.pdf</v>
      </c>
    </row>
    <row r="634" spans="1:28" x14ac:dyDescent="0.25">
      <c r="A634" t="s">
        <v>638</v>
      </c>
      <c r="B634">
        <v>0.99999676499088797</v>
      </c>
      <c r="C634">
        <v>1.0874988149743801</v>
      </c>
      <c r="D634">
        <v>1.1724059495643699</v>
      </c>
      <c r="E634">
        <v>1.0961930235469399</v>
      </c>
      <c r="F634">
        <v>0.70586463146344103</v>
      </c>
      <c r="G634">
        <v>0.84387569472772195</v>
      </c>
      <c r="H634">
        <v>0.56109201487772098</v>
      </c>
      <c r="I634">
        <v>0.41870814805242201</v>
      </c>
      <c r="J634">
        <v>0.33613008697102098</v>
      </c>
      <c r="K634">
        <v>0.49077521150617598</v>
      </c>
      <c r="L634">
        <v>1085.88379980635</v>
      </c>
      <c r="M634">
        <v>18.781281996017199</v>
      </c>
      <c r="N634">
        <v>62.424618365132503</v>
      </c>
      <c r="O634">
        <v>57.173826505971299</v>
      </c>
      <c r="P634">
        <v>-5.13307753341141E-2</v>
      </c>
      <c r="Q634">
        <v>0.37498316034086099</v>
      </c>
      <c r="R634">
        <v>0.86196464726062805</v>
      </c>
      <c r="S634" t="s">
        <v>7637</v>
      </c>
      <c r="T634" t="s">
        <v>14004</v>
      </c>
      <c r="U634" t="s">
        <v>14004</v>
      </c>
      <c r="V634" t="s">
        <v>14004</v>
      </c>
      <c r="W634" t="s">
        <v>14629</v>
      </c>
      <c r="X634">
        <v>4</v>
      </c>
      <c r="Y634" t="s">
        <v>21569</v>
      </c>
      <c r="Z634" t="s">
        <v>28344</v>
      </c>
      <c r="AA634">
        <v>0.75382352634623162</v>
      </c>
      <c r="AB634" t="str">
        <f>HYPERLINK("Melting_Curves/meltCurve_E9PR30_FAU.pdf", "Melting_Curves/meltCurve_E9PR30_FAU.pdf")</f>
        <v>Melting_Curves/meltCurve_E9PR30_FAU.pdf</v>
      </c>
    </row>
    <row r="635" spans="1:28" x14ac:dyDescent="0.25">
      <c r="A635" t="s">
        <v>639</v>
      </c>
      <c r="B635">
        <v>0.99999676499088797</v>
      </c>
      <c r="C635">
        <v>1.0916699812224699</v>
      </c>
      <c r="D635">
        <v>1.09569705123495</v>
      </c>
      <c r="E635">
        <v>0.55977221049468895</v>
      </c>
      <c r="F635">
        <v>0.36101780172339099</v>
      </c>
      <c r="G635">
        <v>0.12182440953451899</v>
      </c>
      <c r="H635">
        <v>1.5931088822074699E-2</v>
      </c>
      <c r="I635">
        <v>1.1693604762824999E-2</v>
      </c>
      <c r="J635">
        <v>1.6717272224009601E-2</v>
      </c>
      <c r="K635">
        <v>1.3181825747891399E-2</v>
      </c>
      <c r="L635">
        <v>1200.08619782398</v>
      </c>
      <c r="M635">
        <v>23.477945871340602</v>
      </c>
      <c r="N635">
        <v>51.182725686110999</v>
      </c>
      <c r="O635">
        <v>50.748960722789697</v>
      </c>
      <c r="P635">
        <v>-0.113902401270097</v>
      </c>
      <c r="Q635">
        <v>1.5189995205184499E-2</v>
      </c>
      <c r="R635">
        <v>0.97208743115379903</v>
      </c>
      <c r="S635" t="s">
        <v>7638</v>
      </c>
      <c r="T635" t="s">
        <v>14004</v>
      </c>
      <c r="U635" t="s">
        <v>14004</v>
      </c>
      <c r="V635" t="s">
        <v>14004</v>
      </c>
      <c r="W635" t="s">
        <v>14630</v>
      </c>
      <c r="X635">
        <v>2</v>
      </c>
      <c r="Y635" t="s">
        <v>21570</v>
      </c>
      <c r="Z635" t="s">
        <v>28345</v>
      </c>
      <c r="AA635">
        <v>0.39014759428701518</v>
      </c>
      <c r="AB635" t="str">
        <f>HYPERLINK("Melting_Curves/meltCurve_E9PR46_DDX25.pdf", "Melting_Curves/meltCurve_E9PR46_DDX25.pdf")</f>
        <v>Melting_Curves/meltCurve_E9PR46_DDX25.pdf</v>
      </c>
    </row>
    <row r="636" spans="1:28" x14ac:dyDescent="0.25">
      <c r="A636" t="s">
        <v>640</v>
      </c>
      <c r="B636">
        <v>0.99999676499088797</v>
      </c>
      <c r="C636">
        <v>0.88351517855566297</v>
      </c>
      <c r="D636">
        <v>0.61086865091299603</v>
      </c>
      <c r="E636">
        <v>0.190301052312839</v>
      </c>
      <c r="F636">
        <v>9.9931802200736095E-2</v>
      </c>
      <c r="G636">
        <v>1.7172780365057701E-2</v>
      </c>
      <c r="H636">
        <v>1.7772617180718101E-2</v>
      </c>
      <c r="I636">
        <v>1.74357304141919E-2</v>
      </c>
      <c r="J636">
        <v>5.7619753114050903E-2</v>
      </c>
      <c r="K636">
        <v>1.5372855064221799E-2</v>
      </c>
      <c r="L636">
        <v>1154.1438907388499</v>
      </c>
      <c r="M636">
        <v>24.7337673247441</v>
      </c>
      <c r="N636">
        <v>46.760942548247002</v>
      </c>
      <c r="O636">
        <v>46.360859682775803</v>
      </c>
      <c r="P636">
        <v>-0.130000612969153</v>
      </c>
      <c r="Q636">
        <v>2.5323471692482301E-2</v>
      </c>
      <c r="R636">
        <v>0.99734912303345802</v>
      </c>
      <c r="S636" t="s">
        <v>7639</v>
      </c>
      <c r="T636" t="s">
        <v>14004</v>
      </c>
      <c r="U636" t="s">
        <v>14004</v>
      </c>
      <c r="V636" t="s">
        <v>14004</v>
      </c>
      <c r="W636" t="s">
        <v>14631</v>
      </c>
      <c r="X636">
        <v>3</v>
      </c>
      <c r="Y636" t="s">
        <v>21571</v>
      </c>
      <c r="Z636" t="s">
        <v>28346</v>
      </c>
      <c r="AA636">
        <v>0.25077450087179259</v>
      </c>
      <c r="AB636" t="str">
        <f>HYPERLINK("Melting_Curves/meltCurve_E9PR76_MAF1.pdf", "Melting_Curves/meltCurve_E9PR76_MAF1.pdf")</f>
        <v>Melting_Curves/meltCurve_E9PR76_MAF1.pdf</v>
      </c>
    </row>
    <row r="637" spans="1:28" x14ac:dyDescent="0.25">
      <c r="A637" t="s">
        <v>641</v>
      </c>
      <c r="B637">
        <v>0.99999676499088797</v>
      </c>
      <c r="C637">
        <v>0.83812724337385602</v>
      </c>
      <c r="D637">
        <v>0.48564351360218899</v>
      </c>
      <c r="E637">
        <v>0.22382740735812001</v>
      </c>
      <c r="F637">
        <v>0.13930022694611399</v>
      </c>
      <c r="G637">
        <v>0.105772502626194</v>
      </c>
      <c r="H637">
        <v>4.6697940476242199E-2</v>
      </c>
      <c r="I637">
        <v>3.6035955447003602E-2</v>
      </c>
      <c r="J637">
        <v>4.67074042196991E-2</v>
      </c>
      <c r="K637">
        <v>1.33927935903201E-2</v>
      </c>
      <c r="L637">
        <v>959.76188463723304</v>
      </c>
      <c r="M637">
        <v>20.902114757914401</v>
      </c>
      <c r="N637">
        <v>46.151285134475799</v>
      </c>
      <c r="O637">
        <v>45.502888287634299</v>
      </c>
      <c r="P637">
        <v>-0.109061389429939</v>
      </c>
      <c r="Q637">
        <v>5.0340567201040999E-2</v>
      </c>
      <c r="R637">
        <v>0.99342931007883795</v>
      </c>
      <c r="S637" t="s">
        <v>7640</v>
      </c>
      <c r="T637" t="s">
        <v>14004</v>
      </c>
      <c r="U637" t="s">
        <v>14004</v>
      </c>
      <c r="V637" t="s">
        <v>14004</v>
      </c>
      <c r="W637" t="s">
        <v>14632</v>
      </c>
      <c r="X637">
        <v>1</v>
      </c>
      <c r="Y637" t="s">
        <v>21572</v>
      </c>
      <c r="Z637" t="s">
        <v>28347</v>
      </c>
      <c r="AA637">
        <v>0.2509867740827838</v>
      </c>
      <c r="AB637" t="str">
        <f>HYPERLINK("Melting_Curves/meltCurve_E9PRK7_ARL14EP.pdf", "Melting_Curves/meltCurve_E9PRK7_ARL14EP.pdf")</f>
        <v>Melting_Curves/meltCurve_E9PRK7_ARL14EP.pdf</v>
      </c>
    </row>
    <row r="638" spans="1:28" x14ac:dyDescent="0.25">
      <c r="A638" t="s">
        <v>642</v>
      </c>
      <c r="B638">
        <v>0.99999676499088797</v>
      </c>
      <c r="C638">
        <v>1.1783539266286001</v>
      </c>
      <c r="D638">
        <v>1.0542473991524599</v>
      </c>
      <c r="E638">
        <v>0.83404243740110495</v>
      </c>
      <c r="F638">
        <v>0.56175705366825202</v>
      </c>
      <c r="G638">
        <v>0.32609492670551599</v>
      </c>
      <c r="H638">
        <v>0.109372295998016</v>
      </c>
      <c r="I638">
        <v>8.6764283959781002E-2</v>
      </c>
      <c r="J638">
        <v>6.7868469250094807E-2</v>
      </c>
      <c r="K638">
        <v>7.5459493197382696E-2</v>
      </c>
      <c r="L638">
        <v>1148.6047996329501</v>
      </c>
      <c r="M638">
        <v>21.3736642534198</v>
      </c>
      <c r="N638">
        <v>54.063011713763103</v>
      </c>
      <c r="O638">
        <v>53.275460247158499</v>
      </c>
      <c r="P638">
        <v>-9.4275184113808294E-2</v>
      </c>
      <c r="Q638">
        <v>6.0071472447932699E-2</v>
      </c>
      <c r="R638">
        <v>0.97657428800186996</v>
      </c>
      <c r="S638" t="s">
        <v>7641</v>
      </c>
      <c r="T638" t="s">
        <v>14004</v>
      </c>
      <c r="U638" t="s">
        <v>14004</v>
      </c>
      <c r="V638" t="s">
        <v>14004</v>
      </c>
      <c r="W638" t="s">
        <v>14633</v>
      </c>
      <c r="X638">
        <v>2</v>
      </c>
      <c r="Y638" t="s">
        <v>21573</v>
      </c>
      <c r="Z638" t="s">
        <v>28348</v>
      </c>
      <c r="AA638">
        <v>0.50201147896898102</v>
      </c>
      <c r="AB638" t="str">
        <f>HYPERLINK("Melting_Curves/meltCurve_E9PRM7_SLC22A18.pdf", "Melting_Curves/meltCurve_E9PRM7_SLC22A18.pdf")</f>
        <v>Melting_Curves/meltCurve_E9PRM7_SLC22A18.pdf</v>
      </c>
    </row>
    <row r="639" spans="1:28" x14ac:dyDescent="0.25">
      <c r="A639" t="s">
        <v>643</v>
      </c>
      <c r="B639">
        <v>0.99999676499088797</v>
      </c>
      <c r="C639">
        <v>1.00773643898702</v>
      </c>
      <c r="D639">
        <v>1.02347467734265</v>
      </c>
      <c r="E639">
        <v>0.69193967030843895</v>
      </c>
      <c r="F639">
        <v>0.26579802638001598</v>
      </c>
      <c r="G639">
        <v>0.188245473390171</v>
      </c>
      <c r="H639">
        <v>8.9876760469581402E-2</v>
      </c>
      <c r="I639">
        <v>8.3016630885663398E-2</v>
      </c>
      <c r="J639">
        <v>8.5764553743539806E-2</v>
      </c>
      <c r="K639">
        <v>7.5609266852511001E-2</v>
      </c>
      <c r="L639">
        <v>1567.55215877726</v>
      </c>
      <c r="M639">
        <v>30.869331476599399</v>
      </c>
      <c r="N639">
        <v>51.126334874160001</v>
      </c>
      <c r="O639">
        <v>50.568563262433798</v>
      </c>
      <c r="P639">
        <v>-0.13822241541003799</v>
      </c>
      <c r="Q639">
        <v>9.4289608142732101E-2</v>
      </c>
      <c r="R639">
        <v>0.99498830415318995</v>
      </c>
      <c r="S639" t="s">
        <v>7642</v>
      </c>
      <c r="T639" t="s">
        <v>14004</v>
      </c>
      <c r="U639" t="s">
        <v>14004</v>
      </c>
      <c r="V639" t="s">
        <v>14004</v>
      </c>
      <c r="W639" t="s">
        <v>14634</v>
      </c>
      <c r="X639">
        <v>15</v>
      </c>
      <c r="Y639" t="s">
        <v>21527</v>
      </c>
      <c r="Z639" t="s">
        <v>28349</v>
      </c>
      <c r="AA639">
        <v>0.4251065622207697</v>
      </c>
      <c r="AB639" t="str">
        <f>HYPERLINK("Melting_Curves/meltCurve_E9PRY8_EEF1D.pdf", "Melting_Curves/meltCurve_E9PRY8_EEF1D.pdf")</f>
        <v>Melting_Curves/meltCurve_E9PRY8_EEF1D.pdf</v>
      </c>
    </row>
    <row r="640" spans="1:28" x14ac:dyDescent="0.25">
      <c r="A640" t="s">
        <v>644</v>
      </c>
      <c r="B640">
        <v>0.99999676499088797</v>
      </c>
      <c r="C640">
        <v>1.0044015439036</v>
      </c>
      <c r="D640">
        <v>1.0002762323800101</v>
      </c>
      <c r="E640">
        <v>0.91498317965585296</v>
      </c>
      <c r="F640">
        <v>0.27232260479737203</v>
      </c>
      <c r="G640">
        <v>0.18759979057428</v>
      </c>
      <c r="H640">
        <v>8.3401108433498697E-2</v>
      </c>
      <c r="I640">
        <v>7.7728613834126506E-2</v>
      </c>
      <c r="J640">
        <v>8.3158846561208893E-2</v>
      </c>
      <c r="K640">
        <v>5.98349822282516E-2</v>
      </c>
      <c r="L640">
        <v>2553.5496960862902</v>
      </c>
      <c r="M640">
        <v>49.329295449213902</v>
      </c>
      <c r="N640">
        <v>51.9852612203155</v>
      </c>
      <c r="O640">
        <v>51.680513807336098</v>
      </c>
      <c r="P640">
        <v>-0.21615778478493999</v>
      </c>
      <c r="Q640">
        <v>9.41580233449682E-2</v>
      </c>
      <c r="R640">
        <v>0.99513625592698596</v>
      </c>
      <c r="S640" t="s">
        <v>7643</v>
      </c>
      <c r="T640" t="s">
        <v>14004</v>
      </c>
      <c r="U640" t="s">
        <v>14004</v>
      </c>
      <c r="V640" t="s">
        <v>14004</v>
      </c>
      <c r="W640" t="s">
        <v>14635</v>
      </c>
      <c r="X640">
        <v>13</v>
      </c>
      <c r="Y640" t="s">
        <v>21574</v>
      </c>
      <c r="Z640" t="s">
        <v>28350</v>
      </c>
      <c r="AA640">
        <v>0.4515357070790823</v>
      </c>
      <c r="AB640" t="str">
        <f>HYPERLINK("Melting_Curves/meltCurve_E9PS17_SCYL1.pdf", "Melting_Curves/meltCurve_E9PS17_SCYL1.pdf")</f>
        <v>Melting_Curves/meltCurve_E9PS17_SCYL1.pdf</v>
      </c>
    </row>
    <row r="641" spans="1:28" x14ac:dyDescent="0.25">
      <c r="A641" t="s">
        <v>645</v>
      </c>
      <c r="B641">
        <v>0.99999676499088797</v>
      </c>
      <c r="C641">
        <v>1.05165095678848</v>
      </c>
      <c r="D641">
        <v>1.00198471625629</v>
      </c>
      <c r="E641">
        <v>0.64370419598484796</v>
      </c>
      <c r="F641">
        <v>0.44206894316544898</v>
      </c>
      <c r="G641">
        <v>0.55610422588980601</v>
      </c>
      <c r="H641">
        <v>0.21207197233067401</v>
      </c>
      <c r="I641">
        <v>0.27042450046646199</v>
      </c>
      <c r="J641">
        <v>0.22203469246291799</v>
      </c>
      <c r="K641">
        <v>0.152358294580346</v>
      </c>
      <c r="L641">
        <v>753.94051699438501</v>
      </c>
      <c r="M641">
        <v>14.4718603440212</v>
      </c>
      <c r="N641">
        <v>53.830599850943798</v>
      </c>
      <c r="O641">
        <v>51.132553434969601</v>
      </c>
      <c r="P641">
        <v>-5.7583745309436399E-2</v>
      </c>
      <c r="Q641">
        <v>0.18626586410322599</v>
      </c>
      <c r="R641">
        <v>0.93271913483546698</v>
      </c>
      <c r="S641" t="s">
        <v>7644</v>
      </c>
      <c r="T641" t="s">
        <v>14004</v>
      </c>
      <c r="U641" t="s">
        <v>14004</v>
      </c>
      <c r="V641" t="s">
        <v>14004</v>
      </c>
      <c r="W641" t="s">
        <v>14636</v>
      </c>
      <c r="X641">
        <v>7</v>
      </c>
      <c r="Y641" t="s">
        <v>21542</v>
      </c>
      <c r="Z641" t="s">
        <v>28351</v>
      </c>
      <c r="AA641">
        <v>0.53351988307158105</v>
      </c>
      <c r="AB641" t="str">
        <f>HYPERLINK("Melting_Curves/meltCurve_E9PS38_NEDD8_MDP1.pdf", "Melting_Curves/meltCurve_E9PS38_NEDD8_MDP1.pdf")</f>
        <v>Melting_Curves/meltCurve_E9PS38_NEDD8_MDP1.pdf</v>
      </c>
    </row>
    <row r="642" spans="1:28" x14ac:dyDescent="0.25">
      <c r="A642" t="s">
        <v>646</v>
      </c>
      <c r="B642">
        <v>0.99999676499088797</v>
      </c>
      <c r="C642">
        <v>1.0815227903267901</v>
      </c>
      <c r="D642">
        <v>0.97150472179983605</v>
      </c>
      <c r="E642">
        <v>0.78456814664743102</v>
      </c>
      <c r="F642">
        <v>0.34916199037414902</v>
      </c>
      <c r="G642">
        <v>0.169296867221296</v>
      </c>
      <c r="H642">
        <v>6.6678228092955399E-2</v>
      </c>
      <c r="I642">
        <v>7.4002174386815597E-2</v>
      </c>
      <c r="J642">
        <v>2.9506283529677199E-2</v>
      </c>
      <c r="K642">
        <v>8.6266539107278203E-2</v>
      </c>
      <c r="L642">
        <v>1424.9267473022001</v>
      </c>
      <c r="M642">
        <v>27.540516176978901</v>
      </c>
      <c r="N642">
        <v>51.996813034238201</v>
      </c>
      <c r="O642">
        <v>51.468806259206197</v>
      </c>
      <c r="P642">
        <v>-0.12524594167825701</v>
      </c>
      <c r="Q642">
        <v>6.3750286092616806E-2</v>
      </c>
      <c r="R642">
        <v>0.99417385621584697</v>
      </c>
      <c r="S642" t="s">
        <v>7645</v>
      </c>
      <c r="T642" t="s">
        <v>14004</v>
      </c>
      <c r="U642" t="s">
        <v>14004</v>
      </c>
      <c r="V642" t="s">
        <v>14004</v>
      </c>
      <c r="W642" t="s">
        <v>14637</v>
      </c>
      <c r="X642">
        <v>2</v>
      </c>
      <c r="Y642" t="s">
        <v>21575</v>
      </c>
      <c r="Z642" t="s">
        <v>28352</v>
      </c>
      <c r="AA642">
        <v>0.437170217464735</v>
      </c>
      <c r="AB642" t="str">
        <f>HYPERLINK("Melting_Curves/meltCurve_E9PS47_PTDSS2.pdf", "Melting_Curves/meltCurve_E9PS47_PTDSS2.pdf")</f>
        <v>Melting_Curves/meltCurve_E9PS47_PTDSS2.pdf</v>
      </c>
    </row>
    <row r="643" spans="1:28" x14ac:dyDescent="0.25">
      <c r="A643" t="s">
        <v>647</v>
      </c>
      <c r="B643">
        <v>0.99999676499088797</v>
      </c>
      <c r="C643">
        <v>0.947480691538648</v>
      </c>
      <c r="D643">
        <v>1.0479739101121801</v>
      </c>
      <c r="E643">
        <v>1.1983348221079499</v>
      </c>
      <c r="F643">
        <v>1.20154141085088</v>
      </c>
      <c r="G643">
        <v>1.1521336866019001</v>
      </c>
      <c r="H643">
        <v>0.91164102952405002</v>
      </c>
      <c r="I643">
        <v>0.52222558230378002</v>
      </c>
      <c r="J643">
        <v>0.165886239401735</v>
      </c>
      <c r="K643">
        <v>0.17750543983717601</v>
      </c>
      <c r="L643">
        <v>3449.8754457146001</v>
      </c>
      <c r="M643">
        <v>54.206715850941002</v>
      </c>
      <c r="N643">
        <v>64.056226493540294</v>
      </c>
      <c r="O643">
        <v>63.556495453693501</v>
      </c>
      <c r="P643">
        <v>-0.181760112450878</v>
      </c>
      <c r="Q643">
        <v>0.147557170379401</v>
      </c>
      <c r="R643">
        <v>0.92277409261773202</v>
      </c>
      <c r="S643" t="s">
        <v>7646</v>
      </c>
      <c r="T643" t="s">
        <v>14004</v>
      </c>
      <c r="U643" t="s">
        <v>14004</v>
      </c>
      <c r="V643" t="s">
        <v>14004</v>
      </c>
      <c r="W643" t="s">
        <v>14638</v>
      </c>
      <c r="X643">
        <v>4</v>
      </c>
      <c r="Y643" t="s">
        <v>21576</v>
      </c>
      <c r="Z643" t="s">
        <v>28353</v>
      </c>
      <c r="AA643">
        <v>0.8210949771464654</v>
      </c>
      <c r="AB643" t="str">
        <f>HYPERLINK("Melting_Curves/meltCurve_E9PS74_SLC43A3.pdf", "Melting_Curves/meltCurve_E9PS74_SLC43A3.pdf")</f>
        <v>Melting_Curves/meltCurve_E9PS74_SLC43A3.pdf</v>
      </c>
    </row>
    <row r="644" spans="1:28" x14ac:dyDescent="0.25">
      <c r="A644" t="s">
        <v>648</v>
      </c>
      <c r="B644">
        <v>0.99999676499088797</v>
      </c>
      <c r="C644">
        <v>1.2950237883434399</v>
      </c>
      <c r="D644">
        <v>1.0082531240813499</v>
      </c>
      <c r="E644">
        <v>0.42911957912079901</v>
      </c>
      <c r="F644">
        <v>0.17988198491514601</v>
      </c>
      <c r="G644">
        <v>0.21990024478954201</v>
      </c>
      <c r="H644">
        <v>0.118928510865363</v>
      </c>
      <c r="I644">
        <v>9.5195070203064197E-2</v>
      </c>
      <c r="J644">
        <v>0.13259745130141501</v>
      </c>
      <c r="K644">
        <v>1.52165060672946E-2</v>
      </c>
      <c r="L644">
        <v>3071.3551675960198</v>
      </c>
      <c r="M644">
        <v>62.537370291995998</v>
      </c>
      <c r="N644">
        <v>49.340089448523401</v>
      </c>
      <c r="O644">
        <v>49.062172809808999</v>
      </c>
      <c r="P644">
        <v>-0.27871018393500502</v>
      </c>
      <c r="Q644">
        <v>0.12537913945043599</v>
      </c>
      <c r="R644">
        <v>0.94351609181304996</v>
      </c>
      <c r="S644" t="s">
        <v>7647</v>
      </c>
      <c r="T644" t="s">
        <v>14004</v>
      </c>
      <c r="U644" t="s">
        <v>14004</v>
      </c>
      <c r="V644" t="s">
        <v>14004</v>
      </c>
      <c r="W644" t="s">
        <v>14639</v>
      </c>
      <c r="X644">
        <v>2</v>
      </c>
      <c r="Y644" t="s">
        <v>21577</v>
      </c>
      <c r="Z644" t="s">
        <v>28354</v>
      </c>
      <c r="AA644">
        <v>0.39224864458735342</v>
      </c>
      <c r="AB644" t="str">
        <f>HYPERLINK("Melting_Curves/meltCurve_E9PSB8_SMCO4.pdf", "Melting_Curves/meltCurve_E9PSB8_SMCO4.pdf")</f>
        <v>Melting_Curves/meltCurve_E9PSB8_SMCO4.pdf</v>
      </c>
    </row>
    <row r="645" spans="1:28" x14ac:dyDescent="0.25">
      <c r="A645" t="s">
        <v>649</v>
      </c>
      <c r="B645">
        <v>0.99999676499088797</v>
      </c>
      <c r="C645">
        <v>0.89306985540629502</v>
      </c>
      <c r="D645">
        <v>0.899570349062497</v>
      </c>
      <c r="E645">
        <v>0.73236092992871304</v>
      </c>
      <c r="F645">
        <v>0.52570741400111398</v>
      </c>
      <c r="G645">
        <v>0.358453498575727</v>
      </c>
      <c r="H645">
        <v>0.22687994504585901</v>
      </c>
      <c r="I645">
        <v>0.19652769096482101</v>
      </c>
      <c r="J645">
        <v>0.20252051984519401</v>
      </c>
      <c r="K645">
        <v>0.159532604611237</v>
      </c>
      <c r="L645">
        <v>702.05614772425804</v>
      </c>
      <c r="M645">
        <v>13.4023667606749</v>
      </c>
      <c r="N645">
        <v>53.621433382590602</v>
      </c>
      <c r="O645">
        <v>51.258014984203498</v>
      </c>
      <c r="P645">
        <v>-5.6675212928910597E-2</v>
      </c>
      <c r="Q645">
        <v>0.13310737917041601</v>
      </c>
      <c r="R645">
        <v>0.99406592242638103</v>
      </c>
      <c r="S645" t="s">
        <v>7648</v>
      </c>
      <c r="T645" t="s">
        <v>14004</v>
      </c>
      <c r="U645" t="s">
        <v>14004</v>
      </c>
      <c r="V645" t="s">
        <v>14004</v>
      </c>
      <c r="W645" t="s">
        <v>14640</v>
      </c>
      <c r="X645">
        <v>8</v>
      </c>
      <c r="Y645" t="s">
        <v>21578</v>
      </c>
      <c r="Z645" t="s">
        <v>28355</v>
      </c>
      <c r="AA645">
        <v>0.51334695513821293</v>
      </c>
      <c r="AB645" t="str">
        <f>HYPERLINK("Melting_Curves/meltCurve_E9PSH8_CD3E.pdf", "Melting_Curves/meltCurve_E9PSH8_CD3E.pdf")</f>
        <v>Melting_Curves/meltCurve_E9PSH8_CD3E.pdf</v>
      </c>
    </row>
    <row r="646" spans="1:28" x14ac:dyDescent="0.25">
      <c r="A646" t="s">
        <v>650</v>
      </c>
      <c r="B646">
        <v>0.99999676499088797</v>
      </c>
      <c r="C646">
        <v>0.955189660624439</v>
      </c>
      <c r="D646">
        <v>1.0016668375750799</v>
      </c>
      <c r="E646">
        <v>0.97350193178456701</v>
      </c>
      <c r="F646">
        <v>0.928159876449412</v>
      </c>
      <c r="G646">
        <v>0.80534590815888196</v>
      </c>
      <c r="H646">
        <v>0.44853577204702799</v>
      </c>
      <c r="I646">
        <v>0.42950589310131199</v>
      </c>
      <c r="J646">
        <v>0.37471784844255202</v>
      </c>
      <c r="K646">
        <v>0.48337893812313798</v>
      </c>
      <c r="L646">
        <v>2648.7859049421099</v>
      </c>
      <c r="M646">
        <v>46.046147099782402</v>
      </c>
      <c r="N646">
        <v>59.949348252257799</v>
      </c>
      <c r="O646">
        <v>57.416409457138798</v>
      </c>
      <c r="P646">
        <v>-0.115814103907861</v>
      </c>
      <c r="Q646">
        <v>0.422351482184185</v>
      </c>
      <c r="R646">
        <v>0.98076089098080099</v>
      </c>
      <c r="S646" t="s">
        <v>7649</v>
      </c>
      <c r="T646" t="s">
        <v>14004</v>
      </c>
      <c r="U646" t="s">
        <v>14004</v>
      </c>
      <c r="V646" t="s">
        <v>14004</v>
      </c>
      <c r="W646" t="s">
        <v>14641</v>
      </c>
      <c r="X646">
        <v>15</v>
      </c>
      <c r="Y646" t="s">
        <v>21579</v>
      </c>
      <c r="Z646" t="s">
        <v>28356</v>
      </c>
      <c r="AA646">
        <v>0.7615064108558266</v>
      </c>
      <c r="AB646" t="str">
        <f>HYPERLINK("Melting_Curves/meltCurve_E9PSI1_TM9SF1.pdf", "Melting_Curves/meltCurve_E9PSI1_TM9SF1.pdf")</f>
        <v>Melting_Curves/meltCurve_E9PSI1_TM9SF1.pdf</v>
      </c>
    </row>
    <row r="647" spans="1:28" x14ac:dyDescent="0.25">
      <c r="A647" t="s">
        <v>651</v>
      </c>
      <c r="B647">
        <v>0.99999676499088797</v>
      </c>
      <c r="C647">
        <v>0.99273082417728897</v>
      </c>
      <c r="D647">
        <v>0.73213499328951104</v>
      </c>
      <c r="E647">
        <v>0.44548034464665598</v>
      </c>
      <c r="F647">
        <v>0.22896164052680501</v>
      </c>
      <c r="G647">
        <v>0.15587280209649701</v>
      </c>
      <c r="H647">
        <v>7.2287281838499196E-2</v>
      </c>
      <c r="I647">
        <v>8.4562593066434599E-2</v>
      </c>
      <c r="J647">
        <v>5.8142105415572999E-2</v>
      </c>
      <c r="K647">
        <v>4.68026759609287E-2</v>
      </c>
      <c r="L647">
        <v>911.466426940627</v>
      </c>
      <c r="M647">
        <v>18.724694091673499</v>
      </c>
      <c r="N647">
        <v>49.029575329598302</v>
      </c>
      <c r="O647">
        <v>48.132233137267903</v>
      </c>
      <c r="P647">
        <v>-9.1138128197771104E-2</v>
      </c>
      <c r="Q647">
        <v>6.2949347526724403E-2</v>
      </c>
      <c r="R647">
        <v>0.99478372107666901</v>
      </c>
      <c r="S647" t="s">
        <v>7650</v>
      </c>
      <c r="T647" t="s">
        <v>14004</v>
      </c>
      <c r="U647" t="s">
        <v>14004</v>
      </c>
      <c r="V647" t="s">
        <v>14004</v>
      </c>
      <c r="W647" t="s">
        <v>14642</v>
      </c>
      <c r="X647">
        <v>4</v>
      </c>
      <c r="Y647" t="s">
        <v>21580</v>
      </c>
      <c r="Z647" t="s">
        <v>28357</v>
      </c>
      <c r="AA647">
        <v>0.3490606827167021</v>
      </c>
      <c r="AB647" t="str">
        <f>HYPERLINK("Melting_Curves/meltCurve_F2Z2A7_KDM1B.pdf", "Melting_Curves/meltCurve_F2Z2A7_KDM1B.pdf")</f>
        <v>Melting_Curves/meltCurve_F2Z2A7_KDM1B.pdf</v>
      </c>
    </row>
    <row r="648" spans="1:28" x14ac:dyDescent="0.25">
      <c r="A648" t="s">
        <v>652</v>
      </c>
      <c r="B648">
        <v>0.99999676499088797</v>
      </c>
      <c r="C648">
        <v>0.98851622909683001</v>
      </c>
      <c r="D648">
        <v>0.95323072262706898</v>
      </c>
      <c r="E648">
        <v>0.69457984787208704</v>
      </c>
      <c r="F648">
        <v>0.25943273484627599</v>
      </c>
      <c r="G648">
        <v>0.18126529903781299</v>
      </c>
      <c r="H648">
        <v>8.4988058103008093E-2</v>
      </c>
      <c r="I648">
        <v>9.2391546637056302E-2</v>
      </c>
      <c r="J648">
        <v>9.8102753277521604E-2</v>
      </c>
      <c r="K648">
        <v>6.8196120416417996E-2</v>
      </c>
      <c r="L648">
        <v>1442.4750344500201</v>
      </c>
      <c r="M648">
        <v>28.4391150271274</v>
      </c>
      <c r="N648">
        <v>51.082033364730201</v>
      </c>
      <c r="O648">
        <v>50.472720352078902</v>
      </c>
      <c r="P648">
        <v>-0.128056658719438</v>
      </c>
      <c r="Q648">
        <v>9.0926049641255599E-2</v>
      </c>
      <c r="R648">
        <v>0.997556608317272</v>
      </c>
      <c r="S648" t="s">
        <v>7651</v>
      </c>
      <c r="T648" t="s">
        <v>14004</v>
      </c>
      <c r="U648" t="s">
        <v>14004</v>
      </c>
      <c r="V648" t="s">
        <v>14004</v>
      </c>
      <c r="W648" t="s">
        <v>14643</v>
      </c>
      <c r="X648">
        <v>16</v>
      </c>
      <c r="Y648" t="s">
        <v>21581</v>
      </c>
      <c r="Z648" t="s">
        <v>28358</v>
      </c>
      <c r="AA648">
        <v>0.42214772275193208</v>
      </c>
      <c r="AB648" t="str">
        <f>HYPERLINK("Melting_Curves/meltCurve_F2Z2B9_TUBGCP2.pdf", "Melting_Curves/meltCurve_F2Z2B9_TUBGCP2.pdf")</f>
        <v>Melting_Curves/meltCurve_F2Z2B9_TUBGCP2.pdf</v>
      </c>
    </row>
    <row r="649" spans="1:28" x14ac:dyDescent="0.25">
      <c r="A649" t="s">
        <v>653</v>
      </c>
      <c r="B649">
        <v>0.99999676499088797</v>
      </c>
      <c r="C649">
        <v>1.1317759940176999</v>
      </c>
      <c r="D649">
        <v>1.10852472947168</v>
      </c>
      <c r="E649">
        <v>1.2742706843171001</v>
      </c>
      <c r="F649">
        <v>1.02281740479223</v>
      </c>
      <c r="G649">
        <v>0.73819718672651402</v>
      </c>
      <c r="H649">
        <v>0.153315876293102</v>
      </c>
      <c r="I649">
        <v>0.139994518454887</v>
      </c>
      <c r="J649">
        <v>0.14312697339771099</v>
      </c>
      <c r="K649">
        <v>0.12013152050209799</v>
      </c>
      <c r="L649">
        <v>4313.5683156538698</v>
      </c>
      <c r="M649">
        <v>75.106103534700495</v>
      </c>
      <c r="N649">
        <v>57.6760765359274</v>
      </c>
      <c r="O649">
        <v>57.392315043554497</v>
      </c>
      <c r="P649">
        <v>-0.282775496882058</v>
      </c>
      <c r="Q649">
        <v>0.13566877042414199</v>
      </c>
      <c r="R649">
        <v>0.95066142063660697</v>
      </c>
      <c r="S649" t="s">
        <v>7652</v>
      </c>
      <c r="T649" t="s">
        <v>14004</v>
      </c>
      <c r="U649" t="s">
        <v>14004</v>
      </c>
      <c r="V649" t="s">
        <v>14004</v>
      </c>
      <c r="W649" t="s">
        <v>14644</v>
      </c>
      <c r="X649">
        <v>11</v>
      </c>
      <c r="Y649" t="s">
        <v>21582</v>
      </c>
      <c r="Z649" t="s">
        <v>28359</v>
      </c>
      <c r="AA649">
        <v>0.63889882198617121</v>
      </c>
      <c r="AB649" t="str">
        <f>HYPERLINK("Melting_Curves/meltCurve_F2Z2U4_TRRAP.pdf", "Melting_Curves/meltCurve_F2Z2U4_TRRAP.pdf")</f>
        <v>Melting_Curves/meltCurve_F2Z2U4_TRRAP.pdf</v>
      </c>
    </row>
    <row r="650" spans="1:28" x14ac:dyDescent="0.25">
      <c r="A650" t="s">
        <v>654</v>
      </c>
      <c r="B650">
        <v>0.99999676499088797</v>
      </c>
      <c r="C650">
        <v>0.86806657233225704</v>
      </c>
      <c r="D650">
        <v>0.90997453264536099</v>
      </c>
      <c r="E650">
        <v>0.58105517634408899</v>
      </c>
      <c r="F650">
        <v>0.265911204341859</v>
      </c>
      <c r="G650">
        <v>5.9733856360127402E-2</v>
      </c>
      <c r="H650">
        <v>1.7890804308091798E-2</v>
      </c>
      <c r="I650">
        <v>2.04953080640498E-2</v>
      </c>
      <c r="J650">
        <v>1.7348911081708301E-2</v>
      </c>
      <c r="K650">
        <v>9.5607145931041592E-3</v>
      </c>
      <c r="L650">
        <v>1039.6238873790201</v>
      </c>
      <c r="M650">
        <v>20.623506334404698</v>
      </c>
      <c r="N650">
        <v>50.409646729724798</v>
      </c>
      <c r="O650">
        <v>49.942879515502199</v>
      </c>
      <c r="P650">
        <v>-0.10323844492233</v>
      </c>
      <c r="Q650">
        <v>0</v>
      </c>
      <c r="R650">
        <v>0.99145211181668402</v>
      </c>
      <c r="S650" t="s">
        <v>7653</v>
      </c>
      <c r="T650" t="s">
        <v>14004</v>
      </c>
      <c r="U650" t="s">
        <v>14004</v>
      </c>
      <c r="V650" t="s">
        <v>14004</v>
      </c>
      <c r="W650" t="s">
        <v>14645</v>
      </c>
      <c r="X650">
        <v>20</v>
      </c>
      <c r="Y650" t="s">
        <v>21583</v>
      </c>
      <c r="Z650" t="s">
        <v>28360</v>
      </c>
      <c r="AA650">
        <v>0.36009321132274502</v>
      </c>
      <c r="AB650" t="str">
        <f>HYPERLINK("Melting_Curves/meltCurve_F2Z2U8_MYH14.pdf", "Melting_Curves/meltCurve_F2Z2U8_MYH14.pdf")</f>
        <v>Melting_Curves/meltCurve_F2Z2U8_MYH14.pdf</v>
      </c>
    </row>
    <row r="651" spans="1:28" x14ac:dyDescent="0.25">
      <c r="A651" t="s">
        <v>655</v>
      </c>
      <c r="B651">
        <v>0.99999676499088797</v>
      </c>
      <c r="C651">
        <v>0.95471545500131005</v>
      </c>
      <c r="D651">
        <v>0.82156318362974301</v>
      </c>
      <c r="E651">
        <v>0.71516746997869796</v>
      </c>
      <c r="F651">
        <v>0.63076416650636302</v>
      </c>
      <c r="G651">
        <v>0.49218142240908802</v>
      </c>
      <c r="H651">
        <v>0.22264849905673101</v>
      </c>
      <c r="I651">
        <v>0.121192495894531</v>
      </c>
      <c r="J651">
        <v>0.14439749165957699</v>
      </c>
      <c r="K651">
        <v>0.102698456075346</v>
      </c>
      <c r="L651">
        <v>568.83492317532705</v>
      </c>
      <c r="M651">
        <v>10.3545713593599</v>
      </c>
      <c r="N651">
        <v>54.935632120925</v>
      </c>
      <c r="O651">
        <v>53.005078597405898</v>
      </c>
      <c r="P651">
        <v>-4.8858425050809201E-2</v>
      </c>
      <c r="Q651">
        <v>0</v>
      </c>
      <c r="R651">
        <v>0.98193469077337303</v>
      </c>
      <c r="S651" t="s">
        <v>7654</v>
      </c>
      <c r="T651" t="s">
        <v>14004</v>
      </c>
      <c r="U651" t="s">
        <v>14004</v>
      </c>
      <c r="V651" t="s">
        <v>14004</v>
      </c>
      <c r="W651" t="s">
        <v>14646</v>
      </c>
      <c r="X651">
        <v>1</v>
      </c>
      <c r="Y651" t="s">
        <v>21584</v>
      </c>
      <c r="Z651" t="s">
        <v>28361</v>
      </c>
      <c r="AA651">
        <v>0.52362041289416905</v>
      </c>
      <c r="AB651" t="str">
        <f>HYPERLINK("Melting_Curves/meltCurve_F2Z2V1_FGGY.pdf", "Melting_Curves/meltCurve_F2Z2V1_FGGY.pdf")</f>
        <v>Melting_Curves/meltCurve_F2Z2V1_FGGY.pdf</v>
      </c>
    </row>
    <row r="652" spans="1:28" x14ac:dyDescent="0.25">
      <c r="A652" t="s">
        <v>656</v>
      </c>
      <c r="B652">
        <v>0.99999676499088797</v>
      </c>
      <c r="C652">
        <v>0.91291729695839496</v>
      </c>
      <c r="D652">
        <v>0.54216034965271198</v>
      </c>
      <c r="E652">
        <v>0.27203837339865899</v>
      </c>
      <c r="F652">
        <v>0.210273335632914</v>
      </c>
      <c r="G652">
        <v>0.132422851785617</v>
      </c>
      <c r="H652">
        <v>5.8570452075396601E-2</v>
      </c>
      <c r="I652">
        <v>5.00614763530281E-2</v>
      </c>
      <c r="J652">
        <v>5.4177528207430103E-2</v>
      </c>
      <c r="K652">
        <v>4.07425604463365E-2</v>
      </c>
      <c r="L652">
        <v>935.31738999034997</v>
      </c>
      <c r="M652">
        <v>20.081579461484001</v>
      </c>
      <c r="N652">
        <v>46.919984096920899</v>
      </c>
      <c r="O652">
        <v>46.121400004695502</v>
      </c>
      <c r="P652">
        <v>-0.10140186733031201</v>
      </c>
      <c r="Q652">
        <v>6.8470425725064593E-2</v>
      </c>
      <c r="R652">
        <v>0.98735644815211299</v>
      </c>
      <c r="S652" t="s">
        <v>7655</v>
      </c>
      <c r="T652" t="s">
        <v>14004</v>
      </c>
      <c r="U652" t="s">
        <v>14004</v>
      </c>
      <c r="V652" t="s">
        <v>14004</v>
      </c>
      <c r="W652" t="s">
        <v>14647</v>
      </c>
      <c r="X652">
        <v>12</v>
      </c>
      <c r="Y652" t="s">
        <v>21585</v>
      </c>
      <c r="Z652" t="s">
        <v>28362</v>
      </c>
      <c r="AA652">
        <v>0.28643622237774358</v>
      </c>
      <c r="AB652" t="str">
        <f>HYPERLINK("Melting_Curves/meltCurve_F2Z2W7_TRMT2A.pdf", "Melting_Curves/meltCurve_F2Z2W7_TRMT2A.pdf")</f>
        <v>Melting_Curves/meltCurve_F2Z2W7_TRMT2A.pdf</v>
      </c>
    </row>
    <row r="653" spans="1:28" x14ac:dyDescent="0.25">
      <c r="A653" t="s">
        <v>657</v>
      </c>
      <c r="B653">
        <v>0.99999676499088797</v>
      </c>
      <c r="C653">
        <v>0.98236498818159501</v>
      </c>
      <c r="D653">
        <v>0.95735145976588398</v>
      </c>
      <c r="E653">
        <v>0.98697093665086399</v>
      </c>
      <c r="F653">
        <v>0.52212994337134799</v>
      </c>
      <c r="G653">
        <v>0.34523726101052699</v>
      </c>
      <c r="H653">
        <v>0.174775337841483</v>
      </c>
      <c r="I653">
        <v>0.169011824239713</v>
      </c>
      <c r="J653">
        <v>0.162245328285088</v>
      </c>
      <c r="K653">
        <v>0.119930479849838</v>
      </c>
      <c r="L653">
        <v>1515.07514910652</v>
      </c>
      <c r="M653">
        <v>28.4518776266437</v>
      </c>
      <c r="N653">
        <v>53.963421502795597</v>
      </c>
      <c r="O653">
        <v>52.989467353871497</v>
      </c>
      <c r="P653">
        <v>-0.11320434102648901</v>
      </c>
      <c r="Q653">
        <v>0.15666873782058099</v>
      </c>
      <c r="R653">
        <v>0.98760841953794298</v>
      </c>
      <c r="S653" t="s">
        <v>7656</v>
      </c>
      <c r="T653" t="s">
        <v>14004</v>
      </c>
      <c r="U653" t="s">
        <v>14004</v>
      </c>
      <c r="V653" t="s">
        <v>14004</v>
      </c>
      <c r="W653" t="s">
        <v>14648</v>
      </c>
      <c r="X653">
        <v>9</v>
      </c>
      <c r="Y653" t="s">
        <v>21586</v>
      </c>
      <c r="Z653" t="s">
        <v>28363</v>
      </c>
      <c r="AA653">
        <v>0.53523525975761066</v>
      </c>
      <c r="AB653" t="str">
        <f>HYPERLINK("Melting_Curves/meltCurve_F2Z2X4_XPO4.pdf", "Melting_Curves/meltCurve_F2Z2X4_XPO4.pdf")</f>
        <v>Melting_Curves/meltCurve_F2Z2X4_XPO4.pdf</v>
      </c>
    </row>
    <row r="654" spans="1:28" x14ac:dyDescent="0.25">
      <c r="A654" t="s">
        <v>658</v>
      </c>
      <c r="B654">
        <v>0.99999676499088797</v>
      </c>
      <c r="C654">
        <v>1.1243694792341901</v>
      </c>
      <c r="D654">
        <v>1.06590453822425</v>
      </c>
      <c r="E654">
        <v>0.64425956738549095</v>
      </c>
      <c r="F654">
        <v>0.27037665368039598</v>
      </c>
      <c r="G654">
        <v>0.175631640029589</v>
      </c>
      <c r="H654">
        <v>9.3560647292323995E-2</v>
      </c>
      <c r="I654">
        <v>0.106628007928426</v>
      </c>
      <c r="J654">
        <v>0.12030006245837301</v>
      </c>
      <c r="K654">
        <v>0.113742254326262</v>
      </c>
      <c r="L654">
        <v>1749.6602562422599</v>
      </c>
      <c r="M654">
        <v>34.731489207234503</v>
      </c>
      <c r="N654">
        <v>50.782627749631203</v>
      </c>
      <c r="O654">
        <v>50.210638936279402</v>
      </c>
      <c r="P654">
        <v>-0.151972080438039</v>
      </c>
      <c r="Q654">
        <v>0.12119086400342099</v>
      </c>
      <c r="R654">
        <v>0.98284695903475305</v>
      </c>
      <c r="S654" t="s">
        <v>7657</v>
      </c>
      <c r="T654" t="s">
        <v>14004</v>
      </c>
      <c r="U654" t="s">
        <v>14004</v>
      </c>
      <c r="V654" t="s">
        <v>14004</v>
      </c>
      <c r="W654" t="s">
        <v>14649</v>
      </c>
      <c r="X654">
        <v>3</v>
      </c>
      <c r="Y654" t="s">
        <v>21587</v>
      </c>
      <c r="Z654" t="s">
        <v>28364</v>
      </c>
      <c r="AA654">
        <v>0.42923413008003058</v>
      </c>
      <c r="AB654" t="str">
        <f>HYPERLINK("Melting_Curves/meltCurve_F2Z3A6_VEZT.pdf", "Melting_Curves/meltCurve_F2Z3A6_VEZT.pdf")</f>
        <v>Melting_Curves/meltCurve_F2Z3A6_VEZT.pdf</v>
      </c>
    </row>
    <row r="655" spans="1:28" x14ac:dyDescent="0.25">
      <c r="A655" t="s">
        <v>659</v>
      </c>
      <c r="B655">
        <v>0.99999676499088797</v>
      </c>
      <c r="C655">
        <v>1.0587858479651699</v>
      </c>
      <c r="D655">
        <v>0.93373797797817504</v>
      </c>
      <c r="E655">
        <v>0.84504076064530498</v>
      </c>
      <c r="F655">
        <v>0.37209515380774999</v>
      </c>
      <c r="G655">
        <v>0.11826325772966</v>
      </c>
      <c r="H655">
        <v>8.8263665625921306E-2</v>
      </c>
      <c r="I655">
        <v>0</v>
      </c>
      <c r="J655">
        <v>6.1850236786520102E-2</v>
      </c>
      <c r="K655">
        <v>0</v>
      </c>
      <c r="L655">
        <v>1528.1853646493901</v>
      </c>
      <c r="M655">
        <v>29.2853283090415</v>
      </c>
      <c r="N655">
        <v>52.300114191101997</v>
      </c>
      <c r="O655">
        <v>51.941123989368798</v>
      </c>
      <c r="P655">
        <v>-0.13646818251322701</v>
      </c>
      <c r="Q655">
        <v>3.1834703328162399E-2</v>
      </c>
      <c r="R655">
        <v>0.99393810497117197</v>
      </c>
      <c r="S655" t="s">
        <v>7658</v>
      </c>
      <c r="T655" t="s">
        <v>14004</v>
      </c>
      <c r="U655" t="s">
        <v>14004</v>
      </c>
      <c r="V655" t="s">
        <v>14004</v>
      </c>
      <c r="W655" t="s">
        <v>14650</v>
      </c>
      <c r="X655">
        <v>1</v>
      </c>
      <c r="Y655" t="s">
        <v>21588</v>
      </c>
      <c r="Z655" t="s">
        <v>28365</v>
      </c>
      <c r="AA655">
        <v>0.43150071387930661</v>
      </c>
      <c r="AB655" t="str">
        <f>HYPERLINK("Melting_Curves/meltCurve_F2Z3I4_ARRDC1.pdf", "Melting_Curves/meltCurve_F2Z3I4_ARRDC1.pdf")</f>
        <v>Melting_Curves/meltCurve_F2Z3I4_ARRDC1.pdf</v>
      </c>
    </row>
    <row r="656" spans="1:28" x14ac:dyDescent="0.25">
      <c r="A656" t="s">
        <v>660</v>
      </c>
      <c r="B656">
        <v>0.99999676499088797</v>
      </c>
      <c r="C656">
        <v>0.96045080508290803</v>
      </c>
      <c r="D656">
        <v>0.76951127211077797</v>
      </c>
      <c r="E656">
        <v>0.57361607987170304</v>
      </c>
      <c r="F656">
        <v>0.41286270209555498</v>
      </c>
      <c r="G656">
        <v>0.359593085111369</v>
      </c>
      <c r="H656">
        <v>0.24007664376492599</v>
      </c>
      <c r="I656">
        <v>0.32619163499242099</v>
      </c>
      <c r="J656">
        <v>0.34719769933215</v>
      </c>
      <c r="K656">
        <v>0.32973125840773398</v>
      </c>
      <c r="L656">
        <v>913.96896175208701</v>
      </c>
      <c r="M656">
        <v>18.998128236852999</v>
      </c>
      <c r="N656">
        <v>50.697374624022103</v>
      </c>
      <c r="O656">
        <v>47.584850245325697</v>
      </c>
      <c r="P656">
        <v>-6.8823494332553206E-2</v>
      </c>
      <c r="Q656">
        <v>0.31049521657760198</v>
      </c>
      <c r="R656">
        <v>0.98539546076858198</v>
      </c>
      <c r="S656" t="s">
        <v>7659</v>
      </c>
      <c r="T656" t="s">
        <v>14004</v>
      </c>
      <c r="U656" t="s">
        <v>14004</v>
      </c>
      <c r="V656" t="s">
        <v>14004</v>
      </c>
      <c r="W656" t="s">
        <v>14651</v>
      </c>
      <c r="X656">
        <v>2</v>
      </c>
      <c r="Y656" t="s">
        <v>21589</v>
      </c>
      <c r="Z656" t="s">
        <v>28366</v>
      </c>
      <c r="AA656">
        <v>0.50774845099667532</v>
      </c>
      <c r="AB656" t="str">
        <f>HYPERLINK("Melting_Curves/meltCurve_F2Z3L0_SHANK3.pdf", "Melting_Curves/meltCurve_F2Z3L0_SHANK3.pdf")</f>
        <v>Melting_Curves/meltCurve_F2Z3L0_SHANK3.pdf</v>
      </c>
    </row>
    <row r="657" spans="1:28" x14ac:dyDescent="0.25">
      <c r="A657" t="s">
        <v>661</v>
      </c>
      <c r="B657">
        <v>0.99999676499088797</v>
      </c>
      <c r="C657">
        <v>0.98786025914946995</v>
      </c>
      <c r="D657">
        <v>0.91474980058008504</v>
      </c>
      <c r="E657">
        <v>0.60288086917910699</v>
      </c>
      <c r="F657">
        <v>0.36194629776326398</v>
      </c>
      <c r="G657">
        <v>0.21665368796891901</v>
      </c>
      <c r="H657">
        <v>0.123596732564595</v>
      </c>
      <c r="I657">
        <v>0.101723066014391</v>
      </c>
      <c r="J657">
        <v>0.10523062964759</v>
      </c>
      <c r="K657">
        <v>8.7069080711211694E-2</v>
      </c>
      <c r="L657">
        <v>965.18791944973202</v>
      </c>
      <c r="M657">
        <v>19.060192044536201</v>
      </c>
      <c r="N657">
        <v>51.189203009726803</v>
      </c>
      <c r="O657">
        <v>50.091401963650597</v>
      </c>
      <c r="P657">
        <v>-8.6318737287474703E-2</v>
      </c>
      <c r="Q657">
        <v>9.2631103691545896E-2</v>
      </c>
      <c r="R657">
        <v>0.99773891935548698</v>
      </c>
      <c r="S657" t="s">
        <v>7660</v>
      </c>
      <c r="T657" t="s">
        <v>14004</v>
      </c>
      <c r="U657" t="s">
        <v>14004</v>
      </c>
      <c r="V657" t="s">
        <v>14004</v>
      </c>
      <c r="W657" t="s">
        <v>14652</v>
      </c>
      <c r="X657">
        <v>4</v>
      </c>
      <c r="Y657" t="s">
        <v>21590</v>
      </c>
      <c r="Z657" t="s">
        <v>28367</v>
      </c>
      <c r="AA657">
        <v>0.42821822549144689</v>
      </c>
      <c r="AB657" t="str">
        <f>HYPERLINK("Melting_Curves/meltCurve_F5GWD3_GTF2H3.pdf", "Melting_Curves/meltCurve_F5GWD3_GTF2H3.pdf")</f>
        <v>Melting_Curves/meltCurve_F5GWD3_GTF2H3.pdf</v>
      </c>
    </row>
    <row r="658" spans="1:28" x14ac:dyDescent="0.25">
      <c r="A658" t="s">
        <v>662</v>
      </c>
      <c r="B658">
        <v>0.99999676499088797</v>
      </c>
      <c r="C658">
        <v>0.80594413083749905</v>
      </c>
      <c r="D658">
        <v>0.89934280301936798</v>
      </c>
      <c r="E658">
        <v>1.0750086067395599</v>
      </c>
      <c r="F658">
        <v>0.902125293426847</v>
      </c>
      <c r="G658">
        <v>0.57568620697452999</v>
      </c>
      <c r="H658">
        <v>0.45526961076493799</v>
      </c>
      <c r="I658">
        <v>0.43170778558575201</v>
      </c>
      <c r="J658">
        <v>0.54422951043387802</v>
      </c>
      <c r="K658">
        <v>0.50301955762488104</v>
      </c>
      <c r="L658">
        <v>2688.3782751472299</v>
      </c>
      <c r="M658">
        <v>48.972698644215299</v>
      </c>
      <c r="N658">
        <v>59.032528725686703</v>
      </c>
      <c r="O658">
        <v>54.804148337112998</v>
      </c>
      <c r="P658">
        <v>-0.11530956063768399</v>
      </c>
      <c r="Q658">
        <v>0.48384006877062102</v>
      </c>
      <c r="R658">
        <v>0.88315981762545503</v>
      </c>
      <c r="S658" t="s">
        <v>7661</v>
      </c>
      <c r="T658" t="s">
        <v>14004</v>
      </c>
      <c r="U658" t="s">
        <v>14004</v>
      </c>
      <c r="V658" t="s">
        <v>14004</v>
      </c>
      <c r="W658" t="s">
        <v>14653</v>
      </c>
      <c r="X658">
        <v>1</v>
      </c>
      <c r="Y658" t="s">
        <v>21591</v>
      </c>
      <c r="Z658" t="s">
        <v>28368</v>
      </c>
      <c r="AA658">
        <v>0.74142350534099721</v>
      </c>
      <c r="AB658" t="str">
        <f>HYPERLINK("Melting_Curves/meltCurve_F5GWH5_TMEM258.pdf", "Melting_Curves/meltCurve_F5GWH5_TMEM258.pdf")</f>
        <v>Melting_Curves/meltCurve_F5GWH5_TMEM258.pdf</v>
      </c>
    </row>
    <row r="659" spans="1:28" x14ac:dyDescent="0.25">
      <c r="A659" t="s">
        <v>663</v>
      </c>
      <c r="B659">
        <v>0.99999676499088797</v>
      </c>
      <c r="C659">
        <v>0.89247773219969695</v>
      </c>
      <c r="D659">
        <v>1.0132452639338601</v>
      </c>
      <c r="E659">
        <v>0.98690358850345605</v>
      </c>
      <c r="F659">
        <v>1.0143169975116599</v>
      </c>
      <c r="G659">
        <v>0.840560863009438</v>
      </c>
      <c r="H659">
        <v>0.53629257682280396</v>
      </c>
      <c r="I659">
        <v>0.35828060996129801</v>
      </c>
      <c r="J659">
        <v>0.23222419561222199</v>
      </c>
      <c r="K659">
        <v>0.238074345221928</v>
      </c>
      <c r="L659">
        <v>1573.9647815235801</v>
      </c>
      <c r="M659">
        <v>26.223163776805901</v>
      </c>
      <c r="N659">
        <v>61.292844987536903</v>
      </c>
      <c r="O659">
        <v>59.676132859612899</v>
      </c>
      <c r="P659">
        <v>-8.6818723035676199E-2</v>
      </c>
      <c r="Q659">
        <v>0.209714271912675</v>
      </c>
      <c r="R659">
        <v>0.985256851354952</v>
      </c>
      <c r="S659" t="s">
        <v>7662</v>
      </c>
      <c r="T659" t="s">
        <v>14004</v>
      </c>
      <c r="U659" t="s">
        <v>14004</v>
      </c>
      <c r="V659" t="s">
        <v>14004</v>
      </c>
      <c r="W659" t="s">
        <v>14654</v>
      </c>
      <c r="X659">
        <v>4</v>
      </c>
      <c r="Y659" t="s">
        <v>21592</v>
      </c>
      <c r="Z659" t="s">
        <v>28369</v>
      </c>
      <c r="AA659">
        <v>0.74274284356035958</v>
      </c>
      <c r="AB659" t="str">
        <f>HYPERLINK("Melting_Curves/meltCurve_F5GWI9_CCDC53.pdf", "Melting_Curves/meltCurve_F5GWI9_CCDC53.pdf")</f>
        <v>Melting_Curves/meltCurve_F5GWI9_CCDC53.pdf</v>
      </c>
    </row>
    <row r="660" spans="1:28" x14ac:dyDescent="0.25">
      <c r="A660" t="s">
        <v>664</v>
      </c>
      <c r="B660">
        <v>0.99999676499088797</v>
      </c>
      <c r="C660">
        <v>1.70243700524991</v>
      </c>
      <c r="D660">
        <v>1.84489295220192</v>
      </c>
      <c r="E660">
        <v>1.7762549867022399</v>
      </c>
      <c r="F660">
        <v>1.35668866651521</v>
      </c>
      <c r="G660">
        <v>0.83946179804421905</v>
      </c>
      <c r="H660">
        <v>0.26171411980508502</v>
      </c>
      <c r="I660">
        <v>0.64234637668735195</v>
      </c>
      <c r="J660">
        <v>0.61667546808340801</v>
      </c>
      <c r="K660">
        <v>0.80930535017407201</v>
      </c>
      <c r="L660">
        <v>14226.7161227945</v>
      </c>
      <c r="M660">
        <v>250</v>
      </c>
      <c r="O660">
        <v>56.903222688057397</v>
      </c>
      <c r="P660">
        <v>-0.45855230357820898</v>
      </c>
      <c r="Q660">
        <v>0.58251033793887497</v>
      </c>
      <c r="R660">
        <v>0.23690345949832201</v>
      </c>
      <c r="S660" t="s">
        <v>7663</v>
      </c>
      <c r="T660" t="s">
        <v>14004</v>
      </c>
      <c r="U660" t="s">
        <v>14004</v>
      </c>
      <c r="V660" t="s">
        <v>14004</v>
      </c>
      <c r="W660" t="s">
        <v>14655</v>
      </c>
      <c r="X660">
        <v>1</v>
      </c>
      <c r="Y660" t="s">
        <v>21593</v>
      </c>
      <c r="Z660" t="s">
        <v>28370</v>
      </c>
      <c r="AA660">
        <v>0.81783340433877227</v>
      </c>
      <c r="AB660" t="str">
        <f>HYPERLINK("Melting_Curves/meltCurve_F5GWJ5_ROBO3.pdf", "Melting_Curves/meltCurve_F5GWJ5_ROBO3.pdf")</f>
        <v>Melting_Curves/meltCurve_F5GWJ5_ROBO3.pdf</v>
      </c>
    </row>
    <row r="661" spans="1:28" x14ac:dyDescent="0.25">
      <c r="A661" t="s">
        <v>665</v>
      </c>
      <c r="B661">
        <v>0.99999676499088797</v>
      </c>
      <c r="C661">
        <v>0.98934981349023499</v>
      </c>
      <c r="D661">
        <v>0.92847818084832601</v>
      </c>
      <c r="E661">
        <v>0.837394476997253</v>
      </c>
      <c r="F661">
        <v>0.50051972267023404</v>
      </c>
      <c r="G661">
        <v>0.26614022039247198</v>
      </c>
      <c r="H661">
        <v>0.16773674184349399</v>
      </c>
      <c r="I661">
        <v>0.19659162270949199</v>
      </c>
      <c r="J661">
        <v>0.199339146240506</v>
      </c>
      <c r="K661">
        <v>0.22579881586762901</v>
      </c>
      <c r="L661">
        <v>1364.4244775147699</v>
      </c>
      <c r="M661">
        <v>26.169795622995501</v>
      </c>
      <c r="N661">
        <v>53.106815015059603</v>
      </c>
      <c r="O661">
        <v>51.835792794231303</v>
      </c>
      <c r="P661">
        <v>-0.102247692056135</v>
      </c>
      <c r="Q661">
        <v>0.18990108897722</v>
      </c>
      <c r="R661">
        <v>0.995439885440914</v>
      </c>
      <c r="S661" t="s">
        <v>7664</v>
      </c>
      <c r="T661" t="s">
        <v>14004</v>
      </c>
      <c r="U661" t="s">
        <v>14004</v>
      </c>
      <c r="V661" t="s">
        <v>14004</v>
      </c>
      <c r="W661" t="s">
        <v>14656</v>
      </c>
      <c r="X661">
        <v>29</v>
      </c>
      <c r="Y661" t="s">
        <v>21594</v>
      </c>
      <c r="Z661" t="s">
        <v>28371</v>
      </c>
      <c r="AA661">
        <v>0.5244303230972831</v>
      </c>
      <c r="AB661" t="str">
        <f>HYPERLINK("Melting_Curves/meltCurve_F5GWT4_WNK1.pdf", "Melting_Curves/meltCurve_F5GWT4_WNK1.pdf")</f>
        <v>Melting_Curves/meltCurve_F5GWT4_WNK1.pdf</v>
      </c>
    </row>
    <row r="662" spans="1:28" x14ac:dyDescent="0.25">
      <c r="A662" t="s">
        <v>666</v>
      </c>
      <c r="B662">
        <v>0.99999676499088797</v>
      </c>
      <c r="C662">
        <v>0.82318740734778795</v>
      </c>
      <c r="D662">
        <v>0.79555386929180405</v>
      </c>
      <c r="E662">
        <v>0.37978218101156602</v>
      </c>
      <c r="F662">
        <v>0.21327415721530901</v>
      </c>
      <c r="G662">
        <v>0.10309363391684399</v>
      </c>
      <c r="H662">
        <v>5.7819761684217798E-2</v>
      </c>
      <c r="I662">
        <v>6.1825606271457202E-2</v>
      </c>
      <c r="J662">
        <v>7.0624140884010103E-2</v>
      </c>
      <c r="K662">
        <v>7.9673280584716302E-2</v>
      </c>
      <c r="L662">
        <v>892.80974320779103</v>
      </c>
      <c r="M662">
        <v>18.503374498104499</v>
      </c>
      <c r="N662">
        <v>48.5671195577887</v>
      </c>
      <c r="O662">
        <v>47.698197686221597</v>
      </c>
      <c r="P662">
        <v>-9.1486595549461106E-2</v>
      </c>
      <c r="Q662">
        <v>5.6701228547140603E-2</v>
      </c>
      <c r="R662">
        <v>0.98758120995117804</v>
      </c>
      <c r="S662" t="s">
        <v>7665</v>
      </c>
      <c r="T662" t="s">
        <v>14004</v>
      </c>
      <c r="U662" t="s">
        <v>14004</v>
      </c>
      <c r="V662" t="s">
        <v>14004</v>
      </c>
      <c r="W662" t="s">
        <v>14657</v>
      </c>
      <c r="X662">
        <v>10</v>
      </c>
      <c r="Y662" t="s">
        <v>21595</v>
      </c>
      <c r="Z662" t="s">
        <v>28372</v>
      </c>
      <c r="AA662">
        <v>0.33184023217389208</v>
      </c>
      <c r="AB662" t="str">
        <f>HYPERLINK("Melting_Curves/meltCurve_F5GWU7_SMAD5.pdf", "Melting_Curves/meltCurve_F5GWU7_SMAD5.pdf")</f>
        <v>Melting_Curves/meltCurve_F5GWU7_SMAD5.pdf</v>
      </c>
    </row>
    <row r="663" spans="1:28" x14ac:dyDescent="0.25">
      <c r="A663" t="s">
        <v>667</v>
      </c>
      <c r="B663">
        <v>0.99999676499088797</v>
      </c>
      <c r="C663">
        <v>0.91742519652120402</v>
      </c>
      <c r="D663">
        <v>0.55123134135751795</v>
      </c>
      <c r="E663">
        <v>0.270441191176719</v>
      </c>
      <c r="F663">
        <v>0.20035571218974199</v>
      </c>
      <c r="G663">
        <v>0.14023903488839201</v>
      </c>
      <c r="H663">
        <v>7.04097211800227E-2</v>
      </c>
      <c r="I663">
        <v>6.6057032425583695E-2</v>
      </c>
      <c r="J663">
        <v>6.5099095466040702E-2</v>
      </c>
      <c r="K663">
        <v>5.5317012784758098E-2</v>
      </c>
      <c r="L663">
        <v>995.58383103447102</v>
      </c>
      <c r="M663">
        <v>21.4130129324686</v>
      </c>
      <c r="N663">
        <v>46.887876191038401</v>
      </c>
      <c r="O663">
        <v>46.094535917865201</v>
      </c>
      <c r="P663">
        <v>-0.106586941389772</v>
      </c>
      <c r="Q663">
        <v>8.2249098419040101E-2</v>
      </c>
      <c r="R663">
        <v>0.98996548145488505</v>
      </c>
      <c r="S663" t="s">
        <v>7666</v>
      </c>
      <c r="T663" t="s">
        <v>14004</v>
      </c>
      <c r="U663" t="s">
        <v>14004</v>
      </c>
      <c r="V663" t="s">
        <v>14004</v>
      </c>
      <c r="W663" t="s">
        <v>14658</v>
      </c>
      <c r="X663">
        <v>38</v>
      </c>
      <c r="Y663" t="s">
        <v>21596</v>
      </c>
      <c r="Z663" t="s">
        <v>28373</v>
      </c>
      <c r="AA663">
        <v>0.29271292755479777</v>
      </c>
      <c r="AB663" t="str">
        <f>HYPERLINK("Melting_Curves/meltCurve_F5GWX5_CHD4.pdf", "Melting_Curves/meltCurve_F5GWX5_CHD4.pdf")</f>
        <v>Melting_Curves/meltCurve_F5GWX5_CHD4.pdf</v>
      </c>
    </row>
    <row r="664" spans="1:28" x14ac:dyDescent="0.25">
      <c r="A664" t="s">
        <v>668</v>
      </c>
      <c r="B664">
        <v>0.99999676499088797</v>
      </c>
      <c r="C664">
        <v>0.98649259353719598</v>
      </c>
      <c r="D664">
        <v>0.93899219582391302</v>
      </c>
      <c r="E664">
        <v>0.94089928668360001</v>
      </c>
      <c r="F664">
        <v>0.94829587510278901</v>
      </c>
      <c r="G664">
        <v>0.87280150651509902</v>
      </c>
      <c r="H664">
        <v>0.68649528955276595</v>
      </c>
      <c r="I664">
        <v>0.741414383884477</v>
      </c>
      <c r="J664">
        <v>0.723309951207732</v>
      </c>
      <c r="K664">
        <v>0.66189520206076802</v>
      </c>
      <c r="S664" t="s">
        <v>7667</v>
      </c>
      <c r="T664" t="s">
        <v>14004</v>
      </c>
      <c r="U664" t="s">
        <v>14005</v>
      </c>
      <c r="V664" t="s">
        <v>14004</v>
      </c>
      <c r="W664" t="s">
        <v>14659</v>
      </c>
      <c r="X664">
        <v>6</v>
      </c>
      <c r="Y664" t="s">
        <v>21597</v>
      </c>
      <c r="Z664" t="s">
        <v>28374</v>
      </c>
      <c r="AB664" t="str">
        <f>HYPERLINK("Melting_Curves/meltCurve_F5GWY5_PODXL.pdf", "Melting_Curves/meltCurve_F5GWY5_PODXL.pdf")</f>
        <v>Melting_Curves/meltCurve_F5GWY5_PODXL.pdf</v>
      </c>
    </row>
    <row r="665" spans="1:28" x14ac:dyDescent="0.25">
      <c r="A665" t="s">
        <v>669</v>
      </c>
      <c r="B665">
        <v>0.99999676499088797</v>
      </c>
      <c r="C665">
        <v>1.09967848716809</v>
      </c>
      <c r="D665">
        <v>1.0993290796484001</v>
      </c>
      <c r="E665">
        <v>1.1208532913903599</v>
      </c>
      <c r="F665">
        <v>0.51318873381321695</v>
      </c>
      <c r="G665">
        <v>0.31834871780976398</v>
      </c>
      <c r="H665">
        <v>0.14519950728594899</v>
      </c>
      <c r="I665">
        <v>0.128735193185257</v>
      </c>
      <c r="J665">
        <v>0.12216224740825</v>
      </c>
      <c r="K665">
        <v>0.111143895305937</v>
      </c>
      <c r="L665">
        <v>3175.7508451511799</v>
      </c>
      <c r="M665">
        <v>59.923507914116399</v>
      </c>
      <c r="N665">
        <v>53.339713702976503</v>
      </c>
      <c r="O665">
        <v>52.937822996713102</v>
      </c>
      <c r="P665">
        <v>-0.237746433511034</v>
      </c>
      <c r="Q665">
        <v>0.15987746776469999</v>
      </c>
      <c r="R665">
        <v>0.96641631007518003</v>
      </c>
      <c r="S665" t="s">
        <v>7668</v>
      </c>
      <c r="T665" t="s">
        <v>14004</v>
      </c>
      <c r="U665" t="s">
        <v>14004</v>
      </c>
      <c r="V665" t="s">
        <v>14004</v>
      </c>
      <c r="W665" t="s">
        <v>14660</v>
      </c>
      <c r="X665">
        <v>10</v>
      </c>
      <c r="Y665" t="s">
        <v>21598</v>
      </c>
      <c r="Z665" t="s">
        <v>28375</v>
      </c>
      <c r="AA665">
        <v>0.5252043938495512</v>
      </c>
      <c r="AB665" t="str">
        <f>HYPERLINK("Melting_Curves/meltCurve_F5GX09_FAM76B.pdf", "Melting_Curves/meltCurve_F5GX09_FAM76B.pdf")</f>
        <v>Melting_Curves/meltCurve_F5GX09_FAM76B.pdf</v>
      </c>
    </row>
    <row r="666" spans="1:28" x14ac:dyDescent="0.25">
      <c r="A666" t="s">
        <v>670</v>
      </c>
      <c r="B666">
        <v>0.99999676499088797</v>
      </c>
      <c r="C666">
        <v>0.893952392629492</v>
      </c>
      <c r="D666">
        <v>0.769207466241005</v>
      </c>
      <c r="E666">
        <v>0.45250031011762798</v>
      </c>
      <c r="F666">
        <v>0.300248849809993</v>
      </c>
      <c r="G666">
        <v>0.238280813126591</v>
      </c>
      <c r="H666">
        <v>0.13504539338448099</v>
      </c>
      <c r="I666">
        <v>0.16405716641656201</v>
      </c>
      <c r="J666">
        <v>0.170107138700484</v>
      </c>
      <c r="K666">
        <v>7.8792221512407404E-2</v>
      </c>
      <c r="L666">
        <v>797.26891610855603</v>
      </c>
      <c r="M666">
        <v>16.445644289943299</v>
      </c>
      <c r="N666">
        <v>49.374029537099098</v>
      </c>
      <c r="O666">
        <v>47.779247206652997</v>
      </c>
      <c r="P666">
        <v>-7.4964485817032994E-2</v>
      </c>
      <c r="Q666">
        <v>0.128889528737682</v>
      </c>
      <c r="R666">
        <v>0.99150693795686295</v>
      </c>
      <c r="S666" t="s">
        <v>7669</v>
      </c>
      <c r="T666" t="s">
        <v>14004</v>
      </c>
      <c r="U666" t="s">
        <v>14004</v>
      </c>
      <c r="V666" t="s">
        <v>14004</v>
      </c>
      <c r="W666" t="s">
        <v>14661</v>
      </c>
      <c r="X666">
        <v>4</v>
      </c>
      <c r="Y666" t="s">
        <v>21599</v>
      </c>
      <c r="Z666" t="s">
        <v>28376</v>
      </c>
      <c r="AA666">
        <v>0.393407941224306</v>
      </c>
      <c r="AB666" t="str">
        <f>HYPERLINK("Melting_Curves/meltCurve_F5GX28_KDM4B.pdf", "Melting_Curves/meltCurve_F5GX28_KDM4B.pdf")</f>
        <v>Melting_Curves/meltCurve_F5GX28_KDM4B.pdf</v>
      </c>
    </row>
    <row r="667" spans="1:28" x14ac:dyDescent="0.25">
      <c r="A667" t="s">
        <v>671</v>
      </c>
      <c r="B667">
        <v>0.99999676499088797</v>
      </c>
      <c r="C667">
        <v>1.05923699240608</v>
      </c>
      <c r="D667">
        <v>1.0504842558918199</v>
      </c>
      <c r="E667">
        <v>0.94584193712131304</v>
      </c>
      <c r="F667">
        <v>0.12546761451729799</v>
      </c>
      <c r="G667">
        <v>3.8381175667404697E-2</v>
      </c>
      <c r="H667">
        <v>0</v>
      </c>
      <c r="I667">
        <v>0</v>
      </c>
      <c r="J667">
        <v>0</v>
      </c>
      <c r="K667">
        <v>0</v>
      </c>
      <c r="L667">
        <v>3543.1708394963898</v>
      </c>
      <c r="M667">
        <v>68.592240715000102</v>
      </c>
      <c r="N667">
        <v>51.666339575193597</v>
      </c>
      <c r="O667">
        <v>51.611716631499</v>
      </c>
      <c r="P667">
        <v>-0.32988962662148802</v>
      </c>
      <c r="Q667">
        <v>7.10849088235504E-3</v>
      </c>
      <c r="R667">
        <v>0.99697026464676197</v>
      </c>
      <c r="S667" t="s">
        <v>7670</v>
      </c>
      <c r="T667" t="s">
        <v>14004</v>
      </c>
      <c r="U667" t="s">
        <v>14004</v>
      </c>
      <c r="V667" t="s">
        <v>14004</v>
      </c>
      <c r="W667" t="s">
        <v>14662</v>
      </c>
      <c r="X667">
        <v>78</v>
      </c>
      <c r="Y667" t="s">
        <v>21600</v>
      </c>
      <c r="Z667" t="s">
        <v>28377</v>
      </c>
      <c r="AA667">
        <v>0.39406445808427731</v>
      </c>
      <c r="AB667" t="str">
        <f>HYPERLINK("Melting_Curves/meltCurve_F5GX68_DNMT1.pdf", "Melting_Curves/meltCurve_F5GX68_DNMT1.pdf")</f>
        <v>Melting_Curves/meltCurve_F5GX68_DNMT1.pdf</v>
      </c>
    </row>
    <row r="668" spans="1:28" x14ac:dyDescent="0.25">
      <c r="A668" t="s">
        <v>672</v>
      </c>
      <c r="B668">
        <v>0.99999676499088797</v>
      </c>
      <c r="C668">
        <v>0.96627085126541601</v>
      </c>
      <c r="D668">
        <v>0.98728843952064005</v>
      </c>
      <c r="E668">
        <v>1.1684362389874601</v>
      </c>
      <c r="F668">
        <v>0.537370816108248</v>
      </c>
      <c r="G668">
        <v>0.241488015634443</v>
      </c>
      <c r="H668">
        <v>9.6695217689146504E-2</v>
      </c>
      <c r="I668">
        <v>9.3934260895841101E-2</v>
      </c>
      <c r="J668">
        <v>8.0004888812138103E-2</v>
      </c>
      <c r="K668">
        <v>6.0092148786688199E-2</v>
      </c>
      <c r="L668">
        <v>3461.9275904637698</v>
      </c>
      <c r="M668">
        <v>65.092926769285299</v>
      </c>
      <c r="N668">
        <v>53.3885833501581</v>
      </c>
      <c r="O668">
        <v>53.134260240028297</v>
      </c>
      <c r="P668">
        <v>-0.27251618134438499</v>
      </c>
      <c r="Q668">
        <v>0.110198780490337</v>
      </c>
      <c r="R668">
        <v>0.973711525573279</v>
      </c>
      <c r="S668" t="s">
        <v>7671</v>
      </c>
      <c r="T668" t="s">
        <v>14004</v>
      </c>
      <c r="U668" t="s">
        <v>14004</v>
      </c>
      <c r="V668" t="s">
        <v>14004</v>
      </c>
      <c r="W668" t="s">
        <v>14663</v>
      </c>
      <c r="X668">
        <v>6</v>
      </c>
      <c r="Y668" t="s">
        <v>21601</v>
      </c>
      <c r="Z668" t="s">
        <v>28378</v>
      </c>
      <c r="AA668">
        <v>0.50247713942685623</v>
      </c>
      <c r="AB668" t="str">
        <f>HYPERLINK("Melting_Curves/meltCurve_F5GX82_FRYL.pdf", "Melting_Curves/meltCurve_F5GX82_FRYL.pdf")</f>
        <v>Melting_Curves/meltCurve_F5GX82_FRYL.pdf</v>
      </c>
    </row>
    <row r="669" spans="1:28" x14ac:dyDescent="0.25">
      <c r="A669" t="s">
        <v>673</v>
      </c>
      <c r="B669">
        <v>0.99999676499088797</v>
      </c>
      <c r="C669">
        <v>0.97881573951313405</v>
      </c>
      <c r="D669">
        <v>1.0022160451503599</v>
      </c>
      <c r="E669">
        <v>0.754671913535921</v>
      </c>
      <c r="F669">
        <v>0.62511444833836405</v>
      </c>
      <c r="G669">
        <v>0.55776589041917601</v>
      </c>
      <c r="H669">
        <v>0.42577631555164802</v>
      </c>
      <c r="I669">
        <v>0.31955559380683801</v>
      </c>
      <c r="J669">
        <v>0.27451116888848998</v>
      </c>
      <c r="K669">
        <v>0.22582330747573801</v>
      </c>
      <c r="L669">
        <v>588.42036256142001</v>
      </c>
      <c r="M669">
        <v>10.623862482421</v>
      </c>
      <c r="N669">
        <v>57.492860301626102</v>
      </c>
      <c r="O669">
        <v>53.532352053182002</v>
      </c>
      <c r="P669">
        <v>-4.1632521298679302E-2</v>
      </c>
      <c r="Q669">
        <v>0.16119874146565299</v>
      </c>
      <c r="R669">
        <v>0.98124852112128202</v>
      </c>
      <c r="S669" t="s">
        <v>7672</v>
      </c>
      <c r="T669" t="s">
        <v>14004</v>
      </c>
      <c r="U669" t="s">
        <v>14004</v>
      </c>
      <c r="V669" t="s">
        <v>14004</v>
      </c>
      <c r="W669" t="s">
        <v>14664</v>
      </c>
      <c r="X669">
        <v>16</v>
      </c>
      <c r="Y669" t="s">
        <v>21602</v>
      </c>
      <c r="Z669" t="s">
        <v>28379</v>
      </c>
      <c r="AA669">
        <v>0.6112396539288858</v>
      </c>
      <c r="AB669" t="str">
        <f>HYPERLINK("Melting_Curves/meltCurve_F5GXA6_HLA_C.pdf", "Melting_Curves/meltCurve_F5GXA6_HLA_C.pdf")</f>
        <v>Melting_Curves/meltCurve_F5GXA6_HLA_C.pdf</v>
      </c>
    </row>
    <row r="670" spans="1:28" x14ac:dyDescent="0.25">
      <c r="A670" t="s">
        <v>674</v>
      </c>
      <c r="B670">
        <v>0.99999676499088797</v>
      </c>
      <c r="C670">
        <v>1.0786769153635001</v>
      </c>
      <c r="D670">
        <v>0.87246284468492497</v>
      </c>
      <c r="E670">
        <v>0.41388997306832198</v>
      </c>
      <c r="F670">
        <v>0.35236440041094702</v>
      </c>
      <c r="G670">
        <v>0.20099807546135701</v>
      </c>
      <c r="H670">
        <v>9.0668172581499298E-2</v>
      </c>
      <c r="I670">
        <v>0.104733354716702</v>
      </c>
      <c r="J670">
        <v>0.115272305474564</v>
      </c>
      <c r="K670">
        <v>9.8307947579341803E-2</v>
      </c>
      <c r="L670">
        <v>1115.62267797958</v>
      </c>
      <c r="M670">
        <v>22.738666626356601</v>
      </c>
      <c r="N670">
        <v>49.661780913516303</v>
      </c>
      <c r="O670">
        <v>48.688061246119901</v>
      </c>
      <c r="P670">
        <v>-0.102756205955368</v>
      </c>
      <c r="Q670">
        <v>0.11993036228379</v>
      </c>
      <c r="R670">
        <v>0.97408862334325497</v>
      </c>
      <c r="S670" t="s">
        <v>7673</v>
      </c>
      <c r="T670" t="s">
        <v>14004</v>
      </c>
      <c r="U670" t="s">
        <v>14004</v>
      </c>
      <c r="V670" t="s">
        <v>14004</v>
      </c>
      <c r="W670" t="s">
        <v>14665</v>
      </c>
      <c r="X670">
        <v>3</v>
      </c>
      <c r="Y670" t="s">
        <v>21603</v>
      </c>
      <c r="Z670" t="s">
        <v>28380</v>
      </c>
      <c r="AA670">
        <v>0.39527411230670989</v>
      </c>
      <c r="AB670" t="str">
        <f>HYPERLINK("Melting_Curves/meltCurve_F5GXC3_TRAPPC13.pdf", "Melting_Curves/meltCurve_F5GXC3_TRAPPC13.pdf")</f>
        <v>Melting_Curves/meltCurve_F5GXC3_TRAPPC13.pdf</v>
      </c>
    </row>
    <row r="671" spans="1:28" x14ac:dyDescent="0.25">
      <c r="A671" t="s">
        <v>675</v>
      </c>
      <c r="B671">
        <v>0.99999676499088797</v>
      </c>
      <c r="C671">
        <v>1.0013943274766299</v>
      </c>
      <c r="D671">
        <v>0.97681592098275205</v>
      </c>
      <c r="E671">
        <v>0.93207240225752797</v>
      </c>
      <c r="F671">
        <v>0.19486876239220899</v>
      </c>
      <c r="G671">
        <v>0.143560340124265</v>
      </c>
      <c r="H671">
        <v>6.9040056779143502E-2</v>
      </c>
      <c r="I671">
        <v>6.9624664398654404E-2</v>
      </c>
      <c r="J671">
        <v>7.0376755746370395E-2</v>
      </c>
      <c r="K671">
        <v>5.5998721910147799E-2</v>
      </c>
      <c r="L671">
        <v>3230.8379693863799</v>
      </c>
      <c r="M671">
        <v>62.650334479733402</v>
      </c>
      <c r="N671">
        <v>51.71440771668</v>
      </c>
      <c r="O671">
        <v>51.516902789230102</v>
      </c>
      <c r="P671">
        <v>-0.27953250232807197</v>
      </c>
      <c r="Q671">
        <v>8.0570395586379004E-2</v>
      </c>
      <c r="R671">
        <v>0.99725788875644905</v>
      </c>
      <c r="S671" t="s">
        <v>7674</v>
      </c>
      <c r="T671" t="s">
        <v>14004</v>
      </c>
      <c r="U671" t="s">
        <v>14004</v>
      </c>
      <c r="V671" t="s">
        <v>14004</v>
      </c>
      <c r="W671" t="s">
        <v>14666</v>
      </c>
      <c r="X671">
        <v>24</v>
      </c>
      <c r="Y671" t="s">
        <v>21604</v>
      </c>
      <c r="Z671" t="s">
        <v>28381</v>
      </c>
      <c r="AA671">
        <v>0.43647369426764521</v>
      </c>
      <c r="AB671" t="str">
        <f>HYPERLINK("Melting_Curves/meltCurve_F5GXC8_SUCLA2.pdf", "Melting_Curves/meltCurve_F5GXC8_SUCLA2.pdf")</f>
        <v>Melting_Curves/meltCurve_F5GXC8_SUCLA2.pdf</v>
      </c>
    </row>
    <row r="672" spans="1:28" x14ac:dyDescent="0.25">
      <c r="A672" t="s">
        <v>676</v>
      </c>
      <c r="B672">
        <v>0.99999676499088797</v>
      </c>
      <c r="C672">
        <v>0.93164421097737105</v>
      </c>
      <c r="D672">
        <v>0.97292466598764604</v>
      </c>
      <c r="E672">
        <v>0.79298957813380699</v>
      </c>
      <c r="F672">
        <v>0.26979175545106499</v>
      </c>
      <c r="G672">
        <v>0.20895130767947301</v>
      </c>
      <c r="H672">
        <v>9.3948438372427001E-2</v>
      </c>
      <c r="I672">
        <v>0.123352525463716</v>
      </c>
      <c r="J672">
        <v>0.11975979586386901</v>
      </c>
      <c r="K672">
        <v>9.1428311116285202E-2</v>
      </c>
      <c r="L672">
        <v>1854.9184434200999</v>
      </c>
      <c r="M672">
        <v>36.2831371963414</v>
      </c>
      <c r="N672">
        <v>51.509090344360402</v>
      </c>
      <c r="O672">
        <v>50.968879420554401</v>
      </c>
      <c r="P672">
        <v>-0.15679915863640301</v>
      </c>
      <c r="Q672">
        <v>0.11894579488785401</v>
      </c>
      <c r="R672">
        <v>0.99238622126061604</v>
      </c>
      <c r="S672" t="s">
        <v>7675</v>
      </c>
      <c r="T672" t="s">
        <v>14004</v>
      </c>
      <c r="U672" t="s">
        <v>14004</v>
      </c>
      <c r="V672" t="s">
        <v>14004</v>
      </c>
      <c r="W672" t="s">
        <v>14667</v>
      </c>
      <c r="X672">
        <v>7</v>
      </c>
      <c r="Y672" t="s">
        <v>21605</v>
      </c>
      <c r="Z672" t="s">
        <v>28382</v>
      </c>
      <c r="AA672">
        <v>0.44941265574629707</v>
      </c>
      <c r="AB672" t="str">
        <f>HYPERLINK("Melting_Curves/meltCurve_F5GXE4_ATE1.pdf", "Melting_Curves/meltCurve_F5GXE4_ATE1.pdf")</f>
        <v>Melting_Curves/meltCurve_F5GXE4_ATE1.pdf</v>
      </c>
    </row>
    <row r="673" spans="1:28" x14ac:dyDescent="0.25">
      <c r="A673" t="s">
        <v>677</v>
      </c>
      <c r="B673">
        <v>0.99999676499088797</v>
      </c>
      <c r="C673">
        <v>0.99213384868813304</v>
      </c>
      <c r="D673">
        <v>0.90607232819179495</v>
      </c>
      <c r="E673">
        <v>0.78427067142531004</v>
      </c>
      <c r="F673">
        <v>0.42670917822334897</v>
      </c>
      <c r="G673">
        <v>0.29489903309389698</v>
      </c>
      <c r="H673">
        <v>0.120903082278323</v>
      </c>
      <c r="I673">
        <v>0.107992872932736</v>
      </c>
      <c r="J673">
        <v>6.1998640238321898E-2</v>
      </c>
      <c r="K673">
        <v>6.5362235650120407E-2</v>
      </c>
      <c r="L673">
        <v>915.41218652131295</v>
      </c>
      <c r="M673">
        <v>17.4360523690655</v>
      </c>
      <c r="N673">
        <v>52.852533290705999</v>
      </c>
      <c r="O673">
        <v>51.825142144274899</v>
      </c>
      <c r="P673">
        <v>-7.9510931424550096E-2</v>
      </c>
      <c r="Q673">
        <v>5.4732540149759201E-2</v>
      </c>
      <c r="R673">
        <v>0.99577330419747201</v>
      </c>
      <c r="S673" t="s">
        <v>7676</v>
      </c>
      <c r="T673" t="s">
        <v>14004</v>
      </c>
      <c r="U673" t="s">
        <v>14004</v>
      </c>
      <c r="V673" t="s">
        <v>14004</v>
      </c>
      <c r="W673" t="s">
        <v>14668</v>
      </c>
      <c r="X673">
        <v>6</v>
      </c>
      <c r="Y673" t="s">
        <v>21606</v>
      </c>
      <c r="Z673" t="s">
        <v>28383</v>
      </c>
      <c r="AA673">
        <v>0.46507865034173429</v>
      </c>
      <c r="AB673" t="str">
        <f>HYPERLINK("Melting_Curves/meltCurve_F5GXF9_AFF1.pdf", "Melting_Curves/meltCurve_F5GXF9_AFF1.pdf")</f>
        <v>Melting_Curves/meltCurve_F5GXF9_AFF1.pdf</v>
      </c>
    </row>
    <row r="674" spans="1:28" x14ac:dyDescent="0.25">
      <c r="A674" t="s">
        <v>678</v>
      </c>
      <c r="B674">
        <v>0.99999676499088797</v>
      </c>
      <c r="C674">
        <v>0.99595109989610897</v>
      </c>
      <c r="D674">
        <v>0.90349328600358003</v>
      </c>
      <c r="E674">
        <v>0.73700179041184499</v>
      </c>
      <c r="F674">
        <v>0.55883129808451204</v>
      </c>
      <c r="G674">
        <v>0.45031295389513498</v>
      </c>
      <c r="H674">
        <v>0.242487235941582</v>
      </c>
      <c r="I674">
        <v>0.29096537335801997</v>
      </c>
      <c r="J674">
        <v>0.263811690831667</v>
      </c>
      <c r="K674">
        <v>0.292246900722551</v>
      </c>
      <c r="L674">
        <v>806.25741068938896</v>
      </c>
      <c r="M674">
        <v>15.5326030738693</v>
      </c>
      <c r="N674">
        <v>54.286423470347202</v>
      </c>
      <c r="O674">
        <v>51.069874450259199</v>
      </c>
      <c r="P674">
        <v>-5.7270412002259997E-2</v>
      </c>
      <c r="Q674">
        <v>0.24686545797549</v>
      </c>
      <c r="R674">
        <v>0.98874981857565902</v>
      </c>
      <c r="S674" t="s">
        <v>7677</v>
      </c>
      <c r="T674" t="s">
        <v>14004</v>
      </c>
      <c r="U674" t="s">
        <v>14004</v>
      </c>
      <c r="V674" t="s">
        <v>14004</v>
      </c>
      <c r="W674" t="s">
        <v>14669</v>
      </c>
      <c r="X674">
        <v>6</v>
      </c>
      <c r="Y674" t="s">
        <v>21607</v>
      </c>
      <c r="Z674" t="s">
        <v>28384</v>
      </c>
      <c r="AA674">
        <v>0.56179307987201699</v>
      </c>
      <c r="AB674" t="str">
        <f>HYPERLINK("Melting_Curves/meltCurve_F5GXI4_PTPRK.pdf", "Melting_Curves/meltCurve_F5GXI4_PTPRK.pdf")</f>
        <v>Melting_Curves/meltCurve_F5GXI4_PTPRK.pdf</v>
      </c>
    </row>
    <row r="675" spans="1:28" x14ac:dyDescent="0.25">
      <c r="A675" t="s">
        <v>679</v>
      </c>
      <c r="B675">
        <v>0.99999676499088797</v>
      </c>
      <c r="C675">
        <v>1.0481786478920401</v>
      </c>
      <c r="D675">
        <v>0.86321017905782405</v>
      </c>
      <c r="E675">
        <v>0.59059917565622899</v>
      </c>
      <c r="F675">
        <v>0.58833858317035204</v>
      </c>
      <c r="G675">
        <v>0.48986974828589103</v>
      </c>
      <c r="H675">
        <v>0.24067658265216799</v>
      </c>
      <c r="I675">
        <v>0.32653991727631498</v>
      </c>
      <c r="J675">
        <v>0.240681346902339</v>
      </c>
      <c r="K675">
        <v>3.4598747793678601E-2</v>
      </c>
      <c r="L675">
        <v>480.94008116649002</v>
      </c>
      <c r="M675">
        <v>8.7301295963886698</v>
      </c>
      <c r="N675">
        <v>55.137046260420703</v>
      </c>
      <c r="O675">
        <v>52.428277748440301</v>
      </c>
      <c r="P675">
        <v>-4.1507183231359601E-2</v>
      </c>
      <c r="Q675">
        <v>3.7355278693122699E-3</v>
      </c>
      <c r="R675">
        <v>0.93725518365370197</v>
      </c>
      <c r="S675" t="s">
        <v>7678</v>
      </c>
      <c r="T675" t="s">
        <v>14004</v>
      </c>
      <c r="U675" t="s">
        <v>14004</v>
      </c>
      <c r="V675" t="s">
        <v>14004</v>
      </c>
      <c r="W675" t="s">
        <v>14670</v>
      </c>
      <c r="X675">
        <v>3</v>
      </c>
      <c r="Y675" t="s">
        <v>21608</v>
      </c>
      <c r="Z675" t="s">
        <v>28385</v>
      </c>
      <c r="AA675">
        <v>0.53109046312646102</v>
      </c>
      <c r="AB675" t="str">
        <f>HYPERLINK("Melting_Curves/meltCurve_F5GXJ4_STIM2.pdf", "Melting_Curves/meltCurve_F5GXJ4_STIM2.pdf")</f>
        <v>Melting_Curves/meltCurve_F5GXJ4_STIM2.pdf</v>
      </c>
    </row>
    <row r="676" spans="1:28" x14ac:dyDescent="0.25">
      <c r="A676" t="s">
        <v>680</v>
      </c>
      <c r="B676">
        <v>0.99999676499088797</v>
      </c>
      <c r="C676">
        <v>1.0010338790739799</v>
      </c>
      <c r="D676">
        <v>1.0093361729140899</v>
      </c>
      <c r="E676">
        <v>0.92410661923646098</v>
      </c>
      <c r="F676">
        <v>0.72820053659334805</v>
      </c>
      <c r="G676">
        <v>0.80355394741262998</v>
      </c>
      <c r="H676">
        <v>0.51939488100130504</v>
      </c>
      <c r="I676">
        <v>0.36424851719600099</v>
      </c>
      <c r="J676">
        <v>0.28251139470660402</v>
      </c>
      <c r="K676">
        <v>0.21537756730985</v>
      </c>
      <c r="L676">
        <v>655.33104522404801</v>
      </c>
      <c r="M676">
        <v>10.6822912369893</v>
      </c>
      <c r="N676">
        <v>61.347423586982501</v>
      </c>
      <c r="O676">
        <v>59.314727532185302</v>
      </c>
      <c r="P676">
        <v>-4.5040776274792603E-2</v>
      </c>
      <c r="Q676">
        <v>0</v>
      </c>
      <c r="R676">
        <v>0.97249295583848405</v>
      </c>
      <c r="S676" t="s">
        <v>7679</v>
      </c>
      <c r="T676" t="s">
        <v>14004</v>
      </c>
      <c r="U676" t="s">
        <v>14004</v>
      </c>
      <c r="V676" t="s">
        <v>14004</v>
      </c>
      <c r="W676" t="s">
        <v>14671</v>
      </c>
      <c r="X676">
        <v>3</v>
      </c>
      <c r="Y676" t="s">
        <v>21609</v>
      </c>
      <c r="Z676" t="s">
        <v>28386</v>
      </c>
      <c r="AA676">
        <v>0.69985443080516696</v>
      </c>
      <c r="AB676" t="str">
        <f>HYPERLINK("Melting_Curves/meltCurve_F5GXK8_DNAJB11.pdf", "Melting_Curves/meltCurve_F5GXK8_DNAJB11.pdf")</f>
        <v>Melting_Curves/meltCurve_F5GXK8_DNAJB11.pdf</v>
      </c>
    </row>
    <row r="677" spans="1:28" x14ac:dyDescent="0.25">
      <c r="A677" t="s">
        <v>681</v>
      </c>
      <c r="B677">
        <v>0.99999676499088797</v>
      </c>
      <c r="C677">
        <v>0.88445175262312203</v>
      </c>
      <c r="D677">
        <v>0.67329202689928802</v>
      </c>
      <c r="E677">
        <v>0.40254139213555001</v>
      </c>
      <c r="F677">
        <v>0.33910351573487502</v>
      </c>
      <c r="G677">
        <v>0.19455694377246399</v>
      </c>
      <c r="H677">
        <v>7.6411923967492495E-2</v>
      </c>
      <c r="I677">
        <v>6.3897089699552198E-2</v>
      </c>
      <c r="J677">
        <v>0.10434271275170701</v>
      </c>
      <c r="K677">
        <v>9.0634246939275603E-2</v>
      </c>
      <c r="L677">
        <v>678.69007718315299</v>
      </c>
      <c r="M677">
        <v>14.0454749259896</v>
      </c>
      <c r="N677">
        <v>48.836233131569202</v>
      </c>
      <c r="O677">
        <v>47.3729896821092</v>
      </c>
      <c r="P677">
        <v>-6.90256858018055E-2</v>
      </c>
      <c r="Q677">
        <v>6.8873779736385601E-2</v>
      </c>
      <c r="R677">
        <v>0.98742743483442597</v>
      </c>
      <c r="S677" t="s">
        <v>7680</v>
      </c>
      <c r="T677" t="s">
        <v>14004</v>
      </c>
      <c r="U677" t="s">
        <v>14004</v>
      </c>
      <c r="V677" t="s">
        <v>14004</v>
      </c>
      <c r="W677" t="s">
        <v>14672</v>
      </c>
      <c r="X677">
        <v>1</v>
      </c>
      <c r="Y677" t="s">
        <v>21610</v>
      </c>
      <c r="Z677" t="s">
        <v>28387</v>
      </c>
      <c r="AA677">
        <v>0.3539323161008231</v>
      </c>
      <c r="AB677" t="str">
        <f>HYPERLINK("Melting_Curves/meltCurve_F5GXU7_SH2B1.pdf", "Melting_Curves/meltCurve_F5GXU7_SH2B1.pdf")</f>
        <v>Melting_Curves/meltCurve_F5GXU7_SH2B1.pdf</v>
      </c>
    </row>
    <row r="678" spans="1:28" x14ac:dyDescent="0.25">
      <c r="A678" t="s">
        <v>682</v>
      </c>
      <c r="B678">
        <v>0.99999676499088797</v>
      </c>
      <c r="C678">
        <v>0.94448061564344499</v>
      </c>
      <c r="D678">
        <v>0.99238119095160404</v>
      </c>
      <c r="E678">
        <v>1.2457753379131</v>
      </c>
      <c r="F678">
        <v>0.94691738684391602</v>
      </c>
      <c r="G678">
        <v>0.77473165195302096</v>
      </c>
      <c r="H678">
        <v>0.48894276606339898</v>
      </c>
      <c r="I678">
        <v>0.66140588914303799</v>
      </c>
      <c r="J678">
        <v>0.60970407176415897</v>
      </c>
      <c r="K678">
        <v>0.56933160368312297</v>
      </c>
      <c r="L678">
        <v>14191.037463292399</v>
      </c>
      <c r="M678">
        <v>250</v>
      </c>
      <c r="O678">
        <v>56.760517342942002</v>
      </c>
      <c r="P678">
        <v>-0.45988604690297202</v>
      </c>
      <c r="Q678">
        <v>0.58234608157207302</v>
      </c>
      <c r="R678">
        <v>0.84143324323393198</v>
      </c>
      <c r="S678" t="s">
        <v>7681</v>
      </c>
      <c r="T678" t="s">
        <v>14004</v>
      </c>
      <c r="U678" t="s">
        <v>14004</v>
      </c>
      <c r="V678" t="s">
        <v>14004</v>
      </c>
      <c r="W678" t="s">
        <v>14673</v>
      </c>
      <c r="X678">
        <v>2</v>
      </c>
      <c r="Y678" t="s">
        <v>21611</v>
      </c>
      <c r="Z678" t="s">
        <v>28388</v>
      </c>
      <c r="AA678">
        <v>0.81577478418174298</v>
      </c>
      <c r="AB678" t="str">
        <f>HYPERLINK("Melting_Curves/meltCurve_F5GXX5_DAD1.pdf", "Melting_Curves/meltCurve_F5GXX5_DAD1.pdf")</f>
        <v>Melting_Curves/meltCurve_F5GXX5_DAD1.pdf</v>
      </c>
    </row>
    <row r="679" spans="1:28" x14ac:dyDescent="0.25">
      <c r="A679" t="s">
        <v>683</v>
      </c>
      <c r="B679">
        <v>0.99999676499088797</v>
      </c>
      <c r="C679">
        <v>0.878799300354975</v>
      </c>
      <c r="D679">
        <v>0.89888799515124995</v>
      </c>
      <c r="E679">
        <v>0.62224527938165597</v>
      </c>
      <c r="F679">
        <v>0.49245768716763599</v>
      </c>
      <c r="G679">
        <v>0.49421080970233799</v>
      </c>
      <c r="H679">
        <v>0.42013821170021698</v>
      </c>
      <c r="I679">
        <v>0.47777095537929298</v>
      </c>
      <c r="J679">
        <v>0.50473086390236099</v>
      </c>
      <c r="K679">
        <v>0.53339469526642103</v>
      </c>
      <c r="L679">
        <v>1224.16827202082</v>
      </c>
      <c r="M679">
        <v>25.599338664594701</v>
      </c>
      <c r="N679">
        <v>54.634441824763101</v>
      </c>
      <c r="O679">
        <v>47.531356753895899</v>
      </c>
      <c r="P679">
        <v>-7.0087104169668096E-2</v>
      </c>
      <c r="Q679">
        <v>0.47947180993404698</v>
      </c>
      <c r="R679">
        <v>0.95418614362509901</v>
      </c>
      <c r="S679" t="s">
        <v>7682</v>
      </c>
      <c r="T679" t="s">
        <v>14004</v>
      </c>
      <c r="U679" t="s">
        <v>14004</v>
      </c>
      <c r="V679" t="s">
        <v>14004</v>
      </c>
      <c r="W679" t="s">
        <v>14674</v>
      </c>
      <c r="X679">
        <v>7</v>
      </c>
      <c r="Y679" t="s">
        <v>21612</v>
      </c>
      <c r="Z679" t="s">
        <v>28389</v>
      </c>
      <c r="AA679">
        <v>0.6195380671594598</v>
      </c>
      <c r="AB679" t="str">
        <f>HYPERLINK("Melting_Curves/meltCurve_F5GY92_GPBP1.pdf", "Melting_Curves/meltCurve_F5GY92_GPBP1.pdf")</f>
        <v>Melting_Curves/meltCurve_F5GY92_GPBP1.pdf</v>
      </c>
    </row>
    <row r="680" spans="1:28" x14ac:dyDescent="0.25">
      <c r="A680" t="s">
        <v>684</v>
      </c>
      <c r="B680">
        <v>0.99999676499088797</v>
      </c>
      <c r="C680">
        <v>0.97903063442031402</v>
      </c>
      <c r="D680">
        <v>0.96326104044935001</v>
      </c>
      <c r="E680">
        <v>1.00332842966975</v>
      </c>
      <c r="F680">
        <v>0.49877709657643599</v>
      </c>
      <c r="G680">
        <v>0.25920469234433602</v>
      </c>
      <c r="H680">
        <v>0.118531511576891</v>
      </c>
      <c r="I680">
        <v>9.7428026478505694E-2</v>
      </c>
      <c r="J680">
        <v>7.3845650651478204E-2</v>
      </c>
      <c r="K680">
        <v>7.1253898853570002E-2</v>
      </c>
      <c r="L680">
        <v>1754.50563461553</v>
      </c>
      <c r="M680">
        <v>32.9783906761323</v>
      </c>
      <c r="N680">
        <v>53.544689222849399</v>
      </c>
      <c r="O680">
        <v>53.0071951758013</v>
      </c>
      <c r="P680">
        <v>-0.14072773720857101</v>
      </c>
      <c r="Q680">
        <v>9.5219727343973104E-2</v>
      </c>
      <c r="R680">
        <v>0.99083921115553997</v>
      </c>
      <c r="S680" t="s">
        <v>7683</v>
      </c>
      <c r="T680" t="s">
        <v>14004</v>
      </c>
      <c r="U680" t="s">
        <v>14004</v>
      </c>
      <c r="V680" t="s">
        <v>14004</v>
      </c>
      <c r="W680" t="s">
        <v>14675</v>
      </c>
      <c r="X680">
        <v>6</v>
      </c>
      <c r="Y680" t="s">
        <v>21613</v>
      </c>
      <c r="Z680" t="s">
        <v>28390</v>
      </c>
      <c r="AA680">
        <v>0.49825763791847583</v>
      </c>
      <c r="AB680" t="str">
        <f>HYPERLINK("Melting_Curves/meltCurve_F5GY99_GALNT1.pdf", "Melting_Curves/meltCurve_F5GY99_GALNT1.pdf")</f>
        <v>Melting_Curves/meltCurve_F5GY99_GALNT1.pdf</v>
      </c>
    </row>
    <row r="681" spans="1:28" x14ac:dyDescent="0.25">
      <c r="A681" t="s">
        <v>685</v>
      </c>
      <c r="B681">
        <v>0.99999676499088797</v>
      </c>
      <c r="C681">
        <v>0.93532459171598703</v>
      </c>
      <c r="D681">
        <v>0.86769481767325496</v>
      </c>
      <c r="E681">
        <v>0.55491833887182496</v>
      </c>
      <c r="F681">
        <v>0.22171648166459601</v>
      </c>
      <c r="G681">
        <v>0.162800697789864</v>
      </c>
      <c r="H681">
        <v>8.4116858990395199E-2</v>
      </c>
      <c r="I681">
        <v>0.15389550781324501</v>
      </c>
      <c r="J681">
        <v>0.293759344154497</v>
      </c>
      <c r="K681">
        <v>0.11314555299250501</v>
      </c>
      <c r="L681">
        <v>1318.9155796672501</v>
      </c>
      <c r="M681">
        <v>26.820461720996601</v>
      </c>
      <c r="N681">
        <v>49.853466373605698</v>
      </c>
      <c r="O681">
        <v>48.904784514454803</v>
      </c>
      <c r="P681">
        <v>-0.116161029556183</v>
      </c>
      <c r="Q681">
        <v>0.15277047200376201</v>
      </c>
      <c r="R681">
        <v>0.974434221065137</v>
      </c>
      <c r="S681" t="s">
        <v>7684</v>
      </c>
      <c r="T681" t="s">
        <v>14004</v>
      </c>
      <c r="U681" t="s">
        <v>14004</v>
      </c>
      <c r="V681" t="s">
        <v>14004</v>
      </c>
      <c r="W681" t="s">
        <v>14676</v>
      </c>
      <c r="X681">
        <v>22</v>
      </c>
      <c r="Y681" t="s">
        <v>21614</v>
      </c>
      <c r="Z681" t="s">
        <v>28391</v>
      </c>
      <c r="AA681">
        <v>0.41840941561509692</v>
      </c>
      <c r="AB681" t="str">
        <f>HYPERLINK("Melting_Curves/meltCurve_F5GYC4_RPS6KA3.pdf", "Melting_Curves/meltCurve_F5GYC4_RPS6KA3.pdf")</f>
        <v>Melting_Curves/meltCurve_F5GYC4_RPS6KA3.pdf</v>
      </c>
    </row>
    <row r="682" spans="1:28" x14ac:dyDescent="0.25">
      <c r="A682" t="s">
        <v>686</v>
      </c>
      <c r="B682">
        <v>0.99999676499088797</v>
      </c>
      <c r="C682">
        <v>0.91953011655332995</v>
      </c>
      <c r="D682">
        <v>1.67724067736684</v>
      </c>
      <c r="E682">
        <v>1.0871492140041501</v>
      </c>
      <c r="F682">
        <v>0.362040101185792</v>
      </c>
      <c r="G682">
        <v>1.29365521371408</v>
      </c>
      <c r="H682">
        <v>0.37834317234016801</v>
      </c>
      <c r="I682">
        <v>0.720856155280165</v>
      </c>
      <c r="J682">
        <v>0.75084780206285495</v>
      </c>
      <c r="K682">
        <v>0.47823277369278999</v>
      </c>
      <c r="L682">
        <v>903.72510217635897</v>
      </c>
      <c r="M682">
        <v>15.6443085378835</v>
      </c>
      <c r="O682">
        <v>56.8478383336398</v>
      </c>
      <c r="P682">
        <v>-3.0398095961268901E-2</v>
      </c>
      <c r="Q682">
        <v>0.55819894924326996</v>
      </c>
      <c r="R682">
        <v>0.26562228991431502</v>
      </c>
      <c r="S682" t="s">
        <v>7685</v>
      </c>
      <c r="T682" t="s">
        <v>14004</v>
      </c>
      <c r="U682" t="s">
        <v>14004</v>
      </c>
      <c r="V682" t="s">
        <v>14004</v>
      </c>
      <c r="W682" t="s">
        <v>14677</v>
      </c>
      <c r="X682">
        <v>1</v>
      </c>
      <c r="Y682" t="s">
        <v>21615</v>
      </c>
      <c r="Z682" t="s">
        <v>28392</v>
      </c>
      <c r="AA682">
        <v>0.82595937203400138</v>
      </c>
      <c r="AB682" t="str">
        <f>HYPERLINK("Melting_Curves/meltCurve_F5GYE0_KCNK4.pdf", "Melting_Curves/meltCurve_F5GYE0_KCNK4.pdf")</f>
        <v>Melting_Curves/meltCurve_F5GYE0_KCNK4.pdf</v>
      </c>
    </row>
    <row r="683" spans="1:28" x14ac:dyDescent="0.25">
      <c r="A683" t="s">
        <v>687</v>
      </c>
      <c r="B683">
        <v>0.99999676499088797</v>
      </c>
      <c r="C683">
        <v>0.96789001573088196</v>
      </c>
      <c r="D683">
        <v>0.81830471328962995</v>
      </c>
      <c r="E683">
        <v>0.67255083851880104</v>
      </c>
      <c r="F683">
        <v>0.35663187965945498</v>
      </c>
      <c r="G683">
        <v>0.29665922680868301</v>
      </c>
      <c r="H683">
        <v>0.24704006196759001</v>
      </c>
      <c r="I683">
        <v>0.53036545641149102</v>
      </c>
      <c r="J683">
        <v>0.51895300655236198</v>
      </c>
      <c r="K683">
        <v>0.34429266453395502</v>
      </c>
      <c r="L683">
        <v>1242.2987201711701</v>
      </c>
      <c r="M683">
        <v>25.669364486843602</v>
      </c>
      <c r="N683">
        <v>51.209844927008398</v>
      </c>
      <c r="O683">
        <v>48.105307708630598</v>
      </c>
      <c r="P683">
        <v>-8.2980413049101198E-2</v>
      </c>
      <c r="Q683">
        <v>0.37797447610106899</v>
      </c>
      <c r="R683">
        <v>0.87684514457201601</v>
      </c>
      <c r="S683" t="s">
        <v>7686</v>
      </c>
      <c r="T683" t="s">
        <v>14004</v>
      </c>
      <c r="U683" t="s">
        <v>14004</v>
      </c>
      <c r="V683" t="s">
        <v>14004</v>
      </c>
      <c r="W683" t="s">
        <v>14678</v>
      </c>
      <c r="X683">
        <v>1</v>
      </c>
      <c r="Y683" t="s">
        <v>21616</v>
      </c>
      <c r="Z683" t="s">
        <v>28393</v>
      </c>
      <c r="AA683">
        <v>0.55726354472282247</v>
      </c>
      <c r="AB683" t="str">
        <f>HYPERLINK("Melting_Curves/meltCurve_F5GYN4_OTUB1.pdf", "Melting_Curves/meltCurve_F5GYN4_OTUB1.pdf")</f>
        <v>Melting_Curves/meltCurve_F5GYN4_OTUB1.pdf</v>
      </c>
    </row>
    <row r="684" spans="1:28" x14ac:dyDescent="0.25">
      <c r="A684" t="s">
        <v>688</v>
      </c>
      <c r="B684">
        <v>0.99999676499088797</v>
      </c>
      <c r="C684">
        <v>1.01726568086979</v>
      </c>
      <c r="D684">
        <v>0.976297317783272</v>
      </c>
      <c r="E684">
        <v>0.92004591606930497</v>
      </c>
      <c r="F684">
        <v>0.89436658089661503</v>
      </c>
      <c r="G684">
        <v>0.77973016450999799</v>
      </c>
      <c r="H684">
        <v>0.55613940901247205</v>
      </c>
      <c r="I684">
        <v>0.28534194499786902</v>
      </c>
      <c r="J684">
        <v>0.11577733693188701</v>
      </c>
      <c r="K684">
        <v>8.9645782884420905E-2</v>
      </c>
      <c r="L684">
        <v>1093.1814652891101</v>
      </c>
      <c r="M684">
        <v>17.950830888316698</v>
      </c>
      <c r="N684">
        <v>60.898656376050901</v>
      </c>
      <c r="O684">
        <v>60.157963183922597</v>
      </c>
      <c r="P684">
        <v>-7.4602440391067101E-2</v>
      </c>
      <c r="Q684">
        <v>0</v>
      </c>
      <c r="R684">
        <v>0.99157090528509995</v>
      </c>
      <c r="S684" t="s">
        <v>7687</v>
      </c>
      <c r="T684" t="s">
        <v>14004</v>
      </c>
      <c r="U684" t="s">
        <v>14004</v>
      </c>
      <c r="V684" t="s">
        <v>14004</v>
      </c>
      <c r="W684" t="s">
        <v>14679</v>
      </c>
      <c r="X684">
        <v>13</v>
      </c>
      <c r="Y684" t="s">
        <v>21617</v>
      </c>
      <c r="Z684" t="s">
        <v>28394</v>
      </c>
      <c r="AA684">
        <v>0.70222159023653463</v>
      </c>
      <c r="AB684" t="str">
        <f>HYPERLINK("Melting_Curves/meltCurve_F5GYQ1_ATP6V0D1.pdf", "Melting_Curves/meltCurve_F5GYQ1_ATP6V0D1.pdf")</f>
        <v>Melting_Curves/meltCurve_F5GYQ1_ATP6V0D1.pdf</v>
      </c>
    </row>
    <row r="685" spans="1:28" x14ac:dyDescent="0.25">
      <c r="A685" t="s">
        <v>689</v>
      </c>
      <c r="B685">
        <v>0.99999676499088797</v>
      </c>
      <c r="C685">
        <v>1.0564685413241599</v>
      </c>
      <c r="D685">
        <v>0.96485625489496096</v>
      </c>
      <c r="E685">
        <v>0.76715450277670605</v>
      </c>
      <c r="F685">
        <v>0.35250714341237399</v>
      </c>
      <c r="G685">
        <v>0.35172428779454301</v>
      </c>
      <c r="H685">
        <v>0.218433804092069</v>
      </c>
      <c r="I685">
        <v>0.24910608063144901</v>
      </c>
      <c r="J685">
        <v>0.14595121037579001</v>
      </c>
      <c r="K685">
        <v>8.2953378974948005E-2</v>
      </c>
      <c r="L685">
        <v>1219.0556314099699</v>
      </c>
      <c r="M685">
        <v>23.771040190841799</v>
      </c>
      <c r="N685">
        <v>52.252406237644401</v>
      </c>
      <c r="O685">
        <v>50.924424857585997</v>
      </c>
      <c r="P685">
        <v>-9.5895009564271397E-2</v>
      </c>
      <c r="Q685">
        <v>0.17827441061670601</v>
      </c>
      <c r="R685">
        <v>0.97387825390216698</v>
      </c>
      <c r="S685" t="s">
        <v>7688</v>
      </c>
      <c r="T685" t="s">
        <v>14004</v>
      </c>
      <c r="U685" t="s">
        <v>14004</v>
      </c>
      <c r="V685" t="s">
        <v>14004</v>
      </c>
      <c r="W685" t="s">
        <v>14680</v>
      </c>
      <c r="X685">
        <v>2</v>
      </c>
      <c r="Y685" t="s">
        <v>21618</v>
      </c>
      <c r="Z685" t="s">
        <v>28395</v>
      </c>
      <c r="AA685">
        <v>0.4955456295974463</v>
      </c>
      <c r="AB685" t="str">
        <f>HYPERLINK("Melting_Curves/meltCurve_F5GYV3_TM7SF2.pdf", "Melting_Curves/meltCurve_F5GYV3_TM7SF2.pdf")</f>
        <v>Melting_Curves/meltCurve_F5GYV3_TM7SF2.pdf</v>
      </c>
    </row>
    <row r="686" spans="1:28" x14ac:dyDescent="0.25">
      <c r="A686" t="s">
        <v>690</v>
      </c>
      <c r="B686">
        <v>0.99999676499088797</v>
      </c>
      <c r="C686">
        <v>1.26265252134832</v>
      </c>
      <c r="D686">
        <v>0.86607267008659805</v>
      </c>
      <c r="E686">
        <v>1.17150347339225</v>
      </c>
      <c r="F686">
        <v>0.39660944254890301</v>
      </c>
      <c r="G686">
        <v>0.28394231005126402</v>
      </c>
      <c r="H686">
        <v>0.52941226379210504</v>
      </c>
      <c r="I686">
        <v>0.488508170995822</v>
      </c>
      <c r="J686">
        <v>0.51572214197769495</v>
      </c>
      <c r="K686">
        <v>0.64183731276797296</v>
      </c>
      <c r="L686">
        <v>5657.37983887463</v>
      </c>
      <c r="M686">
        <v>109.82131021620199</v>
      </c>
      <c r="N686">
        <v>52.944935177437699</v>
      </c>
      <c r="O686">
        <v>51.497332957596498</v>
      </c>
      <c r="P686">
        <v>-0.28028364477999002</v>
      </c>
      <c r="Q686">
        <v>0.474278366709392</v>
      </c>
      <c r="R686">
        <v>0.808852968005219</v>
      </c>
      <c r="S686" t="s">
        <v>7689</v>
      </c>
      <c r="T686" t="s">
        <v>14004</v>
      </c>
      <c r="U686" t="s">
        <v>14004</v>
      </c>
      <c r="V686" t="s">
        <v>14004</v>
      </c>
      <c r="W686" t="s">
        <v>14681</v>
      </c>
      <c r="X686">
        <v>4</v>
      </c>
      <c r="Y686" t="s">
        <v>21619</v>
      </c>
      <c r="Z686" t="s">
        <v>28396</v>
      </c>
      <c r="AA686">
        <v>0.67630401701722043</v>
      </c>
      <c r="AB686" t="str">
        <f>HYPERLINK("Melting_Curves/meltCurve_F5GZ78_PXN.pdf", "Melting_Curves/meltCurve_F5GZ78_PXN.pdf")</f>
        <v>Melting_Curves/meltCurve_F5GZ78_PXN.pdf</v>
      </c>
    </row>
    <row r="687" spans="1:28" x14ac:dyDescent="0.25">
      <c r="A687" t="s">
        <v>691</v>
      </c>
      <c r="B687">
        <v>0.99999676499088797</v>
      </c>
      <c r="C687">
        <v>1.0153151361142601</v>
      </c>
      <c r="D687">
        <v>0.99735304776064304</v>
      </c>
      <c r="E687">
        <v>0.92521126018817801</v>
      </c>
      <c r="F687">
        <v>0.35479327839830899</v>
      </c>
      <c r="G687">
        <v>0.20085264379644399</v>
      </c>
      <c r="H687">
        <v>0.107778657963848</v>
      </c>
      <c r="I687">
        <v>0.129997466647441</v>
      </c>
      <c r="J687">
        <v>0.12555231858768801</v>
      </c>
      <c r="K687">
        <v>0.108958979317145</v>
      </c>
      <c r="L687">
        <v>2351.9677793730498</v>
      </c>
      <c r="M687">
        <v>45.1989315473324</v>
      </c>
      <c r="N687">
        <v>52.381609213112199</v>
      </c>
      <c r="O687">
        <v>51.934371656361002</v>
      </c>
      <c r="P687">
        <v>-0.18951922541601199</v>
      </c>
      <c r="Q687">
        <v>0.128957496179221</v>
      </c>
      <c r="R687">
        <v>0.99746902472987198</v>
      </c>
      <c r="S687" t="s">
        <v>7690</v>
      </c>
      <c r="T687" t="s">
        <v>14004</v>
      </c>
      <c r="U687" t="s">
        <v>14004</v>
      </c>
      <c r="V687" t="s">
        <v>14004</v>
      </c>
      <c r="W687" t="s">
        <v>14682</v>
      </c>
      <c r="X687">
        <v>12</v>
      </c>
      <c r="Y687" t="s">
        <v>21620</v>
      </c>
      <c r="Z687" t="s">
        <v>28397</v>
      </c>
      <c r="AA687">
        <v>0.480866447574059</v>
      </c>
      <c r="AB687" t="str">
        <f>HYPERLINK("Melting_Curves/meltCurve_F5GZ90_DTL.pdf", "Melting_Curves/meltCurve_F5GZ90_DTL.pdf")</f>
        <v>Melting_Curves/meltCurve_F5GZ90_DTL.pdf</v>
      </c>
    </row>
    <row r="688" spans="1:28" x14ac:dyDescent="0.25">
      <c r="A688" t="s">
        <v>692</v>
      </c>
      <c r="B688">
        <v>0.99999676499088797</v>
      </c>
      <c r="C688">
        <v>0.88397667179169004</v>
      </c>
      <c r="D688">
        <v>0.80902812628799103</v>
      </c>
      <c r="E688">
        <v>0.68597156011452298</v>
      </c>
      <c r="F688">
        <v>0.70350215931567495</v>
      </c>
      <c r="G688">
        <v>0.42064579600639701</v>
      </c>
      <c r="H688">
        <v>0.254825503684319</v>
      </c>
      <c r="I688">
        <v>0.28831195245561297</v>
      </c>
      <c r="J688">
        <v>0.273747829039861</v>
      </c>
      <c r="K688">
        <v>0.29872605073807101</v>
      </c>
      <c r="L688">
        <v>520.64927468588905</v>
      </c>
      <c r="M688">
        <v>9.8741019745407694</v>
      </c>
      <c r="N688">
        <v>55.191950439498598</v>
      </c>
      <c r="O688">
        <v>50.702676073820001</v>
      </c>
      <c r="P688">
        <v>-4.0030898253318598E-2</v>
      </c>
      <c r="Q688">
        <v>0.178198661932817</v>
      </c>
      <c r="R688">
        <v>0.95140894605247694</v>
      </c>
      <c r="S688" t="s">
        <v>7691</v>
      </c>
      <c r="T688" t="s">
        <v>14004</v>
      </c>
      <c r="U688" t="s">
        <v>14004</v>
      </c>
      <c r="V688" t="s">
        <v>14004</v>
      </c>
      <c r="W688" t="s">
        <v>14683</v>
      </c>
      <c r="X688">
        <v>2</v>
      </c>
      <c r="Y688" t="s">
        <v>21621</v>
      </c>
      <c r="Z688" t="s">
        <v>28398</v>
      </c>
      <c r="AA688">
        <v>0.55619893626775863</v>
      </c>
      <c r="AB688" t="str">
        <f>HYPERLINK("Melting_Curves/meltCurve_F5GZG6_TPK1.pdf", "Melting_Curves/meltCurve_F5GZG6_TPK1.pdf")</f>
        <v>Melting_Curves/meltCurve_F5GZG6_TPK1.pdf</v>
      </c>
    </row>
    <row r="689" spans="1:28" x14ac:dyDescent="0.25">
      <c r="A689" t="s">
        <v>693</v>
      </c>
      <c r="B689">
        <v>0.99999676499088797</v>
      </c>
      <c r="C689">
        <v>1.0589320159235101</v>
      </c>
      <c r="D689">
        <v>1.0270842194699601</v>
      </c>
      <c r="E689">
        <v>1.1093430760574501</v>
      </c>
      <c r="F689">
        <v>1.20493381804939</v>
      </c>
      <c r="G689">
        <v>0.984620135139467</v>
      </c>
      <c r="H689">
        <v>0.76121875954130902</v>
      </c>
      <c r="I689">
        <v>0.38118112087033401</v>
      </c>
      <c r="J689">
        <v>0.245011629971981</v>
      </c>
      <c r="K689">
        <v>0.13295340509369899</v>
      </c>
      <c r="L689">
        <v>2275.8833424786899</v>
      </c>
      <c r="M689">
        <v>36.468080577070197</v>
      </c>
      <c r="N689">
        <v>63.000617844037698</v>
      </c>
      <c r="O689">
        <v>62.220776635675698</v>
      </c>
      <c r="P689">
        <v>-0.125238691666782</v>
      </c>
      <c r="Q689">
        <v>0.145288132704363</v>
      </c>
      <c r="R689">
        <v>0.95568798063290405</v>
      </c>
      <c r="S689" t="s">
        <v>7692</v>
      </c>
      <c r="T689" t="s">
        <v>14004</v>
      </c>
      <c r="U689" t="s">
        <v>14004</v>
      </c>
      <c r="V689" t="s">
        <v>14004</v>
      </c>
      <c r="W689" t="s">
        <v>14684</v>
      </c>
      <c r="X689">
        <v>4</v>
      </c>
      <c r="Y689" t="s">
        <v>21622</v>
      </c>
      <c r="Z689" t="s">
        <v>28399</v>
      </c>
      <c r="AA689">
        <v>0.78688998890579809</v>
      </c>
      <c r="AB689" t="str">
        <f>HYPERLINK("Melting_Curves/meltCurve_F5GZK1_EXTL2.pdf", "Melting_Curves/meltCurve_F5GZK1_EXTL2.pdf")</f>
        <v>Melting_Curves/meltCurve_F5GZK1_EXTL2.pdf</v>
      </c>
    </row>
    <row r="690" spans="1:28" x14ac:dyDescent="0.25">
      <c r="A690" t="s">
        <v>694</v>
      </c>
      <c r="B690">
        <v>0.99999676499088797</v>
      </c>
      <c r="C690">
        <v>0.97827766386029202</v>
      </c>
      <c r="D690">
        <v>0.98992408289670897</v>
      </c>
      <c r="E690">
        <v>0.73876038851161097</v>
      </c>
      <c r="F690">
        <v>0.43003080711942099</v>
      </c>
      <c r="G690">
        <v>0.28320399868399698</v>
      </c>
      <c r="H690">
        <v>0.13352759252981899</v>
      </c>
      <c r="I690">
        <v>0.13835928718246401</v>
      </c>
      <c r="J690">
        <v>0.15017307149827699</v>
      </c>
      <c r="K690">
        <v>5.4669720479097197E-2</v>
      </c>
      <c r="L690">
        <v>1039.0403349043399</v>
      </c>
      <c r="M690">
        <v>19.983596760973299</v>
      </c>
      <c r="N690">
        <v>52.605954973469203</v>
      </c>
      <c r="O690">
        <v>51.482392240741497</v>
      </c>
      <c r="P690">
        <v>-8.6989391494686097E-2</v>
      </c>
      <c r="Q690">
        <v>0.10360969648980201</v>
      </c>
      <c r="R690">
        <v>0.99305740823491595</v>
      </c>
      <c r="S690" t="s">
        <v>7693</v>
      </c>
      <c r="T690" t="s">
        <v>14004</v>
      </c>
      <c r="U690" t="s">
        <v>14004</v>
      </c>
      <c r="V690" t="s">
        <v>14004</v>
      </c>
      <c r="W690" t="s">
        <v>14685</v>
      </c>
      <c r="X690">
        <v>1</v>
      </c>
      <c r="Y690" t="s">
        <v>21623</v>
      </c>
      <c r="Z690" t="s">
        <v>28400</v>
      </c>
      <c r="AA690">
        <v>0.47442973577448339</v>
      </c>
      <c r="AB690" t="str">
        <f>HYPERLINK("Melting_Curves/meltCurve_F5GZL6_ABLIM2.pdf", "Melting_Curves/meltCurve_F5GZL6_ABLIM2.pdf")</f>
        <v>Melting_Curves/meltCurve_F5GZL6_ABLIM2.pdf</v>
      </c>
    </row>
    <row r="691" spans="1:28" x14ac:dyDescent="0.25">
      <c r="A691" t="s">
        <v>695</v>
      </c>
      <c r="B691">
        <v>0.99999676499088797</v>
      </c>
      <c r="C691">
        <v>0.99231407300780206</v>
      </c>
      <c r="D691">
        <v>0.99287986300212305</v>
      </c>
      <c r="E691">
        <v>0.80380956135847803</v>
      </c>
      <c r="F691">
        <v>0.38627981990916399</v>
      </c>
      <c r="G691">
        <v>0.17986747063351699</v>
      </c>
      <c r="H691">
        <v>8.2510068678915402E-2</v>
      </c>
      <c r="I691">
        <v>8.3602411952623107E-2</v>
      </c>
      <c r="J691">
        <v>8.5400948799974105E-2</v>
      </c>
      <c r="K691">
        <v>6.4764517832763296E-2</v>
      </c>
      <c r="L691">
        <v>1421.7463462011899</v>
      </c>
      <c r="M691">
        <v>27.360249078557001</v>
      </c>
      <c r="N691">
        <v>52.280516523059902</v>
      </c>
      <c r="O691">
        <v>51.688714575380601</v>
      </c>
      <c r="P691">
        <v>-0.122231192485571</v>
      </c>
      <c r="Q691">
        <v>7.6336653937776694E-2</v>
      </c>
      <c r="R691">
        <v>0.99922982291910001</v>
      </c>
      <c r="S691" t="s">
        <v>7694</v>
      </c>
      <c r="T691" t="s">
        <v>14004</v>
      </c>
      <c r="U691" t="s">
        <v>14004</v>
      </c>
      <c r="V691" t="s">
        <v>14004</v>
      </c>
      <c r="W691" t="s">
        <v>14686</v>
      </c>
      <c r="X691">
        <v>18</v>
      </c>
      <c r="Y691" t="s">
        <v>21624</v>
      </c>
      <c r="Z691" t="s">
        <v>28401</v>
      </c>
      <c r="AA691">
        <v>0.4517650440996957</v>
      </c>
      <c r="AB691" t="str">
        <f>HYPERLINK("Melting_Curves/meltCurve_F5GZS0_DHX36.pdf", "Melting_Curves/meltCurve_F5GZS0_DHX36.pdf")</f>
        <v>Melting_Curves/meltCurve_F5GZS0_DHX36.pdf</v>
      </c>
    </row>
    <row r="692" spans="1:28" x14ac:dyDescent="0.25">
      <c r="A692" t="s">
        <v>696</v>
      </c>
      <c r="B692">
        <v>0.99999676499088797</v>
      </c>
      <c r="C692">
        <v>0.968347509720769</v>
      </c>
      <c r="D692">
        <v>1.03542239288904</v>
      </c>
      <c r="E692">
        <v>1.1800660819226201</v>
      </c>
      <c r="F692">
        <v>1.21373198374754</v>
      </c>
      <c r="G692">
        <v>1.0368924832363899</v>
      </c>
      <c r="H692">
        <v>0.72850091439004505</v>
      </c>
      <c r="I692">
        <v>0.54776599511080704</v>
      </c>
      <c r="J692">
        <v>0.42427602900198602</v>
      </c>
      <c r="K692">
        <v>0.44569635166581201</v>
      </c>
      <c r="L692">
        <v>2753.3898666186901</v>
      </c>
      <c r="M692">
        <v>45.073663649110699</v>
      </c>
      <c r="N692">
        <v>64.193473347457996</v>
      </c>
      <c r="O692">
        <v>60.966567258802897</v>
      </c>
      <c r="P692">
        <v>-0.102844736805938</v>
      </c>
      <c r="Q692">
        <v>0.44357019024336403</v>
      </c>
      <c r="R692">
        <v>0.89125495160896895</v>
      </c>
      <c r="S692" t="s">
        <v>7695</v>
      </c>
      <c r="T692" t="s">
        <v>14004</v>
      </c>
      <c r="U692" t="s">
        <v>14004</v>
      </c>
      <c r="V692" t="s">
        <v>14004</v>
      </c>
      <c r="W692" t="s">
        <v>14687</v>
      </c>
      <c r="X692">
        <v>22</v>
      </c>
      <c r="Y692" t="s">
        <v>21625</v>
      </c>
      <c r="Z692" t="s">
        <v>28402</v>
      </c>
      <c r="AA692">
        <v>0.83640994219635123</v>
      </c>
      <c r="AB692" t="str">
        <f>HYPERLINK("Melting_Curves/meltCurve_F5GZS6_SLC3A2.pdf", "Melting_Curves/meltCurve_F5GZS6_SLC3A2.pdf")</f>
        <v>Melting_Curves/meltCurve_F5GZS6_SLC3A2.pdf</v>
      </c>
    </row>
    <row r="693" spans="1:28" x14ac:dyDescent="0.25">
      <c r="A693" t="s">
        <v>697</v>
      </c>
      <c r="B693">
        <v>0.99999676499088797</v>
      </c>
      <c r="C693">
        <v>0.98352843637998899</v>
      </c>
      <c r="D693">
        <v>0.71251173852097605</v>
      </c>
      <c r="E693">
        <v>0.27839341329960299</v>
      </c>
      <c r="F693">
        <v>0.14197245192789901</v>
      </c>
      <c r="G693">
        <v>0.114838965942166</v>
      </c>
      <c r="H693">
        <v>0</v>
      </c>
      <c r="I693">
        <v>4.2536673379154399E-2</v>
      </c>
      <c r="J693">
        <v>0</v>
      </c>
      <c r="K693">
        <v>0</v>
      </c>
      <c r="L693">
        <v>1159.9083768819701</v>
      </c>
      <c r="M693">
        <v>24.318065935950301</v>
      </c>
      <c r="N693">
        <v>47.817539202101898</v>
      </c>
      <c r="O693">
        <v>47.378360712566703</v>
      </c>
      <c r="P693">
        <v>-0.124517552132258</v>
      </c>
      <c r="Q693">
        <v>2.9635171633398801E-2</v>
      </c>
      <c r="R693">
        <v>0.99225795219031998</v>
      </c>
      <c r="S693" t="s">
        <v>7696</v>
      </c>
      <c r="T693" t="s">
        <v>14004</v>
      </c>
      <c r="U693" t="s">
        <v>14004</v>
      </c>
      <c r="V693" t="s">
        <v>14004</v>
      </c>
      <c r="W693" t="s">
        <v>14688</v>
      </c>
      <c r="X693">
        <v>4</v>
      </c>
      <c r="Y693" t="s">
        <v>21626</v>
      </c>
      <c r="Z693" t="s">
        <v>28403</v>
      </c>
      <c r="AA693">
        <v>0.2877248457873674</v>
      </c>
      <c r="AB693" t="str">
        <f>HYPERLINK("Melting_Curves/meltCurve_F5GZX9_FAM120B.pdf", "Melting_Curves/meltCurve_F5GZX9_FAM120B.pdf")</f>
        <v>Melting_Curves/meltCurve_F5GZX9_FAM120B.pdf</v>
      </c>
    </row>
    <row r="694" spans="1:28" x14ac:dyDescent="0.25">
      <c r="A694" t="s">
        <v>698</v>
      </c>
      <c r="B694">
        <v>0.99999676499088797</v>
      </c>
      <c r="C694">
        <v>0.95783974584225895</v>
      </c>
      <c r="D694">
        <v>0.87575157872647502</v>
      </c>
      <c r="E694">
        <v>0.52048096833149704</v>
      </c>
      <c r="F694">
        <v>0.23648823733491101</v>
      </c>
      <c r="G694">
        <v>0.17570605362693001</v>
      </c>
      <c r="H694">
        <v>7.9821435023137904E-2</v>
      </c>
      <c r="I694">
        <v>8.4990039991560795E-2</v>
      </c>
      <c r="J694">
        <v>8.7431962508575406E-2</v>
      </c>
      <c r="K694">
        <v>7.3116824839284195E-2</v>
      </c>
      <c r="L694">
        <v>1096.9229481652701</v>
      </c>
      <c r="M694">
        <v>22.157841954220501</v>
      </c>
      <c r="N694">
        <v>49.912562070711303</v>
      </c>
      <c r="O694">
        <v>49.107012853263598</v>
      </c>
      <c r="P694">
        <v>-0.10347028295854301</v>
      </c>
      <c r="Q694">
        <v>8.2761348070240007E-2</v>
      </c>
      <c r="R694">
        <v>0.99784707631085401</v>
      </c>
      <c r="S694" t="s">
        <v>7697</v>
      </c>
      <c r="T694" t="s">
        <v>14004</v>
      </c>
      <c r="U694" t="s">
        <v>14004</v>
      </c>
      <c r="V694" t="s">
        <v>14004</v>
      </c>
      <c r="W694" t="s">
        <v>14689</v>
      </c>
      <c r="X694">
        <v>10</v>
      </c>
      <c r="Y694" t="s">
        <v>21627</v>
      </c>
      <c r="Z694" t="s">
        <v>28404</v>
      </c>
      <c r="AA694">
        <v>0.38379350586426653</v>
      </c>
      <c r="AB694" t="str">
        <f>HYPERLINK("Melting_Curves/meltCurve_F5H012_TRIM21.pdf", "Melting_Curves/meltCurve_F5H012_TRIM21.pdf")</f>
        <v>Melting_Curves/meltCurve_F5H012_TRIM21.pdf</v>
      </c>
    </row>
    <row r="695" spans="1:28" x14ac:dyDescent="0.25">
      <c r="A695" t="s">
        <v>699</v>
      </c>
      <c r="B695">
        <v>0.99999676499088797</v>
      </c>
      <c r="C695">
        <v>1.0567314450376499</v>
      </c>
      <c r="D695">
        <v>0.945871250119938</v>
      </c>
      <c r="E695">
        <v>0.57162555802355097</v>
      </c>
      <c r="F695">
        <v>0.456041146652368</v>
      </c>
      <c r="G695">
        <v>0.24149530268369099</v>
      </c>
      <c r="H695">
        <v>0.110955369459947</v>
      </c>
      <c r="I695">
        <v>9.3724619091040198E-2</v>
      </c>
      <c r="J695">
        <v>7.7855591501326205E-2</v>
      </c>
      <c r="K695">
        <v>4.8005743820687598E-2</v>
      </c>
      <c r="L695">
        <v>853.54680473981296</v>
      </c>
      <c r="M695">
        <v>16.567678481804801</v>
      </c>
      <c r="N695">
        <v>51.879127114673402</v>
      </c>
      <c r="O695">
        <v>50.785790482464101</v>
      </c>
      <c r="P695">
        <v>-7.7129414973615501E-2</v>
      </c>
      <c r="Q695">
        <v>5.43493773419719E-2</v>
      </c>
      <c r="R695">
        <v>0.98317961859906</v>
      </c>
      <c r="S695" t="s">
        <v>7698</v>
      </c>
      <c r="T695" t="s">
        <v>14004</v>
      </c>
      <c r="U695" t="s">
        <v>14004</v>
      </c>
      <c r="V695" t="s">
        <v>14004</v>
      </c>
      <c r="W695" t="s">
        <v>14690</v>
      </c>
      <c r="X695">
        <v>3</v>
      </c>
      <c r="Y695" t="s">
        <v>21628</v>
      </c>
      <c r="Z695" t="s">
        <v>28405</v>
      </c>
      <c r="AA695">
        <v>0.43570213369709981</v>
      </c>
      <c r="AB695" t="str">
        <f>HYPERLINK("Melting_Curves/meltCurve_F5H029_FAM65B.pdf", "Melting_Curves/meltCurve_F5H029_FAM65B.pdf")</f>
        <v>Melting_Curves/meltCurve_F5H029_FAM65B.pdf</v>
      </c>
    </row>
    <row r="696" spans="1:28" x14ac:dyDescent="0.25">
      <c r="A696" t="s">
        <v>700</v>
      </c>
      <c r="B696">
        <v>0.99999676499088797</v>
      </c>
      <c r="C696">
        <v>0.72598440320574698</v>
      </c>
      <c r="D696">
        <v>0.82675310055371898</v>
      </c>
      <c r="E696">
        <v>1.1000654247844499</v>
      </c>
      <c r="F696">
        <v>0.86865145384463205</v>
      </c>
      <c r="G696">
        <v>0.84544595663061095</v>
      </c>
      <c r="H696">
        <v>0.44156531841345997</v>
      </c>
      <c r="I696">
        <v>0.40771804528231198</v>
      </c>
      <c r="J696">
        <v>0.41548170470552598</v>
      </c>
      <c r="K696">
        <v>0.55170607510754299</v>
      </c>
      <c r="L696">
        <v>4707.3096810792504</v>
      </c>
      <c r="M696">
        <v>81.959426036220506</v>
      </c>
      <c r="N696">
        <v>59.137143149514799</v>
      </c>
      <c r="O696">
        <v>57.4004676951416</v>
      </c>
      <c r="P696">
        <v>-0.19534131798374699</v>
      </c>
      <c r="Q696">
        <v>0.452769145717827</v>
      </c>
      <c r="R696">
        <v>0.74362807534058795</v>
      </c>
      <c r="S696" t="s">
        <v>7699</v>
      </c>
      <c r="T696" t="s">
        <v>14004</v>
      </c>
      <c r="U696" t="s">
        <v>14004</v>
      </c>
      <c r="V696" t="s">
        <v>14004</v>
      </c>
      <c r="W696" t="s">
        <v>14691</v>
      </c>
      <c r="X696">
        <v>4</v>
      </c>
      <c r="Y696" t="s">
        <v>21629</v>
      </c>
      <c r="Z696" t="s">
        <v>28406</v>
      </c>
      <c r="AA696">
        <v>0.77130896531622917</v>
      </c>
      <c r="AB696" t="str">
        <f>HYPERLINK("Melting_Curves/meltCurve_F5H050_DYNC1I1.pdf", "Melting_Curves/meltCurve_F5H050_DYNC1I1.pdf")</f>
        <v>Melting_Curves/meltCurve_F5H050_DYNC1I1.pdf</v>
      </c>
    </row>
    <row r="697" spans="1:28" x14ac:dyDescent="0.25">
      <c r="A697" t="s">
        <v>701</v>
      </c>
      <c r="B697">
        <v>0.99999676499088797</v>
      </c>
      <c r="C697">
        <v>0.83881751641582303</v>
      </c>
      <c r="D697">
        <v>1.16344528709918</v>
      </c>
      <c r="E697">
        <v>2.2548653693363101</v>
      </c>
      <c r="F697">
        <v>1.36314401537013</v>
      </c>
      <c r="G697">
        <v>0.64530897697456302</v>
      </c>
      <c r="H697">
        <v>1.17695924156342</v>
      </c>
      <c r="I697">
        <v>0.75204934266007895</v>
      </c>
      <c r="J697">
        <v>0</v>
      </c>
      <c r="K697">
        <v>0</v>
      </c>
      <c r="S697" t="s">
        <v>7700</v>
      </c>
      <c r="T697" t="s">
        <v>14004</v>
      </c>
      <c r="U697" t="s">
        <v>14005</v>
      </c>
      <c r="V697" t="s">
        <v>14004</v>
      </c>
      <c r="W697" t="s">
        <v>14692</v>
      </c>
      <c r="X697">
        <v>1</v>
      </c>
      <c r="Y697" t="s">
        <v>21630</v>
      </c>
      <c r="Z697" t="s">
        <v>28407</v>
      </c>
      <c r="AB697" t="str">
        <f>HYPERLINK("Melting_Curves/meltCurve_F5H081_SLC2A4.pdf", "Melting_Curves/meltCurve_F5H081_SLC2A4.pdf")</f>
        <v>Melting_Curves/meltCurve_F5H081_SLC2A4.pdf</v>
      </c>
    </row>
    <row r="698" spans="1:28" x14ac:dyDescent="0.25">
      <c r="A698" t="s">
        <v>702</v>
      </c>
      <c r="B698">
        <v>0.99999676499088797</v>
      </c>
      <c r="C698">
        <v>0.87119430239423301</v>
      </c>
      <c r="D698">
        <v>0.89373696982849304</v>
      </c>
      <c r="E698">
        <v>0.85877642596187098</v>
      </c>
      <c r="F698">
        <v>0.22871154071453501</v>
      </c>
      <c r="G698">
        <v>0.205087700251704</v>
      </c>
      <c r="H698">
        <v>0.125871353690757</v>
      </c>
      <c r="I698">
        <v>0.14058817977468599</v>
      </c>
      <c r="J698">
        <v>0.10408632808129301</v>
      </c>
      <c r="K698">
        <v>8.8540010654687695E-2</v>
      </c>
      <c r="L698">
        <v>2558.2337886278901</v>
      </c>
      <c r="M698">
        <v>50.0081971252636</v>
      </c>
      <c r="N698">
        <v>51.465033977651103</v>
      </c>
      <c r="O698">
        <v>51.0746910413148</v>
      </c>
      <c r="P698">
        <v>-0.213059616485341</v>
      </c>
      <c r="Q698">
        <v>0.129587242187581</v>
      </c>
      <c r="R698">
        <v>0.97526643725471696</v>
      </c>
      <c r="S698" t="s">
        <v>7701</v>
      </c>
      <c r="T698" t="s">
        <v>14004</v>
      </c>
      <c r="U698" t="s">
        <v>14004</v>
      </c>
      <c r="V698" t="s">
        <v>14004</v>
      </c>
      <c r="W698" t="s">
        <v>14693</v>
      </c>
      <c r="X698">
        <v>15</v>
      </c>
      <c r="Y698" t="s">
        <v>21631</v>
      </c>
      <c r="Z698" t="s">
        <v>28408</v>
      </c>
      <c r="AA698">
        <v>0.45523651423171008</v>
      </c>
      <c r="AB698" t="str">
        <f>HYPERLINK("Melting_Curves/meltCurve_F5H0B0_TPD52.pdf", "Melting_Curves/meltCurve_F5H0B0_TPD52.pdf")</f>
        <v>Melting_Curves/meltCurve_F5H0B0_TPD52.pdf</v>
      </c>
    </row>
    <row r="699" spans="1:28" x14ac:dyDescent="0.25">
      <c r="A699" t="s">
        <v>703</v>
      </c>
      <c r="B699">
        <v>0.99999676499088797</v>
      </c>
      <c r="C699">
        <v>1.01386480100444</v>
      </c>
      <c r="D699">
        <v>1.0585131633006699</v>
      </c>
      <c r="E699">
        <v>0.94436322125137095</v>
      </c>
      <c r="F699">
        <v>0.52524474352845396</v>
      </c>
      <c r="G699">
        <v>0.210064492730754</v>
      </c>
      <c r="H699">
        <v>9.1856266781248502E-2</v>
      </c>
      <c r="I699">
        <v>8.6870089940570799E-2</v>
      </c>
      <c r="J699">
        <v>9.0383942147636606E-2</v>
      </c>
      <c r="K699">
        <v>6.5381855174964407E-2</v>
      </c>
      <c r="L699">
        <v>1773.5599538246399</v>
      </c>
      <c r="M699">
        <v>33.333932262942596</v>
      </c>
      <c r="N699">
        <v>53.4988541458344</v>
      </c>
      <c r="O699">
        <v>53.015451003843602</v>
      </c>
      <c r="P699">
        <v>-0.144074949977685</v>
      </c>
      <c r="Q699">
        <v>8.3436601680399305E-2</v>
      </c>
      <c r="R699">
        <v>0.99664485957757598</v>
      </c>
      <c r="S699" t="s">
        <v>7702</v>
      </c>
      <c r="T699" t="s">
        <v>14004</v>
      </c>
      <c r="U699" t="s">
        <v>14004</v>
      </c>
      <c r="V699" t="s">
        <v>14004</v>
      </c>
      <c r="W699" t="s">
        <v>14694</v>
      </c>
      <c r="X699">
        <v>7</v>
      </c>
      <c r="Y699" t="s">
        <v>21632</v>
      </c>
      <c r="Z699" t="s">
        <v>28409</v>
      </c>
      <c r="AA699">
        <v>0.4917470095941886</v>
      </c>
      <c r="AB699" t="str">
        <f>HYPERLINK("Melting_Curves/meltCurve_F5H0F9_ANAPC5.pdf", "Melting_Curves/meltCurve_F5H0F9_ANAPC5.pdf")</f>
        <v>Melting_Curves/meltCurve_F5H0F9_ANAPC5.pdf</v>
      </c>
    </row>
    <row r="700" spans="1:28" x14ac:dyDescent="0.25">
      <c r="A700" t="s">
        <v>704</v>
      </c>
      <c r="B700">
        <v>0.99999676499088797</v>
      </c>
      <c r="C700">
        <v>0.76368844741101705</v>
      </c>
      <c r="D700">
        <v>0.67608147328013701</v>
      </c>
      <c r="E700">
        <v>0.53823828005527197</v>
      </c>
      <c r="F700">
        <v>0.46564209637593501</v>
      </c>
      <c r="G700">
        <v>0.39040984457948902</v>
      </c>
      <c r="H700">
        <v>0.31587054604003001</v>
      </c>
      <c r="I700">
        <v>0.344534160687339</v>
      </c>
      <c r="J700">
        <v>0.32686695590883402</v>
      </c>
      <c r="K700">
        <v>0.47198106069558798</v>
      </c>
      <c r="L700">
        <v>661.95175533325505</v>
      </c>
      <c r="M700">
        <v>14.4546086022292</v>
      </c>
      <c r="N700">
        <v>50.268615265354903</v>
      </c>
      <c r="O700">
        <v>44.9454729467503</v>
      </c>
      <c r="P700">
        <v>-5.1313233906437002E-2</v>
      </c>
      <c r="Q700">
        <v>0.36185684058817502</v>
      </c>
      <c r="R700">
        <v>0.93795224927705001</v>
      </c>
      <c r="S700" t="s">
        <v>7703</v>
      </c>
      <c r="T700" t="s">
        <v>14004</v>
      </c>
      <c r="U700" t="s">
        <v>14004</v>
      </c>
      <c r="V700" t="s">
        <v>14004</v>
      </c>
      <c r="W700" t="s">
        <v>14695</v>
      </c>
      <c r="X700">
        <v>4</v>
      </c>
      <c r="Y700" t="s">
        <v>21633</v>
      </c>
      <c r="Z700" t="s">
        <v>28410</v>
      </c>
      <c r="AA700">
        <v>0.50562090348242961</v>
      </c>
      <c r="AB700" t="str">
        <f>HYPERLINK("Melting_Curves/meltCurve_F5H0I3_SOX5.pdf", "Melting_Curves/meltCurve_F5H0I3_SOX5.pdf")</f>
        <v>Melting_Curves/meltCurve_F5H0I3_SOX5.pdf</v>
      </c>
    </row>
    <row r="701" spans="1:28" x14ac:dyDescent="0.25">
      <c r="A701" t="s">
        <v>705</v>
      </c>
      <c r="B701">
        <v>0.99999676499088797</v>
      </c>
      <c r="C701">
        <v>1.01165538165305</v>
      </c>
      <c r="D701">
        <v>0.870434936949258</v>
      </c>
      <c r="E701">
        <v>0.36675075176716998</v>
      </c>
      <c r="F701">
        <v>0.246109409498635</v>
      </c>
      <c r="G701">
        <v>0.15527413498662301</v>
      </c>
      <c r="H701">
        <v>7.4624034867789096E-2</v>
      </c>
      <c r="I701">
        <v>7.3122072633616295E-2</v>
      </c>
      <c r="J701">
        <v>6.7501388358894104E-2</v>
      </c>
      <c r="K701">
        <v>6.3654510681162096E-2</v>
      </c>
      <c r="L701">
        <v>1336.6905517381001</v>
      </c>
      <c r="M701">
        <v>27.519809324386198</v>
      </c>
      <c r="N701">
        <v>48.930352105230902</v>
      </c>
      <c r="O701">
        <v>48.317617245429602</v>
      </c>
      <c r="P701">
        <v>-0.12939373021542</v>
      </c>
      <c r="Q701">
        <v>9.1281225486417705E-2</v>
      </c>
      <c r="R701">
        <v>0.98944609382899495</v>
      </c>
      <c r="S701" t="s">
        <v>7704</v>
      </c>
      <c r="T701" t="s">
        <v>14004</v>
      </c>
      <c r="U701" t="s">
        <v>14004</v>
      </c>
      <c r="V701" t="s">
        <v>14004</v>
      </c>
      <c r="W701" t="s">
        <v>14696</v>
      </c>
      <c r="X701">
        <v>24</v>
      </c>
      <c r="Y701" t="s">
        <v>21634</v>
      </c>
      <c r="Z701" t="s">
        <v>28411</v>
      </c>
      <c r="AA701">
        <v>0.35751021417858908</v>
      </c>
      <c r="AB701" t="str">
        <f>HYPERLINK("Melting_Curves/meltCurve_F5H0L8_SEC23IP.pdf", "Melting_Curves/meltCurve_F5H0L8_SEC23IP.pdf")</f>
        <v>Melting_Curves/meltCurve_F5H0L8_SEC23IP.pdf</v>
      </c>
    </row>
    <row r="702" spans="1:28" x14ac:dyDescent="0.25">
      <c r="A702" t="s">
        <v>706</v>
      </c>
      <c r="B702">
        <v>0.99999676499088797</v>
      </c>
      <c r="C702">
        <v>1.0098287404442501</v>
      </c>
      <c r="D702">
        <v>0.87331215520847605</v>
      </c>
      <c r="E702">
        <v>0.507349607100405</v>
      </c>
      <c r="F702">
        <v>0.37665739712116197</v>
      </c>
      <c r="G702">
        <v>0.25924143501503</v>
      </c>
      <c r="H702">
        <v>0.17269661614658899</v>
      </c>
      <c r="I702">
        <v>0.17219836721138501</v>
      </c>
      <c r="J702">
        <v>0.17805265326363601</v>
      </c>
      <c r="K702">
        <v>0.15651524367102301</v>
      </c>
      <c r="L702">
        <v>1001.16467995299</v>
      </c>
      <c r="M702">
        <v>20.281382812766001</v>
      </c>
      <c r="N702">
        <v>50.421000291875401</v>
      </c>
      <c r="O702">
        <v>48.891345206675801</v>
      </c>
      <c r="P702">
        <v>-8.5746699875890897E-2</v>
      </c>
      <c r="Q702">
        <v>0.17320406683880099</v>
      </c>
      <c r="R702">
        <v>0.99083447557972504</v>
      </c>
      <c r="S702" t="s">
        <v>7705</v>
      </c>
      <c r="T702" t="s">
        <v>14004</v>
      </c>
      <c r="U702" t="s">
        <v>14004</v>
      </c>
      <c r="V702" t="s">
        <v>14004</v>
      </c>
      <c r="W702" t="s">
        <v>14697</v>
      </c>
      <c r="X702">
        <v>8</v>
      </c>
      <c r="Y702" t="s">
        <v>21635</v>
      </c>
      <c r="Z702" t="s">
        <v>28412</v>
      </c>
      <c r="AA702">
        <v>0.44249611794164351</v>
      </c>
      <c r="AB702" t="str">
        <f>HYPERLINK("Melting_Curves/meltCurve_F5H0Q6_CLASRP.pdf", "Melting_Curves/meltCurve_F5H0Q6_CLASRP.pdf")</f>
        <v>Melting_Curves/meltCurve_F5H0Q6_CLASRP.pdf</v>
      </c>
    </row>
    <row r="703" spans="1:28" x14ac:dyDescent="0.25">
      <c r="A703" t="s">
        <v>707</v>
      </c>
      <c r="B703">
        <v>0.99999676499088797</v>
      </c>
      <c r="C703">
        <v>0.90351627176069704</v>
      </c>
      <c r="D703">
        <v>0.487711630642855</v>
      </c>
      <c r="E703">
        <v>0.23636430876504699</v>
      </c>
      <c r="F703">
        <v>0.16945053045646799</v>
      </c>
      <c r="G703">
        <v>0.12664753221469199</v>
      </c>
      <c r="H703">
        <v>6.8532204577091402E-2</v>
      </c>
      <c r="I703">
        <v>7.2349273104496403E-2</v>
      </c>
      <c r="J703">
        <v>5.8943229925314103E-2</v>
      </c>
      <c r="K703">
        <v>4.9671607509022699E-2</v>
      </c>
      <c r="L703">
        <v>1123.4921662673501</v>
      </c>
      <c r="M703">
        <v>24.469063180098502</v>
      </c>
      <c r="N703">
        <v>46.263865824675499</v>
      </c>
      <c r="O703">
        <v>45.611439546042703</v>
      </c>
      <c r="P703">
        <v>-0.12281398064460899</v>
      </c>
      <c r="Q703">
        <v>8.4290402416654503E-2</v>
      </c>
      <c r="R703">
        <v>0.99022921046890899</v>
      </c>
      <c r="S703" t="s">
        <v>7706</v>
      </c>
      <c r="T703" t="s">
        <v>14004</v>
      </c>
      <c r="U703" t="s">
        <v>14004</v>
      </c>
      <c r="V703" t="s">
        <v>14004</v>
      </c>
      <c r="W703" t="s">
        <v>14698</v>
      </c>
      <c r="X703">
        <v>8</v>
      </c>
      <c r="Y703" t="s">
        <v>21636</v>
      </c>
      <c r="Z703" t="s">
        <v>28413</v>
      </c>
      <c r="AA703">
        <v>0.27376273428356751</v>
      </c>
      <c r="AB703" t="str">
        <f>HYPERLINK("Melting_Curves/meltCurve_F5H0R1_TUT1.pdf", "Melting_Curves/meltCurve_F5H0R1_TUT1.pdf")</f>
        <v>Melting_Curves/meltCurve_F5H0R1_TUT1.pdf</v>
      </c>
    </row>
    <row r="704" spans="1:28" x14ac:dyDescent="0.25">
      <c r="A704" t="s">
        <v>708</v>
      </c>
      <c r="B704">
        <v>0.99999676499088797</v>
      </c>
      <c r="C704">
        <v>1.1266564768634499</v>
      </c>
      <c r="D704">
        <v>1.1249724376794501</v>
      </c>
      <c r="E704">
        <v>1.41432864612551</v>
      </c>
      <c r="F704">
        <v>1.73918013466301</v>
      </c>
      <c r="G704">
        <v>2.3641619697708198</v>
      </c>
      <c r="H704">
        <v>0.86366816215276099</v>
      </c>
      <c r="I704">
        <v>0.54969246344725198</v>
      </c>
      <c r="J704">
        <v>0.61544928969665202</v>
      </c>
      <c r="K704">
        <v>0.69908684393706</v>
      </c>
      <c r="L704">
        <v>15000</v>
      </c>
      <c r="M704">
        <v>246.13563698036299</v>
      </c>
      <c r="O704">
        <v>60.937984913696901</v>
      </c>
      <c r="P704">
        <v>-0.38229329552240898</v>
      </c>
      <c r="Q704">
        <v>0.62140901952426297</v>
      </c>
      <c r="R704">
        <v>7.8846407162693893E-2</v>
      </c>
      <c r="S704" t="s">
        <v>7707</v>
      </c>
      <c r="T704" t="s">
        <v>14004</v>
      </c>
      <c r="U704" t="s">
        <v>14004</v>
      </c>
      <c r="V704" t="s">
        <v>14004</v>
      </c>
      <c r="W704" t="s">
        <v>14699</v>
      </c>
      <c r="X704">
        <v>11</v>
      </c>
      <c r="Y704" t="s">
        <v>21637</v>
      </c>
      <c r="Z704" t="s">
        <v>28414</v>
      </c>
      <c r="AA704">
        <v>0.88573263928296131</v>
      </c>
      <c r="AB704" t="str">
        <f>HYPERLINK("Melting_Curves/meltCurve_F5H136_TCP1.pdf", "Melting_Curves/meltCurve_F5H136_TCP1.pdf")</f>
        <v>Melting_Curves/meltCurve_F5H136_TCP1.pdf</v>
      </c>
    </row>
    <row r="705" spans="1:28" x14ac:dyDescent="0.25">
      <c r="A705" t="s">
        <v>709</v>
      </c>
      <c r="B705">
        <v>0.99999676499088797</v>
      </c>
      <c r="C705">
        <v>1.01325326181588</v>
      </c>
      <c r="D705">
        <v>0.89679260380032599</v>
      </c>
      <c r="E705">
        <v>0.819802459874306</v>
      </c>
      <c r="F705">
        <v>0.54651811958353802</v>
      </c>
      <c r="G705">
        <v>0.182151652776575</v>
      </c>
      <c r="H705">
        <v>0.105802591342255</v>
      </c>
      <c r="I705">
        <v>0.106427010878101</v>
      </c>
      <c r="J705">
        <v>9.1502914179452499E-2</v>
      </c>
      <c r="K705">
        <v>0.100857608194002</v>
      </c>
      <c r="L705">
        <v>1217.1850836051899</v>
      </c>
      <c r="M705">
        <v>23.043691210412799</v>
      </c>
      <c r="N705">
        <v>53.216243183341</v>
      </c>
      <c r="O705">
        <v>52.427794035109201</v>
      </c>
      <c r="P705">
        <v>-0.101237239984434</v>
      </c>
      <c r="Q705">
        <v>7.8698652743964106E-2</v>
      </c>
      <c r="R705">
        <v>0.99261922901430499</v>
      </c>
      <c r="S705" t="s">
        <v>7708</v>
      </c>
      <c r="T705" t="s">
        <v>14004</v>
      </c>
      <c r="U705" t="s">
        <v>14004</v>
      </c>
      <c r="V705" t="s">
        <v>14004</v>
      </c>
      <c r="W705" t="s">
        <v>14700</v>
      </c>
      <c r="X705">
        <v>6</v>
      </c>
      <c r="Y705" t="s">
        <v>21638</v>
      </c>
      <c r="Z705" t="s">
        <v>28415</v>
      </c>
      <c r="AA705">
        <v>0.4822837887877035</v>
      </c>
      <c r="AB705" t="str">
        <f>HYPERLINK("Melting_Curves/meltCurve_F5H148_RRN3.pdf", "Melting_Curves/meltCurve_F5H148_RRN3.pdf")</f>
        <v>Melting_Curves/meltCurve_F5H148_RRN3.pdf</v>
      </c>
    </row>
    <row r="706" spans="1:28" x14ac:dyDescent="0.25">
      <c r="A706" t="s">
        <v>710</v>
      </c>
      <c r="B706">
        <v>0.99999676499088797</v>
      </c>
      <c r="C706">
        <v>1.07953485607245</v>
      </c>
      <c r="D706">
        <v>0.92170768075009402</v>
      </c>
      <c r="E706">
        <v>0.75984070745364996</v>
      </c>
      <c r="F706">
        <v>0.86402650139621495</v>
      </c>
      <c r="G706">
        <v>0.34931103332528102</v>
      </c>
      <c r="H706">
        <v>0.225032733446037</v>
      </c>
      <c r="I706">
        <v>0.21997714884875799</v>
      </c>
      <c r="J706">
        <v>0.23690656050022299</v>
      </c>
      <c r="K706">
        <v>0.19273728059626799</v>
      </c>
      <c r="L706">
        <v>2159.05438645102</v>
      </c>
      <c r="M706">
        <v>39.353872335193898</v>
      </c>
      <c r="N706">
        <v>55.634056890227399</v>
      </c>
      <c r="O706">
        <v>54.721475305922297</v>
      </c>
      <c r="P706">
        <v>-0.14198350025838</v>
      </c>
      <c r="Q706">
        <v>0.21029073636369999</v>
      </c>
      <c r="R706">
        <v>0.94485655393366397</v>
      </c>
      <c r="S706" t="s">
        <v>7709</v>
      </c>
      <c r="T706" t="s">
        <v>14004</v>
      </c>
      <c r="U706" t="s">
        <v>14004</v>
      </c>
      <c r="V706" t="s">
        <v>14004</v>
      </c>
      <c r="W706" t="s">
        <v>14701</v>
      </c>
      <c r="X706">
        <v>2</v>
      </c>
      <c r="Y706" t="s">
        <v>21639</v>
      </c>
      <c r="Z706" t="s">
        <v>28416</v>
      </c>
      <c r="AA706">
        <v>0.60461042688444333</v>
      </c>
      <c r="AB706" t="str">
        <f>HYPERLINK("Melting_Curves/meltCurve_F5H1B8_PLEKHB1.pdf", "Melting_Curves/meltCurve_F5H1B8_PLEKHB1.pdf")</f>
        <v>Melting_Curves/meltCurve_F5H1B8_PLEKHB1.pdf</v>
      </c>
    </row>
    <row r="707" spans="1:28" x14ac:dyDescent="0.25">
      <c r="A707" t="s">
        <v>711</v>
      </c>
      <c r="B707">
        <v>0.99999676499088797</v>
      </c>
      <c r="C707">
        <v>0.97713368802080702</v>
      </c>
      <c r="D707">
        <v>0.45299559347475299</v>
      </c>
      <c r="E707">
        <v>0.309087671089748</v>
      </c>
      <c r="F707">
        <v>0.21631251509197699</v>
      </c>
      <c r="G707">
        <v>0.15324014534556901</v>
      </c>
      <c r="H707">
        <v>6.1896173783818502E-2</v>
      </c>
      <c r="I707">
        <v>6.7571101931655997E-2</v>
      </c>
      <c r="J707">
        <v>7.9108684206275995E-2</v>
      </c>
      <c r="K707">
        <v>5.3022981747020997E-2</v>
      </c>
      <c r="L707">
        <v>1076.60738433386</v>
      </c>
      <c r="M707">
        <v>23.3511631507949</v>
      </c>
      <c r="N707">
        <v>46.5428069307697</v>
      </c>
      <c r="O707">
        <v>45.770963044820199</v>
      </c>
      <c r="P707">
        <v>-0.114971805167594</v>
      </c>
      <c r="Q707">
        <v>9.8584358166681998E-2</v>
      </c>
      <c r="R707">
        <v>0.96499999293436201</v>
      </c>
      <c r="S707" t="s">
        <v>7710</v>
      </c>
      <c r="T707" t="s">
        <v>14004</v>
      </c>
      <c r="U707" t="s">
        <v>14004</v>
      </c>
      <c r="V707" t="s">
        <v>14004</v>
      </c>
      <c r="W707" t="s">
        <v>14064</v>
      </c>
      <c r="X707">
        <v>8</v>
      </c>
      <c r="Y707" t="s">
        <v>21640</v>
      </c>
      <c r="Z707" t="s">
        <v>28417</v>
      </c>
      <c r="AA707">
        <v>0.29171671812350719</v>
      </c>
      <c r="AB707" t="str">
        <f>HYPERLINK("Melting_Curves/meltCurve_F5H1D6_POLE.pdf", "Melting_Curves/meltCurve_F5H1D6_POLE.pdf")</f>
        <v>Melting_Curves/meltCurve_F5H1D6_POLE.pdf</v>
      </c>
    </row>
    <row r="708" spans="1:28" x14ac:dyDescent="0.25">
      <c r="A708" t="s">
        <v>712</v>
      </c>
      <c r="B708">
        <v>0.99999676499088797</v>
      </c>
      <c r="C708">
        <v>1.0685311743411701</v>
      </c>
      <c r="D708">
        <v>0.95007296462884205</v>
      </c>
      <c r="E708">
        <v>0.80959219600904497</v>
      </c>
      <c r="F708">
        <v>0.74173250026481397</v>
      </c>
      <c r="G708">
        <v>0.50571561610249505</v>
      </c>
      <c r="H708">
        <v>0.25137659657789002</v>
      </c>
      <c r="I708">
        <v>0.21385627355064499</v>
      </c>
      <c r="J708">
        <v>0.194527988933376</v>
      </c>
      <c r="K708">
        <v>0.14197963307007899</v>
      </c>
      <c r="L708">
        <v>829.38945950335801</v>
      </c>
      <c r="M708">
        <v>14.902027694810201</v>
      </c>
      <c r="N708">
        <v>56.531234781466203</v>
      </c>
      <c r="O708">
        <v>54.682744241580103</v>
      </c>
      <c r="P708">
        <v>-6.1118285970543897E-2</v>
      </c>
      <c r="Q708">
        <v>0.103002818757243</v>
      </c>
      <c r="R708">
        <v>0.98685506412758395</v>
      </c>
      <c r="S708" t="s">
        <v>7711</v>
      </c>
      <c r="T708" t="s">
        <v>14004</v>
      </c>
      <c r="U708" t="s">
        <v>14004</v>
      </c>
      <c r="V708" t="s">
        <v>14004</v>
      </c>
      <c r="W708" t="s">
        <v>14702</v>
      </c>
      <c r="X708">
        <v>8</v>
      </c>
      <c r="Y708" t="s">
        <v>21641</v>
      </c>
      <c r="Z708" t="s">
        <v>28418</v>
      </c>
      <c r="AA708">
        <v>0.58764450926513612</v>
      </c>
      <c r="AB708" t="str">
        <f>HYPERLINK("Melting_Curves/meltCurve_F5H1F3_FBLN2.pdf", "Melting_Curves/meltCurve_F5H1F3_FBLN2.pdf")</f>
        <v>Melting_Curves/meltCurve_F5H1F3_FBLN2.pdf</v>
      </c>
    </row>
    <row r="709" spans="1:28" x14ac:dyDescent="0.25">
      <c r="A709" t="s">
        <v>713</v>
      </c>
      <c r="B709">
        <v>0.99999676499088797</v>
      </c>
      <c r="C709">
        <v>0.97139710187524497</v>
      </c>
      <c r="D709">
        <v>0.91884595514478196</v>
      </c>
      <c r="E709">
        <v>0.60869305730249901</v>
      </c>
      <c r="F709">
        <v>0.27777101025260797</v>
      </c>
      <c r="G709">
        <v>0.19583608916703599</v>
      </c>
      <c r="H709">
        <v>0.123740040671191</v>
      </c>
      <c r="I709">
        <v>0.12143183540896101</v>
      </c>
      <c r="J709">
        <v>0.11811901561560099</v>
      </c>
      <c r="K709">
        <v>0.118158060251647</v>
      </c>
      <c r="L709">
        <v>1221.7526271773099</v>
      </c>
      <c r="M709">
        <v>24.4051431277673</v>
      </c>
      <c r="N709">
        <v>50.633366397746997</v>
      </c>
      <c r="O709">
        <v>49.728790603438398</v>
      </c>
      <c r="P709">
        <v>-0.107909436796776</v>
      </c>
      <c r="Q709">
        <v>0.120492528515296</v>
      </c>
      <c r="R709">
        <v>0.99896558366463495</v>
      </c>
      <c r="S709" t="s">
        <v>7712</v>
      </c>
      <c r="T709" t="s">
        <v>14004</v>
      </c>
      <c r="U709" t="s">
        <v>14004</v>
      </c>
      <c r="V709" t="s">
        <v>14004</v>
      </c>
      <c r="W709" t="s">
        <v>14703</v>
      </c>
      <c r="X709">
        <v>13</v>
      </c>
      <c r="Y709" t="s">
        <v>21642</v>
      </c>
      <c r="Z709" t="s">
        <v>28419</v>
      </c>
      <c r="AA709">
        <v>0.42371319216826309</v>
      </c>
      <c r="AB709" t="str">
        <f>HYPERLINK("Melting_Curves/meltCurve_F5H1G9_ABI1.pdf", "Melting_Curves/meltCurve_F5H1G9_ABI1.pdf")</f>
        <v>Melting_Curves/meltCurve_F5H1G9_ABI1.pdf</v>
      </c>
    </row>
    <row r="710" spans="1:28" x14ac:dyDescent="0.25">
      <c r="A710" t="s">
        <v>714</v>
      </c>
      <c r="B710">
        <v>0.99999676499088797</v>
      </c>
      <c r="C710">
        <v>1.1313730625068401</v>
      </c>
      <c r="D710">
        <v>0.97174299238358297</v>
      </c>
      <c r="E710">
        <v>0.63248922217446801</v>
      </c>
      <c r="F710">
        <v>0.75382402822091399</v>
      </c>
      <c r="G710">
        <v>0.40554564403690102</v>
      </c>
      <c r="H710">
        <v>0.24997083495033201</v>
      </c>
      <c r="I710">
        <v>0.20333265049573301</v>
      </c>
      <c r="J710">
        <v>0.18977189674619999</v>
      </c>
      <c r="K710">
        <v>0.13811219918026699</v>
      </c>
      <c r="L710">
        <v>730.52491016328304</v>
      </c>
      <c r="M710">
        <v>13.404161204850499</v>
      </c>
      <c r="N710">
        <v>55.411022311675502</v>
      </c>
      <c r="O710">
        <v>53.329722188276698</v>
      </c>
      <c r="P710">
        <v>-5.66302762290119E-2</v>
      </c>
      <c r="Q710">
        <v>9.8905750925249294E-2</v>
      </c>
      <c r="R710">
        <v>0.94070963974278798</v>
      </c>
      <c r="S710" t="s">
        <v>7713</v>
      </c>
      <c r="T710" t="s">
        <v>14004</v>
      </c>
      <c r="U710" t="s">
        <v>14004</v>
      </c>
      <c r="V710" t="s">
        <v>14004</v>
      </c>
      <c r="W710" t="s">
        <v>14704</v>
      </c>
      <c r="X710">
        <v>8</v>
      </c>
      <c r="Y710" t="s">
        <v>21643</v>
      </c>
      <c r="Z710" t="s">
        <v>28420</v>
      </c>
      <c r="AA710">
        <v>0.55468830840949768</v>
      </c>
      <c r="AB710" t="str">
        <f>HYPERLINK("Melting_Curves/meltCurve_F5H1L4_TXNRD2.pdf", "Melting_Curves/meltCurve_F5H1L4_TXNRD2.pdf")</f>
        <v>Melting_Curves/meltCurve_F5H1L4_TXNRD2.pdf</v>
      </c>
    </row>
    <row r="711" spans="1:28" x14ac:dyDescent="0.25">
      <c r="A711" t="s">
        <v>715</v>
      </c>
      <c r="B711">
        <v>0.99999676499088797</v>
      </c>
      <c r="C711">
        <v>0.99892140028967202</v>
      </c>
      <c r="D711">
        <v>0.97090874794875304</v>
      </c>
      <c r="E711">
        <v>0.82703318099872403</v>
      </c>
      <c r="F711">
        <v>0.68160843044607999</v>
      </c>
      <c r="G711">
        <v>0.54364171307166498</v>
      </c>
      <c r="H711">
        <v>0.35228718932758502</v>
      </c>
      <c r="I711">
        <v>0.42004272159450901</v>
      </c>
      <c r="J711">
        <v>0.44382218090179198</v>
      </c>
      <c r="K711">
        <v>0.51621616881481203</v>
      </c>
      <c r="L711">
        <v>1097.54801845818</v>
      </c>
      <c r="M711">
        <v>21.058471531911302</v>
      </c>
      <c r="N711">
        <v>57.5281178918734</v>
      </c>
      <c r="O711">
        <v>51.655912978861103</v>
      </c>
      <c r="P711">
        <v>-5.7995805807373402E-2</v>
      </c>
      <c r="Q711">
        <v>0.43096603169352399</v>
      </c>
      <c r="R711">
        <v>0.96463416405142399</v>
      </c>
      <c r="S711" t="s">
        <v>7714</v>
      </c>
      <c r="T711" t="s">
        <v>14004</v>
      </c>
      <c r="U711" t="s">
        <v>14004</v>
      </c>
      <c r="V711" t="s">
        <v>14004</v>
      </c>
      <c r="W711" t="s">
        <v>14705</v>
      </c>
      <c r="X711">
        <v>18</v>
      </c>
      <c r="Y711" t="s">
        <v>21644</v>
      </c>
      <c r="Z711" t="s">
        <v>28421</v>
      </c>
      <c r="AA711">
        <v>0.6680104650571691</v>
      </c>
      <c r="AB711" t="str">
        <f>HYPERLINK("Melting_Curves/meltCurve_F5H1N7_KIAA1211.pdf", "Melting_Curves/meltCurve_F5H1N7_KIAA1211.pdf")</f>
        <v>Melting_Curves/meltCurve_F5H1N7_KIAA1211.pdf</v>
      </c>
    </row>
    <row r="712" spans="1:28" x14ac:dyDescent="0.25">
      <c r="A712" t="s">
        <v>716</v>
      </c>
      <c r="B712">
        <v>0.99999676499088797</v>
      </c>
      <c r="C712">
        <v>0.94712129821634905</v>
      </c>
      <c r="D712">
        <v>0.88606865834655801</v>
      </c>
      <c r="E712">
        <v>0.69074596166970104</v>
      </c>
      <c r="F712">
        <v>0.60392482089611599</v>
      </c>
      <c r="G712">
        <v>0.51460666232576802</v>
      </c>
      <c r="H712">
        <v>0.39438729580965898</v>
      </c>
      <c r="I712">
        <v>0.46573750175616502</v>
      </c>
      <c r="J712">
        <v>0.43842854939016401</v>
      </c>
      <c r="K712">
        <v>0.53011791967479205</v>
      </c>
      <c r="L712">
        <v>854.58669624273898</v>
      </c>
      <c r="M712">
        <v>17.358014929195999</v>
      </c>
      <c r="N712">
        <v>57.154354568251001</v>
      </c>
      <c r="O712">
        <v>48.5934716669287</v>
      </c>
      <c r="P712">
        <v>-4.8681276643465901E-2</v>
      </c>
      <c r="Q712">
        <v>0.45490137014293103</v>
      </c>
      <c r="R712">
        <v>0.96883032224686705</v>
      </c>
      <c r="S712" t="s">
        <v>7715</v>
      </c>
      <c r="T712" t="s">
        <v>14004</v>
      </c>
      <c r="U712" t="s">
        <v>14004</v>
      </c>
      <c r="V712" t="s">
        <v>14004</v>
      </c>
      <c r="W712" t="s">
        <v>14706</v>
      </c>
      <c r="X712">
        <v>7</v>
      </c>
      <c r="Y712" t="s">
        <v>21645</v>
      </c>
      <c r="Z712" t="s">
        <v>28422</v>
      </c>
      <c r="AA712">
        <v>0.63276089863452423</v>
      </c>
      <c r="AB712" t="str">
        <f>HYPERLINK("Melting_Curves/meltCurve_F5H1R7_FLJ22184.pdf", "Melting_Curves/meltCurve_F5H1R7_FLJ22184.pdf")</f>
        <v>Melting_Curves/meltCurve_F5H1R7_FLJ22184.pdf</v>
      </c>
    </row>
    <row r="713" spans="1:28" x14ac:dyDescent="0.25">
      <c r="A713" t="s">
        <v>717</v>
      </c>
      <c r="B713">
        <v>0.99999676499088797</v>
      </c>
      <c r="C713">
        <v>0.89485543449379801</v>
      </c>
      <c r="D713">
        <v>0.80302426325109599</v>
      </c>
      <c r="E713">
        <v>0.64692391219476397</v>
      </c>
      <c r="F713">
        <v>0.64683923431439505</v>
      </c>
      <c r="G713">
        <v>0.58140400975237005</v>
      </c>
      <c r="H713">
        <v>0.43385065410387802</v>
      </c>
      <c r="I713">
        <v>0.37505725300933901</v>
      </c>
      <c r="J713">
        <v>0.37631474555479599</v>
      </c>
      <c r="K713">
        <v>0.43076685289431799</v>
      </c>
      <c r="L713">
        <v>460.34115136267002</v>
      </c>
      <c r="M713">
        <v>9.03428101238271</v>
      </c>
      <c r="N713">
        <v>57.980528450963199</v>
      </c>
      <c r="O713">
        <v>48.644228706039399</v>
      </c>
      <c r="P713">
        <v>-3.10061104244461E-2</v>
      </c>
      <c r="Q713">
        <v>0.332679868011659</v>
      </c>
      <c r="R713">
        <v>0.96044076406974799</v>
      </c>
      <c r="S713" t="s">
        <v>7716</v>
      </c>
      <c r="T713" t="s">
        <v>14004</v>
      </c>
      <c r="U713" t="s">
        <v>14004</v>
      </c>
      <c r="V713" t="s">
        <v>14004</v>
      </c>
      <c r="W713" t="s">
        <v>14707</v>
      </c>
      <c r="X713">
        <v>2</v>
      </c>
      <c r="Y713" t="s">
        <v>21646</v>
      </c>
      <c r="Z713" t="s">
        <v>28423</v>
      </c>
      <c r="AA713">
        <v>0.60779731639416668</v>
      </c>
      <c r="AB713" t="str">
        <f>HYPERLINK("Melting_Curves/meltCurve_F5H1U2_RNF4.pdf", "Melting_Curves/meltCurve_F5H1U2_RNF4.pdf")</f>
        <v>Melting_Curves/meltCurve_F5H1U2_RNF4.pdf</v>
      </c>
    </row>
    <row r="714" spans="1:28" x14ac:dyDescent="0.25">
      <c r="A714" t="s">
        <v>718</v>
      </c>
      <c r="B714">
        <v>0.99999676499088797</v>
      </c>
      <c r="C714">
        <v>0.91225230140079405</v>
      </c>
      <c r="D714">
        <v>0.73212094280664697</v>
      </c>
      <c r="E714">
        <v>0.36171477660593099</v>
      </c>
      <c r="F714">
        <v>0.29137960642619898</v>
      </c>
      <c r="G714">
        <v>0.19645294657753001</v>
      </c>
      <c r="H714">
        <v>0.130185961520144</v>
      </c>
      <c r="I714">
        <v>8.8436889346200406E-2</v>
      </c>
      <c r="J714">
        <v>6.2735311964481899E-2</v>
      </c>
      <c r="K714">
        <v>6.3819242859122605E-2</v>
      </c>
      <c r="L714">
        <v>802.33379222441397</v>
      </c>
      <c r="M714">
        <v>16.6588188358085</v>
      </c>
      <c r="N714">
        <v>48.702491558133303</v>
      </c>
      <c r="O714">
        <v>47.484735872165999</v>
      </c>
      <c r="P714">
        <v>-8.0318485934381303E-2</v>
      </c>
      <c r="Q714">
        <v>8.4293548222656195E-2</v>
      </c>
      <c r="R714">
        <v>0.98878544087068498</v>
      </c>
      <c r="S714" t="s">
        <v>7717</v>
      </c>
      <c r="T714" t="s">
        <v>14004</v>
      </c>
      <c r="U714" t="s">
        <v>14004</v>
      </c>
      <c r="V714" t="s">
        <v>14004</v>
      </c>
      <c r="W714" t="s">
        <v>14708</v>
      </c>
      <c r="X714">
        <v>4</v>
      </c>
      <c r="Y714" t="s">
        <v>21647</v>
      </c>
      <c r="Z714" t="s">
        <v>28424</v>
      </c>
      <c r="AA714">
        <v>0.35240763503082428</v>
      </c>
      <c r="AB714" t="str">
        <f>HYPERLINK("Melting_Curves/meltCurve_F5H1Z6_STARD10.pdf", "Melting_Curves/meltCurve_F5H1Z6_STARD10.pdf")</f>
        <v>Melting_Curves/meltCurve_F5H1Z6_STARD10.pdf</v>
      </c>
    </row>
    <row r="715" spans="1:28" x14ac:dyDescent="0.25">
      <c r="A715" t="s">
        <v>719</v>
      </c>
      <c r="B715">
        <v>0.99999676499088797</v>
      </c>
      <c r="C715">
        <v>1.1362453460536099</v>
      </c>
      <c r="D715">
        <v>1.0668898174264401</v>
      </c>
      <c r="E715">
        <v>0.92231139681683105</v>
      </c>
      <c r="F715">
        <v>0.65407785202121005</v>
      </c>
      <c r="G715">
        <v>0.64595817863037497</v>
      </c>
      <c r="H715">
        <v>0.32331094013591399</v>
      </c>
      <c r="I715">
        <v>0.21672307723359399</v>
      </c>
      <c r="J715">
        <v>0.163434236149959</v>
      </c>
      <c r="K715">
        <v>0.11031195925140599</v>
      </c>
      <c r="L715">
        <v>824.98179811421801</v>
      </c>
      <c r="M715">
        <v>14.3717099826964</v>
      </c>
      <c r="N715">
        <v>57.813302636264098</v>
      </c>
      <c r="O715">
        <v>56.3260962554507</v>
      </c>
      <c r="P715">
        <v>-6.0703828238065097E-2</v>
      </c>
      <c r="Q715">
        <v>4.8463598214622303E-2</v>
      </c>
      <c r="R715">
        <v>0.96455788869485204</v>
      </c>
      <c r="S715" t="s">
        <v>7718</v>
      </c>
      <c r="T715" t="s">
        <v>14004</v>
      </c>
      <c r="U715" t="s">
        <v>14004</v>
      </c>
      <c r="V715" t="s">
        <v>14004</v>
      </c>
      <c r="W715" t="s">
        <v>14709</v>
      </c>
      <c r="X715">
        <v>3</v>
      </c>
      <c r="Y715" t="s">
        <v>21648</v>
      </c>
      <c r="Z715" t="s">
        <v>28425</v>
      </c>
      <c r="AA715">
        <v>0.61487731844446314</v>
      </c>
      <c r="AB715" t="str">
        <f>HYPERLINK("Melting_Curves/meltCurve_F5H254_TMEM135.pdf", "Melting_Curves/meltCurve_F5H254_TMEM135.pdf")</f>
        <v>Melting_Curves/meltCurve_F5H254_TMEM135.pdf</v>
      </c>
    </row>
    <row r="716" spans="1:28" x14ac:dyDescent="0.25">
      <c r="A716" t="s">
        <v>720</v>
      </c>
      <c r="B716">
        <v>0.99999676499088797</v>
      </c>
      <c r="C716">
        <v>1.0766724907332601</v>
      </c>
      <c r="D716">
        <v>1.1883782875367099</v>
      </c>
      <c r="E716">
        <v>1.27409519573852</v>
      </c>
      <c r="F716">
        <v>1.4583200022212699</v>
      </c>
      <c r="G716">
        <v>0.95619335376292602</v>
      </c>
      <c r="H716">
        <v>0.64987510438755802</v>
      </c>
      <c r="I716">
        <v>0.46454187655650098</v>
      </c>
      <c r="J716">
        <v>0.34786982250965198</v>
      </c>
      <c r="K716">
        <v>0.495334641219423</v>
      </c>
      <c r="L716">
        <v>3208.6487611428101</v>
      </c>
      <c r="M716">
        <v>53.229662092974301</v>
      </c>
      <c r="N716">
        <v>62.533329309966</v>
      </c>
      <c r="O716">
        <v>60.194438841279101</v>
      </c>
      <c r="P716">
        <v>-0.12676416124909901</v>
      </c>
      <c r="Q716">
        <v>0.42659846492446402</v>
      </c>
      <c r="R716">
        <v>0.73910046325140499</v>
      </c>
      <c r="S716" t="s">
        <v>7719</v>
      </c>
      <c r="T716" t="s">
        <v>14004</v>
      </c>
      <c r="U716" t="s">
        <v>14004</v>
      </c>
      <c r="V716" t="s">
        <v>14004</v>
      </c>
      <c r="W716" t="s">
        <v>14710</v>
      </c>
      <c r="X716">
        <v>1</v>
      </c>
      <c r="Y716" t="s">
        <v>21649</v>
      </c>
      <c r="Z716" t="s">
        <v>28426</v>
      </c>
      <c r="AA716">
        <v>0.81553076835456773</v>
      </c>
      <c r="AB716" t="str">
        <f>HYPERLINK("Melting_Curves/meltCurve_F5H269_DMXL1.pdf", "Melting_Curves/meltCurve_F5H269_DMXL1.pdf")</f>
        <v>Melting_Curves/meltCurve_F5H269_DMXL1.pdf</v>
      </c>
    </row>
    <row r="717" spans="1:28" x14ac:dyDescent="0.25">
      <c r="A717" t="s">
        <v>721</v>
      </c>
      <c r="B717">
        <v>0.99999676499088797</v>
      </c>
      <c r="C717">
        <v>0.68439129017591105</v>
      </c>
      <c r="D717">
        <v>0.338982630189057</v>
      </c>
      <c r="E717">
        <v>0.25710654917383902</v>
      </c>
      <c r="F717">
        <v>0.18684875031437301</v>
      </c>
      <c r="G717">
        <v>0.16889763381387299</v>
      </c>
      <c r="H717">
        <v>8.6642253856341903E-2</v>
      </c>
      <c r="I717">
        <v>0.12543518128484801</v>
      </c>
      <c r="J717">
        <v>0.111757104089899</v>
      </c>
      <c r="K717">
        <v>5.95466334915392E-2</v>
      </c>
      <c r="L717">
        <v>1037.96778867287</v>
      </c>
      <c r="M717">
        <v>23.519784920836099</v>
      </c>
      <c r="N717">
        <v>44.684839841267703</v>
      </c>
      <c r="O717">
        <v>43.816369175216799</v>
      </c>
      <c r="P717">
        <v>-0.11724896564703</v>
      </c>
      <c r="Q717">
        <v>0.12629544735039899</v>
      </c>
      <c r="R717">
        <v>0.97489864399084802</v>
      </c>
      <c r="S717" t="s">
        <v>7720</v>
      </c>
      <c r="T717" t="s">
        <v>14004</v>
      </c>
      <c r="U717" t="s">
        <v>14004</v>
      </c>
      <c r="V717" t="s">
        <v>14004</v>
      </c>
      <c r="W717" t="s">
        <v>14711</v>
      </c>
      <c r="X717">
        <v>7</v>
      </c>
      <c r="Y717" t="s">
        <v>21650</v>
      </c>
      <c r="Z717" t="s">
        <v>28427</v>
      </c>
      <c r="AA717">
        <v>0.25796622545966608</v>
      </c>
      <c r="AB717" t="str">
        <f>HYPERLINK("Melting_Curves/meltCurve_F5H2H5_ANKLE2.pdf", "Melting_Curves/meltCurve_F5H2H5_ANKLE2.pdf")</f>
        <v>Melting_Curves/meltCurve_F5H2H5_ANKLE2.pdf</v>
      </c>
    </row>
    <row r="718" spans="1:28" x14ac:dyDescent="0.25">
      <c r="A718" t="s">
        <v>722</v>
      </c>
      <c r="B718">
        <v>0.99999676499088797</v>
      </c>
      <c r="C718">
        <v>1.4084175640335701</v>
      </c>
      <c r="D718">
        <v>1.0220469475737699</v>
      </c>
      <c r="E718">
        <v>0.49622974227462102</v>
      </c>
      <c r="F718">
        <v>0.38940403771488502</v>
      </c>
      <c r="G718">
        <v>0.31382775657328399</v>
      </c>
      <c r="H718">
        <v>0.115073478301579</v>
      </c>
      <c r="I718">
        <v>8.6568454724083102E-2</v>
      </c>
      <c r="J718">
        <v>4.6112891969633203E-2</v>
      </c>
      <c r="K718">
        <v>4.4385664387205002E-2</v>
      </c>
      <c r="L718">
        <v>1095.04536156672</v>
      </c>
      <c r="M718">
        <v>21.568497889056498</v>
      </c>
      <c r="N718">
        <v>51.255775096148597</v>
      </c>
      <c r="O718">
        <v>50.340207238837003</v>
      </c>
      <c r="P718">
        <v>-9.7225529656574203E-2</v>
      </c>
      <c r="Q718">
        <v>9.2336595777960703E-2</v>
      </c>
      <c r="R718">
        <v>0.88406044302388698</v>
      </c>
      <c r="S718" t="s">
        <v>7721</v>
      </c>
      <c r="T718" t="s">
        <v>14004</v>
      </c>
      <c r="U718" t="s">
        <v>14004</v>
      </c>
      <c r="V718" t="s">
        <v>14004</v>
      </c>
      <c r="W718" t="s">
        <v>14712</v>
      </c>
      <c r="X718">
        <v>2</v>
      </c>
      <c r="Y718" t="s">
        <v>21651</v>
      </c>
      <c r="Z718" t="s">
        <v>28428</v>
      </c>
      <c r="AA718">
        <v>0.42912041197353112</v>
      </c>
      <c r="AB718" t="str">
        <f>HYPERLINK("Melting_Curves/meltCurve_F5H2J3_VMP1.pdf", "Melting_Curves/meltCurve_F5H2J3_VMP1.pdf")</f>
        <v>Melting_Curves/meltCurve_F5H2J3_VMP1.pdf</v>
      </c>
    </row>
    <row r="719" spans="1:28" x14ac:dyDescent="0.25">
      <c r="A719" t="s">
        <v>723</v>
      </c>
      <c r="B719">
        <v>0.99999676499088797</v>
      </c>
      <c r="C719">
        <v>0.90734784696113502</v>
      </c>
      <c r="D719">
        <v>0.99276360673393504</v>
      </c>
      <c r="E719">
        <v>1.17421506450005</v>
      </c>
      <c r="F719">
        <v>1.1298165117574499</v>
      </c>
      <c r="G719">
        <v>0.95188945676079895</v>
      </c>
      <c r="H719">
        <v>0.69285355427337803</v>
      </c>
      <c r="I719">
        <v>0.59050735382911601</v>
      </c>
      <c r="J719">
        <v>0.47392332417400002</v>
      </c>
      <c r="K719">
        <v>0.70401639511644099</v>
      </c>
      <c r="L719">
        <v>3076.1242668560999</v>
      </c>
      <c r="M719">
        <v>51.745724412782899</v>
      </c>
      <c r="O719">
        <v>59.358343053857197</v>
      </c>
      <c r="P719">
        <v>-8.9969681517270694E-2</v>
      </c>
      <c r="Q719">
        <v>0.587177711515389</v>
      </c>
      <c r="R719">
        <v>0.83161540479631302</v>
      </c>
      <c r="S719" t="s">
        <v>7722</v>
      </c>
      <c r="T719" t="s">
        <v>14004</v>
      </c>
      <c r="U719" t="s">
        <v>14004</v>
      </c>
      <c r="V719" t="s">
        <v>14004</v>
      </c>
      <c r="W719" t="s">
        <v>14713</v>
      </c>
      <c r="X719">
        <v>11</v>
      </c>
      <c r="Y719" t="s">
        <v>21652</v>
      </c>
      <c r="Z719" t="s">
        <v>28429</v>
      </c>
      <c r="AA719">
        <v>0.85578278604867231</v>
      </c>
      <c r="AB719" t="str">
        <f>HYPERLINK("Melting_Curves/meltCurve_F5H2Q7_KIAA1715.pdf", "Melting_Curves/meltCurve_F5H2Q7_KIAA1715.pdf")</f>
        <v>Melting_Curves/meltCurve_F5H2Q7_KIAA1715.pdf</v>
      </c>
    </row>
    <row r="720" spans="1:28" x14ac:dyDescent="0.25">
      <c r="A720" t="s">
        <v>724</v>
      </c>
      <c r="B720">
        <v>0.99999676499088797</v>
      </c>
      <c r="C720">
        <v>0.961720292823108</v>
      </c>
      <c r="D720">
        <v>0.97814920526619298</v>
      </c>
      <c r="E720">
        <v>0.86935416483354699</v>
      </c>
      <c r="F720">
        <v>0.33666894130802599</v>
      </c>
      <c r="G720">
        <v>0.222350832829698</v>
      </c>
      <c r="H720">
        <v>0.12696408342204901</v>
      </c>
      <c r="I720">
        <v>0.119593817330808</v>
      </c>
      <c r="J720">
        <v>0.119263096963306</v>
      </c>
      <c r="K720">
        <v>0.120814580568119</v>
      </c>
      <c r="L720">
        <v>1955.3479169735299</v>
      </c>
      <c r="M720">
        <v>37.813092316871803</v>
      </c>
      <c r="N720">
        <v>52.135502388717804</v>
      </c>
      <c r="O720">
        <v>51.566878331977001</v>
      </c>
      <c r="P720">
        <v>-0.159024710396759</v>
      </c>
      <c r="Q720">
        <v>0.13253467102777799</v>
      </c>
      <c r="R720">
        <v>0.99563626276116302</v>
      </c>
      <c r="S720" t="s">
        <v>7723</v>
      </c>
      <c r="T720" t="s">
        <v>14004</v>
      </c>
      <c r="U720" t="s">
        <v>14004</v>
      </c>
      <c r="V720" t="s">
        <v>14004</v>
      </c>
      <c r="W720" t="s">
        <v>14714</v>
      </c>
      <c r="X720">
        <v>29</v>
      </c>
      <c r="Y720" t="s">
        <v>21653</v>
      </c>
      <c r="Z720" t="s">
        <v>28430</v>
      </c>
      <c r="AA720">
        <v>0.47463120385909208</v>
      </c>
      <c r="AB720" t="str">
        <f>HYPERLINK("Melting_Curves/meltCurve_F5H2S7_DCTN2.pdf", "Melting_Curves/meltCurve_F5H2S7_DCTN2.pdf")</f>
        <v>Melting_Curves/meltCurve_F5H2S7_DCTN2.pdf</v>
      </c>
    </row>
    <row r="721" spans="1:28" x14ac:dyDescent="0.25">
      <c r="A721" t="s">
        <v>725</v>
      </c>
      <c r="B721">
        <v>0.99999676499088797</v>
      </c>
      <c r="C721">
        <v>0.946058984437813</v>
      </c>
      <c r="D721">
        <v>0.96036463635778102</v>
      </c>
      <c r="E721">
        <v>1.019456129455</v>
      </c>
      <c r="F721">
        <v>0.521907445134971</v>
      </c>
      <c r="G721">
        <v>0.25709701070747198</v>
      </c>
      <c r="H721">
        <v>0.111956452163091</v>
      </c>
      <c r="I721">
        <v>0.10630297143673299</v>
      </c>
      <c r="J721">
        <v>9.6663343609535102E-2</v>
      </c>
      <c r="K721">
        <v>7.94501603490161E-2</v>
      </c>
      <c r="L721">
        <v>1882.6629389549901</v>
      </c>
      <c r="M721">
        <v>35.338207968562003</v>
      </c>
      <c r="N721">
        <v>53.634094672386802</v>
      </c>
      <c r="O721">
        <v>53.105822110877902</v>
      </c>
      <c r="P721">
        <v>-0.14885727342146901</v>
      </c>
      <c r="Q721">
        <v>0.105199562039895</v>
      </c>
      <c r="R721">
        <v>0.98957693378211198</v>
      </c>
      <c r="S721" t="s">
        <v>7724</v>
      </c>
      <c r="T721" t="s">
        <v>14004</v>
      </c>
      <c r="U721" t="s">
        <v>14004</v>
      </c>
      <c r="V721" t="s">
        <v>14004</v>
      </c>
      <c r="W721" t="s">
        <v>14715</v>
      </c>
      <c r="X721">
        <v>18</v>
      </c>
      <c r="Y721" t="s">
        <v>21654</v>
      </c>
      <c r="Z721" t="s">
        <v>28431</v>
      </c>
      <c r="AA721">
        <v>0.50538138671334254</v>
      </c>
      <c r="AB721" t="str">
        <f>HYPERLINK("Melting_Curves/meltCurve_F5H2U2_PRPF4B.pdf", "Melting_Curves/meltCurve_F5H2U2_PRPF4B.pdf")</f>
        <v>Melting_Curves/meltCurve_F5H2U2_PRPF4B.pdf</v>
      </c>
    </row>
    <row r="722" spans="1:28" x14ac:dyDescent="0.25">
      <c r="A722" t="s">
        <v>726</v>
      </c>
      <c r="B722">
        <v>0.99999676499088797</v>
      </c>
      <c r="C722">
        <v>0.99120437529676697</v>
      </c>
      <c r="D722">
        <v>0.92402895267617102</v>
      </c>
      <c r="E722">
        <v>0.73174027156006705</v>
      </c>
      <c r="F722">
        <v>0.57436980396432502</v>
      </c>
      <c r="G722">
        <v>0.38793903544339398</v>
      </c>
      <c r="H722">
        <v>0.27084147017240101</v>
      </c>
      <c r="I722">
        <v>0.351653979664514</v>
      </c>
      <c r="J722">
        <v>0.48954033003570002</v>
      </c>
      <c r="K722">
        <v>0.51161453060306905</v>
      </c>
      <c r="L722">
        <v>1204.82898466867</v>
      </c>
      <c r="M722">
        <v>24.011178162069001</v>
      </c>
      <c r="N722">
        <v>53.796957946267902</v>
      </c>
      <c r="O722">
        <v>49.833675705029499</v>
      </c>
      <c r="P722">
        <v>-7.2204433001433602E-2</v>
      </c>
      <c r="Q722">
        <v>0.40058658130480401</v>
      </c>
      <c r="R722">
        <v>0.92935160644731796</v>
      </c>
      <c r="S722" t="s">
        <v>7725</v>
      </c>
      <c r="T722" t="s">
        <v>14004</v>
      </c>
      <c r="U722" t="s">
        <v>14004</v>
      </c>
      <c r="V722" t="s">
        <v>14004</v>
      </c>
      <c r="W722" t="s">
        <v>14716</v>
      </c>
      <c r="X722">
        <v>10</v>
      </c>
      <c r="Y722" t="s">
        <v>21655</v>
      </c>
      <c r="Z722" t="s">
        <v>28432</v>
      </c>
      <c r="AA722">
        <v>0.6097625083380519</v>
      </c>
      <c r="AB722" t="str">
        <f>HYPERLINK("Melting_Curves/meltCurve_F5H2X7_CIZ1.pdf", "Melting_Curves/meltCurve_F5H2X7_CIZ1.pdf")</f>
        <v>Melting_Curves/meltCurve_F5H2X7_CIZ1.pdf</v>
      </c>
    </row>
    <row r="723" spans="1:28" x14ac:dyDescent="0.25">
      <c r="A723" t="s">
        <v>727</v>
      </c>
      <c r="B723">
        <v>0.99999676499088797</v>
      </c>
      <c r="C723">
        <v>0.87840111310875901</v>
      </c>
      <c r="D723">
        <v>0.53995015825872905</v>
      </c>
      <c r="E723">
        <v>0.37879518346017299</v>
      </c>
      <c r="F723">
        <v>0.29813256933570298</v>
      </c>
      <c r="G723">
        <v>0.15247586644152</v>
      </c>
      <c r="H723">
        <v>9.1243124395862296E-2</v>
      </c>
      <c r="I723">
        <v>0.109356340795333</v>
      </c>
      <c r="J723">
        <v>9.2727885479885502E-2</v>
      </c>
      <c r="K723">
        <v>8.9041440927096302E-2</v>
      </c>
      <c r="L723">
        <v>718.80249057192702</v>
      </c>
      <c r="M723">
        <v>15.2882679281207</v>
      </c>
      <c r="N723">
        <v>47.653626727755999</v>
      </c>
      <c r="O723">
        <v>46.234207033709303</v>
      </c>
      <c r="P723">
        <v>-7.5034523867010205E-2</v>
      </c>
      <c r="Q723">
        <v>9.2418819325430904E-2</v>
      </c>
      <c r="R723">
        <v>0.98166018933188504</v>
      </c>
      <c r="S723" t="s">
        <v>7726</v>
      </c>
      <c r="T723" t="s">
        <v>14004</v>
      </c>
      <c r="U723" t="s">
        <v>14004</v>
      </c>
      <c r="V723" t="s">
        <v>14004</v>
      </c>
      <c r="W723" t="s">
        <v>14717</v>
      </c>
      <c r="X723">
        <v>15</v>
      </c>
      <c r="Y723" t="s">
        <v>21656</v>
      </c>
      <c r="Z723" t="s">
        <v>28433</v>
      </c>
      <c r="AA723">
        <v>0.32837400357668201</v>
      </c>
      <c r="AB723" t="str">
        <f>HYPERLINK("Melting_Curves/meltCurve_F5H315_XAB2.pdf", "Melting_Curves/meltCurve_F5H315_XAB2.pdf")</f>
        <v>Melting_Curves/meltCurve_F5H315_XAB2.pdf</v>
      </c>
    </row>
    <row r="724" spans="1:28" x14ac:dyDescent="0.25">
      <c r="A724" t="s">
        <v>728</v>
      </c>
      <c r="B724">
        <v>0.99999676499088797</v>
      </c>
      <c r="C724">
        <v>0.97060747490237997</v>
      </c>
      <c r="D724">
        <v>0.92252017274199904</v>
      </c>
      <c r="E724">
        <v>0.61825903283935202</v>
      </c>
      <c r="F724">
        <v>0.25593821611803402</v>
      </c>
      <c r="G724">
        <v>0.15817794731769899</v>
      </c>
      <c r="H724">
        <v>7.6889932636738295E-2</v>
      </c>
      <c r="I724">
        <v>8.2513728341519696E-2</v>
      </c>
      <c r="J724">
        <v>8.12152144458958E-2</v>
      </c>
      <c r="K724">
        <v>5.7901834866478298E-2</v>
      </c>
      <c r="L724">
        <v>1218.96914398177</v>
      </c>
      <c r="M724">
        <v>24.2259513363324</v>
      </c>
      <c r="N724">
        <v>50.649479692649003</v>
      </c>
      <c r="O724">
        <v>49.977580705787098</v>
      </c>
      <c r="P724">
        <v>-0.112268957093781</v>
      </c>
      <c r="Q724">
        <v>7.35810306296657E-2</v>
      </c>
      <c r="R724">
        <v>0.99877366460974903</v>
      </c>
      <c r="S724" t="s">
        <v>7727</v>
      </c>
      <c r="T724" t="s">
        <v>14004</v>
      </c>
      <c r="U724" t="s">
        <v>14004</v>
      </c>
      <c r="V724" t="s">
        <v>14004</v>
      </c>
      <c r="W724" t="s">
        <v>14718</v>
      </c>
      <c r="X724">
        <v>23</v>
      </c>
      <c r="Y724" t="s">
        <v>21657</v>
      </c>
      <c r="Z724" t="s">
        <v>28434</v>
      </c>
      <c r="AA724">
        <v>0.40101122524488442</v>
      </c>
      <c r="AB724" t="str">
        <f>HYPERLINK("Melting_Curves/meltCurve_F5H365_SEC23A.pdf", "Melting_Curves/meltCurve_F5H365_SEC23A.pdf")</f>
        <v>Melting_Curves/meltCurve_F5H365_SEC23A.pdf</v>
      </c>
    </row>
    <row r="725" spans="1:28" x14ac:dyDescent="0.25">
      <c r="A725" t="s">
        <v>729</v>
      </c>
      <c r="B725">
        <v>0.99999676499088797</v>
      </c>
      <c r="C725">
        <v>0.70566585121312397</v>
      </c>
      <c r="D725">
        <v>1.2021255842530401</v>
      </c>
      <c r="E725">
        <v>0.953338752090505</v>
      </c>
      <c r="F725">
        <v>9.2428214414145296E-2</v>
      </c>
      <c r="G725">
        <v>0.12756625299818899</v>
      </c>
      <c r="H725">
        <v>7.0244503007594994E-2</v>
      </c>
      <c r="I725">
        <v>0.16314305966329401</v>
      </c>
      <c r="J725">
        <v>0.21403161709681101</v>
      </c>
      <c r="K725">
        <v>0.50513468667764705</v>
      </c>
      <c r="L725">
        <v>12538.266540255199</v>
      </c>
      <c r="M725">
        <v>250</v>
      </c>
      <c r="N725">
        <v>50.252707302747602</v>
      </c>
      <c r="O725">
        <v>50.1498783552858</v>
      </c>
      <c r="P725">
        <v>-1.00271390314489</v>
      </c>
      <c r="Q725">
        <v>0.19542466178019699</v>
      </c>
      <c r="R725">
        <v>0.84739822060432601</v>
      </c>
      <c r="S725" t="s">
        <v>7728</v>
      </c>
      <c r="T725" t="s">
        <v>14004</v>
      </c>
      <c r="U725" t="s">
        <v>14004</v>
      </c>
      <c r="V725" t="s">
        <v>14004</v>
      </c>
      <c r="W725" t="s">
        <v>14719</v>
      </c>
      <c r="X725">
        <v>1</v>
      </c>
      <c r="Y725" t="s">
        <v>21658</v>
      </c>
      <c r="Z725" t="s">
        <v>28435</v>
      </c>
      <c r="AA725">
        <v>0.46779236678779101</v>
      </c>
      <c r="AB725" t="str">
        <f>HYPERLINK("Melting_Curves/meltCurve_F5H450_FZD10.pdf", "Melting_Curves/meltCurve_F5H450_FZD10.pdf")</f>
        <v>Melting_Curves/meltCurve_F5H450_FZD10.pdf</v>
      </c>
    </row>
    <row r="726" spans="1:28" x14ac:dyDescent="0.25">
      <c r="A726" t="s">
        <v>730</v>
      </c>
      <c r="B726">
        <v>0.99999676499088797</v>
      </c>
      <c r="C726">
        <v>0.89762495914677698</v>
      </c>
      <c r="D726">
        <v>0.66248600433104798</v>
      </c>
      <c r="E726">
        <v>0.43336407682231698</v>
      </c>
      <c r="F726">
        <v>0.355229699729741</v>
      </c>
      <c r="G726">
        <v>0.22819247905377399</v>
      </c>
      <c r="H726">
        <v>0.12828669533329101</v>
      </c>
      <c r="I726">
        <v>0.117869462814215</v>
      </c>
      <c r="J726">
        <v>0.100024492519189</v>
      </c>
      <c r="K726">
        <v>0.115236929122839</v>
      </c>
      <c r="L726">
        <v>657.83572483971795</v>
      </c>
      <c r="M726">
        <v>13.603831525942701</v>
      </c>
      <c r="N726">
        <v>49.130133212323599</v>
      </c>
      <c r="O726">
        <v>47.347643455341498</v>
      </c>
      <c r="P726">
        <v>-6.4915107346211004E-2</v>
      </c>
      <c r="Q726">
        <v>9.6395487182473802E-2</v>
      </c>
      <c r="R726">
        <v>0.98927325639661701</v>
      </c>
      <c r="S726" t="s">
        <v>7729</v>
      </c>
      <c r="T726" t="s">
        <v>14004</v>
      </c>
      <c r="U726" t="s">
        <v>14004</v>
      </c>
      <c r="V726" t="s">
        <v>14004</v>
      </c>
      <c r="W726" t="s">
        <v>14720</v>
      </c>
      <c r="X726">
        <v>6</v>
      </c>
      <c r="Y726" t="s">
        <v>21659</v>
      </c>
      <c r="Z726" t="s">
        <v>28436</v>
      </c>
      <c r="AA726">
        <v>0.37566359714874842</v>
      </c>
      <c r="AB726" t="str">
        <f>HYPERLINK("Melting_Curves/meltCurve_F5H4G7_KPNA6.pdf", "Melting_Curves/meltCurve_F5H4G7_KPNA6.pdf")</f>
        <v>Melting_Curves/meltCurve_F5H4G7_KPNA6.pdf</v>
      </c>
    </row>
    <row r="727" spans="1:28" x14ac:dyDescent="0.25">
      <c r="A727" t="s">
        <v>731</v>
      </c>
      <c r="B727">
        <v>0.99999676499088797</v>
      </c>
      <c r="C727">
        <v>0.86697399220216798</v>
      </c>
      <c r="D727">
        <v>0.507845780511057</v>
      </c>
      <c r="E727">
        <v>0.23784879060477701</v>
      </c>
      <c r="F727">
        <v>0.228626910653937</v>
      </c>
      <c r="G727">
        <v>0.178182609981231</v>
      </c>
      <c r="H727">
        <v>7.8842208923864801E-2</v>
      </c>
      <c r="I727">
        <v>0.116595520237557</v>
      </c>
      <c r="J727">
        <v>8.5507317305304406E-2</v>
      </c>
      <c r="K727">
        <v>7.0722965878186994E-2</v>
      </c>
      <c r="L727">
        <v>1042.0331650727201</v>
      </c>
      <c r="M727">
        <v>22.750623239817301</v>
      </c>
      <c r="N727">
        <v>46.331239820732598</v>
      </c>
      <c r="O727">
        <v>45.452922135844602</v>
      </c>
      <c r="P727">
        <v>-0.110825878992292</v>
      </c>
      <c r="Q727">
        <v>0.11435179294316</v>
      </c>
      <c r="R727">
        <v>0.985036909447916</v>
      </c>
      <c r="S727" t="s">
        <v>7730</v>
      </c>
      <c r="T727" t="s">
        <v>14004</v>
      </c>
      <c r="U727" t="s">
        <v>14004</v>
      </c>
      <c r="V727" t="s">
        <v>14004</v>
      </c>
      <c r="W727" t="s">
        <v>14721</v>
      </c>
      <c r="X727">
        <v>5</v>
      </c>
      <c r="Y727" t="s">
        <v>21660</v>
      </c>
      <c r="Z727" t="s">
        <v>28437</v>
      </c>
      <c r="AA727">
        <v>0.29595218270257528</v>
      </c>
      <c r="AB727" t="str">
        <f>HYPERLINK("Melting_Curves/meltCurve_F5H4S8_NFATC1.pdf", "Melting_Curves/meltCurve_F5H4S8_NFATC1.pdf")</f>
        <v>Melting_Curves/meltCurve_F5H4S8_NFATC1.pdf</v>
      </c>
    </row>
    <row r="728" spans="1:28" x14ac:dyDescent="0.25">
      <c r="A728" t="s">
        <v>732</v>
      </c>
      <c r="B728">
        <v>0.99999676499088797</v>
      </c>
      <c r="C728">
        <v>0.89445749896502202</v>
      </c>
      <c r="D728">
        <v>0.47663847140110399</v>
      </c>
      <c r="E728">
        <v>0.21916248935928001</v>
      </c>
      <c r="F728">
        <v>0.21936969395986</v>
      </c>
      <c r="G728">
        <v>0.116171717994016</v>
      </c>
      <c r="H728">
        <v>7.9162827109455394E-2</v>
      </c>
      <c r="I728">
        <v>9.0314525196668993E-2</v>
      </c>
      <c r="J728">
        <v>8.04042378294927E-2</v>
      </c>
      <c r="K728">
        <v>7.4960367072495399E-2</v>
      </c>
      <c r="L728">
        <v>1197.50765198264</v>
      </c>
      <c r="M728">
        <v>26.219625596889699</v>
      </c>
      <c r="N728">
        <v>46.086074572452397</v>
      </c>
      <c r="O728">
        <v>45.408995152069998</v>
      </c>
      <c r="P728">
        <v>-0.12921131957774301</v>
      </c>
      <c r="Q728">
        <v>0.104900898264494</v>
      </c>
      <c r="R728">
        <v>0.98724805461722798</v>
      </c>
      <c r="S728" t="s">
        <v>7731</v>
      </c>
      <c r="T728" t="s">
        <v>14004</v>
      </c>
      <c r="U728" t="s">
        <v>14004</v>
      </c>
      <c r="V728" t="s">
        <v>14004</v>
      </c>
      <c r="W728" t="s">
        <v>14722</v>
      </c>
      <c r="X728">
        <v>5</v>
      </c>
      <c r="Y728" t="s">
        <v>21661</v>
      </c>
      <c r="Z728" t="s">
        <v>28438</v>
      </c>
      <c r="AA728">
        <v>0.28168110283520797</v>
      </c>
      <c r="AB728" t="str">
        <f>HYPERLINK("Melting_Curves/meltCurve_F5H4V9_PDCD2.pdf", "Melting_Curves/meltCurve_F5H4V9_PDCD2.pdf")</f>
        <v>Melting_Curves/meltCurve_F5H4V9_PDCD2.pdf</v>
      </c>
    </row>
    <row r="729" spans="1:28" x14ac:dyDescent="0.25">
      <c r="A729" t="s">
        <v>733</v>
      </c>
      <c r="B729">
        <v>0.99999676499088797</v>
      </c>
      <c r="C729">
        <v>1.0626767090117799</v>
      </c>
      <c r="D729">
        <v>0.94004072484993295</v>
      </c>
      <c r="E729">
        <v>0.76522903933532305</v>
      </c>
      <c r="F729">
        <v>0.561129718504497</v>
      </c>
      <c r="G729">
        <v>0.28511062905524398</v>
      </c>
      <c r="H729">
        <v>0.13206137755090899</v>
      </c>
      <c r="I729">
        <v>9.3316566492152295E-2</v>
      </c>
      <c r="J729">
        <v>5.8838664007504399E-2</v>
      </c>
      <c r="K729">
        <v>0.135562970606352</v>
      </c>
      <c r="L729">
        <v>977.68576977964801</v>
      </c>
      <c r="M729">
        <v>18.404417315453699</v>
      </c>
      <c r="N729">
        <v>53.557769535521402</v>
      </c>
      <c r="O729">
        <v>52.507090792606697</v>
      </c>
      <c r="P729">
        <v>-8.1543090829715795E-2</v>
      </c>
      <c r="Q729">
        <v>6.9484921224026205E-2</v>
      </c>
      <c r="R729">
        <v>0.99164714921458197</v>
      </c>
      <c r="S729" t="s">
        <v>7732</v>
      </c>
      <c r="T729" t="s">
        <v>14004</v>
      </c>
      <c r="U729" t="s">
        <v>14004</v>
      </c>
      <c r="V729" t="s">
        <v>14004</v>
      </c>
      <c r="W729" t="s">
        <v>14723</v>
      </c>
      <c r="X729">
        <v>2</v>
      </c>
      <c r="Y729" t="s">
        <v>21662</v>
      </c>
      <c r="Z729" t="s">
        <v>28439</v>
      </c>
      <c r="AA729">
        <v>0.49117198906046872</v>
      </c>
      <c r="AB729" t="str">
        <f>HYPERLINK("Melting_Curves/meltCurve_F5H523_KLHL42.pdf", "Melting_Curves/meltCurve_F5H523_KLHL42.pdf")</f>
        <v>Melting_Curves/meltCurve_F5H523_KLHL42.pdf</v>
      </c>
    </row>
    <row r="730" spans="1:28" x14ac:dyDescent="0.25">
      <c r="A730" t="s">
        <v>734</v>
      </c>
      <c r="B730">
        <v>0.99999676499088797</v>
      </c>
      <c r="C730">
        <v>1.01373619138698</v>
      </c>
      <c r="D730">
        <v>0.81751364679181304</v>
      </c>
      <c r="E730">
        <v>0.49284750377630998</v>
      </c>
      <c r="F730">
        <v>0.39115309017783201</v>
      </c>
      <c r="G730">
        <v>0.27320259390603202</v>
      </c>
      <c r="H730">
        <v>0.152830845803228</v>
      </c>
      <c r="I730">
        <v>0.1393407185452</v>
      </c>
      <c r="J730">
        <v>0.161986032019972</v>
      </c>
      <c r="K730">
        <v>0.14930969532446201</v>
      </c>
      <c r="L730">
        <v>855.62762001268595</v>
      </c>
      <c r="M730">
        <v>17.3222590627758</v>
      </c>
      <c r="N730">
        <v>50.4211818682329</v>
      </c>
      <c r="O730">
        <v>48.750492611774703</v>
      </c>
      <c r="P730">
        <v>-7.5636219447773503E-2</v>
      </c>
      <c r="Q730">
        <v>0.14858880340727901</v>
      </c>
      <c r="R730">
        <v>0.98633369069308297</v>
      </c>
      <c r="S730" t="s">
        <v>7733</v>
      </c>
      <c r="T730" t="s">
        <v>14004</v>
      </c>
      <c r="U730" t="s">
        <v>14004</v>
      </c>
      <c r="V730" t="s">
        <v>14004</v>
      </c>
      <c r="W730" t="s">
        <v>14724</v>
      </c>
      <c r="X730">
        <v>5</v>
      </c>
      <c r="Y730" t="s">
        <v>21663</v>
      </c>
      <c r="Z730" t="s">
        <v>28440</v>
      </c>
      <c r="AA730">
        <v>0.43099614627974459</v>
      </c>
      <c r="AB730" t="str">
        <f>HYPERLINK("Melting_Curves/meltCurve_F5H527_SSH2.pdf", "Melting_Curves/meltCurve_F5H527_SSH2.pdf")</f>
        <v>Melting_Curves/meltCurve_F5H527_SSH2.pdf</v>
      </c>
    </row>
    <row r="731" spans="1:28" x14ac:dyDescent="0.25">
      <c r="A731" t="s">
        <v>735</v>
      </c>
      <c r="B731">
        <v>0.99999676499088797</v>
      </c>
      <c r="C731">
        <v>0.90069680505591099</v>
      </c>
      <c r="D731">
        <v>0.86593149888959098</v>
      </c>
      <c r="E731">
        <v>0.70487186956030001</v>
      </c>
      <c r="F731">
        <v>0.71950118878170399</v>
      </c>
      <c r="G731">
        <v>0.676039102826128</v>
      </c>
      <c r="H731">
        <v>0.54574478974733598</v>
      </c>
      <c r="I731">
        <v>0.41859951778781002</v>
      </c>
      <c r="J731">
        <v>0.17110426039051499</v>
      </c>
      <c r="K731">
        <v>0.17655542469853699</v>
      </c>
      <c r="L731">
        <v>447.45941769959398</v>
      </c>
      <c r="M731">
        <v>7.5360038828218796</v>
      </c>
      <c r="N731">
        <v>59.3762319096328</v>
      </c>
      <c r="O731">
        <v>55.627044385741101</v>
      </c>
      <c r="P731">
        <v>-3.3916275250970698E-2</v>
      </c>
      <c r="Q731">
        <v>0</v>
      </c>
      <c r="R731">
        <v>0.9262109836654</v>
      </c>
      <c r="S731" t="s">
        <v>7734</v>
      </c>
      <c r="T731" t="s">
        <v>14004</v>
      </c>
      <c r="U731" t="s">
        <v>14004</v>
      </c>
      <c r="V731" t="s">
        <v>14004</v>
      </c>
      <c r="W731" t="s">
        <v>14725</v>
      </c>
      <c r="X731">
        <v>12</v>
      </c>
      <c r="Y731" t="s">
        <v>21664</v>
      </c>
      <c r="Z731" t="s">
        <v>28441</v>
      </c>
      <c r="AA731">
        <v>0.63374604461512019</v>
      </c>
      <c r="AB731" t="str">
        <f>HYPERLINK("Melting_Curves/meltCurve_F5H569_ATP6V0A1.pdf", "Melting_Curves/meltCurve_F5H569_ATP6V0A1.pdf")</f>
        <v>Melting_Curves/meltCurve_F5H569_ATP6V0A1.pdf</v>
      </c>
    </row>
    <row r="732" spans="1:28" x14ac:dyDescent="0.25">
      <c r="A732" t="s">
        <v>736</v>
      </c>
      <c r="B732">
        <v>0.99999676499088797</v>
      </c>
      <c r="C732">
        <v>0.95560045526840098</v>
      </c>
      <c r="D732">
        <v>0.882785539621185</v>
      </c>
      <c r="E732">
        <v>0.70549380777352</v>
      </c>
      <c r="F732">
        <v>0.59889650977828601</v>
      </c>
      <c r="G732">
        <v>0.45095950196755102</v>
      </c>
      <c r="H732">
        <v>0.27057594960585801</v>
      </c>
      <c r="I732">
        <v>0.31310532616706299</v>
      </c>
      <c r="J732">
        <v>0.312931847829865</v>
      </c>
      <c r="K732">
        <v>0.22799965298099201</v>
      </c>
      <c r="L732">
        <v>649.25562378048699</v>
      </c>
      <c r="M732">
        <v>12.4188682227059</v>
      </c>
      <c r="N732">
        <v>54.8557857775833</v>
      </c>
      <c r="O732">
        <v>50.979706758746701</v>
      </c>
      <c r="P732">
        <v>-4.7455487482686E-2</v>
      </c>
      <c r="Q732">
        <v>0.22094144149369399</v>
      </c>
      <c r="R732">
        <v>0.98755923933098599</v>
      </c>
      <c r="S732" t="s">
        <v>7735</v>
      </c>
      <c r="T732" t="s">
        <v>14004</v>
      </c>
      <c r="U732" t="s">
        <v>14004</v>
      </c>
      <c r="V732" t="s">
        <v>14004</v>
      </c>
      <c r="W732" t="s">
        <v>14726</v>
      </c>
      <c r="X732">
        <v>8</v>
      </c>
      <c r="Y732" t="s">
        <v>21665</v>
      </c>
      <c r="Z732" t="s">
        <v>28442</v>
      </c>
      <c r="AA732">
        <v>0.56223160938927919</v>
      </c>
      <c r="AB732" t="str">
        <f>HYPERLINK("Melting_Curves/meltCurve_F5H577_BRK1.pdf", "Melting_Curves/meltCurve_F5H577_BRK1.pdf")</f>
        <v>Melting_Curves/meltCurve_F5H577_BRK1.pdf</v>
      </c>
    </row>
    <row r="733" spans="1:28" x14ac:dyDescent="0.25">
      <c r="A733" t="s">
        <v>737</v>
      </c>
      <c r="B733">
        <v>0.99999676499088797</v>
      </c>
      <c r="C733">
        <v>1.0504482792932099</v>
      </c>
      <c r="D733">
        <v>1.0682396936156699</v>
      </c>
      <c r="E733">
        <v>1.18982230092854</v>
      </c>
      <c r="F733">
        <v>1.07236802772041</v>
      </c>
      <c r="G733">
        <v>0.77660586198012904</v>
      </c>
      <c r="H733">
        <v>0.19390891286109799</v>
      </c>
      <c r="I733">
        <v>9.3112957650287195E-2</v>
      </c>
      <c r="J733">
        <v>5.8413295320136199E-2</v>
      </c>
      <c r="K733">
        <v>6.2130525395205499E-2</v>
      </c>
      <c r="L733">
        <v>2715.9721301990999</v>
      </c>
      <c r="M733">
        <v>46.593035448468001</v>
      </c>
      <c r="N733">
        <v>58.4726835659038</v>
      </c>
      <c r="O733">
        <v>58.1843102211418</v>
      </c>
      <c r="P733">
        <v>-0.18673150895202401</v>
      </c>
      <c r="Q733">
        <v>6.7257176251862005E-2</v>
      </c>
      <c r="R733">
        <v>0.97649464440317302</v>
      </c>
      <c r="S733" t="s">
        <v>7736</v>
      </c>
      <c r="T733" t="s">
        <v>14004</v>
      </c>
      <c r="U733" t="s">
        <v>14004</v>
      </c>
      <c r="V733" t="s">
        <v>14004</v>
      </c>
      <c r="W733" t="s">
        <v>14727</v>
      </c>
      <c r="X733">
        <v>36</v>
      </c>
      <c r="Y733" t="s">
        <v>21666</v>
      </c>
      <c r="Z733" t="s">
        <v>28443</v>
      </c>
      <c r="AA733">
        <v>0.6387019795062957</v>
      </c>
      <c r="AB733" t="str">
        <f>HYPERLINK("Melting_Curves/meltCurve_F5H5D3_TUBA1C.pdf", "Melting_Curves/meltCurve_F5H5D3_TUBA1C.pdf")</f>
        <v>Melting_Curves/meltCurve_F5H5D3_TUBA1C.pdf</v>
      </c>
    </row>
    <row r="734" spans="1:28" x14ac:dyDescent="0.25">
      <c r="A734" t="s">
        <v>738</v>
      </c>
      <c r="B734">
        <v>0.99999676499088797</v>
      </c>
      <c r="C734">
        <v>1.0295349443064199</v>
      </c>
      <c r="D734">
        <v>0.89734747289959604</v>
      </c>
      <c r="E734">
        <v>0.39269156193299498</v>
      </c>
      <c r="F734">
        <v>0.29104552393370697</v>
      </c>
      <c r="G734">
        <v>0.21612522417153701</v>
      </c>
      <c r="H734">
        <v>0.11240438333778</v>
      </c>
      <c r="I734">
        <v>0.122926978559342</v>
      </c>
      <c r="J734">
        <v>0.102272238773082</v>
      </c>
      <c r="K734">
        <v>0.117453423546852</v>
      </c>
      <c r="L734">
        <v>1449.87514268215</v>
      </c>
      <c r="M734">
        <v>29.843756365434899</v>
      </c>
      <c r="N734">
        <v>49.133713311592203</v>
      </c>
      <c r="O734">
        <v>48.365616690749199</v>
      </c>
      <c r="P734">
        <v>-0.13230633848196399</v>
      </c>
      <c r="Q734">
        <v>0.14232831768160401</v>
      </c>
      <c r="R734">
        <v>0.98448097941966195</v>
      </c>
      <c r="S734" t="s">
        <v>7737</v>
      </c>
      <c r="T734" t="s">
        <v>14004</v>
      </c>
      <c r="U734" t="s">
        <v>14004</v>
      </c>
      <c r="V734" t="s">
        <v>14004</v>
      </c>
      <c r="W734" t="s">
        <v>14728</v>
      </c>
      <c r="X734">
        <v>12</v>
      </c>
      <c r="Y734" t="s">
        <v>21667</v>
      </c>
      <c r="Z734" t="s">
        <v>28444</v>
      </c>
      <c r="AA734">
        <v>0.39293596986927221</v>
      </c>
      <c r="AB734" t="str">
        <f>HYPERLINK("Melting_Curves/meltCurve_F5H5I6_GRSF1.pdf", "Melting_Curves/meltCurve_F5H5I6_GRSF1.pdf")</f>
        <v>Melting_Curves/meltCurve_F5H5I6_GRSF1.pdf</v>
      </c>
    </row>
    <row r="735" spans="1:28" x14ac:dyDescent="0.25">
      <c r="A735" t="s">
        <v>739</v>
      </c>
      <c r="B735">
        <v>0.99999676499088797</v>
      </c>
      <c r="C735">
        <v>0.95540509760676096</v>
      </c>
      <c r="D735">
        <v>0.93936104057357195</v>
      </c>
      <c r="E735">
        <v>0.95053243476046401</v>
      </c>
      <c r="F735">
        <v>0.73378524235603804</v>
      </c>
      <c r="G735">
        <v>0.64482635886615802</v>
      </c>
      <c r="H735">
        <v>0.477386630437097</v>
      </c>
      <c r="I735">
        <v>0.36980750706007798</v>
      </c>
      <c r="J735">
        <v>0.32948889077424798</v>
      </c>
      <c r="K735">
        <v>0.27017585483409701</v>
      </c>
      <c r="L735">
        <v>667.96091827171301</v>
      </c>
      <c r="M735">
        <v>11.5682112275106</v>
      </c>
      <c r="N735">
        <v>60.0705085685548</v>
      </c>
      <c r="O735">
        <v>56.096513542380499</v>
      </c>
      <c r="P735">
        <v>-4.2248736441912703E-2</v>
      </c>
      <c r="Q735">
        <v>0.18073811997090999</v>
      </c>
      <c r="R735">
        <v>0.99056111972767802</v>
      </c>
      <c r="S735" t="s">
        <v>7738</v>
      </c>
      <c r="T735" t="s">
        <v>14004</v>
      </c>
      <c r="U735" t="s">
        <v>14004</v>
      </c>
      <c r="V735" t="s">
        <v>14004</v>
      </c>
      <c r="W735" t="s">
        <v>14729</v>
      </c>
      <c r="X735">
        <v>1</v>
      </c>
      <c r="Y735" t="s">
        <v>21668</v>
      </c>
      <c r="Z735" t="s">
        <v>28445</v>
      </c>
      <c r="AA735">
        <v>0.67630740784599708</v>
      </c>
      <c r="AB735" t="str">
        <f>HYPERLINK("Melting_Curves/meltCurve_F5H5M7_IFNGR1.pdf", "Melting_Curves/meltCurve_F5H5M7_IFNGR1.pdf")</f>
        <v>Melting_Curves/meltCurve_F5H5M7_IFNGR1.pdf</v>
      </c>
    </row>
    <row r="736" spans="1:28" x14ac:dyDescent="0.25">
      <c r="A736" t="s">
        <v>740</v>
      </c>
      <c r="B736">
        <v>0.99999676499088797</v>
      </c>
      <c r="C736">
        <v>1.0015117570915599</v>
      </c>
      <c r="D736">
        <v>0.85988574701537801</v>
      </c>
      <c r="E736">
        <v>0.56212874142754998</v>
      </c>
      <c r="F736">
        <v>0.41804199949940302</v>
      </c>
      <c r="G736">
        <v>0.368182326081262</v>
      </c>
      <c r="H736">
        <v>0.17273073489233801</v>
      </c>
      <c r="I736">
        <v>0.16709504955798099</v>
      </c>
      <c r="J736">
        <v>0.159695960236972</v>
      </c>
      <c r="K736">
        <v>0.15289532245010301</v>
      </c>
      <c r="L736">
        <v>753.96717155414899</v>
      </c>
      <c r="M736">
        <v>14.936128121471301</v>
      </c>
      <c r="N736">
        <v>51.6593851947936</v>
      </c>
      <c r="O736">
        <v>49.600471768428299</v>
      </c>
      <c r="P736">
        <v>-6.4408549619234395E-2</v>
      </c>
      <c r="Q736">
        <v>0.144526277164748</v>
      </c>
      <c r="R736">
        <v>0.98414995993607102</v>
      </c>
      <c r="S736" t="s">
        <v>7739</v>
      </c>
      <c r="T736" t="s">
        <v>14004</v>
      </c>
      <c r="U736" t="s">
        <v>14004</v>
      </c>
      <c r="V736" t="s">
        <v>14004</v>
      </c>
      <c r="W736" t="s">
        <v>14730</v>
      </c>
      <c r="X736">
        <v>3</v>
      </c>
      <c r="Y736" t="s">
        <v>21669</v>
      </c>
      <c r="Z736" t="s">
        <v>28446</v>
      </c>
      <c r="AA736">
        <v>0.46359440606103719</v>
      </c>
      <c r="AB736" t="str">
        <f>HYPERLINK("Melting_Curves/meltCurve_F5H5N0_CDC42BPA.pdf", "Melting_Curves/meltCurve_F5H5N0_CDC42BPA.pdf")</f>
        <v>Melting_Curves/meltCurve_F5H5N0_CDC42BPA.pdf</v>
      </c>
    </row>
    <row r="737" spans="1:28" x14ac:dyDescent="0.25">
      <c r="A737" t="s">
        <v>741</v>
      </c>
      <c r="B737">
        <v>0.99999676499088797</v>
      </c>
      <c r="C737">
        <v>1.15832001177177</v>
      </c>
      <c r="D737">
        <v>1.12185840390824</v>
      </c>
      <c r="E737">
        <v>1.09727479026968</v>
      </c>
      <c r="F737">
        <v>0.70178532495305701</v>
      </c>
      <c r="G737">
        <v>0.383082954613088</v>
      </c>
      <c r="H737">
        <v>0.13303498345888501</v>
      </c>
      <c r="I737">
        <v>0.113452883272485</v>
      </c>
      <c r="J737">
        <v>7.3980816716093994E-2</v>
      </c>
      <c r="K737">
        <v>5.6586137180530703E-2</v>
      </c>
      <c r="L737">
        <v>1598.2767505428701</v>
      </c>
      <c r="M737">
        <v>28.983657108967002</v>
      </c>
      <c r="N737">
        <v>55.460864891753197</v>
      </c>
      <c r="O737">
        <v>54.883558144752101</v>
      </c>
      <c r="P737">
        <v>-0.121952348978894</v>
      </c>
      <c r="Q737">
        <v>7.62892607126988E-2</v>
      </c>
      <c r="R737">
        <v>0.969312671517368</v>
      </c>
      <c r="S737" t="s">
        <v>7740</v>
      </c>
      <c r="T737" t="s">
        <v>14004</v>
      </c>
      <c r="U737" t="s">
        <v>14004</v>
      </c>
      <c r="V737" t="s">
        <v>14004</v>
      </c>
      <c r="W737" t="s">
        <v>14731</v>
      </c>
      <c r="X737">
        <v>5</v>
      </c>
      <c r="Y737" t="s">
        <v>21670</v>
      </c>
      <c r="Z737" t="s">
        <v>28447</v>
      </c>
      <c r="AA737">
        <v>0.54912281848865918</v>
      </c>
      <c r="AB737" t="str">
        <f>HYPERLINK("Melting_Curves/meltCurve_F5H5N1_NDUFS7.pdf", "Melting_Curves/meltCurve_F5H5N1_NDUFS7.pdf")</f>
        <v>Melting_Curves/meltCurve_F5H5N1_NDUFS7.pdf</v>
      </c>
    </row>
    <row r="738" spans="1:28" x14ac:dyDescent="0.25">
      <c r="A738" t="s">
        <v>742</v>
      </c>
      <c r="B738">
        <v>0.99999676499088797</v>
      </c>
      <c r="C738">
        <v>1.0166422021261901</v>
      </c>
      <c r="D738">
        <v>0.91884320616011095</v>
      </c>
      <c r="E738">
        <v>0.93678728341552997</v>
      </c>
      <c r="F738">
        <v>0.57821718812952505</v>
      </c>
      <c r="G738">
        <v>0.32114482100835601</v>
      </c>
      <c r="H738">
        <v>0.16070097231973601</v>
      </c>
      <c r="I738">
        <v>0.171056307422257</v>
      </c>
      <c r="J738">
        <v>0.16742659540691701</v>
      </c>
      <c r="K738">
        <v>0.14009995303971201</v>
      </c>
      <c r="L738">
        <v>1401.55738837034</v>
      </c>
      <c r="M738">
        <v>26.231046946969499</v>
      </c>
      <c r="N738">
        <v>54.169838836872302</v>
      </c>
      <c r="O738">
        <v>53.123578410656101</v>
      </c>
      <c r="P738">
        <v>-0.104886124940368</v>
      </c>
      <c r="Q738">
        <v>0.150340164084692</v>
      </c>
      <c r="R738">
        <v>0.99393210764492701</v>
      </c>
      <c r="S738" t="s">
        <v>7741</v>
      </c>
      <c r="T738" t="s">
        <v>14004</v>
      </c>
      <c r="U738" t="s">
        <v>14004</v>
      </c>
      <c r="V738" t="s">
        <v>14004</v>
      </c>
      <c r="W738" t="s">
        <v>14732</v>
      </c>
      <c r="X738">
        <v>12</v>
      </c>
      <c r="Y738" t="s">
        <v>21671</v>
      </c>
      <c r="Z738" t="s">
        <v>28448</v>
      </c>
      <c r="AA738">
        <v>0.53790959219490486</v>
      </c>
      <c r="AB738" t="str">
        <f>HYPERLINK("Melting_Curves/meltCurve_F5H5P2_BCKDHA.pdf", "Melting_Curves/meltCurve_F5H5P2_BCKDHA.pdf")</f>
        <v>Melting_Curves/meltCurve_F5H5P2_BCKDHA.pdf</v>
      </c>
    </row>
    <row r="739" spans="1:28" x14ac:dyDescent="0.25">
      <c r="A739" t="s">
        <v>743</v>
      </c>
      <c r="B739">
        <v>0.99999676499088797</v>
      </c>
      <c r="C739">
        <v>1.0775579994528399</v>
      </c>
      <c r="D739">
        <v>0.82113240984553904</v>
      </c>
      <c r="E739">
        <v>0.46847909092642298</v>
      </c>
      <c r="F739">
        <v>0.34008166647266402</v>
      </c>
      <c r="G739">
        <v>0.268990326311634</v>
      </c>
      <c r="H739">
        <v>0.17281416141019901</v>
      </c>
      <c r="I739">
        <v>0.17139676261333001</v>
      </c>
      <c r="J739">
        <v>0.130219082200454</v>
      </c>
      <c r="K739">
        <v>9.2069733299092002E-2</v>
      </c>
      <c r="L739">
        <v>1002.23299758852</v>
      </c>
      <c r="M739">
        <v>20.431586895187699</v>
      </c>
      <c r="N739">
        <v>49.9423785080172</v>
      </c>
      <c r="O739">
        <v>48.590467148118798</v>
      </c>
      <c r="P739">
        <v>-8.9094676101164005E-2</v>
      </c>
      <c r="Q739">
        <v>0.152484470105929</v>
      </c>
      <c r="R739">
        <v>0.97670720889510299</v>
      </c>
      <c r="S739" t="s">
        <v>7742</v>
      </c>
      <c r="T739" t="s">
        <v>14004</v>
      </c>
      <c r="U739" t="s">
        <v>14004</v>
      </c>
      <c r="V739" t="s">
        <v>14004</v>
      </c>
      <c r="W739" t="s">
        <v>14733</v>
      </c>
      <c r="X739">
        <v>2</v>
      </c>
      <c r="Y739" t="s">
        <v>21672</v>
      </c>
      <c r="Z739" t="s">
        <v>28449</v>
      </c>
      <c r="AA739">
        <v>0.41960206949831558</v>
      </c>
      <c r="AB739" t="str">
        <f>HYPERLINK("Melting_Curves/meltCurve_F5H5R8_NAT1.pdf", "Melting_Curves/meltCurve_F5H5R8_NAT1.pdf")</f>
        <v>Melting_Curves/meltCurve_F5H5R8_NAT1.pdf</v>
      </c>
    </row>
    <row r="740" spans="1:28" x14ac:dyDescent="0.25">
      <c r="A740" t="s">
        <v>744</v>
      </c>
      <c r="B740">
        <v>0.99999676499088797</v>
      </c>
      <c r="C740">
        <v>0.99904694646120595</v>
      </c>
      <c r="D740">
        <v>0.96848287971916702</v>
      </c>
      <c r="E740">
        <v>0.56338294588343696</v>
      </c>
      <c r="F740">
        <v>0.23971828252747901</v>
      </c>
      <c r="G740">
        <v>0.160633562295141</v>
      </c>
      <c r="H740">
        <v>7.9539800129357005E-2</v>
      </c>
      <c r="I740">
        <v>7.7879725935746699E-2</v>
      </c>
      <c r="J740">
        <v>9.6762835178809001E-2</v>
      </c>
      <c r="K740">
        <v>8.1659310850112105E-2</v>
      </c>
      <c r="L740">
        <v>1432.93811875602</v>
      </c>
      <c r="M740">
        <v>28.708904501751299</v>
      </c>
      <c r="N740">
        <v>50.273785666052703</v>
      </c>
      <c r="O740">
        <v>49.6723797662913</v>
      </c>
      <c r="P740">
        <v>-0.13103057887269801</v>
      </c>
      <c r="Q740">
        <v>9.3166393666213404E-2</v>
      </c>
      <c r="R740">
        <v>0.99678257789862301</v>
      </c>
      <c r="S740" t="s">
        <v>7743</v>
      </c>
      <c r="T740" t="s">
        <v>14004</v>
      </c>
      <c r="U740" t="s">
        <v>14004</v>
      </c>
      <c r="V740" t="s">
        <v>14004</v>
      </c>
      <c r="W740" t="s">
        <v>14734</v>
      </c>
      <c r="X740">
        <v>42</v>
      </c>
      <c r="Y740" t="s">
        <v>21673</v>
      </c>
      <c r="Z740" t="s">
        <v>28450</v>
      </c>
      <c r="AA740">
        <v>0.39892743579795709</v>
      </c>
      <c r="AB740" t="str">
        <f>HYPERLINK("Melting_Curves/meltCurve_F5H604_CLASP2.pdf", "Melting_Curves/meltCurve_F5H604_CLASP2.pdf")</f>
        <v>Melting_Curves/meltCurve_F5H604_CLASP2.pdf</v>
      </c>
    </row>
    <row r="741" spans="1:28" x14ac:dyDescent="0.25">
      <c r="A741" t="s">
        <v>745</v>
      </c>
      <c r="B741">
        <v>0.99999676499088797</v>
      </c>
      <c r="C741">
        <v>0.98382870318105997</v>
      </c>
      <c r="D741">
        <v>1.0133938922393799</v>
      </c>
      <c r="E741">
        <v>0.84316491638806201</v>
      </c>
      <c r="F741">
        <v>0.23084839784626901</v>
      </c>
      <c r="G741">
        <v>0.13733245350231699</v>
      </c>
      <c r="H741">
        <v>4.93402558776872E-2</v>
      </c>
      <c r="I741">
        <v>5.3145060991339102E-2</v>
      </c>
      <c r="J741">
        <v>5.7738728496565701E-2</v>
      </c>
      <c r="K741">
        <v>3.5619671390596498E-2</v>
      </c>
      <c r="L741">
        <v>2207.7735503911999</v>
      </c>
      <c r="M741">
        <v>42.936263782563699</v>
      </c>
      <c r="N741">
        <v>51.577159762415299</v>
      </c>
      <c r="O741">
        <v>51.308621307276503</v>
      </c>
      <c r="P741">
        <v>-0.196362140775453</v>
      </c>
      <c r="Q741">
        <v>6.1394359876468602E-2</v>
      </c>
      <c r="R741">
        <v>0.99712924875818398</v>
      </c>
      <c r="S741" t="s">
        <v>7744</v>
      </c>
      <c r="T741" t="s">
        <v>14004</v>
      </c>
      <c r="U741" t="s">
        <v>14004</v>
      </c>
      <c r="V741" t="s">
        <v>14004</v>
      </c>
      <c r="W741" t="s">
        <v>14735</v>
      </c>
      <c r="X741">
        <v>5</v>
      </c>
      <c r="Y741" t="s">
        <v>21674</v>
      </c>
      <c r="Z741" t="s">
        <v>28451</v>
      </c>
      <c r="AA741">
        <v>0.42157567527571038</v>
      </c>
      <c r="AB741" t="str">
        <f>HYPERLINK("Melting_Curves/meltCurve_F5H620_OXNAD1.pdf", "Melting_Curves/meltCurve_F5H620_OXNAD1.pdf")</f>
        <v>Melting_Curves/meltCurve_F5H620_OXNAD1.pdf</v>
      </c>
    </row>
    <row r="742" spans="1:28" x14ac:dyDescent="0.25">
      <c r="A742" t="s">
        <v>746</v>
      </c>
      <c r="B742">
        <v>0.99999676499088797</v>
      </c>
      <c r="C742">
        <v>1.0204639204728401</v>
      </c>
      <c r="D742">
        <v>0.93322644591838799</v>
      </c>
      <c r="E742">
        <v>0.68739859833185502</v>
      </c>
      <c r="F742">
        <v>0.52360578342527597</v>
      </c>
      <c r="G742">
        <v>0.37464989806695798</v>
      </c>
      <c r="H742">
        <v>0.27337594085731598</v>
      </c>
      <c r="I742">
        <v>0.24814570688163801</v>
      </c>
      <c r="J742">
        <v>0.22397141686275901</v>
      </c>
      <c r="K742">
        <v>0.236352625450409</v>
      </c>
      <c r="L742">
        <v>865.20017391831902</v>
      </c>
      <c r="M742">
        <v>16.805692223818699</v>
      </c>
      <c r="N742">
        <v>53.351205875588903</v>
      </c>
      <c r="O742">
        <v>50.770170061327498</v>
      </c>
      <c r="P742">
        <v>-6.4348951603194399E-2</v>
      </c>
      <c r="Q742">
        <v>0.22245459229216899</v>
      </c>
      <c r="R742">
        <v>0.99436754730867805</v>
      </c>
      <c r="S742" t="s">
        <v>7745</v>
      </c>
      <c r="T742" t="s">
        <v>14004</v>
      </c>
      <c r="U742" t="s">
        <v>14004</v>
      </c>
      <c r="V742" t="s">
        <v>14004</v>
      </c>
      <c r="W742" t="s">
        <v>14736</v>
      </c>
      <c r="X742">
        <v>2</v>
      </c>
      <c r="Y742" t="s">
        <v>21675</v>
      </c>
      <c r="Z742" t="s">
        <v>28452</v>
      </c>
      <c r="AA742">
        <v>0.53472941242175187</v>
      </c>
      <c r="AB742" t="str">
        <f>HYPERLINK("Melting_Curves/meltCurve_F5H631_CLEC2B.pdf", "Melting_Curves/meltCurve_F5H631_CLEC2B.pdf")</f>
        <v>Melting_Curves/meltCurve_F5H631_CLEC2B.pdf</v>
      </c>
    </row>
    <row r="743" spans="1:28" x14ac:dyDescent="0.25">
      <c r="A743" t="s">
        <v>747</v>
      </c>
      <c r="B743">
        <v>0.99999676499088797</v>
      </c>
      <c r="C743">
        <v>1.1220436228825099</v>
      </c>
      <c r="D743">
        <v>1.6504276944307901</v>
      </c>
      <c r="E743">
        <v>0.43258475975251198</v>
      </c>
      <c r="F743">
        <v>6.7735842768977594E-2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12385.2312574675</v>
      </c>
      <c r="M743">
        <v>250</v>
      </c>
      <c r="N743">
        <v>49.545448642021803</v>
      </c>
      <c r="O743">
        <v>49.537757236452897</v>
      </c>
      <c r="P743">
        <v>-1.2474206630371101</v>
      </c>
      <c r="Q743">
        <v>1.1289299324341801E-2</v>
      </c>
      <c r="R743">
        <v>0.86808503897325595</v>
      </c>
      <c r="S743" t="s">
        <v>7746</v>
      </c>
      <c r="T743" t="s">
        <v>14004</v>
      </c>
      <c r="U743" t="s">
        <v>14004</v>
      </c>
      <c r="V743" t="s">
        <v>14004</v>
      </c>
      <c r="W743" t="s">
        <v>14737</v>
      </c>
      <c r="X743">
        <v>1</v>
      </c>
      <c r="Y743" t="s">
        <v>21676</v>
      </c>
      <c r="Z743" t="s">
        <v>28453</v>
      </c>
      <c r="AA743">
        <v>0.32581575039084443</v>
      </c>
      <c r="AB743" t="str">
        <f>HYPERLINK("Melting_Curves/meltCurve_F5H6G7_NOL10.pdf", "Melting_Curves/meltCurve_F5H6G7_NOL10.pdf")</f>
        <v>Melting_Curves/meltCurve_F5H6G7_NOL10.pdf</v>
      </c>
    </row>
    <row r="744" spans="1:28" x14ac:dyDescent="0.25">
      <c r="A744" t="s">
        <v>748</v>
      </c>
      <c r="B744">
        <v>0.99999676499088797</v>
      </c>
      <c r="C744">
        <v>0.951407218501503</v>
      </c>
      <c r="D744">
        <v>0.74706249083760401</v>
      </c>
      <c r="E744">
        <v>0.41399701292466401</v>
      </c>
      <c r="F744">
        <v>0.29489864402899901</v>
      </c>
      <c r="G744">
        <v>0.24292935871628299</v>
      </c>
      <c r="H744">
        <v>0.119393912669246</v>
      </c>
      <c r="I744">
        <v>0.20965925138133801</v>
      </c>
      <c r="J744">
        <v>0.226882904862521</v>
      </c>
      <c r="K744">
        <v>0.11485339550401601</v>
      </c>
      <c r="L744">
        <v>1005.22379724097</v>
      </c>
      <c r="M744">
        <v>21.031937799123799</v>
      </c>
      <c r="N744">
        <v>48.804753979885497</v>
      </c>
      <c r="O744">
        <v>47.369313493311601</v>
      </c>
      <c r="P744">
        <v>-9.1421964008782095E-2</v>
      </c>
      <c r="Q744">
        <v>0.17639921085863999</v>
      </c>
      <c r="R744">
        <v>0.98543079507960696</v>
      </c>
      <c r="S744" t="s">
        <v>7747</v>
      </c>
      <c r="T744" t="s">
        <v>14004</v>
      </c>
      <c r="U744" t="s">
        <v>14004</v>
      </c>
      <c r="V744" t="s">
        <v>14004</v>
      </c>
      <c r="W744" t="s">
        <v>14738</v>
      </c>
      <c r="X744">
        <v>4</v>
      </c>
      <c r="Y744" t="s">
        <v>21677</v>
      </c>
      <c r="Z744" t="s">
        <v>28454</v>
      </c>
      <c r="AA744">
        <v>0.40095751630626009</v>
      </c>
      <c r="AB744" t="str">
        <f>HYPERLINK("Melting_Curves/meltCurve_F5H6S1_KDM6A.pdf", "Melting_Curves/meltCurve_F5H6S1_KDM6A.pdf")</f>
        <v>Melting_Curves/meltCurve_F5H6S1_KDM6A.pdf</v>
      </c>
    </row>
    <row r="745" spans="1:28" x14ac:dyDescent="0.25">
      <c r="A745" t="s">
        <v>749</v>
      </c>
      <c r="B745">
        <v>0.99999676499088797</v>
      </c>
      <c r="C745">
        <v>0.96098291646549605</v>
      </c>
      <c r="D745">
        <v>0.74981324447397102</v>
      </c>
      <c r="E745">
        <v>0.47020191994416899</v>
      </c>
      <c r="F745">
        <v>0.26269013609567399</v>
      </c>
      <c r="G745">
        <v>0.237321450228896</v>
      </c>
      <c r="H745">
        <v>0.114184408298569</v>
      </c>
      <c r="I745">
        <v>0.177349641073035</v>
      </c>
      <c r="J745">
        <v>0.17864574692938001</v>
      </c>
      <c r="K745">
        <v>9.7709250087673796E-2</v>
      </c>
      <c r="L745">
        <v>930.168911543592</v>
      </c>
      <c r="M745">
        <v>19.238609154793899</v>
      </c>
      <c r="N745">
        <v>49.216135357418203</v>
      </c>
      <c r="O745">
        <v>47.835778097108602</v>
      </c>
      <c r="P745">
        <v>-8.6096438146098297E-2</v>
      </c>
      <c r="Q745">
        <v>0.14373568336200401</v>
      </c>
      <c r="R745">
        <v>0.99124778097170196</v>
      </c>
      <c r="S745" t="s">
        <v>7748</v>
      </c>
      <c r="T745" t="s">
        <v>14004</v>
      </c>
      <c r="U745" t="s">
        <v>14004</v>
      </c>
      <c r="V745" t="s">
        <v>14004</v>
      </c>
      <c r="W745" t="s">
        <v>14739</v>
      </c>
      <c r="X745">
        <v>3</v>
      </c>
      <c r="Y745" t="s">
        <v>21678</v>
      </c>
      <c r="Z745" t="s">
        <v>28455</v>
      </c>
      <c r="AA745">
        <v>0.39514661762794939</v>
      </c>
      <c r="AB745" t="str">
        <f>HYPERLINK("Melting_Curves/meltCurve_F5H6U2_FAM60A.pdf", "Melting_Curves/meltCurve_F5H6U2_FAM60A.pdf")</f>
        <v>Melting_Curves/meltCurve_F5H6U2_FAM60A.pdf</v>
      </c>
    </row>
    <row r="746" spans="1:28" x14ac:dyDescent="0.25">
      <c r="A746" t="s">
        <v>750</v>
      </c>
      <c r="B746">
        <v>0.99999676499088797</v>
      </c>
      <c r="C746">
        <v>0.91627915559941198</v>
      </c>
      <c r="D746">
        <v>0.92418352313584995</v>
      </c>
      <c r="E746">
        <v>0.74173578607019297</v>
      </c>
      <c r="F746">
        <v>0.40649265831141002</v>
      </c>
      <c r="G746">
        <v>0.32567346988964602</v>
      </c>
      <c r="H746">
        <v>0.110030078295942</v>
      </c>
      <c r="I746">
        <v>6.2752880246573203E-2</v>
      </c>
      <c r="J746">
        <v>6.1573181008420901E-2</v>
      </c>
      <c r="K746">
        <v>7.8810990879706305E-2</v>
      </c>
      <c r="L746">
        <v>817.36694859886404</v>
      </c>
      <c r="M746">
        <v>15.592773325573001</v>
      </c>
      <c r="N746">
        <v>52.665885676943901</v>
      </c>
      <c r="O746">
        <v>51.5801280904276</v>
      </c>
      <c r="P746">
        <v>-7.29244848427998E-2</v>
      </c>
      <c r="Q746">
        <v>3.5161282069098201E-2</v>
      </c>
      <c r="R746">
        <v>0.99014491249034597</v>
      </c>
      <c r="S746" t="s">
        <v>7749</v>
      </c>
      <c r="T746" t="s">
        <v>14004</v>
      </c>
      <c r="U746" t="s">
        <v>14004</v>
      </c>
      <c r="V746" t="s">
        <v>14004</v>
      </c>
      <c r="W746" t="s">
        <v>14740</v>
      </c>
      <c r="X746">
        <v>6</v>
      </c>
      <c r="Y746" t="s">
        <v>21679</v>
      </c>
      <c r="Z746" t="s">
        <v>28456</v>
      </c>
      <c r="AA746">
        <v>0.45464250670758422</v>
      </c>
      <c r="AB746" t="str">
        <f>HYPERLINK("Melting_Curves/meltCurve_F5H715_AIDA.pdf", "Melting_Curves/meltCurve_F5H715_AIDA.pdf")</f>
        <v>Melting_Curves/meltCurve_F5H715_AIDA.pdf</v>
      </c>
    </row>
    <row r="747" spans="1:28" x14ac:dyDescent="0.25">
      <c r="A747" t="s">
        <v>751</v>
      </c>
      <c r="B747">
        <v>0.99999676499088797</v>
      </c>
      <c r="C747">
        <v>0.95188364864316899</v>
      </c>
      <c r="D747">
        <v>0.94466134555320302</v>
      </c>
      <c r="E747">
        <v>0.94063220989559204</v>
      </c>
      <c r="F747">
        <v>0.74503214471640999</v>
      </c>
      <c r="G747">
        <v>0.60327314979730595</v>
      </c>
      <c r="H747">
        <v>0.41595801147885098</v>
      </c>
      <c r="I747">
        <v>0.480091533593685</v>
      </c>
      <c r="J747">
        <v>0.44710110358089999</v>
      </c>
      <c r="K747">
        <v>0.53342618430872202</v>
      </c>
      <c r="L747">
        <v>1314.5259786204399</v>
      </c>
      <c r="M747">
        <v>24.565117361609602</v>
      </c>
      <c r="N747">
        <v>60.064618642264101</v>
      </c>
      <c r="O747">
        <v>53.1610552262743</v>
      </c>
      <c r="P747">
        <v>-6.1722558188217501E-2</v>
      </c>
      <c r="Q747">
        <v>0.46571571989772698</v>
      </c>
      <c r="R747">
        <v>0.967622788621607</v>
      </c>
      <c r="S747" t="s">
        <v>7750</v>
      </c>
      <c r="T747" t="s">
        <v>14004</v>
      </c>
      <c r="U747" t="s">
        <v>14004</v>
      </c>
      <c r="V747" t="s">
        <v>14004</v>
      </c>
      <c r="W747" t="s">
        <v>14741</v>
      </c>
      <c r="X747">
        <v>33</v>
      </c>
      <c r="Y747" t="s">
        <v>21680</v>
      </c>
      <c r="Z747" t="s">
        <v>28457</v>
      </c>
      <c r="AA747">
        <v>0.71145240875088644</v>
      </c>
      <c r="AB747" t="str">
        <f>HYPERLINK("Melting_Curves/meltCurve_F5H721_WBP11.pdf", "Melting_Curves/meltCurve_F5H721_WBP11.pdf")</f>
        <v>Melting_Curves/meltCurve_F5H721_WBP11.pdf</v>
      </c>
    </row>
    <row r="748" spans="1:28" x14ac:dyDescent="0.25">
      <c r="A748" t="s">
        <v>752</v>
      </c>
      <c r="B748">
        <v>0.99999676499088797</v>
      </c>
      <c r="C748">
        <v>1.00490219530957</v>
      </c>
      <c r="D748">
        <v>1.0674376351772601</v>
      </c>
      <c r="E748">
        <v>1.2035925687354401</v>
      </c>
      <c r="F748">
        <v>1.0736813917244701</v>
      </c>
      <c r="G748">
        <v>1.0351577058597401</v>
      </c>
      <c r="H748">
        <v>0.69882668134326897</v>
      </c>
      <c r="I748">
        <v>0.499207815502269</v>
      </c>
      <c r="J748">
        <v>0.33906431950826899</v>
      </c>
      <c r="K748">
        <v>0.33878901459460897</v>
      </c>
      <c r="L748">
        <v>2298.8455389502201</v>
      </c>
      <c r="M748">
        <v>37.401788928207402</v>
      </c>
      <c r="N748">
        <v>63.328890269691499</v>
      </c>
      <c r="O748">
        <v>61.2886024197118</v>
      </c>
      <c r="P748">
        <v>-0.101631497272258</v>
      </c>
      <c r="Q748">
        <v>0.33384624158264198</v>
      </c>
      <c r="R748">
        <v>0.938409218646162</v>
      </c>
      <c r="S748" t="s">
        <v>7751</v>
      </c>
      <c r="T748" t="s">
        <v>14004</v>
      </c>
      <c r="U748" t="s">
        <v>14004</v>
      </c>
      <c r="V748" t="s">
        <v>14004</v>
      </c>
      <c r="W748" t="s">
        <v>14742</v>
      </c>
      <c r="X748">
        <v>9</v>
      </c>
      <c r="Y748" t="s">
        <v>21681</v>
      </c>
      <c r="Z748" t="s">
        <v>28458</v>
      </c>
      <c r="AA748">
        <v>0.81316326394774774</v>
      </c>
      <c r="AB748" t="str">
        <f>HYPERLINK("Melting_Curves/meltCurve_F5H7N9_MFGE8.pdf", "Melting_Curves/meltCurve_F5H7N9_MFGE8.pdf")</f>
        <v>Melting_Curves/meltCurve_F5H7N9_MFGE8.pdf</v>
      </c>
    </row>
    <row r="749" spans="1:28" x14ac:dyDescent="0.25">
      <c r="A749" t="s">
        <v>753</v>
      </c>
      <c r="B749">
        <v>0.99999676499088797</v>
      </c>
      <c r="C749">
        <v>0.97757451103207704</v>
      </c>
      <c r="D749">
        <v>1.20366936991171</v>
      </c>
      <c r="E749">
        <v>1.18838712198355</v>
      </c>
      <c r="F749">
        <v>1.1910882532565099</v>
      </c>
      <c r="G749">
        <v>0.96484835051378104</v>
      </c>
      <c r="H749">
        <v>0.52441677306392598</v>
      </c>
      <c r="I749">
        <v>0.40261627116850801</v>
      </c>
      <c r="J749">
        <v>0.28611711432863701</v>
      </c>
      <c r="K749">
        <v>0.28968485673943101</v>
      </c>
      <c r="L749">
        <v>2872.5039897186498</v>
      </c>
      <c r="M749">
        <v>47.935029816681599</v>
      </c>
      <c r="N749">
        <v>61.160291631402899</v>
      </c>
      <c r="O749">
        <v>59.820933743605998</v>
      </c>
      <c r="P749">
        <v>-0.13820184083103601</v>
      </c>
      <c r="Q749">
        <v>0.31012005254145297</v>
      </c>
      <c r="R749">
        <v>0.90934775562158998</v>
      </c>
      <c r="S749" t="s">
        <v>7752</v>
      </c>
      <c r="T749" t="s">
        <v>14004</v>
      </c>
      <c r="U749" t="s">
        <v>14004</v>
      </c>
      <c r="V749" t="s">
        <v>14004</v>
      </c>
      <c r="W749" t="s">
        <v>14743</v>
      </c>
      <c r="X749">
        <v>3</v>
      </c>
      <c r="Y749" t="s">
        <v>21682</v>
      </c>
      <c r="Z749" t="s">
        <v>28459</v>
      </c>
      <c r="AA749">
        <v>0.77025746350029134</v>
      </c>
      <c r="AB749" t="str">
        <f>HYPERLINK("Melting_Curves/meltCurve_F5H7Z9_REEP1.pdf", "Melting_Curves/meltCurve_F5H7Z9_REEP1.pdf")</f>
        <v>Melting_Curves/meltCurve_F5H7Z9_REEP1.pdf</v>
      </c>
    </row>
    <row r="750" spans="1:28" x14ac:dyDescent="0.25">
      <c r="A750" t="s">
        <v>754</v>
      </c>
      <c r="B750">
        <v>0.99999676499088797</v>
      </c>
      <c r="C750">
        <v>0.97776147984162498</v>
      </c>
      <c r="D750">
        <v>0.97991978958899695</v>
      </c>
      <c r="E750">
        <v>1.0837930674512199</v>
      </c>
      <c r="F750">
        <v>0.31778764137458798</v>
      </c>
      <c r="G750">
        <v>0.20891807042784899</v>
      </c>
      <c r="H750">
        <v>8.7682352388015902E-2</v>
      </c>
      <c r="I750">
        <v>7.8891676361615995E-2</v>
      </c>
      <c r="J750">
        <v>7.4808611140720405E-2</v>
      </c>
      <c r="K750">
        <v>5.6746126404124297E-2</v>
      </c>
      <c r="L750">
        <v>12628.7224098186</v>
      </c>
      <c r="M750">
        <v>238.53031238700001</v>
      </c>
      <c r="N750">
        <v>52.994234254257499</v>
      </c>
      <c r="O750">
        <v>52.940167506516602</v>
      </c>
      <c r="P750">
        <v>-1.0121856562225799</v>
      </c>
      <c r="Q750">
        <v>0.101409334471101</v>
      </c>
      <c r="R750">
        <v>0.98789764951970604</v>
      </c>
      <c r="S750" t="s">
        <v>7753</v>
      </c>
      <c r="T750" t="s">
        <v>14004</v>
      </c>
      <c r="U750" t="s">
        <v>14004</v>
      </c>
      <c r="V750" t="s">
        <v>14004</v>
      </c>
      <c r="W750" t="s">
        <v>14744</v>
      </c>
      <c r="X750">
        <v>32</v>
      </c>
      <c r="Y750" t="s">
        <v>21683</v>
      </c>
      <c r="Z750" t="s">
        <v>28460</v>
      </c>
      <c r="AA750">
        <v>0.48920965005211492</v>
      </c>
      <c r="AB750" t="str">
        <f>HYPERLINK("Melting_Curves/meltCurve_F5H801_OGDH.pdf", "Melting_Curves/meltCurve_F5H801_OGDH.pdf")</f>
        <v>Melting_Curves/meltCurve_F5H801_OGDH.pdf</v>
      </c>
    </row>
    <row r="751" spans="1:28" x14ac:dyDescent="0.25">
      <c r="A751" t="s">
        <v>755</v>
      </c>
      <c r="B751">
        <v>0.99999676499088797</v>
      </c>
      <c r="C751">
        <v>0.98597574137566302</v>
      </c>
      <c r="D751">
        <v>0.97682313831676204</v>
      </c>
      <c r="E751">
        <v>0.82843429731382301</v>
      </c>
      <c r="F751">
        <v>0.37226348165124101</v>
      </c>
      <c r="G751">
        <v>0.44473081980720103</v>
      </c>
      <c r="H751">
        <v>0.29771651219935702</v>
      </c>
      <c r="I751">
        <v>0.51924045453672096</v>
      </c>
      <c r="J751">
        <v>0.155997966686478</v>
      </c>
      <c r="K751">
        <v>0.44366297655781201</v>
      </c>
      <c r="L751">
        <v>4904.6884805086802</v>
      </c>
      <c r="M751">
        <v>97.906560428519796</v>
      </c>
      <c r="N751">
        <v>50.802317873285403</v>
      </c>
      <c r="O751">
        <v>50.074716359798103</v>
      </c>
      <c r="P751">
        <v>-0.30700438379042699</v>
      </c>
      <c r="Q751">
        <v>0.37192537668676301</v>
      </c>
      <c r="R751">
        <v>0.90538932366750402</v>
      </c>
      <c r="S751" t="s">
        <v>7754</v>
      </c>
      <c r="T751" t="s">
        <v>14004</v>
      </c>
      <c r="U751" t="s">
        <v>14004</v>
      </c>
      <c r="V751" t="s">
        <v>14004</v>
      </c>
      <c r="W751" t="s">
        <v>14745</v>
      </c>
      <c r="X751">
        <v>1</v>
      </c>
      <c r="Y751" t="s">
        <v>21684</v>
      </c>
      <c r="Z751" t="s">
        <v>28461</v>
      </c>
      <c r="AA751">
        <v>0.58364564800219687</v>
      </c>
      <c r="AB751" t="str">
        <f>HYPERLINK("Melting_Curves/meltCurve_F5H827_POMGNT1.pdf", "Melting_Curves/meltCurve_F5H827_POMGNT1.pdf")</f>
        <v>Melting_Curves/meltCurve_F5H827_POMGNT1.pdf</v>
      </c>
    </row>
    <row r="752" spans="1:28" x14ac:dyDescent="0.25">
      <c r="A752" t="s">
        <v>756</v>
      </c>
      <c r="B752">
        <v>0.99999676499088797</v>
      </c>
      <c r="C752">
        <v>0.93915247993464002</v>
      </c>
      <c r="D752">
        <v>0.93225317913209704</v>
      </c>
      <c r="E752">
        <v>0.92448969045256302</v>
      </c>
      <c r="F752">
        <v>0.71146421209039001</v>
      </c>
      <c r="G752">
        <v>0.24985362503408901</v>
      </c>
      <c r="H752">
        <v>8.5813171082703907E-2</v>
      </c>
      <c r="I752">
        <v>6.2533097028100199E-2</v>
      </c>
      <c r="J752">
        <v>5.4302785922143097E-2</v>
      </c>
      <c r="K752">
        <v>5.1204680349376801E-2</v>
      </c>
      <c r="L752">
        <v>1664.4687999794601</v>
      </c>
      <c r="M752">
        <v>30.542083979278299</v>
      </c>
      <c r="N752">
        <v>54.681427979628999</v>
      </c>
      <c r="O752">
        <v>54.265518795815098</v>
      </c>
      <c r="P752">
        <v>-0.13384005098274199</v>
      </c>
      <c r="Q752">
        <v>4.8806794273253899E-2</v>
      </c>
      <c r="R752">
        <v>0.99447563296445296</v>
      </c>
      <c r="S752" t="s">
        <v>7755</v>
      </c>
      <c r="T752" t="s">
        <v>14004</v>
      </c>
      <c r="U752" t="s">
        <v>14004</v>
      </c>
      <c r="V752" t="s">
        <v>14004</v>
      </c>
      <c r="W752" t="s">
        <v>14746</v>
      </c>
      <c r="X752">
        <v>31</v>
      </c>
      <c r="Y752" t="s">
        <v>21685</v>
      </c>
      <c r="Z752" t="s">
        <v>28462</v>
      </c>
      <c r="AA752">
        <v>0.51454237487592958</v>
      </c>
      <c r="AB752" t="str">
        <f>HYPERLINK("Melting_Curves/meltCurve_F5H860_INPP4A.pdf", "Melting_Curves/meltCurve_F5H860_INPP4A.pdf")</f>
        <v>Melting_Curves/meltCurve_F5H860_INPP4A.pdf</v>
      </c>
    </row>
    <row r="753" spans="1:28" x14ac:dyDescent="0.25">
      <c r="A753" t="s">
        <v>757</v>
      </c>
      <c r="B753">
        <v>0.99999676499088797</v>
      </c>
      <c r="C753">
        <v>0.94279083826310295</v>
      </c>
      <c r="D753">
        <v>0.82009227275699403</v>
      </c>
      <c r="E753">
        <v>0.71460510544977596</v>
      </c>
      <c r="F753">
        <v>0.229164605952595</v>
      </c>
      <c r="G753">
        <v>0.14837343791626501</v>
      </c>
      <c r="H753">
        <v>8.0211327463604695E-2</v>
      </c>
      <c r="I753">
        <v>7.5517838898555706E-2</v>
      </c>
      <c r="J753">
        <v>7.7712055482828696E-2</v>
      </c>
      <c r="K753">
        <v>6.8402970923199496E-2</v>
      </c>
      <c r="L753">
        <v>1129.81983900556</v>
      </c>
      <c r="M753">
        <v>22.346678740600701</v>
      </c>
      <c r="N753">
        <v>50.863926390872898</v>
      </c>
      <c r="O753">
        <v>50.159084221613703</v>
      </c>
      <c r="P753">
        <v>-0.104392736522957</v>
      </c>
      <c r="Q753">
        <v>6.2744984079765406E-2</v>
      </c>
      <c r="R753">
        <v>0.98547000040018795</v>
      </c>
      <c r="S753" t="s">
        <v>7756</v>
      </c>
      <c r="T753" t="s">
        <v>14004</v>
      </c>
      <c r="U753" t="s">
        <v>14004</v>
      </c>
      <c r="V753" t="s">
        <v>14004</v>
      </c>
      <c r="W753" t="s">
        <v>14747</v>
      </c>
      <c r="X753">
        <v>5</v>
      </c>
      <c r="Y753" t="s">
        <v>21686</v>
      </c>
      <c r="Z753" t="s">
        <v>28463</v>
      </c>
      <c r="AA753">
        <v>0.40313172832887012</v>
      </c>
      <c r="AB753" t="str">
        <f>HYPERLINK("Melting_Curves/meltCurve_F5H874_ASCC1.pdf", "Melting_Curves/meltCurve_F5H874_ASCC1.pdf")</f>
        <v>Melting_Curves/meltCurve_F5H874_ASCC1.pdf</v>
      </c>
    </row>
    <row r="754" spans="1:28" x14ac:dyDescent="0.25">
      <c r="A754" t="s">
        <v>758</v>
      </c>
      <c r="B754">
        <v>0.99999676499088797</v>
      </c>
      <c r="C754">
        <v>0.96577345579791396</v>
      </c>
      <c r="D754">
        <v>0.98399955405801798</v>
      </c>
      <c r="E754">
        <v>0.88329221021978899</v>
      </c>
      <c r="F754">
        <v>0.72129764585761902</v>
      </c>
      <c r="G754">
        <v>0.69793934220878595</v>
      </c>
      <c r="H754">
        <v>0.37725977343391898</v>
      </c>
      <c r="I754">
        <v>0.33706549523670898</v>
      </c>
      <c r="J754">
        <v>0.28511529526351798</v>
      </c>
      <c r="K754">
        <v>0.256077271394198</v>
      </c>
      <c r="L754">
        <v>711.409405402071</v>
      </c>
      <c r="M754">
        <v>12.407245500849999</v>
      </c>
      <c r="N754">
        <v>59.209156997904401</v>
      </c>
      <c r="O754">
        <v>55.909801461629598</v>
      </c>
      <c r="P754">
        <v>-4.6491914240536503E-2</v>
      </c>
      <c r="Q754">
        <v>0.162165927183794</v>
      </c>
      <c r="R754">
        <v>0.98143996938678202</v>
      </c>
      <c r="S754" t="s">
        <v>7757</v>
      </c>
      <c r="T754" t="s">
        <v>14004</v>
      </c>
      <c r="U754" t="s">
        <v>14004</v>
      </c>
      <c r="V754" t="s">
        <v>14004</v>
      </c>
      <c r="W754" t="s">
        <v>14748</v>
      </c>
      <c r="X754">
        <v>10</v>
      </c>
      <c r="Y754" t="s">
        <v>21687</v>
      </c>
      <c r="Z754" t="s">
        <v>28464</v>
      </c>
      <c r="AA754">
        <v>0.65944934115610276</v>
      </c>
      <c r="AB754" t="str">
        <f>HYPERLINK("Melting_Curves/meltCurve_F5H877_SPINT1.pdf", "Melting_Curves/meltCurve_F5H877_SPINT1.pdf")</f>
        <v>Melting_Curves/meltCurve_F5H877_SPINT1.pdf</v>
      </c>
    </row>
    <row r="755" spans="1:28" x14ac:dyDescent="0.25">
      <c r="A755" t="s">
        <v>759</v>
      </c>
      <c r="B755">
        <v>0.99999676499088797</v>
      </c>
      <c r="C755">
        <v>1.00109158800391</v>
      </c>
      <c r="D755">
        <v>0.95801714439247898</v>
      </c>
      <c r="E755">
        <v>0.92066885418692701</v>
      </c>
      <c r="F755">
        <v>0.77712100973376497</v>
      </c>
      <c r="G755">
        <v>0.37570536065342502</v>
      </c>
      <c r="H755">
        <v>9.4789000403001603E-2</v>
      </c>
      <c r="I755">
        <v>8.1801333600617296E-2</v>
      </c>
      <c r="J755">
        <v>6.3999515775471097E-2</v>
      </c>
      <c r="K755">
        <v>5.3417284221594599E-2</v>
      </c>
      <c r="L755">
        <v>1498.5438743421</v>
      </c>
      <c r="M755">
        <v>27.052270431190902</v>
      </c>
      <c r="N755">
        <v>55.595468562924999</v>
      </c>
      <c r="O755">
        <v>55.094340368059598</v>
      </c>
      <c r="P755">
        <v>-0.11703429745812401</v>
      </c>
      <c r="Q755">
        <v>4.6606596423351597E-2</v>
      </c>
      <c r="R755">
        <v>0.99737915066080796</v>
      </c>
      <c r="S755" t="s">
        <v>7758</v>
      </c>
      <c r="T755" t="s">
        <v>14004</v>
      </c>
      <c r="U755" t="s">
        <v>14004</v>
      </c>
      <c r="V755" t="s">
        <v>14004</v>
      </c>
      <c r="W755" t="s">
        <v>14749</v>
      </c>
      <c r="X755">
        <v>35</v>
      </c>
      <c r="Y755" t="s">
        <v>21688</v>
      </c>
      <c r="Z755" t="s">
        <v>28465</v>
      </c>
      <c r="AA755">
        <v>0.54350073146705413</v>
      </c>
      <c r="AB755" t="str">
        <f>HYPERLINK("Melting_Curves/meltCurve_F5H897_TRAP1.pdf", "Melting_Curves/meltCurve_F5H897_TRAP1.pdf")</f>
        <v>Melting_Curves/meltCurve_F5H897_TRAP1.pdf</v>
      </c>
    </row>
    <row r="756" spans="1:28" x14ac:dyDescent="0.25">
      <c r="A756" t="s">
        <v>760</v>
      </c>
      <c r="B756">
        <v>0.99999676499088797</v>
      </c>
      <c r="C756">
        <v>0.90220327642215703</v>
      </c>
      <c r="D756">
        <v>0.88984595720337201</v>
      </c>
      <c r="E756">
        <v>0.98203552464299804</v>
      </c>
      <c r="F756">
        <v>0.83244384045336295</v>
      </c>
      <c r="G756">
        <v>0.490489343077258</v>
      </c>
      <c r="H756">
        <v>0.150760020571162</v>
      </c>
      <c r="I756">
        <v>0.117137764689882</v>
      </c>
      <c r="J756">
        <v>0.106933084019426</v>
      </c>
      <c r="K756">
        <v>0.110676529969647</v>
      </c>
      <c r="L756">
        <v>1616.33314725592</v>
      </c>
      <c r="M756">
        <v>28.794224415772501</v>
      </c>
      <c r="N756">
        <v>56.537168426588998</v>
      </c>
      <c r="O756">
        <v>55.865277275296599</v>
      </c>
      <c r="P756">
        <v>-0.11689550091659499</v>
      </c>
      <c r="Q756">
        <v>9.2825090603769894E-2</v>
      </c>
      <c r="R756">
        <v>0.98398578295666095</v>
      </c>
      <c r="S756" t="s">
        <v>7759</v>
      </c>
      <c r="T756" t="s">
        <v>14004</v>
      </c>
      <c r="U756" t="s">
        <v>14004</v>
      </c>
      <c r="V756" t="s">
        <v>14004</v>
      </c>
      <c r="W756" t="s">
        <v>14750</v>
      </c>
      <c r="X756">
        <v>8</v>
      </c>
      <c r="Y756" t="s">
        <v>21689</v>
      </c>
      <c r="Z756" t="s">
        <v>28466</v>
      </c>
      <c r="AA756">
        <v>0.5872185400806208</v>
      </c>
      <c r="AB756" t="str">
        <f>HYPERLINK("Melting_Curves/meltCurve_F5H8H2_MVK.pdf", "Melting_Curves/meltCurve_F5H8H2_MVK.pdf")</f>
        <v>Melting_Curves/meltCurve_F5H8H2_MVK.pdf</v>
      </c>
    </row>
    <row r="757" spans="1:28" x14ac:dyDescent="0.25">
      <c r="A757" t="s">
        <v>761</v>
      </c>
      <c r="B757">
        <v>0.99999676499088797</v>
      </c>
      <c r="C757">
        <v>0.92598034156134001</v>
      </c>
      <c r="D757">
        <v>0.90251664388984598</v>
      </c>
      <c r="E757">
        <v>0.62912816653151105</v>
      </c>
      <c r="F757">
        <v>0.26001717969764598</v>
      </c>
      <c r="G757">
        <v>0.14846816321436901</v>
      </c>
      <c r="H757">
        <v>7.9528651126304403E-2</v>
      </c>
      <c r="I757">
        <v>0.114147685892665</v>
      </c>
      <c r="J757">
        <v>0.14878350359548401</v>
      </c>
      <c r="K757">
        <v>0.13367116047917599</v>
      </c>
      <c r="L757">
        <v>1287.9247887556</v>
      </c>
      <c r="M757">
        <v>25.722515696726798</v>
      </c>
      <c r="N757">
        <v>50.574440568357097</v>
      </c>
      <c r="O757">
        <v>49.770254615998397</v>
      </c>
      <c r="P757">
        <v>-0.114587473804436</v>
      </c>
      <c r="Q757">
        <v>0.113153717388336</v>
      </c>
      <c r="R757">
        <v>0.99394281674498997</v>
      </c>
      <c r="S757" t="s">
        <v>7760</v>
      </c>
      <c r="T757" t="s">
        <v>14004</v>
      </c>
      <c r="U757" t="s">
        <v>14004</v>
      </c>
      <c r="V757" t="s">
        <v>14004</v>
      </c>
      <c r="W757" t="s">
        <v>14751</v>
      </c>
      <c r="X757">
        <v>8</v>
      </c>
      <c r="Y757" t="s">
        <v>21690</v>
      </c>
      <c r="Z757" t="s">
        <v>28467</v>
      </c>
      <c r="AA757">
        <v>0.41832729125625251</v>
      </c>
      <c r="AB757" t="str">
        <f>HYPERLINK("Melting_Curves/meltCurve_F5H8J3_CLPTM1.pdf", "Melting_Curves/meltCurve_F5H8J3_CLPTM1.pdf")</f>
        <v>Melting_Curves/meltCurve_F5H8J3_CLPTM1.pdf</v>
      </c>
    </row>
    <row r="758" spans="1:28" x14ac:dyDescent="0.25">
      <c r="A758" t="s">
        <v>762</v>
      </c>
      <c r="B758">
        <v>0.99999676499088797</v>
      </c>
      <c r="C758">
        <v>0.96046432716859398</v>
      </c>
      <c r="D758">
        <v>1.1648786252348799</v>
      </c>
      <c r="E758">
        <v>0.656950777343137</v>
      </c>
      <c r="F758">
        <v>0.31769789979003699</v>
      </c>
      <c r="G758">
        <v>0.36735652945047598</v>
      </c>
      <c r="H758">
        <v>0.14626962747483799</v>
      </c>
      <c r="I758">
        <v>6.6828711033263904E-2</v>
      </c>
      <c r="J758">
        <v>6.4508113802436096E-2</v>
      </c>
      <c r="K758">
        <v>6.4767550585924399E-2</v>
      </c>
      <c r="L758">
        <v>1186.8054985299</v>
      </c>
      <c r="M758">
        <v>23.1055977386299</v>
      </c>
      <c r="N758">
        <v>51.880459237141402</v>
      </c>
      <c r="O758">
        <v>50.984283726426597</v>
      </c>
      <c r="P758">
        <v>-0.10166783745749899</v>
      </c>
      <c r="Q758">
        <v>0.10266441154018099</v>
      </c>
      <c r="R758">
        <v>0.94264588595766197</v>
      </c>
      <c r="S758" t="s">
        <v>7761</v>
      </c>
      <c r="T758" t="s">
        <v>14004</v>
      </c>
      <c r="U758" t="s">
        <v>14004</v>
      </c>
      <c r="V758" t="s">
        <v>14004</v>
      </c>
      <c r="W758" t="s">
        <v>14752</v>
      </c>
      <c r="X758">
        <v>5</v>
      </c>
      <c r="Y758" t="s">
        <v>21691</v>
      </c>
      <c r="Z758" t="s">
        <v>28468</v>
      </c>
      <c r="AA758">
        <v>0.45206837037838921</v>
      </c>
      <c r="AB758" t="str">
        <f>HYPERLINK("Melting_Curves/meltCurve_F5H8L0_RABGAP1L.pdf", "Melting_Curves/meltCurve_F5H8L0_RABGAP1L.pdf")</f>
        <v>Melting_Curves/meltCurve_F5H8L0_RABGAP1L.pdf</v>
      </c>
    </row>
    <row r="759" spans="1:28" x14ac:dyDescent="0.25">
      <c r="A759" t="s">
        <v>763</v>
      </c>
      <c r="B759">
        <v>0.99999676499088797</v>
      </c>
      <c r="C759">
        <v>1.2204489934303799</v>
      </c>
      <c r="D759">
        <v>1.14739344797624</v>
      </c>
      <c r="E759">
        <v>1.5984589151834701</v>
      </c>
      <c r="F759">
        <v>1.50904454046069</v>
      </c>
      <c r="G759">
        <v>0.99671648887670194</v>
      </c>
      <c r="H759">
        <v>0.76849873171249405</v>
      </c>
      <c r="I759">
        <v>0.44045754239753798</v>
      </c>
      <c r="J759">
        <v>0.31406056476210897</v>
      </c>
      <c r="K759">
        <v>0.27353190464281901</v>
      </c>
      <c r="L759">
        <v>2606.8266751548999</v>
      </c>
      <c r="M759">
        <v>42.051159372146401</v>
      </c>
      <c r="N759">
        <v>63.2191774089437</v>
      </c>
      <c r="O759">
        <v>61.852104022359697</v>
      </c>
      <c r="P759">
        <v>-0.12254677364868</v>
      </c>
      <c r="Q759">
        <v>0.27899624245830901</v>
      </c>
      <c r="R759">
        <v>0.65540486071711201</v>
      </c>
      <c r="S759" t="s">
        <v>7762</v>
      </c>
      <c r="T759" t="s">
        <v>14004</v>
      </c>
      <c r="U759" t="s">
        <v>14004</v>
      </c>
      <c r="V759" t="s">
        <v>14004</v>
      </c>
      <c r="W759" t="s">
        <v>14753</v>
      </c>
      <c r="X759">
        <v>2</v>
      </c>
      <c r="Y759" t="s">
        <v>21692</v>
      </c>
      <c r="Z759" t="s">
        <v>28469</v>
      </c>
      <c r="AA759">
        <v>0.80994115548682499</v>
      </c>
      <c r="AB759" t="str">
        <f>HYPERLINK("Melting_Curves/meltCurve_F5H8L4_SIDT2.pdf", "Melting_Curves/meltCurve_F5H8L4_SIDT2.pdf")</f>
        <v>Melting_Curves/meltCurve_F5H8L4_SIDT2.pdf</v>
      </c>
    </row>
    <row r="760" spans="1:28" x14ac:dyDescent="0.25">
      <c r="A760" t="s">
        <v>764</v>
      </c>
      <c r="B760">
        <v>0.99999676499088797</v>
      </c>
      <c r="C760">
        <v>0.96052688468152603</v>
      </c>
      <c r="D760">
        <v>1.0934621634014501</v>
      </c>
      <c r="E760">
        <v>1.1608414830848</v>
      </c>
      <c r="F760">
        <v>0.879163457828121</v>
      </c>
      <c r="G760">
        <v>0.54693583104291899</v>
      </c>
      <c r="H760">
        <v>0.23723748885106399</v>
      </c>
      <c r="I760">
        <v>0.1588855615834</v>
      </c>
      <c r="J760">
        <v>0.134692833571179</v>
      </c>
      <c r="K760">
        <v>0.200239863719478</v>
      </c>
      <c r="L760">
        <v>1949.7783451648299</v>
      </c>
      <c r="M760">
        <v>34.514910685474703</v>
      </c>
      <c r="N760">
        <v>57.136491433113498</v>
      </c>
      <c r="O760">
        <v>56.302274677454903</v>
      </c>
      <c r="P760">
        <v>-0.128511738970158</v>
      </c>
      <c r="Q760">
        <v>0.16146664333329699</v>
      </c>
      <c r="R760">
        <v>0.97387520293215701</v>
      </c>
      <c r="S760" t="s">
        <v>7763</v>
      </c>
      <c r="T760" t="s">
        <v>14004</v>
      </c>
      <c r="U760" t="s">
        <v>14004</v>
      </c>
      <c r="V760" t="s">
        <v>14004</v>
      </c>
      <c r="W760" t="s">
        <v>14754</v>
      </c>
      <c r="X760">
        <v>1</v>
      </c>
      <c r="Y760" t="s">
        <v>21693</v>
      </c>
      <c r="Z760" t="s">
        <v>28470</v>
      </c>
      <c r="AA760">
        <v>0.62672104135444195</v>
      </c>
      <c r="AB760" t="str">
        <f>HYPERLINK("Melting_Curves/meltCurve_F6PQP6_EPN2.pdf", "Melting_Curves/meltCurve_F6PQP6_EPN2.pdf")</f>
        <v>Melting_Curves/meltCurve_F6PQP6_EPN2.pdf</v>
      </c>
    </row>
    <row r="761" spans="1:28" x14ac:dyDescent="0.25">
      <c r="A761" t="s">
        <v>765</v>
      </c>
      <c r="B761">
        <v>0.99999676499088797</v>
      </c>
      <c r="C761">
        <v>1.13161997208166</v>
      </c>
      <c r="D761">
        <v>0.97568063180089004</v>
      </c>
      <c r="E761">
        <v>0.63132978728145595</v>
      </c>
      <c r="F761">
        <v>0.55999493051570404</v>
      </c>
      <c r="G761">
        <v>0.52152975852982497</v>
      </c>
      <c r="H761">
        <v>0.216013120261971</v>
      </c>
      <c r="I761">
        <v>0.107046501512781</v>
      </c>
      <c r="J761">
        <v>0.10229663640096701</v>
      </c>
      <c r="K761">
        <v>9.7950531086618803E-2</v>
      </c>
      <c r="L761">
        <v>652.96144090776897</v>
      </c>
      <c r="M761">
        <v>11.933198187285701</v>
      </c>
      <c r="N761">
        <v>54.792489763120997</v>
      </c>
      <c r="O761">
        <v>53.249335291702401</v>
      </c>
      <c r="P761">
        <v>-5.5588364986223798E-2</v>
      </c>
      <c r="Q761">
        <v>8.0397778971448598E-3</v>
      </c>
      <c r="R761">
        <v>0.94888321840422196</v>
      </c>
      <c r="S761" t="s">
        <v>7764</v>
      </c>
      <c r="T761" t="s">
        <v>14004</v>
      </c>
      <c r="U761" t="s">
        <v>14004</v>
      </c>
      <c r="V761" t="s">
        <v>14004</v>
      </c>
      <c r="W761" t="s">
        <v>14755</v>
      </c>
      <c r="X761">
        <v>1</v>
      </c>
      <c r="Y761" t="s">
        <v>21694</v>
      </c>
      <c r="Z761" t="s">
        <v>28471</v>
      </c>
      <c r="AA761">
        <v>0.51884411165358102</v>
      </c>
      <c r="AB761" t="str">
        <f>HYPERLINK("Melting_Curves/meltCurve_F6RAJ7_CDPF1.pdf", "Melting_Curves/meltCurve_F6RAJ7_CDPF1.pdf")</f>
        <v>Melting_Curves/meltCurve_F6RAJ7_CDPF1.pdf</v>
      </c>
    </row>
    <row r="762" spans="1:28" x14ac:dyDescent="0.25">
      <c r="A762" t="s">
        <v>766</v>
      </c>
      <c r="B762">
        <v>0.99999676499088797</v>
      </c>
      <c r="C762">
        <v>1.00636304190864</v>
      </c>
      <c r="D762">
        <v>0.97247142018838295</v>
      </c>
      <c r="E762">
        <v>0.90772610955091204</v>
      </c>
      <c r="F762">
        <v>0.437008625666855</v>
      </c>
      <c r="G762">
        <v>0.21895753175438601</v>
      </c>
      <c r="H762">
        <v>9.2193832641860998E-2</v>
      </c>
      <c r="I762">
        <v>8.7153129837743107E-2</v>
      </c>
      <c r="J762">
        <v>8.1867712414283603E-2</v>
      </c>
      <c r="K762">
        <v>6.7000916661723295E-2</v>
      </c>
      <c r="L762">
        <v>1599.95774066891</v>
      </c>
      <c r="M762">
        <v>30.402041031441001</v>
      </c>
      <c r="N762">
        <v>52.946528230102103</v>
      </c>
      <c r="O762">
        <v>52.400539935283597</v>
      </c>
      <c r="P762">
        <v>-0.13287850800204801</v>
      </c>
      <c r="Q762">
        <v>8.3895490962428404E-2</v>
      </c>
      <c r="R762">
        <v>0.99715657008634595</v>
      </c>
      <c r="S762" t="s">
        <v>7765</v>
      </c>
      <c r="T762" t="s">
        <v>14004</v>
      </c>
      <c r="U762" t="s">
        <v>14004</v>
      </c>
      <c r="V762" t="s">
        <v>14004</v>
      </c>
      <c r="W762" t="s">
        <v>14756</v>
      </c>
      <c r="X762">
        <v>21</v>
      </c>
      <c r="Y762" t="s">
        <v>21695</v>
      </c>
      <c r="Z762" t="s">
        <v>28472</v>
      </c>
      <c r="AA762">
        <v>0.47522958804911752</v>
      </c>
      <c r="AB762" t="str">
        <f>HYPERLINK("Melting_Curves/meltCurve_F6T1Q0_PDE12.pdf", "Melting_Curves/meltCurve_F6T1Q0_PDE12.pdf")</f>
        <v>Melting_Curves/meltCurve_F6T1Q0_PDE12.pdf</v>
      </c>
    </row>
    <row r="763" spans="1:28" x14ac:dyDescent="0.25">
      <c r="A763" t="s">
        <v>767</v>
      </c>
      <c r="B763">
        <v>0.99999676499088797</v>
      </c>
      <c r="C763">
        <v>0.73547189522091105</v>
      </c>
      <c r="D763">
        <v>0.22479792638419599</v>
      </c>
      <c r="E763">
        <v>1.3890920413743599</v>
      </c>
      <c r="F763">
        <v>1.8812791042676</v>
      </c>
      <c r="G763">
        <v>0.49439089159834299</v>
      </c>
      <c r="H763">
        <v>0</v>
      </c>
      <c r="I763">
        <v>0.75171921034780398</v>
      </c>
      <c r="J763">
        <v>0.33971290726414299</v>
      </c>
      <c r="K763">
        <v>0</v>
      </c>
      <c r="L763">
        <v>14153.1292214028</v>
      </c>
      <c r="M763">
        <v>250</v>
      </c>
      <c r="N763">
        <v>56.791751945535601</v>
      </c>
      <c r="O763">
        <v>56.608894066587403</v>
      </c>
      <c r="P763">
        <v>-0.80281337175121303</v>
      </c>
      <c r="Q763">
        <v>0.27285796706923199</v>
      </c>
      <c r="R763">
        <v>0.40646896984188302</v>
      </c>
      <c r="S763" t="s">
        <v>7766</v>
      </c>
      <c r="T763" t="s">
        <v>14004</v>
      </c>
      <c r="U763" t="s">
        <v>14004</v>
      </c>
      <c r="V763" t="s">
        <v>14004</v>
      </c>
      <c r="W763" t="s">
        <v>14757</v>
      </c>
      <c r="X763">
        <v>6</v>
      </c>
      <c r="Y763" t="s">
        <v>21696</v>
      </c>
      <c r="Z763" t="s">
        <v>28473</v>
      </c>
      <c r="AA763">
        <v>0.675585521611342</v>
      </c>
      <c r="AB763" t="str">
        <f>HYPERLINK("Melting_Curves/meltCurve_F6TDL0_PIK3R3.pdf", "Melting_Curves/meltCurve_F6TDL0_PIK3R3.pdf")</f>
        <v>Melting_Curves/meltCurve_F6TDL0_PIK3R3.pdf</v>
      </c>
    </row>
    <row r="764" spans="1:28" x14ac:dyDescent="0.25">
      <c r="A764" t="s">
        <v>768</v>
      </c>
      <c r="B764">
        <v>0.99999676499088797</v>
      </c>
      <c r="C764">
        <v>0.909342819571897</v>
      </c>
      <c r="D764">
        <v>0.96453306849272302</v>
      </c>
      <c r="E764">
        <v>0.97137407726877301</v>
      </c>
      <c r="F764">
        <v>0.79270631714140705</v>
      </c>
      <c r="G764">
        <v>0.40884835782384998</v>
      </c>
      <c r="H764">
        <v>0.20794637836277</v>
      </c>
      <c r="I764">
        <v>0.14857454568355399</v>
      </c>
      <c r="J764">
        <v>0.141316247465403</v>
      </c>
      <c r="K764">
        <v>0.182327260195602</v>
      </c>
      <c r="L764">
        <v>1644.5695890874399</v>
      </c>
      <c r="M764">
        <v>29.7897542482097</v>
      </c>
      <c r="N764">
        <v>55.887535274654702</v>
      </c>
      <c r="O764">
        <v>54.958918316839799</v>
      </c>
      <c r="P764">
        <v>-0.114868376957421</v>
      </c>
      <c r="Q764">
        <v>0.15232639206214801</v>
      </c>
      <c r="R764">
        <v>0.99200714876865903</v>
      </c>
      <c r="S764" t="s">
        <v>7767</v>
      </c>
      <c r="T764" t="s">
        <v>14004</v>
      </c>
      <c r="U764" t="s">
        <v>14004</v>
      </c>
      <c r="V764" t="s">
        <v>14004</v>
      </c>
      <c r="W764" t="s">
        <v>14758</v>
      </c>
      <c r="X764">
        <v>7</v>
      </c>
      <c r="Y764" t="s">
        <v>21697</v>
      </c>
      <c r="Z764" t="s">
        <v>28474</v>
      </c>
      <c r="AA764">
        <v>0.5876866747380437</v>
      </c>
      <c r="AB764" t="str">
        <f>HYPERLINK("Melting_Curves/meltCurve_F6U1T9_PPP3R1.pdf", "Melting_Curves/meltCurve_F6U1T9_PPP3R1.pdf")</f>
        <v>Melting_Curves/meltCurve_F6U1T9_PPP3R1.pdf</v>
      </c>
    </row>
    <row r="765" spans="1:28" x14ac:dyDescent="0.25">
      <c r="A765" t="s">
        <v>769</v>
      </c>
      <c r="B765">
        <v>0.99999676499088797</v>
      </c>
      <c r="C765">
        <v>0.970513631956062</v>
      </c>
      <c r="D765">
        <v>0.89784644458641805</v>
      </c>
      <c r="E765">
        <v>0.91620821432393795</v>
      </c>
      <c r="F765">
        <v>0.61739889100914702</v>
      </c>
      <c r="G765">
        <v>0.55666584225458604</v>
      </c>
      <c r="H765">
        <v>0.30059221022897697</v>
      </c>
      <c r="I765">
        <v>0.41222123118925802</v>
      </c>
      <c r="J765">
        <v>0.38689246267468203</v>
      </c>
      <c r="K765">
        <v>0.34765321758421402</v>
      </c>
      <c r="L765">
        <v>1004.35615838354</v>
      </c>
      <c r="M765">
        <v>18.950547104891101</v>
      </c>
      <c r="N765">
        <v>56.562681885460897</v>
      </c>
      <c r="O765">
        <v>52.419211977410797</v>
      </c>
      <c r="P765">
        <v>-5.8884681224438802E-2</v>
      </c>
      <c r="Q765">
        <v>0.348501296749258</v>
      </c>
      <c r="R765">
        <v>0.96188167960192195</v>
      </c>
      <c r="S765" t="s">
        <v>7768</v>
      </c>
      <c r="T765" t="s">
        <v>14004</v>
      </c>
      <c r="U765" t="s">
        <v>14004</v>
      </c>
      <c r="V765" t="s">
        <v>14004</v>
      </c>
      <c r="W765" t="s">
        <v>14759</v>
      </c>
      <c r="X765">
        <v>3</v>
      </c>
      <c r="Y765" t="s">
        <v>21698</v>
      </c>
      <c r="Z765" t="s">
        <v>28475</v>
      </c>
      <c r="AA765">
        <v>0.64060169942173628</v>
      </c>
      <c r="AB765" t="str">
        <f>HYPERLINK("Melting_Curves/meltCurve_F6VZ39_RBM38.pdf", "Melting_Curves/meltCurve_F6VZ39_RBM38.pdf")</f>
        <v>Melting_Curves/meltCurve_F6VZ39_RBM38.pdf</v>
      </c>
    </row>
    <row r="766" spans="1:28" x14ac:dyDescent="0.25">
      <c r="A766" t="s">
        <v>770</v>
      </c>
      <c r="B766">
        <v>0.99999676499088797</v>
      </c>
      <c r="C766">
        <v>1.02144607676302</v>
      </c>
      <c r="D766">
        <v>0.99191775820542005</v>
      </c>
      <c r="E766">
        <v>1.01434337619445</v>
      </c>
      <c r="F766">
        <v>0.38305943109398399</v>
      </c>
      <c r="G766">
        <v>0.20359398971044701</v>
      </c>
      <c r="H766">
        <v>0.101568361165998</v>
      </c>
      <c r="I766">
        <v>0.108599446977696</v>
      </c>
      <c r="J766">
        <v>0.11046301710597201</v>
      </c>
      <c r="K766">
        <v>7.1912132870438697E-2</v>
      </c>
      <c r="L766">
        <v>3739.9923103862802</v>
      </c>
      <c r="M766">
        <v>71.125322909261897</v>
      </c>
      <c r="N766">
        <v>52.782529294738197</v>
      </c>
      <c r="O766">
        <v>52.541610250294397</v>
      </c>
      <c r="P766">
        <v>-0.298554287227976</v>
      </c>
      <c r="Q766">
        <v>0.117809574573006</v>
      </c>
      <c r="R766">
        <v>0.99417019058396106</v>
      </c>
      <c r="S766" t="s">
        <v>7769</v>
      </c>
      <c r="T766" t="s">
        <v>14004</v>
      </c>
      <c r="U766" t="s">
        <v>14004</v>
      </c>
      <c r="V766" t="s">
        <v>14004</v>
      </c>
      <c r="W766" t="s">
        <v>14760</v>
      </c>
      <c r="X766">
        <v>11</v>
      </c>
      <c r="Y766" t="s">
        <v>21699</v>
      </c>
      <c r="Z766" t="s">
        <v>28476</v>
      </c>
      <c r="AA766">
        <v>0.48884189983355347</v>
      </c>
      <c r="AB766" t="str">
        <f>HYPERLINK("Melting_Curves/meltCurve_F6WCX7_MAP2K7.pdf", "Melting_Curves/meltCurve_F6WCX7_MAP2K7.pdf")</f>
        <v>Melting_Curves/meltCurve_F6WCX7_MAP2K7.pdf</v>
      </c>
    </row>
    <row r="767" spans="1:28" x14ac:dyDescent="0.25">
      <c r="A767" t="s">
        <v>771</v>
      </c>
      <c r="B767">
        <v>0.99999676499088797</v>
      </c>
      <c r="C767">
        <v>0.68204050807804395</v>
      </c>
      <c r="D767">
        <v>1.08023108519407</v>
      </c>
      <c r="E767">
        <v>0.95848532379184603</v>
      </c>
      <c r="F767">
        <v>0.57525180446305202</v>
      </c>
      <c r="G767">
        <v>0.69387927955859297</v>
      </c>
      <c r="H767">
        <v>0.20189564202506499</v>
      </c>
      <c r="I767">
        <v>0.172277242096188</v>
      </c>
      <c r="J767">
        <v>0.14147752147825601</v>
      </c>
      <c r="K767">
        <v>0.104886902853501</v>
      </c>
      <c r="L767">
        <v>791.35267672065902</v>
      </c>
      <c r="M767">
        <v>13.8953581433598</v>
      </c>
      <c r="N767">
        <v>57.084481482791603</v>
      </c>
      <c r="O767">
        <v>55.810216698595703</v>
      </c>
      <c r="P767">
        <v>-6.1256069062131699E-2</v>
      </c>
      <c r="Q767">
        <v>1.6002742485526501E-2</v>
      </c>
      <c r="R767">
        <v>0.86328478272020703</v>
      </c>
      <c r="S767" t="s">
        <v>7770</v>
      </c>
      <c r="T767" t="s">
        <v>14004</v>
      </c>
      <c r="U767" t="s">
        <v>14004</v>
      </c>
      <c r="V767" t="s">
        <v>14004</v>
      </c>
      <c r="W767" t="s">
        <v>14761</v>
      </c>
      <c r="X767">
        <v>7</v>
      </c>
      <c r="Y767" t="s">
        <v>21700</v>
      </c>
      <c r="Z767" t="s">
        <v>28477</v>
      </c>
      <c r="AA767">
        <v>0.58825954339580366</v>
      </c>
      <c r="AB767" t="str">
        <f>HYPERLINK("Melting_Curves/meltCurve_F6XY72_NME2.pdf", "Melting_Curves/meltCurve_F6XY72_NME2.pdf")</f>
        <v>Melting_Curves/meltCurve_F6XY72_NME2.pdf</v>
      </c>
    </row>
    <row r="768" spans="1:28" x14ac:dyDescent="0.25">
      <c r="A768" t="s">
        <v>772</v>
      </c>
      <c r="B768">
        <v>0.99999676499088797</v>
      </c>
      <c r="C768">
        <v>0.92496320791985198</v>
      </c>
      <c r="D768">
        <v>0.93615336705252195</v>
      </c>
      <c r="E768">
        <v>0.75917179539495105</v>
      </c>
      <c r="F768">
        <v>0.35670108262212302</v>
      </c>
      <c r="G768">
        <v>0.25803299905529498</v>
      </c>
      <c r="H768">
        <v>8.4687079396016704E-2</v>
      </c>
      <c r="I768">
        <v>5.88691445184156E-2</v>
      </c>
      <c r="J768">
        <v>0.11125455986699199</v>
      </c>
      <c r="K768">
        <v>6.6413162286522595E-2</v>
      </c>
      <c r="L768">
        <v>1067.9847921529799</v>
      </c>
      <c r="M768">
        <v>20.645667944363101</v>
      </c>
      <c r="N768">
        <v>52.111616235766398</v>
      </c>
      <c r="O768">
        <v>51.251259194601403</v>
      </c>
      <c r="P768">
        <v>-9.3632465995600295E-2</v>
      </c>
      <c r="Q768">
        <v>7.0285535442794506E-2</v>
      </c>
      <c r="R768">
        <v>0.990669930395503</v>
      </c>
      <c r="S768" t="s">
        <v>7771</v>
      </c>
      <c r="T768" t="s">
        <v>14004</v>
      </c>
      <c r="U768" t="s">
        <v>14004</v>
      </c>
      <c r="V768" t="s">
        <v>14004</v>
      </c>
      <c r="W768" t="s">
        <v>14762</v>
      </c>
      <c r="X768">
        <v>1</v>
      </c>
      <c r="Y768" t="s">
        <v>21701</v>
      </c>
      <c r="Z768" t="s">
        <v>28478</v>
      </c>
      <c r="AA768">
        <v>0.44593419457163169</v>
      </c>
      <c r="AB768" t="str">
        <f>HYPERLINK("Melting_Curves/meltCurve_F8VP51_C14orf80.pdf", "Melting_Curves/meltCurve_F8VP51_C14orf80.pdf")</f>
        <v>Melting_Curves/meltCurve_F8VP51_C14orf80.pdf</v>
      </c>
    </row>
    <row r="769" spans="1:28" x14ac:dyDescent="0.25">
      <c r="A769" t="s">
        <v>773</v>
      </c>
      <c r="B769">
        <v>0.99999676499088797</v>
      </c>
      <c r="C769">
        <v>1.2094243033015899</v>
      </c>
      <c r="D769">
        <v>0.96688630628497096</v>
      </c>
      <c r="E769">
        <v>0.87354159075621296</v>
      </c>
      <c r="F769">
        <v>0.75882022692224105</v>
      </c>
      <c r="G769">
        <v>0.86490714308973804</v>
      </c>
      <c r="H769">
        <v>0.67500170565518702</v>
      </c>
      <c r="I769">
        <v>1.0454808041135799</v>
      </c>
      <c r="J769">
        <v>0.94652939664200397</v>
      </c>
      <c r="K769">
        <v>0.632245660633308</v>
      </c>
      <c r="L769">
        <v>2392.6309206967398</v>
      </c>
      <c r="M769">
        <v>49.390328754872101</v>
      </c>
      <c r="O769">
        <v>48.364090086777303</v>
      </c>
      <c r="P769">
        <v>-4.5635416244301702E-2</v>
      </c>
      <c r="Q769">
        <v>0.82125136928565601</v>
      </c>
      <c r="R769">
        <v>0.374521529453823</v>
      </c>
      <c r="S769" t="s">
        <v>7772</v>
      </c>
      <c r="T769" t="s">
        <v>14004</v>
      </c>
      <c r="U769" t="s">
        <v>14004</v>
      </c>
      <c r="V769" t="s">
        <v>14004</v>
      </c>
      <c r="W769" t="s">
        <v>14763</v>
      </c>
      <c r="X769">
        <v>22</v>
      </c>
      <c r="Y769" t="s">
        <v>21466</v>
      </c>
      <c r="Z769" t="s">
        <v>28479</v>
      </c>
      <c r="AA769">
        <v>0.8719506430648547</v>
      </c>
      <c r="AB769" t="str">
        <f>HYPERLINK("Melting_Curves/meltCurve_F8VP89_EIF4B.pdf", "Melting_Curves/meltCurve_F8VP89_EIF4B.pdf")</f>
        <v>Melting_Curves/meltCurve_F8VP89_EIF4B.pdf</v>
      </c>
    </row>
    <row r="770" spans="1:28" x14ac:dyDescent="0.25">
      <c r="A770" t="s">
        <v>774</v>
      </c>
      <c r="B770">
        <v>0.99999676499088797</v>
      </c>
      <c r="C770">
        <v>1.1150465803614</v>
      </c>
      <c r="D770">
        <v>0.98823549281169498</v>
      </c>
      <c r="E770">
        <v>0.67699046324290502</v>
      </c>
      <c r="F770">
        <v>0.27282335330776197</v>
      </c>
      <c r="G770">
        <v>0.19713820200249199</v>
      </c>
      <c r="H770">
        <v>8.8675916339573599E-2</v>
      </c>
      <c r="I770">
        <v>8.1162392584297693E-2</v>
      </c>
      <c r="J770">
        <v>8.8853997249695102E-2</v>
      </c>
      <c r="K770">
        <v>6.9835634280378103E-2</v>
      </c>
      <c r="L770">
        <v>1461.03787887317</v>
      </c>
      <c r="M770">
        <v>28.793888800843099</v>
      </c>
      <c r="N770">
        <v>51.1035757175203</v>
      </c>
      <c r="O770">
        <v>50.498374672756803</v>
      </c>
      <c r="P770">
        <v>-0.129388028103751</v>
      </c>
      <c r="Q770">
        <v>9.2329962103764707E-2</v>
      </c>
      <c r="R770">
        <v>0.98797578321938495</v>
      </c>
      <c r="S770" t="s">
        <v>7773</v>
      </c>
      <c r="T770" t="s">
        <v>14004</v>
      </c>
      <c r="U770" t="s">
        <v>14004</v>
      </c>
      <c r="V770" t="s">
        <v>14004</v>
      </c>
      <c r="W770" t="s">
        <v>14764</v>
      </c>
      <c r="X770">
        <v>43</v>
      </c>
      <c r="Y770" t="s">
        <v>21702</v>
      </c>
      <c r="Z770" t="s">
        <v>28480</v>
      </c>
      <c r="AA770">
        <v>0.42348389640652628</v>
      </c>
      <c r="AB770" t="str">
        <f>HYPERLINK("Melting_Curves/meltCurve_F8VPD4_CAD.pdf", "Melting_Curves/meltCurve_F8VPD4_CAD.pdf")</f>
        <v>Melting_Curves/meltCurve_F8VPD4_CAD.pdf</v>
      </c>
    </row>
    <row r="771" spans="1:28" x14ac:dyDescent="0.25">
      <c r="A771" t="s">
        <v>775</v>
      </c>
      <c r="B771">
        <v>0.99999676499088797</v>
      </c>
      <c r="C771">
        <v>1.01714451134683</v>
      </c>
      <c r="D771">
        <v>1.00722548718825</v>
      </c>
      <c r="E771">
        <v>1.4229250704735401</v>
      </c>
      <c r="F771">
        <v>0.765849081968902</v>
      </c>
      <c r="G771">
        <v>1.4246518602849201</v>
      </c>
      <c r="H771">
        <v>1.0322021003571</v>
      </c>
      <c r="I771">
        <v>0.87069630810091803</v>
      </c>
      <c r="J771">
        <v>0.74491275272440904</v>
      </c>
      <c r="K771">
        <v>1.1597968625741799</v>
      </c>
      <c r="L771">
        <v>11591.5936693123</v>
      </c>
      <c r="M771">
        <v>250</v>
      </c>
      <c r="O771">
        <v>46.363400175477203</v>
      </c>
      <c r="P771">
        <v>8.1081873758970802E-2</v>
      </c>
      <c r="Q771">
        <v>1.0601477112642199</v>
      </c>
      <c r="R771">
        <v>1.10128450291544E-2</v>
      </c>
      <c r="S771" t="s">
        <v>7774</v>
      </c>
      <c r="T771" t="s">
        <v>14004</v>
      </c>
      <c r="U771" t="s">
        <v>14004</v>
      </c>
      <c r="V771" t="s">
        <v>14004</v>
      </c>
      <c r="W771" t="s">
        <v>14765</v>
      </c>
      <c r="X771">
        <v>1</v>
      </c>
      <c r="Y771" t="s">
        <v>21703</v>
      </c>
      <c r="Z771" t="s">
        <v>28481</v>
      </c>
      <c r="AA771">
        <v>1.0473787213790959</v>
      </c>
      <c r="AB771" t="str">
        <f>HYPERLINK("Melting_Curves/meltCurve_F8VQD4_C12orf75.pdf", "Melting_Curves/meltCurve_F8VQD4_C12orf75.pdf")</f>
        <v>Melting_Curves/meltCurve_F8VQD4_C12orf75.pdf</v>
      </c>
    </row>
    <row r="772" spans="1:28" x14ac:dyDescent="0.25">
      <c r="A772" t="s">
        <v>776</v>
      </c>
      <c r="B772">
        <v>0.99999676499088797</v>
      </c>
      <c r="C772">
        <v>0.99838894189635197</v>
      </c>
      <c r="D772">
        <v>1.0407610014136499</v>
      </c>
      <c r="E772">
        <v>1.1470001479897001</v>
      </c>
      <c r="F772">
        <v>1.1995378729547399</v>
      </c>
      <c r="G772">
        <v>1.0841536689679601</v>
      </c>
      <c r="H772">
        <v>0.732869057111877</v>
      </c>
      <c r="I772">
        <v>0.52031107555453704</v>
      </c>
      <c r="J772">
        <v>0.26912849694436902</v>
      </c>
      <c r="K772">
        <v>0.16674143358876201</v>
      </c>
      <c r="L772">
        <v>1898.1104432129</v>
      </c>
      <c r="M772">
        <v>30.021135186999299</v>
      </c>
      <c r="N772">
        <v>63.890007164594799</v>
      </c>
      <c r="O772">
        <v>62.947255215129999</v>
      </c>
      <c r="P772">
        <v>-0.103249479090844</v>
      </c>
      <c r="Q772">
        <v>0.13404619163597301</v>
      </c>
      <c r="R772">
        <v>0.93458223119579997</v>
      </c>
      <c r="S772" t="s">
        <v>7775</v>
      </c>
      <c r="T772" t="s">
        <v>14004</v>
      </c>
      <c r="U772" t="s">
        <v>14004</v>
      </c>
      <c r="V772" t="s">
        <v>14004</v>
      </c>
      <c r="W772" t="s">
        <v>14766</v>
      </c>
      <c r="X772">
        <v>3</v>
      </c>
      <c r="Y772" t="s">
        <v>21704</v>
      </c>
      <c r="Z772" t="s">
        <v>28482</v>
      </c>
      <c r="AA772">
        <v>0.80692296502756322</v>
      </c>
      <c r="AB772" t="str">
        <f>HYPERLINK("Melting_Curves/meltCurve_F8VQX6_METTL7A.pdf", "Melting_Curves/meltCurve_F8VQX6_METTL7A.pdf")</f>
        <v>Melting_Curves/meltCurve_F8VQX6_METTL7A.pdf</v>
      </c>
    </row>
    <row r="773" spans="1:28" x14ac:dyDescent="0.25">
      <c r="A773" t="s">
        <v>777</v>
      </c>
      <c r="B773">
        <v>0.99999676499088797</v>
      </c>
      <c r="C773">
        <v>0.95559387781007699</v>
      </c>
      <c r="D773">
        <v>0.88074167272058701</v>
      </c>
      <c r="E773">
        <v>0.753063781508304</v>
      </c>
      <c r="F773">
        <v>0.56243614238643402</v>
      </c>
      <c r="G773">
        <v>0.40526215029475599</v>
      </c>
      <c r="H773">
        <v>0.25877844587634802</v>
      </c>
      <c r="I773">
        <v>0.31251124867758501</v>
      </c>
      <c r="J773">
        <v>0.30309248751610601</v>
      </c>
      <c r="K773">
        <v>0.30672292027340498</v>
      </c>
      <c r="L773">
        <v>824.80408292942604</v>
      </c>
      <c r="M773">
        <v>16.023911814051001</v>
      </c>
      <c r="N773">
        <v>54.1094020137865</v>
      </c>
      <c r="O773">
        <v>50.691682054522801</v>
      </c>
      <c r="P773">
        <v>-5.7619021206009903E-2</v>
      </c>
      <c r="Q773">
        <v>0.27094534984372798</v>
      </c>
      <c r="R773">
        <v>0.99083441802312899</v>
      </c>
      <c r="S773" t="s">
        <v>7776</v>
      </c>
      <c r="T773" t="s">
        <v>14004</v>
      </c>
      <c r="U773" t="s">
        <v>14004</v>
      </c>
      <c r="V773" t="s">
        <v>14004</v>
      </c>
      <c r="W773" t="s">
        <v>14767</v>
      </c>
      <c r="X773">
        <v>14</v>
      </c>
      <c r="Y773" t="s">
        <v>21705</v>
      </c>
      <c r="Z773" t="s">
        <v>28483</v>
      </c>
      <c r="AA773">
        <v>0.56466915441544074</v>
      </c>
      <c r="AB773" t="str">
        <f>HYPERLINK("Melting_Curves/meltCurve_F8VQY2_UIMC1.pdf", "Melting_Curves/meltCurve_F8VQY2_UIMC1.pdf")</f>
        <v>Melting_Curves/meltCurve_F8VQY2_UIMC1.pdf</v>
      </c>
    </row>
    <row r="774" spans="1:28" x14ac:dyDescent="0.25">
      <c r="A774" t="s">
        <v>778</v>
      </c>
      <c r="B774">
        <v>0.99999676499088797</v>
      </c>
      <c r="C774">
        <v>1.0298070533184001</v>
      </c>
      <c r="D774">
        <v>1.1204370075858101</v>
      </c>
      <c r="E774">
        <v>1.12000589532513</v>
      </c>
      <c r="F774">
        <v>0.87250712103047101</v>
      </c>
      <c r="G774">
        <v>0.672278069541138</v>
      </c>
      <c r="H774">
        <v>0.377349157113886</v>
      </c>
      <c r="I774">
        <v>0.30169289173793701</v>
      </c>
      <c r="J774">
        <v>0.104559101181493</v>
      </c>
      <c r="K774">
        <v>0.15680449426123499</v>
      </c>
      <c r="L774">
        <v>1257.44182679049</v>
      </c>
      <c r="M774">
        <v>21.5366007509305</v>
      </c>
      <c r="N774">
        <v>59.135710799309997</v>
      </c>
      <c r="O774">
        <v>57.889871666735502</v>
      </c>
      <c r="P774">
        <v>-8.1901222738353097E-2</v>
      </c>
      <c r="Q774">
        <v>0.119427215152887</v>
      </c>
      <c r="R774">
        <v>0.96940569892074602</v>
      </c>
      <c r="S774" t="s">
        <v>7777</v>
      </c>
      <c r="T774" t="s">
        <v>14004</v>
      </c>
      <c r="U774" t="s">
        <v>14004</v>
      </c>
      <c r="V774" t="s">
        <v>14004</v>
      </c>
      <c r="W774" t="s">
        <v>14768</v>
      </c>
      <c r="X774">
        <v>23</v>
      </c>
      <c r="Y774" t="s">
        <v>21706</v>
      </c>
      <c r="Z774" t="s">
        <v>28484</v>
      </c>
      <c r="AA774">
        <v>0.668056923514601</v>
      </c>
      <c r="AB774" t="str">
        <f>HYPERLINK("Melting_Curves/meltCurve_F8VQZ7_METAP2.pdf", "Melting_Curves/meltCurve_F8VQZ7_METAP2.pdf")</f>
        <v>Melting_Curves/meltCurve_F8VQZ7_METAP2.pdf</v>
      </c>
    </row>
    <row r="775" spans="1:28" x14ac:dyDescent="0.25">
      <c r="A775" t="s">
        <v>779</v>
      </c>
      <c r="B775">
        <v>0.99999676499088797</v>
      </c>
      <c r="C775">
        <v>0.90292154472198904</v>
      </c>
      <c r="D775">
        <v>0.80186035106790599</v>
      </c>
      <c r="E775">
        <v>0.66727077863476303</v>
      </c>
      <c r="F775">
        <v>0.39397312791179301</v>
      </c>
      <c r="G775">
        <v>0.40537204284836498</v>
      </c>
      <c r="H775">
        <v>0.30889453975971998</v>
      </c>
      <c r="I775">
        <v>0.41634573382782802</v>
      </c>
      <c r="J775">
        <v>0.45078911792246101</v>
      </c>
      <c r="K775">
        <v>0.50952668541880097</v>
      </c>
      <c r="L775">
        <v>985.68172601537503</v>
      </c>
      <c r="M775">
        <v>20.629626117834501</v>
      </c>
      <c r="N775">
        <v>51.995541369821098</v>
      </c>
      <c r="O775">
        <v>47.337723101890703</v>
      </c>
      <c r="P775">
        <v>-6.4704659848324103E-2</v>
      </c>
      <c r="Q775">
        <v>0.40611926151757299</v>
      </c>
      <c r="R775">
        <v>0.92909398021122003</v>
      </c>
      <c r="S775" t="s">
        <v>7778</v>
      </c>
      <c r="T775" t="s">
        <v>14004</v>
      </c>
      <c r="U775" t="s">
        <v>14004</v>
      </c>
      <c r="V775" t="s">
        <v>14004</v>
      </c>
      <c r="W775" t="s">
        <v>14769</v>
      </c>
      <c r="X775">
        <v>1</v>
      </c>
      <c r="Y775" t="s">
        <v>21707</v>
      </c>
      <c r="Z775" t="s">
        <v>28485</v>
      </c>
      <c r="AA775">
        <v>0.56806708970677489</v>
      </c>
      <c r="AB775" t="str">
        <f>HYPERLINK("Melting_Curves/meltCurve_F8VR27_RBFOX1.pdf", "Melting_Curves/meltCurve_F8VR27_RBFOX1.pdf")</f>
        <v>Melting_Curves/meltCurve_F8VR27_RBFOX1.pdf</v>
      </c>
    </row>
    <row r="776" spans="1:28" x14ac:dyDescent="0.25">
      <c r="A776" t="s">
        <v>780</v>
      </c>
      <c r="B776">
        <v>0.99999676499088797</v>
      </c>
      <c r="C776">
        <v>0.97064159246471804</v>
      </c>
      <c r="D776">
        <v>0.84353359313568899</v>
      </c>
      <c r="E776">
        <v>0.46732989767807898</v>
      </c>
      <c r="F776">
        <v>0.378015339972607</v>
      </c>
      <c r="G776">
        <v>0.45344515652231898</v>
      </c>
      <c r="H776">
        <v>0.26735979609748201</v>
      </c>
      <c r="I776">
        <v>0.26181022371023399</v>
      </c>
      <c r="J776">
        <v>0.10365805225421799</v>
      </c>
      <c r="K776">
        <v>8.3521222619998003E-2</v>
      </c>
      <c r="L776">
        <v>591.07875765253402</v>
      </c>
      <c r="M776">
        <v>11.7292566653738</v>
      </c>
      <c r="N776">
        <v>51.680131662100599</v>
      </c>
      <c r="O776">
        <v>48.995609856839003</v>
      </c>
      <c r="P776">
        <v>-5.2284441403279598E-2</v>
      </c>
      <c r="Q776">
        <v>0.12661689281849201</v>
      </c>
      <c r="R776">
        <v>0.93469435623170904</v>
      </c>
      <c r="S776" t="s">
        <v>7779</v>
      </c>
      <c r="T776" t="s">
        <v>14004</v>
      </c>
      <c r="U776" t="s">
        <v>14004</v>
      </c>
      <c r="V776" t="s">
        <v>14004</v>
      </c>
      <c r="W776" t="s">
        <v>14770</v>
      </c>
      <c r="X776">
        <v>1</v>
      </c>
      <c r="Y776" t="s">
        <v>21708</v>
      </c>
      <c r="Z776" t="s">
        <v>28486</v>
      </c>
      <c r="AA776">
        <v>0.45976971718633242</v>
      </c>
      <c r="AB776" t="str">
        <f>HYPERLINK("Melting_Curves/meltCurve_F8VRE8_TMEM19.pdf", "Melting_Curves/meltCurve_F8VRE8_TMEM19.pdf")</f>
        <v>Melting_Curves/meltCurve_F8VRE8_TMEM19.pdf</v>
      </c>
    </row>
    <row r="777" spans="1:28" x14ac:dyDescent="0.25">
      <c r="A777" t="s">
        <v>781</v>
      </c>
      <c r="B777">
        <v>0.99999676499088797</v>
      </c>
      <c r="C777">
        <v>0.85048502259425895</v>
      </c>
      <c r="D777">
        <v>0.68405522325944401</v>
      </c>
      <c r="E777">
        <v>0.36719373684325601</v>
      </c>
      <c r="F777">
        <v>0.39674765919898503</v>
      </c>
      <c r="G777">
        <v>0.22279583768567099</v>
      </c>
      <c r="H777">
        <v>0.118009952370444</v>
      </c>
      <c r="I777">
        <v>0.12975332189256999</v>
      </c>
      <c r="J777">
        <v>0.131237454990072</v>
      </c>
      <c r="K777">
        <v>8.4975518918127393E-2</v>
      </c>
      <c r="L777">
        <v>631.36410646271804</v>
      </c>
      <c r="M777">
        <v>13.1264759688532</v>
      </c>
      <c r="N777">
        <v>48.901034540954001</v>
      </c>
      <c r="O777">
        <v>47.023288994492503</v>
      </c>
      <c r="P777">
        <v>-6.3035752155576594E-2</v>
      </c>
      <c r="Q777">
        <v>9.6895639150654106E-2</v>
      </c>
      <c r="R777">
        <v>0.97549118185370598</v>
      </c>
      <c r="S777" t="s">
        <v>7780</v>
      </c>
      <c r="T777" t="s">
        <v>14004</v>
      </c>
      <c r="U777" t="s">
        <v>14004</v>
      </c>
      <c r="V777" t="s">
        <v>14004</v>
      </c>
      <c r="W777" t="s">
        <v>14771</v>
      </c>
      <c r="X777">
        <v>1</v>
      </c>
      <c r="Y777" t="s">
        <v>21709</v>
      </c>
      <c r="Z777" t="s">
        <v>28487</v>
      </c>
      <c r="AA777">
        <v>0.37055044991892738</v>
      </c>
      <c r="AB777" t="str">
        <f>HYPERLINK("Melting_Curves/meltCurve_F8VRH9_RASAL1.pdf", "Melting_Curves/meltCurve_F8VRH9_RASAL1.pdf")</f>
        <v>Melting_Curves/meltCurve_F8VRH9_RASAL1.pdf</v>
      </c>
    </row>
    <row r="778" spans="1:28" x14ac:dyDescent="0.25">
      <c r="A778" t="s">
        <v>782</v>
      </c>
      <c r="B778">
        <v>0.99999676499088797</v>
      </c>
      <c r="C778">
        <v>0.96877423290836395</v>
      </c>
      <c r="D778">
        <v>0.86157193529582898</v>
      </c>
      <c r="E778">
        <v>0.62993548651568698</v>
      </c>
      <c r="F778">
        <v>0.53709531415632406</v>
      </c>
      <c r="G778">
        <v>0.45386571851344498</v>
      </c>
      <c r="H778">
        <v>0.30355204614600001</v>
      </c>
      <c r="I778">
        <v>0.29595899359436301</v>
      </c>
      <c r="J778">
        <v>0.36434621683669799</v>
      </c>
      <c r="K778">
        <v>0.22407646853149499</v>
      </c>
      <c r="L778">
        <v>665.79397459662096</v>
      </c>
      <c r="M778">
        <v>13.1314285482022</v>
      </c>
      <c r="N778">
        <v>53.762473324503098</v>
      </c>
      <c r="O778">
        <v>49.569710906974699</v>
      </c>
      <c r="P778">
        <v>-4.8803685639850103E-2</v>
      </c>
      <c r="Q778">
        <v>0.26321078325530201</v>
      </c>
      <c r="R778">
        <v>0.97748146829240501</v>
      </c>
      <c r="S778" t="s">
        <v>7781</v>
      </c>
      <c r="T778" t="s">
        <v>14004</v>
      </c>
      <c r="U778" t="s">
        <v>14004</v>
      </c>
      <c r="V778" t="s">
        <v>14004</v>
      </c>
      <c r="W778" t="s">
        <v>14772</v>
      </c>
      <c r="X778">
        <v>1</v>
      </c>
      <c r="Y778" t="s">
        <v>21710</v>
      </c>
      <c r="Z778" t="s">
        <v>28488</v>
      </c>
      <c r="AA778">
        <v>0.54739453269971472</v>
      </c>
      <c r="AB778" t="str">
        <f>HYPERLINK("Melting_Curves/meltCurve_F8VS02_ALDH7A1.pdf", "Melting_Curves/meltCurve_F8VS02_ALDH7A1.pdf")</f>
        <v>Melting_Curves/meltCurve_F8VS02_ALDH7A1.pdf</v>
      </c>
    </row>
    <row r="779" spans="1:28" x14ac:dyDescent="0.25">
      <c r="A779" t="s">
        <v>783</v>
      </c>
      <c r="B779">
        <v>0.99999676499088797</v>
      </c>
      <c r="C779">
        <v>1.28364052616818</v>
      </c>
      <c r="D779">
        <v>1.12651132410414</v>
      </c>
      <c r="E779">
        <v>0.77688162566224095</v>
      </c>
      <c r="F779">
        <v>0.82290649216692902</v>
      </c>
      <c r="G779">
        <v>0.82634606246968001</v>
      </c>
      <c r="H779">
        <v>0.349808868498243</v>
      </c>
      <c r="I779">
        <v>0.56013029011186699</v>
      </c>
      <c r="J779">
        <v>0.30589837988489299</v>
      </c>
      <c r="K779">
        <v>0.46957923215106201</v>
      </c>
      <c r="L779">
        <v>970.70259870999905</v>
      </c>
      <c r="M779">
        <v>17.1130644566142</v>
      </c>
      <c r="N779">
        <v>61.558906560466902</v>
      </c>
      <c r="O779">
        <v>55.965318484984699</v>
      </c>
      <c r="P779">
        <v>-4.81899604197948E-2</v>
      </c>
      <c r="Q779">
        <v>0.36965006677002898</v>
      </c>
      <c r="R779">
        <v>0.78257672455003802</v>
      </c>
      <c r="S779" t="s">
        <v>7782</v>
      </c>
      <c r="T779" t="s">
        <v>14004</v>
      </c>
      <c r="U779" t="s">
        <v>14004</v>
      </c>
      <c r="V779" t="s">
        <v>14004</v>
      </c>
      <c r="W779" t="s">
        <v>14773</v>
      </c>
      <c r="X779">
        <v>1</v>
      </c>
      <c r="Y779" t="s">
        <v>21711</v>
      </c>
      <c r="Z779" t="s">
        <v>28489</v>
      </c>
      <c r="AA779">
        <v>0.73032596439469344</v>
      </c>
      <c r="AB779" t="str">
        <f>HYPERLINK("Melting_Curves/meltCurve_F8VS47_NEK3.pdf", "Melting_Curves/meltCurve_F8VS47_NEK3.pdf")</f>
        <v>Melting_Curves/meltCurve_F8VS47_NEK3.pdf</v>
      </c>
    </row>
    <row r="780" spans="1:28" x14ac:dyDescent="0.25">
      <c r="A780" t="s">
        <v>784</v>
      </c>
      <c r="B780">
        <v>0.99999676499088797</v>
      </c>
      <c r="C780">
        <v>1.0211365707178099</v>
      </c>
      <c r="D780">
        <v>1.0336812631019101</v>
      </c>
      <c r="E780">
        <v>1.03887028889786</v>
      </c>
      <c r="F780">
        <v>0.75780307320676898</v>
      </c>
      <c r="G780">
        <v>0.64546129588392298</v>
      </c>
      <c r="H780">
        <v>0.222250129157719</v>
      </c>
      <c r="I780">
        <v>0.165257019863877</v>
      </c>
      <c r="J780">
        <v>0.15472496281418599</v>
      </c>
      <c r="K780">
        <v>0.20341589530131499</v>
      </c>
      <c r="L780">
        <v>1377.84059927933</v>
      </c>
      <c r="M780">
        <v>24.299132493377002</v>
      </c>
      <c r="N780">
        <v>57.491217245092699</v>
      </c>
      <c r="O780">
        <v>56.323436298405703</v>
      </c>
      <c r="P780">
        <v>-9.2581756829875406E-2</v>
      </c>
      <c r="Q780">
        <v>0.14162476499698101</v>
      </c>
      <c r="R780">
        <v>0.97919854658178096</v>
      </c>
      <c r="S780" t="s">
        <v>7783</v>
      </c>
      <c r="T780" t="s">
        <v>14004</v>
      </c>
      <c r="U780" t="s">
        <v>14004</v>
      </c>
      <c r="V780" t="s">
        <v>14004</v>
      </c>
      <c r="W780" t="s">
        <v>14774</v>
      </c>
      <c r="X780">
        <v>2</v>
      </c>
      <c r="Y780" t="s">
        <v>21712</v>
      </c>
      <c r="Z780" t="s">
        <v>28490</v>
      </c>
      <c r="AA780">
        <v>0.62768875373556909</v>
      </c>
      <c r="AB780" t="str">
        <f>HYPERLINK("Melting_Curves/meltCurve_F8VSL3_NFYB.pdf", "Melting_Curves/meltCurve_F8VSL3_NFYB.pdf")</f>
        <v>Melting_Curves/meltCurve_F8VSL3_NFYB.pdf</v>
      </c>
    </row>
    <row r="781" spans="1:28" x14ac:dyDescent="0.25">
      <c r="A781" t="s">
        <v>785</v>
      </c>
      <c r="B781">
        <v>0.99999676499088797</v>
      </c>
      <c r="C781">
        <v>0.96627614919723603</v>
      </c>
      <c r="D781">
        <v>0.994114693015684</v>
      </c>
      <c r="E781">
        <v>0.94308493343643895</v>
      </c>
      <c r="F781">
        <v>0.62567983752286005</v>
      </c>
      <c r="G781">
        <v>0.32533890753691103</v>
      </c>
      <c r="H781">
        <v>0.13049420606891901</v>
      </c>
      <c r="I781">
        <v>0.10542490147360201</v>
      </c>
      <c r="J781">
        <v>9.8292359528824702E-2</v>
      </c>
      <c r="K781">
        <v>0.104041521967128</v>
      </c>
      <c r="L781">
        <v>1378.3221569811999</v>
      </c>
      <c r="M781">
        <v>25.459856256660199</v>
      </c>
      <c r="N781">
        <v>54.576036781937503</v>
      </c>
      <c r="O781">
        <v>53.806397635376698</v>
      </c>
      <c r="P781">
        <v>-0.107342883668684</v>
      </c>
      <c r="Q781">
        <v>9.2585362108122099E-2</v>
      </c>
      <c r="R781">
        <v>0.99817230253091904</v>
      </c>
      <c r="S781" t="s">
        <v>7784</v>
      </c>
      <c r="T781" t="s">
        <v>14004</v>
      </c>
      <c r="U781" t="s">
        <v>14004</v>
      </c>
      <c r="V781" t="s">
        <v>14004</v>
      </c>
      <c r="W781" t="s">
        <v>14775</v>
      </c>
      <c r="X781">
        <v>11</v>
      </c>
      <c r="Y781" t="s">
        <v>21713</v>
      </c>
      <c r="Z781" t="s">
        <v>28491</v>
      </c>
      <c r="AA781">
        <v>0.52831739240857722</v>
      </c>
      <c r="AB781" t="str">
        <f>HYPERLINK("Melting_Curves/meltCurve_F8VSZ4_PLXNA1.pdf", "Melting_Curves/meltCurve_F8VSZ4_PLXNA1.pdf")</f>
        <v>Melting_Curves/meltCurve_F8VSZ4_PLXNA1.pdf</v>
      </c>
    </row>
    <row r="782" spans="1:28" x14ac:dyDescent="0.25">
      <c r="A782" t="s">
        <v>786</v>
      </c>
      <c r="B782">
        <v>0.99999676499088797</v>
      </c>
      <c r="C782">
        <v>0.84280202815452299</v>
      </c>
      <c r="D782">
        <v>0.91382718670512197</v>
      </c>
      <c r="E782">
        <v>0.97553338131231304</v>
      </c>
      <c r="F782">
        <v>0.86385201782465204</v>
      </c>
      <c r="G782">
        <v>0.82942352767216798</v>
      </c>
      <c r="H782">
        <v>0.271295301602896</v>
      </c>
      <c r="I782">
        <v>0</v>
      </c>
      <c r="J782">
        <v>5.1865977903721001E-2</v>
      </c>
      <c r="K782">
        <v>5.0743629283513197E-2</v>
      </c>
      <c r="L782">
        <v>2241.9707338041399</v>
      </c>
      <c r="M782">
        <v>38.0091241358</v>
      </c>
      <c r="N782">
        <v>59.045034785788602</v>
      </c>
      <c r="O782">
        <v>58.822501294829202</v>
      </c>
      <c r="P782">
        <v>-0.15848355193203001</v>
      </c>
      <c r="Q782">
        <v>1.89328982013801E-2</v>
      </c>
      <c r="R782">
        <v>0.96754549067475804</v>
      </c>
      <c r="S782" t="s">
        <v>7785</v>
      </c>
      <c r="T782" t="s">
        <v>14004</v>
      </c>
      <c r="U782" t="s">
        <v>14004</v>
      </c>
      <c r="V782" t="s">
        <v>14004</v>
      </c>
      <c r="W782" t="s">
        <v>14776</v>
      </c>
      <c r="X782">
        <v>1</v>
      </c>
      <c r="Y782" t="s">
        <v>21714</v>
      </c>
      <c r="Z782" t="s">
        <v>28492</v>
      </c>
      <c r="AA782">
        <v>0.64402979626751766</v>
      </c>
      <c r="AB782" t="str">
        <f>HYPERLINK("Melting_Curves/meltCurve_F8VTS6_RFPL4AL1.pdf", "Melting_Curves/meltCurve_F8VTS6_RFPL4AL1.pdf")</f>
        <v>Melting_Curves/meltCurve_F8VTS6_RFPL4AL1.pdf</v>
      </c>
    </row>
    <row r="783" spans="1:28" x14ac:dyDescent="0.25">
      <c r="A783" t="s">
        <v>787</v>
      </c>
      <c r="B783">
        <v>0.99999676499088797</v>
      </c>
      <c r="C783">
        <v>1.0622276637422701</v>
      </c>
      <c r="D783">
        <v>0.58165359158715901</v>
      </c>
      <c r="E783">
        <v>0.17675169463212401</v>
      </c>
      <c r="F783">
        <v>0.24320705943171</v>
      </c>
      <c r="G783">
        <v>0.21186879257962599</v>
      </c>
      <c r="H783">
        <v>5.5898188907148899E-2</v>
      </c>
      <c r="I783">
        <v>8.5495398306451503E-2</v>
      </c>
      <c r="J783">
        <v>5.4428026689696797E-2</v>
      </c>
      <c r="K783">
        <v>0.106943300522245</v>
      </c>
      <c r="L783">
        <v>11503.164650598001</v>
      </c>
      <c r="M783">
        <v>250</v>
      </c>
      <c r="N783">
        <v>46.0699031075847</v>
      </c>
      <c r="O783">
        <v>46.009713993276698</v>
      </c>
      <c r="P783">
        <v>-1.1770432770466699</v>
      </c>
      <c r="Q783">
        <v>0.13351320649992901</v>
      </c>
      <c r="R783">
        <v>0.97087792450908905</v>
      </c>
      <c r="S783" t="s">
        <v>7786</v>
      </c>
      <c r="T783" t="s">
        <v>14004</v>
      </c>
      <c r="U783" t="s">
        <v>14004</v>
      </c>
      <c r="V783" t="s">
        <v>14004</v>
      </c>
      <c r="W783" t="s">
        <v>14777</v>
      </c>
      <c r="X783">
        <v>4</v>
      </c>
      <c r="Y783" t="s">
        <v>21715</v>
      </c>
      <c r="Z783" t="s">
        <v>28493</v>
      </c>
      <c r="AA783">
        <v>0.30724615236791092</v>
      </c>
      <c r="AB783" t="str">
        <f>HYPERLINK("Melting_Curves/meltCurve_F8VU11_PRPF40B.pdf", "Melting_Curves/meltCurve_F8VU11_PRPF40B.pdf")</f>
        <v>Melting_Curves/meltCurve_F8VU11_PRPF40B.pdf</v>
      </c>
    </row>
    <row r="784" spans="1:28" x14ac:dyDescent="0.25">
      <c r="A784" t="s">
        <v>788</v>
      </c>
      <c r="B784">
        <v>0.99999676499088797</v>
      </c>
      <c r="C784">
        <v>0.94773976094587797</v>
      </c>
      <c r="D784">
        <v>1.0095089912110999</v>
      </c>
      <c r="E784">
        <v>0.93295380930296701</v>
      </c>
      <c r="F784">
        <v>0.73753992008833802</v>
      </c>
      <c r="G784">
        <v>0.53015185818835797</v>
      </c>
      <c r="H784">
        <v>0.25083060127798901</v>
      </c>
      <c r="I784">
        <v>0.19440370749982999</v>
      </c>
      <c r="J784">
        <v>0.17773404418114</v>
      </c>
      <c r="K784">
        <v>0.18217094472312201</v>
      </c>
      <c r="L784">
        <v>1116.0398511470601</v>
      </c>
      <c r="M784">
        <v>20.0368152517526</v>
      </c>
      <c r="N784">
        <v>56.693579827344699</v>
      </c>
      <c r="O784">
        <v>55.153558633111103</v>
      </c>
      <c r="P784">
        <v>-7.7371991624209296E-2</v>
      </c>
      <c r="Q784">
        <v>0.148127582028759</v>
      </c>
      <c r="R784">
        <v>0.99469174036039498</v>
      </c>
      <c r="S784" t="s">
        <v>7787</v>
      </c>
      <c r="T784" t="s">
        <v>14004</v>
      </c>
      <c r="U784" t="s">
        <v>14004</v>
      </c>
      <c r="V784" t="s">
        <v>14004</v>
      </c>
      <c r="W784" t="s">
        <v>14778</v>
      </c>
      <c r="X784">
        <v>7</v>
      </c>
      <c r="Y784" t="s">
        <v>21716</v>
      </c>
      <c r="Z784" t="s">
        <v>28494</v>
      </c>
      <c r="AA784">
        <v>0.60499761066413216</v>
      </c>
      <c r="AB784" t="str">
        <f>HYPERLINK("Melting_Curves/meltCurve_F8VU90_FKBP11.pdf", "Melting_Curves/meltCurve_F8VU90_FKBP11.pdf")</f>
        <v>Melting_Curves/meltCurve_F8VU90_FKBP11.pdf</v>
      </c>
    </row>
    <row r="785" spans="1:28" x14ac:dyDescent="0.25">
      <c r="A785" t="s">
        <v>789</v>
      </c>
      <c r="B785">
        <v>0.99999676499088797</v>
      </c>
      <c r="C785">
        <v>1.66817738190145</v>
      </c>
      <c r="D785">
        <v>0.89732818326701702</v>
      </c>
      <c r="E785">
        <v>0.51722092723300195</v>
      </c>
      <c r="F785">
        <v>0.242292880461418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1461.1358167923599</v>
      </c>
      <c r="M785">
        <v>29.179213090334802</v>
      </c>
      <c r="N785">
        <v>50.085373001889998</v>
      </c>
      <c r="O785">
        <v>49.8411180883623</v>
      </c>
      <c r="P785">
        <v>-0.14590207627323101</v>
      </c>
      <c r="Q785">
        <v>3.1437765211141098E-3</v>
      </c>
      <c r="R785">
        <v>0.84580055343748295</v>
      </c>
      <c r="S785" t="s">
        <v>7788</v>
      </c>
      <c r="T785" t="s">
        <v>14004</v>
      </c>
      <c r="U785" t="s">
        <v>14004</v>
      </c>
      <c r="V785" t="s">
        <v>14004</v>
      </c>
      <c r="W785" t="s">
        <v>14779</v>
      </c>
      <c r="X785">
        <v>1</v>
      </c>
      <c r="Y785" t="s">
        <v>21717</v>
      </c>
      <c r="Z785" t="s">
        <v>28495</v>
      </c>
      <c r="AA785">
        <v>0.34443545735344039</v>
      </c>
      <c r="AB785" t="str">
        <f>HYPERLINK("Melting_Curves/meltCurve_F8VUW5_DAZAP2.pdf", "Melting_Curves/meltCurve_F8VUW5_DAZAP2.pdf")</f>
        <v>Melting_Curves/meltCurve_F8VUW5_DAZAP2.pdf</v>
      </c>
    </row>
    <row r="786" spans="1:28" x14ac:dyDescent="0.25">
      <c r="A786" t="s">
        <v>790</v>
      </c>
      <c r="B786">
        <v>0.99999676499088797</v>
      </c>
      <c r="C786">
        <v>1.01176615599558</v>
      </c>
      <c r="D786">
        <v>1.2030013394658099</v>
      </c>
      <c r="E786">
        <v>1.0024527649444701</v>
      </c>
      <c r="F786">
        <v>8.4809735636925492</v>
      </c>
      <c r="G786">
        <v>0.81474702139887401</v>
      </c>
      <c r="H786">
        <v>0.74522422854159498</v>
      </c>
      <c r="I786">
        <v>0.49416987238122301</v>
      </c>
      <c r="J786">
        <v>0.37726042872023302</v>
      </c>
      <c r="K786">
        <v>0.62296533014976696</v>
      </c>
      <c r="L786">
        <v>4082.11301131759</v>
      </c>
      <c r="M786">
        <v>67.208709498355603</v>
      </c>
      <c r="N786">
        <v>64.945390607208395</v>
      </c>
      <c r="O786">
        <v>60.684151162277203</v>
      </c>
      <c r="P786">
        <v>-0.14021901142898699</v>
      </c>
      <c r="Q786">
        <v>0.49357340926333199</v>
      </c>
      <c r="R786">
        <v>-4.6433626394890098E-2</v>
      </c>
      <c r="S786" t="s">
        <v>7789</v>
      </c>
      <c r="T786" t="s">
        <v>14004</v>
      </c>
      <c r="U786" t="s">
        <v>14004</v>
      </c>
      <c r="V786" t="s">
        <v>14004</v>
      </c>
      <c r="W786" t="s">
        <v>14780</v>
      </c>
      <c r="X786">
        <v>1</v>
      </c>
      <c r="Y786" t="s">
        <v>21718</v>
      </c>
      <c r="Z786" t="s">
        <v>28496</v>
      </c>
      <c r="AA786">
        <v>0.84439300073256374</v>
      </c>
      <c r="AB786" t="str">
        <f>HYPERLINK("Melting_Curves/meltCurve_F8VV32_LYZ.pdf", "Melting_Curves/meltCurve_F8VV32_LYZ.pdf")</f>
        <v>Melting_Curves/meltCurve_F8VV32_LYZ.pdf</v>
      </c>
    </row>
    <row r="787" spans="1:28" x14ac:dyDescent="0.25">
      <c r="A787" t="s">
        <v>791</v>
      </c>
      <c r="B787">
        <v>0.99999676499088797</v>
      </c>
      <c r="C787">
        <v>1.0719379885006901</v>
      </c>
      <c r="D787">
        <v>1.01711060370549</v>
      </c>
      <c r="E787">
        <v>0.59247216344575704</v>
      </c>
      <c r="F787">
        <v>0.24915015244209701</v>
      </c>
      <c r="G787">
        <v>0.21876020158314499</v>
      </c>
      <c r="H787">
        <v>0.106655764863443</v>
      </c>
      <c r="I787">
        <v>0.109253381119382</v>
      </c>
      <c r="J787">
        <v>9.4579479954898293E-2</v>
      </c>
      <c r="K787">
        <v>8.2291816473738899E-2</v>
      </c>
      <c r="L787">
        <v>1610.0095686562199</v>
      </c>
      <c r="M787">
        <v>32.170941939452298</v>
      </c>
      <c r="N787">
        <v>50.469969961106699</v>
      </c>
      <c r="O787">
        <v>49.8532785413529</v>
      </c>
      <c r="P787">
        <v>-0.14220544759072201</v>
      </c>
      <c r="Q787">
        <v>0.118537125443113</v>
      </c>
      <c r="R787">
        <v>0.98752514252899504</v>
      </c>
      <c r="S787" t="s">
        <v>7790</v>
      </c>
      <c r="T787" t="s">
        <v>14004</v>
      </c>
      <c r="U787" t="s">
        <v>14004</v>
      </c>
      <c r="V787" t="s">
        <v>14004</v>
      </c>
      <c r="W787" t="s">
        <v>14781</v>
      </c>
      <c r="X787">
        <v>5</v>
      </c>
      <c r="Y787" t="s">
        <v>21719</v>
      </c>
      <c r="Z787" t="s">
        <v>28497</v>
      </c>
      <c r="AA787">
        <v>0.4184306653098594</v>
      </c>
      <c r="AB787" t="str">
        <f>HYPERLINK("Melting_Curves/meltCurve_F8VV52_CNOT2.pdf", "Melting_Curves/meltCurve_F8VV52_CNOT2.pdf")</f>
        <v>Melting_Curves/meltCurve_F8VV52_CNOT2.pdf</v>
      </c>
    </row>
    <row r="788" spans="1:28" x14ac:dyDescent="0.25">
      <c r="A788" t="s">
        <v>792</v>
      </c>
      <c r="B788">
        <v>0.99999676499088797</v>
      </c>
      <c r="C788">
        <v>1.27250814557638</v>
      </c>
      <c r="D788">
        <v>1.10846957221579</v>
      </c>
      <c r="E788">
        <v>0.96267892278781997</v>
      </c>
      <c r="F788">
        <v>0.49844564901938498</v>
      </c>
      <c r="G788">
        <v>0.24817729142559899</v>
      </c>
      <c r="H788">
        <v>0.109602948279327</v>
      </c>
      <c r="I788">
        <v>9.5799833197372494E-2</v>
      </c>
      <c r="J788">
        <v>8.8667591306123394E-2</v>
      </c>
      <c r="K788">
        <v>7.8372091169394295E-2</v>
      </c>
      <c r="L788">
        <v>1799.46737290953</v>
      </c>
      <c r="M788">
        <v>33.892194520252097</v>
      </c>
      <c r="N788">
        <v>53.441990202466101</v>
      </c>
      <c r="O788">
        <v>52.910038075931702</v>
      </c>
      <c r="P788">
        <v>-0.14427871713245899</v>
      </c>
      <c r="Q788">
        <v>9.9053703725894296E-2</v>
      </c>
      <c r="R788">
        <v>0.95587713657203</v>
      </c>
      <c r="S788" t="s">
        <v>7791</v>
      </c>
      <c r="T788" t="s">
        <v>14004</v>
      </c>
      <c r="U788" t="s">
        <v>14004</v>
      </c>
      <c r="V788" t="s">
        <v>14004</v>
      </c>
      <c r="W788" t="s">
        <v>14782</v>
      </c>
      <c r="X788">
        <v>13</v>
      </c>
      <c r="Y788" t="s">
        <v>21720</v>
      </c>
      <c r="Z788" t="s">
        <v>28498</v>
      </c>
      <c r="AA788">
        <v>0.4968812491333548</v>
      </c>
      <c r="AB788" t="str">
        <f>HYPERLINK("Melting_Curves/meltCurve_F8VV59_NAP1L1.pdf", "Melting_Curves/meltCurve_F8VV59_NAP1L1.pdf")</f>
        <v>Melting_Curves/meltCurve_F8VV59_NAP1L1.pdf</v>
      </c>
    </row>
    <row r="789" spans="1:28" x14ac:dyDescent="0.25">
      <c r="A789" t="s">
        <v>793</v>
      </c>
      <c r="B789">
        <v>0.99999676499088797</v>
      </c>
      <c r="C789">
        <v>0.99934504607092101</v>
      </c>
      <c r="D789">
        <v>0.93422040742929902</v>
      </c>
      <c r="E789">
        <v>0.60158102426329496</v>
      </c>
      <c r="F789">
        <v>0.443800444136491</v>
      </c>
      <c r="G789">
        <v>0.24705957925861199</v>
      </c>
      <c r="H789">
        <v>9.2863213570880093E-2</v>
      </c>
      <c r="I789">
        <v>6.9903361787878204E-2</v>
      </c>
      <c r="J789">
        <v>6.2783544545140804E-2</v>
      </c>
      <c r="K789">
        <v>4.6974774779564001E-2</v>
      </c>
      <c r="L789">
        <v>819.821809813703</v>
      </c>
      <c r="M789">
        <v>15.8459498141754</v>
      </c>
      <c r="N789">
        <v>51.955783421692701</v>
      </c>
      <c r="O789">
        <v>50.934054313876402</v>
      </c>
      <c r="P789">
        <v>-7.5272667479989702E-2</v>
      </c>
      <c r="Q789">
        <v>3.2275366875601799E-2</v>
      </c>
      <c r="R789">
        <v>0.992167941742638</v>
      </c>
      <c r="S789" t="s">
        <v>7792</v>
      </c>
      <c r="T789" t="s">
        <v>14004</v>
      </c>
      <c r="U789" t="s">
        <v>14004</v>
      </c>
      <c r="V789" t="s">
        <v>14004</v>
      </c>
      <c r="W789" t="s">
        <v>14783</v>
      </c>
      <c r="X789">
        <v>9</v>
      </c>
      <c r="Y789" t="s">
        <v>21721</v>
      </c>
      <c r="Z789" t="s">
        <v>28499</v>
      </c>
      <c r="AA789">
        <v>0.43088910625583032</v>
      </c>
      <c r="AB789" t="str">
        <f>HYPERLINK("Melting_Curves/meltCurve_F8VVA7_COPZ1.pdf", "Melting_Curves/meltCurve_F8VVA7_COPZ1.pdf")</f>
        <v>Melting_Curves/meltCurve_F8VVA7_COPZ1.pdf</v>
      </c>
    </row>
    <row r="790" spans="1:28" x14ac:dyDescent="0.25">
      <c r="A790" t="s">
        <v>794</v>
      </c>
      <c r="B790">
        <v>0.99999676499088797</v>
      </c>
      <c r="C790">
        <v>0.785122902556046</v>
      </c>
      <c r="D790">
        <v>0.43979812422792097</v>
      </c>
      <c r="E790">
        <v>0.35824646907952601</v>
      </c>
      <c r="F790">
        <v>0.41309439983096602</v>
      </c>
      <c r="G790">
        <v>0.296613231813041</v>
      </c>
      <c r="H790">
        <v>0.18380632971285499</v>
      </c>
      <c r="I790">
        <v>0.11539339527308499</v>
      </c>
      <c r="J790">
        <v>1.1007298124465701</v>
      </c>
      <c r="K790">
        <v>0.17948976884155801</v>
      </c>
      <c r="L790">
        <v>1897.69304948581</v>
      </c>
      <c r="M790">
        <v>43.577129487643703</v>
      </c>
      <c r="N790">
        <v>45.008311161601803</v>
      </c>
      <c r="O790">
        <v>43.456504158012102</v>
      </c>
      <c r="P790">
        <v>-0.15582887834678</v>
      </c>
      <c r="Q790">
        <v>0.37841079373134501</v>
      </c>
      <c r="R790">
        <v>0.39218063463060898</v>
      </c>
      <c r="S790" t="s">
        <v>7793</v>
      </c>
      <c r="T790" t="s">
        <v>14004</v>
      </c>
      <c r="U790" t="s">
        <v>14004</v>
      </c>
      <c r="V790" t="s">
        <v>14004</v>
      </c>
      <c r="W790" t="s">
        <v>14784</v>
      </c>
      <c r="X790">
        <v>2</v>
      </c>
      <c r="Y790" t="s">
        <v>21722</v>
      </c>
      <c r="Z790" t="s">
        <v>28500</v>
      </c>
      <c r="AA790">
        <v>0.45384492304538648</v>
      </c>
      <c r="AB790" t="str">
        <f>HYPERLINK("Melting_Curves/meltCurve_F8VVN7_TMEM106C.pdf", "Melting_Curves/meltCurve_F8VVN7_TMEM106C.pdf")</f>
        <v>Melting_Curves/meltCurve_F8VVN7_TMEM106C.pdf</v>
      </c>
    </row>
    <row r="791" spans="1:28" x14ac:dyDescent="0.25">
      <c r="A791" t="s">
        <v>795</v>
      </c>
      <c r="B791">
        <v>0.99999676499088797</v>
      </c>
      <c r="C791">
        <v>0.931598859187873</v>
      </c>
      <c r="D791">
        <v>0.83398865886997797</v>
      </c>
      <c r="E791">
        <v>0.72976939655354101</v>
      </c>
      <c r="F791">
        <v>0.58363713843586895</v>
      </c>
      <c r="G791">
        <v>0.53357881901850501</v>
      </c>
      <c r="H791">
        <v>0.281669434158903</v>
      </c>
      <c r="I791">
        <v>0.32947921710797101</v>
      </c>
      <c r="J791">
        <v>0.35850768929895099</v>
      </c>
      <c r="K791">
        <v>0.393711265268398</v>
      </c>
      <c r="L791">
        <v>633.80585356832398</v>
      </c>
      <c r="M791">
        <v>12.390421894560101</v>
      </c>
      <c r="N791">
        <v>55.469594748319402</v>
      </c>
      <c r="O791">
        <v>49.875236179812802</v>
      </c>
      <c r="P791">
        <v>-4.2902584081053401E-2</v>
      </c>
      <c r="Q791">
        <v>0.30936298920348798</v>
      </c>
      <c r="R791">
        <v>0.961710805882105</v>
      </c>
      <c r="S791" t="s">
        <v>7794</v>
      </c>
      <c r="T791" t="s">
        <v>14004</v>
      </c>
      <c r="U791" t="s">
        <v>14004</v>
      </c>
      <c r="V791" t="s">
        <v>14004</v>
      </c>
      <c r="W791" t="s">
        <v>14785</v>
      </c>
      <c r="X791">
        <v>5</v>
      </c>
      <c r="Y791" t="s">
        <v>21723</v>
      </c>
      <c r="Z791" t="s">
        <v>28501</v>
      </c>
      <c r="AA791">
        <v>0.587434938301864</v>
      </c>
      <c r="AB791" t="str">
        <f>HYPERLINK("Melting_Curves/meltCurve_F8VW96_CSRP2.pdf", "Melting_Curves/meltCurve_F8VW96_CSRP2.pdf")</f>
        <v>Melting_Curves/meltCurve_F8VW96_CSRP2.pdf</v>
      </c>
    </row>
    <row r="792" spans="1:28" x14ac:dyDescent="0.25">
      <c r="A792" t="s">
        <v>796</v>
      </c>
      <c r="B792">
        <v>0.99999676499088797</v>
      </c>
      <c r="C792">
        <v>1.0028000978428899</v>
      </c>
      <c r="D792">
        <v>1.03692134908861</v>
      </c>
      <c r="E792">
        <v>0.50756019348772097</v>
      </c>
      <c r="F792">
        <v>0.24206039052678499</v>
      </c>
      <c r="G792">
        <v>0.148174020032693</v>
      </c>
      <c r="H792">
        <v>7.52888199133077E-2</v>
      </c>
      <c r="I792">
        <v>8.5904705479666096E-2</v>
      </c>
      <c r="J792">
        <v>0.103337230722774</v>
      </c>
      <c r="K792">
        <v>6.8362101934709305E-2</v>
      </c>
      <c r="L792">
        <v>1797.1875644655299</v>
      </c>
      <c r="M792">
        <v>36.254321552563702</v>
      </c>
      <c r="N792">
        <v>49.891682627152299</v>
      </c>
      <c r="O792">
        <v>49.421581580599003</v>
      </c>
      <c r="P792">
        <v>-0.16436870089466599</v>
      </c>
      <c r="Q792">
        <v>0.103738754550803</v>
      </c>
      <c r="R792">
        <v>0.98909411571295103</v>
      </c>
      <c r="S792" t="s">
        <v>7795</v>
      </c>
      <c r="T792" t="s">
        <v>14004</v>
      </c>
      <c r="U792" t="s">
        <v>14004</v>
      </c>
      <c r="V792" t="s">
        <v>14004</v>
      </c>
      <c r="W792" t="s">
        <v>14786</v>
      </c>
      <c r="X792">
        <v>1</v>
      </c>
      <c r="Y792" t="s">
        <v>21724</v>
      </c>
      <c r="Z792" t="s">
        <v>28502</v>
      </c>
      <c r="AA792">
        <v>0.39344512329829329</v>
      </c>
      <c r="AB792" t="str">
        <f>HYPERLINK("Melting_Curves/meltCurve_F8VWA6_MON2.pdf", "Melting_Curves/meltCurve_F8VWA6_MON2.pdf")</f>
        <v>Melting_Curves/meltCurve_F8VWA6_MON2.pdf</v>
      </c>
    </row>
    <row r="793" spans="1:28" x14ac:dyDescent="0.25">
      <c r="A793" t="s">
        <v>797</v>
      </c>
      <c r="B793">
        <v>0.99999676499088797</v>
      </c>
      <c r="C793">
        <v>0.83565527165007203</v>
      </c>
      <c r="D793">
        <v>0.91146629428636905</v>
      </c>
      <c r="E793">
        <v>0.98873099186856395</v>
      </c>
      <c r="F793">
        <v>0.66970874677835801</v>
      </c>
      <c r="G793">
        <v>0.32307612408412001</v>
      </c>
      <c r="H793">
        <v>0.19092357697642601</v>
      </c>
      <c r="I793">
        <v>0</v>
      </c>
      <c r="J793">
        <v>0</v>
      </c>
      <c r="K793">
        <v>0</v>
      </c>
      <c r="L793">
        <v>1193.81331724713</v>
      </c>
      <c r="M793">
        <v>21.6536303780723</v>
      </c>
      <c r="N793">
        <v>55.132255329891201</v>
      </c>
      <c r="O793">
        <v>54.6684982501882</v>
      </c>
      <c r="P793">
        <v>-9.9024789314956105E-2</v>
      </c>
      <c r="Q793">
        <v>0</v>
      </c>
      <c r="R793">
        <v>0.97254254896387704</v>
      </c>
      <c r="S793" t="s">
        <v>7796</v>
      </c>
      <c r="T793" t="s">
        <v>14004</v>
      </c>
      <c r="U793" t="s">
        <v>14004</v>
      </c>
      <c r="V793" t="s">
        <v>14004</v>
      </c>
      <c r="W793" t="s">
        <v>14787</v>
      </c>
      <c r="X793">
        <v>1</v>
      </c>
      <c r="Y793" t="s">
        <v>21725</v>
      </c>
      <c r="Z793" t="s">
        <v>28503</v>
      </c>
      <c r="AA793">
        <v>0.51615470034669975</v>
      </c>
      <c r="AB793" t="str">
        <f>HYPERLINK("Melting_Curves/meltCurve_F8VWA9_ALG10B.pdf", "Melting_Curves/meltCurve_F8VWA9_ALG10B.pdf")</f>
        <v>Melting_Curves/meltCurve_F8VWA9_ALG10B.pdf</v>
      </c>
    </row>
    <row r="794" spans="1:28" x14ac:dyDescent="0.25">
      <c r="A794" t="s">
        <v>798</v>
      </c>
      <c r="B794">
        <v>0.99999676499088797</v>
      </c>
      <c r="C794">
        <v>0.66136830363554899</v>
      </c>
      <c r="D794">
        <v>0.33134541433084103</v>
      </c>
      <c r="E794">
        <v>0.21125420748090201</v>
      </c>
      <c r="F794">
        <v>0.15624958172470199</v>
      </c>
      <c r="G794">
        <v>0.12569816401844799</v>
      </c>
      <c r="H794">
        <v>6.7714800962002997E-2</v>
      </c>
      <c r="I794">
        <v>7.6659155137800694E-2</v>
      </c>
      <c r="J794">
        <v>6.1195449867732302E-2</v>
      </c>
      <c r="K794">
        <v>5.9202380519109497E-2</v>
      </c>
      <c r="L794">
        <v>1016.07976832103</v>
      </c>
      <c r="M794">
        <v>23.017630453259802</v>
      </c>
      <c r="N794">
        <v>44.5367433138941</v>
      </c>
      <c r="O794">
        <v>43.814400931908402</v>
      </c>
      <c r="P794">
        <v>-0.119261557815963</v>
      </c>
      <c r="Q794">
        <v>9.1952394995779493E-2</v>
      </c>
      <c r="R794">
        <v>0.98227340724759804</v>
      </c>
      <c r="S794" t="s">
        <v>7797</v>
      </c>
      <c r="T794" t="s">
        <v>14004</v>
      </c>
      <c r="U794" t="s">
        <v>14004</v>
      </c>
      <c r="V794" t="s">
        <v>14004</v>
      </c>
      <c r="W794" t="s">
        <v>14788</v>
      </c>
      <c r="X794">
        <v>2</v>
      </c>
      <c r="Y794" t="s">
        <v>21726</v>
      </c>
      <c r="Z794" t="s">
        <v>28504</v>
      </c>
      <c r="AA794">
        <v>0.22976107192571271</v>
      </c>
      <c r="AB794" t="str">
        <f>HYPERLINK("Melting_Curves/meltCurve_F8VWL0_TFCP2.pdf", "Melting_Curves/meltCurve_F8VWL0_TFCP2.pdf")</f>
        <v>Melting_Curves/meltCurve_F8VWL0_TFCP2.pdf</v>
      </c>
    </row>
    <row r="795" spans="1:28" x14ac:dyDescent="0.25">
      <c r="A795" t="s">
        <v>799</v>
      </c>
      <c r="B795">
        <v>0.99999676499088797</v>
      </c>
      <c r="C795">
        <v>1.0308965353681501</v>
      </c>
      <c r="D795">
        <v>1.1320092143751299</v>
      </c>
      <c r="E795">
        <v>1.1945718316010201</v>
      </c>
      <c r="F795">
        <v>1.2072352422569601</v>
      </c>
      <c r="G795">
        <v>1.09448243019147</v>
      </c>
      <c r="H795">
        <v>0.75083108065539805</v>
      </c>
      <c r="I795">
        <v>0.41515549696269199</v>
      </c>
      <c r="J795">
        <v>0.32604799601675799</v>
      </c>
      <c r="K795">
        <v>0.301763018466359</v>
      </c>
      <c r="L795">
        <v>3226.2598572674001</v>
      </c>
      <c r="M795">
        <v>52.412821751994002</v>
      </c>
      <c r="N795">
        <v>62.746347611047497</v>
      </c>
      <c r="O795">
        <v>61.4653829226922</v>
      </c>
      <c r="P795">
        <v>-0.14598684471259299</v>
      </c>
      <c r="Q795">
        <v>0.31519586543801398</v>
      </c>
      <c r="R795">
        <v>0.90893184434207497</v>
      </c>
      <c r="S795" t="s">
        <v>7798</v>
      </c>
      <c r="T795" t="s">
        <v>14004</v>
      </c>
      <c r="U795" t="s">
        <v>14004</v>
      </c>
      <c r="V795" t="s">
        <v>14004</v>
      </c>
      <c r="W795" t="s">
        <v>14789</v>
      </c>
      <c r="X795">
        <v>3</v>
      </c>
      <c r="Y795" t="s">
        <v>21727</v>
      </c>
      <c r="Z795" t="s">
        <v>28505</v>
      </c>
      <c r="AA795">
        <v>0.80884892815290477</v>
      </c>
      <c r="AB795" t="str">
        <f>HYPERLINK("Melting_Curves/meltCurve_F8VX04_SLC38A1.pdf", "Melting_Curves/meltCurve_F8VX04_SLC38A1.pdf")</f>
        <v>Melting_Curves/meltCurve_F8VX04_SLC38A1.pdf</v>
      </c>
    </row>
    <row r="796" spans="1:28" x14ac:dyDescent="0.25">
      <c r="A796" t="s">
        <v>800</v>
      </c>
      <c r="B796">
        <v>0.99999676499088797</v>
      </c>
      <c r="C796">
        <v>1.0011934140996901</v>
      </c>
      <c r="D796">
        <v>1.0521501625624099</v>
      </c>
      <c r="E796">
        <v>0.95203323905831405</v>
      </c>
      <c r="F796">
        <v>0.73097664460521095</v>
      </c>
      <c r="G796">
        <v>0.56734413732524902</v>
      </c>
      <c r="H796">
        <v>0.28668715532976402</v>
      </c>
      <c r="I796">
        <v>0.29403032783704602</v>
      </c>
      <c r="J796">
        <v>0.27395266906371402</v>
      </c>
      <c r="K796">
        <v>0.20902821277344899</v>
      </c>
      <c r="L796">
        <v>1132.27052683023</v>
      </c>
      <c r="M796">
        <v>20.404417298370401</v>
      </c>
      <c r="N796">
        <v>57.148941062109699</v>
      </c>
      <c r="O796">
        <v>54.966690643316802</v>
      </c>
      <c r="P796">
        <v>-7.2079680287318704E-2</v>
      </c>
      <c r="Q796">
        <v>0.22333245502413801</v>
      </c>
      <c r="R796">
        <v>0.98883135675248102</v>
      </c>
      <c r="S796" t="s">
        <v>7799</v>
      </c>
      <c r="T796" t="s">
        <v>14004</v>
      </c>
      <c r="U796" t="s">
        <v>14004</v>
      </c>
      <c r="V796" t="s">
        <v>14004</v>
      </c>
      <c r="W796" t="s">
        <v>14790</v>
      </c>
      <c r="X796">
        <v>3</v>
      </c>
      <c r="Y796" t="s">
        <v>21728</v>
      </c>
      <c r="Z796" t="s">
        <v>28506</v>
      </c>
      <c r="AA796">
        <v>0.63429121301260527</v>
      </c>
      <c r="AB796" t="str">
        <f>HYPERLINK("Melting_Curves/meltCurve_F8VX22_PACS2.pdf", "Melting_Curves/meltCurve_F8VX22_PACS2.pdf")</f>
        <v>Melting_Curves/meltCurve_F8VX22_PACS2.pdf</v>
      </c>
    </row>
    <row r="797" spans="1:28" x14ac:dyDescent="0.25">
      <c r="A797" t="s">
        <v>801</v>
      </c>
      <c r="B797">
        <v>0.99999676499088797</v>
      </c>
      <c r="C797">
        <v>0.98295415761715499</v>
      </c>
      <c r="D797">
        <v>0.91327334049750997</v>
      </c>
      <c r="E797">
        <v>0.882833389987285</v>
      </c>
      <c r="F797">
        <v>0.79788135436881102</v>
      </c>
      <c r="G797">
        <v>0.81736207880707101</v>
      </c>
      <c r="H797">
        <v>0.64582249381979195</v>
      </c>
      <c r="I797">
        <v>0.69891121779795995</v>
      </c>
      <c r="J797">
        <v>0.67334414397208697</v>
      </c>
      <c r="K797">
        <v>0.841703533833009</v>
      </c>
      <c r="L797">
        <v>742.45196473736598</v>
      </c>
      <c r="M797">
        <v>14.846863857504401</v>
      </c>
      <c r="O797">
        <v>49.1264012340825</v>
      </c>
      <c r="P797">
        <v>-2.12314971805669E-2</v>
      </c>
      <c r="Q797">
        <v>0.71902018684217395</v>
      </c>
      <c r="R797">
        <v>0.78027545718642699</v>
      </c>
      <c r="S797" t="s">
        <v>7800</v>
      </c>
      <c r="T797" t="s">
        <v>14004</v>
      </c>
      <c r="U797" t="s">
        <v>14004</v>
      </c>
      <c r="V797" t="s">
        <v>14004</v>
      </c>
      <c r="W797" t="s">
        <v>14791</v>
      </c>
      <c r="X797">
        <v>33</v>
      </c>
      <c r="Y797" t="s">
        <v>21729</v>
      </c>
      <c r="Z797" t="s">
        <v>28507</v>
      </c>
      <c r="AA797">
        <v>0.81956999362257454</v>
      </c>
      <c r="AB797" t="str">
        <f>HYPERLINK("Melting_Curves/meltCurve_F8VXG7_SCAF11.pdf", "Melting_Curves/meltCurve_F8VXG7_SCAF11.pdf")</f>
        <v>Melting_Curves/meltCurve_F8VXG7_SCAF11.pdf</v>
      </c>
    </row>
    <row r="798" spans="1:28" x14ac:dyDescent="0.25">
      <c r="A798" t="s">
        <v>802</v>
      </c>
      <c r="B798">
        <v>0.99999676499088797</v>
      </c>
      <c r="C798">
        <v>0.95130841122851995</v>
      </c>
      <c r="D798">
        <v>0.93889593065913302</v>
      </c>
      <c r="E798">
        <v>1.01170934961112</v>
      </c>
      <c r="F798">
        <v>0.94768755020343898</v>
      </c>
      <c r="G798">
        <v>0.57518546480313404</v>
      </c>
      <c r="H798">
        <v>0.204145424991691</v>
      </c>
      <c r="I798">
        <v>0.459957856605615</v>
      </c>
      <c r="J798">
        <v>0.41897418278648302</v>
      </c>
      <c r="K798">
        <v>0.376879412095942</v>
      </c>
      <c r="L798">
        <v>3899.4971267495398</v>
      </c>
      <c r="M798">
        <v>69.411296727461007</v>
      </c>
      <c r="N798">
        <v>57.262172495733701</v>
      </c>
      <c r="O798">
        <v>56.132998024861998</v>
      </c>
      <c r="P798">
        <v>-0.19617919576965201</v>
      </c>
      <c r="Q798">
        <v>0.36539876357295997</v>
      </c>
      <c r="R798">
        <v>0.94615748294936197</v>
      </c>
      <c r="S798" t="s">
        <v>7801</v>
      </c>
      <c r="T798" t="s">
        <v>14004</v>
      </c>
      <c r="U798" t="s">
        <v>14004</v>
      </c>
      <c r="V798" t="s">
        <v>14004</v>
      </c>
      <c r="W798" t="s">
        <v>14792</v>
      </c>
      <c r="X798">
        <v>1</v>
      </c>
      <c r="Y798" t="s">
        <v>21730</v>
      </c>
      <c r="Z798" t="s">
        <v>28508</v>
      </c>
      <c r="AA798">
        <v>0.7084651551758413</v>
      </c>
      <c r="AB798" t="str">
        <f>HYPERLINK("Melting_Curves/meltCurve_F8VXK3_CHST11.pdf", "Melting_Curves/meltCurve_F8VXK3_CHST11.pdf")</f>
        <v>Melting_Curves/meltCurve_F8VXK3_CHST11.pdf</v>
      </c>
    </row>
    <row r="799" spans="1:28" x14ac:dyDescent="0.25">
      <c r="A799" t="s">
        <v>803</v>
      </c>
      <c r="B799">
        <v>0.99999676499088797</v>
      </c>
      <c r="C799">
        <v>1.3557480795650101</v>
      </c>
      <c r="D799">
        <v>1.16735000712776</v>
      </c>
      <c r="E799">
        <v>0.81028030059273704</v>
      </c>
      <c r="F799">
        <v>0.62743321484034198</v>
      </c>
      <c r="G799">
        <v>0.53712806634559196</v>
      </c>
      <c r="H799">
        <v>0.39566952145496798</v>
      </c>
      <c r="I799">
        <v>0.30016543808777102</v>
      </c>
      <c r="J799">
        <v>0.57959456847929203</v>
      </c>
      <c r="K799">
        <v>0.55681287637833798</v>
      </c>
      <c r="L799">
        <v>1644.0616855088001</v>
      </c>
      <c r="M799">
        <v>32.028505171849602</v>
      </c>
      <c r="N799">
        <v>56.289087851738799</v>
      </c>
      <c r="O799">
        <v>51.132330462482798</v>
      </c>
      <c r="P799">
        <v>-8.2960651761524506E-2</v>
      </c>
      <c r="Q799">
        <v>0.47022806658544197</v>
      </c>
      <c r="R799">
        <v>0.79174545906177995</v>
      </c>
      <c r="S799" t="s">
        <v>7802</v>
      </c>
      <c r="T799" t="s">
        <v>14004</v>
      </c>
      <c r="U799" t="s">
        <v>14004</v>
      </c>
      <c r="V799" t="s">
        <v>14004</v>
      </c>
      <c r="W799" t="s">
        <v>14793</v>
      </c>
      <c r="X799">
        <v>1</v>
      </c>
      <c r="Y799" t="s">
        <v>21731</v>
      </c>
      <c r="Z799" t="s">
        <v>28509</v>
      </c>
      <c r="AA799">
        <v>0.67326458806198508</v>
      </c>
      <c r="AB799" t="str">
        <f>HYPERLINK("Melting_Curves/meltCurve_F8VYK6_TARBP2.pdf", "Melting_Curves/meltCurve_F8VYK6_TARBP2.pdf")</f>
        <v>Melting_Curves/meltCurve_F8VYK6_TARBP2.pdf</v>
      </c>
    </row>
    <row r="800" spans="1:28" x14ac:dyDescent="0.25">
      <c r="A800" t="s">
        <v>804</v>
      </c>
      <c r="B800">
        <v>0.99999676499088797</v>
      </c>
      <c r="C800">
        <v>1.0102771432836</v>
      </c>
      <c r="D800">
        <v>1.0834740938618701</v>
      </c>
      <c r="E800">
        <v>1.2246156462376701</v>
      </c>
      <c r="F800">
        <v>0.56561834755053897</v>
      </c>
      <c r="G800">
        <v>0.45311242182484901</v>
      </c>
      <c r="H800">
        <v>0.14996401264056899</v>
      </c>
      <c r="I800">
        <v>0.112398551400141</v>
      </c>
      <c r="J800">
        <v>7.0842080517608194E-2</v>
      </c>
      <c r="K800">
        <v>7.8755406773116404E-2</v>
      </c>
      <c r="L800">
        <v>1430.82041358015</v>
      </c>
      <c r="M800">
        <v>26.0279427498362</v>
      </c>
      <c r="N800">
        <v>55.368918817342703</v>
      </c>
      <c r="O800">
        <v>54.651049918661599</v>
      </c>
      <c r="P800">
        <v>-0.10894346798596501</v>
      </c>
      <c r="Q800">
        <v>8.5013098514860205E-2</v>
      </c>
      <c r="R800">
        <v>0.93871803992214797</v>
      </c>
      <c r="S800" t="s">
        <v>7803</v>
      </c>
      <c r="T800" t="s">
        <v>14004</v>
      </c>
      <c r="U800" t="s">
        <v>14004</v>
      </c>
      <c r="V800" t="s">
        <v>14004</v>
      </c>
      <c r="W800" t="s">
        <v>14794</v>
      </c>
      <c r="X800">
        <v>5</v>
      </c>
      <c r="Y800" t="s">
        <v>21732</v>
      </c>
      <c r="Z800" t="s">
        <v>28510</v>
      </c>
      <c r="AA800">
        <v>0.54954988003917238</v>
      </c>
      <c r="AB800" t="str">
        <f>HYPERLINK("Melting_Curves/meltCurve_F8VYN9_ARL1.pdf", "Melting_Curves/meltCurve_F8VYN9_ARL1.pdf")</f>
        <v>Melting_Curves/meltCurve_F8VYN9_ARL1.pdf</v>
      </c>
    </row>
    <row r="801" spans="1:28" x14ac:dyDescent="0.25">
      <c r="A801" t="s">
        <v>805</v>
      </c>
      <c r="B801">
        <v>0.99999676499088797</v>
      </c>
      <c r="C801">
        <v>1.5682876894211799</v>
      </c>
      <c r="D801">
        <v>1.2703967844530699</v>
      </c>
      <c r="E801">
        <v>1.0575960327229601</v>
      </c>
      <c r="F801">
        <v>1.2424391211844601</v>
      </c>
      <c r="G801">
        <v>1.64062563833188</v>
      </c>
      <c r="H801">
        <v>0.97795851894833197</v>
      </c>
      <c r="I801">
        <v>1.2978748016780399</v>
      </c>
      <c r="J801">
        <v>1.73221375861518</v>
      </c>
      <c r="K801">
        <v>1.41370698013138</v>
      </c>
      <c r="L801">
        <v>10238.3017371028</v>
      </c>
      <c r="M801">
        <v>250</v>
      </c>
      <c r="O801">
        <v>40.9505817542437</v>
      </c>
      <c r="P801">
        <v>0.54284575029876303</v>
      </c>
      <c r="Q801">
        <v>1.35567762683246</v>
      </c>
      <c r="R801">
        <v>0.177797768008434</v>
      </c>
      <c r="S801" t="s">
        <v>7804</v>
      </c>
      <c r="T801" t="s">
        <v>14004</v>
      </c>
      <c r="U801" t="s">
        <v>14004</v>
      </c>
      <c r="V801" t="s">
        <v>14004</v>
      </c>
      <c r="W801" t="s">
        <v>14795</v>
      </c>
      <c r="X801">
        <v>2</v>
      </c>
      <c r="Y801" t="s">
        <v>21733</v>
      </c>
      <c r="Z801" t="s">
        <v>28511</v>
      </c>
      <c r="AA801">
        <v>1.3443461686750591</v>
      </c>
      <c r="AB801" t="str">
        <f>HYPERLINK("Melting_Curves/meltCurve_F8VZH8_UNC13A.pdf", "Melting_Curves/meltCurve_F8VZH8_UNC13A.pdf")</f>
        <v>Melting_Curves/meltCurve_F8VZH8_UNC13A.pdf</v>
      </c>
    </row>
    <row r="802" spans="1:28" x14ac:dyDescent="0.25">
      <c r="A802" t="s">
        <v>806</v>
      </c>
      <c r="B802">
        <v>0.99999676499088797</v>
      </c>
      <c r="C802">
        <v>0.99380295007822805</v>
      </c>
      <c r="D802">
        <v>1.1096676055889101</v>
      </c>
      <c r="E802">
        <v>1.3499541197538001</v>
      </c>
      <c r="F802">
        <v>1.5169914256879899</v>
      </c>
      <c r="G802">
        <v>1.25951961193785</v>
      </c>
      <c r="H802">
        <v>0.94241652123326203</v>
      </c>
      <c r="I802">
        <v>0.73802862125718505</v>
      </c>
      <c r="J802">
        <v>0.65708695092476099</v>
      </c>
      <c r="K802">
        <v>1.15212386530758</v>
      </c>
      <c r="L802">
        <v>15000</v>
      </c>
      <c r="M802">
        <v>246.22764563031799</v>
      </c>
      <c r="O802">
        <v>60.915217059794898</v>
      </c>
      <c r="P802">
        <v>-0.152509680093557</v>
      </c>
      <c r="Q802">
        <v>0.849080143343383</v>
      </c>
      <c r="R802">
        <v>3.15297058596824E-2</v>
      </c>
      <c r="S802" t="s">
        <v>7805</v>
      </c>
      <c r="T802" t="s">
        <v>14004</v>
      </c>
      <c r="U802" t="s">
        <v>14004</v>
      </c>
      <c r="V802" t="s">
        <v>14004</v>
      </c>
      <c r="W802" t="s">
        <v>14796</v>
      </c>
      <c r="X802">
        <v>6</v>
      </c>
      <c r="Y802" t="s">
        <v>21734</v>
      </c>
      <c r="Z802" t="s">
        <v>28512</v>
      </c>
      <c r="AA802">
        <v>0.95433437901845619</v>
      </c>
      <c r="AB802" t="str">
        <f>HYPERLINK("Melting_Curves/meltCurve_F8VZJ2_NACA.pdf", "Melting_Curves/meltCurve_F8VZJ2_NACA.pdf")</f>
        <v>Melting_Curves/meltCurve_F8VZJ2_NACA.pdf</v>
      </c>
    </row>
    <row r="803" spans="1:28" x14ac:dyDescent="0.25">
      <c r="A803" t="s">
        <v>807</v>
      </c>
      <c r="B803">
        <v>0.99999676499088797</v>
      </c>
      <c r="C803">
        <v>0.79187589616943699</v>
      </c>
      <c r="D803">
        <v>0.87749929566559404</v>
      </c>
      <c r="E803">
        <v>0.95209492054397005</v>
      </c>
      <c r="F803">
        <v>0.649591599991025</v>
      </c>
      <c r="G803">
        <v>0.64709930884487699</v>
      </c>
      <c r="H803">
        <v>0.32409518390165498</v>
      </c>
      <c r="I803">
        <v>0.29097671387429602</v>
      </c>
      <c r="J803">
        <v>0.113651263753177</v>
      </c>
      <c r="K803">
        <v>0.14779467693901999</v>
      </c>
      <c r="L803">
        <v>623.45788882809302</v>
      </c>
      <c r="M803">
        <v>10.7796175900127</v>
      </c>
      <c r="N803">
        <v>57.836732754475001</v>
      </c>
      <c r="O803">
        <v>55.952972325997898</v>
      </c>
      <c r="P803">
        <v>-4.81813056908766E-2</v>
      </c>
      <c r="Q803">
        <v>0</v>
      </c>
      <c r="R803">
        <v>0.93051751257874804</v>
      </c>
      <c r="S803" t="s">
        <v>7806</v>
      </c>
      <c r="T803" t="s">
        <v>14004</v>
      </c>
      <c r="U803" t="s">
        <v>14004</v>
      </c>
      <c r="V803" t="s">
        <v>14004</v>
      </c>
      <c r="W803" t="s">
        <v>14797</v>
      </c>
      <c r="X803">
        <v>4</v>
      </c>
      <c r="Y803" t="s">
        <v>21735</v>
      </c>
      <c r="Z803" t="s">
        <v>28513</v>
      </c>
      <c r="AA803">
        <v>0.60676136468691122</v>
      </c>
      <c r="AB803" t="str">
        <f>HYPERLINK("Melting_Curves/meltCurve_F8VZY9_KRT18.pdf", "Melting_Curves/meltCurve_F8VZY9_KRT18.pdf")</f>
        <v>Melting_Curves/meltCurve_F8VZY9_KRT18.pdf</v>
      </c>
    </row>
    <row r="804" spans="1:28" x14ac:dyDescent="0.25">
      <c r="A804" t="s">
        <v>808</v>
      </c>
      <c r="B804">
        <v>0.99999676499088797</v>
      </c>
      <c r="C804">
        <v>0.97906630599776301</v>
      </c>
      <c r="D804">
        <v>0.93078817043990003</v>
      </c>
      <c r="E804">
        <v>0.87061164033723504</v>
      </c>
      <c r="F804">
        <v>0.68678962207750005</v>
      </c>
      <c r="G804">
        <v>0.49262387338008401</v>
      </c>
      <c r="H804">
        <v>0.23882010638753901</v>
      </c>
      <c r="I804">
        <v>0.207258514105888</v>
      </c>
      <c r="J804">
        <v>0.186919494375578</v>
      </c>
      <c r="K804">
        <v>0.20429307045703299</v>
      </c>
      <c r="L804">
        <v>917.17421461325205</v>
      </c>
      <c r="M804">
        <v>16.717330117032699</v>
      </c>
      <c r="N804">
        <v>56.050054680054998</v>
      </c>
      <c r="O804">
        <v>54.096653330093403</v>
      </c>
      <c r="P804">
        <v>-6.5749210617397899E-2</v>
      </c>
      <c r="Q804">
        <v>0.149008243895909</v>
      </c>
      <c r="R804">
        <v>0.99410026067952695</v>
      </c>
      <c r="S804" t="s">
        <v>7807</v>
      </c>
      <c r="T804" t="s">
        <v>14004</v>
      </c>
      <c r="U804" t="s">
        <v>14004</v>
      </c>
      <c r="V804" t="s">
        <v>14004</v>
      </c>
      <c r="W804" t="s">
        <v>14798</v>
      </c>
      <c r="X804">
        <v>7</v>
      </c>
      <c r="Y804" t="s">
        <v>21736</v>
      </c>
      <c r="Z804" t="s">
        <v>28514</v>
      </c>
      <c r="AA804">
        <v>0.58522329721141231</v>
      </c>
      <c r="AB804" t="str">
        <f>HYPERLINK("Melting_Curves/meltCurve_F8W038_C17orf49.pdf", "Melting_Curves/meltCurve_F8W038_C17orf49.pdf")</f>
        <v>Melting_Curves/meltCurve_F8W038_C17orf49.pdf</v>
      </c>
    </row>
    <row r="805" spans="1:28" x14ac:dyDescent="0.25">
      <c r="A805" t="s">
        <v>809</v>
      </c>
      <c r="B805">
        <v>0.99999676499088797</v>
      </c>
      <c r="C805">
        <v>0.89297663122081505</v>
      </c>
      <c r="D805">
        <v>0.82323639918199998</v>
      </c>
      <c r="E805">
        <v>0.63021183721212604</v>
      </c>
      <c r="F805">
        <v>0.46861074459957702</v>
      </c>
      <c r="G805">
        <v>0.407774856097745</v>
      </c>
      <c r="H805">
        <v>0.28976533320457198</v>
      </c>
      <c r="I805">
        <v>0.398525840616543</v>
      </c>
      <c r="J805">
        <v>0.34833447249189797</v>
      </c>
      <c r="K805">
        <v>0.28521544551241501</v>
      </c>
      <c r="L805">
        <v>721.40583202928497</v>
      </c>
      <c r="M805">
        <v>14.7210828496739</v>
      </c>
      <c r="N805">
        <v>52.518010457897503</v>
      </c>
      <c r="O805">
        <v>48.1272948551388</v>
      </c>
      <c r="P805">
        <v>-5.2522655075558602E-2</v>
      </c>
      <c r="Q805">
        <v>0.31323028543174303</v>
      </c>
      <c r="R805">
        <v>0.98145086356046296</v>
      </c>
      <c r="S805" t="s">
        <v>7808</v>
      </c>
      <c r="T805" t="s">
        <v>14004</v>
      </c>
      <c r="U805" t="s">
        <v>14004</v>
      </c>
      <c r="V805" t="s">
        <v>14004</v>
      </c>
      <c r="W805" t="s">
        <v>14799</v>
      </c>
      <c r="X805">
        <v>1</v>
      </c>
      <c r="Y805" t="s">
        <v>21737</v>
      </c>
      <c r="Z805" t="s">
        <v>28515</v>
      </c>
      <c r="AA805">
        <v>0.53692742840320384</v>
      </c>
      <c r="AB805" t="str">
        <f>HYPERLINK("Melting_Curves/meltCurve_F8W052_TROAP.pdf", "Melting_Curves/meltCurve_F8W052_TROAP.pdf")</f>
        <v>Melting_Curves/meltCurve_F8W052_TROAP.pdf</v>
      </c>
    </row>
    <row r="806" spans="1:28" x14ac:dyDescent="0.25">
      <c r="A806" t="s">
        <v>810</v>
      </c>
      <c r="B806">
        <v>0.99999676499088797</v>
      </c>
      <c r="C806">
        <v>0.96191977128523198</v>
      </c>
      <c r="D806">
        <v>0.90832309734301997</v>
      </c>
      <c r="E806">
        <v>0.93795591798479305</v>
      </c>
      <c r="F806">
        <v>0.801408234083273</v>
      </c>
      <c r="G806">
        <v>0.60200575786816102</v>
      </c>
      <c r="H806">
        <v>0.32994317246243199</v>
      </c>
      <c r="I806">
        <v>0.247347949487985</v>
      </c>
      <c r="J806">
        <v>0.36672050724968902</v>
      </c>
      <c r="K806">
        <v>0.14117912635056801</v>
      </c>
      <c r="L806">
        <v>970.77176097250901</v>
      </c>
      <c r="M806">
        <v>17.165061855986401</v>
      </c>
      <c r="N806">
        <v>58.121490095726202</v>
      </c>
      <c r="O806">
        <v>55.804245276609102</v>
      </c>
      <c r="P806">
        <v>-6.2662299563597798E-2</v>
      </c>
      <c r="Q806">
        <v>0.18517878313312799</v>
      </c>
      <c r="R806">
        <v>0.96667736663732995</v>
      </c>
      <c r="S806" t="s">
        <v>7809</v>
      </c>
      <c r="T806" t="s">
        <v>14004</v>
      </c>
      <c r="U806" t="s">
        <v>14004</v>
      </c>
      <c r="V806" t="s">
        <v>14004</v>
      </c>
      <c r="W806" t="s">
        <v>14800</v>
      </c>
      <c r="X806">
        <v>1</v>
      </c>
      <c r="Y806" t="s">
        <v>21738</v>
      </c>
      <c r="Z806" t="s">
        <v>28516</v>
      </c>
      <c r="AA806">
        <v>0.64698599595318596</v>
      </c>
      <c r="AB806" t="str">
        <f>HYPERLINK("Melting_Curves/meltCurve_F8W0A9_ALDH2.pdf", "Melting_Curves/meltCurve_F8W0A9_ALDH2.pdf")</f>
        <v>Melting_Curves/meltCurve_F8W0A9_ALDH2.pdf</v>
      </c>
    </row>
    <row r="807" spans="1:28" x14ac:dyDescent="0.25">
      <c r="A807" t="s">
        <v>811</v>
      </c>
      <c r="B807">
        <v>0.99999676499088797</v>
      </c>
      <c r="C807">
        <v>1.0306023813868901</v>
      </c>
      <c r="D807">
        <v>1.0495060247515899</v>
      </c>
      <c r="E807">
        <v>1.0721855511009799</v>
      </c>
      <c r="F807">
        <v>0.50368807663989201</v>
      </c>
      <c r="G807">
        <v>0.16767011548447899</v>
      </c>
      <c r="H807">
        <v>4.7007963566703601E-2</v>
      </c>
      <c r="I807">
        <v>3.2134512332562197E-2</v>
      </c>
      <c r="J807">
        <v>2.9120291361313701E-2</v>
      </c>
      <c r="K807">
        <v>3.15259471626829E-2</v>
      </c>
      <c r="L807">
        <v>2593.6163512298299</v>
      </c>
      <c r="M807">
        <v>48.743452748784698</v>
      </c>
      <c r="N807">
        <v>53.325326594059703</v>
      </c>
      <c r="O807">
        <v>53.1201898371936</v>
      </c>
      <c r="P807">
        <v>-0.21788136289798701</v>
      </c>
      <c r="Q807">
        <v>5.02198334861583E-2</v>
      </c>
      <c r="R807">
        <v>0.99033723987260802</v>
      </c>
      <c r="S807" t="s">
        <v>7810</v>
      </c>
      <c r="T807" t="s">
        <v>14004</v>
      </c>
      <c r="U807" t="s">
        <v>14004</v>
      </c>
      <c r="V807" t="s">
        <v>14004</v>
      </c>
      <c r="W807" t="s">
        <v>14782</v>
      </c>
      <c r="X807">
        <v>12</v>
      </c>
      <c r="Y807" t="s">
        <v>21720</v>
      </c>
      <c r="Z807" t="s">
        <v>28517</v>
      </c>
      <c r="AA807">
        <v>0.47077071499593048</v>
      </c>
      <c r="AB807" t="str">
        <f>HYPERLINK("Melting_Curves/meltCurve_F8W0J6_NAP1L1.pdf", "Melting_Curves/meltCurve_F8W0J6_NAP1L1.pdf")</f>
        <v>Melting_Curves/meltCurve_F8W0J6_NAP1L1.pdf</v>
      </c>
    </row>
    <row r="808" spans="1:28" x14ac:dyDescent="0.25">
      <c r="A808" t="s">
        <v>812</v>
      </c>
      <c r="B808">
        <v>0.99999676499088797</v>
      </c>
      <c r="C808">
        <v>0.892757254867108</v>
      </c>
      <c r="D808">
        <v>0.81665738785346398</v>
      </c>
      <c r="E808">
        <v>0.73509501391251697</v>
      </c>
      <c r="F808">
        <v>0.68588818897302295</v>
      </c>
      <c r="G808">
        <v>0.57486904467872801</v>
      </c>
      <c r="H808">
        <v>0.44258739747452103</v>
      </c>
      <c r="I808">
        <v>0.54990182639061502</v>
      </c>
      <c r="J808">
        <v>0.49505691587158501</v>
      </c>
      <c r="K808">
        <v>0.56920840232463499</v>
      </c>
      <c r="L808">
        <v>571.65130456055999</v>
      </c>
      <c r="M808">
        <v>11.6916696686528</v>
      </c>
      <c r="O808">
        <v>47.5292342100932</v>
      </c>
      <c r="P808">
        <v>-3.1040256355990101E-2</v>
      </c>
      <c r="Q808">
        <v>0.49539239252843398</v>
      </c>
      <c r="R808">
        <v>0.93619998579767105</v>
      </c>
      <c r="S808" t="s">
        <v>7811</v>
      </c>
      <c r="T808" t="s">
        <v>14004</v>
      </c>
      <c r="U808" t="s">
        <v>14004</v>
      </c>
      <c r="V808" t="s">
        <v>14004</v>
      </c>
      <c r="W808" t="s">
        <v>14801</v>
      </c>
      <c r="X808">
        <v>14</v>
      </c>
      <c r="Y808" t="s">
        <v>21739</v>
      </c>
      <c r="Z808" t="s">
        <v>28518</v>
      </c>
      <c r="AA808">
        <v>0.66447788051650003</v>
      </c>
      <c r="AB808" t="str">
        <f>HYPERLINK("Melting_Curves/meltCurve_F8W0Q9_PPHLN1.pdf", "Melting_Curves/meltCurve_F8W0Q9_PPHLN1.pdf")</f>
        <v>Melting_Curves/meltCurve_F8W0Q9_PPHLN1.pdf</v>
      </c>
    </row>
    <row r="809" spans="1:28" x14ac:dyDescent="0.25">
      <c r="A809" t="s">
        <v>813</v>
      </c>
      <c r="B809">
        <v>0.99999676499088797</v>
      </c>
      <c r="C809">
        <v>1.0262980696555699</v>
      </c>
      <c r="D809">
        <v>1.0493276517763199</v>
      </c>
      <c r="E809">
        <v>1.1933811501715501</v>
      </c>
      <c r="F809">
        <v>0.70619167798582105</v>
      </c>
      <c r="G809">
        <v>0.39500592808443702</v>
      </c>
      <c r="H809">
        <v>0.106651122167656</v>
      </c>
      <c r="I809">
        <v>8.2137645038903598E-2</v>
      </c>
      <c r="J809">
        <v>8.5938506321668995E-2</v>
      </c>
      <c r="K809">
        <v>6.0963780138014699E-2</v>
      </c>
      <c r="L809">
        <v>1709.09856324271</v>
      </c>
      <c r="M809">
        <v>30.919041434989801</v>
      </c>
      <c r="N809">
        <v>55.5497683650824</v>
      </c>
      <c r="O809">
        <v>55.046884397259703</v>
      </c>
      <c r="P809">
        <v>-0.130517861428396</v>
      </c>
      <c r="Q809">
        <v>7.0532618957732093E-2</v>
      </c>
      <c r="R809">
        <v>0.96999050997997505</v>
      </c>
      <c r="S809" t="s">
        <v>7812</v>
      </c>
      <c r="T809" t="s">
        <v>14004</v>
      </c>
      <c r="U809" t="s">
        <v>14004</v>
      </c>
      <c r="V809" t="s">
        <v>14004</v>
      </c>
      <c r="W809" t="s">
        <v>14802</v>
      </c>
      <c r="X809">
        <v>2</v>
      </c>
      <c r="Y809" t="s">
        <v>21740</v>
      </c>
      <c r="Z809" t="s">
        <v>28519</v>
      </c>
      <c r="AA809">
        <v>0.54967150873523851</v>
      </c>
      <c r="AB809" t="str">
        <f>HYPERLINK("Melting_Curves/meltCurve_F8W0R1_ERGIC2.pdf", "Melting_Curves/meltCurve_F8W0R1_ERGIC2.pdf")</f>
        <v>Melting_Curves/meltCurve_F8W0R1_ERGIC2.pdf</v>
      </c>
    </row>
    <row r="810" spans="1:28" x14ac:dyDescent="0.25">
      <c r="A810" t="s">
        <v>814</v>
      </c>
      <c r="B810">
        <v>0.99999676499088797</v>
      </c>
      <c r="C810">
        <v>0.80423385116854695</v>
      </c>
      <c r="D810">
        <v>0.47926243046901301</v>
      </c>
      <c r="E810">
        <v>0.259026173847832</v>
      </c>
      <c r="F810">
        <v>0.18150595703191899</v>
      </c>
      <c r="G810">
        <v>0.151799682652729</v>
      </c>
      <c r="H810">
        <v>5.5422369018137699E-2</v>
      </c>
      <c r="I810">
        <v>4.35721038647576E-2</v>
      </c>
      <c r="J810">
        <v>6.7908705180537904E-2</v>
      </c>
      <c r="K810">
        <v>8.00244591375599E-2</v>
      </c>
      <c r="L810">
        <v>872.68311897450803</v>
      </c>
      <c r="M810">
        <v>19.0750103576054</v>
      </c>
      <c r="N810">
        <v>46.165423300652499</v>
      </c>
      <c r="O810">
        <v>45.256154091624403</v>
      </c>
      <c r="P810">
        <v>-9.7067896927381506E-2</v>
      </c>
      <c r="Q810">
        <v>7.8847786980273796E-2</v>
      </c>
      <c r="R810">
        <v>0.98873448184458701</v>
      </c>
      <c r="S810" t="s">
        <v>7813</v>
      </c>
      <c r="T810" t="s">
        <v>14004</v>
      </c>
      <c r="U810" t="s">
        <v>14004</v>
      </c>
      <c r="V810" t="s">
        <v>14004</v>
      </c>
      <c r="W810" t="s">
        <v>14803</v>
      </c>
      <c r="X810">
        <v>1</v>
      </c>
      <c r="Y810" t="s">
        <v>21741</v>
      </c>
      <c r="Z810" t="s">
        <v>28520</v>
      </c>
      <c r="AA810">
        <v>0.27158087876051051</v>
      </c>
      <c r="AB810" t="str">
        <f>HYPERLINK("Melting_Curves/meltCurve_F8W126_MCRS1.pdf", "Melting_Curves/meltCurve_F8W126_MCRS1.pdf")</f>
        <v>Melting_Curves/meltCurve_F8W126_MCRS1.pdf</v>
      </c>
    </row>
    <row r="811" spans="1:28" x14ac:dyDescent="0.25">
      <c r="A811" t="s">
        <v>815</v>
      </c>
      <c r="B811">
        <v>0.99999676499088797</v>
      </c>
      <c r="C811">
        <v>1.1675071370443</v>
      </c>
      <c r="D811">
        <v>1.09236363827184</v>
      </c>
      <c r="E811">
        <v>0.87000216109141504</v>
      </c>
      <c r="F811">
        <v>0.80876373016782299</v>
      </c>
      <c r="G811">
        <v>0.76707031238326795</v>
      </c>
      <c r="H811">
        <v>0.21941740713108801</v>
      </c>
      <c r="I811">
        <v>0.25408010205344</v>
      </c>
      <c r="J811">
        <v>0.26590196674621702</v>
      </c>
      <c r="K811">
        <v>0.26851749178911499</v>
      </c>
      <c r="L811">
        <v>14245.0768709764</v>
      </c>
      <c r="M811">
        <v>250</v>
      </c>
      <c r="N811">
        <v>57.140570233044201</v>
      </c>
      <c r="O811">
        <v>56.976670654309302</v>
      </c>
      <c r="P811">
        <v>-0.82053419905445701</v>
      </c>
      <c r="Q811">
        <v>0.25197921657155098</v>
      </c>
      <c r="R811">
        <v>0.92975821901248301</v>
      </c>
      <c r="S811" t="s">
        <v>7814</v>
      </c>
      <c r="T811" t="s">
        <v>14004</v>
      </c>
      <c r="U811" t="s">
        <v>14004</v>
      </c>
      <c r="V811" t="s">
        <v>14004</v>
      </c>
      <c r="W811" t="s">
        <v>14804</v>
      </c>
      <c r="X811">
        <v>7</v>
      </c>
      <c r="Y811" t="s">
        <v>21742</v>
      </c>
      <c r="Z811" t="s">
        <v>28521</v>
      </c>
      <c r="AA811">
        <v>0.67544144854763155</v>
      </c>
      <c r="AB811" t="str">
        <f>HYPERLINK("Melting_Curves/meltCurve_F8W181_RPL6.pdf", "Melting_Curves/meltCurve_F8W181_RPL6.pdf")</f>
        <v>Melting_Curves/meltCurve_F8W181_RPL6.pdf</v>
      </c>
    </row>
    <row r="812" spans="1:28" x14ac:dyDescent="0.25">
      <c r="A812" t="s">
        <v>816</v>
      </c>
      <c r="B812">
        <v>0.99999676499088797</v>
      </c>
      <c r="C812">
        <v>0.93030697908397997</v>
      </c>
      <c r="D812">
        <v>0.81127239730757195</v>
      </c>
      <c r="E812">
        <v>0.56732932043443496</v>
      </c>
      <c r="F812">
        <v>0.34627461240791102</v>
      </c>
      <c r="G812">
        <v>0.21606236054872199</v>
      </c>
      <c r="H812">
        <v>0.12777582048182401</v>
      </c>
      <c r="I812">
        <v>0.143733611865168</v>
      </c>
      <c r="J812">
        <v>0.15671023557649499</v>
      </c>
      <c r="K812">
        <v>0.169814379655463</v>
      </c>
      <c r="L812">
        <v>853.87012559664799</v>
      </c>
      <c r="M812">
        <v>17.243347311804602</v>
      </c>
      <c r="N812">
        <v>50.436955283669199</v>
      </c>
      <c r="O812">
        <v>48.867210554856399</v>
      </c>
      <c r="P812">
        <v>-7.63371032148569E-2</v>
      </c>
      <c r="Q812">
        <v>0.134701011256883</v>
      </c>
      <c r="R812">
        <v>0.99698144923850096</v>
      </c>
      <c r="S812" t="s">
        <v>7815</v>
      </c>
      <c r="T812" t="s">
        <v>14004</v>
      </c>
      <c r="U812" t="s">
        <v>14004</v>
      </c>
      <c r="V812" t="s">
        <v>14004</v>
      </c>
      <c r="W812" t="s">
        <v>14805</v>
      </c>
      <c r="X812">
        <v>21</v>
      </c>
      <c r="Y812" t="s">
        <v>21743</v>
      </c>
      <c r="Z812" t="s">
        <v>28522</v>
      </c>
      <c r="AA812">
        <v>0.42539765054843781</v>
      </c>
      <c r="AB812" t="str">
        <f>HYPERLINK("Melting_Curves/meltCurve_F8W689_RFX5.pdf", "Melting_Curves/meltCurve_F8W689_RFX5.pdf")</f>
        <v>Melting_Curves/meltCurve_F8W689_RFX5.pdf</v>
      </c>
    </row>
    <row r="813" spans="1:28" x14ac:dyDescent="0.25">
      <c r="A813" t="s">
        <v>817</v>
      </c>
      <c r="B813">
        <v>0.99999676499088797</v>
      </c>
      <c r="C813">
        <v>0.88875738733564003</v>
      </c>
      <c r="D813">
        <v>1.0086816688976501</v>
      </c>
      <c r="E813">
        <v>1.08371830125389</v>
      </c>
      <c r="F813">
        <v>0.46837149123723099</v>
      </c>
      <c r="G813">
        <v>0.29748862974594797</v>
      </c>
      <c r="H813">
        <v>0.165021471244016</v>
      </c>
      <c r="I813">
        <v>0.14648246690379399</v>
      </c>
      <c r="J813">
        <v>0.14534007279206501</v>
      </c>
      <c r="K813">
        <v>0.16617492714683199</v>
      </c>
      <c r="L813">
        <v>6276.89210441459</v>
      </c>
      <c r="M813">
        <v>118.61088211277</v>
      </c>
      <c r="N813">
        <v>53.125564043179601</v>
      </c>
      <c r="O813">
        <v>52.905010249631701</v>
      </c>
      <c r="P813">
        <v>-0.45735177613778899</v>
      </c>
      <c r="Q813">
        <v>0.18401438431160699</v>
      </c>
      <c r="R813">
        <v>0.97611211356318495</v>
      </c>
      <c r="S813" t="s">
        <v>7816</v>
      </c>
      <c r="T813" t="s">
        <v>14004</v>
      </c>
      <c r="U813" t="s">
        <v>14004</v>
      </c>
      <c r="V813" t="s">
        <v>14004</v>
      </c>
      <c r="W813" t="s">
        <v>14806</v>
      </c>
      <c r="X813">
        <v>26</v>
      </c>
      <c r="Y813" t="s">
        <v>21744</v>
      </c>
      <c r="Z813" t="s">
        <v>28523</v>
      </c>
      <c r="AA813">
        <v>0.53577008663231884</v>
      </c>
      <c r="AB813" t="str">
        <f>HYPERLINK("Melting_Curves/meltCurve_F8W6I7_HNRNPA1.pdf", "Melting_Curves/meltCurve_F8W6I7_HNRNPA1.pdf")</f>
        <v>Melting_Curves/meltCurve_F8W6I7_HNRNPA1.pdf</v>
      </c>
    </row>
    <row r="814" spans="1:28" x14ac:dyDescent="0.25">
      <c r="A814" t="s">
        <v>818</v>
      </c>
      <c r="B814">
        <v>0.99999676499088797</v>
      </c>
      <c r="C814">
        <v>0.79643620309298901</v>
      </c>
      <c r="D814">
        <v>0.61494304904413599</v>
      </c>
      <c r="E814">
        <v>0.43015639380362403</v>
      </c>
      <c r="F814">
        <v>0.24356767158991499</v>
      </c>
      <c r="G814">
        <v>0.24279711183994401</v>
      </c>
      <c r="H814">
        <v>9.8521388983705105E-2</v>
      </c>
      <c r="I814">
        <v>0.111370177383689</v>
      </c>
      <c r="J814">
        <v>8.4568509294596E-2</v>
      </c>
      <c r="K814">
        <v>5.9801025300837897E-2</v>
      </c>
      <c r="L814">
        <v>604.75008420812298</v>
      </c>
      <c r="M814">
        <v>12.678637778303401</v>
      </c>
      <c r="N814">
        <v>48.239030324228303</v>
      </c>
      <c r="O814">
        <v>46.558424551029397</v>
      </c>
      <c r="P814">
        <v>-6.35822355253996E-2</v>
      </c>
      <c r="Q814">
        <v>6.6236479011216806E-2</v>
      </c>
      <c r="R814">
        <v>0.98677459266152201</v>
      </c>
      <c r="S814" t="s">
        <v>7817</v>
      </c>
      <c r="T814" t="s">
        <v>14004</v>
      </c>
      <c r="U814" t="s">
        <v>14004</v>
      </c>
      <c r="V814" t="s">
        <v>14004</v>
      </c>
      <c r="W814" t="s">
        <v>14807</v>
      </c>
      <c r="X814">
        <v>3</v>
      </c>
      <c r="Y814" t="s">
        <v>21745</v>
      </c>
      <c r="Z814" t="s">
        <v>28524</v>
      </c>
      <c r="AA814">
        <v>0.33959064319268079</v>
      </c>
      <c r="AB814" t="str">
        <f>HYPERLINK("Melting_Curves/meltCurve_F8W6N3_BAP1.pdf", "Melting_Curves/meltCurve_F8W6N3_BAP1.pdf")</f>
        <v>Melting_Curves/meltCurve_F8W6N3_BAP1.pdf</v>
      </c>
    </row>
    <row r="815" spans="1:28" x14ac:dyDescent="0.25">
      <c r="A815" t="s">
        <v>819</v>
      </c>
      <c r="B815">
        <v>0.99999676499088797</v>
      </c>
      <c r="C815">
        <v>0.91996944112232204</v>
      </c>
      <c r="D815">
        <v>0.77506458621601404</v>
      </c>
      <c r="E815">
        <v>0.36566989416737899</v>
      </c>
      <c r="F815">
        <v>0.27044499450621701</v>
      </c>
      <c r="G815">
        <v>0.16291182343930399</v>
      </c>
      <c r="H815">
        <v>8.5305110028150194E-2</v>
      </c>
      <c r="I815">
        <v>0.10166485147642999</v>
      </c>
      <c r="J815">
        <v>7.9082265828221907E-2</v>
      </c>
      <c r="K815">
        <v>7.0114019152108395E-2</v>
      </c>
      <c r="L815">
        <v>928.57416455681903</v>
      </c>
      <c r="M815">
        <v>19.249891321281599</v>
      </c>
      <c r="N815">
        <v>48.723362734630101</v>
      </c>
      <c r="O815">
        <v>47.726364546067899</v>
      </c>
      <c r="P815">
        <v>-9.2038897202613795E-2</v>
      </c>
      <c r="Q815">
        <v>8.7264324156502995E-2</v>
      </c>
      <c r="R815">
        <v>0.99236422594148299</v>
      </c>
      <c r="S815" t="s">
        <v>7818</v>
      </c>
      <c r="T815" t="s">
        <v>14004</v>
      </c>
      <c r="U815" t="s">
        <v>14004</v>
      </c>
      <c r="V815" t="s">
        <v>14004</v>
      </c>
      <c r="W815" t="s">
        <v>14808</v>
      </c>
      <c r="X815">
        <v>3</v>
      </c>
      <c r="Y815" t="s">
        <v>21746</v>
      </c>
      <c r="Z815" t="s">
        <v>28525</v>
      </c>
      <c r="AA815">
        <v>0.35188752281912089</v>
      </c>
      <c r="AB815" t="str">
        <f>HYPERLINK("Melting_Curves/meltCurve_F8W6N8_TRIM5.pdf", "Melting_Curves/meltCurve_F8W6N8_TRIM5.pdf")</f>
        <v>Melting_Curves/meltCurve_F8W6N8_TRIM5.pdf</v>
      </c>
    </row>
    <row r="816" spans="1:28" x14ac:dyDescent="0.25">
      <c r="A816" t="s">
        <v>820</v>
      </c>
      <c r="B816">
        <v>0.99999676499088797</v>
      </c>
      <c r="C816">
        <v>0.83561806977145203</v>
      </c>
      <c r="D816">
        <v>0.79060015317829901</v>
      </c>
      <c r="E816">
        <v>0.37051315667100199</v>
      </c>
      <c r="F816">
        <v>0.13343850337157601</v>
      </c>
      <c r="G816">
        <v>0.140280705020253</v>
      </c>
      <c r="H816">
        <v>5.80327777720736E-2</v>
      </c>
      <c r="I816">
        <v>0.11944578973237201</v>
      </c>
      <c r="J816">
        <v>0.11808791268173</v>
      </c>
      <c r="K816">
        <v>9.3372554356061704E-2</v>
      </c>
      <c r="L816">
        <v>1088.44106829865</v>
      </c>
      <c r="M816">
        <v>22.743470467094799</v>
      </c>
      <c r="N816">
        <v>48.287954647542499</v>
      </c>
      <c r="O816">
        <v>47.491919868623299</v>
      </c>
      <c r="P816">
        <v>-0.108735125246119</v>
      </c>
      <c r="Q816">
        <v>9.1794050747986897E-2</v>
      </c>
      <c r="R816">
        <v>0.98456747946681999</v>
      </c>
      <c r="S816" t="s">
        <v>7819</v>
      </c>
      <c r="T816" t="s">
        <v>14004</v>
      </c>
      <c r="U816" t="s">
        <v>14004</v>
      </c>
      <c r="V816" t="s">
        <v>14004</v>
      </c>
      <c r="W816" t="s">
        <v>14809</v>
      </c>
      <c r="X816">
        <v>2</v>
      </c>
      <c r="Y816" t="s">
        <v>21747</v>
      </c>
      <c r="Z816" t="s">
        <v>28526</v>
      </c>
      <c r="AA816">
        <v>0.33949480455099218</v>
      </c>
      <c r="AB816" t="str">
        <f>HYPERLINK("Melting_Curves/meltCurve_F8W6Q3_ZNF384.pdf", "Melting_Curves/meltCurve_F8W6Q3_ZNF384.pdf")</f>
        <v>Melting_Curves/meltCurve_F8W6Q3_ZNF384.pdf</v>
      </c>
    </row>
    <row r="817" spans="1:28" x14ac:dyDescent="0.25">
      <c r="A817" t="s">
        <v>821</v>
      </c>
      <c r="B817">
        <v>0.99999676499088797</v>
      </c>
      <c r="C817">
        <v>0.95696065285779797</v>
      </c>
      <c r="D817">
        <v>0.93763586753018702</v>
      </c>
      <c r="E817">
        <v>0.99222400234846897</v>
      </c>
      <c r="F817">
        <v>0.66941704864250795</v>
      </c>
      <c r="G817">
        <v>0.50122399345226998</v>
      </c>
      <c r="H817">
        <v>0.39928985396488598</v>
      </c>
      <c r="I817">
        <v>0.402616079941579</v>
      </c>
      <c r="J817">
        <v>0.32927532103403101</v>
      </c>
      <c r="K817">
        <v>0.33223160969897603</v>
      </c>
      <c r="L817">
        <v>1371.5236767316001</v>
      </c>
      <c r="M817">
        <v>25.583989645232801</v>
      </c>
      <c r="N817">
        <v>56.347533464894198</v>
      </c>
      <c r="O817">
        <v>53.284353843888901</v>
      </c>
      <c r="P817">
        <v>-7.7325118576167598E-2</v>
      </c>
      <c r="Q817">
        <v>0.35582076175530802</v>
      </c>
      <c r="R817">
        <v>0.98184558859878601</v>
      </c>
      <c r="S817" t="s">
        <v>7820</v>
      </c>
      <c r="T817" t="s">
        <v>14004</v>
      </c>
      <c r="U817" t="s">
        <v>14004</v>
      </c>
      <c r="V817" t="s">
        <v>14004</v>
      </c>
      <c r="W817" t="s">
        <v>14810</v>
      </c>
      <c r="X817">
        <v>11</v>
      </c>
      <c r="Y817" t="s">
        <v>21748</v>
      </c>
      <c r="Z817" t="s">
        <v>28527</v>
      </c>
      <c r="AA817">
        <v>0.65373804462938823</v>
      </c>
      <c r="AB817" t="str">
        <f>HYPERLINK("Melting_Curves/meltCurve_F8W6T6_TLE4.pdf", "Melting_Curves/meltCurve_F8W6T6_TLE4.pdf")</f>
        <v>Melting_Curves/meltCurve_F8W6T6_TLE4.pdf</v>
      </c>
    </row>
    <row r="818" spans="1:28" x14ac:dyDescent="0.25">
      <c r="A818" t="s">
        <v>822</v>
      </c>
      <c r="B818">
        <v>0.99999676499088797</v>
      </c>
      <c r="C818">
        <v>0.82572777716532197</v>
      </c>
      <c r="D818">
        <v>0.88126135523375304</v>
      </c>
      <c r="E818">
        <v>0.75834312979482998</v>
      </c>
      <c r="F818">
        <v>0.68593013342521303</v>
      </c>
      <c r="G818">
        <v>0.53535834932184201</v>
      </c>
      <c r="H818">
        <v>0.32194296576231302</v>
      </c>
      <c r="I818">
        <v>1.6295446349115099</v>
      </c>
      <c r="J818">
        <v>2.47097379995127</v>
      </c>
      <c r="K818">
        <v>1.06358200407487</v>
      </c>
      <c r="L818">
        <v>15000</v>
      </c>
      <c r="M818">
        <v>239.72039608027501</v>
      </c>
      <c r="O818">
        <v>62.568546132021702</v>
      </c>
      <c r="P818">
        <v>0.478915568354912</v>
      </c>
      <c r="Q818">
        <v>1.5</v>
      </c>
      <c r="R818">
        <v>0.41004835563116998</v>
      </c>
      <c r="S818" t="s">
        <v>7821</v>
      </c>
      <c r="T818" t="s">
        <v>14004</v>
      </c>
      <c r="U818" t="s">
        <v>14004</v>
      </c>
      <c r="V818" t="s">
        <v>14004</v>
      </c>
      <c r="W818" t="s">
        <v>14811</v>
      </c>
      <c r="X818">
        <v>6</v>
      </c>
      <c r="Y818" t="s">
        <v>21749</v>
      </c>
      <c r="Z818" t="s">
        <v>28528</v>
      </c>
      <c r="AA818">
        <v>1.123725307477307</v>
      </c>
      <c r="AB818" t="str">
        <f>HYPERLINK("Melting_Curves/meltCurve_F8W787_CTSD.pdf", "Melting_Curves/meltCurve_F8W787_CTSD.pdf")</f>
        <v>Melting_Curves/meltCurve_F8W787_CTSD.pdf</v>
      </c>
    </row>
    <row r="819" spans="1:28" x14ac:dyDescent="0.25">
      <c r="A819" t="s">
        <v>823</v>
      </c>
      <c r="B819">
        <v>0.99999676499088797</v>
      </c>
      <c r="C819">
        <v>0.93115787499472402</v>
      </c>
      <c r="D819">
        <v>0.98207554396491903</v>
      </c>
      <c r="E819">
        <v>0.94738507341991696</v>
      </c>
      <c r="F819">
        <v>1.1825444686325699</v>
      </c>
      <c r="G819">
        <v>0.86682112313208504</v>
      </c>
      <c r="H819">
        <v>0.261040558049147</v>
      </c>
      <c r="I819">
        <v>0.14337577795865</v>
      </c>
      <c r="J819">
        <v>0.11086371238066101</v>
      </c>
      <c r="K819">
        <v>9.8006764571933594E-2</v>
      </c>
      <c r="L819">
        <v>3001.3672855069299</v>
      </c>
      <c r="M819">
        <v>50.991795382326103</v>
      </c>
      <c r="N819">
        <v>59.1550600744958</v>
      </c>
      <c r="O819">
        <v>58.769478346486402</v>
      </c>
      <c r="P819">
        <v>-0.19254379713408401</v>
      </c>
      <c r="Q819">
        <v>0.112351931061583</v>
      </c>
      <c r="R819">
        <v>0.97506494112794495</v>
      </c>
      <c r="S819" t="s">
        <v>7822</v>
      </c>
      <c r="T819" t="s">
        <v>14004</v>
      </c>
      <c r="U819" t="s">
        <v>14004</v>
      </c>
      <c r="V819" t="s">
        <v>14004</v>
      </c>
      <c r="W819" t="s">
        <v>14812</v>
      </c>
      <c r="X819">
        <v>2</v>
      </c>
      <c r="Y819" t="s">
        <v>21750</v>
      </c>
      <c r="Z819" t="s">
        <v>28529</v>
      </c>
      <c r="AA819">
        <v>0.67258120623610473</v>
      </c>
      <c r="AB819" t="str">
        <f>HYPERLINK("Melting_Curves/meltCurve_F8W7D0_PBLD.pdf", "Melting_Curves/meltCurve_F8W7D0_PBLD.pdf")</f>
        <v>Melting_Curves/meltCurve_F8W7D0_PBLD.pdf</v>
      </c>
    </row>
    <row r="820" spans="1:28" x14ac:dyDescent="0.25">
      <c r="A820" t="s">
        <v>824</v>
      </c>
      <c r="B820">
        <v>0.99999676499088797</v>
      </c>
      <c r="C820">
        <v>0.93859275764743</v>
      </c>
      <c r="D820">
        <v>1.0718913896283</v>
      </c>
      <c r="E820">
        <v>0.83082094019034403</v>
      </c>
      <c r="F820">
        <v>0.68625448188699101</v>
      </c>
      <c r="G820">
        <v>0.57079148095889298</v>
      </c>
      <c r="H820">
        <v>0.34626783757053797</v>
      </c>
      <c r="I820">
        <v>0.37545258323043801</v>
      </c>
      <c r="J820">
        <v>0.35290976281188602</v>
      </c>
      <c r="K820">
        <v>0.37816881965488902</v>
      </c>
      <c r="L820">
        <v>985.58457773379905</v>
      </c>
      <c r="M820">
        <v>18.3828134018447</v>
      </c>
      <c r="N820">
        <v>57.197746417968503</v>
      </c>
      <c r="O820">
        <v>52.992063197746603</v>
      </c>
      <c r="P820">
        <v>-5.7072409125844298E-2</v>
      </c>
      <c r="Q820">
        <v>0.34194011992918799</v>
      </c>
      <c r="R820">
        <v>0.96867322533422995</v>
      </c>
      <c r="S820" t="s">
        <v>7823</v>
      </c>
      <c r="T820" t="s">
        <v>14004</v>
      </c>
      <c r="U820" t="s">
        <v>14004</v>
      </c>
      <c r="V820" t="s">
        <v>14004</v>
      </c>
      <c r="W820" t="s">
        <v>14813</v>
      </c>
      <c r="X820">
        <v>1</v>
      </c>
      <c r="Y820" t="s">
        <v>21751</v>
      </c>
      <c r="Z820" t="s">
        <v>28530</v>
      </c>
      <c r="AA820">
        <v>0.65087201548365925</v>
      </c>
      <c r="AB820" t="str">
        <f>HYPERLINK("Melting_Curves/meltCurve_F8W7G7_FN1.pdf", "Melting_Curves/meltCurve_F8W7G7_FN1.pdf")</f>
        <v>Melting_Curves/meltCurve_F8W7G7_FN1.pdf</v>
      </c>
    </row>
    <row r="821" spans="1:28" x14ac:dyDescent="0.25">
      <c r="A821" t="s">
        <v>825</v>
      </c>
      <c r="B821">
        <v>0.99999676499088797</v>
      </c>
      <c r="C821">
        <v>0.91334320002730196</v>
      </c>
      <c r="D821">
        <v>0.93823013512157805</v>
      </c>
      <c r="E821">
        <v>0.87207785445524399</v>
      </c>
      <c r="F821">
        <v>0.78355452697594297</v>
      </c>
      <c r="G821">
        <v>0.696765508868604</v>
      </c>
      <c r="H821">
        <v>0.50562612773940896</v>
      </c>
      <c r="I821">
        <v>0.52906790916813196</v>
      </c>
      <c r="J821">
        <v>0.47896283580294602</v>
      </c>
      <c r="K821">
        <v>0.63044906162121495</v>
      </c>
      <c r="L821">
        <v>752.34855530902598</v>
      </c>
      <c r="M821">
        <v>14.1026366154942</v>
      </c>
      <c r="O821">
        <v>52.309765046844397</v>
      </c>
      <c r="P821">
        <v>-3.3118395787247103E-2</v>
      </c>
      <c r="Q821">
        <v>0.50868970091246102</v>
      </c>
      <c r="R821">
        <v>0.91619650567331701</v>
      </c>
      <c r="S821" t="s">
        <v>7824</v>
      </c>
      <c r="T821" t="s">
        <v>14004</v>
      </c>
      <c r="U821" t="s">
        <v>14004</v>
      </c>
      <c r="V821" t="s">
        <v>14004</v>
      </c>
      <c r="W821" t="s">
        <v>14814</v>
      </c>
      <c r="X821">
        <v>6</v>
      </c>
      <c r="Y821" t="s">
        <v>21752</v>
      </c>
      <c r="Z821" t="s">
        <v>28531</v>
      </c>
      <c r="AA821">
        <v>0.73857377962699899</v>
      </c>
      <c r="AB821" t="str">
        <f>HYPERLINK("Melting_Curves/meltCurve_F8W7Q4_FAM162A.pdf", "Melting_Curves/meltCurve_F8W7Q4_FAM162A.pdf")</f>
        <v>Melting_Curves/meltCurve_F8W7Q4_FAM162A.pdf</v>
      </c>
    </row>
    <row r="822" spans="1:28" x14ac:dyDescent="0.25">
      <c r="A822" t="s">
        <v>826</v>
      </c>
      <c r="B822">
        <v>0.99999676499088797</v>
      </c>
      <c r="C822">
        <v>0.70741438739929896</v>
      </c>
      <c r="D822">
        <v>0.25087734286477398</v>
      </c>
      <c r="E822">
        <v>0.17569174754865</v>
      </c>
      <c r="F822">
        <v>0.13506279593652101</v>
      </c>
      <c r="G822">
        <v>0.11633229134781201</v>
      </c>
      <c r="H822">
        <v>7.2576152017314502E-2</v>
      </c>
      <c r="I822">
        <v>6.3999894551349801E-2</v>
      </c>
      <c r="J822">
        <v>4.7294308210394702E-2</v>
      </c>
      <c r="K822">
        <v>5.1786202487343301E-2</v>
      </c>
      <c r="L822">
        <v>1406.7583080102399</v>
      </c>
      <c r="M822">
        <v>32.016448425964697</v>
      </c>
      <c r="N822">
        <v>44.2091724063417</v>
      </c>
      <c r="O822">
        <v>43.768263906463197</v>
      </c>
      <c r="P822">
        <v>-0.166605164040695</v>
      </c>
      <c r="Q822">
        <v>8.8970597049523606E-2</v>
      </c>
      <c r="R822">
        <v>0.98718658677220295</v>
      </c>
      <c r="S822" t="s">
        <v>7825</v>
      </c>
      <c r="T822" t="s">
        <v>14004</v>
      </c>
      <c r="U822" t="s">
        <v>14004</v>
      </c>
      <c r="V822" t="s">
        <v>14004</v>
      </c>
      <c r="W822" t="s">
        <v>14815</v>
      </c>
      <c r="X822">
        <v>6</v>
      </c>
      <c r="Y822" t="s">
        <v>21753</v>
      </c>
      <c r="Z822" t="s">
        <v>28532</v>
      </c>
      <c r="AA822">
        <v>0.21428722281971291</v>
      </c>
      <c r="AB822" t="str">
        <f>HYPERLINK("Melting_Curves/meltCurve_F8W840_YTHDF1.pdf", "Melting_Curves/meltCurve_F8W840_YTHDF1.pdf")</f>
        <v>Melting_Curves/meltCurve_F8W840_YTHDF1.pdf</v>
      </c>
    </row>
    <row r="823" spans="1:28" x14ac:dyDescent="0.25">
      <c r="A823" t="s">
        <v>827</v>
      </c>
      <c r="B823">
        <v>0.99999676499088797</v>
      </c>
      <c r="C823">
        <v>0.91996328428253904</v>
      </c>
      <c r="D823">
        <v>1.1310584221112501</v>
      </c>
      <c r="E823">
        <v>0.784640657930743</v>
      </c>
      <c r="F823">
        <v>0.28838495343522402</v>
      </c>
      <c r="G823">
        <v>0.18351612613674101</v>
      </c>
      <c r="H823">
        <v>0.123276269051576</v>
      </c>
      <c r="I823">
        <v>8.1839929004474898E-2</v>
      </c>
      <c r="J823">
        <v>8.8313162361760206E-2</v>
      </c>
      <c r="K823">
        <v>7.5419021610980005E-2</v>
      </c>
      <c r="L823">
        <v>1889.13078467789</v>
      </c>
      <c r="M823">
        <v>36.832741354609503</v>
      </c>
      <c r="N823">
        <v>51.614893800906898</v>
      </c>
      <c r="O823">
        <v>51.1389580130813</v>
      </c>
      <c r="P823">
        <v>-0.161404784198388</v>
      </c>
      <c r="Q823">
        <v>0.10361830825033699</v>
      </c>
      <c r="R823">
        <v>0.98114953871781496</v>
      </c>
      <c r="S823" t="s">
        <v>7826</v>
      </c>
      <c r="T823" t="s">
        <v>14004</v>
      </c>
      <c r="U823" t="s">
        <v>14004</v>
      </c>
      <c r="V823" t="s">
        <v>14004</v>
      </c>
      <c r="W823" t="s">
        <v>14816</v>
      </c>
      <c r="X823">
        <v>1</v>
      </c>
      <c r="Y823" t="s">
        <v>21754</v>
      </c>
      <c r="Z823" t="s">
        <v>28533</v>
      </c>
      <c r="AA823">
        <v>0.44469131790832572</v>
      </c>
      <c r="AB823" t="str">
        <f>HYPERLINK("Melting_Curves/meltCurve_F8W872_CDK10.pdf", "Melting_Curves/meltCurve_F8W872_CDK10.pdf")</f>
        <v>Melting_Curves/meltCurve_F8W872_CDK10.pdf</v>
      </c>
    </row>
    <row r="824" spans="1:28" x14ac:dyDescent="0.25">
      <c r="A824" t="s">
        <v>828</v>
      </c>
      <c r="B824">
        <v>0.99999676499088797</v>
      </c>
      <c r="C824">
        <v>0.962428674827008</v>
      </c>
      <c r="D824">
        <v>0.91370574142914895</v>
      </c>
      <c r="E824">
        <v>0.869126241748576</v>
      </c>
      <c r="F824">
        <v>0.62403785961970004</v>
      </c>
      <c r="G824">
        <v>0.74174393847669096</v>
      </c>
      <c r="H824">
        <v>0.33169901462659301</v>
      </c>
      <c r="I824">
        <v>0.34414432133852402</v>
      </c>
      <c r="J824">
        <v>0.28591065901714102</v>
      </c>
      <c r="K824">
        <v>0.21632394511856901</v>
      </c>
      <c r="L824">
        <v>531.18861827094599</v>
      </c>
      <c r="M824">
        <v>9.0743697790415094</v>
      </c>
      <c r="N824">
        <v>59.027324792337403</v>
      </c>
      <c r="O824">
        <v>55.904392626462197</v>
      </c>
      <c r="P824">
        <v>-3.9134900995523601E-2</v>
      </c>
      <c r="Q824">
        <v>3.6286224038744097E-2</v>
      </c>
      <c r="R824">
        <v>0.94495412527776501</v>
      </c>
      <c r="S824" t="s">
        <v>7827</v>
      </c>
      <c r="T824" t="s">
        <v>14004</v>
      </c>
      <c r="U824" t="s">
        <v>14004</v>
      </c>
      <c r="V824" t="s">
        <v>14004</v>
      </c>
      <c r="W824" t="s">
        <v>14817</v>
      </c>
      <c r="X824">
        <v>5</v>
      </c>
      <c r="Y824" t="s">
        <v>21755</v>
      </c>
      <c r="Z824" t="s">
        <v>28534</v>
      </c>
      <c r="AA824">
        <v>0.63519098476423652</v>
      </c>
      <c r="AB824" t="str">
        <f>HYPERLINK("Melting_Curves/meltCurve_F8W881_FAM120C.pdf", "Melting_Curves/meltCurve_F8W881_FAM120C.pdf")</f>
        <v>Melting_Curves/meltCurve_F8W881_FAM120C.pdf</v>
      </c>
    </row>
    <row r="825" spans="1:28" x14ac:dyDescent="0.25">
      <c r="A825" t="s">
        <v>829</v>
      </c>
      <c r="B825">
        <v>0.99999676499088797</v>
      </c>
      <c r="C825">
        <v>0.99463724429498201</v>
      </c>
      <c r="D825">
        <v>0.748338989651958</v>
      </c>
      <c r="E825">
        <v>0.439529263063623</v>
      </c>
      <c r="F825">
        <v>0.38832445914967501</v>
      </c>
      <c r="G825">
        <v>0.21772857587400701</v>
      </c>
      <c r="H825">
        <v>0.140091883042261</v>
      </c>
      <c r="I825">
        <v>0.153439041756046</v>
      </c>
      <c r="J825">
        <v>0.16995948455242399</v>
      </c>
      <c r="K825">
        <v>0.18151595638006501</v>
      </c>
      <c r="L825">
        <v>881.97897545257797</v>
      </c>
      <c r="M825">
        <v>18.211557956965802</v>
      </c>
      <c r="N825">
        <v>49.501333352057202</v>
      </c>
      <c r="O825">
        <v>47.857017343361903</v>
      </c>
      <c r="P825">
        <v>-7.9639796909096394E-2</v>
      </c>
      <c r="Q825">
        <v>0.162917626158192</v>
      </c>
      <c r="R825">
        <v>0.98290497066135296</v>
      </c>
      <c r="S825" t="s">
        <v>7828</v>
      </c>
      <c r="T825" t="s">
        <v>14004</v>
      </c>
      <c r="U825" t="s">
        <v>14004</v>
      </c>
      <c r="V825" t="s">
        <v>14004</v>
      </c>
      <c r="W825" t="s">
        <v>14818</v>
      </c>
      <c r="X825">
        <v>9</v>
      </c>
      <c r="Y825" t="s">
        <v>21756</v>
      </c>
      <c r="Z825" t="s">
        <v>28535</v>
      </c>
      <c r="AA825">
        <v>0.41245824589722468</v>
      </c>
      <c r="AB825" t="str">
        <f>HYPERLINK("Melting_Curves/meltCurve_F8W8D3_SLBP.pdf", "Melting_Curves/meltCurve_F8W8D3_SLBP.pdf")</f>
        <v>Melting_Curves/meltCurve_F8W8D3_SLBP.pdf</v>
      </c>
    </row>
    <row r="826" spans="1:28" x14ac:dyDescent="0.25">
      <c r="A826" t="s">
        <v>830</v>
      </c>
      <c r="B826">
        <v>0.99999676499088797</v>
      </c>
      <c r="C826">
        <v>8.0287393150712294</v>
      </c>
      <c r="D826">
        <v>10.1110857768568</v>
      </c>
      <c r="E826">
        <v>6.8926608343275904</v>
      </c>
      <c r="F826">
        <v>9.6369178903404507</v>
      </c>
      <c r="G826">
        <v>13.1008582674417</v>
      </c>
      <c r="H826">
        <v>8.6814000161846305</v>
      </c>
      <c r="I826">
        <v>20.225003508990401</v>
      </c>
      <c r="J826">
        <v>27.652386132858901</v>
      </c>
      <c r="K826">
        <v>28.771182743382301</v>
      </c>
      <c r="L826">
        <v>1.0000000000000001E-5</v>
      </c>
      <c r="M826">
        <v>40.4668384730413</v>
      </c>
      <c r="Q826">
        <v>1.5</v>
      </c>
      <c r="R826">
        <v>-1.8706833592972001</v>
      </c>
      <c r="S826" t="s">
        <v>7829</v>
      </c>
      <c r="T826" t="s">
        <v>14004</v>
      </c>
      <c r="U826" t="s">
        <v>14004</v>
      </c>
      <c r="V826" t="s">
        <v>14004</v>
      </c>
      <c r="W826" t="s">
        <v>14819</v>
      </c>
      <c r="X826">
        <v>2</v>
      </c>
      <c r="Y826" t="s">
        <v>21757</v>
      </c>
      <c r="Z826" t="s">
        <v>28536</v>
      </c>
      <c r="AA826">
        <v>1.5</v>
      </c>
      <c r="AB826" t="str">
        <f>HYPERLINK("Melting_Curves/meltCurve_F8W8F9_CASC1.pdf", "Melting_Curves/meltCurve_F8W8F9_CASC1.pdf")</f>
        <v>Melting_Curves/meltCurve_F8W8F9_CASC1.pdf</v>
      </c>
    </row>
    <row r="827" spans="1:28" x14ac:dyDescent="0.25">
      <c r="A827" t="s">
        <v>831</v>
      </c>
      <c r="B827">
        <v>0.99999676499088797</v>
      </c>
      <c r="C827">
        <v>0.59179297589838298</v>
      </c>
      <c r="D827">
        <v>0.36477986614596503</v>
      </c>
      <c r="E827">
        <v>0.24240335708425001</v>
      </c>
      <c r="F827">
        <v>0.19043653528285201</v>
      </c>
      <c r="G827">
        <v>0.12717010964648801</v>
      </c>
      <c r="H827">
        <v>7.6719373559106296E-2</v>
      </c>
      <c r="I827">
        <v>7.8213737514502002E-2</v>
      </c>
      <c r="J827">
        <v>7.6343064775801495E-2</v>
      </c>
      <c r="K827">
        <v>0.16935281823588</v>
      </c>
      <c r="L827">
        <v>926.90886008507596</v>
      </c>
      <c r="M827">
        <v>21.139977854637401</v>
      </c>
      <c r="N827">
        <v>44.425330446456698</v>
      </c>
      <c r="O827">
        <v>43.459561447908001</v>
      </c>
      <c r="P827">
        <v>-0.10696520745275399</v>
      </c>
      <c r="Q827">
        <v>0.120426801767577</v>
      </c>
      <c r="R827">
        <v>0.96367190711418305</v>
      </c>
      <c r="S827" t="s">
        <v>7830</v>
      </c>
      <c r="T827" t="s">
        <v>14004</v>
      </c>
      <c r="U827" t="s">
        <v>14004</v>
      </c>
      <c r="V827" t="s">
        <v>14004</v>
      </c>
      <c r="W827" t="s">
        <v>14820</v>
      </c>
      <c r="X827">
        <v>2</v>
      </c>
      <c r="Y827" t="s">
        <v>21758</v>
      </c>
      <c r="Z827" t="s">
        <v>28537</v>
      </c>
      <c r="AA827">
        <v>0.24864334180610659</v>
      </c>
      <c r="AB827" t="str">
        <f>HYPERLINK("Melting_Curves/meltCurve_F8W8G5_MYB.pdf", "Melting_Curves/meltCurve_F8W8G5_MYB.pdf")</f>
        <v>Melting_Curves/meltCurve_F8W8G5_MYB.pdf</v>
      </c>
    </row>
    <row r="828" spans="1:28" x14ac:dyDescent="0.25">
      <c r="A828" t="s">
        <v>832</v>
      </c>
      <c r="B828">
        <v>0.99999676499088797</v>
      </c>
      <c r="C828">
        <v>1.09371288960457</v>
      </c>
      <c r="D828">
        <v>0.96970071600812702</v>
      </c>
      <c r="E828">
        <v>0.65796296204050497</v>
      </c>
      <c r="F828">
        <v>0.38990022031321098</v>
      </c>
      <c r="G828">
        <v>0.169740760876157</v>
      </c>
      <c r="H828">
        <v>7.78464978543707E-2</v>
      </c>
      <c r="I828">
        <v>4.7589210449046002E-2</v>
      </c>
      <c r="J828">
        <v>4.9545334683896797E-2</v>
      </c>
      <c r="K828">
        <v>3.21219532895669E-2</v>
      </c>
      <c r="L828">
        <v>1081.8909932240099</v>
      </c>
      <c r="M828">
        <v>20.989816518114701</v>
      </c>
      <c r="N828">
        <v>51.743323853027803</v>
      </c>
      <c r="O828">
        <v>51.082605042015501</v>
      </c>
      <c r="P828">
        <v>-9.8730612057887801E-2</v>
      </c>
      <c r="Q828">
        <v>3.8908956996148401E-2</v>
      </c>
      <c r="R828">
        <v>0.99064147715717998</v>
      </c>
      <c r="S828" t="s">
        <v>7831</v>
      </c>
      <c r="T828" t="s">
        <v>14004</v>
      </c>
      <c r="U828" t="s">
        <v>14004</v>
      </c>
      <c r="V828" t="s">
        <v>14004</v>
      </c>
      <c r="W828" t="s">
        <v>14821</v>
      </c>
      <c r="X828">
        <v>14</v>
      </c>
      <c r="Y828" t="s">
        <v>21759</v>
      </c>
      <c r="Z828" t="s">
        <v>28538</v>
      </c>
      <c r="AA828">
        <v>0.4209107232849344</v>
      </c>
      <c r="AB828" t="str">
        <f>HYPERLINK("Melting_Curves/meltCurve_F8W8I6_TIA1.pdf", "Melting_Curves/meltCurve_F8W8I6_TIA1.pdf")</f>
        <v>Melting_Curves/meltCurve_F8W8I6_TIA1.pdf</v>
      </c>
    </row>
    <row r="829" spans="1:28" x14ac:dyDescent="0.25">
      <c r="A829" t="s">
        <v>833</v>
      </c>
      <c r="B829">
        <v>0.99999676499088797</v>
      </c>
      <c r="C829">
        <v>0.98039704360498003</v>
      </c>
      <c r="D829">
        <v>0.90781729175114301</v>
      </c>
      <c r="E829">
        <v>0.50064150848594702</v>
      </c>
      <c r="F829">
        <v>0.431653923263978</v>
      </c>
      <c r="G829">
        <v>0.34590271152808999</v>
      </c>
      <c r="H829">
        <v>0.13020743428304599</v>
      </c>
      <c r="I829">
        <v>0.114257211824698</v>
      </c>
      <c r="J829">
        <v>0.14369784925264101</v>
      </c>
      <c r="K829">
        <v>0.108954206535707</v>
      </c>
      <c r="L829">
        <v>748.34333188624203</v>
      </c>
      <c r="M829">
        <v>14.7788487218442</v>
      </c>
      <c r="N829">
        <v>51.452186044429801</v>
      </c>
      <c r="O829">
        <v>49.736110568087497</v>
      </c>
      <c r="P829">
        <v>-6.6532007491493697E-2</v>
      </c>
      <c r="Q829">
        <v>0.10447991039085</v>
      </c>
      <c r="R829">
        <v>0.97227670632119201</v>
      </c>
      <c r="S829" t="s">
        <v>7832</v>
      </c>
      <c r="T829" t="s">
        <v>14004</v>
      </c>
      <c r="U829" t="s">
        <v>14004</v>
      </c>
      <c r="V829" t="s">
        <v>14004</v>
      </c>
      <c r="W829" t="s">
        <v>14822</v>
      </c>
      <c r="X829">
        <v>1</v>
      </c>
      <c r="Y829" t="s">
        <v>21760</v>
      </c>
      <c r="Z829" t="s">
        <v>28539</v>
      </c>
      <c r="AA829">
        <v>0.44343586732207951</v>
      </c>
      <c r="AB829" t="str">
        <f>HYPERLINK("Melting_Curves/meltCurve_F8W8K9_AP1S3.pdf", "Melting_Curves/meltCurve_F8W8K9_AP1S3.pdf")</f>
        <v>Melting_Curves/meltCurve_F8W8K9_AP1S3.pdf</v>
      </c>
    </row>
    <row r="830" spans="1:28" x14ac:dyDescent="0.25">
      <c r="A830" t="s">
        <v>834</v>
      </c>
      <c r="B830">
        <v>0.99999676499088797</v>
      </c>
      <c r="C830">
        <v>1.0196887109424899</v>
      </c>
      <c r="D830">
        <v>0.99290479179106494</v>
      </c>
      <c r="E830">
        <v>1.0710724192530801</v>
      </c>
      <c r="F830">
        <v>1.0844882130940701</v>
      </c>
      <c r="G830">
        <v>0.72575672593000295</v>
      </c>
      <c r="H830">
        <v>0.48398327901460098</v>
      </c>
      <c r="I830">
        <v>0.29779899875689098</v>
      </c>
      <c r="J830">
        <v>0.24702565604798901</v>
      </c>
      <c r="K830">
        <v>0.24856180040622</v>
      </c>
      <c r="L830">
        <v>1706.12488005363</v>
      </c>
      <c r="M830">
        <v>29.072570993203001</v>
      </c>
      <c r="N830">
        <v>60.045134844844</v>
      </c>
      <c r="O830">
        <v>58.409472319058303</v>
      </c>
      <c r="P830">
        <v>-9.44224045578647E-2</v>
      </c>
      <c r="Q830">
        <v>0.24119229757245</v>
      </c>
      <c r="R830">
        <v>0.97742073946151597</v>
      </c>
      <c r="S830" t="s">
        <v>7833</v>
      </c>
      <c r="T830" t="s">
        <v>14004</v>
      </c>
      <c r="U830" t="s">
        <v>14004</v>
      </c>
      <c r="V830" t="s">
        <v>14004</v>
      </c>
      <c r="W830" t="s">
        <v>14823</v>
      </c>
      <c r="X830">
        <v>8</v>
      </c>
      <c r="Y830" t="s">
        <v>21761</v>
      </c>
      <c r="Z830" t="s">
        <v>28540</v>
      </c>
      <c r="AA830">
        <v>0.71895945971339426</v>
      </c>
      <c r="AB830" t="str">
        <f>HYPERLINK("Melting_Curves/meltCurve_F8W914_RTN4.pdf", "Melting_Curves/meltCurve_F8W914_RTN4.pdf")</f>
        <v>Melting_Curves/meltCurve_F8W914_RTN4.pdf</v>
      </c>
    </row>
    <row r="831" spans="1:28" x14ac:dyDescent="0.25">
      <c r="A831" t="s">
        <v>835</v>
      </c>
      <c r="B831">
        <v>0.99999676499088797</v>
      </c>
      <c r="C831">
        <v>0.91827698320774098</v>
      </c>
      <c r="D831">
        <v>0.603310537506072</v>
      </c>
      <c r="E831">
        <v>0.36248522132675698</v>
      </c>
      <c r="F831">
        <v>0.21434715948750299</v>
      </c>
      <c r="G831">
        <v>0.18312813275016401</v>
      </c>
      <c r="H831">
        <v>8.8512635713632395E-2</v>
      </c>
      <c r="I831">
        <v>0.112423252407133</v>
      </c>
      <c r="J831">
        <v>0.12211947965455899</v>
      </c>
      <c r="K831">
        <v>8.79490891856122E-2</v>
      </c>
      <c r="L831">
        <v>894.75561502164101</v>
      </c>
      <c r="M831">
        <v>19.029290025361199</v>
      </c>
      <c r="N831">
        <v>47.642945450443797</v>
      </c>
      <c r="O831">
        <v>46.509886056215699</v>
      </c>
      <c r="P831">
        <v>-9.1022994107683705E-2</v>
      </c>
      <c r="Q831">
        <v>0.110150436209781</v>
      </c>
      <c r="R831">
        <v>0.99231745016663297</v>
      </c>
      <c r="S831" t="s">
        <v>7834</v>
      </c>
      <c r="T831" t="s">
        <v>14004</v>
      </c>
      <c r="U831" t="s">
        <v>14004</v>
      </c>
      <c r="V831" t="s">
        <v>14004</v>
      </c>
      <c r="W831" t="s">
        <v>14824</v>
      </c>
      <c r="X831">
        <v>5</v>
      </c>
      <c r="Y831" t="s">
        <v>21762</v>
      </c>
      <c r="Z831" t="s">
        <v>28541</v>
      </c>
      <c r="AA831">
        <v>0.33289686926213391</v>
      </c>
      <c r="AB831" t="str">
        <f>HYPERLINK("Melting_Curves/meltCurve_F8W946_FSD1L.pdf", "Melting_Curves/meltCurve_F8W946_FSD1L.pdf")</f>
        <v>Melting_Curves/meltCurve_F8W946_FSD1L.pdf</v>
      </c>
    </row>
    <row r="832" spans="1:28" x14ac:dyDescent="0.25">
      <c r="A832" t="s">
        <v>836</v>
      </c>
      <c r="B832">
        <v>0.99999676499088797</v>
      </c>
      <c r="C832">
        <v>1.03806163326238</v>
      </c>
      <c r="D832">
        <v>1.0186900004497399</v>
      </c>
      <c r="E832">
        <v>0.95802745852006199</v>
      </c>
      <c r="F832">
        <v>0.58114875615824602</v>
      </c>
      <c r="G832">
        <v>0.28708150947226801</v>
      </c>
      <c r="H832">
        <v>0.14105457345179201</v>
      </c>
      <c r="I832">
        <v>0.14264782610142299</v>
      </c>
      <c r="J832">
        <v>0.15311954732706201</v>
      </c>
      <c r="K832">
        <v>0.12580474143839401</v>
      </c>
      <c r="L832">
        <v>1667.41967827488</v>
      </c>
      <c r="M832">
        <v>31.186660345711701</v>
      </c>
      <c r="N832">
        <v>54.027944525505198</v>
      </c>
      <c r="O832">
        <v>53.247409032137398</v>
      </c>
      <c r="P832">
        <v>-0.12613699317357799</v>
      </c>
      <c r="Q832">
        <v>0.13855087669435401</v>
      </c>
      <c r="R832">
        <v>0.99693463735903098</v>
      </c>
      <c r="S832" t="s">
        <v>7835</v>
      </c>
      <c r="T832" t="s">
        <v>14004</v>
      </c>
      <c r="U832" t="s">
        <v>14004</v>
      </c>
      <c r="V832" t="s">
        <v>14004</v>
      </c>
      <c r="W832" t="s">
        <v>14825</v>
      </c>
      <c r="X832">
        <v>5</v>
      </c>
      <c r="Y832" t="s">
        <v>21763</v>
      </c>
      <c r="Z832" t="s">
        <v>28542</v>
      </c>
      <c r="AA832">
        <v>0.53043248283007804</v>
      </c>
      <c r="AB832" t="str">
        <f>HYPERLINK("Melting_Curves/meltCurve_F8W966_MEF2A.pdf", "Melting_Curves/meltCurve_F8W966_MEF2A.pdf")</f>
        <v>Melting_Curves/meltCurve_F8W966_MEF2A.pdf</v>
      </c>
    </row>
    <row r="833" spans="1:28" x14ac:dyDescent="0.25">
      <c r="A833" t="s">
        <v>837</v>
      </c>
      <c r="B833">
        <v>0.99999676499088797</v>
      </c>
      <c r="C833">
        <v>0.93758142353432605</v>
      </c>
      <c r="D833">
        <v>0.84345573106609895</v>
      </c>
      <c r="E833">
        <v>0.78359437767717499</v>
      </c>
      <c r="F833">
        <v>0.25334839226876998</v>
      </c>
      <c r="G833">
        <v>0.16072125594852099</v>
      </c>
      <c r="H833">
        <v>0.10250416373979999</v>
      </c>
      <c r="I833">
        <v>9.3777109498899405E-2</v>
      </c>
      <c r="J833">
        <v>8.9663302575780604E-2</v>
      </c>
      <c r="K833">
        <v>4.2346033363141897E-2</v>
      </c>
      <c r="L833">
        <v>1435.65299557452</v>
      </c>
      <c r="M833">
        <v>28.106045862965299</v>
      </c>
      <c r="N833">
        <v>51.3942086991498</v>
      </c>
      <c r="O833">
        <v>50.823377007073297</v>
      </c>
      <c r="P833">
        <v>-0.127336589522869</v>
      </c>
      <c r="Q833">
        <v>7.8970997094061898E-2</v>
      </c>
      <c r="R833">
        <v>0.98210037841666198</v>
      </c>
      <c r="S833" t="s">
        <v>7836</v>
      </c>
      <c r="T833" t="s">
        <v>14004</v>
      </c>
      <c r="U833" t="s">
        <v>14004</v>
      </c>
      <c r="V833" t="s">
        <v>14004</v>
      </c>
      <c r="W833" t="s">
        <v>14826</v>
      </c>
      <c r="X833">
        <v>14</v>
      </c>
      <c r="Y833" t="s">
        <v>21764</v>
      </c>
      <c r="Z833" t="s">
        <v>28543</v>
      </c>
      <c r="AA833">
        <v>0.42573847926668063</v>
      </c>
      <c r="AB833" t="str">
        <f>HYPERLINK("Melting_Curves/meltCurve_F8W9A8_PPIP5K1.pdf", "Melting_Curves/meltCurve_F8W9A8_PPIP5K1.pdf")</f>
        <v>Melting_Curves/meltCurve_F8W9A8_PPIP5K1.pdf</v>
      </c>
    </row>
    <row r="834" spans="1:28" x14ac:dyDescent="0.25">
      <c r="A834" t="s">
        <v>838</v>
      </c>
      <c r="B834">
        <v>0.99999676499088797</v>
      </c>
      <c r="C834">
        <v>1.04828264191715</v>
      </c>
      <c r="D834">
        <v>1.0381873664993599</v>
      </c>
      <c r="E834">
        <v>1.0057909748239899</v>
      </c>
      <c r="F834">
        <v>0.73223017644570798</v>
      </c>
      <c r="G834">
        <v>0.26811119891420998</v>
      </c>
      <c r="H834">
        <v>8.4578583866257995E-2</v>
      </c>
      <c r="I834">
        <v>8.0862330119103501E-2</v>
      </c>
      <c r="J834">
        <v>7.9505424681152403E-2</v>
      </c>
      <c r="K834">
        <v>5.3581535154251701E-2</v>
      </c>
      <c r="L834">
        <v>1938.38594395158</v>
      </c>
      <c r="M834">
        <v>35.474384253723898</v>
      </c>
      <c r="N834">
        <v>54.867384002946899</v>
      </c>
      <c r="O834">
        <v>54.4690817003154</v>
      </c>
      <c r="P834">
        <v>-0.15177326951594899</v>
      </c>
      <c r="Q834">
        <v>6.7843113631659596E-2</v>
      </c>
      <c r="R834">
        <v>0.99716201436239504</v>
      </c>
      <c r="S834" t="s">
        <v>7837</v>
      </c>
      <c r="T834" t="s">
        <v>14004</v>
      </c>
      <c r="U834" t="s">
        <v>14004</v>
      </c>
      <c r="V834" t="s">
        <v>14004</v>
      </c>
      <c r="W834" t="s">
        <v>14827</v>
      </c>
      <c r="X834">
        <v>11</v>
      </c>
      <c r="Y834" t="s">
        <v>21765</v>
      </c>
      <c r="Z834" t="s">
        <v>28544</v>
      </c>
      <c r="AA834">
        <v>0.52724635181889146</v>
      </c>
      <c r="AB834" t="str">
        <f>HYPERLINK("Melting_Curves/meltCurve_F8W9R9_MED24.pdf", "Melting_Curves/meltCurve_F8W9R9_MED24.pdf")</f>
        <v>Melting_Curves/meltCurve_F8W9R9_MED24.pdf</v>
      </c>
    </row>
    <row r="835" spans="1:28" x14ac:dyDescent="0.25">
      <c r="A835" t="s">
        <v>839</v>
      </c>
      <c r="B835">
        <v>0.99999676499088797</v>
      </c>
      <c r="C835">
        <v>0.967830929461865</v>
      </c>
      <c r="D835">
        <v>0.98769101732669895</v>
      </c>
      <c r="E835">
        <v>0.67401399615445301</v>
      </c>
      <c r="F835">
        <v>0.20391360740276901</v>
      </c>
      <c r="G835">
        <v>0.136422841735202</v>
      </c>
      <c r="H835">
        <v>6.2279059614309198E-2</v>
      </c>
      <c r="I835">
        <v>5.4523068186244202E-2</v>
      </c>
      <c r="J835">
        <v>4.4060165072191702E-2</v>
      </c>
      <c r="K835">
        <v>4.5413476666149699E-2</v>
      </c>
      <c r="L835">
        <v>1653.3572545525001</v>
      </c>
      <c r="M835">
        <v>32.693240314599898</v>
      </c>
      <c r="N835">
        <v>50.770947684649698</v>
      </c>
      <c r="O835">
        <v>50.383752913195998</v>
      </c>
      <c r="P835">
        <v>-0.15246180478777299</v>
      </c>
      <c r="Q835">
        <v>6.0165067133014997E-2</v>
      </c>
      <c r="R835">
        <v>0.997245753690852</v>
      </c>
      <c r="S835" t="s">
        <v>7838</v>
      </c>
      <c r="T835" t="s">
        <v>14004</v>
      </c>
      <c r="U835" t="s">
        <v>14004</v>
      </c>
      <c r="V835" t="s">
        <v>14004</v>
      </c>
      <c r="W835" t="s">
        <v>14828</v>
      </c>
      <c r="X835">
        <v>14</v>
      </c>
      <c r="Y835" t="s">
        <v>21766</v>
      </c>
      <c r="Z835" t="s">
        <v>28545</v>
      </c>
      <c r="AA835">
        <v>0.3962926718099114</v>
      </c>
      <c r="AB835" t="str">
        <f>HYPERLINK("Melting_Curves/meltCurve_F8W9X7_CCDC93.pdf", "Melting_Curves/meltCurve_F8W9X7_CCDC93.pdf")</f>
        <v>Melting_Curves/meltCurve_F8W9X7_CCDC93.pdf</v>
      </c>
    </row>
    <row r="836" spans="1:28" x14ac:dyDescent="0.25">
      <c r="A836" t="s">
        <v>840</v>
      </c>
      <c r="B836">
        <v>0.99999676499088797</v>
      </c>
      <c r="C836">
        <v>0.938036248676411</v>
      </c>
      <c r="D836">
        <v>0.65530581395696397</v>
      </c>
      <c r="E836">
        <v>0.22608970060737399</v>
      </c>
      <c r="F836">
        <v>0.16374035400922801</v>
      </c>
      <c r="G836">
        <v>0.115457631855463</v>
      </c>
      <c r="H836">
        <v>6.3832662864804601E-2</v>
      </c>
      <c r="I836">
        <v>6.2693764768581905E-2</v>
      </c>
      <c r="J836">
        <v>6.3477556239079594E-2</v>
      </c>
      <c r="K836">
        <v>5.61430677953665E-2</v>
      </c>
      <c r="L836">
        <v>1259.4424377806399</v>
      </c>
      <c r="M836">
        <v>26.8698404186229</v>
      </c>
      <c r="N836">
        <v>47.163456902123201</v>
      </c>
      <c r="O836">
        <v>46.614663002854698</v>
      </c>
      <c r="P836">
        <v>-0.133082918644048</v>
      </c>
      <c r="Q836">
        <v>7.6503221114520098E-2</v>
      </c>
      <c r="R836">
        <v>0.99599222260437603</v>
      </c>
      <c r="S836" t="s">
        <v>7839</v>
      </c>
      <c r="T836" t="s">
        <v>14004</v>
      </c>
      <c r="U836" t="s">
        <v>14004</v>
      </c>
      <c r="V836" t="s">
        <v>14004</v>
      </c>
      <c r="W836" t="s">
        <v>14829</v>
      </c>
      <c r="X836">
        <v>25</v>
      </c>
      <c r="Y836" t="s">
        <v>21767</v>
      </c>
      <c r="Z836" t="s">
        <v>28546</v>
      </c>
      <c r="AA836">
        <v>0.29509466107266868</v>
      </c>
      <c r="AB836" t="str">
        <f>HYPERLINK("Melting_Curves/meltCurve_F8WA11_CLASP1.pdf", "Melting_Curves/meltCurve_F8WA11_CLASP1.pdf")</f>
        <v>Melting_Curves/meltCurve_F8WA11_CLASP1.pdf</v>
      </c>
    </row>
    <row r="837" spans="1:28" x14ac:dyDescent="0.25">
      <c r="A837" t="s">
        <v>841</v>
      </c>
      <c r="B837">
        <v>0.99999676499088797</v>
      </c>
      <c r="C837">
        <v>0.97428002385637402</v>
      </c>
      <c r="D837">
        <v>0.82860435686921297</v>
      </c>
      <c r="E837">
        <v>0.42674537759461001</v>
      </c>
      <c r="F837">
        <v>0.238777268914071</v>
      </c>
      <c r="G837">
        <v>0.210409657474592</v>
      </c>
      <c r="H837">
        <v>0.10822280623899</v>
      </c>
      <c r="I837">
        <v>0.13358896808780299</v>
      </c>
      <c r="J837">
        <v>0.166182896577133</v>
      </c>
      <c r="K837">
        <v>0.10644582380695999</v>
      </c>
      <c r="L837">
        <v>1203.8491687854801</v>
      </c>
      <c r="M837">
        <v>24.8601400186093</v>
      </c>
      <c r="N837">
        <v>49.070984127604397</v>
      </c>
      <c r="O837">
        <v>48.114803161948501</v>
      </c>
      <c r="P837">
        <v>-0.11114322301596501</v>
      </c>
      <c r="Q837">
        <v>0.139576816322349</v>
      </c>
      <c r="R837">
        <v>0.99471380361369999</v>
      </c>
      <c r="S837" t="s">
        <v>7840</v>
      </c>
      <c r="T837" t="s">
        <v>14004</v>
      </c>
      <c r="U837" t="s">
        <v>14004</v>
      </c>
      <c r="V837" t="s">
        <v>14004</v>
      </c>
      <c r="W837" t="s">
        <v>14830</v>
      </c>
      <c r="X837">
        <v>7</v>
      </c>
      <c r="Y837" t="s">
        <v>21768</v>
      </c>
      <c r="Z837" t="s">
        <v>28547</v>
      </c>
      <c r="AA837">
        <v>0.38890372265080497</v>
      </c>
      <c r="AB837" t="str">
        <f>HYPERLINK("Melting_Curves/meltCurve_F8WA39_MTMR1.pdf", "Melting_Curves/meltCurve_F8WA39_MTMR1.pdf")</f>
        <v>Melting_Curves/meltCurve_F8WA39_MTMR1.pdf</v>
      </c>
    </row>
    <row r="838" spans="1:28" x14ac:dyDescent="0.25">
      <c r="A838" t="s">
        <v>842</v>
      </c>
      <c r="B838">
        <v>0.99999676499088797</v>
      </c>
      <c r="C838">
        <v>1.0390123917632099</v>
      </c>
      <c r="D838">
        <v>1.5485493658388101</v>
      </c>
      <c r="E838">
        <v>1.1866469768754599</v>
      </c>
      <c r="F838">
        <v>1.07597379051746</v>
      </c>
      <c r="G838">
        <v>1.4925241267465199</v>
      </c>
      <c r="H838">
        <v>1.3697757854500501</v>
      </c>
      <c r="I838">
        <v>0.59105360559671705</v>
      </c>
      <c r="J838">
        <v>0.66288232538884695</v>
      </c>
      <c r="K838">
        <v>0.43027756606944101</v>
      </c>
      <c r="L838">
        <v>15000</v>
      </c>
      <c r="M838">
        <v>236.58789601769499</v>
      </c>
      <c r="O838">
        <v>63.396853187788402</v>
      </c>
      <c r="P838">
        <v>-0.423089632790837</v>
      </c>
      <c r="Q838">
        <v>0.54651016558052801</v>
      </c>
      <c r="R838">
        <v>0.42883439474629698</v>
      </c>
      <c r="S838" t="s">
        <v>7841</v>
      </c>
      <c r="T838" t="s">
        <v>14004</v>
      </c>
      <c r="U838" t="s">
        <v>14004</v>
      </c>
      <c r="V838" t="s">
        <v>14004</v>
      </c>
      <c r="W838" t="s">
        <v>14831</v>
      </c>
      <c r="X838">
        <v>3</v>
      </c>
      <c r="Y838" t="s">
        <v>21769</v>
      </c>
      <c r="Z838" t="s">
        <v>28548</v>
      </c>
      <c r="AA838">
        <v>0.90030949828718476</v>
      </c>
      <c r="AB838" t="str">
        <f>HYPERLINK("Melting_Curves/meltCurve_F8WAB8_SLC25A26.pdf", "Melting_Curves/meltCurve_F8WAB8_SLC25A26.pdf")</f>
        <v>Melting_Curves/meltCurve_F8WAB8_SLC25A26.pdf</v>
      </c>
    </row>
    <row r="839" spans="1:28" x14ac:dyDescent="0.25">
      <c r="A839" t="s">
        <v>843</v>
      </c>
      <c r="B839">
        <v>0.99999676499088797</v>
      </c>
      <c r="C839">
        <v>0.91570686002588697</v>
      </c>
      <c r="D839">
        <v>0.93319907480781095</v>
      </c>
      <c r="E839">
        <v>0.86877150777006695</v>
      </c>
      <c r="F839">
        <v>0.51539196904005802</v>
      </c>
      <c r="G839">
        <v>0.52348035142177296</v>
      </c>
      <c r="H839">
        <v>0.25508602758628601</v>
      </c>
      <c r="I839">
        <v>0.222700375769775</v>
      </c>
      <c r="J839">
        <v>0.18362819748437501</v>
      </c>
      <c r="K839">
        <v>0.177237918871925</v>
      </c>
      <c r="L839">
        <v>718.97114359934994</v>
      </c>
      <c r="M839">
        <v>13.2618152046066</v>
      </c>
      <c r="N839">
        <v>55.409975599544197</v>
      </c>
      <c r="O839">
        <v>53.025423439133803</v>
      </c>
      <c r="P839">
        <v>-5.4750624556969198E-2</v>
      </c>
      <c r="Q839">
        <v>0.124493814575957</v>
      </c>
      <c r="R839">
        <v>0.97350217765122604</v>
      </c>
      <c r="S839" t="s">
        <v>7842</v>
      </c>
      <c r="T839" t="s">
        <v>14004</v>
      </c>
      <c r="U839" t="s">
        <v>14004</v>
      </c>
      <c r="V839" t="s">
        <v>14004</v>
      </c>
      <c r="W839" t="s">
        <v>14832</v>
      </c>
      <c r="X839">
        <v>1</v>
      </c>
      <c r="Y839" t="s">
        <v>21770</v>
      </c>
      <c r="Z839" t="s">
        <v>28549</v>
      </c>
      <c r="AA839">
        <v>0.55966073648204795</v>
      </c>
      <c r="AB839" t="str">
        <f>HYPERLINK("Melting_Curves/meltCurve_F8WAD8_ADAM22.pdf", "Melting_Curves/meltCurve_F8WAD8_ADAM22.pdf")</f>
        <v>Melting_Curves/meltCurve_F8WAD8_ADAM22.pdf</v>
      </c>
    </row>
    <row r="840" spans="1:28" x14ac:dyDescent="0.25">
      <c r="A840" t="s">
        <v>844</v>
      </c>
      <c r="B840">
        <v>0.99999676499088797</v>
      </c>
      <c r="C840">
        <v>0.97242870070160803</v>
      </c>
      <c r="D840">
        <v>0.70515363316858404</v>
      </c>
      <c r="E840">
        <v>0.31892940072935699</v>
      </c>
      <c r="F840">
        <v>0.15790124647547699</v>
      </c>
      <c r="G840">
        <v>9.38897423721827E-2</v>
      </c>
      <c r="H840">
        <v>5.9570180834721299E-2</v>
      </c>
      <c r="I840">
        <v>4.5626994698259198E-2</v>
      </c>
      <c r="J840">
        <v>4.5362219210250201E-2</v>
      </c>
      <c r="K840">
        <v>3.5140759093472598E-2</v>
      </c>
      <c r="L840">
        <v>1108.1323542155501</v>
      </c>
      <c r="M840">
        <v>23.226756766509599</v>
      </c>
      <c r="N840">
        <v>47.937621277970997</v>
      </c>
      <c r="O840">
        <v>47.359869145500497</v>
      </c>
      <c r="P840">
        <v>-0.116189810950031</v>
      </c>
      <c r="Q840">
        <v>5.2362685328016897E-2</v>
      </c>
      <c r="R840">
        <v>0.99761096249948</v>
      </c>
      <c r="S840" t="s">
        <v>7843</v>
      </c>
      <c r="T840" t="s">
        <v>14004</v>
      </c>
      <c r="U840" t="s">
        <v>14004</v>
      </c>
      <c r="V840" t="s">
        <v>14004</v>
      </c>
      <c r="W840" t="s">
        <v>14833</v>
      </c>
      <c r="X840">
        <v>1</v>
      </c>
      <c r="Y840" t="s">
        <v>21771</v>
      </c>
      <c r="Z840" t="s">
        <v>28550</v>
      </c>
      <c r="AA840">
        <v>0.30570702602815741</v>
      </c>
      <c r="AB840" t="str">
        <f>HYPERLINK("Melting_Curves/meltCurve_F8WAF5_NABP1.pdf", "Melting_Curves/meltCurve_F8WAF5_NABP1.pdf")</f>
        <v>Melting_Curves/meltCurve_F8WAF5_NABP1.pdf</v>
      </c>
    </row>
    <row r="841" spans="1:28" x14ac:dyDescent="0.25">
      <c r="A841" t="s">
        <v>845</v>
      </c>
      <c r="B841">
        <v>0.99999676499088797</v>
      </c>
      <c r="C841">
        <v>0.91372666531635605</v>
      </c>
      <c r="D841">
        <v>0.91907615675634702</v>
      </c>
      <c r="E841">
        <v>0.85984924175364197</v>
      </c>
      <c r="F841">
        <v>0.64035337552263405</v>
      </c>
      <c r="G841">
        <v>0.232319403267397</v>
      </c>
      <c r="H841">
        <v>7.9109541280604906E-2</v>
      </c>
      <c r="I841">
        <v>7.7912295834340103E-2</v>
      </c>
      <c r="J841">
        <v>7.3621480303293504E-2</v>
      </c>
      <c r="K841">
        <v>5.2247812813457702E-2</v>
      </c>
      <c r="L841">
        <v>1283.97621639367</v>
      </c>
      <c r="M841">
        <v>23.8259515658191</v>
      </c>
      <c r="N841">
        <v>54.104777879850097</v>
      </c>
      <c r="O841">
        <v>53.514505685625501</v>
      </c>
      <c r="P841">
        <v>-0.106281694428021</v>
      </c>
      <c r="Q841">
        <v>4.51556514324679E-2</v>
      </c>
      <c r="R841">
        <v>0.98939764041116396</v>
      </c>
      <c r="S841" t="s">
        <v>7844</v>
      </c>
      <c r="T841" t="s">
        <v>14004</v>
      </c>
      <c r="U841" t="s">
        <v>14004</v>
      </c>
      <c r="V841" t="s">
        <v>14004</v>
      </c>
      <c r="W841" t="s">
        <v>14834</v>
      </c>
      <c r="X841">
        <v>33</v>
      </c>
      <c r="Y841" t="s">
        <v>21772</v>
      </c>
      <c r="Z841" t="s">
        <v>28551</v>
      </c>
      <c r="AA841">
        <v>0.49687903966092589</v>
      </c>
      <c r="AB841" t="str">
        <f>HYPERLINK("Melting_Curves/meltCurve_F8WAK8_STAG2.pdf", "Melting_Curves/meltCurve_F8WAK8_STAG2.pdf")</f>
        <v>Melting_Curves/meltCurve_F8WAK8_STAG2.pdf</v>
      </c>
    </row>
    <row r="842" spans="1:28" x14ac:dyDescent="0.25">
      <c r="A842" t="s">
        <v>846</v>
      </c>
      <c r="B842">
        <v>0.99999676499088797</v>
      </c>
      <c r="C842">
        <v>1.0275262167025501</v>
      </c>
      <c r="D842">
        <v>0.99904427046813504</v>
      </c>
      <c r="E842">
        <v>0.78566340985316796</v>
      </c>
      <c r="F842">
        <v>0.33850561055441197</v>
      </c>
      <c r="G842">
        <v>0.25014162550498897</v>
      </c>
      <c r="H842">
        <v>0.12526858381085501</v>
      </c>
      <c r="I842">
        <v>9.3171209164359003E-2</v>
      </c>
      <c r="J842">
        <v>0.134142470543544</v>
      </c>
      <c r="K842">
        <v>0.14882744987090299</v>
      </c>
      <c r="L842">
        <v>1545.7081908646001</v>
      </c>
      <c r="M842">
        <v>30.079750146355099</v>
      </c>
      <c r="N842">
        <v>51.929130872690202</v>
      </c>
      <c r="O842">
        <v>51.161484875138498</v>
      </c>
      <c r="P842">
        <v>-0.127178773574465</v>
      </c>
      <c r="Q842">
        <v>0.13475172808979999</v>
      </c>
      <c r="R842">
        <v>0.99387364122052302</v>
      </c>
      <c r="S842" t="s">
        <v>7845</v>
      </c>
      <c r="T842" t="s">
        <v>14004</v>
      </c>
      <c r="U842" t="s">
        <v>14004</v>
      </c>
      <c r="V842" t="s">
        <v>14004</v>
      </c>
      <c r="W842" t="s">
        <v>14835</v>
      </c>
      <c r="X842">
        <v>4</v>
      </c>
      <c r="Y842" t="s">
        <v>21773</v>
      </c>
      <c r="Z842" t="s">
        <v>28552</v>
      </c>
      <c r="AA842">
        <v>0.46861692247392228</v>
      </c>
      <c r="AB842" t="str">
        <f>HYPERLINK("Melting_Curves/meltCurve_F8WBK5_MRPL40.pdf", "Melting_Curves/meltCurve_F8WBK5_MRPL40.pdf")</f>
        <v>Melting_Curves/meltCurve_F8WBK5_MRPL40.pdf</v>
      </c>
    </row>
    <row r="843" spans="1:28" x14ac:dyDescent="0.25">
      <c r="A843" t="s">
        <v>847</v>
      </c>
      <c r="B843">
        <v>0.99999676499088797</v>
      </c>
      <c r="C843">
        <v>0.96362606678224105</v>
      </c>
      <c r="D843">
        <v>1.0733871802778201</v>
      </c>
      <c r="E843">
        <v>1.3560736809171801</v>
      </c>
      <c r="F843">
        <v>1.32940278576154</v>
      </c>
      <c r="G843">
        <v>0.90073766510712705</v>
      </c>
      <c r="H843">
        <v>0.59248726488092796</v>
      </c>
      <c r="I843">
        <v>0.50678199977642602</v>
      </c>
      <c r="J843">
        <v>0.48962698581024899</v>
      </c>
      <c r="K843">
        <v>0.55959784535865498</v>
      </c>
      <c r="L843">
        <v>3226.0898860055099</v>
      </c>
      <c r="M843">
        <v>55.153555801238099</v>
      </c>
      <c r="O843">
        <v>58.416141791953898</v>
      </c>
      <c r="P843">
        <v>-0.11285726410892501</v>
      </c>
      <c r="Q843">
        <v>0.52186725980249105</v>
      </c>
      <c r="R843">
        <v>0.74399489790360795</v>
      </c>
      <c r="S843" t="s">
        <v>7846</v>
      </c>
      <c r="T843" t="s">
        <v>14004</v>
      </c>
      <c r="U843" t="s">
        <v>14004</v>
      </c>
      <c r="V843" t="s">
        <v>14004</v>
      </c>
      <c r="W843" t="s">
        <v>14836</v>
      </c>
      <c r="X843">
        <v>3</v>
      </c>
      <c r="Y843" t="s">
        <v>21774</v>
      </c>
      <c r="Z843" t="s">
        <v>28553</v>
      </c>
      <c r="AA843">
        <v>0.81761211785653376</v>
      </c>
      <c r="AB843" t="str">
        <f>HYPERLINK("Melting_Curves/meltCurve_F8WC47_POLR2F.pdf", "Melting_Curves/meltCurve_F8WC47_POLR2F.pdf")</f>
        <v>Melting_Curves/meltCurve_F8WC47_POLR2F.pdf</v>
      </c>
    </row>
    <row r="844" spans="1:28" x14ac:dyDescent="0.25">
      <c r="A844" t="s">
        <v>848</v>
      </c>
      <c r="B844">
        <v>0.99999676499088797</v>
      </c>
      <c r="C844">
        <v>0.94907788889353895</v>
      </c>
      <c r="D844">
        <v>0.75619452937737996</v>
      </c>
      <c r="E844">
        <v>0.29941784601105598</v>
      </c>
      <c r="F844">
        <v>0.17265442175023099</v>
      </c>
      <c r="G844">
        <v>8.6811420456707603E-2</v>
      </c>
      <c r="H844">
        <v>5.22627425129377E-2</v>
      </c>
      <c r="I844">
        <v>5.2221750904285803E-2</v>
      </c>
      <c r="J844">
        <v>1.3352376635883101E-2</v>
      </c>
      <c r="K844">
        <v>7.0472633219108197E-2</v>
      </c>
      <c r="L844">
        <v>1186.36880235485</v>
      </c>
      <c r="M844">
        <v>24.8092962353345</v>
      </c>
      <c r="N844">
        <v>48.044701204270197</v>
      </c>
      <c r="O844">
        <v>47.512085630903101</v>
      </c>
      <c r="P844">
        <v>-0.12337911597837101</v>
      </c>
      <c r="Q844">
        <v>5.4883700566433498E-2</v>
      </c>
      <c r="R844">
        <v>0.99602779097607397</v>
      </c>
      <c r="S844" t="s">
        <v>7847</v>
      </c>
      <c r="T844" t="s">
        <v>14004</v>
      </c>
      <c r="U844" t="s">
        <v>14004</v>
      </c>
      <c r="V844" t="s">
        <v>14004</v>
      </c>
      <c r="W844" t="s">
        <v>14837</v>
      </c>
      <c r="X844">
        <v>5</v>
      </c>
      <c r="Y844" t="s">
        <v>21775</v>
      </c>
      <c r="Z844" t="s">
        <v>28554</v>
      </c>
      <c r="AA844">
        <v>0.30972580889878948</v>
      </c>
      <c r="AB844" t="str">
        <f>HYPERLINK("Melting_Curves/meltCurve_F8WC89_SAC3D1.pdf", "Melting_Curves/meltCurve_F8WC89_SAC3D1.pdf")</f>
        <v>Melting_Curves/meltCurve_F8WC89_SAC3D1.pdf</v>
      </c>
    </row>
    <row r="845" spans="1:28" x14ac:dyDescent="0.25">
      <c r="A845" t="s">
        <v>849</v>
      </c>
      <c r="B845">
        <v>0.99999676499088797</v>
      </c>
      <c r="C845">
        <v>1.0734402572013799</v>
      </c>
      <c r="D845">
        <v>1.05921192468619</v>
      </c>
      <c r="E845">
        <v>1.01578466282028</v>
      </c>
      <c r="F845">
        <v>0.95273902315037295</v>
      </c>
      <c r="G845">
        <v>0.63936113224489199</v>
      </c>
      <c r="H845">
        <v>0.283563610846089</v>
      </c>
      <c r="I845">
        <v>0.25979357545299397</v>
      </c>
      <c r="J845">
        <v>0.14958524838151599</v>
      </c>
      <c r="K845">
        <v>0.207867125575776</v>
      </c>
      <c r="L845">
        <v>1977.3743560603</v>
      </c>
      <c r="M845">
        <v>34.581139452510797</v>
      </c>
      <c r="N845">
        <v>58.012639535651502</v>
      </c>
      <c r="O845">
        <v>56.990513554892601</v>
      </c>
      <c r="P845">
        <v>-0.12204246294486699</v>
      </c>
      <c r="Q845">
        <v>0.195487826122655</v>
      </c>
      <c r="R845">
        <v>0.990099587158072</v>
      </c>
      <c r="S845" t="s">
        <v>7848</v>
      </c>
      <c r="T845" t="s">
        <v>14004</v>
      </c>
      <c r="U845" t="s">
        <v>14004</v>
      </c>
      <c r="V845" t="s">
        <v>14004</v>
      </c>
      <c r="W845" t="s">
        <v>14838</v>
      </c>
      <c r="X845">
        <v>4</v>
      </c>
      <c r="Y845" t="s">
        <v>21776</v>
      </c>
      <c r="Z845" t="s">
        <v>28555</v>
      </c>
      <c r="AA845">
        <v>0.66036561100633095</v>
      </c>
      <c r="AB845" t="str">
        <f>HYPERLINK("Melting_Curves/meltCurve_F8WCD0_RNF149.pdf", "Melting_Curves/meltCurve_F8WCD0_RNF149.pdf")</f>
        <v>Melting_Curves/meltCurve_F8WCD0_RNF149.pdf</v>
      </c>
    </row>
    <row r="846" spans="1:28" x14ac:dyDescent="0.25">
      <c r="A846" t="s">
        <v>850</v>
      </c>
      <c r="B846">
        <v>0.99999676499088797</v>
      </c>
      <c r="C846">
        <v>1.1778093388081501</v>
      </c>
      <c r="D846">
        <v>1.19906192922586</v>
      </c>
      <c r="E846">
        <v>1.2518354318459</v>
      </c>
      <c r="F846">
        <v>1.1785985699327799</v>
      </c>
      <c r="G846">
        <v>1.06077795927883</v>
      </c>
      <c r="H846">
        <v>0.436965324149858</v>
      </c>
      <c r="I846">
        <v>0.16069822938152201</v>
      </c>
      <c r="J846">
        <v>8.7686163590562402E-2</v>
      </c>
      <c r="K846">
        <v>7.4417037272934403E-2</v>
      </c>
      <c r="L846">
        <v>5062.5055209700904</v>
      </c>
      <c r="M846">
        <v>83.775185761646497</v>
      </c>
      <c r="N846">
        <v>60.598433540706502</v>
      </c>
      <c r="O846">
        <v>60.395247310404002</v>
      </c>
      <c r="P846">
        <v>-0.31069506329935198</v>
      </c>
      <c r="Q846">
        <v>0.104054380316985</v>
      </c>
      <c r="R846">
        <v>0.92480977743579196</v>
      </c>
      <c r="S846" t="s">
        <v>7849</v>
      </c>
      <c r="T846" t="s">
        <v>14004</v>
      </c>
      <c r="U846" t="s">
        <v>14004</v>
      </c>
      <c r="V846" t="s">
        <v>14004</v>
      </c>
      <c r="W846" t="s">
        <v>14839</v>
      </c>
      <c r="X846">
        <v>10</v>
      </c>
      <c r="Y846" t="s">
        <v>21777</v>
      </c>
      <c r="Z846" t="s">
        <v>28556</v>
      </c>
      <c r="AA846">
        <v>0.71503035910370771</v>
      </c>
      <c r="AB846" t="str">
        <f>HYPERLINK("Melting_Curves/meltCurve_F8WCF6_ARPC4.pdf", "Melting_Curves/meltCurve_F8WCF6_ARPC4.pdf")</f>
        <v>Melting_Curves/meltCurve_F8WCF6_ARPC4.pdf</v>
      </c>
    </row>
    <row r="847" spans="1:28" x14ac:dyDescent="0.25">
      <c r="A847" t="s">
        <v>851</v>
      </c>
      <c r="B847">
        <v>0.99999676499088797</v>
      </c>
      <c r="C847">
        <v>1.0097884490808999</v>
      </c>
      <c r="D847">
        <v>1.1885725467216799</v>
      </c>
      <c r="E847">
        <v>1.2114731865769801</v>
      </c>
      <c r="F847">
        <v>1.5412323956093399</v>
      </c>
      <c r="G847">
        <v>1.3859121322171899</v>
      </c>
      <c r="H847">
        <v>1.1290604961911199</v>
      </c>
      <c r="I847">
        <v>0.58587105805168704</v>
      </c>
      <c r="J847">
        <v>0.236736043837076</v>
      </c>
      <c r="K847">
        <v>0.15332045064250099</v>
      </c>
      <c r="L847">
        <v>13627.359444857</v>
      </c>
      <c r="M847">
        <v>212.98522606968899</v>
      </c>
      <c r="N847">
        <v>64.131508539831898</v>
      </c>
      <c r="O847">
        <v>63.977004989819399</v>
      </c>
      <c r="P847">
        <v>-0.66997604974507796</v>
      </c>
      <c r="Q847">
        <v>0.19500398655986501</v>
      </c>
      <c r="R847">
        <v>0.72589380136883397</v>
      </c>
      <c r="S847" t="s">
        <v>7850</v>
      </c>
      <c r="T847" t="s">
        <v>14004</v>
      </c>
      <c r="U847" t="s">
        <v>14004</v>
      </c>
      <c r="V847" t="s">
        <v>14004</v>
      </c>
      <c r="W847" t="s">
        <v>14840</v>
      </c>
      <c r="X847">
        <v>1</v>
      </c>
      <c r="Y847" t="s">
        <v>21778</v>
      </c>
      <c r="Z847" t="s">
        <v>28557</v>
      </c>
      <c r="AA847">
        <v>0.83865982602154787</v>
      </c>
      <c r="AB847" t="str">
        <f>HYPERLINK("Melting_Curves/meltCurve_F8WCP0_NEB.pdf", "Melting_Curves/meltCurve_F8WCP0_NEB.pdf")</f>
        <v>Melting_Curves/meltCurve_F8WCP0_NEB.pdf</v>
      </c>
    </row>
    <row r="848" spans="1:28" x14ac:dyDescent="0.25">
      <c r="A848" t="s">
        <v>852</v>
      </c>
      <c r="B848">
        <v>0.99999676499088797</v>
      </c>
      <c r="C848">
        <v>0.94801048130897603</v>
      </c>
      <c r="D848">
        <v>0.95768156761345602</v>
      </c>
      <c r="E848">
        <v>0.99080047194311505</v>
      </c>
      <c r="F848">
        <v>0.50624526093200395</v>
      </c>
      <c r="G848">
        <v>0.34079343657182398</v>
      </c>
      <c r="H848">
        <v>0.25705425473145899</v>
      </c>
      <c r="I848">
        <v>0.29029756227999098</v>
      </c>
      <c r="J848">
        <v>0.208304291395464</v>
      </c>
      <c r="K848">
        <v>0.25111275469454603</v>
      </c>
      <c r="L848">
        <v>2684.7707376097801</v>
      </c>
      <c r="M848">
        <v>51.118274862076099</v>
      </c>
      <c r="N848">
        <v>53.307745894396</v>
      </c>
      <c r="O848">
        <v>52.440572722759697</v>
      </c>
      <c r="P848">
        <v>-0.17913770849767</v>
      </c>
      <c r="Q848">
        <v>0.26491446170150101</v>
      </c>
      <c r="R848">
        <v>0.98841472503556405</v>
      </c>
      <c r="S848" t="s">
        <v>7851</v>
      </c>
      <c r="T848" t="s">
        <v>14004</v>
      </c>
      <c r="U848" t="s">
        <v>14004</v>
      </c>
      <c r="V848" t="s">
        <v>14004</v>
      </c>
      <c r="W848" t="s">
        <v>14841</v>
      </c>
      <c r="X848">
        <v>2</v>
      </c>
      <c r="Y848" t="s">
        <v>21779</v>
      </c>
      <c r="Z848" t="s">
        <v>28558</v>
      </c>
      <c r="AA848">
        <v>0.57333758352043174</v>
      </c>
      <c r="AB848" t="str">
        <f>HYPERLINK("Melting_Curves/meltCurve_F8WD04_ATL1.pdf", "Melting_Curves/meltCurve_F8WD04_ATL1.pdf")</f>
        <v>Melting_Curves/meltCurve_F8WD04_ATL1.pdf</v>
      </c>
    </row>
    <row r="849" spans="1:28" x14ac:dyDescent="0.25">
      <c r="A849" t="s">
        <v>853</v>
      </c>
      <c r="B849">
        <v>0.99999676499088797</v>
      </c>
      <c r="C849">
        <v>0.95987664557585195</v>
      </c>
      <c r="D849">
        <v>0.73978961278393396</v>
      </c>
      <c r="E849">
        <v>0.72773526916741405</v>
      </c>
      <c r="F849">
        <v>0.31171460596098099</v>
      </c>
      <c r="G849">
        <v>0.13504830780237001</v>
      </c>
      <c r="H849">
        <v>3.3645965382360303E-2</v>
      </c>
      <c r="I849">
        <v>0.123081034684243</v>
      </c>
      <c r="J849">
        <v>0.17189122990755001</v>
      </c>
      <c r="K849">
        <v>0.224668561195106</v>
      </c>
      <c r="L849">
        <v>999.61034377896499</v>
      </c>
      <c r="M849">
        <v>19.910040399631701</v>
      </c>
      <c r="N849">
        <v>50.886277580341101</v>
      </c>
      <c r="O849">
        <v>49.708093500975302</v>
      </c>
      <c r="P849">
        <v>-8.8442726261837107E-2</v>
      </c>
      <c r="Q849">
        <v>0.11679265177968599</v>
      </c>
      <c r="R849">
        <v>0.95027756275183595</v>
      </c>
      <c r="S849" t="s">
        <v>7852</v>
      </c>
      <c r="T849" t="s">
        <v>14004</v>
      </c>
      <c r="U849" t="s">
        <v>14004</v>
      </c>
      <c r="V849" t="s">
        <v>14004</v>
      </c>
      <c r="W849" t="s">
        <v>14842</v>
      </c>
      <c r="X849">
        <v>1</v>
      </c>
      <c r="Y849" t="s">
        <v>21780</v>
      </c>
      <c r="Z849" t="s">
        <v>28559</v>
      </c>
      <c r="AA849">
        <v>0.42966391368451501</v>
      </c>
      <c r="AB849" t="str">
        <f>HYPERLINK("Melting_Curves/meltCurve_F8WD19_DONSON.pdf", "Melting_Curves/meltCurve_F8WD19_DONSON.pdf")</f>
        <v>Melting_Curves/meltCurve_F8WD19_DONSON.pdf</v>
      </c>
    </row>
    <row r="850" spans="1:28" x14ac:dyDescent="0.25">
      <c r="A850" t="s">
        <v>854</v>
      </c>
      <c r="B850">
        <v>0.99999676499088797</v>
      </c>
      <c r="C850">
        <v>0.69427058480521597</v>
      </c>
      <c r="D850">
        <v>0.67548039631039702</v>
      </c>
      <c r="E850">
        <v>0.52974825297706896</v>
      </c>
      <c r="F850">
        <v>0.43533742852785101</v>
      </c>
      <c r="G850">
        <v>0.218464657745639</v>
      </c>
      <c r="H850">
        <v>0.10576491164839</v>
      </c>
      <c r="I850">
        <v>4.7002240121125499E-2</v>
      </c>
      <c r="J850">
        <v>2.89031384685981E-2</v>
      </c>
      <c r="K850">
        <v>5.1640096750145699E-2</v>
      </c>
      <c r="L850">
        <v>486.07979802228903</v>
      </c>
      <c r="M850">
        <v>9.78992284270368</v>
      </c>
      <c r="N850">
        <v>49.651039927338097</v>
      </c>
      <c r="O850">
        <v>47.712341257964397</v>
      </c>
      <c r="P850">
        <v>-5.1323654019246601E-2</v>
      </c>
      <c r="Q850">
        <v>0</v>
      </c>
      <c r="R850">
        <v>0.96172375398368504</v>
      </c>
      <c r="S850" t="s">
        <v>7853</v>
      </c>
      <c r="T850" t="s">
        <v>14004</v>
      </c>
      <c r="U850" t="s">
        <v>14004</v>
      </c>
      <c r="V850" t="s">
        <v>14004</v>
      </c>
      <c r="W850" t="s">
        <v>14843</v>
      </c>
      <c r="X850">
        <v>5</v>
      </c>
      <c r="Y850" t="s">
        <v>21781</v>
      </c>
      <c r="Z850" t="s">
        <v>28560</v>
      </c>
      <c r="AA850">
        <v>0.36958522971498159</v>
      </c>
      <c r="AB850" t="str">
        <f>HYPERLINK("Melting_Curves/meltCurve_F8WE74_SLC25A17.pdf", "Melting_Curves/meltCurve_F8WE74_SLC25A17.pdf")</f>
        <v>Melting_Curves/meltCurve_F8WE74_SLC25A17.pdf</v>
      </c>
    </row>
    <row r="851" spans="1:28" x14ac:dyDescent="0.25">
      <c r="A851" t="s">
        <v>855</v>
      </c>
      <c r="B851">
        <v>0.99999676499088797</v>
      </c>
      <c r="C851">
        <v>1.0576140248118799</v>
      </c>
      <c r="D851">
        <v>1.14608397556508</v>
      </c>
      <c r="E851">
        <v>1.99141680299546</v>
      </c>
      <c r="F851">
        <v>1.71822677014312</v>
      </c>
      <c r="G851">
        <v>1.6111633249008099</v>
      </c>
      <c r="H851">
        <v>1.512293314745</v>
      </c>
      <c r="I851">
        <v>1.1364009892076099</v>
      </c>
      <c r="J851">
        <v>0.64261379546259101</v>
      </c>
      <c r="K851">
        <v>0.42627045570243199</v>
      </c>
      <c r="L851">
        <v>15000</v>
      </c>
      <c r="M851">
        <v>224.048567278436</v>
      </c>
      <c r="N851">
        <v>67.526531537305104</v>
      </c>
      <c r="O851">
        <v>66.944435023238597</v>
      </c>
      <c r="P851">
        <v>-0.48007102759203601</v>
      </c>
      <c r="Q851">
        <v>0.42623004791274699</v>
      </c>
      <c r="R851">
        <v>-2.1483597047269799E-2</v>
      </c>
      <c r="S851" t="s">
        <v>7854</v>
      </c>
      <c r="T851" t="s">
        <v>14004</v>
      </c>
      <c r="U851" t="s">
        <v>14004</v>
      </c>
      <c r="V851" t="s">
        <v>14004</v>
      </c>
      <c r="W851" t="s">
        <v>14844</v>
      </c>
      <c r="X851">
        <v>4</v>
      </c>
      <c r="Y851" t="s">
        <v>21782</v>
      </c>
      <c r="Z851" t="s">
        <v>28561</v>
      </c>
      <c r="AA851">
        <v>0.94174589759025962</v>
      </c>
      <c r="AB851" t="str">
        <f>HYPERLINK("Melting_Curves/meltCurve_F8WE88_MYO5A.pdf", "Melting_Curves/meltCurve_F8WE88_MYO5A.pdf")</f>
        <v>Melting_Curves/meltCurve_F8WE88_MYO5A.pdf</v>
      </c>
    </row>
    <row r="852" spans="1:28" x14ac:dyDescent="0.25">
      <c r="A852" t="s">
        <v>856</v>
      </c>
      <c r="B852">
        <v>0.99999676499088797</v>
      </c>
      <c r="C852">
        <v>0.77265126140522999</v>
      </c>
      <c r="D852">
        <v>0.55920271355289597</v>
      </c>
      <c r="E852">
        <v>0.27673006920756998</v>
      </c>
      <c r="F852">
        <v>0.199867513730101</v>
      </c>
      <c r="G852">
        <v>0.157387499498715</v>
      </c>
      <c r="H852">
        <v>9.9273475796880006E-2</v>
      </c>
      <c r="I852">
        <v>9.9081951037987406E-2</v>
      </c>
      <c r="J852">
        <v>9.2361615775654604E-2</v>
      </c>
      <c r="K852">
        <v>6.10501942937633E-2</v>
      </c>
      <c r="L852">
        <v>797.78951388180496</v>
      </c>
      <c r="M852">
        <v>17.313807514243901</v>
      </c>
      <c r="N852">
        <v>46.622418481342798</v>
      </c>
      <c r="O852">
        <v>45.476706185585897</v>
      </c>
      <c r="P852">
        <v>-8.6476476879831995E-2</v>
      </c>
      <c r="Q852">
        <v>9.1490614954651606E-2</v>
      </c>
      <c r="R852">
        <v>0.99185456651824</v>
      </c>
      <c r="S852" t="s">
        <v>7855</v>
      </c>
      <c r="T852" t="s">
        <v>14004</v>
      </c>
      <c r="U852" t="s">
        <v>14004</v>
      </c>
      <c r="V852" t="s">
        <v>14004</v>
      </c>
      <c r="W852" t="s">
        <v>14845</v>
      </c>
      <c r="X852">
        <v>2</v>
      </c>
      <c r="Y852" t="s">
        <v>21783</v>
      </c>
      <c r="Z852" t="s">
        <v>28562</v>
      </c>
      <c r="AA852">
        <v>0.29489587889916569</v>
      </c>
      <c r="AB852" t="str">
        <f>HYPERLINK("Melting_Curves/meltCurve_F8WEC0_MMADHC.pdf", "Melting_Curves/meltCurve_F8WEC0_MMADHC.pdf")</f>
        <v>Melting_Curves/meltCurve_F8WEC0_MMADHC.pdf</v>
      </c>
    </row>
    <row r="853" spans="1:28" x14ac:dyDescent="0.25">
      <c r="A853" t="s">
        <v>857</v>
      </c>
      <c r="B853">
        <v>0.99999676499088797</v>
      </c>
      <c r="C853">
        <v>0.97921893960742601</v>
      </c>
      <c r="D853">
        <v>1.0667555259677499</v>
      </c>
      <c r="E853">
        <v>0.94805119899081203</v>
      </c>
      <c r="F853">
        <v>0.21490868997652501</v>
      </c>
      <c r="G853">
        <v>0.13664049320924501</v>
      </c>
      <c r="H853">
        <v>3.1297524492164698E-2</v>
      </c>
      <c r="I853">
        <v>4.6888230076524297E-2</v>
      </c>
      <c r="J853">
        <v>2.6889659417984099E-2</v>
      </c>
      <c r="K853">
        <v>4.1245943273375101E-2</v>
      </c>
      <c r="L853">
        <v>3159.9896500207801</v>
      </c>
      <c r="M853">
        <v>60.954731261353203</v>
      </c>
      <c r="N853">
        <v>51.940626797833801</v>
      </c>
      <c r="O853">
        <v>51.7858697837164</v>
      </c>
      <c r="P853">
        <v>-0.278114723328096</v>
      </c>
      <c r="Q853">
        <v>5.48784668095516E-2</v>
      </c>
      <c r="R853">
        <v>0.99388081185333599</v>
      </c>
      <c r="S853" t="s">
        <v>7856</v>
      </c>
      <c r="T853" t="s">
        <v>14004</v>
      </c>
      <c r="U853" t="s">
        <v>14004</v>
      </c>
      <c r="V853" t="s">
        <v>14004</v>
      </c>
      <c r="W853" t="s">
        <v>14846</v>
      </c>
      <c r="X853">
        <v>1</v>
      </c>
      <c r="Y853" t="s">
        <v>21784</v>
      </c>
      <c r="Z853" t="s">
        <v>28563</v>
      </c>
      <c r="AA853">
        <v>0.42938779637743069</v>
      </c>
      <c r="AB853" t="str">
        <f>HYPERLINK("Melting_Curves/meltCurve_F8WF93_ALG3.pdf", "Melting_Curves/meltCurve_F8WF93_ALG3.pdf")</f>
        <v>Melting_Curves/meltCurve_F8WF93_ALG3.pdf</v>
      </c>
    </row>
    <row r="854" spans="1:28" x14ac:dyDescent="0.25">
      <c r="A854" t="s">
        <v>858</v>
      </c>
      <c r="B854">
        <v>0.99999676499088797</v>
      </c>
      <c r="C854">
        <v>0.98075630088744103</v>
      </c>
      <c r="D854">
        <v>0.96139950840232702</v>
      </c>
      <c r="E854">
        <v>0.97484406908543397</v>
      </c>
      <c r="F854">
        <v>0.69805603898795898</v>
      </c>
      <c r="G854">
        <v>0.36471477051451601</v>
      </c>
      <c r="H854">
        <v>0.14742850593755699</v>
      </c>
      <c r="I854">
        <v>0.13023397115382401</v>
      </c>
      <c r="J854">
        <v>0.12624200162634799</v>
      </c>
      <c r="K854">
        <v>0.105884988728789</v>
      </c>
      <c r="L854">
        <v>1464.1171487346201</v>
      </c>
      <c r="M854">
        <v>26.771337232206498</v>
      </c>
      <c r="N854">
        <v>55.195572477083303</v>
      </c>
      <c r="O854">
        <v>54.3873245257547</v>
      </c>
      <c r="P854">
        <v>-0.109673046501806</v>
      </c>
      <c r="Q854">
        <v>0.108784053709694</v>
      </c>
      <c r="R854">
        <v>0.99785924717260699</v>
      </c>
      <c r="S854" t="s">
        <v>7857</v>
      </c>
      <c r="T854" t="s">
        <v>14004</v>
      </c>
      <c r="U854" t="s">
        <v>14004</v>
      </c>
      <c r="V854" t="s">
        <v>14004</v>
      </c>
      <c r="W854" t="s">
        <v>14847</v>
      </c>
      <c r="X854">
        <v>19</v>
      </c>
      <c r="Y854" t="s">
        <v>21785</v>
      </c>
      <c r="Z854" t="s">
        <v>28564</v>
      </c>
      <c r="AA854">
        <v>0.55246819291021176</v>
      </c>
      <c r="AB854" t="str">
        <f>HYPERLINK("Melting_Curves/meltCurve_F8WJN3_CPSF6.pdf", "Melting_Curves/meltCurve_F8WJN3_CPSF6.pdf")</f>
        <v>Melting_Curves/meltCurve_F8WJN3_CPSF6.pdf</v>
      </c>
    </row>
    <row r="855" spans="1:28" x14ac:dyDescent="0.25">
      <c r="A855" t="s">
        <v>859</v>
      </c>
      <c r="B855">
        <v>0.99999676499088797</v>
      </c>
      <c r="C855">
        <v>0.93593110488601605</v>
      </c>
      <c r="D855">
        <v>0.77426780963331798</v>
      </c>
      <c r="E855">
        <v>0.63286609161059404</v>
      </c>
      <c r="F855">
        <v>0.23613503105931899</v>
      </c>
      <c r="G855">
        <v>0.12728047885257601</v>
      </c>
      <c r="H855">
        <v>4.79689278525759E-2</v>
      </c>
      <c r="I855">
        <v>5.02104874993805E-2</v>
      </c>
      <c r="J855">
        <v>4.0159654844293999E-2</v>
      </c>
      <c r="K855">
        <v>3.1374495665444903E-2</v>
      </c>
      <c r="L855">
        <v>869.630419950023</v>
      </c>
      <c r="M855">
        <v>17.333458114746499</v>
      </c>
      <c r="N855">
        <v>50.270279948599601</v>
      </c>
      <c r="O855">
        <v>49.517133581042103</v>
      </c>
      <c r="P855">
        <v>-8.6039287406956794E-2</v>
      </c>
      <c r="Q855">
        <v>1.6889756441005901E-2</v>
      </c>
      <c r="R855">
        <v>0.991702954667668</v>
      </c>
      <c r="S855" t="s">
        <v>7858</v>
      </c>
      <c r="T855" t="s">
        <v>14004</v>
      </c>
      <c r="U855" t="s">
        <v>14004</v>
      </c>
      <c r="V855" t="s">
        <v>14004</v>
      </c>
      <c r="W855" t="s">
        <v>14848</v>
      </c>
      <c r="X855">
        <v>2</v>
      </c>
      <c r="Y855" t="s">
        <v>21786</v>
      </c>
      <c r="Z855" t="s">
        <v>28565</v>
      </c>
      <c r="AA855">
        <v>0.3681373459355467</v>
      </c>
      <c r="AB855" t="str">
        <f>HYPERLINK("Melting_Curves/meltCurve_G1K394_TRAPPC2.pdf", "Melting_Curves/meltCurve_G1K394_TRAPPC2.pdf")</f>
        <v>Melting_Curves/meltCurve_G1K394_TRAPPC2.pdf</v>
      </c>
    </row>
    <row r="856" spans="1:28" x14ac:dyDescent="0.25">
      <c r="A856" t="s">
        <v>860</v>
      </c>
      <c r="B856">
        <v>0.99999676499088797</v>
      </c>
      <c r="C856">
        <v>0.85124539938866595</v>
      </c>
      <c r="D856">
        <v>0.69901699039287601</v>
      </c>
      <c r="E856">
        <v>0.40129478088771497</v>
      </c>
      <c r="F856">
        <v>0.134633323366362</v>
      </c>
      <c r="G856">
        <v>0.168168841872709</v>
      </c>
      <c r="H856">
        <v>5.2024556910453497E-2</v>
      </c>
      <c r="I856">
        <v>4.1828182127679601E-2</v>
      </c>
      <c r="J856">
        <v>5.3110420714587402E-2</v>
      </c>
      <c r="K856">
        <v>5.9293295955994099E-2</v>
      </c>
      <c r="L856">
        <v>828.74972559876903</v>
      </c>
      <c r="M856">
        <v>17.306930793287901</v>
      </c>
      <c r="N856">
        <v>48.154834163152302</v>
      </c>
      <c r="O856">
        <v>47.259824909734398</v>
      </c>
      <c r="P856">
        <v>-8.7332448114014902E-2</v>
      </c>
      <c r="Q856">
        <v>4.6144280179976599E-2</v>
      </c>
      <c r="R856">
        <v>0.99159319998344098</v>
      </c>
      <c r="S856" t="s">
        <v>7859</v>
      </c>
      <c r="T856" t="s">
        <v>14004</v>
      </c>
      <c r="U856" t="s">
        <v>14004</v>
      </c>
      <c r="V856" t="s">
        <v>14004</v>
      </c>
      <c r="W856" t="s">
        <v>14849</v>
      </c>
      <c r="X856">
        <v>2</v>
      </c>
      <c r="Y856" t="s">
        <v>21787</v>
      </c>
      <c r="Z856" t="s">
        <v>28566</v>
      </c>
      <c r="AA856">
        <v>0.31530018817871408</v>
      </c>
      <c r="AB856" t="str">
        <f>HYPERLINK("Melting_Curves/meltCurve_G3V0H6_NARG2.pdf", "Melting_Curves/meltCurve_G3V0H6_NARG2.pdf")</f>
        <v>Melting_Curves/meltCurve_G3V0H6_NARG2.pdf</v>
      </c>
    </row>
    <row r="857" spans="1:28" x14ac:dyDescent="0.25">
      <c r="A857" t="s">
        <v>861</v>
      </c>
      <c r="B857">
        <v>0.99999676499088797</v>
      </c>
      <c r="C857">
        <v>0.99890592512595</v>
      </c>
      <c r="D857">
        <v>1.0767230598203299</v>
      </c>
      <c r="E857">
        <v>1.3205396311159301</v>
      </c>
      <c r="F857">
        <v>0.40490385595103301</v>
      </c>
      <c r="G857">
        <v>0.19195087178099199</v>
      </c>
      <c r="H857">
        <v>7.1690172060062493E-2</v>
      </c>
      <c r="I857">
        <v>6.4817133501626795E-2</v>
      </c>
      <c r="J857">
        <v>5.2338745557954702E-2</v>
      </c>
      <c r="K857">
        <v>5.2211577322864897E-2</v>
      </c>
      <c r="S857" t="s">
        <v>7860</v>
      </c>
      <c r="T857" t="s">
        <v>14004</v>
      </c>
      <c r="U857" t="s">
        <v>14005</v>
      </c>
      <c r="V857" t="s">
        <v>14004</v>
      </c>
      <c r="W857" t="s">
        <v>14850</v>
      </c>
      <c r="X857">
        <v>21</v>
      </c>
      <c r="Y857" t="s">
        <v>21788</v>
      </c>
      <c r="Z857" t="s">
        <v>28567</v>
      </c>
      <c r="AB857" t="str">
        <f>HYPERLINK("Melting_Curves/meltCurve_G3V0I5_NDUFV1.pdf", "Melting_Curves/meltCurve_G3V0I5_NDUFV1.pdf")</f>
        <v>Melting_Curves/meltCurve_G3V0I5_NDUFV1.pdf</v>
      </c>
    </row>
    <row r="858" spans="1:28" x14ac:dyDescent="0.25">
      <c r="A858" t="s">
        <v>862</v>
      </c>
      <c r="B858">
        <v>0.99999676499088797</v>
      </c>
      <c r="C858">
        <v>1.1332307181696499</v>
      </c>
      <c r="D858">
        <v>0.96497891635545596</v>
      </c>
      <c r="E858">
        <v>0.65869958538301798</v>
      </c>
      <c r="F858">
        <v>0.30226202801774699</v>
      </c>
      <c r="G858">
        <v>0.23672091335509901</v>
      </c>
      <c r="H858">
        <v>0.138547143615533</v>
      </c>
      <c r="I858">
        <v>0.13838497558871901</v>
      </c>
      <c r="J858">
        <v>0.12992293058423701</v>
      </c>
      <c r="K858">
        <v>8.5407974114307006E-2</v>
      </c>
      <c r="L858">
        <v>1372.1434190555699</v>
      </c>
      <c r="M858">
        <v>27.1493966303265</v>
      </c>
      <c r="N858">
        <v>51.1191244068971</v>
      </c>
      <c r="O858">
        <v>50.268661768821303</v>
      </c>
      <c r="P858">
        <v>-0.11716027243075</v>
      </c>
      <c r="Q858">
        <v>0.13229263258878601</v>
      </c>
      <c r="R858">
        <v>0.98300814663653602</v>
      </c>
      <c r="S858" t="s">
        <v>7861</v>
      </c>
      <c r="T858" t="s">
        <v>14004</v>
      </c>
      <c r="U858" t="s">
        <v>14004</v>
      </c>
      <c r="V858" t="s">
        <v>14004</v>
      </c>
      <c r="W858" t="s">
        <v>14851</v>
      </c>
      <c r="X858">
        <v>5</v>
      </c>
      <c r="Y858" t="s">
        <v>21789</v>
      </c>
      <c r="Z858" t="s">
        <v>28568</v>
      </c>
      <c r="AA858">
        <v>0.44377720693396389</v>
      </c>
      <c r="AB858" t="str">
        <f>HYPERLINK("Melting_Curves/meltCurve_G3V0I6_OTUD4.pdf", "Melting_Curves/meltCurve_G3V0I6_OTUD4.pdf")</f>
        <v>Melting_Curves/meltCurve_G3V0I6_OTUD4.pdf</v>
      </c>
    </row>
    <row r="859" spans="1:28" x14ac:dyDescent="0.25">
      <c r="A859" t="s">
        <v>863</v>
      </c>
      <c r="B859">
        <v>0.99999676499088797</v>
      </c>
      <c r="C859">
        <v>0.76144595928963799</v>
      </c>
      <c r="D859">
        <v>0.37188593209741899</v>
      </c>
      <c r="E859">
        <v>0.19722338841336301</v>
      </c>
      <c r="F859">
        <v>0.13498410535771299</v>
      </c>
      <c r="G859">
        <v>7.6528935330266099E-2</v>
      </c>
      <c r="H859">
        <v>3.9486805443877497E-2</v>
      </c>
      <c r="I859">
        <v>2.4866051765426E-2</v>
      </c>
      <c r="J859">
        <v>2.7425586368203601E-2</v>
      </c>
      <c r="K859">
        <v>1.8483033644026699E-2</v>
      </c>
      <c r="L859">
        <v>985.63756689047204</v>
      </c>
      <c r="M859">
        <v>21.898997672687599</v>
      </c>
      <c r="N859">
        <v>45.214876339481798</v>
      </c>
      <c r="O859">
        <v>44.638090194604501</v>
      </c>
      <c r="P859">
        <v>-0.11681252344561401</v>
      </c>
      <c r="Q859">
        <v>4.7597146297141901E-2</v>
      </c>
      <c r="R859">
        <v>0.98884498188374603</v>
      </c>
      <c r="S859" t="s">
        <v>7862</v>
      </c>
      <c r="T859" t="s">
        <v>14004</v>
      </c>
      <c r="U859" t="s">
        <v>14004</v>
      </c>
      <c r="V859" t="s">
        <v>14004</v>
      </c>
      <c r="W859" t="s">
        <v>14852</v>
      </c>
      <c r="X859">
        <v>3</v>
      </c>
      <c r="Y859" t="s">
        <v>21790</v>
      </c>
      <c r="Z859" t="s">
        <v>28569</v>
      </c>
      <c r="AA859">
        <v>0.2196075275639541</v>
      </c>
      <c r="AB859" t="str">
        <f>HYPERLINK("Melting_Curves/meltCurve_G3V167_PARP2.pdf", "Melting_Curves/meltCurve_G3V167_PARP2.pdf")</f>
        <v>Melting_Curves/meltCurve_G3V167_PARP2.pdf</v>
      </c>
    </row>
    <row r="860" spans="1:28" x14ac:dyDescent="0.25">
      <c r="A860" t="s">
        <v>864</v>
      </c>
      <c r="B860">
        <v>0.99999676499088797</v>
      </c>
      <c r="C860">
        <v>0.83516575064510501</v>
      </c>
      <c r="D860">
        <v>0.57836692255875899</v>
      </c>
      <c r="E860">
        <v>0.30432251199530902</v>
      </c>
      <c r="F860">
        <v>0.20352458268986101</v>
      </c>
      <c r="G860">
        <v>0.12545367001651</v>
      </c>
      <c r="H860">
        <v>7.6928696603650107E-2</v>
      </c>
      <c r="I860">
        <v>7.2625360832156996E-2</v>
      </c>
      <c r="J860">
        <v>8.6678361473322293E-2</v>
      </c>
      <c r="K860">
        <v>4.6959620929432698E-2</v>
      </c>
      <c r="L860">
        <v>816.93673794380402</v>
      </c>
      <c r="M860">
        <v>17.506665559399899</v>
      </c>
      <c r="N860">
        <v>47.079586331545698</v>
      </c>
      <c r="O860">
        <v>46.0682249092619</v>
      </c>
      <c r="P860">
        <v>-8.8212083769512201E-2</v>
      </c>
      <c r="Q860">
        <v>7.1542204642301502E-2</v>
      </c>
      <c r="R860">
        <v>0.99534205580144797</v>
      </c>
      <c r="S860" t="s">
        <v>7863</v>
      </c>
      <c r="T860" t="s">
        <v>14004</v>
      </c>
      <c r="U860" t="s">
        <v>14004</v>
      </c>
      <c r="V860" t="s">
        <v>14004</v>
      </c>
      <c r="W860" t="s">
        <v>14853</v>
      </c>
      <c r="X860">
        <v>8</v>
      </c>
      <c r="Y860" t="s">
        <v>21791</v>
      </c>
      <c r="Z860" t="s">
        <v>28570</v>
      </c>
      <c r="AA860">
        <v>0.29632857953340741</v>
      </c>
      <c r="AB860" t="str">
        <f>HYPERLINK("Melting_Curves/meltCurve_G3V1A6_GSDMD.pdf", "Melting_Curves/meltCurve_G3V1A6_GSDMD.pdf")</f>
        <v>Melting_Curves/meltCurve_G3V1A6_GSDMD.pdf</v>
      </c>
    </row>
    <row r="861" spans="1:28" x14ac:dyDescent="0.25">
      <c r="A861" t="s">
        <v>865</v>
      </c>
      <c r="B861">
        <v>0.99999676499088797</v>
      </c>
      <c r="C861">
        <v>0.99087468620802599</v>
      </c>
      <c r="D861">
        <v>1.0040472826145901</v>
      </c>
      <c r="E861">
        <v>1.0237718488718099</v>
      </c>
      <c r="F861">
        <v>0.702221216104849</v>
      </c>
      <c r="G861">
        <v>0.22258428368119801</v>
      </c>
      <c r="H861">
        <v>9.1006313245648604E-2</v>
      </c>
      <c r="I861">
        <v>7.0538697345762694E-2</v>
      </c>
      <c r="J861">
        <v>6.7879449236510694E-2</v>
      </c>
      <c r="K861">
        <v>5.8250235880207897E-2</v>
      </c>
      <c r="L861">
        <v>2093.90256565049</v>
      </c>
      <c r="M861">
        <v>38.548581862053602</v>
      </c>
      <c r="N861">
        <v>54.526772882176701</v>
      </c>
      <c r="O861">
        <v>54.172974131457302</v>
      </c>
      <c r="P861">
        <v>-0.16571975777653999</v>
      </c>
      <c r="Q861">
        <v>6.8447110676160605E-2</v>
      </c>
      <c r="R861">
        <v>0.998568370148881</v>
      </c>
      <c r="S861" t="s">
        <v>7864</v>
      </c>
      <c r="T861" t="s">
        <v>14004</v>
      </c>
      <c r="U861" t="s">
        <v>14004</v>
      </c>
      <c r="V861" t="s">
        <v>14004</v>
      </c>
      <c r="W861" t="s">
        <v>14854</v>
      </c>
      <c r="X861">
        <v>40</v>
      </c>
      <c r="Y861" t="s">
        <v>21792</v>
      </c>
      <c r="Z861" t="s">
        <v>28571</v>
      </c>
      <c r="AA861">
        <v>0.51681874366935132</v>
      </c>
      <c r="AB861" t="str">
        <f>HYPERLINK("Melting_Curves/meltCurve_G3V1D3_DPP3.pdf", "Melting_Curves/meltCurve_G3V1D3_DPP3.pdf")</f>
        <v>Melting_Curves/meltCurve_G3V1D3_DPP3.pdf</v>
      </c>
    </row>
    <row r="862" spans="1:28" x14ac:dyDescent="0.25">
      <c r="A862" t="s">
        <v>866</v>
      </c>
      <c r="B862">
        <v>0.99999676499088797</v>
      </c>
      <c r="C862">
        <v>0.97414851527518398</v>
      </c>
      <c r="D862">
        <v>1.09769881625266</v>
      </c>
      <c r="E862">
        <v>1.2771265150089599</v>
      </c>
      <c r="F862">
        <v>1.2734904318054201</v>
      </c>
      <c r="G862">
        <v>0.92754326766979001</v>
      </c>
      <c r="H862">
        <v>0.43653422107900902</v>
      </c>
      <c r="I862">
        <v>0.261314993330589</v>
      </c>
      <c r="J862">
        <v>0.18321859521535799</v>
      </c>
      <c r="K862">
        <v>0.193028612724222</v>
      </c>
      <c r="L862">
        <v>2883.7404844367802</v>
      </c>
      <c r="M862">
        <v>48.2669842110272</v>
      </c>
      <c r="N862">
        <v>60.380903739615199</v>
      </c>
      <c r="O862">
        <v>59.643306388250402</v>
      </c>
      <c r="P862">
        <v>-0.16203393729118701</v>
      </c>
      <c r="Q862">
        <v>0.199101977277227</v>
      </c>
      <c r="R862">
        <v>0.90776105543252195</v>
      </c>
      <c r="S862" t="s">
        <v>7865</v>
      </c>
      <c r="T862" t="s">
        <v>14004</v>
      </c>
      <c r="U862" t="s">
        <v>14004</v>
      </c>
      <c r="V862" t="s">
        <v>14004</v>
      </c>
      <c r="W862" t="s">
        <v>14855</v>
      </c>
      <c r="X862">
        <v>12</v>
      </c>
      <c r="Y862" t="s">
        <v>21793</v>
      </c>
      <c r="Z862" t="s">
        <v>28572</v>
      </c>
      <c r="AA862">
        <v>0.72846804959142863</v>
      </c>
      <c r="AB862" t="str">
        <f>HYPERLINK("Melting_Curves/meltCurve_G3V1P3_LOH12CR1.pdf", "Melting_Curves/meltCurve_G3V1P3_LOH12CR1.pdf")</f>
        <v>Melting_Curves/meltCurve_G3V1P3_LOH12CR1.pdf</v>
      </c>
    </row>
    <row r="863" spans="1:28" x14ac:dyDescent="0.25">
      <c r="A863" t="s">
        <v>867</v>
      </c>
      <c r="B863">
        <v>0.99999676499088797</v>
      </c>
      <c r="C863">
        <v>1.02178252814218</v>
      </c>
      <c r="D863">
        <v>1.4830745830280101</v>
      </c>
      <c r="E863">
        <v>1.39568624152474</v>
      </c>
      <c r="F863">
        <v>0.560501264213355</v>
      </c>
      <c r="G863">
        <v>0.68138823257516001</v>
      </c>
      <c r="H863">
        <v>0.27030990008037298</v>
      </c>
      <c r="I863">
        <v>0.482236276304502</v>
      </c>
      <c r="J863">
        <v>0.64237914212377001</v>
      </c>
      <c r="K863">
        <v>0.29356031966839202</v>
      </c>
      <c r="L863">
        <v>13213.5404267545</v>
      </c>
      <c r="M863">
        <v>250</v>
      </c>
      <c r="N863">
        <v>53.4864917129768</v>
      </c>
      <c r="O863">
        <v>52.850803766744498</v>
      </c>
      <c r="P863">
        <v>-0.62206422793234895</v>
      </c>
      <c r="Q863">
        <v>0.47397473042727101</v>
      </c>
      <c r="R863">
        <v>0.67365339270708202</v>
      </c>
      <c r="S863" t="s">
        <v>7866</v>
      </c>
      <c r="T863" t="s">
        <v>14004</v>
      </c>
      <c r="U863" t="s">
        <v>14004</v>
      </c>
      <c r="V863" t="s">
        <v>14004</v>
      </c>
      <c r="W863" t="s">
        <v>14856</v>
      </c>
      <c r="X863">
        <v>33</v>
      </c>
      <c r="Y863" t="s">
        <v>21794</v>
      </c>
      <c r="Z863" t="s">
        <v>28573</v>
      </c>
      <c r="AA863">
        <v>0.6994106528363625</v>
      </c>
      <c r="AB863" t="str">
        <f>HYPERLINK("Melting_Curves/meltCurve_G3V1Q4_SEPT7.pdf", "Melting_Curves/meltCurve_G3V1Q4_SEPT7.pdf")</f>
        <v>Melting_Curves/meltCurve_G3V1Q4_SEPT7.pdf</v>
      </c>
    </row>
    <row r="864" spans="1:28" x14ac:dyDescent="0.25">
      <c r="A864" t="s">
        <v>868</v>
      </c>
      <c r="B864">
        <v>0.99999676499088797</v>
      </c>
      <c r="C864">
        <v>1.0514529147357301</v>
      </c>
      <c r="D864">
        <v>1.0920930460501199</v>
      </c>
      <c r="E864">
        <v>0.97238593483769298</v>
      </c>
      <c r="F864">
        <v>0.53717788351614904</v>
      </c>
      <c r="G864">
        <v>0.39274721148564901</v>
      </c>
      <c r="H864">
        <v>0.25793189544033601</v>
      </c>
      <c r="I864">
        <v>0.252023258855953</v>
      </c>
      <c r="J864">
        <v>0.270042364276807</v>
      </c>
      <c r="K864">
        <v>0.22652272316007099</v>
      </c>
      <c r="L864">
        <v>1944.52184596386</v>
      </c>
      <c r="M864">
        <v>36.884326372177298</v>
      </c>
      <c r="N864">
        <v>53.818059250329902</v>
      </c>
      <c r="O864">
        <v>52.565229223947398</v>
      </c>
      <c r="P864">
        <v>-0.12902188035286899</v>
      </c>
      <c r="Q864">
        <v>0.26450677171107101</v>
      </c>
      <c r="R864">
        <v>0.98233462512781999</v>
      </c>
      <c r="S864" t="s">
        <v>7867</v>
      </c>
      <c r="T864" t="s">
        <v>14004</v>
      </c>
      <c r="U864" t="s">
        <v>14004</v>
      </c>
      <c r="V864" t="s">
        <v>14004</v>
      </c>
      <c r="W864" t="s">
        <v>14857</v>
      </c>
      <c r="X864">
        <v>4</v>
      </c>
      <c r="Y864" t="s">
        <v>21795</v>
      </c>
      <c r="Z864" t="s">
        <v>28574</v>
      </c>
      <c r="AA864">
        <v>0.57949348346520468</v>
      </c>
      <c r="AB864" t="str">
        <f>HYPERLINK("Melting_Curves/meltCurve_G3V1S9_ACSL6.pdf", "Melting_Curves/meltCurve_G3V1S9_ACSL6.pdf")</f>
        <v>Melting_Curves/meltCurve_G3V1S9_ACSL6.pdf</v>
      </c>
    </row>
    <row r="865" spans="1:28" x14ac:dyDescent="0.25">
      <c r="A865" t="s">
        <v>869</v>
      </c>
      <c r="B865">
        <v>0.99999676499088797</v>
      </c>
      <c r="C865">
        <v>1.05127211466045</v>
      </c>
      <c r="D865">
        <v>1.07099388239003</v>
      </c>
      <c r="E865">
        <v>1.0672349767489899</v>
      </c>
      <c r="F865">
        <v>0.89090222962121302</v>
      </c>
      <c r="G865">
        <v>0.84398669005434002</v>
      </c>
      <c r="H865">
        <v>0.64656361234436499</v>
      </c>
      <c r="I865">
        <v>0.71991528266031701</v>
      </c>
      <c r="J865">
        <v>0.633034875417958</v>
      </c>
      <c r="K865">
        <v>0.711029272208901</v>
      </c>
      <c r="L865">
        <v>1625.3247900642</v>
      </c>
      <c r="M865">
        <v>29.0113901221888</v>
      </c>
      <c r="O865">
        <v>55.759515427043503</v>
      </c>
      <c r="P865">
        <v>-4.2634924834810198E-2</v>
      </c>
      <c r="Q865">
        <v>0.67222735119366195</v>
      </c>
      <c r="R865">
        <v>0.91037167213411496</v>
      </c>
      <c r="S865" t="s">
        <v>7868</v>
      </c>
      <c r="T865" t="s">
        <v>14004</v>
      </c>
      <c r="U865" t="s">
        <v>14004</v>
      </c>
      <c r="V865" t="s">
        <v>14004</v>
      </c>
      <c r="W865" t="s">
        <v>14858</v>
      </c>
      <c r="X865">
        <v>2</v>
      </c>
      <c r="Y865" t="s">
        <v>21796</v>
      </c>
      <c r="Z865" t="s">
        <v>28575</v>
      </c>
      <c r="AA865">
        <v>0.84962130088490351</v>
      </c>
      <c r="AB865" t="str">
        <f>HYPERLINK("Melting_Curves/meltCurve_G3V1U5_GOLT1B.pdf", "Melting_Curves/meltCurve_G3V1U5_GOLT1B.pdf")</f>
        <v>Melting_Curves/meltCurve_G3V1U5_GOLT1B.pdf</v>
      </c>
    </row>
    <row r="866" spans="1:28" x14ac:dyDescent="0.25">
      <c r="A866" t="s">
        <v>870</v>
      </c>
      <c r="B866">
        <v>0.99999676499088797</v>
      </c>
      <c r="C866">
        <v>0.89162302299765905</v>
      </c>
      <c r="D866">
        <v>0.85830659710114099</v>
      </c>
      <c r="E866">
        <v>0.49003044055435202</v>
      </c>
      <c r="F866">
        <v>0.36026980093379501</v>
      </c>
      <c r="G866">
        <v>0.482680898814904</v>
      </c>
      <c r="H866">
        <v>0.33800655057167001</v>
      </c>
      <c r="I866">
        <v>0.44228160763609897</v>
      </c>
      <c r="J866">
        <v>0.352956067935767</v>
      </c>
      <c r="K866">
        <v>0.50129788407031695</v>
      </c>
      <c r="L866">
        <v>1747.6762218050301</v>
      </c>
      <c r="M866">
        <v>37.010592567055397</v>
      </c>
      <c r="N866">
        <v>49.529408711521199</v>
      </c>
      <c r="O866">
        <v>47.083747987302999</v>
      </c>
      <c r="P866">
        <v>-0.11576536768564299</v>
      </c>
      <c r="Q866">
        <v>0.41090897142692301</v>
      </c>
      <c r="R866">
        <v>0.935199028086102</v>
      </c>
      <c r="S866" t="s">
        <v>7869</v>
      </c>
      <c r="T866" t="s">
        <v>14004</v>
      </c>
      <c r="U866" t="s">
        <v>14004</v>
      </c>
      <c r="V866" t="s">
        <v>14004</v>
      </c>
      <c r="W866" t="s">
        <v>14859</v>
      </c>
      <c r="X866">
        <v>2</v>
      </c>
      <c r="Y866" t="s">
        <v>21797</v>
      </c>
      <c r="Z866" t="s">
        <v>28576</v>
      </c>
      <c r="AA866">
        <v>0.5549738898808424</v>
      </c>
      <c r="AB866" t="str">
        <f>HYPERLINK("Melting_Curves/meltCurve_G3V1X5_YAF2.pdf", "Melting_Curves/meltCurve_G3V1X5_YAF2.pdf")</f>
        <v>Melting_Curves/meltCurve_G3V1X5_YAF2.pdf</v>
      </c>
    </row>
    <row r="867" spans="1:28" x14ac:dyDescent="0.25">
      <c r="A867" t="s">
        <v>871</v>
      </c>
      <c r="B867">
        <v>0.99999676499088797</v>
      </c>
      <c r="C867">
        <v>0.97218255595115299</v>
      </c>
      <c r="D867">
        <v>0.99644384249580797</v>
      </c>
      <c r="E867">
        <v>1.1817139313676099</v>
      </c>
      <c r="F867">
        <v>0.91678521675315705</v>
      </c>
      <c r="G867">
        <v>0.67165641325120895</v>
      </c>
      <c r="H867">
        <v>0.16649700562929001</v>
      </c>
      <c r="I867">
        <v>0.13355007923913501</v>
      </c>
      <c r="J867">
        <v>0.10311450944328</v>
      </c>
      <c r="K867">
        <v>0.111696912098585</v>
      </c>
      <c r="L867">
        <v>2426.0526583543901</v>
      </c>
      <c r="M867">
        <v>42.227390037328099</v>
      </c>
      <c r="N867">
        <v>57.779584701542298</v>
      </c>
      <c r="O867">
        <v>57.323723507105697</v>
      </c>
      <c r="P867">
        <v>-0.16456325918006201</v>
      </c>
      <c r="Q867">
        <v>0.106422522705722</v>
      </c>
      <c r="R867">
        <v>0.97874947908430299</v>
      </c>
      <c r="S867" t="s">
        <v>7870</v>
      </c>
      <c r="T867" t="s">
        <v>14004</v>
      </c>
      <c r="U867" t="s">
        <v>14004</v>
      </c>
      <c r="V867" t="s">
        <v>14004</v>
      </c>
      <c r="W867" t="s">
        <v>14860</v>
      </c>
      <c r="X867">
        <v>5</v>
      </c>
      <c r="Y867" t="s">
        <v>21798</v>
      </c>
      <c r="Z867" t="s">
        <v>28577</v>
      </c>
      <c r="AA867">
        <v>0.62939874882174729</v>
      </c>
      <c r="AB867" t="str">
        <f>HYPERLINK("Melting_Curves/meltCurve_G3V203_RPL18.pdf", "Melting_Curves/meltCurve_G3V203_RPL18.pdf")</f>
        <v>Melting_Curves/meltCurve_G3V203_RPL18.pdf</v>
      </c>
    </row>
    <row r="868" spans="1:28" x14ac:dyDescent="0.25">
      <c r="A868" t="s">
        <v>872</v>
      </c>
      <c r="B868">
        <v>0.99999676499088797</v>
      </c>
      <c r="C868">
        <v>0.907354674080179</v>
      </c>
      <c r="D868">
        <v>1.00914732295507</v>
      </c>
      <c r="E868">
        <v>1.0871332422554301</v>
      </c>
      <c r="F868">
        <v>0.90483726215495897</v>
      </c>
      <c r="G868">
        <v>0.47581828537903398</v>
      </c>
      <c r="H868">
        <v>0.144322010618334</v>
      </c>
      <c r="I868">
        <v>0.113018171497639</v>
      </c>
      <c r="J868">
        <v>9.4790975054833498E-2</v>
      </c>
      <c r="K868">
        <v>0.114291067092988</v>
      </c>
      <c r="L868">
        <v>2231.00240364717</v>
      </c>
      <c r="M868">
        <v>39.636491767741902</v>
      </c>
      <c r="N868">
        <v>56.617542784246801</v>
      </c>
      <c r="O868">
        <v>56.143849259242003</v>
      </c>
      <c r="P868">
        <v>-0.15824410302261899</v>
      </c>
      <c r="Q868">
        <v>0.103410301444074</v>
      </c>
      <c r="R868">
        <v>0.98974344451750396</v>
      </c>
      <c r="S868" t="s">
        <v>7871</v>
      </c>
      <c r="T868" t="s">
        <v>14004</v>
      </c>
      <c r="U868" t="s">
        <v>14004</v>
      </c>
      <c r="V868" t="s">
        <v>14004</v>
      </c>
      <c r="W868" t="s">
        <v>14861</v>
      </c>
      <c r="X868">
        <v>15</v>
      </c>
      <c r="Y868" t="s">
        <v>20969</v>
      </c>
      <c r="Z868" t="s">
        <v>28578</v>
      </c>
      <c r="AA868">
        <v>0.59368063149794825</v>
      </c>
      <c r="AB868" t="str">
        <f>HYPERLINK("Melting_Curves/meltCurve_G3V2F7_TMEM189.pdf", "Melting_Curves/meltCurve_G3V2F7_TMEM189.pdf")</f>
        <v>Melting_Curves/meltCurve_G3V2F7_TMEM189.pdf</v>
      </c>
    </row>
    <row r="869" spans="1:28" x14ac:dyDescent="0.25">
      <c r="A869" t="s">
        <v>873</v>
      </c>
      <c r="B869">
        <v>0.99999676499088797</v>
      </c>
      <c r="C869">
        <v>0.98434218987351696</v>
      </c>
      <c r="D869">
        <v>1.08712267659938</v>
      </c>
      <c r="E869">
        <v>1.1181405389010901</v>
      </c>
      <c r="F869">
        <v>0.97446835875749804</v>
      </c>
      <c r="G869">
        <v>0.516352599509456</v>
      </c>
      <c r="H869">
        <v>0.19971775519007001</v>
      </c>
      <c r="I869">
        <v>0.182063410986369</v>
      </c>
      <c r="J869">
        <v>0.147381689548858</v>
      </c>
      <c r="K869">
        <v>0.186914797597767</v>
      </c>
      <c r="L869">
        <v>3121.28200283551</v>
      </c>
      <c r="M869">
        <v>55.293399082853703</v>
      </c>
      <c r="N869">
        <v>56.891457879322097</v>
      </c>
      <c r="O869">
        <v>56.3757576820122</v>
      </c>
      <c r="P869">
        <v>-0.202385452719684</v>
      </c>
      <c r="Q869">
        <v>0.174612023037303</v>
      </c>
      <c r="R869">
        <v>0.98615261716760705</v>
      </c>
      <c r="S869" t="s">
        <v>7872</v>
      </c>
      <c r="T869" t="s">
        <v>14004</v>
      </c>
      <c r="U869" t="s">
        <v>14004</v>
      </c>
      <c r="V869" t="s">
        <v>14004</v>
      </c>
      <c r="W869" t="s">
        <v>14862</v>
      </c>
      <c r="X869">
        <v>10</v>
      </c>
      <c r="Y869" t="s">
        <v>21799</v>
      </c>
      <c r="Z869" t="s">
        <v>28579</v>
      </c>
      <c r="AA869">
        <v>0.62886246437546467</v>
      </c>
      <c r="AB869" t="str">
        <f>HYPERLINK("Melting_Curves/meltCurve_G3V2U7_ACYP1.pdf", "Melting_Curves/meltCurve_G3V2U7_ACYP1.pdf")</f>
        <v>Melting_Curves/meltCurve_G3V2U7_ACYP1.pdf</v>
      </c>
    </row>
    <row r="870" spans="1:28" x14ac:dyDescent="0.25">
      <c r="A870" t="s">
        <v>874</v>
      </c>
      <c r="B870">
        <v>0.99999676499088797</v>
      </c>
      <c r="C870">
        <v>0.95605528805906204</v>
      </c>
      <c r="D870">
        <v>0.66764381931941197</v>
      </c>
      <c r="E870">
        <v>0.621562318216067</v>
      </c>
      <c r="F870">
        <v>0.57378775558113004</v>
      </c>
      <c r="G870">
        <v>0.56201401525779204</v>
      </c>
      <c r="H870">
        <v>0.36448122073719502</v>
      </c>
      <c r="I870">
        <v>0.21737264595015901</v>
      </c>
      <c r="J870">
        <v>0.13436374681743399</v>
      </c>
      <c r="K870">
        <v>0.13227376196986301</v>
      </c>
      <c r="L870">
        <v>405.57004261028101</v>
      </c>
      <c r="M870">
        <v>7.4132627083058704</v>
      </c>
      <c r="N870">
        <v>54.7087103588755</v>
      </c>
      <c r="O870">
        <v>51.151017413623997</v>
      </c>
      <c r="P870">
        <v>-3.6286620434002798E-2</v>
      </c>
      <c r="Q870">
        <v>0</v>
      </c>
      <c r="R870">
        <v>0.93468564448693803</v>
      </c>
      <c r="S870" t="s">
        <v>7873</v>
      </c>
      <c r="T870" t="s">
        <v>14004</v>
      </c>
      <c r="U870" t="s">
        <v>14004</v>
      </c>
      <c r="V870" t="s">
        <v>14004</v>
      </c>
      <c r="W870" t="s">
        <v>14863</v>
      </c>
      <c r="X870">
        <v>7</v>
      </c>
      <c r="Y870" t="s">
        <v>21800</v>
      </c>
      <c r="Z870" t="s">
        <v>28580</v>
      </c>
      <c r="AA870">
        <v>0.5198034869921313</v>
      </c>
      <c r="AB870" t="str">
        <f>HYPERLINK("Melting_Curves/meltCurve_G3V325_ATP5J2_PTCD1.pdf", "Melting_Curves/meltCurve_G3V325_ATP5J2_PTCD1.pdf")</f>
        <v>Melting_Curves/meltCurve_G3V325_ATP5J2_PTCD1.pdf</v>
      </c>
    </row>
    <row r="871" spans="1:28" x14ac:dyDescent="0.25">
      <c r="A871" t="s">
        <v>875</v>
      </c>
      <c r="B871">
        <v>0.99999676499088797</v>
      </c>
      <c r="C871">
        <v>1.1095145143127101</v>
      </c>
      <c r="D871">
        <v>1.0316068212659999</v>
      </c>
      <c r="E871">
        <v>0.75058496724048196</v>
      </c>
      <c r="F871">
        <v>0.52034764144401702</v>
      </c>
      <c r="G871">
        <v>0.40774871968530702</v>
      </c>
      <c r="H871">
        <v>0.18590765390463401</v>
      </c>
      <c r="I871">
        <v>0.15225010121704599</v>
      </c>
      <c r="J871">
        <v>0.108912097872394</v>
      </c>
      <c r="K871">
        <v>0.109623171057514</v>
      </c>
      <c r="L871">
        <v>900.73750770294805</v>
      </c>
      <c r="M871">
        <v>16.8766186984267</v>
      </c>
      <c r="N871">
        <v>54.065866383827398</v>
      </c>
      <c r="O871">
        <v>52.639449538226501</v>
      </c>
      <c r="P871">
        <v>-7.2351337796608697E-2</v>
      </c>
      <c r="Q871">
        <v>9.7380222686734005E-2</v>
      </c>
      <c r="R871">
        <v>0.97768956534997797</v>
      </c>
      <c r="S871" t="s">
        <v>7874</v>
      </c>
      <c r="T871" t="s">
        <v>14004</v>
      </c>
      <c r="U871" t="s">
        <v>14004</v>
      </c>
      <c r="V871" t="s">
        <v>14004</v>
      </c>
      <c r="W871" t="s">
        <v>14864</v>
      </c>
      <c r="X871">
        <v>5</v>
      </c>
      <c r="Y871" t="s">
        <v>21801</v>
      </c>
      <c r="Z871" t="s">
        <v>28581</v>
      </c>
      <c r="AA871">
        <v>0.51588444731684846</v>
      </c>
      <c r="AB871" t="str">
        <f>HYPERLINK("Melting_Curves/meltCurve_G3V3C1_PTGR2.pdf", "Melting_Curves/meltCurve_G3V3C1_PTGR2.pdf")</f>
        <v>Melting_Curves/meltCurve_G3V3C1_PTGR2.pdf</v>
      </c>
    </row>
    <row r="872" spans="1:28" x14ac:dyDescent="0.25">
      <c r="A872" t="s">
        <v>876</v>
      </c>
      <c r="B872">
        <v>0.99999676499088797</v>
      </c>
      <c r="C872">
        <v>1.0089748001853101</v>
      </c>
      <c r="D872">
        <v>1.0411314820937001</v>
      </c>
      <c r="E872">
        <v>1.0427240362266601</v>
      </c>
      <c r="F872">
        <v>0.74672853748820101</v>
      </c>
      <c r="G872">
        <v>0.41382071934953402</v>
      </c>
      <c r="H872">
        <v>0.211581883879947</v>
      </c>
      <c r="I872">
        <v>0.18859588382959899</v>
      </c>
      <c r="J872">
        <v>0.18012251710343899</v>
      </c>
      <c r="K872">
        <v>0.25595666703678799</v>
      </c>
      <c r="L872">
        <v>1796.0147978188199</v>
      </c>
      <c r="M872">
        <v>32.8192817518174</v>
      </c>
      <c r="N872">
        <v>55.608428414972799</v>
      </c>
      <c r="O872">
        <v>54.522399689374801</v>
      </c>
      <c r="P872">
        <v>-0.119897504486489</v>
      </c>
      <c r="Q872">
        <v>0.20326472103000001</v>
      </c>
      <c r="R872">
        <v>0.99106974213919896</v>
      </c>
      <c r="S872" t="s">
        <v>7875</v>
      </c>
      <c r="T872" t="s">
        <v>14004</v>
      </c>
      <c r="U872" t="s">
        <v>14004</v>
      </c>
      <c r="V872" t="s">
        <v>14004</v>
      </c>
      <c r="W872" t="s">
        <v>14865</v>
      </c>
      <c r="X872">
        <v>16</v>
      </c>
      <c r="Y872" t="s">
        <v>21802</v>
      </c>
      <c r="Z872" t="s">
        <v>28582</v>
      </c>
      <c r="AA872">
        <v>0.59874919463053966</v>
      </c>
      <c r="AB872" t="str">
        <f>HYPERLINK("Melting_Curves/meltCurve_G3V3G9_DCAF8.pdf", "Melting_Curves/meltCurve_G3V3G9_DCAF8.pdf")</f>
        <v>Melting_Curves/meltCurve_G3V3G9_DCAF8.pdf</v>
      </c>
    </row>
    <row r="873" spans="1:28" x14ac:dyDescent="0.25">
      <c r="A873" t="s">
        <v>877</v>
      </c>
      <c r="B873">
        <v>0.99999676499088797</v>
      </c>
      <c r="C873">
        <v>0.94284474769615201</v>
      </c>
      <c r="D873">
        <v>0.785875694994836</v>
      </c>
      <c r="E873">
        <v>0.41239079441795901</v>
      </c>
      <c r="F873">
        <v>0.36731848380822102</v>
      </c>
      <c r="G873">
        <v>0.29306463237352698</v>
      </c>
      <c r="H873">
        <v>0.18917069005047399</v>
      </c>
      <c r="I873">
        <v>0.220922589848392</v>
      </c>
      <c r="J873">
        <v>0.16817498531736999</v>
      </c>
      <c r="K873">
        <v>0.23108012160279101</v>
      </c>
      <c r="L873">
        <v>985.76277740280705</v>
      </c>
      <c r="M873">
        <v>20.592680263043601</v>
      </c>
      <c r="N873">
        <v>49.217718859079</v>
      </c>
      <c r="O873">
        <v>47.425006567041201</v>
      </c>
      <c r="P873">
        <v>-8.51570191054212E-2</v>
      </c>
      <c r="Q873">
        <v>0.21555523416491901</v>
      </c>
      <c r="R873">
        <v>0.98434111410709602</v>
      </c>
      <c r="S873" t="s">
        <v>7876</v>
      </c>
      <c r="T873" t="s">
        <v>14004</v>
      </c>
      <c r="U873" t="s">
        <v>14004</v>
      </c>
      <c r="V873" t="s">
        <v>14004</v>
      </c>
      <c r="W873" t="s">
        <v>14866</v>
      </c>
      <c r="X873">
        <v>1</v>
      </c>
      <c r="Y873" t="s">
        <v>21803</v>
      </c>
      <c r="Z873" t="s">
        <v>28583</v>
      </c>
      <c r="AA873">
        <v>0.43183394921608492</v>
      </c>
      <c r="AB873" t="str">
        <f>HYPERLINK("Melting_Curves/meltCurve_G3V3I4_NFKBIA.pdf", "Melting_Curves/meltCurve_G3V3I4_NFKBIA.pdf")</f>
        <v>Melting_Curves/meltCurve_G3V3I4_NFKBIA.pdf</v>
      </c>
    </row>
    <row r="874" spans="1:28" x14ac:dyDescent="0.25">
      <c r="A874" t="s">
        <v>878</v>
      </c>
      <c r="B874">
        <v>0.99999676499088797</v>
      </c>
      <c r="C874">
        <v>0.83154574039576901</v>
      </c>
      <c r="D874">
        <v>0.83681280038261596</v>
      </c>
      <c r="E874">
        <v>0.81506267238961205</v>
      </c>
      <c r="F874">
        <v>0.87347019604758303</v>
      </c>
      <c r="G874">
        <v>0.74966459661642804</v>
      </c>
      <c r="H874">
        <v>0.43655211942738897</v>
      </c>
      <c r="I874">
        <v>0.36894513613046298</v>
      </c>
      <c r="J874">
        <v>0.341498515345455</v>
      </c>
      <c r="K874">
        <v>0.37402211738632501</v>
      </c>
      <c r="L874">
        <v>419.51429775853001</v>
      </c>
      <c r="M874">
        <v>6.7912394142536403</v>
      </c>
      <c r="N874">
        <v>61.772862377054999</v>
      </c>
      <c r="O874">
        <v>57.080229214814899</v>
      </c>
      <c r="P874">
        <v>-2.9805870748158599E-2</v>
      </c>
      <c r="Q874">
        <v>0</v>
      </c>
      <c r="R874">
        <v>0.88451157685369597</v>
      </c>
      <c r="S874" t="s">
        <v>7877</v>
      </c>
      <c r="T874" t="s">
        <v>14004</v>
      </c>
      <c r="U874" t="s">
        <v>14004</v>
      </c>
      <c r="V874" t="s">
        <v>14004</v>
      </c>
      <c r="W874" t="s">
        <v>14867</v>
      </c>
      <c r="X874">
        <v>9</v>
      </c>
      <c r="Y874" t="s">
        <v>21804</v>
      </c>
      <c r="Z874" t="s">
        <v>28584</v>
      </c>
      <c r="AA874">
        <v>0.67842542504701087</v>
      </c>
      <c r="AB874" t="str">
        <f>HYPERLINK("Melting_Curves/meltCurve_G3V3J9_GNG2.pdf", "Melting_Curves/meltCurve_G3V3J9_GNG2.pdf")</f>
        <v>Melting_Curves/meltCurve_G3V3J9_GNG2.pdf</v>
      </c>
    </row>
    <row r="875" spans="1:28" x14ac:dyDescent="0.25">
      <c r="A875" t="s">
        <v>879</v>
      </c>
      <c r="B875">
        <v>0.99999676499088797</v>
      </c>
      <c r="C875">
        <v>0.94300893447428302</v>
      </c>
      <c r="D875">
        <v>0.66678117901537903</v>
      </c>
      <c r="E875">
        <v>0.26359795011782</v>
      </c>
      <c r="F875">
        <v>0.201767413261592</v>
      </c>
      <c r="G875">
        <v>0.108355664273487</v>
      </c>
      <c r="H875">
        <v>5.5731312976099102E-2</v>
      </c>
      <c r="I875">
        <v>5.7806988551630301E-2</v>
      </c>
      <c r="J875">
        <v>6.2878191470988595E-2</v>
      </c>
      <c r="K875">
        <v>5.2667297467241199E-2</v>
      </c>
      <c r="L875">
        <v>1100.5400616720101</v>
      </c>
      <c r="M875">
        <v>23.325923216287499</v>
      </c>
      <c r="N875">
        <v>47.4904403882271</v>
      </c>
      <c r="O875">
        <v>46.838321358938401</v>
      </c>
      <c r="P875">
        <v>-0.115726522665847</v>
      </c>
      <c r="Q875">
        <v>7.05036614691502E-2</v>
      </c>
      <c r="R875">
        <v>0.99375222768573701</v>
      </c>
      <c r="S875" t="s">
        <v>7878</v>
      </c>
      <c r="T875" t="s">
        <v>14004</v>
      </c>
      <c r="U875" t="s">
        <v>14004</v>
      </c>
      <c r="V875" t="s">
        <v>14004</v>
      </c>
      <c r="W875" t="s">
        <v>14868</v>
      </c>
      <c r="X875">
        <v>9</v>
      </c>
      <c r="Y875" t="s">
        <v>21805</v>
      </c>
      <c r="Z875" t="s">
        <v>28585</v>
      </c>
      <c r="AA875">
        <v>0.30262564027169081</v>
      </c>
      <c r="AB875" t="str">
        <f>HYPERLINK("Melting_Curves/meltCurve_G3V3R7_ATXN3.pdf", "Melting_Curves/meltCurve_G3V3R7_ATXN3.pdf")</f>
        <v>Melting_Curves/meltCurve_G3V3R7_ATXN3.pdf</v>
      </c>
    </row>
    <row r="876" spans="1:28" x14ac:dyDescent="0.25">
      <c r="A876" t="s">
        <v>880</v>
      </c>
      <c r="B876">
        <v>0.99999676499088797</v>
      </c>
      <c r="C876">
        <v>1.0123559338387</v>
      </c>
      <c r="D876">
        <v>0.92668687198194599</v>
      </c>
      <c r="E876">
        <v>0.66224922214674298</v>
      </c>
      <c r="F876">
        <v>0.50506218326219099</v>
      </c>
      <c r="G876">
        <v>0.42498222743137398</v>
      </c>
      <c r="H876">
        <v>0.22595468014792799</v>
      </c>
      <c r="I876">
        <v>0.32475428021595998</v>
      </c>
      <c r="J876">
        <v>0.39363079150413699</v>
      </c>
      <c r="K876">
        <v>0.30833448736795799</v>
      </c>
      <c r="L876">
        <v>1026.51141569479</v>
      </c>
      <c r="M876">
        <v>20.464687701451201</v>
      </c>
      <c r="N876">
        <v>52.775744578754697</v>
      </c>
      <c r="O876">
        <v>49.688539481147899</v>
      </c>
      <c r="P876">
        <v>-7.01559490779749E-2</v>
      </c>
      <c r="Q876">
        <v>0.31866186525196399</v>
      </c>
      <c r="R876">
        <v>0.97141611146851703</v>
      </c>
      <c r="S876" t="s">
        <v>7879</v>
      </c>
      <c r="T876" t="s">
        <v>14004</v>
      </c>
      <c r="U876" t="s">
        <v>14004</v>
      </c>
      <c r="V876" t="s">
        <v>14004</v>
      </c>
      <c r="W876" t="s">
        <v>14869</v>
      </c>
      <c r="X876">
        <v>2</v>
      </c>
      <c r="Y876" t="s">
        <v>21806</v>
      </c>
      <c r="Z876" t="s">
        <v>28586</v>
      </c>
      <c r="AA876">
        <v>0.55847728184305523</v>
      </c>
      <c r="AB876" t="str">
        <f>HYPERLINK("Melting_Curves/meltCurve_G3V3U6_MRPL52.pdf", "Melting_Curves/meltCurve_G3V3U6_MRPL52.pdf")</f>
        <v>Melting_Curves/meltCurve_G3V3U6_MRPL52.pdf</v>
      </c>
    </row>
    <row r="877" spans="1:28" x14ac:dyDescent="0.25">
      <c r="A877" t="s">
        <v>881</v>
      </c>
      <c r="B877">
        <v>0.99999676499088797</v>
      </c>
      <c r="C877">
        <v>0.83648662675454999</v>
      </c>
      <c r="D877">
        <v>0.51667124818448196</v>
      </c>
      <c r="E877">
        <v>0.44303832179432501</v>
      </c>
      <c r="F877">
        <v>0.31753019321477999</v>
      </c>
      <c r="G877">
        <v>0.27557113583871001</v>
      </c>
      <c r="H877">
        <v>0.188350605733832</v>
      </c>
      <c r="I877">
        <v>0.100246063750141</v>
      </c>
      <c r="J877">
        <v>0.113250593606255</v>
      </c>
      <c r="K877">
        <v>0.10857896070714999</v>
      </c>
      <c r="L877">
        <v>576.84728065419597</v>
      </c>
      <c r="M877">
        <v>12.209672107940101</v>
      </c>
      <c r="N877">
        <v>48.225326452889</v>
      </c>
      <c r="O877">
        <v>46.031356009427199</v>
      </c>
      <c r="P877">
        <v>-5.9038229563477797E-2</v>
      </c>
      <c r="Q877">
        <v>0.109886952239025</v>
      </c>
      <c r="R877">
        <v>0.966527727451995</v>
      </c>
      <c r="S877" t="s">
        <v>7880</v>
      </c>
      <c r="T877" t="s">
        <v>14004</v>
      </c>
      <c r="U877" t="s">
        <v>14004</v>
      </c>
      <c r="V877" t="s">
        <v>14004</v>
      </c>
      <c r="W877" t="s">
        <v>14870</v>
      </c>
      <c r="X877">
        <v>2</v>
      </c>
      <c r="Y877" t="s">
        <v>21807</v>
      </c>
      <c r="Z877" t="s">
        <v>28587</v>
      </c>
      <c r="AA877">
        <v>0.36040867827072398</v>
      </c>
      <c r="AB877" t="str">
        <f>HYPERLINK("Melting_Curves/meltCurve_G3V439_SIVA1.pdf", "Melting_Curves/meltCurve_G3V439_SIVA1.pdf")</f>
        <v>Melting_Curves/meltCurve_G3V439_SIVA1.pdf</v>
      </c>
    </row>
    <row r="878" spans="1:28" x14ac:dyDescent="0.25">
      <c r="A878" t="s">
        <v>882</v>
      </c>
      <c r="B878">
        <v>0.99999676499088797</v>
      </c>
      <c r="C878">
        <v>1.1594415513546501</v>
      </c>
      <c r="D878">
        <v>0.98592134331955905</v>
      </c>
      <c r="E878">
        <v>0.77461242703984201</v>
      </c>
      <c r="F878">
        <v>0.46273548533023701</v>
      </c>
      <c r="G878">
        <v>0.43002726749227799</v>
      </c>
      <c r="H878">
        <v>0.173804281328309</v>
      </c>
      <c r="I878">
        <v>0.25894343904998701</v>
      </c>
      <c r="J878">
        <v>0.20807405743768401</v>
      </c>
      <c r="K878">
        <v>0.113839877076306</v>
      </c>
      <c r="L878">
        <v>1012.18554269406</v>
      </c>
      <c r="M878">
        <v>19.341562262881499</v>
      </c>
      <c r="N878">
        <v>53.555826202265898</v>
      </c>
      <c r="O878">
        <v>51.782341235697501</v>
      </c>
      <c r="P878">
        <v>-7.6704261373581897E-2</v>
      </c>
      <c r="Q878">
        <v>0.17860195587195801</v>
      </c>
      <c r="R878">
        <v>0.95795650258646403</v>
      </c>
      <c r="S878" t="s">
        <v>7881</v>
      </c>
      <c r="T878" t="s">
        <v>14004</v>
      </c>
      <c r="U878" t="s">
        <v>14004</v>
      </c>
      <c r="V878" t="s">
        <v>14004</v>
      </c>
      <c r="W878" t="s">
        <v>14871</v>
      </c>
      <c r="X878">
        <v>1</v>
      </c>
      <c r="Y878" t="s">
        <v>21808</v>
      </c>
      <c r="Z878" t="s">
        <v>28588</v>
      </c>
      <c r="AA878">
        <v>0.52828970936071384</v>
      </c>
      <c r="AB878" t="str">
        <f>HYPERLINK("Melting_Curves/meltCurve_G3V4J7_DCAF5.pdf", "Melting_Curves/meltCurve_G3V4J7_DCAF5.pdf")</f>
        <v>Melting_Curves/meltCurve_G3V4J7_DCAF5.pdf</v>
      </c>
    </row>
    <row r="879" spans="1:28" x14ac:dyDescent="0.25">
      <c r="A879" t="s">
        <v>883</v>
      </c>
      <c r="B879">
        <v>0.99999676499088797</v>
      </c>
      <c r="C879">
        <v>1.0183528677315301</v>
      </c>
      <c r="D879">
        <v>0.81982375168538202</v>
      </c>
      <c r="E879">
        <v>0.348853281787041</v>
      </c>
      <c r="F879">
        <v>0.219243601133809</v>
      </c>
      <c r="G879">
        <v>0.17815525435331001</v>
      </c>
      <c r="H879">
        <v>0.117125014308822</v>
      </c>
      <c r="I879">
        <v>0.12987287184841501</v>
      </c>
      <c r="J879">
        <v>0.113786309260348</v>
      </c>
      <c r="K879">
        <v>0.12653373102729701</v>
      </c>
      <c r="L879">
        <v>1496.04019653624</v>
      </c>
      <c r="M879">
        <v>31.1918899447952</v>
      </c>
      <c r="N879">
        <v>48.4623974853845</v>
      </c>
      <c r="O879">
        <v>47.7666490360116</v>
      </c>
      <c r="P879">
        <v>-0.14079353733509101</v>
      </c>
      <c r="Q879">
        <v>0.13757134981034499</v>
      </c>
      <c r="R879">
        <v>0.99536976352956097</v>
      </c>
      <c r="S879" t="s">
        <v>7882</v>
      </c>
      <c r="T879" t="s">
        <v>14004</v>
      </c>
      <c r="U879" t="s">
        <v>14004</v>
      </c>
      <c r="V879" t="s">
        <v>14004</v>
      </c>
      <c r="W879" t="s">
        <v>14872</v>
      </c>
      <c r="X879">
        <v>5</v>
      </c>
      <c r="Y879" t="s">
        <v>21809</v>
      </c>
      <c r="Z879" t="s">
        <v>28589</v>
      </c>
      <c r="AA879">
        <v>0.37125730586055727</v>
      </c>
      <c r="AB879" t="str">
        <f>HYPERLINK("Melting_Curves/meltCurve_G3V4K3_VIPAS39.pdf", "Melting_Curves/meltCurve_G3V4K3_VIPAS39.pdf")</f>
        <v>Melting_Curves/meltCurve_G3V4K3_VIPAS39.pdf</v>
      </c>
    </row>
    <row r="880" spans="1:28" x14ac:dyDescent="0.25">
      <c r="A880" t="s">
        <v>884</v>
      </c>
      <c r="B880">
        <v>0.99999676499088797</v>
      </c>
      <c r="C880">
        <v>0.84336333755602699</v>
      </c>
      <c r="D880">
        <v>0.81301331789769304</v>
      </c>
      <c r="E880">
        <v>0.51160731549480498</v>
      </c>
      <c r="F880">
        <v>0.31031129822201198</v>
      </c>
      <c r="G880">
        <v>0.24736796203894101</v>
      </c>
      <c r="H880">
        <v>0.11117667207201599</v>
      </c>
      <c r="I880">
        <v>8.7939863707920798E-2</v>
      </c>
      <c r="J880">
        <v>9.3051537686994798E-2</v>
      </c>
      <c r="K880">
        <v>7.6502458528592304E-2</v>
      </c>
      <c r="L880">
        <v>677.90149077577405</v>
      </c>
      <c r="M880">
        <v>13.649732299706301</v>
      </c>
      <c r="N880">
        <v>50.122144549531797</v>
      </c>
      <c r="O880">
        <v>48.634493367428703</v>
      </c>
      <c r="P880">
        <v>-6.6060198895677505E-2</v>
      </c>
      <c r="Q880">
        <v>5.8637927090119099E-2</v>
      </c>
      <c r="R880">
        <v>0.99081131902243602</v>
      </c>
      <c r="S880" t="s">
        <v>7883</v>
      </c>
      <c r="T880" t="s">
        <v>14004</v>
      </c>
      <c r="U880" t="s">
        <v>14004</v>
      </c>
      <c r="V880" t="s">
        <v>14004</v>
      </c>
      <c r="W880" t="s">
        <v>14873</v>
      </c>
      <c r="X880">
        <v>2</v>
      </c>
      <c r="Y880" t="s">
        <v>21810</v>
      </c>
      <c r="Z880" t="s">
        <v>28590</v>
      </c>
      <c r="AA880">
        <v>0.38870414715306462</v>
      </c>
      <c r="AB880" t="str">
        <f>HYPERLINK("Melting_Curves/meltCurve_G3V4P7_AP4S1.pdf", "Melting_Curves/meltCurve_G3V4P7_AP4S1.pdf")</f>
        <v>Melting_Curves/meltCurve_G3V4P7_AP4S1.pdf</v>
      </c>
    </row>
    <row r="881" spans="1:28" x14ac:dyDescent="0.25">
      <c r="A881" t="s">
        <v>885</v>
      </c>
      <c r="B881">
        <v>0.99999676499088797</v>
      </c>
      <c r="C881">
        <v>1.0791143397032299</v>
      </c>
      <c r="D881">
        <v>1.00718328812395</v>
      </c>
      <c r="E881">
        <v>0.97002413543705102</v>
      </c>
      <c r="F881">
        <v>0.53535032283433504</v>
      </c>
      <c r="G881">
        <v>0.40675610304987297</v>
      </c>
      <c r="H881">
        <v>0.22940261968219999</v>
      </c>
      <c r="I881">
        <v>0.236125882629446</v>
      </c>
      <c r="J881">
        <v>0.24510582326354899</v>
      </c>
      <c r="K881">
        <v>0.25369956892156897</v>
      </c>
      <c r="L881">
        <v>1709.8832830977601</v>
      </c>
      <c r="M881">
        <v>32.369142468466499</v>
      </c>
      <c r="N881">
        <v>53.991550132624397</v>
      </c>
      <c r="O881">
        <v>52.6240988203039</v>
      </c>
      <c r="P881">
        <v>-0.11508165182267301</v>
      </c>
      <c r="Q881">
        <v>0.25162819774141398</v>
      </c>
      <c r="R881">
        <v>0.98392688908355197</v>
      </c>
      <c r="S881" t="s">
        <v>7884</v>
      </c>
      <c r="T881" t="s">
        <v>14004</v>
      </c>
      <c r="U881" t="s">
        <v>14004</v>
      </c>
      <c r="V881" t="s">
        <v>14004</v>
      </c>
      <c r="W881" t="s">
        <v>14874</v>
      </c>
      <c r="X881">
        <v>9</v>
      </c>
      <c r="Y881" t="s">
        <v>21811</v>
      </c>
      <c r="Z881" t="s">
        <v>28591</v>
      </c>
      <c r="AA881">
        <v>0.57571107884047668</v>
      </c>
      <c r="AB881" t="str">
        <f>HYPERLINK("Melting_Curves/meltCurve_G3V4W0_HNRNPC.pdf", "Melting_Curves/meltCurve_G3V4W0_HNRNPC.pdf")</f>
        <v>Melting_Curves/meltCurve_G3V4W0_HNRNPC.pdf</v>
      </c>
    </row>
    <row r="882" spans="1:28" x14ac:dyDescent="0.25">
      <c r="A882" t="s">
        <v>886</v>
      </c>
      <c r="B882">
        <v>0.99999676499088797</v>
      </c>
      <c r="C882">
        <v>1.1210720810872701</v>
      </c>
      <c r="D882">
        <v>1.1593553863919701</v>
      </c>
      <c r="E882">
        <v>0.80449091890878799</v>
      </c>
      <c r="F882">
        <v>0.42274656507410302</v>
      </c>
      <c r="G882">
        <v>0.38066257379124602</v>
      </c>
      <c r="H882">
        <v>0.19782435211026</v>
      </c>
      <c r="I882">
        <v>0.18638864429122301</v>
      </c>
      <c r="J882">
        <v>0.202845536170872</v>
      </c>
      <c r="K882">
        <v>0.25379794631353803</v>
      </c>
      <c r="L882">
        <v>1626.15142994139</v>
      </c>
      <c r="M882">
        <v>31.516814097207501</v>
      </c>
      <c r="N882">
        <v>52.623870819698098</v>
      </c>
      <c r="O882">
        <v>51.389929432757498</v>
      </c>
      <c r="P882">
        <v>-0.118090604267686</v>
      </c>
      <c r="Q882">
        <v>0.22979087133881401</v>
      </c>
      <c r="R882">
        <v>0.956437393493484</v>
      </c>
      <c r="S882" t="s">
        <v>7885</v>
      </c>
      <c r="T882" t="s">
        <v>14004</v>
      </c>
      <c r="U882" t="s">
        <v>14004</v>
      </c>
      <c r="V882" t="s">
        <v>14004</v>
      </c>
      <c r="W882" t="s">
        <v>14875</v>
      </c>
      <c r="X882">
        <v>6</v>
      </c>
      <c r="Y882" t="s">
        <v>21812</v>
      </c>
      <c r="Z882" t="s">
        <v>28592</v>
      </c>
      <c r="AA882">
        <v>0.53194198246073721</v>
      </c>
      <c r="AB882" t="str">
        <f>HYPERLINK("Melting_Curves/meltCurve_G3V529_DDX24.pdf", "Melting_Curves/meltCurve_G3V529_DDX24.pdf")</f>
        <v>Melting_Curves/meltCurve_G3V529_DDX24.pdf</v>
      </c>
    </row>
    <row r="883" spans="1:28" x14ac:dyDescent="0.25">
      <c r="A883" t="s">
        <v>887</v>
      </c>
      <c r="B883">
        <v>0.99999676499088797</v>
      </c>
      <c r="C883">
        <v>0.88884861806050397</v>
      </c>
      <c r="D883">
        <v>0.911233553799352</v>
      </c>
      <c r="E883">
        <v>0.89015157911894405</v>
      </c>
      <c r="F883">
        <v>0.766396738236932</v>
      </c>
      <c r="G883">
        <v>0.60676220607978804</v>
      </c>
      <c r="H883">
        <v>0.355337927430878</v>
      </c>
      <c r="I883">
        <v>0.310653114371299</v>
      </c>
      <c r="J883">
        <v>0.26385008208917099</v>
      </c>
      <c r="K883">
        <v>0.35577361445209299</v>
      </c>
      <c r="L883">
        <v>845.93089250605101</v>
      </c>
      <c r="M883">
        <v>15.227206165852101</v>
      </c>
      <c r="N883">
        <v>58.1948909002138</v>
      </c>
      <c r="O883">
        <v>54.622232938437499</v>
      </c>
      <c r="P883">
        <v>-5.2311827101689801E-2</v>
      </c>
      <c r="Q883">
        <v>0.24947079814745499</v>
      </c>
      <c r="R883">
        <v>0.96439118798866896</v>
      </c>
      <c r="S883" t="s">
        <v>7886</v>
      </c>
      <c r="T883" t="s">
        <v>14004</v>
      </c>
      <c r="U883" t="s">
        <v>14004</v>
      </c>
      <c r="V883" t="s">
        <v>14004</v>
      </c>
      <c r="W883" t="s">
        <v>14876</v>
      </c>
      <c r="X883">
        <v>5</v>
      </c>
      <c r="Y883" t="s">
        <v>21813</v>
      </c>
      <c r="Z883" t="s">
        <v>28593</v>
      </c>
      <c r="AA883">
        <v>0.65225730961464734</v>
      </c>
      <c r="AB883" t="str">
        <f>HYPERLINK("Melting_Curves/meltCurve_G3V583_FAM177A1.pdf", "Melting_Curves/meltCurve_G3V583_FAM177A1.pdf")</f>
        <v>Melting_Curves/meltCurve_G3V583_FAM177A1.pdf</v>
      </c>
    </row>
    <row r="884" spans="1:28" x14ac:dyDescent="0.25">
      <c r="A884" t="s">
        <v>888</v>
      </c>
      <c r="B884">
        <v>0.99999676499088797</v>
      </c>
      <c r="C884">
        <v>1.1067937674074599</v>
      </c>
      <c r="D884">
        <v>1.3683719873508799</v>
      </c>
      <c r="E884">
        <v>0.95372309014295498</v>
      </c>
      <c r="F884">
        <v>0.585794581627613</v>
      </c>
      <c r="G884">
        <v>1.31150188930287</v>
      </c>
      <c r="H884">
        <v>0.36626423453430801</v>
      </c>
      <c r="I884">
        <v>0.19788723127058</v>
      </c>
      <c r="J884">
        <v>0.190000321811061</v>
      </c>
      <c r="K884">
        <v>0.197902133702831</v>
      </c>
      <c r="L884">
        <v>15000</v>
      </c>
      <c r="M884">
        <v>248.020485232835</v>
      </c>
      <c r="N884">
        <v>60.5998595276359</v>
      </c>
      <c r="O884">
        <v>60.474943121281299</v>
      </c>
      <c r="P884">
        <v>-0.82509914637230597</v>
      </c>
      <c r="Q884">
        <v>0.19526286269269599</v>
      </c>
      <c r="R884">
        <v>0.79328054168401096</v>
      </c>
      <c r="S884" t="s">
        <v>7887</v>
      </c>
      <c r="T884" t="s">
        <v>14004</v>
      </c>
      <c r="U884" t="s">
        <v>14004</v>
      </c>
      <c r="V884" t="s">
        <v>14004</v>
      </c>
      <c r="W884" t="s">
        <v>14877</v>
      </c>
      <c r="X884">
        <v>2</v>
      </c>
      <c r="Y884" t="s">
        <v>21799</v>
      </c>
      <c r="Z884" t="s">
        <v>28594</v>
      </c>
      <c r="AA884">
        <v>0.74468669591788417</v>
      </c>
      <c r="AB884" t="str">
        <f>HYPERLINK("Melting_Curves/meltCurve_G3V597_ACYP1.pdf", "Melting_Curves/meltCurve_G3V597_ACYP1.pdf")</f>
        <v>Melting_Curves/meltCurve_G3V597_ACYP1.pdf</v>
      </c>
    </row>
    <row r="885" spans="1:28" x14ac:dyDescent="0.25">
      <c r="A885" t="s">
        <v>889</v>
      </c>
      <c r="B885">
        <v>0.99999676499088797</v>
      </c>
      <c r="C885">
        <v>0.96492365934165802</v>
      </c>
      <c r="D885">
        <v>0.84561046496220904</v>
      </c>
      <c r="E885">
        <v>0.335936016257392</v>
      </c>
      <c r="F885">
        <v>0.234798517184994</v>
      </c>
      <c r="G885">
        <v>0.162189009390766</v>
      </c>
      <c r="H885">
        <v>0.107035533835656</v>
      </c>
      <c r="I885">
        <v>0.13092610329398</v>
      </c>
      <c r="J885">
        <v>0.13074999509952001</v>
      </c>
      <c r="K885">
        <v>0.140620841114794</v>
      </c>
      <c r="L885">
        <v>1559.8568342215401</v>
      </c>
      <c r="M885">
        <v>32.520357256474398</v>
      </c>
      <c r="N885">
        <v>48.460869784969802</v>
      </c>
      <c r="O885">
        <v>47.785266403071098</v>
      </c>
      <c r="P885">
        <v>-0.14608173937670299</v>
      </c>
      <c r="Q885">
        <v>0.14139662338169201</v>
      </c>
      <c r="R885">
        <v>0.99488889545899895</v>
      </c>
      <c r="S885" t="s">
        <v>7888</v>
      </c>
      <c r="T885" t="s">
        <v>14004</v>
      </c>
      <c r="U885" t="s">
        <v>14004</v>
      </c>
      <c r="V885" t="s">
        <v>14004</v>
      </c>
      <c r="W885" t="s">
        <v>14878</v>
      </c>
      <c r="X885">
        <v>17</v>
      </c>
      <c r="Y885" t="s">
        <v>21814</v>
      </c>
      <c r="Z885" t="s">
        <v>28595</v>
      </c>
      <c r="AA885">
        <v>0.37373896655933803</v>
      </c>
      <c r="AB885" t="str">
        <f>HYPERLINK("Melting_Curves/meltCurve_G3V599_CTAGE5.pdf", "Melting_Curves/meltCurve_G3V599_CTAGE5.pdf")</f>
        <v>Melting_Curves/meltCurve_G3V599_CTAGE5.pdf</v>
      </c>
    </row>
    <row r="886" spans="1:28" x14ac:dyDescent="0.25">
      <c r="A886" t="s">
        <v>890</v>
      </c>
      <c r="B886">
        <v>0.99999676499088797</v>
      </c>
      <c r="C886">
        <v>1.1309139092764999</v>
      </c>
      <c r="D886">
        <v>1.0818146572201199</v>
      </c>
      <c r="E886">
        <v>1.33029492050233</v>
      </c>
      <c r="F886">
        <v>1.0665860350090599</v>
      </c>
      <c r="G886">
        <v>0.31842798472371298</v>
      </c>
      <c r="H886">
        <v>0.13133603744811401</v>
      </c>
      <c r="I886">
        <v>0.128217206194188</v>
      </c>
      <c r="J886">
        <v>0.15681159043863599</v>
      </c>
      <c r="K886">
        <v>9.3343410270190705E-2</v>
      </c>
      <c r="L886">
        <v>14127.743407439</v>
      </c>
      <c r="M886">
        <v>250</v>
      </c>
      <c r="N886">
        <v>56.577552970272997</v>
      </c>
      <c r="O886">
        <v>56.507357360483098</v>
      </c>
      <c r="P886">
        <v>-0.96510989008279602</v>
      </c>
      <c r="Q886">
        <v>0.127427050704916</v>
      </c>
      <c r="R886">
        <v>0.94144040760090297</v>
      </c>
      <c r="S886" t="s">
        <v>7889</v>
      </c>
      <c r="T886" t="s">
        <v>14004</v>
      </c>
      <c r="U886" t="s">
        <v>14004</v>
      </c>
      <c r="V886" t="s">
        <v>14004</v>
      </c>
      <c r="W886" t="s">
        <v>14879</v>
      </c>
      <c r="X886">
        <v>5</v>
      </c>
      <c r="Y886" t="s">
        <v>21815</v>
      </c>
      <c r="Z886" t="s">
        <v>28596</v>
      </c>
      <c r="AA886">
        <v>0.60774788742266206</v>
      </c>
      <c r="AB886" t="str">
        <f>HYPERLINK("Melting_Curves/meltCurve_G3V5T0_GSTZ1.pdf", "Melting_Curves/meltCurve_G3V5T0_GSTZ1.pdf")</f>
        <v>Melting_Curves/meltCurve_G3V5T0_GSTZ1.pdf</v>
      </c>
    </row>
    <row r="887" spans="1:28" x14ac:dyDescent="0.25">
      <c r="A887" t="s">
        <v>891</v>
      </c>
      <c r="B887">
        <v>0.99999676499088797</v>
      </c>
      <c r="C887">
        <v>0.97151151910627997</v>
      </c>
      <c r="D887">
        <v>0.99255713785333</v>
      </c>
      <c r="E887">
        <v>1.01466086601395</v>
      </c>
      <c r="F887">
        <v>0.90316056543671197</v>
      </c>
      <c r="G887">
        <v>0.531686439374362</v>
      </c>
      <c r="H887">
        <v>0.26773630001528997</v>
      </c>
      <c r="I887">
        <v>0.16543284690358701</v>
      </c>
      <c r="J887">
        <v>0.145533659234516</v>
      </c>
      <c r="K887">
        <v>0.11246458423943501</v>
      </c>
      <c r="L887">
        <v>1629.4409084756001</v>
      </c>
      <c r="M887">
        <v>28.742021428150299</v>
      </c>
      <c r="N887">
        <v>57.299047986756598</v>
      </c>
      <c r="O887">
        <v>56.4196308181576</v>
      </c>
      <c r="P887">
        <v>-0.11064118913380799</v>
      </c>
      <c r="Q887">
        <v>0.13126683817818199</v>
      </c>
      <c r="R887">
        <v>0.99743555885784696</v>
      </c>
      <c r="S887" t="s">
        <v>7890</v>
      </c>
      <c r="T887" t="s">
        <v>14004</v>
      </c>
      <c r="U887" t="s">
        <v>14004</v>
      </c>
      <c r="V887" t="s">
        <v>14004</v>
      </c>
      <c r="W887" t="s">
        <v>14880</v>
      </c>
      <c r="X887">
        <v>17</v>
      </c>
      <c r="Y887" t="s">
        <v>21816</v>
      </c>
      <c r="Z887" t="s">
        <v>28597</v>
      </c>
      <c r="AA887">
        <v>0.62087525468837157</v>
      </c>
      <c r="AB887" t="str">
        <f>HYPERLINK("Melting_Curves/meltCurve_G3V5T9_CDK2.pdf", "Melting_Curves/meltCurve_G3V5T9_CDK2.pdf")</f>
        <v>Melting_Curves/meltCurve_G3V5T9_CDK2.pdf</v>
      </c>
    </row>
    <row r="888" spans="1:28" x14ac:dyDescent="0.25">
      <c r="A888" t="s">
        <v>892</v>
      </c>
      <c r="B888">
        <v>0.99999676499088797</v>
      </c>
      <c r="C888">
        <v>0.96957631229735897</v>
      </c>
      <c r="D888">
        <v>0.70967207793504505</v>
      </c>
      <c r="E888">
        <v>0.359858414371587</v>
      </c>
      <c r="F888">
        <v>0.303377544605617</v>
      </c>
      <c r="G888">
        <v>0.198828304729392</v>
      </c>
      <c r="H888">
        <v>0.123709019199191</v>
      </c>
      <c r="I888">
        <v>0.14437933717014101</v>
      </c>
      <c r="J888">
        <v>0.16862136197758401</v>
      </c>
      <c r="K888">
        <v>0.159443111007014</v>
      </c>
      <c r="L888">
        <v>1058.9538177404499</v>
      </c>
      <c r="M888">
        <v>22.3213765989649</v>
      </c>
      <c r="N888">
        <v>48.285094247479002</v>
      </c>
      <c r="O888">
        <v>47.0653761662496</v>
      </c>
      <c r="P888">
        <v>-9.9418901980148397E-2</v>
      </c>
      <c r="Q888">
        <v>0.16150493325405599</v>
      </c>
      <c r="R888">
        <v>0.98978321153126303</v>
      </c>
      <c r="S888" t="s">
        <v>7891</v>
      </c>
      <c r="T888" t="s">
        <v>14004</v>
      </c>
      <c r="U888" t="s">
        <v>14004</v>
      </c>
      <c r="V888" t="s">
        <v>14004</v>
      </c>
      <c r="W888" t="s">
        <v>14881</v>
      </c>
      <c r="X888">
        <v>19</v>
      </c>
      <c r="Y888" t="s">
        <v>21817</v>
      </c>
      <c r="Z888" t="s">
        <v>28598</v>
      </c>
      <c r="AA888">
        <v>0.37900219751322578</v>
      </c>
      <c r="AB888" t="str">
        <f>HYPERLINK("Melting_Curves/meltCurve_G3XAA0_ARID1B.pdf", "Melting_Curves/meltCurve_G3XAA0_ARID1B.pdf")</f>
        <v>Melting_Curves/meltCurve_G3XAA0_ARID1B.pdf</v>
      </c>
    </row>
    <row r="889" spans="1:28" x14ac:dyDescent="0.25">
      <c r="A889" t="s">
        <v>893</v>
      </c>
      <c r="B889">
        <v>0.99999676499088797</v>
      </c>
      <c r="C889">
        <v>0.95048196240753102</v>
      </c>
      <c r="D889">
        <v>1.0104901601774601</v>
      </c>
      <c r="E889">
        <v>1.09957290991446</v>
      </c>
      <c r="F889">
        <v>1.06977479488956</v>
      </c>
      <c r="G889">
        <v>0.78138300895686497</v>
      </c>
      <c r="H889">
        <v>0.34336876655503601</v>
      </c>
      <c r="I889">
        <v>0.21166707246895899</v>
      </c>
      <c r="J889">
        <v>0.154660135341015</v>
      </c>
      <c r="K889">
        <v>0.19629716613803799</v>
      </c>
      <c r="L889">
        <v>2282.1697252674899</v>
      </c>
      <c r="M889">
        <v>39.027663142522698</v>
      </c>
      <c r="N889">
        <v>59.146526290803102</v>
      </c>
      <c r="O889">
        <v>58.3228036269849</v>
      </c>
      <c r="P889">
        <v>-0.13737471970933299</v>
      </c>
      <c r="Q889">
        <v>0.178832727871442</v>
      </c>
      <c r="R889">
        <v>0.98503680602481303</v>
      </c>
      <c r="S889" t="s">
        <v>7892</v>
      </c>
      <c r="T889" t="s">
        <v>14004</v>
      </c>
      <c r="U889" t="s">
        <v>14004</v>
      </c>
      <c r="V889" t="s">
        <v>14004</v>
      </c>
      <c r="W889" t="s">
        <v>14882</v>
      </c>
      <c r="X889">
        <v>2</v>
      </c>
      <c r="Y889" t="s">
        <v>21818</v>
      </c>
      <c r="Z889" t="s">
        <v>28599</v>
      </c>
      <c r="AA889">
        <v>0.68794152290873167</v>
      </c>
      <c r="AB889" t="str">
        <f>HYPERLINK("Melting_Curves/meltCurve_G3XAC1_SLC26A6.pdf", "Melting_Curves/meltCurve_G3XAC1_SLC26A6.pdf")</f>
        <v>Melting_Curves/meltCurve_G3XAC1_SLC26A6.pdf</v>
      </c>
    </row>
    <row r="890" spans="1:28" x14ac:dyDescent="0.25">
      <c r="A890" t="s">
        <v>894</v>
      </c>
      <c r="B890">
        <v>0.99999676499088797</v>
      </c>
      <c r="C890">
        <v>1.15634578518672</v>
      </c>
      <c r="D890">
        <v>0.97811836698920696</v>
      </c>
      <c r="E890">
        <v>0.525112610479604</v>
      </c>
      <c r="F890">
        <v>0.57603055446955098</v>
      </c>
      <c r="G890">
        <v>0.94100206610642001</v>
      </c>
      <c r="H890">
        <v>1.0318367088679401</v>
      </c>
      <c r="I890">
        <v>2.57779814307706</v>
      </c>
      <c r="J890">
        <v>4.1315591509614098</v>
      </c>
      <c r="K890">
        <v>4.6582892559462099</v>
      </c>
      <c r="L890">
        <v>15000</v>
      </c>
      <c r="M890">
        <v>244.05837420506401</v>
      </c>
      <c r="O890">
        <v>61.456579769022902</v>
      </c>
      <c r="P890">
        <v>0.49640408275007297</v>
      </c>
      <c r="Q890">
        <v>1.5</v>
      </c>
      <c r="R890">
        <v>9.22186978566987E-2</v>
      </c>
      <c r="S890" t="s">
        <v>7893</v>
      </c>
      <c r="T890" t="s">
        <v>14004</v>
      </c>
      <c r="U890" t="s">
        <v>14004</v>
      </c>
      <c r="V890" t="s">
        <v>14004</v>
      </c>
      <c r="W890" t="s">
        <v>14883</v>
      </c>
      <c r="X890">
        <v>1</v>
      </c>
      <c r="Y890" t="s">
        <v>21819</v>
      </c>
      <c r="Z890" t="s">
        <v>28600</v>
      </c>
      <c r="AA890">
        <v>1.142264975766109</v>
      </c>
      <c r="AB890" t="str">
        <f>HYPERLINK("Melting_Curves/meltCurve_G3XAE9_FAM179B.pdf", "Melting_Curves/meltCurve_G3XAE9_FAM179B.pdf")</f>
        <v>Melting_Curves/meltCurve_G3XAE9_FAM179B.pdf</v>
      </c>
    </row>
    <row r="891" spans="1:28" x14ac:dyDescent="0.25">
      <c r="A891" t="s">
        <v>895</v>
      </c>
      <c r="B891">
        <v>0.99999676499088797</v>
      </c>
      <c r="C891">
        <v>0.97155792874873004</v>
      </c>
      <c r="D891">
        <v>1.0103416768712301</v>
      </c>
      <c r="E891">
        <v>1.02893331816189</v>
      </c>
      <c r="F891">
        <v>0.83350967961202904</v>
      </c>
      <c r="G891">
        <v>1.0135410143025101</v>
      </c>
      <c r="H891">
        <v>0.80227036662425499</v>
      </c>
      <c r="I891">
        <v>0.81259406375809295</v>
      </c>
      <c r="J891">
        <v>0.83163750145912096</v>
      </c>
      <c r="K891">
        <v>1.1139825832956101</v>
      </c>
      <c r="L891">
        <v>12813.534870727801</v>
      </c>
      <c r="M891">
        <v>250</v>
      </c>
      <c r="O891">
        <v>51.2508595756304</v>
      </c>
      <c r="P891">
        <v>-0.120416917819022</v>
      </c>
      <c r="Q891">
        <v>0.90125647141904697</v>
      </c>
      <c r="R891">
        <v>0.221488292291497</v>
      </c>
      <c r="S891" t="s">
        <v>7894</v>
      </c>
      <c r="T891" t="s">
        <v>14004</v>
      </c>
      <c r="U891" t="s">
        <v>14004</v>
      </c>
      <c r="V891" t="s">
        <v>14004</v>
      </c>
      <c r="W891" t="s">
        <v>14884</v>
      </c>
      <c r="X891">
        <v>4</v>
      </c>
      <c r="Y891" t="s">
        <v>21820</v>
      </c>
      <c r="Z891" t="s">
        <v>28601</v>
      </c>
      <c r="AA891">
        <v>0.93830780154370952</v>
      </c>
      <c r="AB891" t="str">
        <f>HYPERLINK("Melting_Curves/meltCurve_G3XAI9_FAM133B.pdf", "Melting_Curves/meltCurve_G3XAI9_FAM133B.pdf")</f>
        <v>Melting_Curves/meltCurve_G3XAI9_FAM133B.pdf</v>
      </c>
    </row>
    <row r="892" spans="1:28" x14ac:dyDescent="0.25">
      <c r="A892" t="s">
        <v>896</v>
      </c>
      <c r="B892">
        <v>0.99999676499088797</v>
      </c>
      <c r="C892">
        <v>1.20093809946595</v>
      </c>
      <c r="D892">
        <v>1.17346206811787</v>
      </c>
      <c r="E892">
        <v>0.76955427703568502</v>
      </c>
      <c r="F892">
        <v>0.47332367355605798</v>
      </c>
      <c r="G892">
        <v>0.48264274159415099</v>
      </c>
      <c r="H892">
        <v>0.18308284916171499</v>
      </c>
      <c r="I892">
        <v>0.22622453329112499</v>
      </c>
      <c r="J892">
        <v>0.28873964439588601</v>
      </c>
      <c r="K892">
        <v>0.13689832640921101</v>
      </c>
      <c r="L892">
        <v>1195.8904018201899</v>
      </c>
      <c r="M892">
        <v>22.850374894105201</v>
      </c>
      <c r="N892">
        <v>53.690600487038999</v>
      </c>
      <c r="O892">
        <v>51.9398023967128</v>
      </c>
      <c r="P892">
        <v>-8.5888120480139996E-2</v>
      </c>
      <c r="Q892">
        <v>0.21910649969524601</v>
      </c>
      <c r="R892">
        <v>0.91431957388331697</v>
      </c>
      <c r="S892" t="s">
        <v>7895</v>
      </c>
      <c r="T892" t="s">
        <v>14004</v>
      </c>
      <c r="U892" t="s">
        <v>14004</v>
      </c>
      <c r="V892" t="s">
        <v>14004</v>
      </c>
      <c r="W892" t="s">
        <v>14885</v>
      </c>
      <c r="X892">
        <v>2</v>
      </c>
      <c r="Y892" t="s">
        <v>21821</v>
      </c>
      <c r="Z892" t="s">
        <v>28602</v>
      </c>
      <c r="AA892">
        <v>0.54867477449505508</v>
      </c>
      <c r="AB892" t="str">
        <f>HYPERLINK("Melting_Curves/meltCurve_G3XAN4_TRAM1.pdf", "Melting_Curves/meltCurve_G3XAN4_TRAM1.pdf")</f>
        <v>Melting_Curves/meltCurve_G3XAN4_TRAM1.pdf</v>
      </c>
    </row>
    <row r="893" spans="1:28" x14ac:dyDescent="0.25">
      <c r="A893" t="s">
        <v>897</v>
      </c>
      <c r="B893">
        <v>0.99999676499088797</v>
      </c>
      <c r="C893">
        <v>1.1126945186785999</v>
      </c>
      <c r="D893">
        <v>1.16438626880407</v>
      </c>
      <c r="E893">
        <v>1.1841356921325199</v>
      </c>
      <c r="F893">
        <v>1.1014385074761499</v>
      </c>
      <c r="G893">
        <v>1.07660439042448</v>
      </c>
      <c r="H893">
        <v>0.72138093517017099</v>
      </c>
      <c r="I893">
        <v>0.77520436415449001</v>
      </c>
      <c r="J893">
        <v>0.72046821927906901</v>
      </c>
      <c r="K893">
        <v>0.63404114283450597</v>
      </c>
      <c r="S893" t="s">
        <v>7896</v>
      </c>
      <c r="T893" t="s">
        <v>14004</v>
      </c>
      <c r="U893" t="s">
        <v>14005</v>
      </c>
      <c r="V893" t="s">
        <v>14004</v>
      </c>
      <c r="W893" t="s">
        <v>14886</v>
      </c>
      <c r="X893">
        <v>4</v>
      </c>
      <c r="Y893" t="s">
        <v>21822</v>
      </c>
      <c r="Z893" t="s">
        <v>28603</v>
      </c>
      <c r="AB893" t="str">
        <f>HYPERLINK("Melting_Curves/meltCurve_G3XAN8_TIMM8B.pdf", "Melting_Curves/meltCurve_G3XAN8_TIMM8B.pdf")</f>
        <v>Melting_Curves/meltCurve_G3XAN8_TIMM8B.pdf</v>
      </c>
    </row>
    <row r="894" spans="1:28" x14ac:dyDescent="0.25">
      <c r="A894" t="s">
        <v>898</v>
      </c>
      <c r="B894">
        <v>0.99999676499088797</v>
      </c>
      <c r="C894">
        <v>0.90820451982704598</v>
      </c>
      <c r="D894">
        <v>0.93523034577472097</v>
      </c>
      <c r="E894">
        <v>0.84515160709641401</v>
      </c>
      <c r="F894">
        <v>0.39928279645911502</v>
      </c>
      <c r="G894">
        <v>0.244409065677309</v>
      </c>
      <c r="H894">
        <v>0.119088267088387</v>
      </c>
      <c r="I894">
        <v>0.115722549920672</v>
      </c>
      <c r="J894">
        <v>0.104106408123684</v>
      </c>
      <c r="K894">
        <v>9.6330000005229593E-2</v>
      </c>
      <c r="L894">
        <v>1320.59800091957</v>
      </c>
      <c r="M894">
        <v>25.345063115751199</v>
      </c>
      <c r="N894">
        <v>52.593111705971197</v>
      </c>
      <c r="O894">
        <v>51.783631668832101</v>
      </c>
      <c r="P894">
        <v>-0.109531986467721</v>
      </c>
      <c r="Q894">
        <v>0.10485283142586201</v>
      </c>
      <c r="R894">
        <v>0.99007258695394595</v>
      </c>
      <c r="S894" t="s">
        <v>7897</v>
      </c>
      <c r="T894" t="s">
        <v>14004</v>
      </c>
      <c r="U894" t="s">
        <v>14004</v>
      </c>
      <c r="V894" t="s">
        <v>14004</v>
      </c>
      <c r="W894" t="s">
        <v>14887</v>
      </c>
      <c r="X894">
        <v>10</v>
      </c>
      <c r="Y894" t="s">
        <v>21823</v>
      </c>
      <c r="Z894" t="s">
        <v>28604</v>
      </c>
      <c r="AA894">
        <v>0.47400428969165481</v>
      </c>
      <c r="AB894" t="str">
        <f>HYPERLINK("Melting_Curves/meltCurve_G3XAP3_ABCB8.pdf", "Melting_Curves/meltCurve_G3XAP3_ABCB8.pdf")</f>
        <v>Melting_Curves/meltCurve_G3XAP3_ABCB8.pdf</v>
      </c>
    </row>
    <row r="895" spans="1:28" x14ac:dyDescent="0.25">
      <c r="A895" t="s">
        <v>899</v>
      </c>
      <c r="B895">
        <v>0.99999676499088797</v>
      </c>
      <c r="C895">
        <v>1.06522140864898</v>
      </c>
      <c r="D895">
        <v>0.92639161883207699</v>
      </c>
      <c r="E895">
        <v>0.67530325660289403</v>
      </c>
      <c r="F895">
        <v>0.39255810450064799</v>
      </c>
      <c r="G895">
        <v>0.26698135273920698</v>
      </c>
      <c r="H895">
        <v>0.107634680376806</v>
      </c>
      <c r="I895">
        <v>9.3066432134149599E-2</v>
      </c>
      <c r="J895">
        <v>8.4151989087074899E-2</v>
      </c>
      <c r="K895">
        <v>8.4105185303343794E-2</v>
      </c>
      <c r="L895">
        <v>968.94250213870396</v>
      </c>
      <c r="M895">
        <v>18.806699024269001</v>
      </c>
      <c r="N895">
        <v>51.988587187803802</v>
      </c>
      <c r="O895">
        <v>50.949218380630299</v>
      </c>
      <c r="P895">
        <v>-8.5106877151923097E-2</v>
      </c>
      <c r="Q895">
        <v>7.77862833324411E-2</v>
      </c>
      <c r="R895">
        <v>0.99230968909494099</v>
      </c>
      <c r="S895" t="s">
        <v>7898</v>
      </c>
      <c r="T895" t="s">
        <v>14004</v>
      </c>
      <c r="U895" t="s">
        <v>14004</v>
      </c>
      <c r="V895" t="s">
        <v>14004</v>
      </c>
      <c r="W895" t="s">
        <v>14888</v>
      </c>
      <c r="X895">
        <v>6</v>
      </c>
      <c r="Y895" t="s">
        <v>21824</v>
      </c>
      <c r="Z895" t="s">
        <v>28605</v>
      </c>
      <c r="AA895">
        <v>0.44624041085475008</v>
      </c>
      <c r="AB895" t="str">
        <f>HYPERLINK("Melting_Curves/meltCurve_G5E933_SBF1.pdf", "Melting_Curves/meltCurve_G5E933_SBF1.pdf")</f>
        <v>Melting_Curves/meltCurve_G5E933_SBF1.pdf</v>
      </c>
    </row>
    <row r="896" spans="1:28" x14ac:dyDescent="0.25">
      <c r="A896" t="s">
        <v>900</v>
      </c>
      <c r="B896">
        <v>0.99999676499088797</v>
      </c>
      <c r="C896">
        <v>1.00275712179696</v>
      </c>
      <c r="D896">
        <v>0.93447039354450201</v>
      </c>
      <c r="E896">
        <v>0.79770317371057398</v>
      </c>
      <c r="F896">
        <v>0.30855175862229201</v>
      </c>
      <c r="G896">
        <v>0.16880283211699301</v>
      </c>
      <c r="H896">
        <v>7.6354744166343497E-2</v>
      </c>
      <c r="I896">
        <v>6.5943313563970304E-2</v>
      </c>
      <c r="J896">
        <v>6.0521159260814798E-2</v>
      </c>
      <c r="K896">
        <v>5.5912607872462598E-2</v>
      </c>
      <c r="L896">
        <v>1493.54561482555</v>
      </c>
      <c r="M896">
        <v>28.9722375453604</v>
      </c>
      <c r="N896">
        <v>51.806786258581802</v>
      </c>
      <c r="O896">
        <v>51.307191917308501</v>
      </c>
      <c r="P896">
        <v>-0.13176042831509199</v>
      </c>
      <c r="Q896">
        <v>6.6664029190524804E-2</v>
      </c>
      <c r="R896">
        <v>0.99708987757495904</v>
      </c>
      <c r="S896" t="s">
        <v>7899</v>
      </c>
      <c r="T896" t="s">
        <v>14004</v>
      </c>
      <c r="U896" t="s">
        <v>14004</v>
      </c>
      <c r="V896" t="s">
        <v>14004</v>
      </c>
      <c r="W896" t="s">
        <v>14452</v>
      </c>
      <c r="X896">
        <v>37</v>
      </c>
      <c r="Y896" t="s">
        <v>21390</v>
      </c>
      <c r="Z896" t="s">
        <v>28606</v>
      </c>
      <c r="AA896">
        <v>0.43237330646255268</v>
      </c>
      <c r="AB896" t="str">
        <f>HYPERLINK("Melting_Curves/meltCurve_G5E948_MAP4K4.pdf", "Melting_Curves/meltCurve_G5E948_MAP4K4.pdf")</f>
        <v>Melting_Curves/meltCurve_G5E948_MAP4K4.pdf</v>
      </c>
    </row>
    <row r="897" spans="1:28" x14ac:dyDescent="0.25">
      <c r="A897" t="s">
        <v>901</v>
      </c>
      <c r="B897">
        <v>0.99999676499088797</v>
      </c>
      <c r="C897">
        <v>0.95744121547232497</v>
      </c>
      <c r="D897">
        <v>0.98408662926840196</v>
      </c>
      <c r="E897">
        <v>0.64312675707538103</v>
      </c>
      <c r="F897">
        <v>0.57048414080090604</v>
      </c>
      <c r="G897">
        <v>0.56453596007250295</v>
      </c>
      <c r="H897">
        <v>0.35855063678520199</v>
      </c>
      <c r="I897">
        <v>0.30907757926518298</v>
      </c>
      <c r="J897">
        <v>0.26303698460443897</v>
      </c>
      <c r="K897">
        <v>0.28448503695962102</v>
      </c>
      <c r="L897">
        <v>608.28756995593096</v>
      </c>
      <c r="M897">
        <v>11.520344127145099</v>
      </c>
      <c r="N897">
        <v>55.792795669201901</v>
      </c>
      <c r="O897">
        <v>51.285368223792702</v>
      </c>
      <c r="P897">
        <v>-4.3230546189915398E-2</v>
      </c>
      <c r="Q897">
        <v>0.230415757938151</v>
      </c>
      <c r="R897">
        <v>0.95692147615017498</v>
      </c>
      <c r="S897" t="s">
        <v>7900</v>
      </c>
      <c r="T897" t="s">
        <v>14004</v>
      </c>
      <c r="U897" t="s">
        <v>14004</v>
      </c>
      <c r="V897" t="s">
        <v>14004</v>
      </c>
      <c r="W897" t="s">
        <v>14889</v>
      </c>
      <c r="X897">
        <v>5</v>
      </c>
      <c r="Y897" t="s">
        <v>21825</v>
      </c>
      <c r="Z897" t="s">
        <v>28607</v>
      </c>
      <c r="AA897">
        <v>0.58209684789191818</v>
      </c>
      <c r="AB897" t="str">
        <f>HYPERLINK("Melting_Curves/meltCurve_G5E994_GPR107.pdf", "Melting_Curves/meltCurve_G5E994_GPR107.pdf")</f>
        <v>Melting_Curves/meltCurve_G5E994_GPR107.pdf</v>
      </c>
    </row>
    <row r="898" spans="1:28" x14ac:dyDescent="0.25">
      <c r="A898" t="s">
        <v>902</v>
      </c>
      <c r="B898">
        <v>0.99999676499088797</v>
      </c>
      <c r="C898">
        <v>0.62495388984729205</v>
      </c>
      <c r="D898">
        <v>0.304451319019511</v>
      </c>
      <c r="E898">
        <v>0.25226994999678398</v>
      </c>
      <c r="F898">
        <v>0.178988247240813</v>
      </c>
      <c r="G898">
        <v>0.137701069900796</v>
      </c>
      <c r="H898">
        <v>7.0887485102354097E-2</v>
      </c>
      <c r="I898">
        <v>6.3475768395545307E-2</v>
      </c>
      <c r="J898">
        <v>5.8340498554047403E-2</v>
      </c>
      <c r="K898">
        <v>5.9060288289341303E-2</v>
      </c>
      <c r="L898">
        <v>981.51155892465601</v>
      </c>
      <c r="M898">
        <v>22.3593834675743</v>
      </c>
      <c r="N898">
        <v>44.334641291983402</v>
      </c>
      <c r="O898">
        <v>43.550455058353897</v>
      </c>
      <c r="P898">
        <v>-0.11564688781586301</v>
      </c>
      <c r="Q898">
        <v>9.9014325341633402E-2</v>
      </c>
      <c r="R898">
        <v>0.96564045369639795</v>
      </c>
      <c r="S898" t="s">
        <v>7901</v>
      </c>
      <c r="T898" t="s">
        <v>14004</v>
      </c>
      <c r="U898" t="s">
        <v>14004</v>
      </c>
      <c r="V898" t="s">
        <v>14004</v>
      </c>
      <c r="W898" t="s">
        <v>14256</v>
      </c>
      <c r="X898">
        <v>13</v>
      </c>
      <c r="Y898" t="s">
        <v>21826</v>
      </c>
      <c r="Z898" t="s">
        <v>28608</v>
      </c>
      <c r="AA898">
        <v>0.22980287668713639</v>
      </c>
      <c r="AB898" t="str">
        <f>HYPERLINK("Melting_Curves/meltCurve_G5E9A6_USP11.pdf", "Melting_Curves/meltCurve_G5E9A6_USP11.pdf")</f>
        <v>Melting_Curves/meltCurve_G5E9A6_USP11.pdf</v>
      </c>
    </row>
    <row r="899" spans="1:28" x14ac:dyDescent="0.25">
      <c r="A899" t="s">
        <v>903</v>
      </c>
      <c r="B899">
        <v>0.99999676499088797</v>
      </c>
      <c r="C899">
        <v>0.98397286384035698</v>
      </c>
      <c r="D899">
        <v>1.10911356083448</v>
      </c>
      <c r="E899">
        <v>0.65438406434385099</v>
      </c>
      <c r="F899">
        <v>0.60503335818231596</v>
      </c>
      <c r="G899">
        <v>0.24083407616811101</v>
      </c>
      <c r="H899">
        <v>0.15813082494807101</v>
      </c>
      <c r="I899">
        <v>0.18067548085180801</v>
      </c>
      <c r="J899">
        <v>0.19739965847611399</v>
      </c>
      <c r="K899">
        <v>0.239657169957502</v>
      </c>
      <c r="L899">
        <v>1130.5666871649501</v>
      </c>
      <c r="M899">
        <v>21.728520411764499</v>
      </c>
      <c r="N899">
        <v>53.118281994317101</v>
      </c>
      <c r="O899">
        <v>51.596762291572901</v>
      </c>
      <c r="P899">
        <v>-8.6389761439311499E-2</v>
      </c>
      <c r="Q899">
        <v>0.17945126100401501</v>
      </c>
      <c r="R899">
        <v>0.95164381628607797</v>
      </c>
      <c r="S899" t="s">
        <v>7902</v>
      </c>
      <c r="T899" t="s">
        <v>14004</v>
      </c>
      <c r="U899" t="s">
        <v>14004</v>
      </c>
      <c r="V899" t="s">
        <v>14004</v>
      </c>
      <c r="W899" t="s">
        <v>14890</v>
      </c>
      <c r="X899">
        <v>1</v>
      </c>
      <c r="Y899" t="s">
        <v>21827</v>
      </c>
      <c r="Z899" t="s">
        <v>28609</v>
      </c>
      <c r="AA899">
        <v>0.51829573224659031</v>
      </c>
      <c r="AB899" t="str">
        <f>HYPERLINK("Melting_Curves/meltCurve_G5E9E7_TJP1.pdf", "Melting_Curves/meltCurve_G5E9E7_TJP1.pdf")</f>
        <v>Melting_Curves/meltCurve_G5E9E7_TJP1.pdf</v>
      </c>
    </row>
    <row r="900" spans="1:28" x14ac:dyDescent="0.25">
      <c r="A900" t="s">
        <v>904</v>
      </c>
      <c r="B900">
        <v>0.99999676499088797</v>
      </c>
      <c r="C900">
        <v>0.82285525407460203</v>
      </c>
      <c r="D900">
        <v>0.75276679979658701</v>
      </c>
      <c r="E900">
        <v>0.423657669091828</v>
      </c>
      <c r="F900">
        <v>0.226265734604848</v>
      </c>
      <c r="G900">
        <v>0.16014934156493099</v>
      </c>
      <c r="H900">
        <v>8.3179716080757096E-2</v>
      </c>
      <c r="I900">
        <v>8.9366633101734594E-2</v>
      </c>
      <c r="J900">
        <v>9.21334091270192E-2</v>
      </c>
      <c r="K900">
        <v>7.6693659658517294E-2</v>
      </c>
      <c r="L900">
        <v>775.972672263238</v>
      </c>
      <c r="M900">
        <v>16.086737514140701</v>
      </c>
      <c r="N900">
        <v>48.692788447176902</v>
      </c>
      <c r="O900">
        <v>47.509855865437601</v>
      </c>
      <c r="P900">
        <v>-7.8736600930987194E-2</v>
      </c>
      <c r="Q900">
        <v>6.9922681119947996E-2</v>
      </c>
      <c r="R900">
        <v>0.99256271204660496</v>
      </c>
      <c r="S900" t="s">
        <v>7903</v>
      </c>
      <c r="T900" t="s">
        <v>14004</v>
      </c>
      <c r="U900" t="s">
        <v>14004</v>
      </c>
      <c r="V900" t="s">
        <v>14004</v>
      </c>
      <c r="W900" t="s">
        <v>14891</v>
      </c>
      <c r="X900">
        <v>6</v>
      </c>
      <c r="Y900" t="s">
        <v>21828</v>
      </c>
      <c r="Z900" t="s">
        <v>28610</v>
      </c>
      <c r="AA900">
        <v>0.34589488547987418</v>
      </c>
      <c r="AB900" t="str">
        <f>HYPERLINK("Melting_Curves/meltCurve_G5E9F3_CABIN1.pdf", "Melting_Curves/meltCurve_G5E9F3_CABIN1.pdf")</f>
        <v>Melting_Curves/meltCurve_G5E9F3_CABIN1.pdf</v>
      </c>
    </row>
    <row r="901" spans="1:28" x14ac:dyDescent="0.25">
      <c r="A901" t="s">
        <v>905</v>
      </c>
      <c r="B901">
        <v>0.99999676499088797</v>
      </c>
      <c r="C901">
        <v>0.79220898761845404</v>
      </c>
      <c r="D901">
        <v>0.51169112865882505</v>
      </c>
      <c r="E901">
        <v>0.229090681729855</v>
      </c>
      <c r="F901">
        <v>0.167999029791148</v>
      </c>
      <c r="G901">
        <v>0.10095523856763899</v>
      </c>
      <c r="H901">
        <v>5.1458322821173401E-2</v>
      </c>
      <c r="I901">
        <v>5.6978257454810298E-2</v>
      </c>
      <c r="J901">
        <v>5.3740546432797097E-2</v>
      </c>
      <c r="K901">
        <v>3.4457811926171901E-2</v>
      </c>
      <c r="L901">
        <v>872.42874185246205</v>
      </c>
      <c r="M901">
        <v>18.9999646163214</v>
      </c>
      <c r="N901">
        <v>46.211532376224199</v>
      </c>
      <c r="O901">
        <v>45.417806382535602</v>
      </c>
      <c r="P901">
        <v>-9.8631585109771006E-2</v>
      </c>
      <c r="Q901">
        <v>5.6955789102916703E-2</v>
      </c>
      <c r="R901">
        <v>0.99398193075494701</v>
      </c>
      <c r="S901" t="s">
        <v>7904</v>
      </c>
      <c r="T901" t="s">
        <v>14004</v>
      </c>
      <c r="U901" t="s">
        <v>14004</v>
      </c>
      <c r="V901" t="s">
        <v>14004</v>
      </c>
      <c r="W901" t="s">
        <v>14892</v>
      </c>
      <c r="X901">
        <v>5</v>
      </c>
      <c r="Y901" t="s">
        <v>21829</v>
      </c>
      <c r="Z901" t="s">
        <v>28611</v>
      </c>
      <c r="AA901">
        <v>0.25945738529866968</v>
      </c>
      <c r="AB901" t="str">
        <f>HYPERLINK("Melting_Curves/meltCurve_G5E9L8_ECT2.pdf", "Melting_Curves/meltCurve_G5E9L8_ECT2.pdf")</f>
        <v>Melting_Curves/meltCurve_G5E9L8_ECT2.pdf</v>
      </c>
    </row>
    <row r="902" spans="1:28" x14ac:dyDescent="0.25">
      <c r="A902" t="s">
        <v>906</v>
      </c>
      <c r="B902">
        <v>0.99999676499088797</v>
      </c>
      <c r="C902">
        <v>1.0066527873225199</v>
      </c>
      <c r="D902">
        <v>0.86554072966037399</v>
      </c>
      <c r="E902">
        <v>0.90936580222958097</v>
      </c>
      <c r="F902">
        <v>0.40982880271016198</v>
      </c>
      <c r="G902">
        <v>0.34108732038941197</v>
      </c>
      <c r="H902">
        <v>0.31218831330493702</v>
      </c>
      <c r="I902">
        <v>0.36274762842129599</v>
      </c>
      <c r="J902">
        <v>0.30943455929617902</v>
      </c>
      <c r="K902">
        <v>0.227487280486909</v>
      </c>
      <c r="L902">
        <v>2540.6223102224899</v>
      </c>
      <c r="M902">
        <v>49.437329826763197</v>
      </c>
      <c r="N902">
        <v>52.4066180837617</v>
      </c>
      <c r="O902">
        <v>51.3068938808483</v>
      </c>
      <c r="P902">
        <v>-0.166641636897048</v>
      </c>
      <c r="Q902">
        <v>0.30822669514901602</v>
      </c>
      <c r="R902">
        <v>0.97064683937665297</v>
      </c>
      <c r="S902" t="s">
        <v>7905</v>
      </c>
      <c r="T902" t="s">
        <v>14004</v>
      </c>
      <c r="U902" t="s">
        <v>14004</v>
      </c>
      <c r="V902" t="s">
        <v>14004</v>
      </c>
      <c r="W902" t="s">
        <v>14893</v>
      </c>
      <c r="X902">
        <v>1</v>
      </c>
      <c r="Y902" t="s">
        <v>21830</v>
      </c>
      <c r="Z902" t="s">
        <v>28612</v>
      </c>
      <c r="AA902">
        <v>0.57249183644628698</v>
      </c>
      <c r="AB902" t="str">
        <f>HYPERLINK("Melting_Curves/meltCurve_G5E9P1_ITPR1.pdf", "Melting_Curves/meltCurve_G5E9P1_ITPR1.pdf")</f>
        <v>Melting_Curves/meltCurve_G5E9P1_ITPR1.pdf</v>
      </c>
    </row>
    <row r="903" spans="1:28" x14ac:dyDescent="0.25">
      <c r="A903" t="s">
        <v>907</v>
      </c>
      <c r="B903">
        <v>0.99999676499088797</v>
      </c>
      <c r="C903">
        <v>1.0685426604060999</v>
      </c>
      <c r="D903">
        <v>0.98011712776944804</v>
      </c>
      <c r="E903">
        <v>0.74556798066122099</v>
      </c>
      <c r="F903">
        <v>0.39477127713660398</v>
      </c>
      <c r="G903">
        <v>0.186269223880624</v>
      </c>
      <c r="H903">
        <v>7.5683095967032404E-2</v>
      </c>
      <c r="I903">
        <v>6.6565686722128398E-2</v>
      </c>
      <c r="J903">
        <v>5.7987309866275198E-2</v>
      </c>
      <c r="K903">
        <v>5.0179864855159302E-2</v>
      </c>
      <c r="L903">
        <v>1209.3345455450101</v>
      </c>
      <c r="M903">
        <v>23.2950890435249</v>
      </c>
      <c r="N903">
        <v>52.169118146718397</v>
      </c>
      <c r="O903">
        <v>51.535668963487197</v>
      </c>
      <c r="P903">
        <v>-0.10691655347925</v>
      </c>
      <c r="Q903">
        <v>5.3891571960353497E-2</v>
      </c>
      <c r="R903">
        <v>0.99587602121860197</v>
      </c>
      <c r="S903" t="s">
        <v>7906</v>
      </c>
      <c r="T903" t="s">
        <v>14004</v>
      </c>
      <c r="U903" t="s">
        <v>14004</v>
      </c>
      <c r="V903" t="s">
        <v>14004</v>
      </c>
      <c r="W903" t="s">
        <v>14894</v>
      </c>
      <c r="X903">
        <v>19</v>
      </c>
      <c r="Y903" t="s">
        <v>21831</v>
      </c>
      <c r="Z903" t="s">
        <v>28613</v>
      </c>
      <c r="AA903">
        <v>0.43949153081569209</v>
      </c>
      <c r="AB903" t="str">
        <f>HYPERLINK("Melting_Curves/meltCurve_G5E9W9_GIMAP4.pdf", "Melting_Curves/meltCurve_G5E9W9_GIMAP4.pdf")</f>
        <v>Melting_Curves/meltCurve_G5E9W9_GIMAP4.pdf</v>
      </c>
    </row>
    <row r="904" spans="1:28" x14ac:dyDescent="0.25">
      <c r="A904" t="s">
        <v>908</v>
      </c>
      <c r="B904">
        <v>0.99999676499088797</v>
      </c>
      <c r="C904">
        <v>0.87763901939272504</v>
      </c>
      <c r="D904">
        <v>0.81053462805008503</v>
      </c>
      <c r="E904">
        <v>0.48700835940069098</v>
      </c>
      <c r="F904">
        <v>0.32235186821717599</v>
      </c>
      <c r="G904">
        <v>0.41917682706769199</v>
      </c>
      <c r="H904">
        <v>0.18158256025334199</v>
      </c>
      <c r="I904">
        <v>0.33098889876362098</v>
      </c>
      <c r="J904">
        <v>0.24632458631365201</v>
      </c>
      <c r="K904">
        <v>8.7210766832965803E-2</v>
      </c>
      <c r="L904">
        <v>736.12212688433203</v>
      </c>
      <c r="M904">
        <v>15.1889020212868</v>
      </c>
      <c r="N904">
        <v>50.265874872063797</v>
      </c>
      <c r="O904">
        <v>47.647700473421303</v>
      </c>
      <c r="P904">
        <v>-6.2973311113481395E-2</v>
      </c>
      <c r="Q904">
        <v>0.20988531058123899</v>
      </c>
      <c r="R904">
        <v>0.93364843544485898</v>
      </c>
      <c r="S904" t="s">
        <v>7907</v>
      </c>
      <c r="T904" t="s">
        <v>14004</v>
      </c>
      <c r="U904" t="s">
        <v>14004</v>
      </c>
      <c r="V904" t="s">
        <v>14004</v>
      </c>
      <c r="W904" t="s">
        <v>14895</v>
      </c>
      <c r="X904">
        <v>3</v>
      </c>
      <c r="Y904" t="s">
        <v>21832</v>
      </c>
      <c r="Z904" t="s">
        <v>28614</v>
      </c>
      <c r="AA904">
        <v>0.45225469014633968</v>
      </c>
      <c r="AB904" t="str">
        <f>HYPERLINK("Melting_Curves/meltCurve_G5EA07_PWWP2A.pdf", "Melting_Curves/meltCurve_G5EA07_PWWP2A.pdf")</f>
        <v>Melting_Curves/meltCurve_G5EA07_PWWP2A.pdf</v>
      </c>
    </row>
    <row r="905" spans="1:28" x14ac:dyDescent="0.25">
      <c r="A905" t="s">
        <v>909</v>
      </c>
      <c r="B905">
        <v>0.99999676499088797</v>
      </c>
      <c r="C905">
        <v>0.83881609836481497</v>
      </c>
      <c r="D905">
        <v>0.85777867159866095</v>
      </c>
      <c r="E905">
        <v>0.47642007031363298</v>
      </c>
      <c r="F905">
        <v>0.31480605636651599</v>
      </c>
      <c r="G905">
        <v>0.29753928919151701</v>
      </c>
      <c r="H905">
        <v>0.17012674029279801</v>
      </c>
      <c r="I905">
        <v>0.31394755411435998</v>
      </c>
      <c r="J905">
        <v>0.32050868947227801</v>
      </c>
      <c r="K905">
        <v>0.34100848758321201</v>
      </c>
      <c r="L905">
        <v>1200.9846021906201</v>
      </c>
      <c r="M905">
        <v>25.1163652133794</v>
      </c>
      <c r="N905">
        <v>49.444268544231797</v>
      </c>
      <c r="O905">
        <v>47.516784423570499</v>
      </c>
      <c r="P905">
        <v>-9.4979573536105893E-2</v>
      </c>
      <c r="Q905">
        <v>0.28125520642372898</v>
      </c>
      <c r="R905">
        <v>0.95122158853535099</v>
      </c>
      <c r="S905" t="s">
        <v>7908</v>
      </c>
      <c r="T905" t="s">
        <v>14004</v>
      </c>
      <c r="U905" t="s">
        <v>14004</v>
      </c>
      <c r="V905" t="s">
        <v>14004</v>
      </c>
      <c r="W905" t="s">
        <v>14896</v>
      </c>
      <c r="X905">
        <v>1</v>
      </c>
      <c r="Y905" t="s">
        <v>21833</v>
      </c>
      <c r="Z905" t="s">
        <v>28615</v>
      </c>
      <c r="AA905">
        <v>0.47482573205507828</v>
      </c>
      <c r="AB905" t="str">
        <f>HYPERLINK("Melting_Curves/meltCurve_G5EA25_FAT3.pdf", "Melting_Curves/meltCurve_G5EA25_FAT3.pdf")</f>
        <v>Melting_Curves/meltCurve_G5EA25_FAT3.pdf</v>
      </c>
    </row>
    <row r="906" spans="1:28" x14ac:dyDescent="0.25">
      <c r="A906" t="s">
        <v>910</v>
      </c>
      <c r="B906">
        <v>0.99999676499088797</v>
      </c>
      <c r="C906">
        <v>0.93031683806907395</v>
      </c>
      <c r="D906">
        <v>0.63736894964679403</v>
      </c>
      <c r="E906">
        <v>0.26454123892231701</v>
      </c>
      <c r="F906">
        <v>0.20768959290595801</v>
      </c>
      <c r="G906">
        <v>0.14296518920088799</v>
      </c>
      <c r="H906">
        <v>7.4544530922171906E-2</v>
      </c>
      <c r="I906">
        <v>7.5058220148748606E-2</v>
      </c>
      <c r="J906">
        <v>5.9994743890186303E-2</v>
      </c>
      <c r="K906">
        <v>5.9262466044789901E-2</v>
      </c>
      <c r="L906">
        <v>1058.2382159902099</v>
      </c>
      <c r="M906">
        <v>22.541098255031699</v>
      </c>
      <c r="N906">
        <v>47.332748907639299</v>
      </c>
      <c r="O906">
        <v>46.582245473081699</v>
      </c>
      <c r="P906">
        <v>-0.11082748978540601</v>
      </c>
      <c r="Q906">
        <v>8.3897580348218995E-2</v>
      </c>
      <c r="R906">
        <v>0.99236917926704704</v>
      </c>
      <c r="S906" t="s">
        <v>7909</v>
      </c>
      <c r="T906" t="s">
        <v>14004</v>
      </c>
      <c r="U906" t="s">
        <v>14004</v>
      </c>
      <c r="V906" t="s">
        <v>14004</v>
      </c>
      <c r="W906" t="s">
        <v>14897</v>
      </c>
      <c r="X906">
        <v>15</v>
      </c>
      <c r="Y906" t="s">
        <v>21834</v>
      </c>
      <c r="Z906" t="s">
        <v>28616</v>
      </c>
      <c r="AA906">
        <v>0.30634117858746929</v>
      </c>
      <c r="AB906" t="str">
        <f>HYPERLINK("Melting_Curves/meltCurve_G5EA30_CELF1.pdf", "Melting_Curves/meltCurve_G5EA30_CELF1.pdf")</f>
        <v>Melting_Curves/meltCurve_G5EA30_CELF1.pdf</v>
      </c>
    </row>
    <row r="907" spans="1:28" x14ac:dyDescent="0.25">
      <c r="A907" t="s">
        <v>911</v>
      </c>
      <c r="B907">
        <v>0.99999676499088797</v>
      </c>
      <c r="C907">
        <v>1.0403356127361101</v>
      </c>
      <c r="D907">
        <v>0.992160736793545</v>
      </c>
      <c r="E907">
        <v>0.82883152995699605</v>
      </c>
      <c r="F907">
        <v>0.55895187611655595</v>
      </c>
      <c r="G907">
        <v>0.21128827400664599</v>
      </c>
      <c r="H907">
        <v>9.1090571859130595E-2</v>
      </c>
      <c r="I907">
        <v>9.3388047829308901E-2</v>
      </c>
      <c r="J907">
        <v>9.5068482424572401E-2</v>
      </c>
      <c r="K907">
        <v>6.6922825161944699E-2</v>
      </c>
      <c r="L907">
        <v>1295.2568737541801</v>
      </c>
      <c r="M907">
        <v>24.364620302875199</v>
      </c>
      <c r="N907">
        <v>53.4874748322977</v>
      </c>
      <c r="O907">
        <v>52.807159841230501</v>
      </c>
      <c r="P907">
        <v>-0.107387731242649</v>
      </c>
      <c r="Q907">
        <v>6.9018140295336303E-2</v>
      </c>
      <c r="R907">
        <v>0.99686422648350304</v>
      </c>
      <c r="S907" t="s">
        <v>7910</v>
      </c>
      <c r="T907" t="s">
        <v>14004</v>
      </c>
      <c r="U907" t="s">
        <v>14004</v>
      </c>
      <c r="V907" t="s">
        <v>14004</v>
      </c>
      <c r="W907" t="s">
        <v>14898</v>
      </c>
      <c r="X907">
        <v>18</v>
      </c>
      <c r="Y907" t="s">
        <v>21835</v>
      </c>
      <c r="Z907" t="s">
        <v>28617</v>
      </c>
      <c r="AA907">
        <v>0.48645393338066151</v>
      </c>
      <c r="AB907" t="str">
        <f>HYPERLINK("Melting_Curves/meltCurve_G5EA36_CDC27.pdf", "Melting_Curves/meltCurve_G5EA36_CDC27.pdf")</f>
        <v>Melting_Curves/meltCurve_G5EA36_CDC27.pdf</v>
      </c>
    </row>
    <row r="908" spans="1:28" x14ac:dyDescent="0.25">
      <c r="A908" t="s">
        <v>912</v>
      </c>
      <c r="B908">
        <v>0.99999676499088797</v>
      </c>
      <c r="C908">
        <v>0.99188842197119498</v>
      </c>
      <c r="D908">
        <v>0.88425215388914302</v>
      </c>
      <c r="E908">
        <v>0.46207214148380199</v>
      </c>
      <c r="F908">
        <v>0.24202611726867301</v>
      </c>
      <c r="G908">
        <v>0.19461174265955</v>
      </c>
      <c r="H908">
        <v>9.5282649514502299E-2</v>
      </c>
      <c r="I908">
        <v>9.6383787289474401E-2</v>
      </c>
      <c r="J908">
        <v>8.8054227210314195E-2</v>
      </c>
      <c r="K908">
        <v>8.1392052005899995E-2</v>
      </c>
      <c r="L908">
        <v>1201.1369217747199</v>
      </c>
      <c r="M908">
        <v>24.460007540878799</v>
      </c>
      <c r="N908">
        <v>49.571612110946901</v>
      </c>
      <c r="O908">
        <v>48.781439758225503</v>
      </c>
      <c r="P908">
        <v>-0.11249513913626499</v>
      </c>
      <c r="Q908">
        <v>0.10260102312477</v>
      </c>
      <c r="R908">
        <v>0.99464524706285395</v>
      </c>
      <c r="S908" t="s">
        <v>7911</v>
      </c>
      <c r="T908" t="s">
        <v>14004</v>
      </c>
      <c r="U908" t="s">
        <v>14004</v>
      </c>
      <c r="V908" t="s">
        <v>14004</v>
      </c>
      <c r="W908" t="s">
        <v>14899</v>
      </c>
      <c r="X908">
        <v>41</v>
      </c>
      <c r="Y908" t="s">
        <v>21836</v>
      </c>
      <c r="Z908" t="s">
        <v>28618</v>
      </c>
      <c r="AA908">
        <v>0.38331920878432452</v>
      </c>
      <c r="AB908" t="str">
        <f>HYPERLINK("Melting_Curves/meltCurve_G5EA52_PDIA3.pdf", "Melting_Curves/meltCurve_G5EA52_PDIA3.pdf")</f>
        <v>Melting_Curves/meltCurve_G5EA52_PDIA3.pdf</v>
      </c>
    </row>
    <row r="909" spans="1:28" x14ac:dyDescent="0.25">
      <c r="A909" t="s">
        <v>913</v>
      </c>
      <c r="B909">
        <v>0.99999676499088797</v>
      </c>
      <c r="C909">
        <v>0.91448331997479804</v>
      </c>
      <c r="D909">
        <v>0.82081604052137103</v>
      </c>
      <c r="E909">
        <v>0.64776447242732504</v>
      </c>
      <c r="F909">
        <v>0.50223807348709504</v>
      </c>
      <c r="G909">
        <v>0.330406769864802</v>
      </c>
      <c r="H909">
        <v>0.112494778243325</v>
      </c>
      <c r="I909">
        <v>7.5077338214178599E-2</v>
      </c>
      <c r="J909">
        <v>4.3689879854855902E-2</v>
      </c>
      <c r="K909">
        <v>8.4587699811394204E-2</v>
      </c>
      <c r="L909">
        <v>622.23907838838295</v>
      </c>
      <c r="M909">
        <v>11.849507713600699</v>
      </c>
      <c r="N909">
        <v>52.511822801298798</v>
      </c>
      <c r="O909">
        <v>51.083221403673598</v>
      </c>
      <c r="P909">
        <v>-5.8005877308974101E-2</v>
      </c>
      <c r="Q909">
        <v>0</v>
      </c>
      <c r="R909">
        <v>0.99139061768535996</v>
      </c>
      <c r="S909" t="s">
        <v>7912</v>
      </c>
      <c r="T909" t="s">
        <v>14004</v>
      </c>
      <c r="U909" t="s">
        <v>14004</v>
      </c>
      <c r="V909" t="s">
        <v>14004</v>
      </c>
      <c r="W909" t="s">
        <v>14900</v>
      </c>
      <c r="X909">
        <v>3</v>
      </c>
      <c r="Y909" t="s">
        <v>21837</v>
      </c>
      <c r="Z909" t="s">
        <v>28619</v>
      </c>
      <c r="AA909">
        <v>0.44704219188884942</v>
      </c>
      <c r="AB909" t="str">
        <f>HYPERLINK("Melting_Curves/meltCurve_G8JL95_MAU2.pdf", "Melting_Curves/meltCurve_G8JL95_MAU2.pdf")</f>
        <v>Melting_Curves/meltCurve_G8JL95_MAU2.pdf</v>
      </c>
    </row>
    <row r="910" spans="1:28" x14ac:dyDescent="0.25">
      <c r="A910" t="s">
        <v>914</v>
      </c>
      <c r="B910">
        <v>0.99999676499088797</v>
      </c>
      <c r="C910">
        <v>0.419344317446746</v>
      </c>
      <c r="D910">
        <v>0.29521976622948498</v>
      </c>
      <c r="E910">
        <v>0.247545619745206</v>
      </c>
      <c r="F910">
        <v>0.163016851302342</v>
      </c>
      <c r="G910">
        <v>0.122866386571425</v>
      </c>
      <c r="H910">
        <v>8.3505188365346095E-2</v>
      </c>
      <c r="I910">
        <v>7.4082564141104798E-2</v>
      </c>
      <c r="J910">
        <v>5.3892399512872897E-2</v>
      </c>
      <c r="K910">
        <v>4.3230178615378902E-2</v>
      </c>
      <c r="L910">
        <v>1603.7357048736201</v>
      </c>
      <c r="M910">
        <v>37.793022130967898</v>
      </c>
      <c r="N910">
        <v>42.761002962993103</v>
      </c>
      <c r="O910">
        <v>42.316416953897203</v>
      </c>
      <c r="P910">
        <v>-0.195306905715603</v>
      </c>
      <c r="Q910">
        <v>0.125270589571751</v>
      </c>
      <c r="R910">
        <v>0.92497722855714104</v>
      </c>
      <c r="S910" t="s">
        <v>7913</v>
      </c>
      <c r="T910" t="s">
        <v>14004</v>
      </c>
      <c r="U910" t="s">
        <v>14004</v>
      </c>
      <c r="V910" t="s">
        <v>14004</v>
      </c>
      <c r="W910" t="s">
        <v>14901</v>
      </c>
      <c r="X910">
        <v>3</v>
      </c>
      <c r="Y910" t="s">
        <v>21838</v>
      </c>
      <c r="Z910" t="s">
        <v>28620</v>
      </c>
      <c r="AA910">
        <v>0.20178514337603851</v>
      </c>
      <c r="AB910" t="str">
        <f>HYPERLINK("Melting_Curves/meltCurve_G8JL98_TDG.pdf", "Melting_Curves/meltCurve_G8JL98_TDG.pdf")</f>
        <v>Melting_Curves/meltCurve_G8JL98_TDG.pdf</v>
      </c>
    </row>
    <row r="911" spans="1:28" x14ac:dyDescent="0.25">
      <c r="A911" t="s">
        <v>915</v>
      </c>
      <c r="B911">
        <v>0.99999676499088797</v>
      </c>
      <c r="C911">
        <v>0.90952816850471996</v>
      </c>
      <c r="D911">
        <v>0.87952365547032296</v>
      </c>
      <c r="E911">
        <v>0.50576974384357898</v>
      </c>
      <c r="F911">
        <v>0.28641141718780699</v>
      </c>
      <c r="G911">
        <v>0.164574215544667</v>
      </c>
      <c r="H911">
        <v>9.4408601089727998E-2</v>
      </c>
      <c r="I911">
        <v>9.8782423789623194E-2</v>
      </c>
      <c r="J911">
        <v>0.105193837114292</v>
      </c>
      <c r="K911">
        <v>0.107347193802086</v>
      </c>
      <c r="L911">
        <v>1006.48462158144</v>
      </c>
      <c r="M911">
        <v>20.359025377974799</v>
      </c>
      <c r="N911">
        <v>49.9602979156329</v>
      </c>
      <c r="O911">
        <v>48.967226492395802</v>
      </c>
      <c r="P911">
        <v>-9.3960531442745701E-2</v>
      </c>
      <c r="Q911">
        <v>9.6057502872602701E-2</v>
      </c>
      <c r="R911">
        <v>0.99521376397198302</v>
      </c>
      <c r="S911" t="s">
        <v>7914</v>
      </c>
      <c r="T911" t="s">
        <v>14004</v>
      </c>
      <c r="U911" t="s">
        <v>14004</v>
      </c>
      <c r="V911" t="s">
        <v>14004</v>
      </c>
      <c r="W911" t="s">
        <v>14902</v>
      </c>
      <c r="X911">
        <v>12</v>
      </c>
      <c r="Y911" t="s">
        <v>21839</v>
      </c>
      <c r="Z911" t="s">
        <v>28621</v>
      </c>
      <c r="AA911">
        <v>0.39257935844428488</v>
      </c>
      <c r="AB911" t="str">
        <f>HYPERLINK("Melting_Curves/meltCurve_G8JLA2_MYL6.pdf", "Melting_Curves/meltCurve_G8JLA2_MYL6.pdf")</f>
        <v>Melting_Curves/meltCurve_G8JLA2_MYL6.pdf</v>
      </c>
    </row>
    <row r="912" spans="1:28" x14ac:dyDescent="0.25">
      <c r="A912" t="s">
        <v>916</v>
      </c>
      <c r="B912">
        <v>0.99999676499088797</v>
      </c>
      <c r="C912">
        <v>0.92321819785177595</v>
      </c>
      <c r="D912">
        <v>0.408902906283926</v>
      </c>
      <c r="E912">
        <v>0.26423419448393098</v>
      </c>
      <c r="F912">
        <v>0.40721257956579399</v>
      </c>
      <c r="G912">
        <v>0.16968741518906399</v>
      </c>
      <c r="H912">
        <v>9.1866655682263307E-2</v>
      </c>
      <c r="I912">
        <v>9.4073614252424595E-2</v>
      </c>
      <c r="J912">
        <v>7.1248480842311904E-2</v>
      </c>
      <c r="K912">
        <v>5.0294200451967697E-2</v>
      </c>
      <c r="S912" t="s">
        <v>7915</v>
      </c>
      <c r="T912" t="s">
        <v>14004</v>
      </c>
      <c r="U912" t="s">
        <v>14005</v>
      </c>
      <c r="V912" t="s">
        <v>14004</v>
      </c>
      <c r="W912" t="s">
        <v>14903</v>
      </c>
      <c r="X912">
        <v>9</v>
      </c>
      <c r="Y912" t="s">
        <v>21840</v>
      </c>
      <c r="Z912" t="s">
        <v>28622</v>
      </c>
      <c r="AB912" t="str">
        <f>HYPERLINK("Melting_Curves/meltCurve_G8JLB3_PUS1.pdf", "Melting_Curves/meltCurve_G8JLB3_PUS1.pdf")</f>
        <v>Melting_Curves/meltCurve_G8JLB3_PUS1.pdf</v>
      </c>
    </row>
    <row r="913" spans="1:28" x14ac:dyDescent="0.25">
      <c r="A913" t="s">
        <v>917</v>
      </c>
      <c r="B913">
        <v>0.99999676499088797</v>
      </c>
      <c r="C913">
        <v>0.94278937059324996</v>
      </c>
      <c r="D913">
        <v>0.60582713421246703</v>
      </c>
      <c r="E913">
        <v>0.26105848836277101</v>
      </c>
      <c r="F913">
        <v>0.19749435019196299</v>
      </c>
      <c r="G913">
        <v>0.117677855180089</v>
      </c>
      <c r="H913">
        <v>5.83875480007056E-2</v>
      </c>
      <c r="I913">
        <v>5.8845862024522799E-2</v>
      </c>
      <c r="J913">
        <v>6.1597804894860102E-2</v>
      </c>
      <c r="K913">
        <v>6.3030515986067501E-2</v>
      </c>
      <c r="L913">
        <v>1076.01452136751</v>
      </c>
      <c r="M913">
        <v>22.9830554348164</v>
      </c>
      <c r="N913">
        <v>47.157047274322998</v>
      </c>
      <c r="O913">
        <v>46.467611519011697</v>
      </c>
      <c r="P913">
        <v>-0.114229500821581</v>
      </c>
      <c r="Q913">
        <v>7.6211196902197798E-2</v>
      </c>
      <c r="R913">
        <v>0.99251329173847103</v>
      </c>
      <c r="S913" t="s">
        <v>7916</v>
      </c>
      <c r="T913" t="s">
        <v>14004</v>
      </c>
      <c r="U913" t="s">
        <v>14004</v>
      </c>
      <c r="V913" t="s">
        <v>14004</v>
      </c>
      <c r="W913" t="s">
        <v>14904</v>
      </c>
      <c r="X913">
        <v>23</v>
      </c>
      <c r="Y913" t="s">
        <v>21841</v>
      </c>
      <c r="Z913" t="s">
        <v>28623</v>
      </c>
      <c r="AA913">
        <v>0.2961391795906187</v>
      </c>
      <c r="AB913" t="str">
        <f>HYPERLINK("Melting_Curves/meltCurve_G8JLB6_HNRNPH1.pdf", "Melting_Curves/meltCurve_G8JLB6_HNRNPH1.pdf")</f>
        <v>Melting_Curves/meltCurve_G8JLB6_HNRNPH1.pdf</v>
      </c>
    </row>
    <row r="914" spans="1:28" x14ac:dyDescent="0.25">
      <c r="A914" t="s">
        <v>918</v>
      </c>
      <c r="B914">
        <v>0.99999676499088797</v>
      </c>
      <c r="C914">
        <v>0.91171240858393399</v>
      </c>
      <c r="D914">
        <v>0.75924208216661504</v>
      </c>
      <c r="E914">
        <v>0.30605057603497299</v>
      </c>
      <c r="F914">
        <v>0.24242686172307301</v>
      </c>
      <c r="G914">
        <v>0.16761278742413999</v>
      </c>
      <c r="H914">
        <v>9.6898685605207202E-2</v>
      </c>
      <c r="I914">
        <v>9.1562083158326799E-2</v>
      </c>
      <c r="J914">
        <v>7.8128369590206997E-2</v>
      </c>
      <c r="K914">
        <v>7.5176402877649803E-2</v>
      </c>
      <c r="L914">
        <v>1054.5868680041101</v>
      </c>
      <c r="M914">
        <v>22.1164396803144</v>
      </c>
      <c r="N914">
        <v>48.161400952001799</v>
      </c>
      <c r="O914">
        <v>47.298669338039304</v>
      </c>
      <c r="P914">
        <v>-0.105380544997165</v>
      </c>
      <c r="Q914">
        <v>9.8543455837705504E-2</v>
      </c>
      <c r="R914">
        <v>0.98977010519622799</v>
      </c>
      <c r="S914" t="s">
        <v>7917</v>
      </c>
      <c r="T914" t="s">
        <v>14004</v>
      </c>
      <c r="U914" t="s">
        <v>14004</v>
      </c>
      <c r="V914" t="s">
        <v>14004</v>
      </c>
      <c r="W914" t="s">
        <v>14905</v>
      </c>
      <c r="X914">
        <v>10</v>
      </c>
      <c r="Y914" t="s">
        <v>21842</v>
      </c>
      <c r="Z914" t="s">
        <v>28624</v>
      </c>
      <c r="AA914">
        <v>0.33980827004275288</v>
      </c>
      <c r="AB914" t="str">
        <f>HYPERLINK("Melting_Curves/meltCurve_G8JLD3_ERC1.pdf", "Melting_Curves/meltCurve_G8JLD3_ERC1.pdf")</f>
        <v>Melting_Curves/meltCurve_G8JLD3_ERC1.pdf</v>
      </c>
    </row>
    <row r="915" spans="1:28" x14ac:dyDescent="0.25">
      <c r="A915" t="s">
        <v>919</v>
      </c>
      <c r="B915">
        <v>0.99999676499088797</v>
      </c>
      <c r="C915">
        <v>0.82326089166607197</v>
      </c>
      <c r="D915">
        <v>0.69932904568016396</v>
      </c>
      <c r="E915">
        <v>0.467388136182387</v>
      </c>
      <c r="F915">
        <v>0.30615307865848901</v>
      </c>
      <c r="G915">
        <v>0.14800011423461401</v>
      </c>
      <c r="H915">
        <v>0.100382795761565</v>
      </c>
      <c r="I915">
        <v>0.100979613051196</v>
      </c>
      <c r="J915">
        <v>0.15084864111822599</v>
      </c>
      <c r="K915">
        <v>6.2901767671202105E-2</v>
      </c>
      <c r="L915">
        <v>665.67288515278506</v>
      </c>
      <c r="M915">
        <v>13.750272818027801</v>
      </c>
      <c r="N915">
        <v>48.9707328271788</v>
      </c>
      <c r="O915">
        <v>47.422115662247897</v>
      </c>
      <c r="P915">
        <v>-6.7232323783153303E-2</v>
      </c>
      <c r="Q915">
        <v>7.2644881049717197E-2</v>
      </c>
      <c r="R915">
        <v>0.99017173278128401</v>
      </c>
      <c r="S915" t="s">
        <v>7918</v>
      </c>
      <c r="T915" t="s">
        <v>14004</v>
      </c>
      <c r="U915" t="s">
        <v>14004</v>
      </c>
      <c r="V915" t="s">
        <v>14004</v>
      </c>
      <c r="W915" t="s">
        <v>14906</v>
      </c>
      <c r="X915">
        <v>3</v>
      </c>
      <c r="Y915" t="s">
        <v>21843</v>
      </c>
      <c r="Z915" t="s">
        <v>28625</v>
      </c>
      <c r="AA915">
        <v>0.36031454955135628</v>
      </c>
      <c r="AB915" t="str">
        <f>HYPERLINK("Melting_Curves/meltCurve_G8JLH2_CDC25B.pdf", "Melting_Curves/meltCurve_G8JLH2_CDC25B.pdf")</f>
        <v>Melting_Curves/meltCurve_G8JLH2_CDC25B.pdf</v>
      </c>
    </row>
    <row r="916" spans="1:28" x14ac:dyDescent="0.25">
      <c r="A916" t="s">
        <v>920</v>
      </c>
      <c r="B916">
        <v>0.99999676499088797</v>
      </c>
      <c r="C916">
        <v>1.0692764171494</v>
      </c>
      <c r="D916">
        <v>1.08114114512044</v>
      </c>
      <c r="E916">
        <v>0.93934486031237296</v>
      </c>
      <c r="F916">
        <v>0.91792532663790305</v>
      </c>
      <c r="G916">
        <v>0.39711416106890002</v>
      </c>
      <c r="H916">
        <v>0.12811234295295201</v>
      </c>
      <c r="I916">
        <v>8.9207386642227507E-2</v>
      </c>
      <c r="J916">
        <v>5.6732628930074101E-2</v>
      </c>
      <c r="K916">
        <v>5.0315307026457999E-2</v>
      </c>
      <c r="L916">
        <v>2267.3807349795802</v>
      </c>
      <c r="M916">
        <v>40.482109825069401</v>
      </c>
      <c r="N916">
        <v>56.214585437397403</v>
      </c>
      <c r="O916">
        <v>55.8733041881205</v>
      </c>
      <c r="P916">
        <v>-0.168696802434051</v>
      </c>
      <c r="Q916">
        <v>6.8662399995213202E-2</v>
      </c>
      <c r="R916">
        <v>0.99171128382107299</v>
      </c>
      <c r="S916" t="s">
        <v>7919</v>
      </c>
      <c r="T916" t="s">
        <v>14004</v>
      </c>
      <c r="U916" t="s">
        <v>14004</v>
      </c>
      <c r="V916" t="s">
        <v>14004</v>
      </c>
      <c r="W916" t="s">
        <v>14907</v>
      </c>
      <c r="X916">
        <v>6</v>
      </c>
      <c r="Y916" t="s">
        <v>21844</v>
      </c>
      <c r="Z916" t="s">
        <v>28626</v>
      </c>
      <c r="AA916">
        <v>0.56916783874920673</v>
      </c>
      <c r="AB916" t="str">
        <f>HYPERLINK("Melting_Curves/meltCurve_G8JLI5_WDR45.pdf", "Melting_Curves/meltCurve_G8JLI5_WDR45.pdf")</f>
        <v>Melting_Curves/meltCurve_G8JLI5_WDR45.pdf</v>
      </c>
    </row>
    <row r="917" spans="1:28" x14ac:dyDescent="0.25">
      <c r="A917" t="s">
        <v>921</v>
      </c>
      <c r="B917">
        <v>0.99999676499088797</v>
      </c>
      <c r="C917">
        <v>0.93100858602484604</v>
      </c>
      <c r="D917">
        <v>0.94469254352395604</v>
      </c>
      <c r="E917">
        <v>0.78353154648387802</v>
      </c>
      <c r="F917">
        <v>0.42175069826014699</v>
      </c>
      <c r="G917">
        <v>0.228391052432773</v>
      </c>
      <c r="H917">
        <v>0.122697101092873</v>
      </c>
      <c r="I917">
        <v>0.113215876392483</v>
      </c>
      <c r="J917">
        <v>0.124329848410448</v>
      </c>
      <c r="K917">
        <v>0.128370269404571</v>
      </c>
      <c r="L917">
        <v>1193.88788094449</v>
      </c>
      <c r="M917">
        <v>23.0202825565461</v>
      </c>
      <c r="N917">
        <v>52.4401113686136</v>
      </c>
      <c r="O917">
        <v>51.475824044807403</v>
      </c>
      <c r="P917">
        <v>-9.9282062517102906E-2</v>
      </c>
      <c r="Q917">
        <v>0.111995140327268</v>
      </c>
      <c r="R917">
        <v>0.99631735983576697</v>
      </c>
      <c r="S917" t="s">
        <v>7920</v>
      </c>
      <c r="T917" t="s">
        <v>14004</v>
      </c>
      <c r="U917" t="s">
        <v>14004</v>
      </c>
      <c r="V917" t="s">
        <v>14004</v>
      </c>
      <c r="W917" t="s">
        <v>14908</v>
      </c>
      <c r="X917">
        <v>24</v>
      </c>
      <c r="Y917" t="s">
        <v>21845</v>
      </c>
      <c r="Z917" t="s">
        <v>28627</v>
      </c>
      <c r="AA917">
        <v>0.47260400935056979</v>
      </c>
      <c r="AB917" t="str">
        <f>HYPERLINK("Melting_Curves/meltCurve_G8JLK4_TACC1.pdf", "Melting_Curves/meltCurve_G8JLK4_TACC1.pdf")</f>
        <v>Melting_Curves/meltCurve_G8JLK4_TACC1.pdf</v>
      </c>
    </row>
    <row r="918" spans="1:28" x14ac:dyDescent="0.25">
      <c r="A918" t="s">
        <v>922</v>
      </c>
      <c r="B918">
        <v>0.99999676499088797</v>
      </c>
      <c r="C918">
        <v>0.98789373652613699</v>
      </c>
      <c r="D918">
        <v>1.01135758845572</v>
      </c>
      <c r="E918">
        <v>1.0836897584874301</v>
      </c>
      <c r="F918">
        <v>1.11385943887843</v>
      </c>
      <c r="G918">
        <v>0.63411516013078695</v>
      </c>
      <c r="H918">
        <v>0.15956710899988</v>
      </c>
      <c r="I918">
        <v>0.14415025610778001</v>
      </c>
      <c r="J918">
        <v>0.128093792251397</v>
      </c>
      <c r="K918">
        <v>9.5240189108389606E-2</v>
      </c>
      <c r="L918">
        <v>14218.004648264399</v>
      </c>
      <c r="M918">
        <v>250</v>
      </c>
      <c r="N918">
        <v>56.9416761435563</v>
      </c>
      <c r="O918">
        <v>56.868393264042403</v>
      </c>
      <c r="P918">
        <v>-0.95421787909798395</v>
      </c>
      <c r="Q918">
        <v>0.13176281377117299</v>
      </c>
      <c r="R918">
        <v>0.98779736301652799</v>
      </c>
      <c r="S918" t="s">
        <v>7921</v>
      </c>
      <c r="T918" t="s">
        <v>14004</v>
      </c>
      <c r="U918" t="s">
        <v>14004</v>
      </c>
      <c r="V918" t="s">
        <v>14004</v>
      </c>
      <c r="W918" t="s">
        <v>14909</v>
      </c>
      <c r="X918">
        <v>1</v>
      </c>
      <c r="Y918" t="s">
        <v>21846</v>
      </c>
      <c r="Z918" t="s">
        <v>28628</v>
      </c>
      <c r="AA918">
        <v>0.62014660373835551</v>
      </c>
      <c r="AB918" t="str">
        <f>HYPERLINK("Melting_Curves/meltCurve_G8JLL2_PPT2.pdf", "Melting_Curves/meltCurve_G8JLL2_PPT2.pdf")</f>
        <v>Melting_Curves/meltCurve_G8JLL2_PPT2.pdf</v>
      </c>
    </row>
    <row r="919" spans="1:28" x14ac:dyDescent="0.25">
      <c r="A919" t="s">
        <v>923</v>
      </c>
      <c r="B919">
        <v>0.99999676499088797</v>
      </c>
      <c r="C919">
        <v>0.63584251726724705</v>
      </c>
      <c r="D919">
        <v>0.66026030914988898</v>
      </c>
      <c r="E919">
        <v>0.36614173452822502</v>
      </c>
      <c r="F919">
        <v>0.128257112302435</v>
      </c>
      <c r="G919">
        <v>6.2382104590974097E-2</v>
      </c>
      <c r="H919">
        <v>3.2022657263435103E-2</v>
      </c>
      <c r="I919">
        <v>2.19083968907604E-2</v>
      </c>
      <c r="J919">
        <v>1.8159915412427799E-2</v>
      </c>
      <c r="K919">
        <v>1.36752763079214E-2</v>
      </c>
      <c r="L919">
        <v>637.93754124655197</v>
      </c>
      <c r="M919">
        <v>13.559779929100801</v>
      </c>
      <c r="N919">
        <v>47.046310701696299</v>
      </c>
      <c r="O919">
        <v>46.058449997777501</v>
      </c>
      <c r="P919">
        <v>-7.3611970796261E-2</v>
      </c>
      <c r="Q919">
        <v>0</v>
      </c>
      <c r="R919">
        <v>0.96373264816399995</v>
      </c>
      <c r="S919" t="s">
        <v>7922</v>
      </c>
      <c r="T919" t="s">
        <v>14004</v>
      </c>
      <c r="U919" t="s">
        <v>14004</v>
      </c>
      <c r="V919" t="s">
        <v>14004</v>
      </c>
      <c r="W919" t="s">
        <v>14910</v>
      </c>
      <c r="X919">
        <v>1</v>
      </c>
      <c r="Y919" t="s">
        <v>21847</v>
      </c>
      <c r="Z919" t="s">
        <v>28629</v>
      </c>
      <c r="AA919">
        <v>0.26806063795378621</v>
      </c>
      <c r="AB919" t="str">
        <f>HYPERLINK("Melting_Curves/meltCurve_G8JLL7_MVB12B.pdf", "Melting_Curves/meltCurve_G8JLL7_MVB12B.pdf")</f>
        <v>Melting_Curves/meltCurve_G8JLL7_MVB12B.pdf</v>
      </c>
    </row>
    <row r="920" spans="1:28" x14ac:dyDescent="0.25">
      <c r="A920" t="s">
        <v>924</v>
      </c>
      <c r="B920">
        <v>0.99999676499088797</v>
      </c>
      <c r="C920">
        <v>0.88105858733873399</v>
      </c>
      <c r="D920">
        <v>0.80314433488214498</v>
      </c>
      <c r="E920">
        <v>0.40425933474641002</v>
      </c>
      <c r="F920">
        <v>0.17602610808254501</v>
      </c>
      <c r="G920">
        <v>0.117440100960362</v>
      </c>
      <c r="H920">
        <v>5.3164162065563403E-2</v>
      </c>
      <c r="I920">
        <v>4.6601160807120602E-2</v>
      </c>
      <c r="J920">
        <v>4.8293813540822801E-2</v>
      </c>
      <c r="K920">
        <v>4.1888739605242899E-2</v>
      </c>
      <c r="L920">
        <v>979.96954271502204</v>
      </c>
      <c r="M920">
        <v>20.185027893584198</v>
      </c>
      <c r="N920">
        <v>48.770136973827903</v>
      </c>
      <c r="O920">
        <v>48.0803457215573</v>
      </c>
      <c r="P920">
        <v>-0.100374604643958</v>
      </c>
      <c r="Q920">
        <v>4.3668479888165697E-2</v>
      </c>
      <c r="R920">
        <v>0.99568027884431998</v>
      </c>
      <c r="S920" t="s">
        <v>7923</v>
      </c>
      <c r="T920" t="s">
        <v>14004</v>
      </c>
      <c r="U920" t="s">
        <v>14004</v>
      </c>
      <c r="V920" t="s">
        <v>14004</v>
      </c>
      <c r="W920" t="s">
        <v>14911</v>
      </c>
      <c r="X920">
        <v>8</v>
      </c>
      <c r="Y920" t="s">
        <v>21848</v>
      </c>
      <c r="Z920" t="s">
        <v>28630</v>
      </c>
      <c r="AA920">
        <v>0.32941176770098779</v>
      </c>
      <c r="AB920" t="str">
        <f>HYPERLINK("Melting_Curves/meltCurve_H0UI80_TH1L.pdf", "Melting_Curves/meltCurve_H0UI80_TH1L.pdf")</f>
        <v>Melting_Curves/meltCurve_H0UI80_TH1L.pdf</v>
      </c>
    </row>
    <row r="921" spans="1:28" x14ac:dyDescent="0.25">
      <c r="A921" t="s">
        <v>925</v>
      </c>
      <c r="B921">
        <v>0.99999676499088797</v>
      </c>
      <c r="C921">
        <v>0.84337871948884602</v>
      </c>
      <c r="D921">
        <v>0.71282338548455504</v>
      </c>
      <c r="E921">
        <v>0.50594724506194</v>
      </c>
      <c r="F921">
        <v>0.31346321068021799</v>
      </c>
      <c r="G921">
        <v>0.17226958331897901</v>
      </c>
      <c r="H921">
        <v>8.8745859955718903E-2</v>
      </c>
      <c r="I921">
        <v>0.11539296630388</v>
      </c>
      <c r="J921">
        <v>0.13069980592764599</v>
      </c>
      <c r="K921">
        <v>0.13722728921475799</v>
      </c>
      <c r="L921">
        <v>693.36035477044402</v>
      </c>
      <c r="M921">
        <v>14.261824007386499</v>
      </c>
      <c r="N921">
        <v>49.318672730526401</v>
      </c>
      <c r="O921">
        <v>47.690641964128801</v>
      </c>
      <c r="P921">
        <v>-6.79014511783122E-2</v>
      </c>
      <c r="Q921">
        <v>9.1878955869480999E-2</v>
      </c>
      <c r="R921">
        <v>0.991505750281095</v>
      </c>
      <c r="S921" t="s">
        <v>7924</v>
      </c>
      <c r="T921" t="s">
        <v>14004</v>
      </c>
      <c r="U921" t="s">
        <v>14004</v>
      </c>
      <c r="V921" t="s">
        <v>14004</v>
      </c>
      <c r="W921" t="s">
        <v>14912</v>
      </c>
      <c r="X921">
        <v>2</v>
      </c>
      <c r="Y921" t="s">
        <v>21849</v>
      </c>
      <c r="Z921" t="s">
        <v>28631</v>
      </c>
      <c r="AA921">
        <v>0.37774547793756408</v>
      </c>
      <c r="AB921" t="str">
        <f>HYPERLINK("Melting_Curves/meltCurve_H0Y2M0_KIAA0922.pdf", "Melting_Curves/meltCurve_H0Y2M0_KIAA0922.pdf")</f>
        <v>Melting_Curves/meltCurve_H0Y2M0_KIAA0922.pdf</v>
      </c>
    </row>
    <row r="922" spans="1:28" x14ac:dyDescent="0.25">
      <c r="A922" t="s">
        <v>926</v>
      </c>
      <c r="B922">
        <v>0.99999676499088797</v>
      </c>
      <c r="C922">
        <v>1.01649932092583</v>
      </c>
      <c r="D922">
        <v>0.95504130376905905</v>
      </c>
      <c r="E922">
        <v>0.87955487059219795</v>
      </c>
      <c r="F922">
        <v>0.72998640411361104</v>
      </c>
      <c r="G922">
        <v>0.50514921704611204</v>
      </c>
      <c r="H922">
        <v>0.15265045664386001</v>
      </c>
      <c r="I922">
        <v>9.6048492118091994E-2</v>
      </c>
      <c r="J922">
        <v>8.8135672908487298E-2</v>
      </c>
      <c r="K922">
        <v>6.7666481878157297E-2</v>
      </c>
      <c r="L922">
        <v>1024.4757896234401</v>
      </c>
      <c r="M922">
        <v>18.281209978437602</v>
      </c>
      <c r="N922">
        <v>56.183473801323501</v>
      </c>
      <c r="O922">
        <v>55.382175060040701</v>
      </c>
      <c r="P922">
        <v>-8.0642446658423197E-2</v>
      </c>
      <c r="Q922">
        <v>2.28334333969341E-2</v>
      </c>
      <c r="R922">
        <v>0.99355177597949496</v>
      </c>
      <c r="S922" t="s">
        <v>7925</v>
      </c>
      <c r="T922" t="s">
        <v>14004</v>
      </c>
      <c r="U922" t="s">
        <v>14004</v>
      </c>
      <c r="V922" t="s">
        <v>14004</v>
      </c>
      <c r="W922" t="s">
        <v>14913</v>
      </c>
      <c r="X922">
        <v>9</v>
      </c>
      <c r="Y922" t="s">
        <v>21850</v>
      </c>
      <c r="Z922" t="s">
        <v>28632</v>
      </c>
      <c r="AA922">
        <v>0.55938441488624291</v>
      </c>
      <c r="AB922" t="str">
        <f>HYPERLINK("Melting_Curves/meltCurve_H0Y2P9_PIGX.pdf", "Melting_Curves/meltCurve_H0Y2P9_PIGX.pdf")</f>
        <v>Melting_Curves/meltCurve_H0Y2P9_PIGX.pdf</v>
      </c>
    </row>
    <row r="923" spans="1:28" x14ac:dyDescent="0.25">
      <c r="A923" t="s">
        <v>927</v>
      </c>
      <c r="B923">
        <v>0.99999676499088797</v>
      </c>
      <c r="C923">
        <v>0.88377854507595</v>
      </c>
      <c r="D923">
        <v>0.65749778501080602</v>
      </c>
      <c r="E923">
        <v>0.51515488546673704</v>
      </c>
      <c r="F923">
        <v>0.43705398756777802</v>
      </c>
      <c r="G923">
        <v>0.36148977010675398</v>
      </c>
      <c r="H923">
        <v>0.22238568566936001</v>
      </c>
      <c r="I923">
        <v>0.16521949048264301</v>
      </c>
      <c r="J923">
        <v>0.164407128883994</v>
      </c>
      <c r="K923">
        <v>4.7854367700764101E-2</v>
      </c>
      <c r="L923">
        <v>445.04734991132898</v>
      </c>
      <c r="M923">
        <v>8.7419916003874398</v>
      </c>
      <c r="N923">
        <v>51.218505722713097</v>
      </c>
      <c r="O923">
        <v>48.4558755664861</v>
      </c>
      <c r="P923">
        <v>-4.3978529528937597E-2</v>
      </c>
      <c r="Q923">
        <v>2.5717618892845299E-2</v>
      </c>
      <c r="R923">
        <v>0.97384408872884998</v>
      </c>
      <c r="S923" t="s">
        <v>7926</v>
      </c>
      <c r="T923" t="s">
        <v>14004</v>
      </c>
      <c r="U923" t="s">
        <v>14004</v>
      </c>
      <c r="V923" t="s">
        <v>14004</v>
      </c>
      <c r="W923" t="s">
        <v>14914</v>
      </c>
      <c r="X923">
        <v>1</v>
      </c>
      <c r="Y923" t="s">
        <v>21851</v>
      </c>
      <c r="Z923" t="s">
        <v>28633</v>
      </c>
      <c r="AA923">
        <v>0.42784593278777572</v>
      </c>
      <c r="AB923" t="str">
        <f>HYPERLINK("Melting_Curves/meltCurve_H0Y322_LIN9.pdf", "Melting_Curves/meltCurve_H0Y322_LIN9.pdf")</f>
        <v>Melting_Curves/meltCurve_H0Y322_LIN9.pdf</v>
      </c>
    </row>
    <row r="924" spans="1:28" x14ac:dyDescent="0.25">
      <c r="A924" t="s">
        <v>928</v>
      </c>
      <c r="B924">
        <v>0.99999676499088797</v>
      </c>
      <c r="C924">
        <v>0.84274929020709599</v>
      </c>
      <c r="D924">
        <v>0.765054725261746</v>
      </c>
      <c r="E924">
        <v>0.514882439202202</v>
      </c>
      <c r="F924">
        <v>0.299637834032498</v>
      </c>
      <c r="G924">
        <v>0.12303343616609699</v>
      </c>
      <c r="H924">
        <v>7.2145569152187297E-2</v>
      </c>
      <c r="I924">
        <v>9.7162205099513205E-2</v>
      </c>
      <c r="J924">
        <v>8.7682321771317406E-2</v>
      </c>
      <c r="K924">
        <v>0.14913948596115201</v>
      </c>
      <c r="L924">
        <v>767.11843627453095</v>
      </c>
      <c r="M924">
        <v>15.6651021971375</v>
      </c>
      <c r="N924">
        <v>49.486955969991897</v>
      </c>
      <c r="O924">
        <v>48.192704973573797</v>
      </c>
      <c r="P924">
        <v>-7.51346111421754E-2</v>
      </c>
      <c r="Q924">
        <v>7.5491103164234796E-2</v>
      </c>
      <c r="R924">
        <v>0.98717805058279096</v>
      </c>
      <c r="S924" t="s">
        <v>7927</v>
      </c>
      <c r="T924" t="s">
        <v>14004</v>
      </c>
      <c r="U924" t="s">
        <v>14004</v>
      </c>
      <c r="V924" t="s">
        <v>14004</v>
      </c>
      <c r="W924" t="s">
        <v>14915</v>
      </c>
      <c r="X924">
        <v>3</v>
      </c>
      <c r="Y924" t="s">
        <v>21852</v>
      </c>
      <c r="Z924" t="s">
        <v>28634</v>
      </c>
      <c r="AA924">
        <v>0.37295132125611907</v>
      </c>
      <c r="AB924" t="str">
        <f>HYPERLINK("Melting_Curves/meltCurve_H0Y384_ODF2.pdf", "Melting_Curves/meltCurve_H0Y384_ODF2.pdf")</f>
        <v>Melting_Curves/meltCurve_H0Y384_ODF2.pdf</v>
      </c>
    </row>
    <row r="925" spans="1:28" x14ac:dyDescent="0.25">
      <c r="A925" t="s">
        <v>929</v>
      </c>
      <c r="B925">
        <v>0.99999676499088797</v>
      </c>
      <c r="C925">
        <v>0.993181075883107</v>
      </c>
      <c r="D925">
        <v>0.94997488797224305</v>
      </c>
      <c r="E925">
        <v>0.72257527920104603</v>
      </c>
      <c r="F925">
        <v>0.270913135025865</v>
      </c>
      <c r="G925">
        <v>0.179107829730733</v>
      </c>
      <c r="H925">
        <v>6.9014384855391298E-2</v>
      </c>
      <c r="I925">
        <v>8.2567834448519797E-2</v>
      </c>
      <c r="J925">
        <v>9.7552090445998704E-2</v>
      </c>
      <c r="K925">
        <v>9.8706156737989201E-2</v>
      </c>
      <c r="L925">
        <v>1490.28589529697</v>
      </c>
      <c r="M925">
        <v>29.279507560896</v>
      </c>
      <c r="N925">
        <v>51.2541700606034</v>
      </c>
      <c r="O925">
        <v>50.662944545723903</v>
      </c>
      <c r="P925">
        <v>-0.13120327924274899</v>
      </c>
      <c r="Q925">
        <v>9.1911434397702801E-2</v>
      </c>
      <c r="R925">
        <v>0.99748259505866499</v>
      </c>
      <c r="S925" t="s">
        <v>7928</v>
      </c>
      <c r="T925" t="s">
        <v>14004</v>
      </c>
      <c r="U925" t="s">
        <v>14004</v>
      </c>
      <c r="V925" t="s">
        <v>14004</v>
      </c>
      <c r="W925" t="s">
        <v>14916</v>
      </c>
      <c r="X925">
        <v>1</v>
      </c>
      <c r="Y925" t="s">
        <v>21853</v>
      </c>
      <c r="Z925" t="s">
        <v>28635</v>
      </c>
      <c r="AA925">
        <v>0.4277924112668462</v>
      </c>
      <c r="AB925" t="str">
        <f>HYPERLINK("Melting_Curves/meltCurve_H0Y3R4_SETD5.pdf", "Melting_Curves/meltCurve_H0Y3R4_SETD5.pdf")</f>
        <v>Melting_Curves/meltCurve_H0Y3R4_SETD5.pdf</v>
      </c>
    </row>
    <row r="926" spans="1:28" x14ac:dyDescent="0.25">
      <c r="A926" t="s">
        <v>930</v>
      </c>
      <c r="B926">
        <v>0.99999676499088797</v>
      </c>
      <c r="C926">
        <v>0.921489241610572</v>
      </c>
      <c r="D926">
        <v>0.94696741439361498</v>
      </c>
      <c r="E926">
        <v>0.80374158229709203</v>
      </c>
      <c r="F926">
        <v>0.84482135687371596</v>
      </c>
      <c r="G926">
        <v>0.72265709479839402</v>
      </c>
      <c r="H926">
        <v>0.66928701392705303</v>
      </c>
      <c r="I926">
        <v>0.81220725068048305</v>
      </c>
      <c r="J926">
        <v>0.82222616401258597</v>
      </c>
      <c r="K926">
        <v>0.95055099437375701</v>
      </c>
      <c r="L926">
        <v>1045.6887591365401</v>
      </c>
      <c r="M926">
        <v>22.6198705858104</v>
      </c>
      <c r="O926">
        <v>45.872014385211102</v>
      </c>
      <c r="P926">
        <v>-2.4768262966564501E-2</v>
      </c>
      <c r="Q926">
        <v>0.79908865582407496</v>
      </c>
      <c r="R926">
        <v>0.46799340679671297</v>
      </c>
      <c r="S926" t="s">
        <v>7929</v>
      </c>
      <c r="T926" t="s">
        <v>14004</v>
      </c>
      <c r="U926" t="s">
        <v>14004</v>
      </c>
      <c r="V926" t="s">
        <v>14004</v>
      </c>
      <c r="W926" t="s">
        <v>14917</v>
      </c>
      <c r="X926">
        <v>5</v>
      </c>
      <c r="Y926" t="s">
        <v>21854</v>
      </c>
      <c r="Z926" t="s">
        <v>28636</v>
      </c>
      <c r="AA926">
        <v>0.84311170359657628</v>
      </c>
      <c r="AB926" t="str">
        <f>HYPERLINK("Melting_Curves/meltCurve_H0Y412_PRRC2B.pdf", "Melting_Curves/meltCurve_H0Y412_PRRC2B.pdf")</f>
        <v>Melting_Curves/meltCurve_H0Y412_PRRC2B.pdf</v>
      </c>
    </row>
    <row r="927" spans="1:28" x14ac:dyDescent="0.25">
      <c r="A927" t="s">
        <v>931</v>
      </c>
      <c r="B927">
        <v>0.99999676499088797</v>
      </c>
      <c r="C927">
        <v>0.97677837575807702</v>
      </c>
      <c r="D927">
        <v>0.89601653970142003</v>
      </c>
      <c r="E927">
        <v>0.73441614180697101</v>
      </c>
      <c r="F927">
        <v>0.58268663767430795</v>
      </c>
      <c r="G927">
        <v>0.186925038746274</v>
      </c>
      <c r="H927">
        <v>7.7763570276608199E-2</v>
      </c>
      <c r="I927">
        <v>0.106338111319881</v>
      </c>
      <c r="J927">
        <v>0.117940929083234</v>
      </c>
      <c r="K927">
        <v>0.100252288318724</v>
      </c>
      <c r="L927">
        <v>983.57929774489503</v>
      </c>
      <c r="M927">
        <v>18.689770270134201</v>
      </c>
      <c r="N927">
        <v>53.028562835574398</v>
      </c>
      <c r="O927">
        <v>52.035227679107699</v>
      </c>
      <c r="P927">
        <v>-8.3867006179954906E-2</v>
      </c>
      <c r="Q927">
        <v>6.6044565869239305E-2</v>
      </c>
      <c r="R927">
        <v>0.98393055329811696</v>
      </c>
      <c r="S927" t="s">
        <v>7930</v>
      </c>
      <c r="T927" t="s">
        <v>14004</v>
      </c>
      <c r="U927" t="s">
        <v>14004</v>
      </c>
      <c r="V927" t="s">
        <v>14004</v>
      </c>
      <c r="W927" t="s">
        <v>14918</v>
      </c>
      <c r="X927">
        <v>2</v>
      </c>
      <c r="Y927" t="s">
        <v>21855</v>
      </c>
      <c r="Z927" t="s">
        <v>28637</v>
      </c>
      <c r="AA927">
        <v>0.47359779798523599</v>
      </c>
      <c r="AB927" t="str">
        <f>HYPERLINK("Melting_Curves/meltCurve_H0Y494_SIK3.pdf", "Melting_Curves/meltCurve_H0Y494_SIK3.pdf")</f>
        <v>Melting_Curves/meltCurve_H0Y494_SIK3.pdf</v>
      </c>
    </row>
    <row r="928" spans="1:28" x14ac:dyDescent="0.25">
      <c r="A928" t="s">
        <v>932</v>
      </c>
      <c r="B928">
        <v>0.99999676499088797</v>
      </c>
      <c r="C928">
        <v>0.86620843060872599</v>
      </c>
      <c r="D928">
        <v>0.35700084820459999</v>
      </c>
      <c r="E928">
        <v>0.11155001167024001</v>
      </c>
      <c r="F928">
        <v>8.8602900318864794E-2</v>
      </c>
      <c r="G928">
        <v>6.1885383408035601E-2</v>
      </c>
      <c r="H928">
        <v>3.9182516237967202E-2</v>
      </c>
      <c r="I928">
        <v>3.1662850200764397E-2</v>
      </c>
      <c r="J928">
        <v>2.7285400203261201E-2</v>
      </c>
      <c r="K928">
        <v>2.7872755907198801E-2</v>
      </c>
      <c r="L928">
        <v>1544.4109282816401</v>
      </c>
      <c r="M928">
        <v>34.257175240965999</v>
      </c>
      <c r="N928">
        <v>45.215614055148798</v>
      </c>
      <c r="O928">
        <v>44.930054786249997</v>
      </c>
      <c r="P928">
        <v>-0.181493974385707</v>
      </c>
      <c r="Q928">
        <v>4.7848874412038098E-2</v>
      </c>
      <c r="R928">
        <v>0.99715921556294196</v>
      </c>
      <c r="S928" t="s">
        <v>7931</v>
      </c>
      <c r="T928" t="s">
        <v>14004</v>
      </c>
      <c r="U928" t="s">
        <v>14004</v>
      </c>
      <c r="V928" t="s">
        <v>14004</v>
      </c>
      <c r="W928" t="s">
        <v>14919</v>
      </c>
      <c r="X928">
        <v>4</v>
      </c>
      <c r="Y928" t="s">
        <v>21856</v>
      </c>
      <c r="Z928" t="s">
        <v>28638</v>
      </c>
      <c r="AA928">
        <v>0.21362933216958899</v>
      </c>
      <c r="AB928" t="str">
        <f>HYPERLINK("Melting_Curves/meltCurve_H0Y4G9_MYD88.pdf", "Melting_Curves/meltCurve_H0Y4G9_MYD88.pdf")</f>
        <v>Melting_Curves/meltCurve_H0Y4G9_MYD88.pdf</v>
      </c>
    </row>
    <row r="929" spans="1:28" x14ac:dyDescent="0.25">
      <c r="A929" t="s">
        <v>933</v>
      </c>
      <c r="B929">
        <v>0.99999676499088797</v>
      </c>
      <c r="C929">
        <v>0.81554617544980101</v>
      </c>
      <c r="D929">
        <v>0.96876193158651802</v>
      </c>
      <c r="E929">
        <v>1.12269660647181</v>
      </c>
      <c r="F929">
        <v>0.98191416785441699</v>
      </c>
      <c r="G929">
        <v>0.91735214134404497</v>
      </c>
      <c r="H929">
        <v>0.71536189519286097</v>
      </c>
      <c r="I929">
        <v>0.80496318145564705</v>
      </c>
      <c r="J929">
        <v>0.66954696278987502</v>
      </c>
      <c r="K929">
        <v>0.64106927888371901</v>
      </c>
      <c r="L929">
        <v>1700.6505650044101</v>
      </c>
      <c r="M929">
        <v>29.0414959456633</v>
      </c>
      <c r="O929">
        <v>58.2838000598802</v>
      </c>
      <c r="P929">
        <v>-3.9790692401874099E-2</v>
      </c>
      <c r="Q929">
        <v>0.68057640822257703</v>
      </c>
      <c r="R929">
        <v>0.71663851749641305</v>
      </c>
      <c r="S929" t="s">
        <v>7932</v>
      </c>
      <c r="T929" t="s">
        <v>14004</v>
      </c>
      <c r="U929" t="s">
        <v>14004</v>
      </c>
      <c r="V929" t="s">
        <v>14004</v>
      </c>
      <c r="W929" t="s">
        <v>14920</v>
      </c>
      <c r="X929">
        <v>1</v>
      </c>
      <c r="Y929" t="s">
        <v>21857</v>
      </c>
      <c r="Z929" t="s">
        <v>28639</v>
      </c>
      <c r="AA929">
        <v>0.88036920659561113</v>
      </c>
      <c r="AB929" t="str">
        <f>HYPERLINK("Melting_Curves/meltCurve_H0Y530_PAEP.pdf", "Melting_Curves/meltCurve_H0Y530_PAEP.pdf")</f>
        <v>Melting_Curves/meltCurve_H0Y530_PAEP.pdf</v>
      </c>
    </row>
    <row r="930" spans="1:28" x14ac:dyDescent="0.25">
      <c r="A930" t="s">
        <v>934</v>
      </c>
      <c r="B930">
        <v>0.99999676499088797</v>
      </c>
      <c r="C930">
        <v>0.97289917192884801</v>
      </c>
      <c r="D930">
        <v>0.83936364355722903</v>
      </c>
      <c r="E930">
        <v>0.72194148363268495</v>
      </c>
      <c r="F930">
        <v>0.66596840459293205</v>
      </c>
      <c r="G930">
        <v>0.465734520328698</v>
      </c>
      <c r="H930">
        <v>0.106776481768353</v>
      </c>
      <c r="I930">
        <v>0.107105198054807</v>
      </c>
      <c r="J930">
        <v>6.3100335093218302E-2</v>
      </c>
      <c r="K930">
        <v>4.6156046116887298E-2</v>
      </c>
      <c r="L930">
        <v>711.95589341495099</v>
      </c>
      <c r="M930">
        <v>13.0258052774563</v>
      </c>
      <c r="N930">
        <v>54.657341938190299</v>
      </c>
      <c r="O930">
        <v>53.417242588250197</v>
      </c>
      <c r="P930">
        <v>-6.0973239461333102E-2</v>
      </c>
      <c r="Q930">
        <v>0</v>
      </c>
      <c r="R930">
        <v>0.97322056250801103</v>
      </c>
      <c r="S930" t="s">
        <v>7933</v>
      </c>
      <c r="T930" t="s">
        <v>14004</v>
      </c>
      <c r="U930" t="s">
        <v>14004</v>
      </c>
      <c r="V930" t="s">
        <v>14004</v>
      </c>
      <c r="W930" t="s">
        <v>14921</v>
      </c>
      <c r="X930">
        <v>4</v>
      </c>
      <c r="Y930" t="s">
        <v>21858</v>
      </c>
      <c r="Z930" t="s">
        <v>28640</v>
      </c>
      <c r="AA930">
        <v>0.51135827061229699</v>
      </c>
      <c r="AB930" t="str">
        <f>HYPERLINK("Melting_Curves/meltCurve_H0Y547_ATP11A.pdf", "Melting_Curves/meltCurve_H0Y547_ATP11A.pdf")</f>
        <v>Melting_Curves/meltCurve_H0Y547_ATP11A.pdf</v>
      </c>
    </row>
    <row r="931" spans="1:28" x14ac:dyDescent="0.25">
      <c r="A931" t="s">
        <v>935</v>
      </c>
      <c r="B931">
        <v>0.99999676499088797</v>
      </c>
      <c r="C931">
        <v>1.0164270462481899</v>
      </c>
      <c r="D931">
        <v>0.92976011052547103</v>
      </c>
      <c r="E931">
        <v>0.84255438263777604</v>
      </c>
      <c r="F931">
        <v>0.44503589763910001</v>
      </c>
      <c r="G931">
        <v>5.6487585890908999E-2</v>
      </c>
      <c r="H931">
        <v>0</v>
      </c>
      <c r="I931">
        <v>0</v>
      </c>
      <c r="J931">
        <v>0</v>
      </c>
      <c r="K931">
        <v>0</v>
      </c>
      <c r="L931">
        <v>1582.8087309622199</v>
      </c>
      <c r="M931">
        <v>30.088222614906101</v>
      </c>
      <c r="N931">
        <v>52.605590652411998</v>
      </c>
      <c r="O931">
        <v>52.3748584336482</v>
      </c>
      <c r="P931">
        <v>-0.14362052441009501</v>
      </c>
      <c r="Q931">
        <v>0</v>
      </c>
      <c r="R931">
        <v>0.99657959189152201</v>
      </c>
      <c r="S931" t="s">
        <v>7934</v>
      </c>
      <c r="T931" t="s">
        <v>14004</v>
      </c>
      <c r="U931" t="s">
        <v>14004</v>
      </c>
      <c r="V931" t="s">
        <v>14004</v>
      </c>
      <c r="W931" t="s">
        <v>14922</v>
      </c>
      <c r="X931">
        <v>5</v>
      </c>
      <c r="Y931" t="s">
        <v>21605</v>
      </c>
      <c r="Z931" t="s">
        <v>28641</v>
      </c>
      <c r="AA931">
        <v>0.42659754186191978</v>
      </c>
      <c r="AB931" t="str">
        <f>HYPERLINK("Melting_Curves/meltCurve_H0Y5C2_ATE1.pdf", "Melting_Curves/meltCurve_H0Y5C2_ATE1.pdf")</f>
        <v>Melting_Curves/meltCurve_H0Y5C2_ATE1.pdf</v>
      </c>
    </row>
    <row r="932" spans="1:28" x14ac:dyDescent="0.25">
      <c r="A932" t="s">
        <v>936</v>
      </c>
      <c r="B932">
        <v>0.99999676499088797</v>
      </c>
      <c r="C932">
        <v>1.0428779240055099</v>
      </c>
      <c r="D932">
        <v>0.71946446179917201</v>
      </c>
      <c r="E932">
        <v>0.240414913043205</v>
      </c>
      <c r="F932">
        <v>0</v>
      </c>
      <c r="G932">
        <v>0</v>
      </c>
      <c r="H932">
        <v>0</v>
      </c>
      <c r="I932">
        <v>6.5160685629749499E-2</v>
      </c>
      <c r="J932">
        <v>0</v>
      </c>
      <c r="K932">
        <v>0</v>
      </c>
      <c r="L932">
        <v>1531.0754106003501</v>
      </c>
      <c r="M932">
        <v>32.209179238475699</v>
      </c>
      <c r="N932">
        <v>47.557878579371902</v>
      </c>
      <c r="O932">
        <v>47.353279670228602</v>
      </c>
      <c r="P932">
        <v>-0.16876281729817499</v>
      </c>
      <c r="Q932">
        <v>7.5585878800979297E-3</v>
      </c>
      <c r="R932">
        <v>0.99309500177431298</v>
      </c>
      <c r="S932" t="s">
        <v>7935</v>
      </c>
      <c r="T932" t="s">
        <v>14004</v>
      </c>
      <c r="U932" t="s">
        <v>14004</v>
      </c>
      <c r="V932" t="s">
        <v>14004</v>
      </c>
      <c r="W932" t="s">
        <v>14923</v>
      </c>
      <c r="X932">
        <v>1</v>
      </c>
      <c r="Y932" t="s">
        <v>21859</v>
      </c>
      <c r="Z932" t="s">
        <v>28642</v>
      </c>
      <c r="AA932">
        <v>0.26196680849238252</v>
      </c>
      <c r="AB932" t="str">
        <f>HYPERLINK("Melting_Curves/meltCurve_H0Y5J5_AAED1.pdf", "Melting_Curves/meltCurve_H0Y5J5_AAED1.pdf")</f>
        <v>Melting_Curves/meltCurve_H0Y5J5_AAED1.pdf</v>
      </c>
    </row>
    <row r="933" spans="1:28" x14ac:dyDescent="0.25">
      <c r="A933" t="s">
        <v>937</v>
      </c>
      <c r="B933">
        <v>0.99999676499088797</v>
      </c>
      <c r="C933">
        <v>0.98126488708234005</v>
      </c>
      <c r="D933">
        <v>0.91763343505202</v>
      </c>
      <c r="E933">
        <v>0.62288010401849303</v>
      </c>
      <c r="F933">
        <v>0.15957918222199999</v>
      </c>
      <c r="G933">
        <v>7.0688372474901603E-2</v>
      </c>
      <c r="H933">
        <v>4.337447285018E-2</v>
      </c>
      <c r="I933">
        <v>6.1342064011407599E-2</v>
      </c>
      <c r="J933">
        <v>4.5874658994779501E-2</v>
      </c>
      <c r="K933">
        <v>2.8487866470149802E-2</v>
      </c>
      <c r="L933">
        <v>1585.8983991232301</v>
      </c>
      <c r="M933">
        <v>31.608895162608999</v>
      </c>
      <c r="N933">
        <v>50.312028589447003</v>
      </c>
      <c r="O933">
        <v>49.9729881626143</v>
      </c>
      <c r="P933">
        <v>-0.151496661263676</v>
      </c>
      <c r="Q933">
        <v>4.1952925791198997E-2</v>
      </c>
      <c r="R933">
        <v>0.99863607455998804</v>
      </c>
      <c r="S933" t="s">
        <v>7936</v>
      </c>
      <c r="T933" t="s">
        <v>14004</v>
      </c>
      <c r="U933" t="s">
        <v>14004</v>
      </c>
      <c r="V933" t="s">
        <v>14004</v>
      </c>
      <c r="W933" t="s">
        <v>14924</v>
      </c>
      <c r="X933">
        <v>2</v>
      </c>
      <c r="Y933" t="s">
        <v>21860</v>
      </c>
      <c r="Z933" t="s">
        <v>28643</v>
      </c>
      <c r="AA933">
        <v>0.37215890286661563</v>
      </c>
      <c r="AB933" t="str">
        <f>HYPERLINK("Melting_Curves/meltCurve_H0Y5Y0_PREP.pdf", "Melting_Curves/meltCurve_H0Y5Y0_PREP.pdf")</f>
        <v>Melting_Curves/meltCurve_H0Y5Y0_PREP.pdf</v>
      </c>
    </row>
    <row r="934" spans="1:28" x14ac:dyDescent="0.25">
      <c r="A934" t="s">
        <v>938</v>
      </c>
      <c r="B934">
        <v>0.99999676499088797</v>
      </c>
      <c r="C934">
        <v>0.83240041331202896</v>
      </c>
      <c r="D934">
        <v>0.86678077851631397</v>
      </c>
      <c r="E934">
        <v>0.75661936600110002</v>
      </c>
      <c r="F934">
        <v>0.61481120459670002</v>
      </c>
      <c r="G934">
        <v>0.38332834609452099</v>
      </c>
      <c r="H934">
        <v>0.123005303482393</v>
      </c>
      <c r="I934">
        <v>7.0284414035147694E-2</v>
      </c>
      <c r="J934">
        <v>3.3248852440881799E-2</v>
      </c>
      <c r="K934">
        <v>4.7313321168641599E-2</v>
      </c>
      <c r="L934">
        <v>724.24133079882995</v>
      </c>
      <c r="M934">
        <v>13.4041147045169</v>
      </c>
      <c r="N934">
        <v>54.031269696524703</v>
      </c>
      <c r="O934">
        <v>52.871171668669902</v>
      </c>
      <c r="P934">
        <v>-6.3390946694304104E-2</v>
      </c>
      <c r="Q934">
        <v>0</v>
      </c>
      <c r="R934">
        <v>0.97492255740426403</v>
      </c>
      <c r="S934" t="s">
        <v>7937</v>
      </c>
      <c r="T934" t="s">
        <v>14004</v>
      </c>
      <c r="U934" t="s">
        <v>14004</v>
      </c>
      <c r="V934" t="s">
        <v>14004</v>
      </c>
      <c r="W934" t="s">
        <v>14925</v>
      </c>
      <c r="X934">
        <v>3</v>
      </c>
      <c r="Y934" t="s">
        <v>21861</v>
      </c>
      <c r="Z934" t="s">
        <v>28644</v>
      </c>
      <c r="AA934">
        <v>0.49103264896403448</v>
      </c>
      <c r="AB934" t="str">
        <f>HYPERLINK("Melting_Curves/meltCurve_H0Y614_UFM1.pdf", "Melting_Curves/meltCurve_H0Y614_UFM1.pdf")</f>
        <v>Melting_Curves/meltCurve_H0Y614_UFM1.pdf</v>
      </c>
    </row>
    <row r="935" spans="1:28" x14ac:dyDescent="0.25">
      <c r="A935" t="s">
        <v>939</v>
      </c>
      <c r="B935">
        <v>0.99999676499088797</v>
      </c>
      <c r="C935">
        <v>0.96647727400824002</v>
      </c>
      <c r="D935">
        <v>0.86603842767011097</v>
      </c>
      <c r="E935">
        <v>0.58467965174738001</v>
      </c>
      <c r="F935">
        <v>0.31382180596363102</v>
      </c>
      <c r="G935">
        <v>0.16288090000216901</v>
      </c>
      <c r="H935">
        <v>0.13029389969123301</v>
      </c>
      <c r="I935">
        <v>0.14812365410713901</v>
      </c>
      <c r="J935">
        <v>0.101282671584705</v>
      </c>
      <c r="K935">
        <v>9.8562382508360802E-2</v>
      </c>
      <c r="L935">
        <v>1012.46716942861</v>
      </c>
      <c r="M935">
        <v>20.270053548959901</v>
      </c>
      <c r="N935">
        <v>50.548153433011301</v>
      </c>
      <c r="O935">
        <v>49.470369495961599</v>
      </c>
      <c r="P935">
        <v>-9.1497765019835406E-2</v>
      </c>
      <c r="Q935">
        <v>0.10680245874470599</v>
      </c>
      <c r="R935">
        <v>0.99884163474014098</v>
      </c>
      <c r="S935" t="s">
        <v>7938</v>
      </c>
      <c r="T935" t="s">
        <v>14004</v>
      </c>
      <c r="U935" t="s">
        <v>14004</v>
      </c>
      <c r="V935" t="s">
        <v>14004</v>
      </c>
      <c r="W935" t="s">
        <v>14926</v>
      </c>
      <c r="X935">
        <v>15</v>
      </c>
      <c r="Y935" t="s">
        <v>21302</v>
      </c>
      <c r="Z935" t="s">
        <v>28645</v>
      </c>
      <c r="AA935">
        <v>0.41512869130262459</v>
      </c>
      <c r="AB935" t="str">
        <f>HYPERLINK("Melting_Curves/meltCurve_H0Y6A0_ARFGAP3.pdf", "Melting_Curves/meltCurve_H0Y6A0_ARFGAP3.pdf")</f>
        <v>Melting_Curves/meltCurve_H0Y6A0_ARFGAP3.pdf</v>
      </c>
    </row>
    <row r="936" spans="1:28" x14ac:dyDescent="0.25">
      <c r="A936" t="s">
        <v>940</v>
      </c>
      <c r="B936">
        <v>0.99999676499088797</v>
      </c>
      <c r="C936">
        <v>1.0029011389342499</v>
      </c>
      <c r="D936">
        <v>1.0192489736674999</v>
      </c>
      <c r="E936">
        <v>0.91728087232414401</v>
      </c>
      <c r="F936">
        <v>0.78554245114563603</v>
      </c>
      <c r="G936">
        <v>0.64360713445088202</v>
      </c>
      <c r="H936">
        <v>0.32868695998437097</v>
      </c>
      <c r="I936">
        <v>0.32947263277234601</v>
      </c>
      <c r="J936">
        <v>0.31450554196922897</v>
      </c>
      <c r="K936">
        <v>0.22600000750221599</v>
      </c>
      <c r="L936">
        <v>1011.69325870411</v>
      </c>
      <c r="M936">
        <v>17.931429210210599</v>
      </c>
      <c r="N936">
        <v>58.420059698506101</v>
      </c>
      <c r="O936">
        <v>55.732444484401398</v>
      </c>
      <c r="P936">
        <v>-6.1988819633017903E-2</v>
      </c>
      <c r="Q936">
        <v>0.229371987837826</v>
      </c>
      <c r="R936">
        <v>0.98762851394440299</v>
      </c>
      <c r="S936" t="s">
        <v>7939</v>
      </c>
      <c r="T936" t="s">
        <v>14004</v>
      </c>
      <c r="U936" t="s">
        <v>14004</v>
      </c>
      <c r="V936" t="s">
        <v>14004</v>
      </c>
      <c r="W936" t="s">
        <v>14927</v>
      </c>
      <c r="X936">
        <v>8</v>
      </c>
      <c r="Y936" t="s">
        <v>21862</v>
      </c>
      <c r="Z936" t="s">
        <v>28646</v>
      </c>
      <c r="AA936">
        <v>0.662265845480841</v>
      </c>
      <c r="AB936" t="str">
        <f>HYPERLINK("Melting_Curves/meltCurve_H0Y6C3_PYCRL.pdf", "Melting_Curves/meltCurve_H0Y6C3_PYCRL.pdf")</f>
        <v>Melting_Curves/meltCurve_H0Y6C3_PYCRL.pdf</v>
      </c>
    </row>
    <row r="937" spans="1:28" x14ac:dyDescent="0.25">
      <c r="A937" t="s">
        <v>941</v>
      </c>
      <c r="B937">
        <v>0.99999676499088797</v>
      </c>
      <c r="C937">
        <v>0.87206562682658495</v>
      </c>
      <c r="D937">
        <v>0.53646155542224605</v>
      </c>
      <c r="E937">
        <v>0.212531762192948</v>
      </c>
      <c r="F937">
        <v>0.13833930955698601</v>
      </c>
      <c r="G937">
        <v>9.4587581114168706E-2</v>
      </c>
      <c r="H937">
        <v>5.4354377069213901E-2</v>
      </c>
      <c r="I937">
        <v>5.7231142680583102E-2</v>
      </c>
      <c r="J937">
        <v>5.7525427417078702E-2</v>
      </c>
      <c r="K937">
        <v>5.6609070002429297E-2</v>
      </c>
      <c r="L937">
        <v>1087.3312800139499</v>
      </c>
      <c r="M937">
        <v>23.576950030439399</v>
      </c>
      <c r="N937">
        <v>46.396938321593602</v>
      </c>
      <c r="O937">
        <v>45.790487316134303</v>
      </c>
      <c r="P937">
        <v>-0.120230041596321</v>
      </c>
      <c r="Q937">
        <v>6.5986707617004398E-2</v>
      </c>
      <c r="R937">
        <v>0.99769603346725599</v>
      </c>
      <c r="S937" t="s">
        <v>7940</v>
      </c>
      <c r="T937" t="s">
        <v>14004</v>
      </c>
      <c r="U937" t="s">
        <v>14004</v>
      </c>
      <c r="V937" t="s">
        <v>14004</v>
      </c>
      <c r="W937" t="s">
        <v>14928</v>
      </c>
      <c r="X937">
        <v>15</v>
      </c>
      <c r="Y937" t="s">
        <v>21863</v>
      </c>
      <c r="Z937" t="s">
        <v>28647</v>
      </c>
      <c r="AA937">
        <v>0.26629089998918359</v>
      </c>
      <c r="AB937" t="str">
        <f>HYPERLINK("Melting_Curves/meltCurve_H0Y6K2_BRD2.pdf", "Melting_Curves/meltCurve_H0Y6K2_BRD2.pdf")</f>
        <v>Melting_Curves/meltCurve_H0Y6K2_BRD2.pdf</v>
      </c>
    </row>
    <row r="938" spans="1:28" x14ac:dyDescent="0.25">
      <c r="A938" t="s">
        <v>942</v>
      </c>
      <c r="B938">
        <v>0.99999676499088797</v>
      </c>
      <c r="C938">
        <v>0.87021436650923201</v>
      </c>
      <c r="D938">
        <v>0.74912573383942505</v>
      </c>
      <c r="E938">
        <v>0.990052258570984</v>
      </c>
      <c r="F938">
        <v>0.69215743812589803</v>
      </c>
      <c r="G938">
        <v>0.70903890271626102</v>
      </c>
      <c r="H938">
        <v>0.42849750257478098</v>
      </c>
      <c r="I938">
        <v>0.42070345602103298</v>
      </c>
      <c r="J938">
        <v>0.301046466493885</v>
      </c>
      <c r="K938">
        <v>0.25013023101568599</v>
      </c>
      <c r="L938">
        <v>454.15261898966799</v>
      </c>
      <c r="M938">
        <v>7.5111762214315299</v>
      </c>
      <c r="N938">
        <v>60.463581922569503</v>
      </c>
      <c r="O938">
        <v>56.623059017754599</v>
      </c>
      <c r="P938">
        <v>-3.3210482199193002E-2</v>
      </c>
      <c r="Q938">
        <v>0</v>
      </c>
      <c r="R938">
        <v>0.89337946826301995</v>
      </c>
      <c r="S938" t="s">
        <v>7941</v>
      </c>
      <c r="T938" t="s">
        <v>14004</v>
      </c>
      <c r="U938" t="s">
        <v>14004</v>
      </c>
      <c r="V938" t="s">
        <v>14004</v>
      </c>
      <c r="W938" t="s">
        <v>14929</v>
      </c>
      <c r="X938">
        <v>3</v>
      </c>
      <c r="Y938" t="s">
        <v>21864</v>
      </c>
      <c r="Z938" t="s">
        <v>28648</v>
      </c>
      <c r="AA938">
        <v>0.65820023116248394</v>
      </c>
      <c r="AB938" t="str">
        <f>HYPERLINK("Melting_Curves/meltCurve_H0Y6Y6_CD1C.pdf", "Melting_Curves/meltCurve_H0Y6Y6_CD1C.pdf")</f>
        <v>Melting_Curves/meltCurve_H0Y6Y6_CD1C.pdf</v>
      </c>
    </row>
    <row r="939" spans="1:28" x14ac:dyDescent="0.25">
      <c r="A939" t="s">
        <v>943</v>
      </c>
      <c r="B939">
        <v>0.99999676499088797</v>
      </c>
      <c r="C939">
        <v>0.92916950880051197</v>
      </c>
      <c r="D939">
        <v>0.93157630723472395</v>
      </c>
      <c r="E939">
        <v>0.79363015029541595</v>
      </c>
      <c r="F939">
        <v>0.79180432165071102</v>
      </c>
      <c r="G939">
        <v>0.686416917521806</v>
      </c>
      <c r="H939">
        <v>0.61636462470384201</v>
      </c>
      <c r="I939">
        <v>0.55180739164589399</v>
      </c>
      <c r="J939">
        <v>0.58366137799970097</v>
      </c>
      <c r="K939">
        <v>0.616506355654452</v>
      </c>
      <c r="L939">
        <v>553.70853098019995</v>
      </c>
      <c r="M939">
        <v>10.636674750485501</v>
      </c>
      <c r="O939">
        <v>50.317680539252599</v>
      </c>
      <c r="P939">
        <v>-2.39192932226951E-2</v>
      </c>
      <c r="Q939">
        <v>0.54756483172750003</v>
      </c>
      <c r="R939">
        <v>0.96057266424167198</v>
      </c>
      <c r="S939" t="s">
        <v>7942</v>
      </c>
      <c r="T939" t="s">
        <v>14004</v>
      </c>
      <c r="U939" t="s">
        <v>14004</v>
      </c>
      <c r="V939" t="s">
        <v>14004</v>
      </c>
      <c r="W939" t="s">
        <v>14930</v>
      </c>
      <c r="X939">
        <v>14</v>
      </c>
      <c r="Y939" t="s">
        <v>21865</v>
      </c>
      <c r="Z939" t="s">
        <v>28649</v>
      </c>
      <c r="AA939">
        <v>0.7453470400572052</v>
      </c>
      <c r="AB939" t="str">
        <f>HYPERLINK("Melting_Curves/meltCurve_H0Y7A7_CALM2.pdf", "Melting_Curves/meltCurve_H0Y7A7_CALM2.pdf")</f>
        <v>Melting_Curves/meltCurve_H0Y7A7_CALM2.pdf</v>
      </c>
    </row>
    <row r="940" spans="1:28" x14ac:dyDescent="0.25">
      <c r="A940" t="s">
        <v>944</v>
      </c>
      <c r="B940">
        <v>0.99999676499088797</v>
      </c>
      <c r="C940">
        <v>0.98941828353517902</v>
      </c>
      <c r="D940">
        <v>0.93347856407926799</v>
      </c>
      <c r="E940">
        <v>0.84870115833488902</v>
      </c>
      <c r="F940">
        <v>0.41066931227764097</v>
      </c>
      <c r="G940">
        <v>0.25756098405636302</v>
      </c>
      <c r="H940">
        <v>0.14007816744875901</v>
      </c>
      <c r="I940">
        <v>0.157227617087322</v>
      </c>
      <c r="J940">
        <v>0.14790865479842499</v>
      </c>
      <c r="K940">
        <v>0.16209404942500899</v>
      </c>
      <c r="L940">
        <v>1486.76908891832</v>
      </c>
      <c r="M940">
        <v>28.641438434855999</v>
      </c>
      <c r="N940">
        <v>52.580909070762502</v>
      </c>
      <c r="O940">
        <v>51.658635034252598</v>
      </c>
      <c r="P940">
        <v>-0.117387346608676</v>
      </c>
      <c r="Q940">
        <v>0.15311186367726601</v>
      </c>
      <c r="R940">
        <v>0.99583359932359305</v>
      </c>
      <c r="S940" t="s">
        <v>7943</v>
      </c>
      <c r="T940" t="s">
        <v>14004</v>
      </c>
      <c r="U940" t="s">
        <v>14004</v>
      </c>
      <c r="V940" t="s">
        <v>14004</v>
      </c>
      <c r="W940" t="s">
        <v>14931</v>
      </c>
      <c r="X940">
        <v>8</v>
      </c>
      <c r="Y940" t="s">
        <v>21866</v>
      </c>
      <c r="Z940" t="s">
        <v>28650</v>
      </c>
      <c r="AA940">
        <v>0.4952411337463451</v>
      </c>
      <c r="AB940" t="str">
        <f>HYPERLINK("Melting_Curves/meltCurve_H0Y7P7_PISD.pdf", "Melting_Curves/meltCurve_H0Y7P7_PISD.pdf")</f>
        <v>Melting_Curves/meltCurve_H0Y7P7_PISD.pdf</v>
      </c>
    </row>
    <row r="941" spans="1:28" x14ac:dyDescent="0.25">
      <c r="A941" t="s">
        <v>945</v>
      </c>
      <c r="B941">
        <v>0.99999676499088797</v>
      </c>
      <c r="C941">
        <v>1.15295635610979</v>
      </c>
      <c r="D941">
        <v>1.3791521198691099</v>
      </c>
      <c r="E941">
        <v>1.14250090155206</v>
      </c>
      <c r="F941">
        <v>0.52229174469986095</v>
      </c>
      <c r="G941">
        <v>2.31908904363774</v>
      </c>
      <c r="H941">
        <v>2.0672406579019502</v>
      </c>
      <c r="I941">
        <v>5.1519234999458501</v>
      </c>
      <c r="J941">
        <v>8.4496847009747196</v>
      </c>
      <c r="K941">
        <v>11.456786076159601</v>
      </c>
      <c r="L941">
        <v>2676.7146600235801</v>
      </c>
      <c r="M941">
        <v>49.086952997660703</v>
      </c>
      <c r="O941">
        <v>54.439805072031703</v>
      </c>
      <c r="P941">
        <v>0.112709377538372</v>
      </c>
      <c r="Q941">
        <v>1.5</v>
      </c>
      <c r="R941">
        <v>-0.302902098554515</v>
      </c>
      <c r="S941" t="s">
        <v>7944</v>
      </c>
      <c r="T941" t="s">
        <v>14004</v>
      </c>
      <c r="U941" t="s">
        <v>14004</v>
      </c>
      <c r="V941" t="s">
        <v>14004</v>
      </c>
      <c r="W941" t="s">
        <v>14932</v>
      </c>
      <c r="X941">
        <v>9</v>
      </c>
      <c r="Y941" t="s">
        <v>21867</v>
      </c>
      <c r="Z941" t="s">
        <v>28651</v>
      </c>
      <c r="AA941">
        <v>1.256584808992365</v>
      </c>
      <c r="AB941" t="str">
        <f>HYPERLINK("Melting_Curves/meltCurve_H0Y7S3_ATP2B2.pdf", "Melting_Curves/meltCurve_H0Y7S3_ATP2B2.pdf")</f>
        <v>Melting_Curves/meltCurve_H0Y7S3_ATP2B2.pdf</v>
      </c>
    </row>
    <row r="942" spans="1:28" x14ac:dyDescent="0.25">
      <c r="A942" t="s">
        <v>946</v>
      </c>
      <c r="B942">
        <v>0.99999676499088797</v>
      </c>
      <c r="C942">
        <v>1.01143975847818</v>
      </c>
      <c r="D942">
        <v>1.0050989395474299</v>
      </c>
      <c r="E942">
        <v>0.90772202545464598</v>
      </c>
      <c r="F942">
        <v>0.78701388024433805</v>
      </c>
      <c r="G942">
        <v>0.64194806266428805</v>
      </c>
      <c r="H942">
        <v>0.25600132836023298</v>
      </c>
      <c r="I942">
        <v>0.10694738348949299</v>
      </c>
      <c r="J942">
        <v>5.8521663640475001E-2</v>
      </c>
      <c r="K942">
        <v>6.5967853120594097E-2</v>
      </c>
      <c r="L942">
        <v>1073.95781503283</v>
      </c>
      <c r="M942">
        <v>18.605141749355699</v>
      </c>
      <c r="N942">
        <v>57.723711905438499</v>
      </c>
      <c r="O942">
        <v>57.069244432308999</v>
      </c>
      <c r="P942">
        <v>-8.1506018461060106E-2</v>
      </c>
      <c r="Q942">
        <v>0</v>
      </c>
      <c r="R942">
        <v>0.99268520306691999</v>
      </c>
      <c r="S942" t="s">
        <v>7945</v>
      </c>
      <c r="T942" t="s">
        <v>14004</v>
      </c>
      <c r="U942" t="s">
        <v>14004</v>
      </c>
      <c r="V942" t="s">
        <v>14004</v>
      </c>
      <c r="W942" t="s">
        <v>14933</v>
      </c>
      <c r="X942">
        <v>1</v>
      </c>
      <c r="Y942" t="s">
        <v>21868</v>
      </c>
      <c r="Z942" t="s">
        <v>28652</v>
      </c>
      <c r="AA942">
        <v>0.60322727731344961</v>
      </c>
      <c r="AB942" t="str">
        <f>HYPERLINK("Melting_Curves/meltCurve_H0Y870_TMEM222.pdf", "Melting_Curves/meltCurve_H0Y870_TMEM222.pdf")</f>
        <v>Melting_Curves/meltCurve_H0Y870_TMEM222.pdf</v>
      </c>
    </row>
    <row r="943" spans="1:28" x14ac:dyDescent="0.25">
      <c r="A943" t="s">
        <v>947</v>
      </c>
      <c r="B943">
        <v>0.99999676499088797</v>
      </c>
      <c r="C943">
        <v>0.68120482968978202</v>
      </c>
      <c r="D943">
        <v>1.0181915928279499</v>
      </c>
      <c r="E943">
        <v>0.93821128400945097</v>
      </c>
      <c r="F943">
        <v>0.92031304468831798</v>
      </c>
      <c r="G943">
        <v>1.5670566055824899</v>
      </c>
      <c r="H943">
        <v>2.7170254440714401</v>
      </c>
      <c r="I943">
        <v>2.9131589392866601</v>
      </c>
      <c r="J943">
        <v>2.1592124900205998</v>
      </c>
      <c r="K943">
        <v>1.85084590268681</v>
      </c>
      <c r="L943">
        <v>6219.7606086320702</v>
      </c>
      <c r="M943">
        <v>113.145916410005</v>
      </c>
      <c r="O943">
        <v>54.953978409373399</v>
      </c>
      <c r="P943">
        <v>0.25736517025353001</v>
      </c>
      <c r="Q943">
        <v>1.5</v>
      </c>
      <c r="R943">
        <v>0.28166400800512897</v>
      </c>
      <c r="S943" t="s">
        <v>7946</v>
      </c>
      <c r="T943" t="s">
        <v>14004</v>
      </c>
      <c r="U943" t="s">
        <v>14004</v>
      </c>
      <c r="V943" t="s">
        <v>14004</v>
      </c>
      <c r="W943" t="s">
        <v>14934</v>
      </c>
      <c r="X943">
        <v>7</v>
      </c>
      <c r="Y943" t="s">
        <v>21869</v>
      </c>
      <c r="Z943" t="s">
        <v>28653</v>
      </c>
      <c r="AA943">
        <v>1.250245215114514</v>
      </c>
      <c r="AB943" t="str">
        <f>HYPERLINK("Melting_Curves/meltCurve_H0Y8F2_TACC3.pdf", "Melting_Curves/meltCurve_H0Y8F2_TACC3.pdf")</f>
        <v>Melting_Curves/meltCurve_H0Y8F2_TACC3.pdf</v>
      </c>
    </row>
    <row r="944" spans="1:28" x14ac:dyDescent="0.25">
      <c r="A944" t="s">
        <v>948</v>
      </c>
      <c r="B944">
        <v>0.99999676499088797</v>
      </c>
      <c r="C944">
        <v>0.88535400214609805</v>
      </c>
      <c r="D944">
        <v>0.94291726987557101</v>
      </c>
      <c r="E944">
        <v>0.80464776829917095</v>
      </c>
      <c r="F944">
        <v>0.77608465320125397</v>
      </c>
      <c r="G944">
        <v>0.47396795511533102</v>
      </c>
      <c r="H944">
        <v>0.14630053523543299</v>
      </c>
      <c r="I944">
        <v>0.11206186652575099</v>
      </c>
      <c r="J944">
        <v>0.12869782600386401</v>
      </c>
      <c r="K944">
        <v>8.9558084253026804E-2</v>
      </c>
      <c r="L944">
        <v>945.15573429413098</v>
      </c>
      <c r="M944">
        <v>16.9536220886887</v>
      </c>
      <c r="N944">
        <v>56.011397929067897</v>
      </c>
      <c r="O944">
        <v>54.991143483947603</v>
      </c>
      <c r="P944">
        <v>-7.4141827699290494E-2</v>
      </c>
      <c r="Q944">
        <v>3.8107367339924397E-2</v>
      </c>
      <c r="R944">
        <v>0.97292955690275196</v>
      </c>
      <c r="S944" t="s">
        <v>7947</v>
      </c>
      <c r="T944" t="s">
        <v>14004</v>
      </c>
      <c r="U944" t="s">
        <v>14004</v>
      </c>
      <c r="V944" t="s">
        <v>14004</v>
      </c>
      <c r="W944" t="s">
        <v>14935</v>
      </c>
      <c r="X944">
        <v>1</v>
      </c>
      <c r="Y944" t="s">
        <v>21870</v>
      </c>
      <c r="Z944" t="s">
        <v>28654</v>
      </c>
      <c r="AA944">
        <v>0.55850565255442974</v>
      </c>
      <c r="AB944" t="str">
        <f>HYPERLINK("Melting_Curves/meltCurve_H0Y8H1_CHIC2.pdf", "Melting_Curves/meltCurve_H0Y8H1_CHIC2.pdf")</f>
        <v>Melting_Curves/meltCurve_H0Y8H1_CHIC2.pdf</v>
      </c>
    </row>
    <row r="945" spans="1:28" x14ac:dyDescent="0.25">
      <c r="A945" t="s">
        <v>949</v>
      </c>
      <c r="B945">
        <v>0.99999676499088797</v>
      </c>
      <c r="C945">
        <v>0.75509869350575598</v>
      </c>
      <c r="D945">
        <v>0.51050446631989199</v>
      </c>
      <c r="E945">
        <v>0.25279970536505603</v>
      </c>
      <c r="F945">
        <v>0.16047061590491701</v>
      </c>
      <c r="G945">
        <v>9.6979081782351706E-2</v>
      </c>
      <c r="H945">
        <v>5.2353588000217603E-2</v>
      </c>
      <c r="I945">
        <v>4.4336057505116801E-2</v>
      </c>
      <c r="J945">
        <v>7.2445614691718896E-2</v>
      </c>
      <c r="K945">
        <v>4.98018884711975E-2</v>
      </c>
      <c r="L945">
        <v>811.56041678879501</v>
      </c>
      <c r="M945">
        <v>17.699066455552501</v>
      </c>
      <c r="N945">
        <v>46.1672985385567</v>
      </c>
      <c r="O945">
        <v>45.279948484757703</v>
      </c>
      <c r="P945">
        <v>-9.2183465068530396E-2</v>
      </c>
      <c r="Q945">
        <v>5.6709015805273801E-2</v>
      </c>
      <c r="R945">
        <v>0.99331659470678502</v>
      </c>
      <c r="S945" t="s">
        <v>7948</v>
      </c>
      <c r="T945" t="s">
        <v>14004</v>
      </c>
      <c r="U945" t="s">
        <v>14004</v>
      </c>
      <c r="V945" t="s">
        <v>14004</v>
      </c>
      <c r="W945" t="s">
        <v>14936</v>
      </c>
      <c r="X945">
        <v>11</v>
      </c>
      <c r="Y945" t="s">
        <v>21871</v>
      </c>
      <c r="Z945" t="s">
        <v>28655</v>
      </c>
      <c r="AA945">
        <v>0.2602113141020504</v>
      </c>
      <c r="AB945" t="str">
        <f>HYPERLINK("Melting_Curves/meltCurve_H0Y8W3_RGS14.pdf", "Melting_Curves/meltCurve_H0Y8W3_RGS14.pdf")</f>
        <v>Melting_Curves/meltCurve_H0Y8W3_RGS14.pdf</v>
      </c>
    </row>
    <row r="946" spans="1:28" x14ac:dyDescent="0.25">
      <c r="A946" t="s">
        <v>950</v>
      </c>
      <c r="B946">
        <v>0.99999676499088797</v>
      </c>
      <c r="C946">
        <v>1.44312848356924</v>
      </c>
      <c r="D946">
        <v>1.0965064419878801</v>
      </c>
      <c r="E946">
        <v>0.73817830408089102</v>
      </c>
      <c r="F946">
        <v>0.61046076394077997</v>
      </c>
      <c r="G946">
        <v>0.60201140209387605</v>
      </c>
      <c r="H946">
        <v>0.10912642746125099</v>
      </c>
      <c r="I946">
        <v>9.3616914529412995E-2</v>
      </c>
      <c r="J946">
        <v>6.2404076643512503E-2</v>
      </c>
      <c r="K946">
        <v>3.3771873008099598E-2</v>
      </c>
      <c r="L946">
        <v>903.07013737642103</v>
      </c>
      <c r="M946">
        <v>16.1866195663791</v>
      </c>
      <c r="N946">
        <v>55.791156833916602</v>
      </c>
      <c r="O946">
        <v>54.960455959697903</v>
      </c>
      <c r="P946">
        <v>-7.3633998847790205E-2</v>
      </c>
      <c r="Q946">
        <v>0</v>
      </c>
      <c r="R946">
        <v>0.87199874664083599</v>
      </c>
      <c r="S946" t="s">
        <v>7949</v>
      </c>
      <c r="T946" t="s">
        <v>14004</v>
      </c>
      <c r="U946" t="s">
        <v>14004</v>
      </c>
      <c r="V946" t="s">
        <v>14004</v>
      </c>
      <c r="W946" t="s">
        <v>14937</v>
      </c>
      <c r="X946">
        <v>2</v>
      </c>
      <c r="Y946" t="s">
        <v>21872</v>
      </c>
      <c r="Z946" t="s">
        <v>28656</v>
      </c>
      <c r="AA946">
        <v>0.54317942022474341</v>
      </c>
      <c r="AB946" t="str">
        <f>HYPERLINK("Melting_Curves/meltCurve_H0Y912_DACH2.pdf", "Melting_Curves/meltCurve_H0Y912_DACH2.pdf")</f>
        <v>Melting_Curves/meltCurve_H0Y912_DACH2.pdf</v>
      </c>
    </row>
    <row r="947" spans="1:28" x14ac:dyDescent="0.25">
      <c r="A947" t="s">
        <v>951</v>
      </c>
      <c r="B947">
        <v>0.99999676499088797</v>
      </c>
      <c r="C947">
        <v>0.89543858836344403</v>
      </c>
      <c r="D947">
        <v>1.1206323708883199</v>
      </c>
      <c r="E947">
        <v>1.2524656896081801</v>
      </c>
      <c r="F947">
        <v>1.4406789092633101</v>
      </c>
      <c r="G947">
        <v>0.89288332996680997</v>
      </c>
      <c r="H947">
        <v>0.165246201456895</v>
      </c>
      <c r="I947">
        <v>0.123325833956026</v>
      </c>
      <c r="J947">
        <v>7.4945212506226794E-2</v>
      </c>
      <c r="K947">
        <v>5.70463151664597E-2</v>
      </c>
      <c r="L947">
        <v>3906.9547397297601</v>
      </c>
      <c r="M947">
        <v>66.655905964129602</v>
      </c>
      <c r="N947">
        <v>58.777914054164299</v>
      </c>
      <c r="O947">
        <v>58.561092028679703</v>
      </c>
      <c r="P947">
        <v>-0.26039301830067102</v>
      </c>
      <c r="Q947">
        <v>8.4918579327316501E-2</v>
      </c>
      <c r="R947">
        <v>0.89057118305079497</v>
      </c>
      <c r="S947" t="s">
        <v>7950</v>
      </c>
      <c r="T947" t="s">
        <v>14004</v>
      </c>
      <c r="U947" t="s">
        <v>14004</v>
      </c>
      <c r="V947" t="s">
        <v>14004</v>
      </c>
      <c r="W947" t="s">
        <v>14938</v>
      </c>
      <c r="X947">
        <v>1</v>
      </c>
      <c r="Z947" t="s">
        <v>28657</v>
      </c>
      <c r="AA947">
        <v>0.65401666985175955</v>
      </c>
      <c r="AB947" t="str">
        <f>HYPERLINK("Melting_Curves/meltCurve_H0Y9B8_.pdf", "Melting_Curves/meltCurve_H0Y9B8_.pdf")</f>
        <v>Melting_Curves/meltCurve_H0Y9B8_.pdf</v>
      </c>
    </row>
    <row r="948" spans="1:28" x14ac:dyDescent="0.25">
      <c r="A948" t="s">
        <v>952</v>
      </c>
      <c r="B948">
        <v>0.99999676499088797</v>
      </c>
      <c r="C948">
        <v>0.89574619897724606</v>
      </c>
      <c r="D948">
        <v>0.86771866081832905</v>
      </c>
      <c r="E948">
        <v>1.05192974269757</v>
      </c>
      <c r="F948">
        <v>0.71862091064156497</v>
      </c>
      <c r="G948">
        <v>0.84919043671459704</v>
      </c>
      <c r="H948">
        <v>0.49243456749556103</v>
      </c>
      <c r="I948">
        <v>0.18982741236600301</v>
      </c>
      <c r="J948">
        <v>9.8864507215509698E-2</v>
      </c>
      <c r="K948">
        <v>0</v>
      </c>
      <c r="L948">
        <v>1230.14097363562</v>
      </c>
      <c r="M948">
        <v>20.4280366266557</v>
      </c>
      <c r="N948">
        <v>60.2182716112275</v>
      </c>
      <c r="O948">
        <v>59.650115919014702</v>
      </c>
      <c r="P948">
        <v>-8.5618651425560494E-2</v>
      </c>
      <c r="Q948">
        <v>0</v>
      </c>
      <c r="R948">
        <v>0.93395750469014105</v>
      </c>
      <c r="S948" t="s">
        <v>7951</v>
      </c>
      <c r="T948" t="s">
        <v>14004</v>
      </c>
      <c r="U948" t="s">
        <v>14004</v>
      </c>
      <c r="V948" t="s">
        <v>14004</v>
      </c>
      <c r="W948" t="s">
        <v>14939</v>
      </c>
      <c r="X948">
        <v>2</v>
      </c>
      <c r="Y948" t="s">
        <v>21873</v>
      </c>
      <c r="Z948" t="s">
        <v>28658</v>
      </c>
      <c r="AA948">
        <v>0.68185070543551329</v>
      </c>
      <c r="AB948" t="str">
        <f>HYPERLINK("Melting_Curves/meltCurve_H0Y9N0_ADH4.pdf", "Melting_Curves/meltCurve_H0Y9N0_ADH4.pdf")</f>
        <v>Melting_Curves/meltCurve_H0Y9N0_ADH4.pdf</v>
      </c>
    </row>
    <row r="949" spans="1:28" x14ac:dyDescent="0.25">
      <c r="A949" t="s">
        <v>953</v>
      </c>
      <c r="B949">
        <v>0.99999676499088797</v>
      </c>
      <c r="C949">
        <v>1.05307236171768</v>
      </c>
      <c r="D949">
        <v>0.99851980007592001</v>
      </c>
      <c r="E949">
        <v>0.98670341239357895</v>
      </c>
      <c r="F949">
        <v>0.58876087910415797</v>
      </c>
      <c r="G949">
        <v>0.247329327732801</v>
      </c>
      <c r="H949">
        <v>3.7470193936787501E-2</v>
      </c>
      <c r="I949">
        <v>4.4137189007215298E-2</v>
      </c>
      <c r="J949">
        <v>2.9520247788895601E-2</v>
      </c>
      <c r="K949">
        <v>4.2189699454497201E-2</v>
      </c>
      <c r="L949">
        <v>1615.8684556467999</v>
      </c>
      <c r="M949">
        <v>29.931637670952199</v>
      </c>
      <c r="N949">
        <v>54.105824346556403</v>
      </c>
      <c r="O949">
        <v>53.746047631302801</v>
      </c>
      <c r="P949">
        <v>-0.13473794842426001</v>
      </c>
      <c r="Q949">
        <v>3.2250145710192503E-2</v>
      </c>
      <c r="R949">
        <v>0.99557896234439502</v>
      </c>
      <c r="S949" t="s">
        <v>7952</v>
      </c>
      <c r="T949" t="s">
        <v>14004</v>
      </c>
      <c r="U949" t="s">
        <v>14004</v>
      </c>
      <c r="V949" t="s">
        <v>14004</v>
      </c>
      <c r="W949" t="s">
        <v>14940</v>
      </c>
      <c r="X949">
        <v>12</v>
      </c>
      <c r="Y949" t="s">
        <v>21874</v>
      </c>
      <c r="Z949" t="s">
        <v>28659</v>
      </c>
      <c r="AA949">
        <v>0.48977641979851749</v>
      </c>
      <c r="AB949" t="str">
        <f>HYPERLINK("Melting_Curves/meltCurve_H0Y9S9_PPIP5K2.pdf", "Melting_Curves/meltCurve_H0Y9S9_PPIP5K2.pdf")</f>
        <v>Melting_Curves/meltCurve_H0Y9S9_PPIP5K2.pdf</v>
      </c>
    </row>
    <row r="950" spans="1:28" x14ac:dyDescent="0.25">
      <c r="A950" t="s">
        <v>954</v>
      </c>
      <c r="B950">
        <v>0.99999676499088797</v>
      </c>
      <c r="C950">
        <v>1.0280089542242301</v>
      </c>
      <c r="D950">
        <v>0.65433693619742295</v>
      </c>
      <c r="E950">
        <v>0.169836305293874</v>
      </c>
      <c r="F950">
        <v>0.100064393585832</v>
      </c>
      <c r="G950">
        <v>0.100163691481094</v>
      </c>
      <c r="H950">
        <v>2.16736384313297E-2</v>
      </c>
      <c r="I950">
        <v>7.9206727989758002E-2</v>
      </c>
      <c r="J950">
        <v>0</v>
      </c>
      <c r="K950">
        <v>0</v>
      </c>
      <c r="L950">
        <v>1684.09114276899</v>
      </c>
      <c r="M950">
        <v>35.972721181628302</v>
      </c>
      <c r="N950">
        <v>46.948997430953497</v>
      </c>
      <c r="O950">
        <v>46.671817959204397</v>
      </c>
      <c r="P950">
        <v>-0.18334193063377099</v>
      </c>
      <c r="Q950">
        <v>4.8515329149751499E-2</v>
      </c>
      <c r="R950">
        <v>0.99051095167352798</v>
      </c>
      <c r="S950" t="s">
        <v>7953</v>
      </c>
      <c r="T950" t="s">
        <v>14004</v>
      </c>
      <c r="U950" t="s">
        <v>14004</v>
      </c>
      <c r="V950" t="s">
        <v>14004</v>
      </c>
      <c r="W950" t="s">
        <v>14941</v>
      </c>
      <c r="X950">
        <v>1</v>
      </c>
      <c r="Y950" t="s">
        <v>21875</v>
      </c>
      <c r="Z950" t="s">
        <v>28660</v>
      </c>
      <c r="AA950">
        <v>0.26856396821384931</v>
      </c>
      <c r="AB950" t="str">
        <f>HYPERLINK("Melting_Curves/meltCurve_H0Y9T5_DCP2.pdf", "Melting_Curves/meltCurve_H0Y9T5_DCP2.pdf")</f>
        <v>Melting_Curves/meltCurve_H0Y9T5_DCP2.pdf</v>
      </c>
    </row>
    <row r="951" spans="1:28" x14ac:dyDescent="0.25">
      <c r="A951" t="s">
        <v>955</v>
      </c>
      <c r="B951">
        <v>0.99999676499088797</v>
      </c>
      <c r="C951">
        <v>0.912426069630208</v>
      </c>
      <c r="D951">
        <v>0.77026530722910302</v>
      </c>
      <c r="E951">
        <v>0.47901148426658302</v>
      </c>
      <c r="F951">
        <v>0.22787290097427801</v>
      </c>
      <c r="G951">
        <v>0.19119733083201401</v>
      </c>
      <c r="H951">
        <v>0.119287923634464</v>
      </c>
      <c r="I951">
        <v>0.17287805104739401</v>
      </c>
      <c r="J951">
        <v>0.196094137156063</v>
      </c>
      <c r="K951">
        <v>0.23255902751709401</v>
      </c>
      <c r="L951">
        <v>1050.0141197903499</v>
      </c>
      <c r="M951">
        <v>21.849316425947102</v>
      </c>
      <c r="N951">
        <v>48.998943822563803</v>
      </c>
      <c r="O951">
        <v>47.659940814089197</v>
      </c>
      <c r="P951">
        <v>-9.4960006601975303E-2</v>
      </c>
      <c r="Q951">
        <v>0.171473488000458</v>
      </c>
      <c r="R951">
        <v>0.98938759816690003</v>
      </c>
      <c r="S951" t="s">
        <v>7954</v>
      </c>
      <c r="T951" t="s">
        <v>14004</v>
      </c>
      <c r="U951" t="s">
        <v>14004</v>
      </c>
      <c r="V951" t="s">
        <v>14004</v>
      </c>
      <c r="W951" t="s">
        <v>14942</v>
      </c>
      <c r="X951">
        <v>8</v>
      </c>
      <c r="Y951" t="s">
        <v>21876</v>
      </c>
      <c r="Z951" t="s">
        <v>28661</v>
      </c>
      <c r="AA951">
        <v>0.40373865325271818</v>
      </c>
      <c r="AB951" t="str">
        <f>HYPERLINK("Melting_Curves/meltCurve_H0Y9X1_TMA16.pdf", "Melting_Curves/meltCurve_H0Y9X1_TMA16.pdf")</f>
        <v>Melting_Curves/meltCurve_H0Y9X1_TMA16.pdf</v>
      </c>
    </row>
    <row r="952" spans="1:28" x14ac:dyDescent="0.25">
      <c r="A952" t="s">
        <v>956</v>
      </c>
      <c r="B952">
        <v>0.99999676499088797</v>
      </c>
      <c r="C952">
        <v>0.85816422339274601</v>
      </c>
      <c r="D952">
        <v>0.75708439246771497</v>
      </c>
      <c r="E952">
        <v>0.54904886094021899</v>
      </c>
      <c r="F952">
        <v>0.26874118033983102</v>
      </c>
      <c r="G952">
        <v>0.12550371880422201</v>
      </c>
      <c r="H952">
        <v>6.0904206534217999E-2</v>
      </c>
      <c r="I952">
        <v>6.0488140295578703E-2</v>
      </c>
      <c r="J952">
        <v>0</v>
      </c>
      <c r="K952">
        <v>0</v>
      </c>
      <c r="L952">
        <v>716.92285286951198</v>
      </c>
      <c r="M952">
        <v>14.4127635815447</v>
      </c>
      <c r="N952">
        <v>49.742218862711702</v>
      </c>
      <c r="O952">
        <v>48.814032359011698</v>
      </c>
      <c r="P952">
        <v>-7.3823374148344806E-2</v>
      </c>
      <c r="Q952">
        <v>0</v>
      </c>
      <c r="R952">
        <v>0.99503411749636805</v>
      </c>
      <c r="S952" t="s">
        <v>7955</v>
      </c>
      <c r="T952" t="s">
        <v>14004</v>
      </c>
      <c r="U952" t="s">
        <v>14004</v>
      </c>
      <c r="V952" t="s">
        <v>14004</v>
      </c>
      <c r="W952" t="s">
        <v>14943</v>
      </c>
      <c r="X952">
        <v>3</v>
      </c>
      <c r="Y952" t="s">
        <v>21877</v>
      </c>
      <c r="Z952" t="s">
        <v>28662</v>
      </c>
      <c r="AA952">
        <v>0.35056432864207437</v>
      </c>
      <c r="AB952" t="str">
        <f>HYPERLINK("Melting_Curves/meltCurve_H0Y9Z5_CNOT6L.pdf", "Melting_Curves/meltCurve_H0Y9Z5_CNOT6L.pdf")</f>
        <v>Melting_Curves/meltCurve_H0Y9Z5_CNOT6L.pdf</v>
      </c>
    </row>
    <row r="953" spans="1:28" x14ac:dyDescent="0.25">
      <c r="A953" t="s">
        <v>957</v>
      </c>
      <c r="B953">
        <v>0.99999676499088797</v>
      </c>
      <c r="C953">
        <v>1.0496556563814901</v>
      </c>
      <c r="D953">
        <v>0.71238716623211995</v>
      </c>
      <c r="E953">
        <v>0.23305935098605299</v>
      </c>
      <c r="F953">
        <v>0.160396429069709</v>
      </c>
      <c r="G953">
        <v>8.5188251145349503E-2</v>
      </c>
      <c r="H953">
        <v>3.4937286837864699E-2</v>
      </c>
      <c r="I953">
        <v>3.4048177133048398E-2</v>
      </c>
      <c r="J953">
        <v>1.3981579905045101E-2</v>
      </c>
      <c r="K953">
        <v>2.18117372830233E-2</v>
      </c>
      <c r="L953">
        <v>1445.6128749647301</v>
      </c>
      <c r="M953">
        <v>30.4903305294368</v>
      </c>
      <c r="N953">
        <v>47.5732368043058</v>
      </c>
      <c r="O953">
        <v>47.2096296164896</v>
      </c>
      <c r="P953">
        <v>-0.15354456012061399</v>
      </c>
      <c r="Q953">
        <v>4.9044452765265097E-2</v>
      </c>
      <c r="R953">
        <v>0.98891713144997895</v>
      </c>
      <c r="S953" t="s">
        <v>7956</v>
      </c>
      <c r="T953" t="s">
        <v>14004</v>
      </c>
      <c r="U953" t="s">
        <v>14004</v>
      </c>
      <c r="V953" t="s">
        <v>14004</v>
      </c>
      <c r="W953" t="s">
        <v>14944</v>
      </c>
      <c r="X953">
        <v>1</v>
      </c>
      <c r="Y953" t="s">
        <v>21878</v>
      </c>
      <c r="Z953" t="s">
        <v>28663</v>
      </c>
      <c r="AA953">
        <v>0.28951020413987028</v>
      </c>
      <c r="AB953" t="str">
        <f>HYPERLINK("Melting_Curves/meltCurve_H0YA20_DGKQ.pdf", "Melting_Curves/meltCurve_H0YA20_DGKQ.pdf")</f>
        <v>Melting_Curves/meltCurve_H0YA20_DGKQ.pdf</v>
      </c>
    </row>
    <row r="954" spans="1:28" x14ac:dyDescent="0.25">
      <c r="A954" t="s">
        <v>958</v>
      </c>
      <c r="B954">
        <v>0.99999676499088797</v>
      </c>
      <c r="C954">
        <v>0.961881063216251</v>
      </c>
      <c r="D954">
        <v>0.96480472664793904</v>
      </c>
      <c r="E954">
        <v>0.836369685299582</v>
      </c>
      <c r="F954">
        <v>0.93435921013540602</v>
      </c>
      <c r="G954">
        <v>0.591593126945818</v>
      </c>
      <c r="H954">
        <v>0.46495390690329702</v>
      </c>
      <c r="I954">
        <v>0.45867505805952602</v>
      </c>
      <c r="J954">
        <v>0.47373774835106602</v>
      </c>
      <c r="K954">
        <v>0.45029377879775601</v>
      </c>
      <c r="L954">
        <v>2275.6762049768699</v>
      </c>
      <c r="M954">
        <v>41.110234696096903</v>
      </c>
      <c r="N954">
        <v>58.875558096906801</v>
      </c>
      <c r="O954">
        <v>55.224980874524398</v>
      </c>
      <c r="P954">
        <v>-0.10101830281771999</v>
      </c>
      <c r="Q954">
        <v>0.457193859738178</v>
      </c>
      <c r="R954">
        <v>0.94658325965363199</v>
      </c>
      <c r="S954" t="s">
        <v>7957</v>
      </c>
      <c r="T954" t="s">
        <v>14004</v>
      </c>
      <c r="U954" t="s">
        <v>14004</v>
      </c>
      <c r="V954" t="s">
        <v>14004</v>
      </c>
      <c r="W954" t="s">
        <v>14945</v>
      </c>
      <c r="X954">
        <v>5</v>
      </c>
      <c r="Y954" t="s">
        <v>21879</v>
      </c>
      <c r="Z954" t="s">
        <v>28664</v>
      </c>
      <c r="AA954">
        <v>0.73698683796590037</v>
      </c>
      <c r="AB954" t="str">
        <f>HYPERLINK("Melting_Curves/meltCurve_H0YA52_PCBD2.pdf", "Melting_Curves/meltCurve_H0YA52_PCBD2.pdf")</f>
        <v>Melting_Curves/meltCurve_H0YA52_PCBD2.pdf</v>
      </c>
    </row>
    <row r="955" spans="1:28" x14ac:dyDescent="0.25">
      <c r="A955" t="s">
        <v>959</v>
      </c>
      <c r="B955">
        <v>0.99999676499088797</v>
      </c>
      <c r="C955">
        <v>1.0258729422781601</v>
      </c>
      <c r="D955">
        <v>1.0110570455419801</v>
      </c>
      <c r="E955">
        <v>1.15976147148048</v>
      </c>
      <c r="F955">
        <v>1.0675814298195201</v>
      </c>
      <c r="G955">
        <v>0.65334387289031004</v>
      </c>
      <c r="H955">
        <v>0.178769409305886</v>
      </c>
      <c r="I955">
        <v>0.14422794794719901</v>
      </c>
      <c r="J955">
        <v>0.13123507343274901</v>
      </c>
      <c r="K955">
        <v>0.12371693342467099</v>
      </c>
      <c r="L955">
        <v>4420.5999912949501</v>
      </c>
      <c r="M955">
        <v>77.429392312380998</v>
      </c>
      <c r="N955">
        <v>57.340104608976198</v>
      </c>
      <c r="O955">
        <v>57.053971670247201</v>
      </c>
      <c r="P955">
        <v>-0.290990095434493</v>
      </c>
      <c r="Q955">
        <v>0.14233414593552299</v>
      </c>
      <c r="R955">
        <v>0.98239792362401002</v>
      </c>
      <c r="S955" t="s">
        <v>7958</v>
      </c>
      <c r="T955" t="s">
        <v>14004</v>
      </c>
      <c r="U955" t="s">
        <v>14004</v>
      </c>
      <c r="V955" t="s">
        <v>14004</v>
      </c>
      <c r="W955" t="s">
        <v>14946</v>
      </c>
      <c r="X955">
        <v>7</v>
      </c>
      <c r="Y955" t="s">
        <v>21880</v>
      </c>
      <c r="Z955" t="s">
        <v>28665</v>
      </c>
      <c r="AA955">
        <v>0.63187309325715113</v>
      </c>
      <c r="AB955" t="str">
        <f>HYPERLINK("Melting_Curves/meltCurve_H0YA68_MAN2B2.pdf", "Melting_Curves/meltCurve_H0YA68_MAN2B2.pdf")</f>
        <v>Melting_Curves/meltCurve_H0YA68_MAN2B2.pdf</v>
      </c>
    </row>
    <row r="956" spans="1:28" x14ac:dyDescent="0.25">
      <c r="A956" t="s">
        <v>960</v>
      </c>
      <c r="B956">
        <v>0.99999676499088797</v>
      </c>
      <c r="C956">
        <v>1.0716320115367399</v>
      </c>
      <c r="D956">
        <v>1.0936478031268699</v>
      </c>
      <c r="E956">
        <v>0.80316634041196799</v>
      </c>
      <c r="F956">
        <v>1.99917986184258</v>
      </c>
      <c r="G956">
        <v>0.44628470874667903</v>
      </c>
      <c r="H956">
        <v>0.23851317146202899</v>
      </c>
      <c r="I956">
        <v>0.215415610178433</v>
      </c>
      <c r="J956">
        <v>0.21868651865963701</v>
      </c>
      <c r="K956">
        <v>0.123845769261525</v>
      </c>
      <c r="L956">
        <v>14154.1866474217</v>
      </c>
      <c r="M956">
        <v>250</v>
      </c>
      <c r="N956">
        <v>56.731996961646999</v>
      </c>
      <c r="O956">
        <v>56.613110138404799</v>
      </c>
      <c r="P956">
        <v>-0.88416425555447098</v>
      </c>
      <c r="Q956">
        <v>0.19911519723015</v>
      </c>
      <c r="R956">
        <v>0.66416301309027603</v>
      </c>
      <c r="S956" t="s">
        <v>7959</v>
      </c>
      <c r="T956" t="s">
        <v>14004</v>
      </c>
      <c r="U956" t="s">
        <v>14004</v>
      </c>
      <c r="V956" t="s">
        <v>14004</v>
      </c>
      <c r="W956" t="s">
        <v>14947</v>
      </c>
      <c r="X956">
        <v>1</v>
      </c>
      <c r="Y956" t="s">
        <v>21881</v>
      </c>
      <c r="Z956" t="s">
        <v>28666</v>
      </c>
      <c r="AA956">
        <v>0.64279810152470829</v>
      </c>
      <c r="AB956" t="str">
        <f>HYPERLINK("Melting_Curves/meltCurve_H0YAS8_CLU.pdf", "Melting_Curves/meltCurve_H0YAS8_CLU.pdf")</f>
        <v>Melting_Curves/meltCurve_H0YAS8_CLU.pdf</v>
      </c>
    </row>
    <row r="957" spans="1:28" x14ac:dyDescent="0.25">
      <c r="A957" t="s">
        <v>961</v>
      </c>
      <c r="B957">
        <v>0.99999676499088797</v>
      </c>
      <c r="C957">
        <v>0.97755233495980098</v>
      </c>
      <c r="D957">
        <v>1.0170785774856099</v>
      </c>
      <c r="E957">
        <v>0.986004333791904</v>
      </c>
      <c r="F957">
        <v>0.88530881948366302</v>
      </c>
      <c r="G957">
        <v>0.74845800034191801</v>
      </c>
      <c r="H957">
        <v>0.52735081778343196</v>
      </c>
      <c r="I957">
        <v>0.54322311676066404</v>
      </c>
      <c r="J957">
        <v>0.47535384863649599</v>
      </c>
      <c r="K957">
        <v>0.46610573151453799</v>
      </c>
      <c r="L957">
        <v>1274.20725603303</v>
      </c>
      <c r="M957">
        <v>22.4702566178469</v>
      </c>
      <c r="N957">
        <v>64.455215517101905</v>
      </c>
      <c r="O957">
        <v>56.2630004943424</v>
      </c>
      <c r="P957">
        <v>-5.3273894216509798E-2</v>
      </c>
      <c r="Q957">
        <v>0.466443545301792</v>
      </c>
      <c r="R957">
        <v>0.99125155062739201</v>
      </c>
      <c r="S957" t="s">
        <v>7960</v>
      </c>
      <c r="T957" t="s">
        <v>14004</v>
      </c>
      <c r="U957" t="s">
        <v>14004</v>
      </c>
      <c r="V957" t="s">
        <v>14004</v>
      </c>
      <c r="W957" t="s">
        <v>14948</v>
      </c>
      <c r="X957">
        <v>10</v>
      </c>
      <c r="Y957" t="s">
        <v>21882</v>
      </c>
      <c r="Z957" t="s">
        <v>28667</v>
      </c>
      <c r="AA957">
        <v>0.76925602244617053</v>
      </c>
      <c r="AB957" t="str">
        <f>HYPERLINK("Melting_Curves/meltCurve_H0YAV1_RRM2B.pdf", "Melting_Curves/meltCurve_H0YAV1_RRM2B.pdf")</f>
        <v>Melting_Curves/meltCurve_H0YAV1_RRM2B.pdf</v>
      </c>
    </row>
    <row r="958" spans="1:28" x14ac:dyDescent="0.25">
      <c r="A958" t="s">
        <v>962</v>
      </c>
      <c r="B958">
        <v>0.99999676499088797</v>
      </c>
      <c r="C958">
        <v>0.91228634653859797</v>
      </c>
      <c r="D958">
        <v>0.89520551548560601</v>
      </c>
      <c r="E958">
        <v>0.74495687993322701</v>
      </c>
      <c r="F958">
        <v>0.50355427575298795</v>
      </c>
      <c r="G958">
        <v>0.51998720804194198</v>
      </c>
      <c r="H958">
        <v>0.45701433641447398</v>
      </c>
      <c r="I958">
        <v>0.35778749723388198</v>
      </c>
      <c r="J958">
        <v>0.32510997900788302</v>
      </c>
      <c r="K958">
        <v>0.49900525059503498</v>
      </c>
      <c r="L958">
        <v>814.63305034435098</v>
      </c>
      <c r="M958">
        <v>16.3056204347975</v>
      </c>
      <c r="N958">
        <v>55.345345136814302</v>
      </c>
      <c r="O958">
        <v>49.2269238942309</v>
      </c>
      <c r="P958">
        <v>-4.9880556483953897E-2</v>
      </c>
      <c r="Q958">
        <v>0.39768293509771202</v>
      </c>
      <c r="R958">
        <v>0.94665621827562096</v>
      </c>
      <c r="S958" t="s">
        <v>7961</v>
      </c>
      <c r="T958" t="s">
        <v>14004</v>
      </c>
      <c r="U958" t="s">
        <v>14004</v>
      </c>
      <c r="V958" t="s">
        <v>14004</v>
      </c>
      <c r="W958" t="s">
        <v>14949</v>
      </c>
      <c r="X958">
        <v>1</v>
      </c>
      <c r="Y958" t="s">
        <v>21883</v>
      </c>
      <c r="Z958" t="s">
        <v>28668</v>
      </c>
      <c r="AA958">
        <v>0.61002414348074963</v>
      </c>
      <c r="AB958" t="str">
        <f>HYPERLINK("Melting_Curves/meltCurve_H0YBC7_BNIP3L.pdf", "Melting_Curves/meltCurve_H0YBC7_BNIP3L.pdf")</f>
        <v>Melting_Curves/meltCurve_H0YBC7_BNIP3L.pdf</v>
      </c>
    </row>
    <row r="959" spans="1:28" x14ac:dyDescent="0.25">
      <c r="A959" t="s">
        <v>963</v>
      </c>
      <c r="B959">
        <v>0.99999676499088797</v>
      </c>
      <c r="C959">
        <v>0.95373149682695002</v>
      </c>
      <c r="D959">
        <v>0.98269671435844097</v>
      </c>
      <c r="E959">
        <v>0.87493574380883199</v>
      </c>
      <c r="F959">
        <v>0.77515640200440294</v>
      </c>
      <c r="G959">
        <v>0.59022936297225104</v>
      </c>
      <c r="H959">
        <v>0.35814995110117298</v>
      </c>
      <c r="I959">
        <v>0.28161843798337099</v>
      </c>
      <c r="J959">
        <v>0.15786483520262701</v>
      </c>
      <c r="K959">
        <v>0.122585504222174</v>
      </c>
      <c r="L959">
        <v>704.00623873209895</v>
      </c>
      <c r="M959">
        <v>12.061471751220299</v>
      </c>
      <c r="N959">
        <v>58.3681870188055</v>
      </c>
      <c r="O959">
        <v>56.833200760364903</v>
      </c>
      <c r="P959">
        <v>-5.3068990646686201E-2</v>
      </c>
      <c r="Q959">
        <v>0</v>
      </c>
      <c r="R959">
        <v>0.99688532139118002</v>
      </c>
      <c r="S959" t="s">
        <v>7962</v>
      </c>
      <c r="T959" t="s">
        <v>14004</v>
      </c>
      <c r="U959" t="s">
        <v>14004</v>
      </c>
      <c r="V959" t="s">
        <v>14004</v>
      </c>
      <c r="W959" t="s">
        <v>14950</v>
      </c>
      <c r="X959">
        <v>6</v>
      </c>
      <c r="Y959" t="s">
        <v>21884</v>
      </c>
      <c r="Z959" t="s">
        <v>28669</v>
      </c>
      <c r="AA959">
        <v>0.62335945804035342</v>
      </c>
      <c r="AB959" t="str">
        <f>HYPERLINK("Melting_Curves/meltCurve_H0YBI6_TXNRD3.pdf", "Melting_Curves/meltCurve_H0YBI6_TXNRD3.pdf")</f>
        <v>Melting_Curves/meltCurve_H0YBI6_TXNRD3.pdf</v>
      </c>
    </row>
    <row r="960" spans="1:28" x14ac:dyDescent="0.25">
      <c r="A960" t="s">
        <v>964</v>
      </c>
      <c r="B960">
        <v>0.99999676499088797</v>
      </c>
      <c r="C960">
        <v>1.0288002976146999</v>
      </c>
      <c r="D960">
        <v>1.06959031778272</v>
      </c>
      <c r="E960">
        <v>1.1438836798630501</v>
      </c>
      <c r="F960">
        <v>0.78763947091253805</v>
      </c>
      <c r="G960">
        <v>0.40136464828312202</v>
      </c>
      <c r="H960">
        <v>0.135052709518512</v>
      </c>
      <c r="I960">
        <v>9.2524311461560094E-2</v>
      </c>
      <c r="J960">
        <v>0.11927103210756899</v>
      </c>
      <c r="K960">
        <v>9.4933844524510799E-2</v>
      </c>
      <c r="L960">
        <v>1884.9091731647</v>
      </c>
      <c r="M960">
        <v>33.965627518269699</v>
      </c>
      <c r="N960">
        <v>55.854596753921498</v>
      </c>
      <c r="O960">
        <v>55.3033029033462</v>
      </c>
      <c r="P960">
        <v>-0.13844933331739401</v>
      </c>
      <c r="Q960">
        <v>9.8303171201850795E-2</v>
      </c>
      <c r="R960">
        <v>0.98196521984692597</v>
      </c>
      <c r="S960" t="s">
        <v>7963</v>
      </c>
      <c r="T960" t="s">
        <v>14004</v>
      </c>
      <c r="U960" t="s">
        <v>14004</v>
      </c>
      <c r="V960" t="s">
        <v>14004</v>
      </c>
      <c r="W960" t="s">
        <v>14951</v>
      </c>
      <c r="X960">
        <v>7</v>
      </c>
      <c r="Y960" t="s">
        <v>21885</v>
      </c>
      <c r="Z960" t="s">
        <v>28670</v>
      </c>
      <c r="AA960">
        <v>0.56875864808192422</v>
      </c>
      <c r="AB960" t="str">
        <f>HYPERLINK("Melting_Curves/meltCurve_H0YBP1_PTK2.pdf", "Melting_Curves/meltCurve_H0YBP1_PTK2.pdf")</f>
        <v>Melting_Curves/meltCurve_H0YBP1_PTK2.pdf</v>
      </c>
    </row>
    <row r="961" spans="1:28" x14ac:dyDescent="0.25">
      <c r="A961" t="s">
        <v>965</v>
      </c>
      <c r="B961">
        <v>0.99999676499088797</v>
      </c>
      <c r="C961">
        <v>0.89379183559775199</v>
      </c>
      <c r="D961">
        <v>0.83398607416827897</v>
      </c>
      <c r="E961">
        <v>0.68367668176090002</v>
      </c>
      <c r="F961">
        <v>0.38312959484806203</v>
      </c>
      <c r="G961">
        <v>0.32129148243809302</v>
      </c>
      <c r="H961">
        <v>0.184087273248244</v>
      </c>
      <c r="I961">
        <v>0.19252030170847501</v>
      </c>
      <c r="J961">
        <v>0.17048034934596301</v>
      </c>
      <c r="K961">
        <v>0.17170598228523501</v>
      </c>
      <c r="L961">
        <v>734.66718607410303</v>
      </c>
      <c r="M961">
        <v>14.508101525843101</v>
      </c>
      <c r="N961">
        <v>51.868124756854499</v>
      </c>
      <c r="O961">
        <v>49.705499918605497</v>
      </c>
      <c r="P961">
        <v>-6.2358641186894902E-2</v>
      </c>
      <c r="Q961">
        <v>0.14552275301116799</v>
      </c>
      <c r="R961">
        <v>0.99110557108710995</v>
      </c>
      <c r="S961" t="s">
        <v>7964</v>
      </c>
      <c r="T961" t="s">
        <v>14004</v>
      </c>
      <c r="U961" t="s">
        <v>14004</v>
      </c>
      <c r="V961" t="s">
        <v>14004</v>
      </c>
      <c r="W961" t="s">
        <v>14952</v>
      </c>
      <c r="X961">
        <v>1</v>
      </c>
      <c r="Y961" t="s">
        <v>21886</v>
      </c>
      <c r="Z961" t="s">
        <v>28671</v>
      </c>
      <c r="AA961">
        <v>0.4696522756989715</v>
      </c>
      <c r="AB961" t="str">
        <f>HYPERLINK("Melting_Curves/meltCurve_H0YBZ4_MTFR1.pdf", "Melting_Curves/meltCurve_H0YBZ4_MTFR1.pdf")</f>
        <v>Melting_Curves/meltCurve_H0YBZ4_MTFR1.pdf</v>
      </c>
    </row>
    <row r="962" spans="1:28" x14ac:dyDescent="0.25">
      <c r="A962" t="s">
        <v>966</v>
      </c>
      <c r="B962">
        <v>0.99999676499088797</v>
      </c>
      <c r="C962">
        <v>0.92340254068106797</v>
      </c>
      <c r="D962">
        <v>1.0598070159536199</v>
      </c>
      <c r="E962">
        <v>0.83052574587190997</v>
      </c>
      <c r="F962">
        <v>0.89059272843322401</v>
      </c>
      <c r="G962">
        <v>0.86304080077752798</v>
      </c>
      <c r="H962">
        <v>0.64349457100635499</v>
      </c>
      <c r="I962">
        <v>0.73981856246543498</v>
      </c>
      <c r="J962">
        <v>0.62129197451365603</v>
      </c>
      <c r="K962">
        <v>0.73461615770605204</v>
      </c>
      <c r="L962">
        <v>651.75108681353299</v>
      </c>
      <c r="M962">
        <v>11.841227867779001</v>
      </c>
      <c r="O962">
        <v>53.541443767150902</v>
      </c>
      <c r="P962">
        <v>-1.9465452849035801E-2</v>
      </c>
      <c r="Q962">
        <v>0.64802841487317697</v>
      </c>
      <c r="R962">
        <v>0.76583831447572903</v>
      </c>
      <c r="S962" t="s">
        <v>7965</v>
      </c>
      <c r="T962" t="s">
        <v>14004</v>
      </c>
      <c r="U962" t="s">
        <v>14004</v>
      </c>
      <c r="V962" t="s">
        <v>14004</v>
      </c>
      <c r="W962" t="s">
        <v>14953</v>
      </c>
      <c r="X962">
        <v>1</v>
      </c>
      <c r="Y962" t="s">
        <v>21887</v>
      </c>
      <c r="Z962" t="s">
        <v>28672</v>
      </c>
      <c r="AA962">
        <v>0.83277978477653114</v>
      </c>
      <c r="AB962" t="str">
        <f>HYPERLINK("Melting_Curves/meltCurve_H0YC40_CD47.pdf", "Melting_Curves/meltCurve_H0YC40_CD47.pdf")</f>
        <v>Melting_Curves/meltCurve_H0YC40_CD47.pdf</v>
      </c>
    </row>
    <row r="963" spans="1:28" x14ac:dyDescent="0.25">
      <c r="A963" t="s">
        <v>967</v>
      </c>
      <c r="B963">
        <v>0.99999676499088797</v>
      </c>
      <c r="C963">
        <v>0.90983028148359402</v>
      </c>
      <c r="D963">
        <v>0.886857063066254</v>
      </c>
      <c r="E963">
        <v>1.2408311867550501</v>
      </c>
      <c r="F963">
        <v>0.85769138915197096</v>
      </c>
      <c r="G963">
        <v>0.44880856525652102</v>
      </c>
      <c r="H963">
        <v>0.274138816057381</v>
      </c>
      <c r="I963">
        <v>0.23489025040995601</v>
      </c>
      <c r="J963">
        <v>0.16516491216786899</v>
      </c>
      <c r="K963">
        <v>0.130210278011751</v>
      </c>
      <c r="L963">
        <v>2057.6012969943199</v>
      </c>
      <c r="M963">
        <v>36.920513509505597</v>
      </c>
      <c r="N963">
        <v>56.449606056426198</v>
      </c>
      <c r="O963">
        <v>55.567829050322999</v>
      </c>
      <c r="P963">
        <v>-0.134946116472002</v>
      </c>
      <c r="Q963">
        <v>0.187590791769429</v>
      </c>
      <c r="R963">
        <v>0.938262014749358</v>
      </c>
      <c r="S963" t="s">
        <v>7966</v>
      </c>
      <c r="T963" t="s">
        <v>14004</v>
      </c>
      <c r="U963" t="s">
        <v>14004</v>
      </c>
      <c r="V963" t="s">
        <v>14004</v>
      </c>
      <c r="W963" t="s">
        <v>14954</v>
      </c>
      <c r="X963">
        <v>4</v>
      </c>
      <c r="Y963" t="s">
        <v>21888</v>
      </c>
      <c r="Z963" t="s">
        <v>28673</v>
      </c>
      <c r="AA963">
        <v>0.61722233574054264</v>
      </c>
      <c r="AB963" t="str">
        <f>HYPERLINK("Melting_Curves/meltCurve_H0YCP7_TSTA3.pdf", "Melting_Curves/meltCurve_H0YCP7_TSTA3.pdf")</f>
        <v>Melting_Curves/meltCurve_H0YCP7_TSTA3.pdf</v>
      </c>
    </row>
    <row r="964" spans="1:28" x14ac:dyDescent="0.25">
      <c r="A964" t="s">
        <v>968</v>
      </c>
      <c r="B964">
        <v>0.99999676499088797</v>
      </c>
      <c r="C964">
        <v>1.45926513671805</v>
      </c>
      <c r="D964">
        <v>1.5949902421601301</v>
      </c>
      <c r="E964">
        <v>2.8227718044039301</v>
      </c>
      <c r="F964">
        <v>1.9965599680789701</v>
      </c>
      <c r="G964">
        <v>0.426984006598848</v>
      </c>
      <c r="H964">
        <v>0.20495350069901899</v>
      </c>
      <c r="I964">
        <v>0.14173713079941899</v>
      </c>
      <c r="J964">
        <v>0.118718760512278</v>
      </c>
      <c r="K964">
        <v>0.13932609574223601</v>
      </c>
      <c r="L964">
        <v>14158.4658898055</v>
      </c>
      <c r="M964">
        <v>250</v>
      </c>
      <c r="N964">
        <v>56.715546404634402</v>
      </c>
      <c r="O964">
        <v>56.630243510785498</v>
      </c>
      <c r="P964">
        <v>-0.93679653739408797</v>
      </c>
      <c r="Q964">
        <v>0.15118380650246799</v>
      </c>
      <c r="R964">
        <v>0.39650941405378198</v>
      </c>
      <c r="S964" t="s">
        <v>7967</v>
      </c>
      <c r="T964" t="s">
        <v>14004</v>
      </c>
      <c r="U964" t="s">
        <v>14004</v>
      </c>
      <c r="V964" t="s">
        <v>14004</v>
      </c>
      <c r="W964" t="s">
        <v>14955</v>
      </c>
      <c r="X964">
        <v>1</v>
      </c>
      <c r="Y964" t="s">
        <v>21889</v>
      </c>
      <c r="Z964" t="s">
        <v>28674</v>
      </c>
      <c r="AA964">
        <v>0.62190459664206921</v>
      </c>
      <c r="AB964" t="str">
        <f>HYPERLINK("Melting_Curves/meltCurve_H0YCY3_WDR67.pdf", "Melting_Curves/meltCurve_H0YCY3_WDR67.pdf")</f>
        <v>Melting_Curves/meltCurve_H0YCY3_WDR67.pdf</v>
      </c>
    </row>
    <row r="965" spans="1:28" x14ac:dyDescent="0.25">
      <c r="A965" t="s">
        <v>969</v>
      </c>
      <c r="B965">
        <v>0.99999676499088797</v>
      </c>
      <c r="C965">
        <v>0.97109783329416299</v>
      </c>
      <c r="D965">
        <v>1.08372163460758</v>
      </c>
      <c r="E965">
        <v>1.30989948590914</v>
      </c>
      <c r="F965">
        <v>0.92549662734141003</v>
      </c>
      <c r="G965">
        <v>0.39699338567767001</v>
      </c>
      <c r="H965">
        <v>0.161531223793731</v>
      </c>
      <c r="I965">
        <v>0.20201500430605601</v>
      </c>
      <c r="J965">
        <v>0.22723491566619899</v>
      </c>
      <c r="K965">
        <v>0.12881717182491201</v>
      </c>
      <c r="L965">
        <v>3026.5851257388899</v>
      </c>
      <c r="M965">
        <v>54.328236809402</v>
      </c>
      <c r="N965">
        <v>56.165082484373698</v>
      </c>
      <c r="O965">
        <v>55.633918356223603</v>
      </c>
      <c r="P965">
        <v>-0.20060886439786099</v>
      </c>
      <c r="Q965">
        <v>0.178279950607933</v>
      </c>
      <c r="R965">
        <v>0.94100145031326399</v>
      </c>
      <c r="S965" t="s">
        <v>7968</v>
      </c>
      <c r="T965" t="s">
        <v>14004</v>
      </c>
      <c r="U965" t="s">
        <v>14004</v>
      </c>
      <c r="V965" t="s">
        <v>14004</v>
      </c>
      <c r="W965" t="s">
        <v>14956</v>
      </c>
      <c r="X965">
        <v>2</v>
      </c>
      <c r="Y965" t="s">
        <v>21890</v>
      </c>
      <c r="Z965" t="s">
        <v>28675</v>
      </c>
      <c r="AA965">
        <v>0.61027485944366366</v>
      </c>
      <c r="AB965" t="str">
        <f>HYPERLINK("Melting_Curves/meltCurve_H0YDD3_ALG8.pdf", "Melting_Curves/meltCurve_H0YDD3_ALG8.pdf")</f>
        <v>Melting_Curves/meltCurve_H0YDD3_ALG8.pdf</v>
      </c>
    </row>
    <row r="966" spans="1:28" x14ac:dyDescent="0.25">
      <c r="A966" t="s">
        <v>970</v>
      </c>
      <c r="B966">
        <v>0.99999676499088797</v>
      </c>
      <c r="C966">
        <v>0.99219772385009897</v>
      </c>
      <c r="D966">
        <v>0.96834337552969196</v>
      </c>
      <c r="E966">
        <v>0.791282992627379</v>
      </c>
      <c r="F966">
        <v>0.73145848295115201</v>
      </c>
      <c r="G966">
        <v>0.65573595769523996</v>
      </c>
      <c r="H966">
        <v>0.30835554592481002</v>
      </c>
      <c r="I966">
        <v>0.34863763006396797</v>
      </c>
      <c r="J966">
        <v>0.33700387433492401</v>
      </c>
      <c r="K966">
        <v>0.30939360221904399</v>
      </c>
      <c r="L966">
        <v>715.13442018396097</v>
      </c>
      <c r="M966">
        <v>12.9248022955958</v>
      </c>
      <c r="N966">
        <v>58.314606106544304</v>
      </c>
      <c r="O966">
        <v>54.056073541136001</v>
      </c>
      <c r="P966">
        <v>-4.5321193533081103E-2</v>
      </c>
      <c r="Q966">
        <v>0.241940235068932</v>
      </c>
      <c r="R966">
        <v>0.963077324588129</v>
      </c>
      <c r="S966" t="s">
        <v>7969</v>
      </c>
      <c r="T966" t="s">
        <v>14004</v>
      </c>
      <c r="U966" t="s">
        <v>14004</v>
      </c>
      <c r="V966" t="s">
        <v>14004</v>
      </c>
      <c r="W966" t="s">
        <v>14957</v>
      </c>
      <c r="X966">
        <v>5</v>
      </c>
      <c r="Y966" t="s">
        <v>21891</v>
      </c>
      <c r="Z966" t="s">
        <v>28676</v>
      </c>
      <c r="AA966">
        <v>0.6455416442498656</v>
      </c>
      <c r="AB966" t="str">
        <f>HYPERLINK("Melting_Curves/meltCurve_H0YDS0_UBQLN1.pdf", "Melting_Curves/meltCurve_H0YDS0_UBQLN1.pdf")</f>
        <v>Melting_Curves/meltCurve_H0YDS0_UBQLN1.pdf</v>
      </c>
    </row>
    <row r="967" spans="1:28" x14ac:dyDescent="0.25">
      <c r="A967" t="s">
        <v>971</v>
      </c>
      <c r="B967">
        <v>0.99999676499088797</v>
      </c>
      <c r="C967">
        <v>1.0681316195505799</v>
      </c>
      <c r="D967">
        <v>1.01116467318546</v>
      </c>
      <c r="E967">
        <v>0.89217045744692602</v>
      </c>
      <c r="F967">
        <v>0.39001765953915601</v>
      </c>
      <c r="G967">
        <v>0.20356095906538699</v>
      </c>
      <c r="H967">
        <v>0.10096675572464101</v>
      </c>
      <c r="I967">
        <v>9.2515017695026194E-2</v>
      </c>
      <c r="J967">
        <v>8.8809981949396904E-2</v>
      </c>
      <c r="K967">
        <v>7.0052991213484198E-2</v>
      </c>
      <c r="L967">
        <v>1789.1004648089299</v>
      </c>
      <c r="M967">
        <v>34.241649474319701</v>
      </c>
      <c r="N967">
        <v>52.573485820653701</v>
      </c>
      <c r="O967">
        <v>52.0720168828731</v>
      </c>
      <c r="P967">
        <v>-0.148748181765093</v>
      </c>
      <c r="Q967">
        <v>9.5185375137860295E-2</v>
      </c>
      <c r="R967">
        <v>0.99460201168060303</v>
      </c>
      <c r="S967" t="s">
        <v>7970</v>
      </c>
      <c r="T967" t="s">
        <v>14004</v>
      </c>
      <c r="U967" t="s">
        <v>14004</v>
      </c>
      <c r="V967" t="s">
        <v>14004</v>
      </c>
      <c r="W967" t="s">
        <v>14430</v>
      </c>
      <c r="X967">
        <v>25</v>
      </c>
      <c r="Y967" t="s">
        <v>21892</v>
      </c>
      <c r="Z967" t="s">
        <v>28677</v>
      </c>
      <c r="AA967">
        <v>0.46908942147448313</v>
      </c>
      <c r="AB967" t="str">
        <f>HYPERLINK("Melting_Curves/meltCurve_H0YDU8_PPP5C.pdf", "Melting_Curves/meltCurve_H0YDU8_PPP5C.pdf")</f>
        <v>Melting_Curves/meltCurve_H0YDU8_PPP5C.pdf</v>
      </c>
    </row>
    <row r="968" spans="1:28" x14ac:dyDescent="0.25">
      <c r="A968" t="s">
        <v>972</v>
      </c>
      <c r="B968">
        <v>0.99999676499088797</v>
      </c>
      <c r="C968">
        <v>0.88863954325075201</v>
      </c>
      <c r="D968">
        <v>0.66281846707203995</v>
      </c>
      <c r="E968">
        <v>0.41189565508422299</v>
      </c>
      <c r="F968">
        <v>0.290106702293214</v>
      </c>
      <c r="G968">
        <v>0.13807233808417699</v>
      </c>
      <c r="H968">
        <v>0.13229284573658501</v>
      </c>
      <c r="I968">
        <v>0.13920896787183801</v>
      </c>
      <c r="J968">
        <v>0.105056298309403</v>
      </c>
      <c r="K968">
        <v>6.9752252991527805E-2</v>
      </c>
      <c r="L968">
        <v>757.68361588123503</v>
      </c>
      <c r="M968">
        <v>15.8411197277225</v>
      </c>
      <c r="N968">
        <v>48.481772455383997</v>
      </c>
      <c r="O968">
        <v>47.087400016816296</v>
      </c>
      <c r="P968">
        <v>-7.6046755513764996E-2</v>
      </c>
      <c r="Q968">
        <v>9.5883705649892806E-2</v>
      </c>
      <c r="R968">
        <v>0.99382799480226103</v>
      </c>
      <c r="S968" t="s">
        <v>7971</v>
      </c>
      <c r="T968" t="s">
        <v>14004</v>
      </c>
      <c r="U968" t="s">
        <v>14004</v>
      </c>
      <c r="V968" t="s">
        <v>14004</v>
      </c>
      <c r="W968" t="s">
        <v>14958</v>
      </c>
      <c r="X968">
        <v>3</v>
      </c>
      <c r="Y968" t="s">
        <v>21893</v>
      </c>
      <c r="Z968" t="s">
        <v>28678</v>
      </c>
      <c r="AA968">
        <v>0.35287913764956219</v>
      </c>
      <c r="AB968" t="str">
        <f>HYPERLINK("Melting_Curves/meltCurve_H0YE91_CHI3L2.pdf", "Melting_Curves/meltCurve_H0YE91_CHI3L2.pdf")</f>
        <v>Melting_Curves/meltCurve_H0YE91_CHI3L2.pdf</v>
      </c>
    </row>
    <row r="969" spans="1:28" x14ac:dyDescent="0.25">
      <c r="A969" t="s">
        <v>973</v>
      </c>
      <c r="B969">
        <v>0.99999676499088797</v>
      </c>
      <c r="C969">
        <v>1.1225426933557701</v>
      </c>
      <c r="D969">
        <v>1.1150274722109299</v>
      </c>
      <c r="E969">
        <v>1.25827492300315</v>
      </c>
      <c r="F969">
        <v>1.2058351416642299</v>
      </c>
      <c r="G969">
        <v>1.3502911417935901</v>
      </c>
      <c r="H969">
        <v>0.78293538494296699</v>
      </c>
      <c r="I969">
        <v>1.0636561534659199</v>
      </c>
      <c r="J969">
        <v>1.1432564725604499</v>
      </c>
      <c r="K969">
        <v>1.12286143648807</v>
      </c>
      <c r="L969">
        <v>5816.1035026868203</v>
      </c>
      <c r="M969">
        <v>138.33700315481599</v>
      </c>
      <c r="O969">
        <v>42.034243574263797</v>
      </c>
      <c r="P969">
        <v>0.107179673422412</v>
      </c>
      <c r="Q969">
        <v>1.1302677950090201</v>
      </c>
      <c r="R969">
        <v>7.1630322704159297E-2</v>
      </c>
      <c r="S969" t="s">
        <v>7972</v>
      </c>
      <c r="T969" t="s">
        <v>14004</v>
      </c>
      <c r="U969" t="s">
        <v>14004</v>
      </c>
      <c r="V969" t="s">
        <v>14004</v>
      </c>
      <c r="W969" t="s">
        <v>14959</v>
      </c>
      <c r="X969">
        <v>8</v>
      </c>
      <c r="Y969" t="s">
        <v>21894</v>
      </c>
      <c r="Z969" t="s">
        <v>28679</v>
      </c>
      <c r="AA969">
        <v>1.121364117703072</v>
      </c>
      <c r="AB969" t="str">
        <f>HYPERLINK("Melting_Curves/meltCurve_H0YEB6_SSSCA1.pdf", "Melting_Curves/meltCurve_H0YEB6_SSSCA1.pdf")</f>
        <v>Melting_Curves/meltCurve_H0YEB6_SSSCA1.pdf</v>
      </c>
    </row>
    <row r="970" spans="1:28" x14ac:dyDescent="0.25">
      <c r="A970" t="s">
        <v>974</v>
      </c>
      <c r="B970">
        <v>0.99999676499088797</v>
      </c>
      <c r="C970">
        <v>1.05722242245612</v>
      </c>
      <c r="D970">
        <v>0.91445229766636504</v>
      </c>
      <c r="E970">
        <v>0.63288928955915602</v>
      </c>
      <c r="F970">
        <v>0.34249260949218502</v>
      </c>
      <c r="G970">
        <v>0.28759720857124299</v>
      </c>
      <c r="H970">
        <v>0.134500786988763</v>
      </c>
      <c r="I970">
        <v>9.4725201077374699E-2</v>
      </c>
      <c r="J970">
        <v>9.3188005702464896E-2</v>
      </c>
      <c r="K970">
        <v>9.4978562020531898E-2</v>
      </c>
      <c r="L970">
        <v>972.80663525217506</v>
      </c>
      <c r="M970">
        <v>19.1203235330015</v>
      </c>
      <c r="N970">
        <v>51.469990284563899</v>
      </c>
      <c r="O970">
        <v>50.331425553668602</v>
      </c>
      <c r="P970">
        <v>-8.56031573899705E-2</v>
      </c>
      <c r="Q970">
        <v>9.8684579134012504E-2</v>
      </c>
      <c r="R970">
        <v>0.98890437211396198</v>
      </c>
      <c r="S970" t="s">
        <v>7973</v>
      </c>
      <c r="T970" t="s">
        <v>14004</v>
      </c>
      <c r="U970" t="s">
        <v>14004</v>
      </c>
      <c r="V970" t="s">
        <v>14004</v>
      </c>
      <c r="W970" t="s">
        <v>14960</v>
      </c>
      <c r="X970">
        <v>9</v>
      </c>
      <c r="Y970" t="s">
        <v>21895</v>
      </c>
      <c r="Z970" t="s">
        <v>28680</v>
      </c>
      <c r="AA970">
        <v>0.4391186523758378</v>
      </c>
      <c r="AB970" t="str">
        <f>HYPERLINK("Melting_Curves/meltCurve_H0YEF3_RNASEH2C.pdf", "Melting_Curves/meltCurve_H0YEF3_RNASEH2C.pdf")</f>
        <v>Melting_Curves/meltCurve_H0YEF3_RNASEH2C.pdf</v>
      </c>
    </row>
    <row r="971" spans="1:28" x14ac:dyDescent="0.25">
      <c r="A971" t="s">
        <v>975</v>
      </c>
      <c r="B971">
        <v>0.99999676499088797</v>
      </c>
      <c r="C971">
        <v>1.0505439949515001</v>
      </c>
      <c r="D971">
        <v>0.99677248482416803</v>
      </c>
      <c r="E971">
        <v>1.03824359432907</v>
      </c>
      <c r="F971">
        <v>0.92868743568045997</v>
      </c>
      <c r="G971">
        <v>0.50091068450574705</v>
      </c>
      <c r="H971">
        <v>0.13940051714798099</v>
      </c>
      <c r="I971">
        <v>9.71139312238192E-2</v>
      </c>
      <c r="J971">
        <v>8.6889760742193498E-2</v>
      </c>
      <c r="K971">
        <v>7.6169858274800495E-2</v>
      </c>
      <c r="L971">
        <v>2249.3796912493099</v>
      </c>
      <c r="M971">
        <v>39.777501981266198</v>
      </c>
      <c r="N971">
        <v>56.810419145847</v>
      </c>
      <c r="O971">
        <v>56.40668443154</v>
      </c>
      <c r="P971">
        <v>-0.16155608364268101</v>
      </c>
      <c r="Q971">
        <v>8.3620310966580097E-2</v>
      </c>
      <c r="R971">
        <v>0.99759817493890601</v>
      </c>
      <c r="S971" t="s">
        <v>7974</v>
      </c>
      <c r="T971" t="s">
        <v>14004</v>
      </c>
      <c r="U971" t="s">
        <v>14004</v>
      </c>
      <c r="V971" t="s">
        <v>14004</v>
      </c>
      <c r="W971" t="s">
        <v>14961</v>
      </c>
      <c r="X971">
        <v>7</v>
      </c>
      <c r="Y971" t="s">
        <v>21896</v>
      </c>
      <c r="Z971" t="s">
        <v>28681</v>
      </c>
      <c r="AA971">
        <v>0.5927167179872801</v>
      </c>
      <c r="AB971" t="str">
        <f>HYPERLINK("Melting_Curves/meltCurve_H0YF29_C8orf82.pdf", "Melting_Curves/meltCurve_H0YF29_C8orf82.pdf")</f>
        <v>Melting_Curves/meltCurve_H0YF29_C8orf82.pdf</v>
      </c>
    </row>
    <row r="972" spans="1:28" x14ac:dyDescent="0.25">
      <c r="A972" t="s">
        <v>976</v>
      </c>
      <c r="B972">
        <v>0.99999676499088797</v>
      </c>
      <c r="C972">
        <v>1.1133385853779501</v>
      </c>
      <c r="D972">
        <v>1.14190629599402</v>
      </c>
      <c r="E972">
        <v>1.1054872068947199</v>
      </c>
      <c r="F972">
        <v>0.21947857293606199</v>
      </c>
      <c r="G972">
        <v>0.14374870279197599</v>
      </c>
      <c r="H972">
        <v>0.10013059508901601</v>
      </c>
      <c r="I972">
        <v>0.107346896783948</v>
      </c>
      <c r="J972">
        <v>7.1231577838457794E-2</v>
      </c>
      <c r="K972">
        <v>6.7944531699344599E-2</v>
      </c>
      <c r="L972">
        <v>13201.000879719701</v>
      </c>
      <c r="M972">
        <v>250</v>
      </c>
      <c r="N972">
        <v>52.850170612146002</v>
      </c>
      <c r="O972">
        <v>52.8006243310504</v>
      </c>
      <c r="P972">
        <v>-1.0676004910013701</v>
      </c>
      <c r="Q972">
        <v>9.8080440282957801E-2</v>
      </c>
      <c r="R972">
        <v>0.97911763975381705</v>
      </c>
      <c r="S972" t="s">
        <v>7975</v>
      </c>
      <c r="T972" t="s">
        <v>14004</v>
      </c>
      <c r="U972" t="s">
        <v>14004</v>
      </c>
      <c r="V972" t="s">
        <v>14004</v>
      </c>
      <c r="W972" t="s">
        <v>14962</v>
      </c>
      <c r="X972">
        <v>2</v>
      </c>
      <c r="Y972" t="s">
        <v>21897</v>
      </c>
      <c r="Z972" t="s">
        <v>28682</v>
      </c>
      <c r="AA972">
        <v>0.48310339523163082</v>
      </c>
      <c r="AB972" t="str">
        <f>HYPERLINK("Melting_Curves/meltCurve_H0YFN7_KIAA1432.pdf", "Melting_Curves/meltCurve_H0YFN7_KIAA1432.pdf")</f>
        <v>Melting_Curves/meltCurve_H0YFN7_KIAA1432.pdf</v>
      </c>
    </row>
    <row r="973" spans="1:28" x14ac:dyDescent="0.25">
      <c r="A973" t="s">
        <v>977</v>
      </c>
      <c r="B973">
        <v>0.99999676499088797</v>
      </c>
      <c r="C973">
        <v>0.96322841291412198</v>
      </c>
      <c r="D973">
        <v>0.91618035639810702</v>
      </c>
      <c r="E973">
        <v>0.893949681973781</v>
      </c>
      <c r="F973">
        <v>0.92617813382157799</v>
      </c>
      <c r="G973">
        <v>0.79592328326289596</v>
      </c>
      <c r="H973">
        <v>0.61258009893371002</v>
      </c>
      <c r="I973">
        <v>0.59795679863844797</v>
      </c>
      <c r="J973">
        <v>0.54983209589012505</v>
      </c>
      <c r="K973">
        <v>0.57916034388397297</v>
      </c>
      <c r="L973">
        <v>725.01360165709298</v>
      </c>
      <c r="M973">
        <v>12.6166755860165</v>
      </c>
      <c r="O973">
        <v>56.078396105579998</v>
      </c>
      <c r="P973">
        <v>-2.8371820336365702E-2</v>
      </c>
      <c r="Q973">
        <v>0.495673640108166</v>
      </c>
      <c r="R973">
        <v>0.945523545808159</v>
      </c>
      <c r="S973" t="s">
        <v>7976</v>
      </c>
      <c r="T973" t="s">
        <v>14004</v>
      </c>
      <c r="U973" t="s">
        <v>14004</v>
      </c>
      <c r="V973" t="s">
        <v>14004</v>
      </c>
      <c r="W973" t="s">
        <v>14963</v>
      </c>
      <c r="X973">
        <v>13</v>
      </c>
      <c r="Y973" t="s">
        <v>21898</v>
      </c>
      <c r="Z973" t="s">
        <v>28683</v>
      </c>
      <c r="AA973">
        <v>0.79691499885848061</v>
      </c>
      <c r="AB973" t="str">
        <f>HYPERLINK("Melting_Curves/meltCurve_H0YGR4_REXO2.pdf", "Melting_Curves/meltCurve_H0YGR4_REXO2.pdf")</f>
        <v>Melting_Curves/meltCurve_H0YGR4_REXO2.pdf</v>
      </c>
    </row>
    <row r="974" spans="1:28" x14ac:dyDescent="0.25">
      <c r="A974" t="s">
        <v>978</v>
      </c>
      <c r="B974">
        <v>0.99999676499088797</v>
      </c>
      <c r="C974">
        <v>0.81504421784068604</v>
      </c>
      <c r="D974">
        <v>0.76997241644896497</v>
      </c>
      <c r="E974">
        <v>0.73289338673934201</v>
      </c>
      <c r="F974">
        <v>0.64589151014020896</v>
      </c>
      <c r="G974">
        <v>0.46312201402536501</v>
      </c>
      <c r="H974">
        <v>0.27455869682324102</v>
      </c>
      <c r="I974">
        <v>0.18231110225765301</v>
      </c>
      <c r="J974">
        <v>0.21073436991294101</v>
      </c>
      <c r="K974">
        <v>0.16576642482502299</v>
      </c>
      <c r="L974">
        <v>437.049820686744</v>
      </c>
      <c r="M974">
        <v>7.9429964905427903</v>
      </c>
      <c r="N974">
        <v>55.023292660443403</v>
      </c>
      <c r="O974">
        <v>51.863697983462302</v>
      </c>
      <c r="P974">
        <v>-3.83323205452962E-2</v>
      </c>
      <c r="Q974">
        <v>0</v>
      </c>
      <c r="R974">
        <v>0.96705754354443996</v>
      </c>
      <c r="S974" t="s">
        <v>7977</v>
      </c>
      <c r="T974" t="s">
        <v>14004</v>
      </c>
      <c r="U974" t="s">
        <v>14004</v>
      </c>
      <c r="V974" t="s">
        <v>14004</v>
      </c>
      <c r="W974" t="s">
        <v>14964</v>
      </c>
      <c r="X974">
        <v>1</v>
      </c>
      <c r="Y974" t="s">
        <v>21899</v>
      </c>
      <c r="Z974" t="s">
        <v>28684</v>
      </c>
      <c r="AA974">
        <v>0.52777963666624006</v>
      </c>
      <c r="AB974" t="str">
        <f>HYPERLINK("Melting_Curves/meltCurve_H0YGT9_JOSD1.pdf", "Melting_Curves/meltCurve_H0YGT9_JOSD1.pdf")</f>
        <v>Melting_Curves/meltCurve_H0YGT9_JOSD1.pdf</v>
      </c>
    </row>
    <row r="975" spans="1:28" x14ac:dyDescent="0.25">
      <c r="A975" t="s">
        <v>979</v>
      </c>
      <c r="B975">
        <v>0.99999676499088797</v>
      </c>
      <c r="C975">
        <v>1.2521529238017901</v>
      </c>
      <c r="D975">
        <v>1.5811878854289001</v>
      </c>
      <c r="E975">
        <v>1.9340812089441399</v>
      </c>
      <c r="F975">
        <v>0.347089974611</v>
      </c>
      <c r="G975">
        <v>1.9950107936808501</v>
      </c>
      <c r="H975">
        <v>1.4849283388501799</v>
      </c>
      <c r="I975">
        <v>1.8759246521496999</v>
      </c>
      <c r="J975">
        <v>1.1354879187707401</v>
      </c>
      <c r="K975">
        <v>2.6383450194589599</v>
      </c>
      <c r="L975">
        <v>10724.2610933413</v>
      </c>
      <c r="M975">
        <v>250</v>
      </c>
      <c r="O975">
        <v>42.894299257620403</v>
      </c>
      <c r="P975">
        <v>0.72853504044070905</v>
      </c>
      <c r="Q975">
        <v>1.5</v>
      </c>
      <c r="R975">
        <v>8.3805339649150004E-2</v>
      </c>
      <c r="S975" t="s">
        <v>7978</v>
      </c>
      <c r="T975" t="s">
        <v>14004</v>
      </c>
      <c r="U975" t="s">
        <v>14004</v>
      </c>
      <c r="V975" t="s">
        <v>14004</v>
      </c>
      <c r="W975" t="s">
        <v>14965</v>
      </c>
      <c r="X975">
        <v>11</v>
      </c>
      <c r="Y975" t="s">
        <v>21744</v>
      </c>
      <c r="Z975" t="s">
        <v>28685</v>
      </c>
      <c r="AA975">
        <v>1.451678285254163</v>
      </c>
      <c r="AB975" t="str">
        <f>HYPERLINK("Melting_Curves/meltCurve_H0YH80_HNRNPA1.pdf", "Melting_Curves/meltCurve_H0YH80_HNRNPA1.pdf")</f>
        <v>Melting_Curves/meltCurve_H0YH80_HNRNPA1.pdf</v>
      </c>
    </row>
    <row r="976" spans="1:28" x14ac:dyDescent="0.25">
      <c r="A976" t="s">
        <v>980</v>
      </c>
      <c r="B976">
        <v>0.99999676499088797</v>
      </c>
      <c r="C976">
        <v>0.99015541248218897</v>
      </c>
      <c r="D976">
        <v>0.88405094354129099</v>
      </c>
      <c r="E976">
        <v>0.796720753858013</v>
      </c>
      <c r="F976">
        <v>0.36726747474402099</v>
      </c>
      <c r="G976">
        <v>0.170598931581491</v>
      </c>
      <c r="H976">
        <v>9.3799047641443506E-2</v>
      </c>
      <c r="I976">
        <v>7.8999947027015696E-2</v>
      </c>
      <c r="J976">
        <v>9.1803394841563898E-2</v>
      </c>
      <c r="K976">
        <v>7.0657344686458998E-2</v>
      </c>
      <c r="L976">
        <v>1264.76633244698</v>
      </c>
      <c r="M976">
        <v>24.4513939414974</v>
      </c>
      <c r="N976">
        <v>52.065861860344</v>
      </c>
      <c r="O976">
        <v>51.383478967923402</v>
      </c>
      <c r="P976">
        <v>-0.110185929460895</v>
      </c>
      <c r="Q976">
        <v>7.3810963396411799E-2</v>
      </c>
      <c r="R976">
        <v>0.99510967535044803</v>
      </c>
      <c r="S976" t="s">
        <v>7979</v>
      </c>
      <c r="T976" t="s">
        <v>14004</v>
      </c>
      <c r="U976" t="s">
        <v>14004</v>
      </c>
      <c r="V976" t="s">
        <v>14004</v>
      </c>
      <c r="W976" t="s">
        <v>14966</v>
      </c>
      <c r="X976">
        <v>6</v>
      </c>
      <c r="Y976" t="s">
        <v>21900</v>
      </c>
      <c r="Z976" t="s">
        <v>28686</v>
      </c>
      <c r="AA976">
        <v>0.44462061786465062</v>
      </c>
      <c r="AB976" t="str">
        <f>HYPERLINK("Melting_Curves/meltCurve_H0YH87_ATXN2.pdf", "Melting_Curves/meltCurve_H0YH87_ATXN2.pdf")</f>
        <v>Melting_Curves/meltCurve_H0YH87_ATXN2.pdf</v>
      </c>
    </row>
    <row r="977" spans="1:28" x14ac:dyDescent="0.25">
      <c r="A977" t="s">
        <v>981</v>
      </c>
      <c r="B977">
        <v>0.99999676499088797</v>
      </c>
      <c r="C977">
        <v>0.888725177877423</v>
      </c>
      <c r="D977">
        <v>0.913529718786811</v>
      </c>
      <c r="E977">
        <v>0.88469284996805897</v>
      </c>
      <c r="F977">
        <v>0.79105474082418803</v>
      </c>
      <c r="G977">
        <v>0.76123852838059403</v>
      </c>
      <c r="H977">
        <v>0.54487804194655398</v>
      </c>
      <c r="I977">
        <v>0.57229516639987099</v>
      </c>
      <c r="J977">
        <v>0.49518406721135999</v>
      </c>
      <c r="K977">
        <v>0.66257596837627297</v>
      </c>
      <c r="L977">
        <v>549.627725772345</v>
      </c>
      <c r="M977">
        <v>10.160794044753899</v>
      </c>
      <c r="O977">
        <v>52.123213656037898</v>
      </c>
      <c r="P977">
        <v>-2.39355249958591E-2</v>
      </c>
      <c r="Q977">
        <v>0.50908330528545398</v>
      </c>
      <c r="R977">
        <v>0.86611153477980096</v>
      </c>
      <c r="S977" t="s">
        <v>7980</v>
      </c>
      <c r="T977" t="s">
        <v>14004</v>
      </c>
      <c r="U977" t="s">
        <v>14004</v>
      </c>
      <c r="V977" t="s">
        <v>14004</v>
      </c>
      <c r="W977" t="s">
        <v>14938</v>
      </c>
      <c r="X977">
        <v>18</v>
      </c>
      <c r="Z977" t="s">
        <v>28687</v>
      </c>
      <c r="AA977">
        <v>0.75418583063112277</v>
      </c>
      <c r="AB977" t="str">
        <f>HYPERLINK("Melting_Curves/meltCurve_H0YHG0_.pdf", "Melting_Curves/meltCurve_H0YHG0_.pdf")</f>
        <v>Melting_Curves/meltCurve_H0YHG0_.pdf</v>
      </c>
    </row>
    <row r="978" spans="1:28" x14ac:dyDescent="0.25">
      <c r="A978" t="s">
        <v>982</v>
      </c>
      <c r="B978">
        <v>0.99999676499088797</v>
      </c>
      <c r="C978">
        <v>1.0078443587392101</v>
      </c>
      <c r="D978">
        <v>0.97737100231491802</v>
      </c>
      <c r="E978">
        <v>0.68043175971286396</v>
      </c>
      <c r="F978">
        <v>0.485247135728335</v>
      </c>
      <c r="G978">
        <v>0.344172567974525</v>
      </c>
      <c r="H978">
        <v>0.19428489377059999</v>
      </c>
      <c r="I978">
        <v>0.17040994718059899</v>
      </c>
      <c r="J978">
        <v>0.16696688209205399</v>
      </c>
      <c r="K978">
        <v>0.16198094131416599</v>
      </c>
      <c r="L978">
        <v>907.79797090738498</v>
      </c>
      <c r="M978">
        <v>17.517712395464599</v>
      </c>
      <c r="N978">
        <v>52.918312469100101</v>
      </c>
      <c r="O978">
        <v>51.160549097291003</v>
      </c>
      <c r="P978">
        <v>-7.2576235977763595E-2</v>
      </c>
      <c r="Q978">
        <v>0.15220980636572201</v>
      </c>
      <c r="R978">
        <v>0.99206416689671395</v>
      </c>
      <c r="S978" t="s">
        <v>7981</v>
      </c>
      <c r="T978" t="s">
        <v>14004</v>
      </c>
      <c r="U978" t="s">
        <v>14004</v>
      </c>
      <c r="V978" t="s">
        <v>14004</v>
      </c>
      <c r="W978" t="s">
        <v>14938</v>
      </c>
      <c r="X978">
        <v>9</v>
      </c>
      <c r="Z978" t="s">
        <v>28688</v>
      </c>
      <c r="AA978">
        <v>0.50110261863330485</v>
      </c>
      <c r="AB978" t="str">
        <f>HYPERLINK("Melting_Curves/meltCurve_H0YIV9_.pdf", "Melting_Curves/meltCurve_H0YIV9_.pdf")</f>
        <v>Melting_Curves/meltCurve_H0YIV9_.pdf</v>
      </c>
    </row>
    <row r="979" spans="1:28" x14ac:dyDescent="0.25">
      <c r="A979" t="s">
        <v>983</v>
      </c>
      <c r="B979">
        <v>0.99999676499088797</v>
      </c>
      <c r="C979">
        <v>0.68162494805209495</v>
      </c>
      <c r="D979">
        <v>1.0450067979341799</v>
      </c>
      <c r="E979">
        <v>0.88203548973568402</v>
      </c>
      <c r="F979">
        <v>0.59734187939916905</v>
      </c>
      <c r="G979">
        <v>0.36602860816117999</v>
      </c>
      <c r="H979">
        <v>0.15641892425578899</v>
      </c>
      <c r="I979">
        <v>0.35100036991984601</v>
      </c>
      <c r="J979">
        <v>0.40102602723626601</v>
      </c>
      <c r="K979">
        <v>0.38048514485078</v>
      </c>
      <c r="L979">
        <v>1741.8656392512401</v>
      </c>
      <c r="M979">
        <v>33.245175974713</v>
      </c>
      <c r="N979">
        <v>54.072643109709801</v>
      </c>
      <c r="O979">
        <v>52.206034913430202</v>
      </c>
      <c r="P979">
        <v>-0.107969990498351</v>
      </c>
      <c r="Q979">
        <v>0.321806863892796</v>
      </c>
      <c r="R979">
        <v>0.82816800746823005</v>
      </c>
      <c r="S979" t="s">
        <v>7982</v>
      </c>
      <c r="T979" t="s">
        <v>14004</v>
      </c>
      <c r="U979" t="s">
        <v>14004</v>
      </c>
      <c r="V979" t="s">
        <v>14004</v>
      </c>
      <c r="W979" t="s">
        <v>14967</v>
      </c>
      <c r="X979">
        <v>12</v>
      </c>
      <c r="Y979" t="s">
        <v>21901</v>
      </c>
      <c r="Z979" t="s">
        <v>28689</v>
      </c>
      <c r="AA979">
        <v>0.60555870030696035</v>
      </c>
      <c r="AB979" t="str">
        <f>HYPERLINK("Melting_Curves/meltCurve_H0YJB9_C14orf166.pdf", "Melting_Curves/meltCurve_H0YJB9_C14orf166.pdf")</f>
        <v>Melting_Curves/meltCurve_H0YJB9_C14orf166.pdf</v>
      </c>
    </row>
    <row r="980" spans="1:28" x14ac:dyDescent="0.25">
      <c r="A980" t="s">
        <v>984</v>
      </c>
      <c r="B980">
        <v>0.99999676499088797</v>
      </c>
      <c r="C980">
        <v>1.8891279484311501</v>
      </c>
      <c r="D980">
        <v>1.6810581451883599</v>
      </c>
      <c r="E980">
        <v>0.73837243893792004</v>
      </c>
      <c r="F980">
        <v>0.12284846644774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2794.9746636724999</v>
      </c>
      <c r="M980">
        <v>55.154608026767598</v>
      </c>
      <c r="N980">
        <v>50.689051814948002</v>
      </c>
      <c r="O980">
        <v>50.608782631068898</v>
      </c>
      <c r="P980">
        <v>-0.270424869759605</v>
      </c>
      <c r="Q980">
        <v>7.4544261538467098E-3</v>
      </c>
      <c r="R980">
        <v>0.74764952808581497</v>
      </c>
      <c r="S980" t="s">
        <v>7983</v>
      </c>
      <c r="T980" t="s">
        <v>14004</v>
      </c>
      <c r="U980" t="s">
        <v>14004</v>
      </c>
      <c r="V980" t="s">
        <v>14004</v>
      </c>
      <c r="W980" t="s">
        <v>14968</v>
      </c>
      <c r="X980">
        <v>2</v>
      </c>
      <c r="Y980" t="s">
        <v>21902</v>
      </c>
      <c r="Z980" t="s">
        <v>28690</v>
      </c>
      <c r="AA980">
        <v>0.36246565648129048</v>
      </c>
      <c r="AB980" t="str">
        <f>HYPERLINK("Melting_Curves/meltCurve_H0YJF7_VRK1.pdf", "Melting_Curves/meltCurve_H0YJF7_VRK1.pdf")</f>
        <v>Melting_Curves/meltCurve_H0YJF7_VRK1.pdf</v>
      </c>
    </row>
    <row r="981" spans="1:28" x14ac:dyDescent="0.25">
      <c r="A981" t="s">
        <v>985</v>
      </c>
      <c r="B981">
        <v>0.99999676499088797</v>
      </c>
      <c r="C981">
        <v>1.23675692032248</v>
      </c>
      <c r="D981">
        <v>1.0647452746447199</v>
      </c>
      <c r="E981">
        <v>1.0986395818507599</v>
      </c>
      <c r="F981">
        <v>1.07460014656599</v>
      </c>
      <c r="G981">
        <v>0.94028823388680904</v>
      </c>
      <c r="H981">
        <v>0.54021432038953598</v>
      </c>
      <c r="I981">
        <v>0.69674847241211202</v>
      </c>
      <c r="J981">
        <v>0.82142819368293096</v>
      </c>
      <c r="K981">
        <v>0.846134503621497</v>
      </c>
      <c r="L981">
        <v>14272.5435149236</v>
      </c>
      <c r="M981">
        <v>250</v>
      </c>
      <c r="O981">
        <v>57.086511633931998</v>
      </c>
      <c r="P981">
        <v>-0.29983941118038898</v>
      </c>
      <c r="Q981">
        <v>0.72613138032241997</v>
      </c>
      <c r="R981">
        <v>0.65677697668760204</v>
      </c>
      <c r="S981" t="s">
        <v>7984</v>
      </c>
      <c r="T981" t="s">
        <v>14004</v>
      </c>
      <c r="U981" t="s">
        <v>14004</v>
      </c>
      <c r="V981" t="s">
        <v>14004</v>
      </c>
      <c r="W981" t="s">
        <v>14969</v>
      </c>
      <c r="X981">
        <v>28</v>
      </c>
      <c r="Y981" t="s">
        <v>21903</v>
      </c>
      <c r="Z981" t="s">
        <v>28691</v>
      </c>
      <c r="AA981">
        <v>0.88217423252692984</v>
      </c>
      <c r="AB981" t="str">
        <f>HYPERLINK("Melting_Curves/meltCurve_H0YK48_TPM1.pdf", "Melting_Curves/meltCurve_H0YK48_TPM1.pdf")</f>
        <v>Melting_Curves/meltCurve_H0YK48_TPM1.pdf</v>
      </c>
    </row>
    <row r="982" spans="1:28" x14ac:dyDescent="0.25">
      <c r="A982" t="s">
        <v>986</v>
      </c>
      <c r="B982">
        <v>0.99999676499088797</v>
      </c>
      <c r="C982">
        <v>0.96038615152892004</v>
      </c>
      <c r="D982">
        <v>1.0496222548662499</v>
      </c>
      <c r="E982">
        <v>1.13170950184956</v>
      </c>
      <c r="F982">
        <v>0.85410623788920004</v>
      </c>
      <c r="G982">
        <v>0.35971293286849099</v>
      </c>
      <c r="H982">
        <v>0.14049707694013</v>
      </c>
      <c r="I982">
        <v>0.120201715082575</v>
      </c>
      <c r="J982">
        <v>0.10498999045343201</v>
      </c>
      <c r="K982">
        <v>8.7566560502445906E-2</v>
      </c>
      <c r="L982">
        <v>2276.4643841983702</v>
      </c>
      <c r="M982">
        <v>41.021618567607803</v>
      </c>
      <c r="N982">
        <v>55.819219328357804</v>
      </c>
      <c r="O982">
        <v>55.362869374989003</v>
      </c>
      <c r="P982">
        <v>-0.16556410876299199</v>
      </c>
      <c r="Q982">
        <v>0.10621889101832099</v>
      </c>
      <c r="R982">
        <v>0.98694857351894805</v>
      </c>
      <c r="S982" t="s">
        <v>7985</v>
      </c>
      <c r="T982" t="s">
        <v>14004</v>
      </c>
      <c r="U982" t="s">
        <v>14004</v>
      </c>
      <c r="V982" t="s">
        <v>14004</v>
      </c>
      <c r="W982" t="s">
        <v>14970</v>
      </c>
      <c r="X982">
        <v>6</v>
      </c>
      <c r="Y982" t="s">
        <v>21904</v>
      </c>
      <c r="Z982" t="s">
        <v>28692</v>
      </c>
      <c r="AA982">
        <v>0.5710802234719573</v>
      </c>
      <c r="AB982" t="str">
        <f>HYPERLINK("Melting_Curves/meltCurve_H0YK61_EMC4.pdf", "Melting_Curves/meltCurve_H0YK61_EMC4.pdf")</f>
        <v>Melting_Curves/meltCurve_H0YK61_EMC4.pdf</v>
      </c>
    </row>
    <row r="983" spans="1:28" x14ac:dyDescent="0.25">
      <c r="A983" t="s">
        <v>987</v>
      </c>
      <c r="B983">
        <v>0.99999676499088797</v>
      </c>
      <c r="C983">
        <v>1.23117706881407</v>
      </c>
      <c r="D983">
        <v>0.99873344021267196</v>
      </c>
      <c r="E983">
        <v>1.0157839979560701</v>
      </c>
      <c r="F983">
        <v>0.85252463432445502</v>
      </c>
      <c r="G983">
        <v>0.76402433511440804</v>
      </c>
      <c r="H983">
        <v>0.36382040620650902</v>
      </c>
      <c r="I983">
        <v>0.55082837954931296</v>
      </c>
      <c r="J983">
        <v>0.47737694596796998</v>
      </c>
      <c r="K983">
        <v>0.50007860719527697</v>
      </c>
      <c r="L983">
        <v>1820.71793226196</v>
      </c>
      <c r="M983">
        <v>32.397813590332703</v>
      </c>
      <c r="N983">
        <v>61.545186208082299</v>
      </c>
      <c r="O983">
        <v>55.985972317582501</v>
      </c>
      <c r="P983">
        <v>-7.6670920562362299E-2</v>
      </c>
      <c r="Q983">
        <v>0.47002899724218999</v>
      </c>
      <c r="R983">
        <v>0.877335574499849</v>
      </c>
      <c r="S983" t="s">
        <v>7986</v>
      </c>
      <c r="T983" t="s">
        <v>14004</v>
      </c>
      <c r="U983" t="s">
        <v>14004</v>
      </c>
      <c r="V983" t="s">
        <v>14004</v>
      </c>
      <c r="W983" t="s">
        <v>14971</v>
      </c>
      <c r="X983">
        <v>2</v>
      </c>
      <c r="Y983" t="s">
        <v>21905</v>
      </c>
      <c r="Z983" t="s">
        <v>28693</v>
      </c>
      <c r="AA983">
        <v>0.759259094035167</v>
      </c>
      <c r="AB983" t="str">
        <f>HYPERLINK("Melting_Curves/meltCurve_H0YKJ9_TSPAN3.pdf", "Melting_Curves/meltCurve_H0YKJ9_TSPAN3.pdf")</f>
        <v>Melting_Curves/meltCurve_H0YKJ9_TSPAN3.pdf</v>
      </c>
    </row>
    <row r="984" spans="1:28" x14ac:dyDescent="0.25">
      <c r="A984" t="s">
        <v>988</v>
      </c>
      <c r="B984">
        <v>0.99999676499088797</v>
      </c>
      <c r="C984">
        <v>1.03830167113052</v>
      </c>
      <c r="D984">
        <v>1.0174630123505399</v>
      </c>
      <c r="E984">
        <v>1.04840338408633</v>
      </c>
      <c r="F984">
        <v>0.82995811192619695</v>
      </c>
      <c r="G984">
        <v>0.66817660417282199</v>
      </c>
      <c r="H984">
        <v>0.41513179862136801</v>
      </c>
      <c r="I984">
        <v>0.34984714659671801</v>
      </c>
      <c r="J984">
        <v>0.24820929998789801</v>
      </c>
      <c r="K984">
        <v>0.25518644748022801</v>
      </c>
      <c r="L984">
        <v>1163.2291669416099</v>
      </c>
      <c r="M984">
        <v>20.256287108009701</v>
      </c>
      <c r="N984">
        <v>59.273088463966303</v>
      </c>
      <c r="O984">
        <v>56.874701400811603</v>
      </c>
      <c r="P984">
        <v>-6.8199858477164504E-2</v>
      </c>
      <c r="Q984">
        <v>0.23406963539871101</v>
      </c>
      <c r="R984">
        <v>0.988855446148452</v>
      </c>
      <c r="S984" t="s">
        <v>7987</v>
      </c>
      <c r="T984" t="s">
        <v>14004</v>
      </c>
      <c r="U984" t="s">
        <v>14004</v>
      </c>
      <c r="V984" t="s">
        <v>14004</v>
      </c>
      <c r="W984" t="s">
        <v>14972</v>
      </c>
      <c r="X984">
        <v>17</v>
      </c>
      <c r="Y984" t="s">
        <v>21906</v>
      </c>
      <c r="Z984" t="s">
        <v>28694</v>
      </c>
      <c r="AA984">
        <v>0.68794219279838154</v>
      </c>
      <c r="AB984" t="str">
        <f>HYPERLINK("Melting_Curves/meltCurve_H0YL70_TLE3.pdf", "Melting_Curves/meltCurve_H0YL70_TLE3.pdf")</f>
        <v>Melting_Curves/meltCurve_H0YL70_TLE3.pdf</v>
      </c>
    </row>
    <row r="985" spans="1:28" x14ac:dyDescent="0.25">
      <c r="A985" t="s">
        <v>989</v>
      </c>
      <c r="B985">
        <v>0.99999676499088797</v>
      </c>
      <c r="C985">
        <v>1.0608406119579801</v>
      </c>
      <c r="D985">
        <v>0.88493915215782404</v>
      </c>
      <c r="E985">
        <v>0.58883581877023505</v>
      </c>
      <c r="F985">
        <v>0.451917706432997</v>
      </c>
      <c r="G985">
        <v>0.48664231943512798</v>
      </c>
      <c r="H985">
        <v>0.32124395318670301</v>
      </c>
      <c r="I985">
        <v>0.62472875873181399</v>
      </c>
      <c r="J985">
        <v>1.34093360363766</v>
      </c>
      <c r="K985">
        <v>1.6763419125125201</v>
      </c>
      <c r="L985">
        <v>15000</v>
      </c>
      <c r="M985">
        <v>224.308965614915</v>
      </c>
      <c r="O985">
        <v>66.866732763344103</v>
      </c>
      <c r="P985">
        <v>0.41932093291036099</v>
      </c>
      <c r="Q985">
        <v>1.5</v>
      </c>
      <c r="R985">
        <v>0.17735627473266799</v>
      </c>
      <c r="S985" t="s">
        <v>7988</v>
      </c>
      <c r="T985" t="s">
        <v>14004</v>
      </c>
      <c r="U985" t="s">
        <v>14004</v>
      </c>
      <c r="V985" t="s">
        <v>14004</v>
      </c>
      <c r="W985" t="s">
        <v>14973</v>
      </c>
      <c r="X985">
        <v>25</v>
      </c>
      <c r="Y985" t="s">
        <v>21907</v>
      </c>
      <c r="Z985" t="s">
        <v>28695</v>
      </c>
      <c r="AA985">
        <v>1.052059875795782</v>
      </c>
      <c r="AB985" t="str">
        <f>HYPERLINK("Melting_Curves/meltCurve_H0YLA4_SORD.pdf", "Melting_Curves/meltCurve_H0YLA4_SORD.pdf")</f>
        <v>Melting_Curves/meltCurve_H0YLA4_SORD.pdf</v>
      </c>
    </row>
    <row r="986" spans="1:28" x14ac:dyDescent="0.25">
      <c r="A986" t="s">
        <v>990</v>
      </c>
      <c r="B986">
        <v>0.99999676499088797</v>
      </c>
      <c r="C986">
        <v>0.89702747084419099</v>
      </c>
      <c r="D986">
        <v>0.61724209968057697</v>
      </c>
      <c r="E986">
        <v>0.27846383045853201</v>
      </c>
      <c r="F986">
        <v>0.19136016759673899</v>
      </c>
      <c r="G986">
        <v>0.13023949830867301</v>
      </c>
      <c r="H986">
        <v>0.10568368594939399</v>
      </c>
      <c r="I986">
        <v>9.0954954663808998E-2</v>
      </c>
      <c r="J986">
        <v>6.8617827812575402E-2</v>
      </c>
      <c r="K986">
        <v>7.37040435214905E-2</v>
      </c>
      <c r="L986">
        <v>1009.16703265945</v>
      </c>
      <c r="M986">
        <v>21.5895675081251</v>
      </c>
      <c r="N986">
        <v>47.187589448072799</v>
      </c>
      <c r="O986">
        <v>46.347793445777</v>
      </c>
      <c r="P986">
        <v>-0.10574551176290301</v>
      </c>
      <c r="Q986">
        <v>9.1977742632447596E-2</v>
      </c>
      <c r="R986">
        <v>0.99668126737127205</v>
      </c>
      <c r="S986" t="s">
        <v>7989</v>
      </c>
      <c r="T986" t="s">
        <v>14004</v>
      </c>
      <c r="U986" t="s">
        <v>14004</v>
      </c>
      <c r="V986" t="s">
        <v>14004</v>
      </c>
      <c r="W986" t="s">
        <v>14974</v>
      </c>
      <c r="X986">
        <v>6</v>
      </c>
      <c r="Y986" t="s">
        <v>21908</v>
      </c>
      <c r="Z986" t="s">
        <v>28696</v>
      </c>
      <c r="AA986">
        <v>0.30740586743149179</v>
      </c>
      <c r="AB986" t="str">
        <f>HYPERLINK("Melting_Curves/meltCurve_H0YLB5_POU2F1.pdf", "Melting_Curves/meltCurve_H0YLB5_POU2F1.pdf")</f>
        <v>Melting_Curves/meltCurve_H0YLB5_POU2F1.pdf</v>
      </c>
    </row>
    <row r="987" spans="1:28" x14ac:dyDescent="0.25">
      <c r="A987" t="s">
        <v>991</v>
      </c>
      <c r="B987">
        <v>0.99999676499088797</v>
      </c>
      <c r="C987">
        <v>0.82616770463418299</v>
      </c>
      <c r="D987">
        <v>0.54662447204904197</v>
      </c>
      <c r="E987">
        <v>0.35058484389985201</v>
      </c>
      <c r="F987">
        <v>0.25311477495432999</v>
      </c>
      <c r="G987">
        <v>0.19485020847874901</v>
      </c>
      <c r="H987">
        <v>0.15985663550740001</v>
      </c>
      <c r="I987">
        <v>0.13172349299404501</v>
      </c>
      <c r="J987">
        <v>0.13677359568801001</v>
      </c>
      <c r="K987">
        <v>9.5269488527640098E-2</v>
      </c>
      <c r="L987">
        <v>782.37906202102204</v>
      </c>
      <c r="M987">
        <v>16.917006296364701</v>
      </c>
      <c r="N987">
        <v>47.1216644651807</v>
      </c>
      <c r="O987">
        <v>45.616337487291297</v>
      </c>
      <c r="P987">
        <v>-8.0239078542019407E-2</v>
      </c>
      <c r="Q987">
        <v>0.134602841950793</v>
      </c>
      <c r="R987">
        <v>0.99040477818511696</v>
      </c>
      <c r="S987" t="s">
        <v>7990</v>
      </c>
      <c r="T987" t="s">
        <v>14004</v>
      </c>
      <c r="U987" t="s">
        <v>14004</v>
      </c>
      <c r="V987" t="s">
        <v>14004</v>
      </c>
      <c r="W987" t="s">
        <v>14975</v>
      </c>
      <c r="X987">
        <v>2</v>
      </c>
      <c r="Y987" t="s">
        <v>21909</v>
      </c>
      <c r="Z987" t="s">
        <v>28697</v>
      </c>
      <c r="AA987">
        <v>0.33397831213014401</v>
      </c>
      <c r="AB987" t="str">
        <f>HYPERLINK("Melting_Curves/meltCurve_H0YLF2_HMBOX1.pdf", "Melting_Curves/meltCurve_H0YLF2_HMBOX1.pdf")</f>
        <v>Melting_Curves/meltCurve_H0YLF2_HMBOX1.pdf</v>
      </c>
    </row>
    <row r="988" spans="1:28" x14ac:dyDescent="0.25">
      <c r="A988" t="s">
        <v>992</v>
      </c>
      <c r="B988">
        <v>0.99999676499088797</v>
      </c>
      <c r="C988">
        <v>1.0100016048837399</v>
      </c>
      <c r="D988">
        <v>0.89932446902884799</v>
      </c>
      <c r="E988">
        <v>0.60303468104046898</v>
      </c>
      <c r="F988">
        <v>0.51350047183646697</v>
      </c>
      <c r="G988">
        <v>0.41368166759722802</v>
      </c>
      <c r="H988">
        <v>0.273309046947255</v>
      </c>
      <c r="I988">
        <v>0.38343568420058299</v>
      </c>
      <c r="J988">
        <v>0.322802435738406</v>
      </c>
      <c r="K988">
        <v>0.328732812367869</v>
      </c>
      <c r="L988">
        <v>975.922897465971</v>
      </c>
      <c r="M988">
        <v>19.724505630954599</v>
      </c>
      <c r="N988">
        <v>52.368120040854897</v>
      </c>
      <c r="O988">
        <v>48.977539667340601</v>
      </c>
      <c r="P988">
        <v>-6.7290651564173298E-2</v>
      </c>
      <c r="Q988">
        <v>0.33167050190112801</v>
      </c>
      <c r="R988">
        <v>0.97846717964131102</v>
      </c>
      <c r="S988" t="s">
        <v>7991</v>
      </c>
      <c r="T988" t="s">
        <v>14004</v>
      </c>
      <c r="U988" t="s">
        <v>14004</v>
      </c>
      <c r="V988" t="s">
        <v>14004</v>
      </c>
      <c r="W988" t="s">
        <v>14976</v>
      </c>
      <c r="X988">
        <v>3</v>
      </c>
      <c r="Y988" t="s">
        <v>21910</v>
      </c>
      <c r="Z988" t="s">
        <v>28698</v>
      </c>
      <c r="AA988">
        <v>0.55239994564365658</v>
      </c>
      <c r="AB988" t="str">
        <f>HYPERLINK("Melting_Curves/meltCurve_H0YLW6_SHF.pdf", "Melting_Curves/meltCurve_H0YLW6_SHF.pdf")</f>
        <v>Melting_Curves/meltCurve_H0YLW6_SHF.pdf</v>
      </c>
    </row>
    <row r="989" spans="1:28" x14ac:dyDescent="0.25">
      <c r="A989" t="s">
        <v>993</v>
      </c>
      <c r="B989">
        <v>0.99999676499088797</v>
      </c>
      <c r="C989">
        <v>0.84482801876637403</v>
      </c>
      <c r="D989">
        <v>0.62195447698950401</v>
      </c>
      <c r="E989">
        <v>0.43072533057578499</v>
      </c>
      <c r="F989">
        <v>0.23466805429608401</v>
      </c>
      <c r="G989">
        <v>0.193842125996944</v>
      </c>
      <c r="H989">
        <v>0.151692063469651</v>
      </c>
      <c r="I989">
        <v>0.144238118348816</v>
      </c>
      <c r="J989">
        <v>0.14942640399848101</v>
      </c>
      <c r="K989">
        <v>0.114416150375555</v>
      </c>
      <c r="L989">
        <v>752.06246111980295</v>
      </c>
      <c r="M989">
        <v>15.954237919048101</v>
      </c>
      <c r="N989">
        <v>48.040875360264899</v>
      </c>
      <c r="O989">
        <v>46.416808261978296</v>
      </c>
      <c r="P989">
        <v>-7.4812363442634103E-2</v>
      </c>
      <c r="Q989">
        <v>0.12944155190944301</v>
      </c>
      <c r="R989">
        <v>0.99483868559777999</v>
      </c>
      <c r="S989" t="s">
        <v>7992</v>
      </c>
      <c r="T989" t="s">
        <v>14004</v>
      </c>
      <c r="U989" t="s">
        <v>14004</v>
      </c>
      <c r="V989" t="s">
        <v>14004</v>
      </c>
      <c r="W989" t="s">
        <v>14977</v>
      </c>
      <c r="X989">
        <v>6</v>
      </c>
      <c r="Y989" t="s">
        <v>21911</v>
      </c>
      <c r="Z989" t="s">
        <v>28699</v>
      </c>
      <c r="AA989">
        <v>0.35723602472618271</v>
      </c>
      <c r="AB989" t="str">
        <f>HYPERLINK("Melting_Curves/meltCurve_H0YLX2_RFX7.pdf", "Melting_Curves/meltCurve_H0YLX2_RFX7.pdf")</f>
        <v>Melting_Curves/meltCurve_H0YLX2_RFX7.pdf</v>
      </c>
    </row>
    <row r="990" spans="1:28" x14ac:dyDescent="0.25">
      <c r="A990" t="s">
        <v>994</v>
      </c>
      <c r="B990">
        <v>0.99999676499088797</v>
      </c>
      <c r="C990">
        <v>1.06731521182089</v>
      </c>
      <c r="D990">
        <v>1.0341274534204401</v>
      </c>
      <c r="E990">
        <v>1.01945093981643</v>
      </c>
      <c r="F990">
        <v>0.97884815839795303</v>
      </c>
      <c r="G990">
        <v>0.90503647154154399</v>
      </c>
      <c r="H990">
        <v>0.64838948003844799</v>
      </c>
      <c r="I990">
        <v>0.54503305875994501</v>
      </c>
      <c r="J990">
        <v>0.46687085941449602</v>
      </c>
      <c r="K990">
        <v>0.64282610765106696</v>
      </c>
      <c r="L990">
        <v>2381.9379073891701</v>
      </c>
      <c r="M990">
        <v>40.571796819598298</v>
      </c>
      <c r="O990">
        <v>58.567112258476698</v>
      </c>
      <c r="P990">
        <v>-7.8244564505648401E-2</v>
      </c>
      <c r="Q990">
        <v>0.54820345707812701</v>
      </c>
      <c r="R990">
        <v>0.95194678830525803</v>
      </c>
      <c r="S990" t="s">
        <v>7993</v>
      </c>
      <c r="T990" t="s">
        <v>14004</v>
      </c>
      <c r="U990" t="s">
        <v>14004</v>
      </c>
      <c r="V990" t="s">
        <v>14004</v>
      </c>
      <c r="W990" t="s">
        <v>14978</v>
      </c>
      <c r="X990">
        <v>11</v>
      </c>
      <c r="Y990" t="s">
        <v>21912</v>
      </c>
      <c r="Z990" t="s">
        <v>28700</v>
      </c>
      <c r="AA990">
        <v>0.83169671248245025</v>
      </c>
      <c r="AB990" t="str">
        <f>HYPERLINK("Melting_Curves/meltCurve_H0YMB3_GMPR2.pdf", "Melting_Curves/meltCurve_H0YMB3_GMPR2.pdf")</f>
        <v>Melting_Curves/meltCurve_H0YMB3_GMPR2.pdf</v>
      </c>
    </row>
    <row r="991" spans="1:28" x14ac:dyDescent="0.25">
      <c r="A991" t="s">
        <v>995</v>
      </c>
      <c r="B991">
        <v>0.99999676499088797</v>
      </c>
      <c r="C991">
        <v>1.02492730068107</v>
      </c>
      <c r="D991">
        <v>1.00615726394703</v>
      </c>
      <c r="E991">
        <v>0.72885610389406197</v>
      </c>
      <c r="F991">
        <v>0.28881125030032101</v>
      </c>
      <c r="G991">
        <v>0.20503500367727701</v>
      </c>
      <c r="H991">
        <v>9.9746377925033394E-2</v>
      </c>
      <c r="I991">
        <v>0.10407293438660301</v>
      </c>
      <c r="J991">
        <v>8.2542463583794204E-2</v>
      </c>
      <c r="K991">
        <v>7.99749258734158E-2</v>
      </c>
      <c r="L991">
        <v>1525.4090557437701</v>
      </c>
      <c r="M991">
        <v>29.887753256203201</v>
      </c>
      <c r="N991">
        <v>51.424606148088003</v>
      </c>
      <c r="O991">
        <v>50.8110788477914</v>
      </c>
      <c r="P991">
        <v>-0.13225533549857901</v>
      </c>
      <c r="Q991">
        <v>0.10063606663006</v>
      </c>
      <c r="R991">
        <v>0.99538288285217302</v>
      </c>
      <c r="S991" t="s">
        <v>7994</v>
      </c>
      <c r="T991" t="s">
        <v>14004</v>
      </c>
      <c r="U991" t="s">
        <v>14004</v>
      </c>
      <c r="V991" t="s">
        <v>14004</v>
      </c>
      <c r="W991" t="s">
        <v>14979</v>
      </c>
      <c r="X991">
        <v>10</v>
      </c>
      <c r="Y991" t="s">
        <v>21913</v>
      </c>
      <c r="Z991" t="s">
        <v>28701</v>
      </c>
      <c r="AA991">
        <v>0.43724077369617148</v>
      </c>
      <c r="AB991" t="str">
        <f>HYPERLINK("Melting_Curves/meltCurve_H0YMJ0_MORF4L1.pdf", "Melting_Curves/meltCurve_H0YMJ0_MORF4L1.pdf")</f>
        <v>Melting_Curves/meltCurve_H0YMJ0_MORF4L1.pdf</v>
      </c>
    </row>
    <row r="992" spans="1:28" x14ac:dyDescent="0.25">
      <c r="A992" t="s">
        <v>996</v>
      </c>
      <c r="B992">
        <v>0.99999676499088797</v>
      </c>
      <c r="C992">
        <v>0.96007776326350902</v>
      </c>
      <c r="D992">
        <v>0.87539136899429804</v>
      </c>
      <c r="E992">
        <v>0.62606423614606199</v>
      </c>
      <c r="F992">
        <v>0.25991562427279402</v>
      </c>
      <c r="G992">
        <v>0.22566201035046099</v>
      </c>
      <c r="H992">
        <v>0.129769335778953</v>
      </c>
      <c r="I992">
        <v>0.14637200909838199</v>
      </c>
      <c r="J992">
        <v>0.17969075653965</v>
      </c>
      <c r="K992">
        <v>8.8484055356756505E-2</v>
      </c>
      <c r="L992">
        <v>1141.1736923068099</v>
      </c>
      <c r="M992">
        <v>22.863588487895399</v>
      </c>
      <c r="N992">
        <v>50.601383084401199</v>
      </c>
      <c r="O992">
        <v>49.5351489307902</v>
      </c>
      <c r="P992">
        <v>-9.9955585128950697E-2</v>
      </c>
      <c r="Q992">
        <v>0.13378078822326001</v>
      </c>
      <c r="R992">
        <v>0.99250327000491401</v>
      </c>
      <c r="S992" t="s">
        <v>7995</v>
      </c>
      <c r="T992" t="s">
        <v>14004</v>
      </c>
      <c r="U992" t="s">
        <v>14004</v>
      </c>
      <c r="V992" t="s">
        <v>14004</v>
      </c>
      <c r="W992" t="s">
        <v>14980</v>
      </c>
      <c r="X992">
        <v>1</v>
      </c>
      <c r="Y992" t="s">
        <v>21914</v>
      </c>
      <c r="Z992" t="s">
        <v>28702</v>
      </c>
      <c r="AA992">
        <v>0.42924229352179238</v>
      </c>
      <c r="AB992" t="str">
        <f>HYPERLINK("Melting_Curves/meltCurve_H0YMM4_ISG20.pdf", "Melting_Curves/meltCurve_H0YMM4_ISG20.pdf")</f>
        <v>Melting_Curves/meltCurve_H0YMM4_ISG20.pdf</v>
      </c>
    </row>
    <row r="993" spans="1:28" x14ac:dyDescent="0.25">
      <c r="A993" t="s">
        <v>997</v>
      </c>
      <c r="B993">
        <v>0.99999676499088797</v>
      </c>
      <c r="C993">
        <v>1.02562863186256</v>
      </c>
      <c r="D993">
        <v>1.3164840333264001</v>
      </c>
      <c r="E993">
        <v>1.75580297178571</v>
      </c>
      <c r="F993">
        <v>1.1801799033390701</v>
      </c>
      <c r="G993">
        <v>1.1179380404733501</v>
      </c>
      <c r="H993">
        <v>0.26243513190949203</v>
      </c>
      <c r="I993">
        <v>0.229499347704745</v>
      </c>
      <c r="J993">
        <v>0.245970871413114</v>
      </c>
      <c r="K993">
        <v>0.162339315394085</v>
      </c>
      <c r="L993">
        <v>15000</v>
      </c>
      <c r="M993">
        <v>249.40519710694099</v>
      </c>
      <c r="N993">
        <v>60.276923228411697</v>
      </c>
      <c r="O993">
        <v>60.139226028287602</v>
      </c>
      <c r="P993">
        <v>-0.816359639323881</v>
      </c>
      <c r="Q993">
        <v>0.21260282683335799</v>
      </c>
      <c r="R993">
        <v>0.74529676711223802</v>
      </c>
      <c r="S993" t="s">
        <v>7996</v>
      </c>
      <c r="T993" t="s">
        <v>14004</v>
      </c>
      <c r="U993" t="s">
        <v>14004</v>
      </c>
      <c r="V993" t="s">
        <v>14004</v>
      </c>
      <c r="W993" t="s">
        <v>14981</v>
      </c>
      <c r="X993">
        <v>2</v>
      </c>
      <c r="Y993" t="s">
        <v>21915</v>
      </c>
      <c r="Z993" t="s">
        <v>28703</v>
      </c>
      <c r="AA993">
        <v>0.74137348705895056</v>
      </c>
      <c r="AB993" t="str">
        <f>HYPERLINK("Melting_Curves/meltCurve_H0YN33_CINP.pdf", "Melting_Curves/meltCurve_H0YN33_CINP.pdf")</f>
        <v>Melting_Curves/meltCurve_H0YN33_CINP.pdf</v>
      </c>
    </row>
    <row r="994" spans="1:28" x14ac:dyDescent="0.25">
      <c r="A994" t="s">
        <v>998</v>
      </c>
      <c r="B994">
        <v>0.99999676499088797</v>
      </c>
      <c r="C994">
        <v>1.0427565714652101</v>
      </c>
      <c r="D994">
        <v>1.0896560893327101</v>
      </c>
      <c r="E994">
        <v>0.86055000170436802</v>
      </c>
      <c r="F994">
        <v>0.41486157661221701</v>
      </c>
      <c r="G994">
        <v>0.21524492990195401</v>
      </c>
      <c r="H994">
        <v>8.9842666190859094E-2</v>
      </c>
      <c r="I994">
        <v>9.3339114800624207E-2</v>
      </c>
      <c r="J994">
        <v>9.4936048400062797E-2</v>
      </c>
      <c r="K994">
        <v>7.5512936625470206E-2</v>
      </c>
      <c r="L994">
        <v>1631.7711441193801</v>
      </c>
      <c r="M994">
        <v>31.177327413510099</v>
      </c>
      <c r="N994">
        <v>52.686880423113898</v>
      </c>
      <c r="O994">
        <v>52.124478868400097</v>
      </c>
      <c r="P994">
        <v>-0.135602208380803</v>
      </c>
      <c r="Q994">
        <v>9.3167327888089596E-2</v>
      </c>
      <c r="R994">
        <v>0.99120642087065602</v>
      </c>
      <c r="S994" t="s">
        <v>7997</v>
      </c>
      <c r="T994" t="s">
        <v>14004</v>
      </c>
      <c r="U994" t="s">
        <v>14004</v>
      </c>
      <c r="V994" t="s">
        <v>14004</v>
      </c>
      <c r="W994" t="s">
        <v>14982</v>
      </c>
      <c r="X994">
        <v>10</v>
      </c>
      <c r="Y994" t="s">
        <v>21916</v>
      </c>
      <c r="Z994" t="s">
        <v>28704</v>
      </c>
      <c r="AA994">
        <v>0.47152613629623819</v>
      </c>
      <c r="AB994" t="str">
        <f>HYPERLINK("Melting_Curves/meltCurve_H0YNG3_SEC11A.pdf", "Melting_Curves/meltCurve_H0YNG3_SEC11A.pdf")</f>
        <v>Melting_Curves/meltCurve_H0YNG3_SEC11A.pdf</v>
      </c>
    </row>
    <row r="995" spans="1:28" x14ac:dyDescent="0.25">
      <c r="A995" t="s">
        <v>999</v>
      </c>
      <c r="B995">
        <v>0.99999676499088797</v>
      </c>
      <c r="C995">
        <v>1.41214519723147</v>
      </c>
      <c r="D995">
        <v>1.25375717039685</v>
      </c>
      <c r="E995">
        <v>1.90758769614588</v>
      </c>
      <c r="F995">
        <v>0.88552951572364202</v>
      </c>
      <c r="G995">
        <v>0</v>
      </c>
      <c r="H995">
        <v>0</v>
      </c>
      <c r="I995">
        <v>0</v>
      </c>
      <c r="J995">
        <v>0.28010444695381498</v>
      </c>
      <c r="K995">
        <v>0.27438561523784299</v>
      </c>
      <c r="L995">
        <v>13401.7217725151</v>
      </c>
      <c r="M995">
        <v>250</v>
      </c>
      <c r="N995">
        <v>53.6606987499719</v>
      </c>
      <c r="O995">
        <v>53.603472204408703</v>
      </c>
      <c r="P995">
        <v>-1.03666599587249</v>
      </c>
      <c r="Q995">
        <v>0.110897908291359</v>
      </c>
      <c r="R995">
        <v>0.72768796789200396</v>
      </c>
      <c r="S995" t="s">
        <v>7998</v>
      </c>
      <c r="T995" t="s">
        <v>14004</v>
      </c>
      <c r="U995" t="s">
        <v>14004</v>
      </c>
      <c r="V995" t="s">
        <v>14004</v>
      </c>
      <c r="W995" t="s">
        <v>14983</v>
      </c>
      <c r="X995">
        <v>1</v>
      </c>
      <c r="Y995" t="s">
        <v>21917</v>
      </c>
      <c r="Z995" t="s">
        <v>28705</v>
      </c>
      <c r="AA995">
        <v>0.51424528013210824</v>
      </c>
      <c r="AB995" t="str">
        <f>HYPERLINK("Melting_Curves/meltCurve_H0YNH6_EMC9.pdf", "Melting_Curves/meltCurve_H0YNH6_EMC9.pdf")</f>
        <v>Melting_Curves/meltCurve_H0YNH6_EMC9.pdf</v>
      </c>
    </row>
    <row r="996" spans="1:28" x14ac:dyDescent="0.25">
      <c r="A996" t="s">
        <v>1000</v>
      </c>
      <c r="B996">
        <v>0.99999676499088797</v>
      </c>
      <c r="C996">
        <v>0.98633488327054997</v>
      </c>
      <c r="D996">
        <v>0.94064080225783497</v>
      </c>
      <c r="E996">
        <v>1.0168064209246099</v>
      </c>
      <c r="F996">
        <v>0.55942919363997201</v>
      </c>
      <c r="G996">
        <v>0.33151486649586798</v>
      </c>
      <c r="H996">
        <v>0.18050036207834</v>
      </c>
      <c r="I996">
        <v>0.18067535172605001</v>
      </c>
      <c r="J996">
        <v>0.204659962430774</v>
      </c>
      <c r="K996">
        <v>0.19703879955644299</v>
      </c>
      <c r="L996">
        <v>1971.9566658261399</v>
      </c>
      <c r="M996">
        <v>37.094754617077598</v>
      </c>
      <c r="N996">
        <v>53.900786503573002</v>
      </c>
      <c r="O996">
        <v>53.006199206792097</v>
      </c>
      <c r="P996">
        <v>-0.140016974216084</v>
      </c>
      <c r="Q996">
        <v>0.19969851354888199</v>
      </c>
      <c r="R996">
        <v>0.98897268673779304</v>
      </c>
      <c r="S996" t="s">
        <v>7999</v>
      </c>
      <c r="T996" t="s">
        <v>14004</v>
      </c>
      <c r="U996" t="s">
        <v>14004</v>
      </c>
      <c r="V996" t="s">
        <v>14004</v>
      </c>
      <c r="W996" t="s">
        <v>14984</v>
      </c>
      <c r="X996">
        <v>9</v>
      </c>
      <c r="Y996" t="s">
        <v>21918</v>
      </c>
      <c r="Z996" t="s">
        <v>28706</v>
      </c>
      <c r="AA996">
        <v>0.55417972727440201</v>
      </c>
      <c r="AB996" t="str">
        <f>HYPERLINK("Melting_Curves/meltCurve_H0YNU5_BLM.pdf", "Melting_Curves/meltCurve_H0YNU5_BLM.pdf")</f>
        <v>Melting_Curves/meltCurve_H0YNU5_BLM.pdf</v>
      </c>
    </row>
    <row r="997" spans="1:28" x14ac:dyDescent="0.25">
      <c r="A997" t="s">
        <v>1001</v>
      </c>
      <c r="B997">
        <v>0.99999676499088797</v>
      </c>
      <c r="C997">
        <v>1.0285332610473401</v>
      </c>
      <c r="D997">
        <v>0.95978084569314404</v>
      </c>
      <c r="E997">
        <v>0.79934947073045304</v>
      </c>
      <c r="F997">
        <v>0.74141090414488797</v>
      </c>
      <c r="G997">
        <v>0.65737200718976097</v>
      </c>
      <c r="H997">
        <v>0.44886151390468498</v>
      </c>
      <c r="I997">
        <v>0.42425312971374302</v>
      </c>
      <c r="J997">
        <v>0.41716288622853098</v>
      </c>
      <c r="K997">
        <v>0.40477395555778001</v>
      </c>
      <c r="L997">
        <v>680.31173759739897</v>
      </c>
      <c r="M997">
        <v>12.434939922306</v>
      </c>
      <c r="N997">
        <v>60.550603317719997</v>
      </c>
      <c r="O997">
        <v>53.352570176954799</v>
      </c>
      <c r="P997">
        <v>-3.7921053975509302E-2</v>
      </c>
      <c r="Q997">
        <v>0.349329881734606</v>
      </c>
      <c r="R997">
        <v>0.97921569046295798</v>
      </c>
      <c r="S997" t="s">
        <v>8000</v>
      </c>
      <c r="T997" t="s">
        <v>14004</v>
      </c>
      <c r="U997" t="s">
        <v>14004</v>
      </c>
      <c r="V997" t="s">
        <v>14004</v>
      </c>
      <c r="W997" t="s">
        <v>14985</v>
      </c>
      <c r="X997">
        <v>5</v>
      </c>
      <c r="Y997" t="s">
        <v>21919</v>
      </c>
      <c r="Z997" t="s">
        <v>28707</v>
      </c>
      <c r="AA997">
        <v>0.68371696451075181</v>
      </c>
      <c r="AB997" t="str">
        <f>HYPERLINK("Melting_Curves/meltCurve_H3BLU2_LSAMP.pdf", "Melting_Curves/meltCurve_H3BLU2_LSAMP.pdf")</f>
        <v>Melting_Curves/meltCurve_H3BLU2_LSAMP.pdf</v>
      </c>
    </row>
    <row r="998" spans="1:28" x14ac:dyDescent="0.25">
      <c r="A998" t="s">
        <v>1002</v>
      </c>
      <c r="B998">
        <v>0.99999676499088797</v>
      </c>
      <c r="C998">
        <v>1.1278619202967599</v>
      </c>
      <c r="D998">
        <v>0.98735705951643304</v>
      </c>
      <c r="E998">
        <v>0.54463461798048496</v>
      </c>
      <c r="F998">
        <v>0.611322891301603</v>
      </c>
      <c r="G998">
        <v>0.40072398284190403</v>
      </c>
      <c r="H998">
        <v>0.21392887820800299</v>
      </c>
      <c r="I998">
        <v>0.28803803270634698</v>
      </c>
      <c r="J998">
        <v>0.28775193417841999</v>
      </c>
      <c r="K998">
        <v>0.37558512937862998</v>
      </c>
      <c r="L998">
        <v>1006.21437200027</v>
      </c>
      <c r="M998">
        <v>20.001524698209501</v>
      </c>
      <c r="N998">
        <v>52.755346223863398</v>
      </c>
      <c r="O998">
        <v>49.812115308032602</v>
      </c>
      <c r="P998">
        <v>-7.0031978481956997E-2</v>
      </c>
      <c r="Q998">
        <v>0.30238768418101603</v>
      </c>
      <c r="R998">
        <v>0.91209221840175403</v>
      </c>
      <c r="S998" t="s">
        <v>8001</v>
      </c>
      <c r="T998" t="s">
        <v>14004</v>
      </c>
      <c r="U998" t="s">
        <v>14004</v>
      </c>
      <c r="V998" t="s">
        <v>14004</v>
      </c>
      <c r="W998" t="s">
        <v>14986</v>
      </c>
      <c r="X998">
        <v>1</v>
      </c>
      <c r="Y998" t="s">
        <v>21920</v>
      </c>
      <c r="Z998" t="s">
        <v>28708</v>
      </c>
      <c r="AA998">
        <v>0.55176141122660993</v>
      </c>
      <c r="AB998" t="str">
        <f>HYPERLINK("Melting_Curves/meltCurve_H3BLU9_TTC24.pdf", "Melting_Curves/meltCurve_H3BLU9_TTC24.pdf")</f>
        <v>Melting_Curves/meltCurve_H3BLU9_TTC24.pdf</v>
      </c>
    </row>
    <row r="999" spans="1:28" x14ac:dyDescent="0.25">
      <c r="A999" t="s">
        <v>1003</v>
      </c>
      <c r="B999">
        <v>0.99999676499088797</v>
      </c>
      <c r="C999">
        <v>0.93114017195037102</v>
      </c>
      <c r="D999">
        <v>0.97360018713580598</v>
      </c>
      <c r="E999">
        <v>1.0887771127552699</v>
      </c>
      <c r="F999">
        <v>0.90250161967108</v>
      </c>
      <c r="G999">
        <v>0.83719436613715603</v>
      </c>
      <c r="H999">
        <v>0.553384663013755</v>
      </c>
      <c r="I999">
        <v>0.39342742859845498</v>
      </c>
      <c r="J999">
        <v>0.331811848695867</v>
      </c>
      <c r="K999">
        <v>0.344381837415207</v>
      </c>
      <c r="L999">
        <v>1463.5991659291401</v>
      </c>
      <c r="M999">
        <v>24.7113251888672</v>
      </c>
      <c r="N999">
        <v>61.644286580024698</v>
      </c>
      <c r="O999">
        <v>58.844069440626797</v>
      </c>
      <c r="P999">
        <v>-7.2420078116882697E-2</v>
      </c>
      <c r="Q999">
        <v>0.31020560899890798</v>
      </c>
      <c r="R999">
        <v>0.97654305854560597</v>
      </c>
      <c r="S999" t="s">
        <v>8002</v>
      </c>
      <c r="T999" t="s">
        <v>14004</v>
      </c>
      <c r="U999" t="s">
        <v>14004</v>
      </c>
      <c r="V999" t="s">
        <v>14004</v>
      </c>
      <c r="W999" t="s">
        <v>14987</v>
      </c>
      <c r="X999">
        <v>7</v>
      </c>
      <c r="Y999" t="s">
        <v>21921</v>
      </c>
      <c r="Z999" t="s">
        <v>28709</v>
      </c>
      <c r="AA999">
        <v>0.75793594417655186</v>
      </c>
      <c r="AB999" t="str">
        <f>HYPERLINK("Melting_Curves/meltCurve_H3BLV0_CD55.pdf", "Melting_Curves/meltCurve_H3BLV0_CD55.pdf")</f>
        <v>Melting_Curves/meltCurve_H3BLV0_CD55.pdf</v>
      </c>
    </row>
    <row r="1000" spans="1:28" x14ac:dyDescent="0.25">
      <c r="A1000" t="s">
        <v>1004</v>
      </c>
      <c r="B1000">
        <v>0.99999676499088797</v>
      </c>
      <c r="C1000">
        <v>0.93479340329442295</v>
      </c>
      <c r="D1000">
        <v>1.03637270775254</v>
      </c>
      <c r="E1000">
        <v>0.94230437631290498</v>
      </c>
      <c r="F1000">
        <v>0.93779821158006405</v>
      </c>
      <c r="G1000">
        <v>0.75012901039799396</v>
      </c>
      <c r="H1000">
        <v>0.338786743439772</v>
      </c>
      <c r="I1000">
        <v>0.23385517534744801</v>
      </c>
      <c r="J1000">
        <v>0.112971406328454</v>
      </c>
      <c r="K1000">
        <v>9.2863037128310302E-2</v>
      </c>
      <c r="L1000">
        <v>1448.6798577644499</v>
      </c>
      <c r="M1000">
        <v>24.612213999104899</v>
      </c>
      <c r="N1000">
        <v>59.292805641585403</v>
      </c>
      <c r="O1000">
        <v>58.475758435626602</v>
      </c>
      <c r="P1000">
        <v>-9.6577415373634998E-2</v>
      </c>
      <c r="Q1000">
        <v>8.2186346309436706E-2</v>
      </c>
      <c r="R1000">
        <v>0.992127178939475</v>
      </c>
      <c r="S1000" t="s">
        <v>8003</v>
      </c>
      <c r="T1000" t="s">
        <v>14004</v>
      </c>
      <c r="U1000" t="s">
        <v>14004</v>
      </c>
      <c r="V1000" t="s">
        <v>14004</v>
      </c>
      <c r="W1000" t="s">
        <v>14988</v>
      </c>
      <c r="X1000">
        <v>2</v>
      </c>
      <c r="Y1000" t="s">
        <v>21922</v>
      </c>
      <c r="Z1000" t="s">
        <v>28710</v>
      </c>
      <c r="AA1000">
        <v>0.66693341525700101</v>
      </c>
      <c r="AB1000" t="str">
        <f>HYPERLINK("Melting_Curves/meltCurve_H3BLW6_TMEM63B.pdf", "Melting_Curves/meltCurve_H3BLW6_TMEM63B.pdf")</f>
        <v>Melting_Curves/meltCurve_H3BLW6_TMEM63B.pdf</v>
      </c>
    </row>
    <row r="1001" spans="1:28" x14ac:dyDescent="0.25">
      <c r="A1001" t="s">
        <v>1005</v>
      </c>
      <c r="B1001">
        <v>0.99999676499088797</v>
      </c>
      <c r="C1001">
        <v>1.0158449929064399</v>
      </c>
      <c r="D1001">
        <v>0.92054602806720198</v>
      </c>
      <c r="E1001">
        <v>0.68494162756402699</v>
      </c>
      <c r="F1001">
        <v>0.20576452676693699</v>
      </c>
      <c r="G1001">
        <v>0.15077986312507499</v>
      </c>
      <c r="H1001">
        <v>7.3825418199937501E-2</v>
      </c>
      <c r="I1001">
        <v>7.5455797852286496E-2</v>
      </c>
      <c r="J1001">
        <v>6.6484772858953503E-2</v>
      </c>
      <c r="K1001">
        <v>6.1283479134389703E-2</v>
      </c>
      <c r="L1001">
        <v>1557.53000302947</v>
      </c>
      <c r="M1001">
        <v>30.8305977854587</v>
      </c>
      <c r="N1001">
        <v>50.783019305199304</v>
      </c>
      <c r="O1001">
        <v>50.307858426375098</v>
      </c>
      <c r="P1001">
        <v>-0.14186402757689501</v>
      </c>
      <c r="Q1001">
        <v>7.4058423831492595E-2</v>
      </c>
      <c r="R1001">
        <v>0.99662459373872903</v>
      </c>
      <c r="S1001" t="s">
        <v>8004</v>
      </c>
      <c r="T1001" t="s">
        <v>14004</v>
      </c>
      <c r="U1001" t="s">
        <v>14004</v>
      </c>
      <c r="V1001" t="s">
        <v>14004</v>
      </c>
      <c r="W1001" t="s">
        <v>14989</v>
      </c>
      <c r="X1001">
        <v>56</v>
      </c>
      <c r="Y1001" t="s">
        <v>21923</v>
      </c>
      <c r="Z1001" t="s">
        <v>28711</v>
      </c>
      <c r="AA1001">
        <v>0.40419032193725302</v>
      </c>
      <c r="AB1001" t="str">
        <f>HYPERLINK("Melting_Curves/meltCurve_H3BLZ8_DDX17.pdf", "Melting_Curves/meltCurve_H3BLZ8_DDX17.pdf")</f>
        <v>Melting_Curves/meltCurve_H3BLZ8_DDX17.pdf</v>
      </c>
    </row>
    <row r="1002" spans="1:28" x14ac:dyDescent="0.25">
      <c r="A1002" t="s">
        <v>1006</v>
      </c>
      <c r="B1002">
        <v>0.99999676499088797</v>
      </c>
      <c r="C1002">
        <v>0.77488831757213295</v>
      </c>
      <c r="D1002">
        <v>0.39657953081550201</v>
      </c>
      <c r="E1002">
        <v>0.18940501860186501</v>
      </c>
      <c r="F1002">
        <v>0.165317925396089</v>
      </c>
      <c r="G1002">
        <v>0.11876191417372101</v>
      </c>
      <c r="H1002">
        <v>6.2150485644489703E-2</v>
      </c>
      <c r="I1002">
        <v>7.2109073999862897E-2</v>
      </c>
      <c r="J1002">
        <v>6.5726956345780199E-2</v>
      </c>
      <c r="K1002">
        <v>4.5589419461381099E-2</v>
      </c>
      <c r="L1002">
        <v>1068.1945290292499</v>
      </c>
      <c r="M1002">
        <v>23.7719288531801</v>
      </c>
      <c r="N1002">
        <v>45.282599645357401</v>
      </c>
      <c r="O1002">
        <v>44.620762912332701</v>
      </c>
      <c r="P1002">
        <v>-0.122086742558289</v>
      </c>
      <c r="Q1002">
        <v>8.3370370172249603E-2</v>
      </c>
      <c r="R1002">
        <v>0.990354943888755</v>
      </c>
      <c r="S1002" t="s">
        <v>8005</v>
      </c>
      <c r="T1002" t="s">
        <v>14004</v>
      </c>
      <c r="U1002" t="s">
        <v>14004</v>
      </c>
      <c r="V1002" t="s">
        <v>14004</v>
      </c>
      <c r="W1002" t="s">
        <v>14990</v>
      </c>
      <c r="X1002">
        <v>10</v>
      </c>
      <c r="Y1002" t="s">
        <v>21924</v>
      </c>
      <c r="Z1002" t="s">
        <v>28712</v>
      </c>
      <c r="AA1002">
        <v>0.2445389267677521</v>
      </c>
      <c r="AB1002" t="str">
        <f>HYPERLINK("Melting_Curves/meltCurve_H3BM14_NUB1.pdf", "Melting_Curves/meltCurve_H3BM14_NUB1.pdf")</f>
        <v>Melting_Curves/meltCurve_H3BM14_NUB1.pdf</v>
      </c>
    </row>
    <row r="1003" spans="1:28" x14ac:dyDescent="0.25">
      <c r="A1003" t="s">
        <v>1007</v>
      </c>
      <c r="B1003">
        <v>0.99999676499088797</v>
      </c>
      <c r="C1003">
        <v>1.1597545669453999</v>
      </c>
      <c r="D1003">
        <v>0.80859614278178205</v>
      </c>
      <c r="E1003">
        <v>0.60117183576784605</v>
      </c>
      <c r="F1003">
        <v>0.55434968249731298</v>
      </c>
      <c r="G1003">
        <v>0.46652510574329897</v>
      </c>
      <c r="H1003">
        <v>0.22320802892531699</v>
      </c>
      <c r="I1003">
        <v>0.24771031733068999</v>
      </c>
      <c r="J1003">
        <v>0.19453769386529701</v>
      </c>
      <c r="K1003">
        <v>0.17899070925025301</v>
      </c>
      <c r="L1003">
        <v>651.35275760931199</v>
      </c>
      <c r="M1003">
        <v>12.5001489395283</v>
      </c>
      <c r="N1003">
        <v>53.715493343299698</v>
      </c>
      <c r="O1003">
        <v>50.827931715948502</v>
      </c>
      <c r="P1003">
        <v>-5.1897717619453498E-2</v>
      </c>
      <c r="Q1003">
        <v>0.15607053441651</v>
      </c>
      <c r="R1003">
        <v>0.93469584728569499</v>
      </c>
      <c r="S1003" t="s">
        <v>8006</v>
      </c>
      <c r="T1003" t="s">
        <v>14004</v>
      </c>
      <c r="U1003" t="s">
        <v>14004</v>
      </c>
      <c r="V1003" t="s">
        <v>14004</v>
      </c>
      <c r="W1003" t="s">
        <v>14991</v>
      </c>
      <c r="X1003">
        <v>1</v>
      </c>
      <c r="Y1003" t="s">
        <v>21925</v>
      </c>
      <c r="Z1003" t="s">
        <v>28713</v>
      </c>
      <c r="AA1003">
        <v>0.52099381794671362</v>
      </c>
      <c r="AB1003" t="str">
        <f>HYPERLINK("Melting_Curves/meltCurve_H3BM67_NOL3.pdf", "Melting_Curves/meltCurve_H3BM67_NOL3.pdf")</f>
        <v>Melting_Curves/meltCurve_H3BM67_NOL3.pdf</v>
      </c>
    </row>
    <row r="1004" spans="1:28" x14ac:dyDescent="0.25">
      <c r="A1004" t="s">
        <v>1008</v>
      </c>
      <c r="B1004">
        <v>0.99999676499088797</v>
      </c>
      <c r="C1004">
        <v>1.14288914802847</v>
      </c>
      <c r="D1004">
        <v>1.28471185473007</v>
      </c>
      <c r="E1004">
        <v>1.27559561766311</v>
      </c>
      <c r="F1004">
        <v>1.13093417224293</v>
      </c>
      <c r="G1004">
        <v>1.1446840842541699</v>
      </c>
      <c r="H1004">
        <v>0.97465811135462699</v>
      </c>
      <c r="I1004">
        <v>0.57206094861069701</v>
      </c>
      <c r="J1004">
        <v>0.28605393880961399</v>
      </c>
      <c r="K1004">
        <v>0.27514320325592401</v>
      </c>
      <c r="L1004">
        <v>4659.5128346984402</v>
      </c>
      <c r="M1004">
        <v>73.1620620155674</v>
      </c>
      <c r="N1004">
        <v>64.377192677794696</v>
      </c>
      <c r="O1004">
        <v>63.6400217529945</v>
      </c>
      <c r="P1004">
        <v>-0.20933068415072401</v>
      </c>
      <c r="Q1004">
        <v>0.27165493687326903</v>
      </c>
      <c r="R1004">
        <v>0.84044219026375699</v>
      </c>
      <c r="S1004" t="s">
        <v>8007</v>
      </c>
      <c r="T1004" t="s">
        <v>14004</v>
      </c>
      <c r="U1004" t="s">
        <v>14004</v>
      </c>
      <c r="V1004" t="s">
        <v>14004</v>
      </c>
      <c r="W1004" t="s">
        <v>14992</v>
      </c>
      <c r="X1004">
        <v>1</v>
      </c>
      <c r="Y1004" t="s">
        <v>21926</v>
      </c>
      <c r="Z1004" t="s">
        <v>28714</v>
      </c>
      <c r="AA1004">
        <v>0.84766230611299553</v>
      </c>
      <c r="AB1004" t="str">
        <f>HYPERLINK("Melting_Curves/meltCurve_H3BM84_TM6SF1.pdf", "Melting_Curves/meltCurve_H3BM84_TM6SF1.pdf")</f>
        <v>Melting_Curves/meltCurve_H3BM84_TM6SF1.pdf</v>
      </c>
    </row>
    <row r="1005" spans="1:28" x14ac:dyDescent="0.25">
      <c r="A1005" t="s">
        <v>1009</v>
      </c>
      <c r="B1005">
        <v>0.99999676499088797</v>
      </c>
      <c r="C1005">
        <v>1.0134217897768001</v>
      </c>
      <c r="D1005">
        <v>0.97583824303956601</v>
      </c>
      <c r="E1005">
        <v>0.593009319159714</v>
      </c>
      <c r="F1005">
        <v>0.33643155198430302</v>
      </c>
      <c r="G1005">
        <v>0.22585734877715399</v>
      </c>
      <c r="H1005">
        <v>0.129557476205718</v>
      </c>
      <c r="I1005">
        <v>8.4073218722876195E-2</v>
      </c>
      <c r="J1005">
        <v>0</v>
      </c>
      <c r="K1005">
        <v>6.5566451851940197E-2</v>
      </c>
      <c r="L1005">
        <v>1005.77751983573</v>
      </c>
      <c r="M1005">
        <v>19.7559682366917</v>
      </c>
      <c r="N1005">
        <v>51.252892383130401</v>
      </c>
      <c r="O1005">
        <v>50.397046867864802</v>
      </c>
      <c r="P1005">
        <v>-9.1938993749899695E-2</v>
      </c>
      <c r="Q1005">
        <v>6.1894575695619097E-2</v>
      </c>
      <c r="R1005">
        <v>0.98735306992294003</v>
      </c>
      <c r="S1005" t="s">
        <v>8008</v>
      </c>
      <c r="T1005" t="s">
        <v>14004</v>
      </c>
      <c r="U1005" t="s">
        <v>14004</v>
      </c>
      <c r="V1005" t="s">
        <v>14004</v>
      </c>
      <c r="W1005" t="s">
        <v>14993</v>
      </c>
      <c r="X1005">
        <v>1</v>
      </c>
      <c r="Y1005" t="s">
        <v>21927</v>
      </c>
      <c r="Z1005" t="s">
        <v>28715</v>
      </c>
      <c r="AA1005">
        <v>0.41638271093357632</v>
      </c>
      <c r="AB1005" t="str">
        <f>HYPERLINK("Melting_Curves/meltCurve_H3BMM3_GANC.pdf", "Melting_Curves/meltCurve_H3BMM3_GANC.pdf")</f>
        <v>Melting_Curves/meltCurve_H3BMM3_GANC.pdf</v>
      </c>
    </row>
    <row r="1006" spans="1:28" x14ac:dyDescent="0.25">
      <c r="A1006" t="s">
        <v>1010</v>
      </c>
      <c r="B1006">
        <v>0.99999676499088797</v>
      </c>
      <c r="C1006">
        <v>0.91091982678925298</v>
      </c>
      <c r="D1006">
        <v>0.85733050764321395</v>
      </c>
      <c r="E1006">
        <v>0.593598788573103</v>
      </c>
      <c r="F1006">
        <v>0.31282375710563398</v>
      </c>
      <c r="G1006">
        <v>0.242342703222239</v>
      </c>
      <c r="H1006">
        <v>0.11195196701202501</v>
      </c>
      <c r="I1006">
        <v>0.11425822659858</v>
      </c>
      <c r="J1006">
        <v>9.7565411076197303E-2</v>
      </c>
      <c r="K1006">
        <v>7.4141335179169293E-2</v>
      </c>
      <c r="L1006">
        <v>818.90445130716796</v>
      </c>
      <c r="M1006">
        <v>16.288501129067001</v>
      </c>
      <c r="N1006">
        <v>50.803824888035003</v>
      </c>
      <c r="O1006">
        <v>49.535548428770397</v>
      </c>
      <c r="P1006">
        <v>-7.5801476580191804E-2</v>
      </c>
      <c r="Q1006">
        <v>7.7976997945784596E-2</v>
      </c>
      <c r="R1006">
        <v>0.99565804083563703</v>
      </c>
      <c r="S1006" t="s">
        <v>8009</v>
      </c>
      <c r="T1006" t="s">
        <v>14004</v>
      </c>
      <c r="U1006" t="s">
        <v>14004</v>
      </c>
      <c r="V1006" t="s">
        <v>14004</v>
      </c>
      <c r="W1006" t="s">
        <v>14292</v>
      </c>
      <c r="X1006">
        <v>8</v>
      </c>
      <c r="Z1006" t="s">
        <v>28716</v>
      </c>
      <c r="AA1006">
        <v>0.4126016563720406</v>
      </c>
      <c r="AB1006" t="str">
        <f>HYPERLINK("Melting_Curves/meltCurve_H3BMM5_.pdf", "Melting_Curves/meltCurve_H3BMM5_.pdf")</f>
        <v>Melting_Curves/meltCurve_H3BMM5_.pdf</v>
      </c>
    </row>
    <row r="1007" spans="1:28" x14ac:dyDescent="0.25">
      <c r="A1007" t="s">
        <v>1011</v>
      </c>
      <c r="B1007">
        <v>0.99999676499088797</v>
      </c>
      <c r="C1007">
        <v>0.88069348899822397</v>
      </c>
      <c r="D1007">
        <v>0.73060350417189701</v>
      </c>
      <c r="E1007">
        <v>0.370719579040513</v>
      </c>
      <c r="F1007">
        <v>0.25447887918982998</v>
      </c>
      <c r="G1007">
        <v>0.148269107373178</v>
      </c>
      <c r="H1007">
        <v>8.0534815276418495E-2</v>
      </c>
      <c r="I1007">
        <v>7.4767461346747596E-2</v>
      </c>
      <c r="J1007">
        <v>5.5123047950781399E-2</v>
      </c>
      <c r="K1007">
        <v>5.59918177026257E-2</v>
      </c>
      <c r="L1007">
        <v>807.49917780748797</v>
      </c>
      <c r="M1007">
        <v>16.767202664242301</v>
      </c>
      <c r="N1007">
        <v>48.526152788605202</v>
      </c>
      <c r="O1007">
        <v>47.490053932767204</v>
      </c>
      <c r="P1007">
        <v>-8.3020341164317002E-2</v>
      </c>
      <c r="Q1007">
        <v>5.9501182739329E-2</v>
      </c>
      <c r="R1007">
        <v>0.99523218744461395</v>
      </c>
      <c r="S1007" t="s">
        <v>8010</v>
      </c>
      <c r="T1007" t="s">
        <v>14004</v>
      </c>
      <c r="U1007" t="s">
        <v>14004</v>
      </c>
      <c r="V1007" t="s">
        <v>14004</v>
      </c>
      <c r="W1007" t="s">
        <v>14994</v>
      </c>
      <c r="X1007">
        <v>6</v>
      </c>
      <c r="Y1007" t="s">
        <v>21928</v>
      </c>
      <c r="Z1007" t="s">
        <v>28717</v>
      </c>
      <c r="AA1007">
        <v>0.33451877229008609</v>
      </c>
      <c r="AB1007" t="str">
        <f>HYPERLINK("Melting_Curves/meltCurve_H3BMQ0_TSC2.pdf", "Melting_Curves/meltCurve_H3BMQ0_TSC2.pdf")</f>
        <v>Melting_Curves/meltCurve_H3BMQ0_TSC2.pdf</v>
      </c>
    </row>
    <row r="1008" spans="1:28" x14ac:dyDescent="0.25">
      <c r="A1008" t="s">
        <v>1012</v>
      </c>
      <c r="B1008">
        <v>0.99999676499088797</v>
      </c>
      <c r="C1008">
        <v>0.98642228910136498</v>
      </c>
      <c r="D1008">
        <v>1.0266226230925899</v>
      </c>
      <c r="E1008">
        <v>0.94871054891960305</v>
      </c>
      <c r="F1008">
        <v>0.78826650459084902</v>
      </c>
      <c r="G1008">
        <v>0.56944544405562703</v>
      </c>
      <c r="H1008">
        <v>0.22282139092980399</v>
      </c>
      <c r="I1008">
        <v>0.23327078334405901</v>
      </c>
      <c r="J1008">
        <v>0.18515547395362</v>
      </c>
      <c r="K1008">
        <v>0.18651326989948899</v>
      </c>
      <c r="L1008">
        <v>1297.24478917943</v>
      </c>
      <c r="M1008">
        <v>23.129174946726</v>
      </c>
      <c r="N1008">
        <v>57.084164512112402</v>
      </c>
      <c r="O1008">
        <v>55.672724521525701</v>
      </c>
      <c r="P1008">
        <v>-8.6602770598119994E-2</v>
      </c>
      <c r="Q1008">
        <v>0.16619180203297099</v>
      </c>
      <c r="R1008">
        <v>0.99311054583513703</v>
      </c>
      <c r="S1008" t="s">
        <v>8011</v>
      </c>
      <c r="T1008" t="s">
        <v>14004</v>
      </c>
      <c r="U1008" t="s">
        <v>14004</v>
      </c>
      <c r="V1008" t="s">
        <v>14004</v>
      </c>
      <c r="W1008" t="s">
        <v>14938</v>
      </c>
      <c r="X1008">
        <v>8</v>
      </c>
      <c r="Z1008" t="s">
        <v>28718</v>
      </c>
      <c r="AA1008">
        <v>0.62196846908090175</v>
      </c>
      <c r="AB1008" t="str">
        <f>HYPERLINK("Melting_Curves/meltCurve_H3BN98_.pdf", "Melting_Curves/meltCurve_H3BN98_.pdf")</f>
        <v>Melting_Curves/meltCurve_H3BN98_.pdf</v>
      </c>
    </row>
    <row r="1009" spans="1:28" x14ac:dyDescent="0.25">
      <c r="A1009" t="s">
        <v>1013</v>
      </c>
      <c r="B1009">
        <v>0.99999676499088797</v>
      </c>
      <c r="C1009">
        <v>0.91251003310817702</v>
      </c>
      <c r="D1009">
        <v>0.85413268312663504</v>
      </c>
      <c r="E1009">
        <v>0.70166741007354805</v>
      </c>
      <c r="F1009">
        <v>0.35662689548300203</v>
      </c>
      <c r="G1009">
        <v>0.31983798804831598</v>
      </c>
      <c r="H1009">
        <v>0.13356093103025199</v>
      </c>
      <c r="I1009">
        <v>6.0016567876325803E-2</v>
      </c>
      <c r="J1009">
        <v>5.1139364354386298E-2</v>
      </c>
      <c r="K1009">
        <v>6.4261472809436102E-2</v>
      </c>
      <c r="L1009">
        <v>694.41863989597198</v>
      </c>
      <c r="M1009">
        <v>13.3620615137188</v>
      </c>
      <c r="N1009">
        <v>52.082592887056798</v>
      </c>
      <c r="O1009">
        <v>50.846819882481697</v>
      </c>
      <c r="P1009">
        <v>-6.4767883679123103E-2</v>
      </c>
      <c r="Q1009">
        <v>1.4308316605644701E-2</v>
      </c>
      <c r="R1009">
        <v>0.98914972685552405</v>
      </c>
      <c r="S1009" t="s">
        <v>8012</v>
      </c>
      <c r="T1009" t="s">
        <v>14004</v>
      </c>
      <c r="U1009" t="s">
        <v>14004</v>
      </c>
      <c r="V1009" t="s">
        <v>14004</v>
      </c>
      <c r="W1009" t="s">
        <v>14995</v>
      </c>
      <c r="X1009">
        <v>1</v>
      </c>
      <c r="Y1009" t="s">
        <v>21929</v>
      </c>
      <c r="Z1009" t="s">
        <v>28719</v>
      </c>
      <c r="AA1009">
        <v>0.43372910364877421</v>
      </c>
      <c r="AB1009" t="str">
        <f>HYPERLINK("Melting_Curves/meltCurve_H3BNE3_BLOC1S6.pdf", "Melting_Curves/meltCurve_H3BNE3_BLOC1S6.pdf")</f>
        <v>Melting_Curves/meltCurve_H3BNE3_BLOC1S6.pdf</v>
      </c>
    </row>
    <row r="1010" spans="1:28" x14ac:dyDescent="0.25">
      <c r="A1010" t="s">
        <v>1014</v>
      </c>
      <c r="B1010">
        <v>0.99999676499088797</v>
      </c>
      <c r="C1010">
        <v>1.5318383263581301</v>
      </c>
      <c r="D1010">
        <v>1.11799943148151</v>
      </c>
      <c r="E1010">
        <v>0.43313326633634402</v>
      </c>
      <c r="F1010">
        <v>0.27725852277902402</v>
      </c>
      <c r="G1010">
        <v>0.14888671562999201</v>
      </c>
      <c r="H1010">
        <v>0</v>
      </c>
      <c r="I1010">
        <v>0.168335937383749</v>
      </c>
      <c r="J1010">
        <v>6.3857928794490898E-2</v>
      </c>
      <c r="K1010">
        <v>0</v>
      </c>
      <c r="L1010">
        <v>4310.7952996367003</v>
      </c>
      <c r="M1010">
        <v>87.460532747230403</v>
      </c>
      <c r="N1010">
        <v>49.427794421910498</v>
      </c>
      <c r="O1010">
        <v>49.262710755519301</v>
      </c>
      <c r="P1010">
        <v>-0.39535730414471998</v>
      </c>
      <c r="Q1010">
        <v>0.109249819174338</v>
      </c>
      <c r="R1010">
        <v>0.86656816767592404</v>
      </c>
      <c r="S1010" t="s">
        <v>8013</v>
      </c>
      <c r="T1010" t="s">
        <v>14004</v>
      </c>
      <c r="U1010" t="s">
        <v>14004</v>
      </c>
      <c r="V1010" t="s">
        <v>14004</v>
      </c>
      <c r="W1010" t="s">
        <v>14996</v>
      </c>
      <c r="X1010">
        <v>1</v>
      </c>
      <c r="Y1010" t="s">
        <v>21930</v>
      </c>
      <c r="Z1010" t="s">
        <v>28720</v>
      </c>
      <c r="AA1010">
        <v>0.38567039771779499</v>
      </c>
      <c r="AB1010" t="str">
        <f>HYPERLINK("Melting_Curves/meltCurve_H3BNF1_CLN6.pdf", "Melting_Curves/meltCurve_H3BNF1_CLN6.pdf")</f>
        <v>Melting_Curves/meltCurve_H3BNF1_CLN6.pdf</v>
      </c>
    </row>
    <row r="1011" spans="1:28" x14ac:dyDescent="0.25">
      <c r="A1011" t="s">
        <v>1015</v>
      </c>
      <c r="B1011">
        <v>0.99999676499088797</v>
      </c>
      <c r="C1011">
        <v>1.0496333631642401</v>
      </c>
      <c r="D1011">
        <v>0.91856564616101399</v>
      </c>
      <c r="E1011">
        <v>0.49663875287643899</v>
      </c>
      <c r="F1011">
        <v>0.355461862241297</v>
      </c>
      <c r="G1011">
        <v>0.235845545429578</v>
      </c>
      <c r="H1011">
        <v>0.130213939411328</v>
      </c>
      <c r="I1011">
        <v>0.17301317425485299</v>
      </c>
      <c r="J1011">
        <v>0.17557282550504799</v>
      </c>
      <c r="K1011">
        <v>0.14862695726905101</v>
      </c>
      <c r="L1011">
        <v>1213.4543078131801</v>
      </c>
      <c r="M1011">
        <v>24.594642837744299</v>
      </c>
      <c r="N1011">
        <v>50.1852585580435</v>
      </c>
      <c r="O1011">
        <v>49.015427644103397</v>
      </c>
      <c r="P1011">
        <v>-0.104134369638018</v>
      </c>
      <c r="Q1011">
        <v>0.16988109540919299</v>
      </c>
      <c r="R1011">
        <v>0.98559911501594499</v>
      </c>
      <c r="S1011" t="s">
        <v>8014</v>
      </c>
      <c r="T1011" t="s">
        <v>14004</v>
      </c>
      <c r="U1011" t="s">
        <v>14004</v>
      </c>
      <c r="V1011" t="s">
        <v>14004</v>
      </c>
      <c r="W1011" t="s">
        <v>14997</v>
      </c>
      <c r="X1011">
        <v>8</v>
      </c>
      <c r="Y1011" t="s">
        <v>21931</v>
      </c>
      <c r="Z1011" t="s">
        <v>28721</v>
      </c>
      <c r="AA1011">
        <v>0.43589826140543692</v>
      </c>
      <c r="AB1011" t="str">
        <f>HYPERLINK("Melting_Curves/meltCurve_H3BNT4_MPHOSPH6.pdf", "Melting_Curves/meltCurve_H3BNT4_MPHOSPH6.pdf")</f>
        <v>Melting_Curves/meltCurve_H3BNT4_MPHOSPH6.pdf</v>
      </c>
    </row>
    <row r="1012" spans="1:28" x14ac:dyDescent="0.25">
      <c r="A1012" t="s">
        <v>1016</v>
      </c>
      <c r="B1012">
        <v>0.99999676499088797</v>
      </c>
      <c r="C1012">
        <v>0.83999783303975495</v>
      </c>
      <c r="D1012">
        <v>1.03665272174183</v>
      </c>
      <c r="E1012">
        <v>1.20530499748207</v>
      </c>
      <c r="F1012">
        <v>1.30088673099098</v>
      </c>
      <c r="G1012">
        <v>0.59181258156682204</v>
      </c>
      <c r="H1012">
        <v>0.82370466771748396</v>
      </c>
      <c r="I1012">
        <v>0.55439256361898104</v>
      </c>
      <c r="J1012">
        <v>0.70855721020670903</v>
      </c>
      <c r="K1012">
        <v>0.68480464229353799</v>
      </c>
      <c r="L1012">
        <v>13772.8633733604</v>
      </c>
      <c r="M1012">
        <v>250</v>
      </c>
      <c r="O1012">
        <v>55.087941950228497</v>
      </c>
      <c r="P1012">
        <v>-0.37141091265806297</v>
      </c>
      <c r="Q1012">
        <v>0.67263587818302695</v>
      </c>
      <c r="R1012">
        <v>0.64927367860366902</v>
      </c>
      <c r="S1012" t="s">
        <v>8015</v>
      </c>
      <c r="T1012" t="s">
        <v>14004</v>
      </c>
      <c r="U1012" t="s">
        <v>14004</v>
      </c>
      <c r="V1012" t="s">
        <v>14004</v>
      </c>
      <c r="W1012" t="s">
        <v>14998</v>
      </c>
      <c r="X1012">
        <v>7</v>
      </c>
      <c r="Y1012" t="s">
        <v>21932</v>
      </c>
      <c r="Z1012" t="s">
        <v>28722</v>
      </c>
      <c r="AA1012">
        <v>0.83734754326050265</v>
      </c>
      <c r="AB1012" t="str">
        <f>HYPERLINK("Melting_Curves/meltCurve_H3BNU9_CARHSP1.pdf", "Melting_Curves/meltCurve_H3BNU9_CARHSP1.pdf")</f>
        <v>Melting_Curves/meltCurve_H3BNU9_CARHSP1.pdf</v>
      </c>
    </row>
    <row r="1013" spans="1:28" x14ac:dyDescent="0.25">
      <c r="A1013" t="s">
        <v>1017</v>
      </c>
      <c r="B1013">
        <v>0.99999676499088797</v>
      </c>
      <c r="C1013">
        <v>0.90888521615732598</v>
      </c>
      <c r="D1013">
        <v>0.91586816234254198</v>
      </c>
      <c r="E1013">
        <v>0.74679969893883902</v>
      </c>
      <c r="F1013">
        <v>0.52026589669640699</v>
      </c>
      <c r="G1013">
        <v>0.39896949147725203</v>
      </c>
      <c r="H1013">
        <v>0.259764586569393</v>
      </c>
      <c r="I1013">
        <v>0.183197816645602</v>
      </c>
      <c r="J1013">
        <v>0.15881524711974199</v>
      </c>
      <c r="K1013">
        <v>0.18145309894747799</v>
      </c>
      <c r="L1013">
        <v>689.13821848990096</v>
      </c>
      <c r="M1013">
        <v>13.033972053455701</v>
      </c>
      <c r="N1013">
        <v>54.031559730598701</v>
      </c>
      <c r="O1013">
        <v>51.6743058640604</v>
      </c>
      <c r="P1013">
        <v>-5.5377401581158003E-2</v>
      </c>
      <c r="Q1013">
        <v>0.12195962257597701</v>
      </c>
      <c r="R1013">
        <v>0.99433964726891</v>
      </c>
      <c r="S1013" t="s">
        <v>8016</v>
      </c>
      <c r="T1013" t="s">
        <v>14004</v>
      </c>
      <c r="U1013" t="s">
        <v>14004</v>
      </c>
      <c r="V1013" t="s">
        <v>14004</v>
      </c>
      <c r="W1013" t="s">
        <v>14999</v>
      </c>
      <c r="X1013">
        <v>3</v>
      </c>
      <c r="Y1013" t="s">
        <v>21933</v>
      </c>
      <c r="Z1013" t="s">
        <v>28723</v>
      </c>
      <c r="AA1013">
        <v>0.52159342332084013</v>
      </c>
      <c r="AB1013" t="str">
        <f>HYPERLINK("Melting_Curves/meltCurve_H3BP13_TRAPPC2L.pdf", "Melting_Curves/meltCurve_H3BP13_TRAPPC2L.pdf")</f>
        <v>Melting_Curves/meltCurve_H3BP13_TRAPPC2L.pdf</v>
      </c>
    </row>
    <row r="1014" spans="1:28" x14ac:dyDescent="0.25">
      <c r="A1014" t="s">
        <v>1018</v>
      </c>
      <c r="B1014">
        <v>0.99999676499088797</v>
      </c>
      <c r="C1014">
        <v>0.99765999486068901</v>
      </c>
      <c r="D1014">
        <v>1.0057408313923899</v>
      </c>
      <c r="E1014">
        <v>1.21988221748991</v>
      </c>
      <c r="F1014">
        <v>1.08233063538278</v>
      </c>
      <c r="G1014">
        <v>0.82249150471403898</v>
      </c>
      <c r="H1014">
        <v>0.21603886518159099</v>
      </c>
      <c r="I1014">
        <v>0.17131245749127799</v>
      </c>
      <c r="J1014">
        <v>0.16833492017809101</v>
      </c>
      <c r="K1014">
        <v>0.12770025410159599</v>
      </c>
      <c r="L1014">
        <v>3462.1561715841299</v>
      </c>
      <c r="M1014">
        <v>59.598904567390797</v>
      </c>
      <c r="N1014">
        <v>58.457267376745598</v>
      </c>
      <c r="O1014">
        <v>58.025646636315997</v>
      </c>
      <c r="P1014">
        <v>-0.21676378869674801</v>
      </c>
      <c r="Q1014">
        <v>0.15583330120168901</v>
      </c>
      <c r="R1014">
        <v>0.96880411602712502</v>
      </c>
      <c r="S1014" t="s">
        <v>8017</v>
      </c>
      <c r="T1014" t="s">
        <v>14004</v>
      </c>
      <c r="U1014" t="s">
        <v>14004</v>
      </c>
      <c r="V1014" t="s">
        <v>14004</v>
      </c>
      <c r="W1014" t="s">
        <v>15000</v>
      </c>
      <c r="X1014">
        <v>16</v>
      </c>
      <c r="Y1014" t="s">
        <v>21934</v>
      </c>
      <c r="Z1014" t="s">
        <v>28724</v>
      </c>
      <c r="AA1014">
        <v>0.6664104399875328</v>
      </c>
      <c r="AB1014" t="str">
        <f>HYPERLINK("Melting_Curves/meltCurve_H3BP20_HEXA.pdf", "Melting_Curves/meltCurve_H3BP20_HEXA.pdf")</f>
        <v>Melting_Curves/meltCurve_H3BP20_HEXA.pdf</v>
      </c>
    </row>
    <row r="1015" spans="1:28" x14ac:dyDescent="0.25">
      <c r="A1015" t="s">
        <v>1019</v>
      </c>
      <c r="B1015">
        <v>0.99999676499088797</v>
      </c>
      <c r="C1015">
        <v>0.93688441465376304</v>
      </c>
      <c r="D1015">
        <v>0.98748812035015898</v>
      </c>
      <c r="E1015">
        <v>0.97511804003833602</v>
      </c>
      <c r="F1015">
        <v>0.77063444211557997</v>
      </c>
      <c r="G1015">
        <v>0.47627416793177801</v>
      </c>
      <c r="H1015">
        <v>0.15096999739335301</v>
      </c>
      <c r="I1015">
        <v>0.111810501597513</v>
      </c>
      <c r="J1015">
        <v>8.1227098195942093E-2</v>
      </c>
      <c r="K1015">
        <v>9.0824428906012902E-2</v>
      </c>
      <c r="L1015">
        <v>1366.7404849295201</v>
      </c>
      <c r="M1015">
        <v>24.434130374799199</v>
      </c>
      <c r="N1015">
        <v>56.271762763441103</v>
      </c>
      <c r="O1015">
        <v>55.565082736910597</v>
      </c>
      <c r="P1015">
        <v>-0.10247322439647499</v>
      </c>
      <c r="Q1015">
        <v>6.7885914665415298E-2</v>
      </c>
      <c r="R1015">
        <v>0.99562692458167101</v>
      </c>
      <c r="S1015" t="s">
        <v>8018</v>
      </c>
      <c r="T1015" t="s">
        <v>14004</v>
      </c>
      <c r="U1015" t="s">
        <v>14004</v>
      </c>
      <c r="V1015" t="s">
        <v>14004</v>
      </c>
      <c r="W1015" t="s">
        <v>15001</v>
      </c>
      <c r="X1015">
        <v>6</v>
      </c>
      <c r="Y1015" t="s">
        <v>21935</v>
      </c>
      <c r="Z1015" t="s">
        <v>28725</v>
      </c>
      <c r="AA1015">
        <v>0.57190994106661031</v>
      </c>
      <c r="AB1015" t="str">
        <f>HYPERLINK("Melting_Curves/meltCurve_H3BP28_COQ7.pdf", "Melting_Curves/meltCurve_H3BP28_COQ7.pdf")</f>
        <v>Melting_Curves/meltCurve_H3BP28_COQ7.pdf</v>
      </c>
    </row>
    <row r="1016" spans="1:28" x14ac:dyDescent="0.25">
      <c r="A1016" t="s">
        <v>1020</v>
      </c>
      <c r="B1016">
        <v>0.99999676499088797</v>
      </c>
      <c r="C1016">
        <v>0.83389110816670498</v>
      </c>
      <c r="D1016">
        <v>0.90249217759699996</v>
      </c>
      <c r="E1016">
        <v>1.1028228227478301</v>
      </c>
      <c r="F1016">
        <v>0.76781032743556099</v>
      </c>
      <c r="G1016">
        <v>0.68384154647651496</v>
      </c>
      <c r="H1016">
        <v>0.195182208364542</v>
      </c>
      <c r="I1016">
        <v>0.207492805957495</v>
      </c>
      <c r="J1016">
        <v>0.23710728366530101</v>
      </c>
      <c r="K1016">
        <v>7.2725011971917206E-2</v>
      </c>
      <c r="L1016">
        <v>1395.31354679577</v>
      </c>
      <c r="M1016">
        <v>24.4118255873165</v>
      </c>
      <c r="N1016">
        <v>57.834874165859702</v>
      </c>
      <c r="O1016">
        <v>56.777870821632497</v>
      </c>
      <c r="P1016">
        <v>-9.4121126560535895E-2</v>
      </c>
      <c r="Q1016">
        <v>0.124372216472408</v>
      </c>
      <c r="R1016">
        <v>0.92978768607158502</v>
      </c>
      <c r="S1016" t="s">
        <v>8019</v>
      </c>
      <c r="T1016" t="s">
        <v>14004</v>
      </c>
      <c r="U1016" t="s">
        <v>14004</v>
      </c>
      <c r="V1016" t="s">
        <v>14004</v>
      </c>
      <c r="W1016" t="s">
        <v>15002</v>
      </c>
      <c r="X1016">
        <v>2</v>
      </c>
      <c r="Y1016" t="s">
        <v>21936</v>
      </c>
      <c r="Z1016" t="s">
        <v>28726</v>
      </c>
      <c r="AA1016">
        <v>0.63329326836101629</v>
      </c>
      <c r="AB1016" t="str">
        <f>HYPERLINK("Melting_Curves/meltCurve_H3BP77_TK2.pdf", "Melting_Curves/meltCurve_H3BP77_TK2.pdf")</f>
        <v>Melting_Curves/meltCurve_H3BP77_TK2.pdf</v>
      </c>
    </row>
    <row r="1017" spans="1:28" x14ac:dyDescent="0.25">
      <c r="A1017" t="s">
        <v>1021</v>
      </c>
      <c r="B1017">
        <v>0.99999676499088797</v>
      </c>
      <c r="C1017">
        <v>0.93753946911507702</v>
      </c>
      <c r="D1017">
        <v>0.85269063632879005</v>
      </c>
      <c r="E1017">
        <v>0.68969964500437997</v>
      </c>
      <c r="F1017">
        <v>0.24543104603009799</v>
      </c>
      <c r="G1017">
        <v>0.15170321705400999</v>
      </c>
      <c r="H1017">
        <v>7.5112779696111395E-2</v>
      </c>
      <c r="I1017">
        <v>7.3616202369877301E-2</v>
      </c>
      <c r="J1017">
        <v>6.6212453214417696E-2</v>
      </c>
      <c r="K1017">
        <v>6.8254455095571195E-2</v>
      </c>
      <c r="L1017">
        <v>1122.0395880869501</v>
      </c>
      <c r="M1017">
        <v>22.185588051807802</v>
      </c>
      <c r="N1017">
        <v>50.868407313354801</v>
      </c>
      <c r="O1017">
        <v>50.169625564962999</v>
      </c>
      <c r="P1017">
        <v>-0.103918841068164</v>
      </c>
      <c r="Q1017">
        <v>6.0028207446266302E-2</v>
      </c>
      <c r="R1017">
        <v>0.99222472735507605</v>
      </c>
      <c r="S1017" t="s">
        <v>8020</v>
      </c>
      <c r="T1017" t="s">
        <v>14004</v>
      </c>
      <c r="U1017" t="s">
        <v>14004</v>
      </c>
      <c r="V1017" t="s">
        <v>14004</v>
      </c>
      <c r="W1017" t="s">
        <v>15003</v>
      </c>
      <c r="X1017">
        <v>8</v>
      </c>
      <c r="Y1017" t="s">
        <v>21937</v>
      </c>
      <c r="Z1017" t="s">
        <v>28727</v>
      </c>
      <c r="AA1017">
        <v>0.40206691330007133</v>
      </c>
      <c r="AB1017" t="str">
        <f>HYPERLINK("Melting_Curves/meltCurve_H3BPB8_MPI.pdf", "Melting_Curves/meltCurve_H3BPB8_MPI.pdf")</f>
        <v>Melting_Curves/meltCurve_H3BPB8_MPI.pdf</v>
      </c>
    </row>
    <row r="1018" spans="1:28" x14ac:dyDescent="0.25">
      <c r="A1018" t="s">
        <v>1022</v>
      </c>
      <c r="B1018">
        <v>0.99999676499088797</v>
      </c>
      <c r="C1018">
        <v>0.82500999530845998</v>
      </c>
      <c r="D1018">
        <v>0.69374321306345199</v>
      </c>
      <c r="E1018">
        <v>0.57658369914542995</v>
      </c>
      <c r="F1018">
        <v>0.32949791194344102</v>
      </c>
      <c r="G1018">
        <v>0.133258261125072</v>
      </c>
      <c r="H1018">
        <v>6.4774470529939898E-2</v>
      </c>
      <c r="I1018">
        <v>5.4267528455096102E-2</v>
      </c>
      <c r="J1018">
        <v>4.8141835026203499E-2</v>
      </c>
      <c r="K1018">
        <v>4.6499452119507498E-2</v>
      </c>
      <c r="L1018">
        <v>612.29901291924</v>
      </c>
      <c r="M1018">
        <v>12.302052898197299</v>
      </c>
      <c r="N1018">
        <v>49.7721004299204</v>
      </c>
      <c r="O1018">
        <v>48.511742623426997</v>
      </c>
      <c r="P1018">
        <v>-6.3411150712348305E-2</v>
      </c>
      <c r="Q1018">
        <v>0</v>
      </c>
      <c r="R1018">
        <v>0.98777202826447996</v>
      </c>
      <c r="S1018" t="s">
        <v>8021</v>
      </c>
      <c r="T1018" t="s">
        <v>14004</v>
      </c>
      <c r="U1018" t="s">
        <v>14004</v>
      </c>
      <c r="V1018" t="s">
        <v>14004</v>
      </c>
      <c r="W1018" t="s">
        <v>15004</v>
      </c>
      <c r="X1018">
        <v>11</v>
      </c>
      <c r="Y1018" t="s">
        <v>21938</v>
      </c>
      <c r="Z1018" t="s">
        <v>28728</v>
      </c>
      <c r="AA1018">
        <v>0.35945163886877401</v>
      </c>
      <c r="AB1018" t="str">
        <f>HYPERLINK("Melting_Curves/meltCurve_H3BPC4_UBE2I.pdf", "Melting_Curves/meltCurve_H3BPC4_UBE2I.pdf")</f>
        <v>Melting_Curves/meltCurve_H3BPC4_UBE2I.pdf</v>
      </c>
    </row>
    <row r="1019" spans="1:28" x14ac:dyDescent="0.25">
      <c r="A1019" t="s">
        <v>1023</v>
      </c>
      <c r="B1019">
        <v>0.99999676499088797</v>
      </c>
      <c r="C1019">
        <v>0.96880615131494097</v>
      </c>
      <c r="D1019">
        <v>0.90104173402435805</v>
      </c>
      <c r="E1019">
        <v>0.34684052022912498</v>
      </c>
      <c r="F1019">
        <v>0.23240853442093701</v>
      </c>
      <c r="G1019">
        <v>0.16488718974160699</v>
      </c>
      <c r="H1019">
        <v>9.0437946968975905E-2</v>
      </c>
      <c r="I1019">
        <v>9.1480487150363998E-2</v>
      </c>
      <c r="J1019">
        <v>8.9610959946414798E-2</v>
      </c>
      <c r="K1019">
        <v>8.4752693204645999E-2</v>
      </c>
      <c r="L1019">
        <v>1660.6077156111101</v>
      </c>
      <c r="M1019">
        <v>34.328025265395098</v>
      </c>
      <c r="N1019">
        <v>48.743736828494903</v>
      </c>
      <c r="O1019">
        <v>48.211419529427097</v>
      </c>
      <c r="P1019">
        <v>-0.15763791064864999</v>
      </c>
      <c r="Q1019">
        <v>0.114435791618533</v>
      </c>
      <c r="R1019">
        <v>0.99039529692913597</v>
      </c>
      <c r="S1019" t="s">
        <v>8022</v>
      </c>
      <c r="T1019" t="s">
        <v>14004</v>
      </c>
      <c r="U1019" t="s">
        <v>14004</v>
      </c>
      <c r="V1019" t="s">
        <v>14004</v>
      </c>
      <c r="W1019" t="s">
        <v>15005</v>
      </c>
      <c r="X1019">
        <v>88</v>
      </c>
      <c r="Y1019" t="s">
        <v>21939</v>
      </c>
      <c r="Z1019" t="s">
        <v>28729</v>
      </c>
      <c r="AA1019">
        <v>0.36569953174006392</v>
      </c>
      <c r="AB1019" t="str">
        <f>HYPERLINK("Melting_Curves/meltCurve_H3BPE1_MACF1.pdf", "Melting_Curves/meltCurve_H3BPE1_MACF1.pdf")</f>
        <v>Melting_Curves/meltCurve_H3BPE1_MACF1.pdf</v>
      </c>
    </row>
    <row r="1020" spans="1:28" x14ac:dyDescent="0.25">
      <c r="A1020" t="s">
        <v>1024</v>
      </c>
      <c r="B1020">
        <v>0.99999676499088797</v>
      </c>
      <c r="C1020">
        <v>0.98506375695419701</v>
      </c>
      <c r="D1020">
        <v>0.857822417161069</v>
      </c>
      <c r="E1020">
        <v>0.63773962579348398</v>
      </c>
      <c r="F1020">
        <v>0.48798461322930098</v>
      </c>
      <c r="G1020">
        <v>0.331457881442766</v>
      </c>
      <c r="H1020">
        <v>0.108428916260308</v>
      </c>
      <c r="I1020">
        <v>0.12604831076403</v>
      </c>
      <c r="J1020">
        <v>0.115633199956684</v>
      </c>
      <c r="K1020">
        <v>7.1782085248845703E-2</v>
      </c>
      <c r="L1020">
        <v>681.69423693236104</v>
      </c>
      <c r="M1020">
        <v>13.049418833038199</v>
      </c>
      <c r="N1020">
        <v>52.586056034287502</v>
      </c>
      <c r="O1020">
        <v>51.058316398231597</v>
      </c>
      <c r="P1020">
        <v>-6.1272234093141698E-2</v>
      </c>
      <c r="Q1020">
        <v>4.1210138578841898E-2</v>
      </c>
      <c r="R1020">
        <v>0.99168635172869002</v>
      </c>
      <c r="S1020" t="s">
        <v>8023</v>
      </c>
      <c r="T1020" t="s">
        <v>14004</v>
      </c>
      <c r="U1020" t="s">
        <v>14004</v>
      </c>
      <c r="V1020" t="s">
        <v>14004</v>
      </c>
      <c r="W1020" t="s">
        <v>15006</v>
      </c>
      <c r="X1020">
        <v>4</v>
      </c>
      <c r="Y1020" t="s">
        <v>21940</v>
      </c>
      <c r="Z1020" t="s">
        <v>28730</v>
      </c>
      <c r="AA1020">
        <v>0.45827884297929761</v>
      </c>
      <c r="AB1020" t="str">
        <f>HYPERLINK("Melting_Curves/meltCurve_H3BPZ0_FBXL19.pdf", "Melting_Curves/meltCurve_H3BPZ0_FBXL19.pdf")</f>
        <v>Melting_Curves/meltCurve_H3BPZ0_FBXL19.pdf</v>
      </c>
    </row>
    <row r="1021" spans="1:28" x14ac:dyDescent="0.25">
      <c r="A1021" t="s">
        <v>1025</v>
      </c>
      <c r="B1021">
        <v>0.99999676499088797</v>
      </c>
      <c r="C1021">
        <v>1.1397488358144701</v>
      </c>
      <c r="D1021">
        <v>0.92131580515199296</v>
      </c>
      <c r="E1021">
        <v>0.61801157974488097</v>
      </c>
      <c r="F1021">
        <v>0.54323919669719301</v>
      </c>
      <c r="G1021">
        <v>0.44964510573850902</v>
      </c>
      <c r="H1021">
        <v>0.32355256030502699</v>
      </c>
      <c r="I1021">
        <v>0.38525642334349502</v>
      </c>
      <c r="J1021">
        <v>0.36564037513729403</v>
      </c>
      <c r="K1021">
        <v>0.31737753914063099</v>
      </c>
      <c r="L1021">
        <v>1090.24883569487</v>
      </c>
      <c r="M1021">
        <v>21.925294980115901</v>
      </c>
      <c r="N1021">
        <v>52.7936319304238</v>
      </c>
      <c r="O1021">
        <v>49.317504901962202</v>
      </c>
      <c r="P1021">
        <v>-7.1115058987690494E-2</v>
      </c>
      <c r="Q1021">
        <v>0.36016588738196298</v>
      </c>
      <c r="R1021">
        <v>0.95081232484278599</v>
      </c>
      <c r="S1021" t="s">
        <v>8024</v>
      </c>
      <c r="T1021" t="s">
        <v>14004</v>
      </c>
      <c r="U1021" t="s">
        <v>14004</v>
      </c>
      <c r="V1021" t="s">
        <v>14004</v>
      </c>
      <c r="W1021" t="s">
        <v>15007</v>
      </c>
      <c r="X1021">
        <v>3</v>
      </c>
      <c r="Y1021" t="s">
        <v>21941</v>
      </c>
      <c r="Z1021" t="s">
        <v>28731</v>
      </c>
      <c r="AA1021">
        <v>0.57502065134179969</v>
      </c>
      <c r="AB1021" t="str">
        <f>HYPERLINK("Melting_Curves/meltCurve_H3BQA0_SNAPC5.pdf", "Melting_Curves/meltCurve_H3BQA0_SNAPC5.pdf")</f>
        <v>Melting_Curves/meltCurve_H3BQA0_SNAPC5.pdf</v>
      </c>
    </row>
    <row r="1022" spans="1:28" x14ac:dyDescent="0.25">
      <c r="A1022" t="s">
        <v>1026</v>
      </c>
      <c r="B1022">
        <v>0.99999676499088797</v>
      </c>
      <c r="C1022">
        <v>0.86079720144309302</v>
      </c>
      <c r="D1022">
        <v>0.65465461656573898</v>
      </c>
      <c r="E1022">
        <v>0.43421176664370498</v>
      </c>
      <c r="F1022">
        <v>0.25038321293908</v>
      </c>
      <c r="G1022">
        <v>0.145487003375873</v>
      </c>
      <c r="H1022">
        <v>5.9563683113942001E-2</v>
      </c>
      <c r="I1022">
        <v>0.10038736433031401</v>
      </c>
      <c r="J1022">
        <v>4.8714793047106297E-2</v>
      </c>
      <c r="K1022">
        <v>9.6454247113497399E-2</v>
      </c>
      <c r="L1022">
        <v>718.46698099609</v>
      </c>
      <c r="M1022">
        <v>14.957706007385299</v>
      </c>
      <c r="N1022">
        <v>48.440900552506001</v>
      </c>
      <c r="O1022">
        <v>47.199214256638399</v>
      </c>
      <c r="P1022">
        <v>-7.4548452288512104E-2</v>
      </c>
      <c r="Q1022">
        <v>5.9142089600414199E-2</v>
      </c>
      <c r="R1022">
        <v>0.994513674797182</v>
      </c>
      <c r="S1022" t="s">
        <v>8025</v>
      </c>
      <c r="T1022" t="s">
        <v>14004</v>
      </c>
      <c r="U1022" t="s">
        <v>14004</v>
      </c>
      <c r="V1022" t="s">
        <v>14004</v>
      </c>
      <c r="W1022" t="s">
        <v>15008</v>
      </c>
      <c r="X1022">
        <v>2</v>
      </c>
      <c r="Y1022" t="s">
        <v>21942</v>
      </c>
      <c r="Z1022" t="s">
        <v>28732</v>
      </c>
      <c r="AA1022">
        <v>0.33538873058050472</v>
      </c>
      <c r="AB1022" t="str">
        <f>HYPERLINK("Melting_Curves/meltCurve_H3BQM0_PAPD5.pdf", "Melting_Curves/meltCurve_H3BQM0_PAPD5.pdf")</f>
        <v>Melting_Curves/meltCurve_H3BQM0_PAPD5.pdf</v>
      </c>
    </row>
    <row r="1023" spans="1:28" x14ac:dyDescent="0.25">
      <c r="A1023" t="s">
        <v>1027</v>
      </c>
      <c r="B1023">
        <v>0.99999676499088797</v>
      </c>
      <c r="C1023">
        <v>0.82370074859643805</v>
      </c>
      <c r="D1023">
        <v>0.56106917215369601</v>
      </c>
      <c r="E1023">
        <v>0.35465635904620701</v>
      </c>
      <c r="F1023">
        <v>0.25418720749630502</v>
      </c>
      <c r="G1023">
        <v>0.19439865637783499</v>
      </c>
      <c r="H1023">
        <v>8.9363406991227495E-2</v>
      </c>
      <c r="I1023">
        <v>0.13245376868327699</v>
      </c>
      <c r="J1023">
        <v>0.11440861429030499</v>
      </c>
      <c r="K1023">
        <v>9.5443257105048501E-2</v>
      </c>
      <c r="L1023">
        <v>742.67982036813203</v>
      </c>
      <c r="M1023">
        <v>15.948877650773801</v>
      </c>
      <c r="N1023">
        <v>47.310295808776303</v>
      </c>
      <c r="O1023">
        <v>45.852654898876303</v>
      </c>
      <c r="P1023">
        <v>-7.7318253606843496E-2</v>
      </c>
      <c r="Q1023">
        <v>0.110918217706414</v>
      </c>
      <c r="R1023">
        <v>0.98956352209035503</v>
      </c>
      <c r="S1023" t="s">
        <v>8026</v>
      </c>
      <c r="T1023" t="s">
        <v>14004</v>
      </c>
      <c r="U1023" t="s">
        <v>14004</v>
      </c>
      <c r="V1023" t="s">
        <v>14004</v>
      </c>
      <c r="W1023" t="s">
        <v>15009</v>
      </c>
      <c r="X1023">
        <v>3</v>
      </c>
      <c r="Y1023" t="s">
        <v>21943</v>
      </c>
      <c r="Z1023" t="s">
        <v>28733</v>
      </c>
      <c r="AA1023">
        <v>0.32736306417748012</v>
      </c>
      <c r="AB1023" t="str">
        <f>HYPERLINK("Melting_Curves/meltCurve_H3BQV3_COG8.pdf", "Melting_Curves/meltCurve_H3BQV3_COG8.pdf")</f>
        <v>Melting_Curves/meltCurve_H3BQV3_COG8.pdf</v>
      </c>
    </row>
    <row r="1024" spans="1:28" x14ac:dyDescent="0.25">
      <c r="A1024" t="s">
        <v>1028</v>
      </c>
      <c r="B1024">
        <v>0.99999676499088797</v>
      </c>
      <c r="C1024">
        <v>1.1167833789230901</v>
      </c>
      <c r="D1024">
        <v>1.1598357859588799</v>
      </c>
      <c r="E1024">
        <v>1.2953114208927601</v>
      </c>
      <c r="F1024">
        <v>1.5014725892863201</v>
      </c>
      <c r="G1024">
        <v>1.29255736770968</v>
      </c>
      <c r="H1024">
        <v>0.85826862372954404</v>
      </c>
      <c r="I1024">
        <v>0.45572468638445102</v>
      </c>
      <c r="J1024">
        <v>0.24807837113234399</v>
      </c>
      <c r="K1024">
        <v>0.22973457561167099</v>
      </c>
      <c r="L1024">
        <v>3239.63407049227</v>
      </c>
      <c r="M1024">
        <v>51.547706153431299</v>
      </c>
      <c r="N1024">
        <v>63.586653411910397</v>
      </c>
      <c r="O1024">
        <v>62.752927222804601</v>
      </c>
      <c r="P1024">
        <v>-0.15906747080418099</v>
      </c>
      <c r="Q1024">
        <v>0.22542106125904501</v>
      </c>
      <c r="R1024">
        <v>0.750358859873416</v>
      </c>
      <c r="S1024" t="s">
        <v>8027</v>
      </c>
      <c r="T1024" t="s">
        <v>14004</v>
      </c>
      <c r="U1024" t="s">
        <v>14004</v>
      </c>
      <c r="V1024" t="s">
        <v>14004</v>
      </c>
      <c r="W1024" t="s">
        <v>15010</v>
      </c>
      <c r="X1024">
        <v>1</v>
      </c>
      <c r="Y1024" t="s">
        <v>21944</v>
      </c>
      <c r="Z1024" t="s">
        <v>28734</v>
      </c>
      <c r="AA1024">
        <v>0.81713166665103665</v>
      </c>
      <c r="AB1024" t="str">
        <f>HYPERLINK("Melting_Curves/meltCurve_H3BR82_SPNS1.pdf", "Melting_Curves/meltCurve_H3BR82_SPNS1.pdf")</f>
        <v>Melting_Curves/meltCurve_H3BR82_SPNS1.pdf</v>
      </c>
    </row>
    <row r="1025" spans="1:28" x14ac:dyDescent="0.25">
      <c r="A1025" t="s">
        <v>1029</v>
      </c>
      <c r="B1025">
        <v>0.99999676499088797</v>
      </c>
      <c r="C1025">
        <v>1.07725995179046</v>
      </c>
      <c r="D1025">
        <v>1.0094694754550699</v>
      </c>
      <c r="E1025">
        <v>0.88392182017434096</v>
      </c>
      <c r="F1025">
        <v>0.81068392596065597</v>
      </c>
      <c r="G1025">
        <v>0.66840048995134504</v>
      </c>
      <c r="H1025">
        <v>0.39344493864365299</v>
      </c>
      <c r="I1025">
        <v>0.448369593584799</v>
      </c>
      <c r="J1025">
        <v>0.45049022280114598</v>
      </c>
      <c r="K1025">
        <v>0.470841459823168</v>
      </c>
      <c r="L1025">
        <v>1161.65230502554</v>
      </c>
      <c r="M1025">
        <v>21.1749072386474</v>
      </c>
      <c r="N1025">
        <v>60.247650317799199</v>
      </c>
      <c r="O1025">
        <v>54.377577408722502</v>
      </c>
      <c r="P1025">
        <v>-5.6004024921234803E-2</v>
      </c>
      <c r="Q1025">
        <v>0.42473697058922699</v>
      </c>
      <c r="R1025">
        <v>0.96195125510477997</v>
      </c>
      <c r="S1025" t="s">
        <v>8028</v>
      </c>
      <c r="T1025" t="s">
        <v>14004</v>
      </c>
      <c r="U1025" t="s">
        <v>14004</v>
      </c>
      <c r="V1025" t="s">
        <v>14004</v>
      </c>
      <c r="W1025" t="s">
        <v>15011</v>
      </c>
      <c r="X1025">
        <v>10</v>
      </c>
      <c r="Y1025" t="s">
        <v>21945</v>
      </c>
      <c r="Z1025" t="s">
        <v>28735</v>
      </c>
      <c r="AA1025">
        <v>0.71671660449521568</v>
      </c>
      <c r="AB1025" t="str">
        <f>HYPERLINK("Melting_Curves/meltCurve_H3BRF9_ZFYVE19.pdf", "Melting_Curves/meltCurve_H3BRF9_ZFYVE19.pdf")</f>
        <v>Melting_Curves/meltCurve_H3BRF9_ZFYVE19.pdf</v>
      </c>
    </row>
    <row r="1026" spans="1:28" x14ac:dyDescent="0.25">
      <c r="A1026" t="s">
        <v>1030</v>
      </c>
      <c r="B1026">
        <v>0.99999676499088797</v>
      </c>
      <c r="C1026">
        <v>0.90382737436247396</v>
      </c>
      <c r="D1026">
        <v>1.00327488569893</v>
      </c>
      <c r="E1026">
        <v>0.97758901700714895</v>
      </c>
      <c r="F1026">
        <v>0.407610192348693</v>
      </c>
      <c r="G1026">
        <v>0.230276414172538</v>
      </c>
      <c r="H1026">
        <v>0.114164044449132</v>
      </c>
      <c r="I1026">
        <v>0.120516607230752</v>
      </c>
      <c r="J1026">
        <v>9.5669985965038701E-2</v>
      </c>
      <c r="K1026">
        <v>0.10510099531905601</v>
      </c>
      <c r="L1026">
        <v>2484.8480499727302</v>
      </c>
      <c r="M1026">
        <v>47.3634758731692</v>
      </c>
      <c r="N1026">
        <v>52.786927728500601</v>
      </c>
      <c r="O1026">
        <v>52.370113159001299</v>
      </c>
      <c r="P1026">
        <v>-0.19761590473656701</v>
      </c>
      <c r="Q1026">
        <v>0.12598003668791699</v>
      </c>
      <c r="R1026">
        <v>0.98822544501230802</v>
      </c>
      <c r="S1026" t="s">
        <v>8029</v>
      </c>
      <c r="T1026" t="s">
        <v>14004</v>
      </c>
      <c r="U1026" t="s">
        <v>14004</v>
      </c>
      <c r="V1026" t="s">
        <v>14004</v>
      </c>
      <c r="W1026" t="s">
        <v>15012</v>
      </c>
      <c r="X1026">
        <v>15</v>
      </c>
      <c r="Y1026" t="s">
        <v>21946</v>
      </c>
      <c r="Z1026" t="s">
        <v>28736</v>
      </c>
      <c r="AA1026">
        <v>0.49134327352620788</v>
      </c>
      <c r="AB1026" t="str">
        <f>HYPERLINK("Melting_Curves/meltCurve_H3BRL3_UBFD1.pdf", "Melting_Curves/meltCurve_H3BRL3_UBFD1.pdf")</f>
        <v>Melting_Curves/meltCurve_H3BRL3_UBFD1.pdf</v>
      </c>
    </row>
    <row r="1027" spans="1:28" x14ac:dyDescent="0.25">
      <c r="A1027" t="s">
        <v>1031</v>
      </c>
      <c r="B1027">
        <v>0.99999676499088797</v>
      </c>
      <c r="C1027">
        <v>0.96563568136478295</v>
      </c>
      <c r="D1027">
        <v>0.97767178193644899</v>
      </c>
      <c r="E1027">
        <v>1.0595792616591799</v>
      </c>
      <c r="F1027">
        <v>1.02268343072261</v>
      </c>
      <c r="G1027">
        <v>0.80483514856872296</v>
      </c>
      <c r="H1027">
        <v>0.39656338774168198</v>
      </c>
      <c r="I1027">
        <v>0.157087172715454</v>
      </c>
      <c r="J1027">
        <v>0.113018998287626</v>
      </c>
      <c r="K1027">
        <v>7.57735961530102E-2</v>
      </c>
      <c r="L1027">
        <v>1842.29307107051</v>
      </c>
      <c r="M1027">
        <v>30.981030776888101</v>
      </c>
      <c r="N1027">
        <v>59.776547111714002</v>
      </c>
      <c r="O1027">
        <v>59.219087473433497</v>
      </c>
      <c r="P1027">
        <v>-0.121045409475807</v>
      </c>
      <c r="Q1027">
        <v>7.4510132956233502E-2</v>
      </c>
      <c r="R1027">
        <v>0.99469650665003095</v>
      </c>
      <c r="S1027" t="s">
        <v>8030</v>
      </c>
      <c r="T1027" t="s">
        <v>14004</v>
      </c>
      <c r="U1027" t="s">
        <v>14004</v>
      </c>
      <c r="V1027" t="s">
        <v>14004</v>
      </c>
      <c r="W1027" t="s">
        <v>15013</v>
      </c>
      <c r="X1027">
        <v>16</v>
      </c>
      <c r="Y1027" t="s">
        <v>21947</v>
      </c>
      <c r="Z1027" t="s">
        <v>28737</v>
      </c>
      <c r="AA1027">
        <v>0.6805485051011918</v>
      </c>
      <c r="AB1027" t="str">
        <f>HYPERLINK("Melting_Curves/meltCurve_H3BRN4_ABAT.pdf", "Melting_Curves/meltCurve_H3BRN4_ABAT.pdf")</f>
        <v>Melting_Curves/meltCurve_H3BRN4_ABAT.pdf</v>
      </c>
    </row>
    <row r="1028" spans="1:28" x14ac:dyDescent="0.25">
      <c r="A1028" t="s">
        <v>1032</v>
      </c>
      <c r="B1028">
        <v>0.99999676499088797</v>
      </c>
      <c r="C1028">
        <v>0.94420051251775206</v>
      </c>
      <c r="D1028">
        <v>0.55934118629381802</v>
      </c>
      <c r="E1028">
        <v>0.25641829722616699</v>
      </c>
      <c r="F1028">
        <v>0.16759156129966199</v>
      </c>
      <c r="G1028">
        <v>0.10576784459597</v>
      </c>
      <c r="H1028">
        <v>6.3612351059000496E-2</v>
      </c>
      <c r="I1028">
        <v>6.7579445476837197E-2</v>
      </c>
      <c r="J1028">
        <v>8.1558984058739598E-2</v>
      </c>
      <c r="K1028">
        <v>5.3331216000801498E-2</v>
      </c>
      <c r="L1028">
        <v>1135.5655858423299</v>
      </c>
      <c r="M1028">
        <v>24.433795038951999</v>
      </c>
      <c r="N1028">
        <v>46.810923574189999</v>
      </c>
      <c r="O1028">
        <v>46.167238597555901</v>
      </c>
      <c r="P1028">
        <v>-0.121679455552218</v>
      </c>
      <c r="Q1028">
        <v>8.0368302876067305E-2</v>
      </c>
      <c r="R1028">
        <v>0.99332278264121199</v>
      </c>
      <c r="S1028" t="s">
        <v>8031</v>
      </c>
      <c r="T1028" t="s">
        <v>14004</v>
      </c>
      <c r="U1028" t="s">
        <v>14004</v>
      </c>
      <c r="V1028" t="s">
        <v>14004</v>
      </c>
      <c r="W1028" t="s">
        <v>15014</v>
      </c>
      <c r="X1028">
        <v>6</v>
      </c>
      <c r="Y1028" t="s">
        <v>21948</v>
      </c>
      <c r="Z1028" t="s">
        <v>28738</v>
      </c>
      <c r="AA1028">
        <v>0.28763005342884518</v>
      </c>
      <c r="AB1028" t="str">
        <f>HYPERLINK("Melting_Curves/meltCurve_H3BRS1_NFATC3.pdf", "Melting_Curves/meltCurve_H3BRS1_NFATC3.pdf")</f>
        <v>Melting_Curves/meltCurve_H3BRS1_NFATC3.pdf</v>
      </c>
    </row>
    <row r="1029" spans="1:28" x14ac:dyDescent="0.25">
      <c r="A1029" t="s">
        <v>1033</v>
      </c>
      <c r="B1029">
        <v>0.99999676499088797</v>
      </c>
      <c r="C1029">
        <v>0.99108419261728598</v>
      </c>
      <c r="D1029">
        <v>0.94899105097258996</v>
      </c>
      <c r="E1029">
        <v>0.38004599330020999</v>
      </c>
      <c r="F1029">
        <v>0.23030501473573101</v>
      </c>
      <c r="G1029">
        <v>0.168528878724065</v>
      </c>
      <c r="H1029">
        <v>8.7864891640694401E-2</v>
      </c>
      <c r="I1029">
        <v>9.6688959841402106E-2</v>
      </c>
      <c r="J1029">
        <v>8.7390216361570502E-2</v>
      </c>
      <c r="K1029">
        <v>7.5214738743513296E-2</v>
      </c>
      <c r="L1029">
        <v>1878.3666106476201</v>
      </c>
      <c r="M1029">
        <v>38.580500751372199</v>
      </c>
      <c r="N1029">
        <v>49.019885454175103</v>
      </c>
      <c r="O1029">
        <v>48.5566880503062</v>
      </c>
      <c r="P1029">
        <v>-0.17574193320086801</v>
      </c>
      <c r="Q1029">
        <v>0.11526026325784799</v>
      </c>
      <c r="R1029">
        <v>0.99014097419163805</v>
      </c>
      <c r="S1029" t="s">
        <v>8032</v>
      </c>
      <c r="T1029" t="s">
        <v>14004</v>
      </c>
      <c r="U1029" t="s">
        <v>14004</v>
      </c>
      <c r="V1029" t="s">
        <v>14004</v>
      </c>
      <c r="W1029" t="s">
        <v>15015</v>
      </c>
      <c r="X1029">
        <v>42</v>
      </c>
      <c r="Y1029" t="s">
        <v>21949</v>
      </c>
      <c r="Z1029" t="s">
        <v>28739</v>
      </c>
      <c r="AA1029">
        <v>0.37465825819092391</v>
      </c>
      <c r="AB1029" t="str">
        <f>HYPERLINK("Melting_Curves/meltCurve_H3BRV0_EIF3C.pdf", "Melting_Curves/meltCurve_H3BRV0_EIF3C.pdf")</f>
        <v>Melting_Curves/meltCurve_H3BRV0_EIF3C.pdf</v>
      </c>
    </row>
    <row r="1030" spans="1:28" x14ac:dyDescent="0.25">
      <c r="A1030" t="s">
        <v>1034</v>
      </c>
      <c r="B1030">
        <v>0.99999676499088797</v>
      </c>
      <c r="C1030">
        <v>0.87004818077430301</v>
      </c>
      <c r="D1030">
        <v>0.96760007242194601</v>
      </c>
      <c r="E1030">
        <v>0.80659762477215002</v>
      </c>
      <c r="F1030">
        <v>0.36204619275517202</v>
      </c>
      <c r="G1030">
        <v>0.22880408914796299</v>
      </c>
      <c r="H1030">
        <v>0.15980400877784401</v>
      </c>
      <c r="I1030">
        <v>0.13204330850476101</v>
      </c>
      <c r="J1030">
        <v>8.6286904480833093E-2</v>
      </c>
      <c r="K1030">
        <v>8.2057208981191607E-2</v>
      </c>
      <c r="L1030">
        <v>1335.4832645951101</v>
      </c>
      <c r="M1030">
        <v>25.8293679621457</v>
      </c>
      <c r="N1030">
        <v>52.2145256434939</v>
      </c>
      <c r="O1030">
        <v>51.397128695398003</v>
      </c>
      <c r="P1030">
        <v>-0.111619371245199</v>
      </c>
      <c r="Q1030">
        <v>0.111577577748804</v>
      </c>
      <c r="R1030">
        <v>0.98379344052884998</v>
      </c>
      <c r="S1030" t="s">
        <v>8033</v>
      </c>
      <c r="T1030" t="s">
        <v>14004</v>
      </c>
      <c r="U1030" t="s">
        <v>14004</v>
      </c>
      <c r="V1030" t="s">
        <v>14004</v>
      </c>
      <c r="W1030" t="s">
        <v>15016</v>
      </c>
      <c r="X1030">
        <v>5</v>
      </c>
      <c r="Y1030" t="s">
        <v>21950</v>
      </c>
      <c r="Z1030" t="s">
        <v>28740</v>
      </c>
      <c r="AA1030">
        <v>0.46577198270978021</v>
      </c>
      <c r="AB1030" t="str">
        <f>HYPERLINK("Melting_Curves/meltCurve_H3BRY6_VWA9.pdf", "Melting_Curves/meltCurve_H3BRY6_VWA9.pdf")</f>
        <v>Melting_Curves/meltCurve_H3BRY6_VWA9.pdf</v>
      </c>
    </row>
    <row r="1031" spans="1:28" x14ac:dyDescent="0.25">
      <c r="A1031" t="s">
        <v>1035</v>
      </c>
      <c r="B1031">
        <v>0.99999676499088797</v>
      </c>
      <c r="C1031">
        <v>0.98346426256859099</v>
      </c>
      <c r="D1031">
        <v>0.89352067899292698</v>
      </c>
      <c r="E1031">
        <v>0.65278161610443097</v>
      </c>
      <c r="F1031">
        <v>0.29394921005298003</v>
      </c>
      <c r="G1031">
        <v>0.20329587121797801</v>
      </c>
      <c r="H1031">
        <v>7.76871960099067E-2</v>
      </c>
      <c r="I1031">
        <v>7.5595619325123403E-2</v>
      </c>
      <c r="J1031">
        <v>6.9208451808896204E-2</v>
      </c>
      <c r="K1031">
        <v>4.9304087887372602E-2</v>
      </c>
      <c r="L1031">
        <v>1026.03115865566</v>
      </c>
      <c r="M1031">
        <v>20.208990293423</v>
      </c>
      <c r="N1031">
        <v>51.090045566486999</v>
      </c>
      <c r="O1031">
        <v>50.281705778408202</v>
      </c>
      <c r="P1031">
        <v>-9.45257143555715E-2</v>
      </c>
      <c r="Q1031">
        <v>5.9276523349337397E-2</v>
      </c>
      <c r="R1031">
        <v>0.99746760719331495</v>
      </c>
      <c r="S1031" t="s">
        <v>8034</v>
      </c>
      <c r="T1031" t="s">
        <v>14004</v>
      </c>
      <c r="U1031" t="s">
        <v>14004</v>
      </c>
      <c r="V1031" t="s">
        <v>14004</v>
      </c>
      <c r="W1031" t="s">
        <v>15017</v>
      </c>
      <c r="X1031">
        <v>3</v>
      </c>
      <c r="Y1031" t="s">
        <v>21951</v>
      </c>
      <c r="Z1031" t="s">
        <v>28741</v>
      </c>
      <c r="AA1031">
        <v>0.40983990446781737</v>
      </c>
      <c r="AB1031" t="str">
        <f>HYPERLINK("Melting_Curves/meltCurve_H3BS01_C15orf41.pdf", "Melting_Curves/meltCurve_H3BS01_C15orf41.pdf")</f>
        <v>Melting_Curves/meltCurve_H3BS01_C15orf41.pdf</v>
      </c>
    </row>
    <row r="1032" spans="1:28" x14ac:dyDescent="0.25">
      <c r="A1032" t="s">
        <v>1036</v>
      </c>
      <c r="B1032">
        <v>0.99999676499088797</v>
      </c>
      <c r="C1032">
        <v>1.0396856781742601</v>
      </c>
      <c r="D1032">
        <v>0.84369429857434297</v>
      </c>
      <c r="E1032">
        <v>0.63512947440950096</v>
      </c>
      <c r="F1032">
        <v>0.40107202108540102</v>
      </c>
      <c r="G1032">
        <v>0.200427368101189</v>
      </c>
      <c r="H1032">
        <v>9.0439582628162499E-2</v>
      </c>
      <c r="I1032">
        <v>0.10776637230470799</v>
      </c>
      <c r="J1032">
        <v>0.11505203969349399</v>
      </c>
      <c r="K1032">
        <v>8.7578631524457606E-2</v>
      </c>
      <c r="L1032">
        <v>900.54081635492901</v>
      </c>
      <c r="M1032">
        <v>17.687640095741099</v>
      </c>
      <c r="N1032">
        <v>51.415886154053403</v>
      </c>
      <c r="O1032">
        <v>50.276157765375203</v>
      </c>
      <c r="P1032">
        <v>-8.0977810954611901E-2</v>
      </c>
      <c r="Q1032">
        <v>7.93487469320871E-2</v>
      </c>
      <c r="R1032">
        <v>0.99320127360828303</v>
      </c>
      <c r="S1032" t="s">
        <v>8035</v>
      </c>
      <c r="T1032" t="s">
        <v>14004</v>
      </c>
      <c r="U1032" t="s">
        <v>14004</v>
      </c>
      <c r="V1032" t="s">
        <v>14004</v>
      </c>
      <c r="W1032" t="s">
        <v>15018</v>
      </c>
      <c r="X1032">
        <v>1</v>
      </c>
      <c r="Y1032" t="s">
        <v>21952</v>
      </c>
      <c r="Z1032" t="s">
        <v>28742</v>
      </c>
      <c r="AA1032">
        <v>0.4302950196911412</v>
      </c>
      <c r="AB1032" t="str">
        <f>HYPERLINK("Melting_Curves/meltCurve_H3BS06_CCDC154.pdf", "Melting_Curves/meltCurve_H3BS06_CCDC154.pdf")</f>
        <v>Melting_Curves/meltCurve_H3BS06_CCDC154.pdf</v>
      </c>
    </row>
    <row r="1033" spans="1:28" x14ac:dyDescent="0.25">
      <c r="A1033" t="s">
        <v>1037</v>
      </c>
      <c r="B1033">
        <v>0.99999676499088797</v>
      </c>
      <c r="C1033">
        <v>0.94817154720228303</v>
      </c>
      <c r="D1033">
        <v>0.95874047318377498</v>
      </c>
      <c r="E1033">
        <v>0.86041380155459002</v>
      </c>
      <c r="F1033">
        <v>0.70539354353565198</v>
      </c>
      <c r="G1033">
        <v>0.35699801865069802</v>
      </c>
      <c r="H1033">
        <v>0.15595089694470901</v>
      </c>
      <c r="I1033">
        <v>0.12188944621690299</v>
      </c>
      <c r="J1033">
        <v>0.118179118242611</v>
      </c>
      <c r="K1033">
        <v>9.5507317696167701E-2</v>
      </c>
      <c r="L1033">
        <v>1130.9311619011801</v>
      </c>
      <c r="M1033">
        <v>20.6964999573452</v>
      </c>
      <c r="N1033">
        <v>55.112795217857098</v>
      </c>
      <c r="O1033">
        <v>54.141122332772902</v>
      </c>
      <c r="P1033">
        <v>-8.7850587556696197E-2</v>
      </c>
      <c r="Q1033">
        <v>8.0773258602640605E-2</v>
      </c>
      <c r="R1033">
        <v>0.99494898610312199</v>
      </c>
      <c r="S1033" t="s">
        <v>8036</v>
      </c>
      <c r="T1033" t="s">
        <v>14004</v>
      </c>
      <c r="U1033" t="s">
        <v>14004</v>
      </c>
      <c r="V1033" t="s">
        <v>14004</v>
      </c>
      <c r="W1033" t="s">
        <v>15019</v>
      </c>
      <c r="X1033">
        <v>10</v>
      </c>
      <c r="Y1033" t="s">
        <v>21953</v>
      </c>
      <c r="Z1033" t="s">
        <v>28743</v>
      </c>
      <c r="AA1033">
        <v>0.54116795203037749</v>
      </c>
      <c r="AB1033" t="str">
        <f>HYPERLINK("Melting_Curves/meltCurve_H3BSM7_C16orf58.pdf", "Melting_Curves/meltCurve_H3BSM7_C16orf58.pdf")</f>
        <v>Melting_Curves/meltCurve_H3BSM7_C16orf58.pdf</v>
      </c>
    </row>
    <row r="1034" spans="1:28" x14ac:dyDescent="0.25">
      <c r="A1034" t="s">
        <v>1038</v>
      </c>
      <c r="B1034">
        <v>0.99999676499088797</v>
      </c>
      <c r="C1034">
        <v>1.0151639263755901</v>
      </c>
      <c r="D1034">
        <v>0.93851047741285998</v>
      </c>
      <c r="E1034">
        <v>0.79975720886283097</v>
      </c>
      <c r="F1034">
        <v>0.87858382862315099</v>
      </c>
      <c r="G1034">
        <v>0.45639295282498099</v>
      </c>
      <c r="H1034">
        <v>0.170360284136851</v>
      </c>
      <c r="I1034">
        <v>0.14329394207724799</v>
      </c>
      <c r="J1034">
        <v>9.6407056653805903E-2</v>
      </c>
      <c r="K1034">
        <v>6.4434771020923307E-2</v>
      </c>
      <c r="L1034">
        <v>1254.6054084431801</v>
      </c>
      <c r="M1034">
        <v>22.325974233537998</v>
      </c>
      <c r="N1034">
        <v>56.517943947232702</v>
      </c>
      <c r="O1034">
        <v>55.7498540524034</v>
      </c>
      <c r="P1034">
        <v>-9.4121158467555394E-2</v>
      </c>
      <c r="Q1034">
        <v>5.9905576376697502E-2</v>
      </c>
      <c r="R1034">
        <v>0.97528162029399501</v>
      </c>
      <c r="S1034" t="s">
        <v>8037</v>
      </c>
      <c r="T1034" t="s">
        <v>14004</v>
      </c>
      <c r="U1034" t="s">
        <v>14004</v>
      </c>
      <c r="V1034" t="s">
        <v>14004</v>
      </c>
      <c r="W1034" t="s">
        <v>15020</v>
      </c>
      <c r="X1034">
        <v>3</v>
      </c>
      <c r="Y1034" t="s">
        <v>21954</v>
      </c>
      <c r="Z1034" t="s">
        <v>28744</v>
      </c>
      <c r="AA1034">
        <v>0.57767587376273866</v>
      </c>
      <c r="AB1034" t="str">
        <f>HYPERLINK("Melting_Curves/meltCurve_H3BSW6_CTU2.pdf", "Melting_Curves/meltCurve_H3BSW6_CTU2.pdf")</f>
        <v>Melting_Curves/meltCurve_H3BSW6_CTU2.pdf</v>
      </c>
    </row>
    <row r="1035" spans="1:28" x14ac:dyDescent="0.25">
      <c r="A1035" t="s">
        <v>1039</v>
      </c>
      <c r="B1035">
        <v>0.99999676499088797</v>
      </c>
      <c r="C1035">
        <v>0.99616661461064904</v>
      </c>
      <c r="D1035">
        <v>0.76384171777602194</v>
      </c>
      <c r="E1035">
        <v>0.51818542852293903</v>
      </c>
      <c r="F1035">
        <v>0.35733199827402201</v>
      </c>
      <c r="G1035">
        <v>0.31492546288767798</v>
      </c>
      <c r="H1035">
        <v>0.17812394574487</v>
      </c>
      <c r="I1035">
        <v>8.22045921831389E-2</v>
      </c>
      <c r="J1035">
        <v>7.8663621635648995E-2</v>
      </c>
      <c r="K1035">
        <v>5.12747439120603E-2</v>
      </c>
      <c r="L1035">
        <v>641.64493631043695</v>
      </c>
      <c r="M1035">
        <v>12.723055104918201</v>
      </c>
      <c r="N1035">
        <v>50.856091404176503</v>
      </c>
      <c r="O1035">
        <v>49.234511886928402</v>
      </c>
      <c r="P1035">
        <v>-6.1362115494492199E-2</v>
      </c>
      <c r="Q1035">
        <v>5.0368762811512098E-2</v>
      </c>
      <c r="R1035">
        <v>0.98232086376731398</v>
      </c>
      <c r="S1035" t="s">
        <v>8038</v>
      </c>
      <c r="T1035" t="s">
        <v>14004</v>
      </c>
      <c r="U1035" t="s">
        <v>14004</v>
      </c>
      <c r="V1035" t="s">
        <v>14004</v>
      </c>
      <c r="W1035" t="s">
        <v>15021</v>
      </c>
      <c r="X1035">
        <v>1</v>
      </c>
      <c r="Y1035" t="s">
        <v>21955</v>
      </c>
      <c r="Z1035" t="s">
        <v>28745</v>
      </c>
      <c r="AA1035">
        <v>0.40986638454884511</v>
      </c>
      <c r="AB1035" t="str">
        <f>HYPERLINK("Melting_Curves/meltCurve_H3BT91_CCNDBP1.pdf", "Melting_Curves/meltCurve_H3BT91_CCNDBP1.pdf")</f>
        <v>Melting_Curves/meltCurve_H3BT91_CCNDBP1.pdf</v>
      </c>
    </row>
    <row r="1036" spans="1:28" x14ac:dyDescent="0.25">
      <c r="A1036" t="s">
        <v>1040</v>
      </c>
      <c r="B1036">
        <v>0.99999676499088797</v>
      </c>
      <c r="C1036">
        <v>1.05170413397222</v>
      </c>
      <c r="D1036">
        <v>0.97738866163452898</v>
      </c>
      <c r="E1036">
        <v>0.48233405918051703</v>
      </c>
      <c r="F1036">
        <v>0.33980077993150098</v>
      </c>
      <c r="G1036">
        <v>0.231646129846167</v>
      </c>
      <c r="H1036">
        <v>0.13257285901881</v>
      </c>
      <c r="I1036">
        <v>0.14330744620060601</v>
      </c>
      <c r="J1036">
        <v>0.103492759093122</v>
      </c>
      <c r="K1036">
        <v>0.111787394209465</v>
      </c>
      <c r="L1036">
        <v>1293.15109197334</v>
      </c>
      <c r="M1036">
        <v>26.107758213643301</v>
      </c>
      <c r="N1036">
        <v>50.178749689345601</v>
      </c>
      <c r="O1036">
        <v>49.243437938725599</v>
      </c>
      <c r="P1036">
        <v>-0.113591963266804</v>
      </c>
      <c r="Q1036">
        <v>0.142998751745329</v>
      </c>
      <c r="R1036">
        <v>0.979435056155184</v>
      </c>
      <c r="S1036" t="s">
        <v>8039</v>
      </c>
      <c r="T1036" t="s">
        <v>14004</v>
      </c>
      <c r="U1036" t="s">
        <v>14004</v>
      </c>
      <c r="V1036" t="s">
        <v>14004</v>
      </c>
      <c r="W1036" t="s">
        <v>15022</v>
      </c>
      <c r="X1036">
        <v>7</v>
      </c>
      <c r="Y1036" t="s">
        <v>21956</v>
      </c>
      <c r="Z1036" t="s">
        <v>28746</v>
      </c>
      <c r="AA1036">
        <v>0.42225821765507721</v>
      </c>
      <c r="AB1036" t="str">
        <f>HYPERLINK("Melting_Curves/meltCurve_H3BTB7_EARS2.pdf", "Melting_Curves/meltCurve_H3BTB7_EARS2.pdf")</f>
        <v>Melting_Curves/meltCurve_H3BTB7_EARS2.pdf</v>
      </c>
    </row>
    <row r="1037" spans="1:28" x14ac:dyDescent="0.25">
      <c r="A1037" t="s">
        <v>1041</v>
      </c>
      <c r="B1037">
        <v>0.99999676499088797</v>
      </c>
      <c r="C1037">
        <v>0.96497901190309299</v>
      </c>
      <c r="D1037">
        <v>0.87594986613228798</v>
      </c>
      <c r="E1037">
        <v>0.94518290652131198</v>
      </c>
      <c r="F1037">
        <v>0.62995308509219405</v>
      </c>
      <c r="G1037">
        <v>0.41220935144467202</v>
      </c>
      <c r="H1037">
        <v>0.131200207116275</v>
      </c>
      <c r="I1037">
        <v>6.9085038019892395E-2</v>
      </c>
      <c r="J1037">
        <v>6.2270480243306503E-2</v>
      </c>
      <c r="K1037">
        <v>9.1041534427959897E-2</v>
      </c>
      <c r="L1037">
        <v>1062.9584691073301</v>
      </c>
      <c r="M1037">
        <v>19.359975173871401</v>
      </c>
      <c r="N1037">
        <v>55.129643767417498</v>
      </c>
      <c r="O1037">
        <v>54.329214748256398</v>
      </c>
      <c r="P1037">
        <v>-8.5709931948488E-2</v>
      </c>
      <c r="Q1037">
        <v>3.7936646474326499E-2</v>
      </c>
      <c r="R1037">
        <v>0.98637907351596898</v>
      </c>
      <c r="S1037" t="s">
        <v>8040</v>
      </c>
      <c r="T1037" t="s">
        <v>14004</v>
      </c>
      <c r="U1037" t="s">
        <v>14004</v>
      </c>
      <c r="V1037" t="s">
        <v>14004</v>
      </c>
      <c r="W1037" t="s">
        <v>15023</v>
      </c>
      <c r="X1037">
        <v>4</v>
      </c>
      <c r="Y1037" t="s">
        <v>21957</v>
      </c>
      <c r="Z1037" t="s">
        <v>28747</v>
      </c>
      <c r="AA1037">
        <v>0.52939709778324306</v>
      </c>
      <c r="AB1037" t="str">
        <f>HYPERLINK("Melting_Curves/meltCurve_H3BTL1_MAP1LC3B.pdf", "Melting_Curves/meltCurve_H3BTL1_MAP1LC3B.pdf")</f>
        <v>Melting_Curves/meltCurve_H3BTL1_MAP1LC3B.pdf</v>
      </c>
    </row>
    <row r="1038" spans="1:28" x14ac:dyDescent="0.25">
      <c r="A1038" t="s">
        <v>1042</v>
      </c>
      <c r="B1038">
        <v>0.99999676499088797</v>
      </c>
      <c r="C1038">
        <v>0.78321966156585099</v>
      </c>
      <c r="D1038">
        <v>1.454628945062</v>
      </c>
      <c r="E1038">
        <v>1.1343301522165401</v>
      </c>
      <c r="F1038">
        <v>0.52707542465617097</v>
      </c>
      <c r="G1038">
        <v>1.3857151656704101</v>
      </c>
      <c r="H1038">
        <v>0.223839541885581</v>
      </c>
      <c r="I1038">
        <v>0.12184832569773101</v>
      </c>
      <c r="J1038">
        <v>8.2314795529922893E-2</v>
      </c>
      <c r="K1038">
        <v>8.3071672732821997E-2</v>
      </c>
      <c r="L1038">
        <v>15000</v>
      </c>
      <c r="M1038">
        <v>248.51210689095899</v>
      </c>
      <c r="N1038">
        <v>60.4108921366158</v>
      </c>
      <c r="O1038">
        <v>60.355306085779098</v>
      </c>
      <c r="P1038">
        <v>-0.93081446927303102</v>
      </c>
      <c r="Q1038">
        <v>9.5744525377198103E-2</v>
      </c>
      <c r="R1038">
        <v>0.75872953841393898</v>
      </c>
      <c r="S1038" t="s">
        <v>8041</v>
      </c>
      <c r="T1038" t="s">
        <v>14004</v>
      </c>
      <c r="U1038" t="s">
        <v>14004</v>
      </c>
      <c r="V1038" t="s">
        <v>14004</v>
      </c>
      <c r="W1038" t="s">
        <v>15024</v>
      </c>
      <c r="X1038">
        <v>57</v>
      </c>
      <c r="Y1038" t="s">
        <v>21958</v>
      </c>
      <c r="Z1038" t="s">
        <v>28748</v>
      </c>
      <c r="AA1038">
        <v>0.70950637359829771</v>
      </c>
      <c r="AB1038" t="str">
        <f>HYPERLINK("Melting_Curves/meltCurve_H3BTN5_PKM.pdf", "Melting_Curves/meltCurve_H3BTN5_PKM.pdf")</f>
        <v>Melting_Curves/meltCurve_H3BTN5_PKM.pdf</v>
      </c>
    </row>
    <row r="1039" spans="1:28" x14ac:dyDescent="0.25">
      <c r="A1039" t="s">
        <v>1043</v>
      </c>
      <c r="B1039">
        <v>0.99999676499088797</v>
      </c>
      <c r="C1039">
        <v>0.90326577434460398</v>
      </c>
      <c r="D1039">
        <v>0.79290015401633396</v>
      </c>
      <c r="E1039">
        <v>0.65043011369867998</v>
      </c>
      <c r="F1039">
        <v>0.46492010001030498</v>
      </c>
      <c r="G1039">
        <v>0.29893561651631601</v>
      </c>
      <c r="H1039">
        <v>0.17326462019093</v>
      </c>
      <c r="I1039">
        <v>0.168878182318838</v>
      </c>
      <c r="J1039">
        <v>0.184658700211105</v>
      </c>
      <c r="K1039">
        <v>0.17139527298291399</v>
      </c>
      <c r="L1039">
        <v>647.17280690293001</v>
      </c>
      <c r="M1039">
        <v>12.727054686480701</v>
      </c>
      <c r="N1039">
        <v>52.004682823599602</v>
      </c>
      <c r="O1039">
        <v>49.643782103865803</v>
      </c>
      <c r="P1039">
        <v>-5.6214988538511597E-2</v>
      </c>
      <c r="Q1039">
        <v>0.12306832213683</v>
      </c>
      <c r="R1039">
        <v>0.99368602013783802</v>
      </c>
      <c r="S1039" t="s">
        <v>8042</v>
      </c>
      <c r="T1039" t="s">
        <v>14004</v>
      </c>
      <c r="U1039" t="s">
        <v>14004</v>
      </c>
      <c r="V1039" t="s">
        <v>14004</v>
      </c>
      <c r="W1039" t="s">
        <v>15025</v>
      </c>
      <c r="X1039">
        <v>5</v>
      </c>
      <c r="Y1039" t="s">
        <v>21959</v>
      </c>
      <c r="Z1039" t="s">
        <v>28749</v>
      </c>
      <c r="AA1039">
        <v>0.46668207472779849</v>
      </c>
      <c r="AB1039" t="str">
        <f>HYPERLINK("Melting_Curves/meltCurve_H3BTR4_CENPT.pdf", "Melting_Curves/meltCurve_H3BTR4_CENPT.pdf")</f>
        <v>Melting_Curves/meltCurve_H3BTR4_CENPT.pdf</v>
      </c>
    </row>
    <row r="1040" spans="1:28" x14ac:dyDescent="0.25">
      <c r="A1040" t="s">
        <v>1044</v>
      </c>
      <c r="B1040">
        <v>0.99999676499088797</v>
      </c>
      <c r="C1040">
        <v>1.0181438872472099</v>
      </c>
      <c r="D1040">
        <v>0.92465339363253896</v>
      </c>
      <c r="E1040">
        <v>0.98740763414152499</v>
      </c>
      <c r="F1040">
        <v>0.84104128660464705</v>
      </c>
      <c r="G1040">
        <v>0.82900351052832399</v>
      </c>
      <c r="H1040">
        <v>0.47835161826327099</v>
      </c>
      <c r="I1040">
        <v>0.55646006966980599</v>
      </c>
      <c r="J1040">
        <v>0.45988917517886702</v>
      </c>
      <c r="K1040">
        <v>0.63607688372288296</v>
      </c>
      <c r="L1040">
        <v>1444.4647918957301</v>
      </c>
      <c r="M1040">
        <v>25.638727859748201</v>
      </c>
      <c r="O1040">
        <v>55.999780010514698</v>
      </c>
      <c r="P1040">
        <v>-5.47332339915894E-2</v>
      </c>
      <c r="Q1040">
        <v>0.52181528175366998</v>
      </c>
      <c r="R1040">
        <v>0.88960764321444696</v>
      </c>
      <c r="S1040" t="s">
        <v>8043</v>
      </c>
      <c r="T1040" t="s">
        <v>14004</v>
      </c>
      <c r="U1040" t="s">
        <v>14004</v>
      </c>
      <c r="V1040" t="s">
        <v>14004</v>
      </c>
      <c r="W1040" t="s">
        <v>14938</v>
      </c>
      <c r="X1040">
        <v>4</v>
      </c>
      <c r="Z1040" t="s">
        <v>28750</v>
      </c>
      <c r="AA1040">
        <v>0.78644427670882888</v>
      </c>
      <c r="AB1040" t="str">
        <f>HYPERLINK("Melting_Curves/meltCurve_H3BTX0_.pdf", "Melting_Curves/meltCurve_H3BTX0_.pdf")</f>
        <v>Melting_Curves/meltCurve_H3BTX0_.pdf</v>
      </c>
    </row>
    <row r="1041" spans="1:28" x14ac:dyDescent="0.25">
      <c r="A1041" t="s">
        <v>1045</v>
      </c>
      <c r="B1041">
        <v>0.99999676499088797</v>
      </c>
      <c r="C1041">
        <v>1.2026296515310899</v>
      </c>
      <c r="D1041">
        <v>1.3531715106027</v>
      </c>
      <c r="E1041">
        <v>1.2740421412926699</v>
      </c>
      <c r="F1041">
        <v>1.3604554722406099</v>
      </c>
      <c r="G1041">
        <v>1.2151726283583999</v>
      </c>
      <c r="H1041">
        <v>0.75082984291592503</v>
      </c>
      <c r="I1041">
        <v>0.76299893247745398</v>
      </c>
      <c r="J1041">
        <v>0.74536881548729905</v>
      </c>
      <c r="K1041">
        <v>0.73332940897718002</v>
      </c>
      <c r="L1041">
        <v>14943.0954525365</v>
      </c>
      <c r="M1041">
        <v>250</v>
      </c>
      <c r="O1041">
        <v>59.768556793999799</v>
      </c>
      <c r="P1041">
        <v>-0.26433064582252502</v>
      </c>
      <c r="Q1041">
        <v>0.74722142090433796</v>
      </c>
      <c r="R1041">
        <v>0.36297003673942502</v>
      </c>
      <c r="S1041" t="s">
        <v>8044</v>
      </c>
      <c r="T1041" t="s">
        <v>14004</v>
      </c>
      <c r="U1041" t="s">
        <v>14004</v>
      </c>
      <c r="V1041" t="s">
        <v>14004</v>
      </c>
      <c r="W1041" t="s">
        <v>15026</v>
      </c>
      <c r="X1041">
        <v>1</v>
      </c>
      <c r="Y1041" t="s">
        <v>21960</v>
      </c>
      <c r="Z1041" t="s">
        <v>28751</v>
      </c>
      <c r="AA1041">
        <v>0.9138490899196493</v>
      </c>
      <c r="AB1041" t="str">
        <f>HYPERLINK("Melting_Curves/meltCurve_H3BTX7_RNF166.pdf", "Melting_Curves/meltCurve_H3BTX7_RNF166.pdf")</f>
        <v>Melting_Curves/meltCurve_H3BTX7_RNF166.pdf</v>
      </c>
    </row>
    <row r="1042" spans="1:28" x14ac:dyDescent="0.25">
      <c r="A1042" t="s">
        <v>1046</v>
      </c>
      <c r="B1042">
        <v>0.99999676499088797</v>
      </c>
      <c r="C1042">
        <v>0.80329409962137799</v>
      </c>
      <c r="D1042">
        <v>0.52835520843111095</v>
      </c>
      <c r="E1042">
        <v>0.30307727093813802</v>
      </c>
      <c r="F1042">
        <v>0.22393737133547401</v>
      </c>
      <c r="G1042">
        <v>0.16341110787874799</v>
      </c>
      <c r="H1042">
        <v>8.8527101929293806E-2</v>
      </c>
      <c r="I1042">
        <v>0.10203672886996</v>
      </c>
      <c r="J1042">
        <v>0.13067782567324901</v>
      </c>
      <c r="K1042">
        <v>0.14715629574509501</v>
      </c>
      <c r="L1042">
        <v>858.62794645885504</v>
      </c>
      <c r="M1042">
        <v>18.726120560045501</v>
      </c>
      <c r="N1042">
        <v>46.565993103232302</v>
      </c>
      <c r="O1042">
        <v>45.338593934896103</v>
      </c>
      <c r="P1042">
        <v>-9.0373215743445201E-2</v>
      </c>
      <c r="Q1042">
        <v>0.124811474288823</v>
      </c>
      <c r="R1042">
        <v>0.99115042214777604</v>
      </c>
      <c r="S1042" t="s">
        <v>8045</v>
      </c>
      <c r="T1042" t="s">
        <v>14004</v>
      </c>
      <c r="U1042" t="s">
        <v>14004</v>
      </c>
      <c r="V1042" t="s">
        <v>14004</v>
      </c>
      <c r="W1042" t="s">
        <v>15027</v>
      </c>
      <c r="X1042">
        <v>2</v>
      </c>
      <c r="Y1042" t="s">
        <v>21961</v>
      </c>
      <c r="Z1042" t="s">
        <v>28752</v>
      </c>
      <c r="AA1042">
        <v>0.31142600008998722</v>
      </c>
      <c r="AB1042" t="str">
        <f>HYPERLINK("Melting_Curves/meltCurve_H3BU23_CDR2.pdf", "Melting_Curves/meltCurve_H3BU23_CDR2.pdf")</f>
        <v>Melting_Curves/meltCurve_H3BU23_CDR2.pdf</v>
      </c>
    </row>
    <row r="1043" spans="1:28" x14ac:dyDescent="0.25">
      <c r="A1043" t="s">
        <v>1047</v>
      </c>
      <c r="B1043">
        <v>0.99999676499088797</v>
      </c>
      <c r="C1043">
        <v>1.0050947327309301</v>
      </c>
      <c r="D1043">
        <v>0.68657692110791702</v>
      </c>
      <c r="E1043">
        <v>0.29349337535025799</v>
      </c>
      <c r="F1043">
        <v>0.13508469503899001</v>
      </c>
      <c r="G1043">
        <v>9.6511369675957401E-2</v>
      </c>
      <c r="H1043">
        <v>5.8971871748701901E-2</v>
      </c>
      <c r="I1043">
        <v>4.43250692200821E-2</v>
      </c>
      <c r="J1043">
        <v>5.8721383225132297E-2</v>
      </c>
      <c r="K1043">
        <v>5.0628352019068498E-2</v>
      </c>
      <c r="L1043">
        <v>1242.2668369796399</v>
      </c>
      <c r="M1043">
        <v>26.188004186729199</v>
      </c>
      <c r="N1043">
        <v>47.678129886633997</v>
      </c>
      <c r="O1043">
        <v>47.162469979346</v>
      </c>
      <c r="P1043">
        <v>-0.13019189533796699</v>
      </c>
      <c r="Q1043">
        <v>6.2150341815954302E-2</v>
      </c>
      <c r="R1043">
        <v>0.99588658467660296</v>
      </c>
      <c r="S1043" t="s">
        <v>8046</v>
      </c>
      <c r="T1043" t="s">
        <v>14004</v>
      </c>
      <c r="U1043" t="s">
        <v>14004</v>
      </c>
      <c r="V1043" t="s">
        <v>14004</v>
      </c>
      <c r="W1043" t="s">
        <v>15028</v>
      </c>
      <c r="X1043">
        <v>1</v>
      </c>
      <c r="Y1043" t="s">
        <v>21962</v>
      </c>
      <c r="Z1043" t="s">
        <v>28753</v>
      </c>
      <c r="AA1043">
        <v>0.30215109677414109</v>
      </c>
      <c r="AB1043" t="str">
        <f>HYPERLINK("Melting_Curves/meltCurve_H3BU49_ARL2BP.pdf", "Melting_Curves/meltCurve_H3BU49_ARL2BP.pdf")</f>
        <v>Melting_Curves/meltCurve_H3BU49_ARL2BP.pdf</v>
      </c>
    </row>
    <row r="1044" spans="1:28" x14ac:dyDescent="0.25">
      <c r="A1044" t="s">
        <v>1048</v>
      </c>
      <c r="B1044">
        <v>0.99999676499088797</v>
      </c>
      <c r="C1044">
        <v>0.96288374000535104</v>
      </c>
      <c r="D1044">
        <v>0.94777918236452896</v>
      </c>
      <c r="E1044">
        <v>0.85481970934996598</v>
      </c>
      <c r="F1044">
        <v>0.39647691351069397</v>
      </c>
      <c r="G1044">
        <v>0.28410205028699298</v>
      </c>
      <c r="H1044">
        <v>0.30719342673335498</v>
      </c>
      <c r="I1044">
        <v>0.65665421839678695</v>
      </c>
      <c r="J1044">
        <v>1.1265707612885001</v>
      </c>
      <c r="K1044">
        <v>1.0560423703819699</v>
      </c>
      <c r="L1044">
        <v>12419.930617481201</v>
      </c>
      <c r="M1044">
        <v>250</v>
      </c>
      <c r="O1044">
        <v>49.676531458453297</v>
      </c>
      <c r="P1044">
        <v>-0.45564769645331199</v>
      </c>
      <c r="Q1044">
        <v>0.637839959764398</v>
      </c>
      <c r="R1044">
        <v>0.24318618558470201</v>
      </c>
      <c r="S1044" t="s">
        <v>8047</v>
      </c>
      <c r="T1044" t="s">
        <v>14004</v>
      </c>
      <c r="U1044" t="s">
        <v>14004</v>
      </c>
      <c r="V1044" t="s">
        <v>14004</v>
      </c>
      <c r="W1044" t="s">
        <v>15029</v>
      </c>
      <c r="X1044">
        <v>6</v>
      </c>
      <c r="Y1044" t="s">
        <v>21963</v>
      </c>
      <c r="Z1044" t="s">
        <v>28754</v>
      </c>
      <c r="AA1044">
        <v>0.7547251581016845</v>
      </c>
      <c r="AB1044" t="str">
        <f>HYPERLINK("Melting_Curves/meltCurve_H3BV80_RNPS1.pdf", "Melting_Curves/meltCurve_H3BV80_RNPS1.pdf")</f>
        <v>Melting_Curves/meltCurve_H3BV80_RNPS1.pdf</v>
      </c>
    </row>
    <row r="1045" spans="1:28" x14ac:dyDescent="0.25">
      <c r="A1045" t="s">
        <v>1049</v>
      </c>
      <c r="B1045">
        <v>0.99999676499088797</v>
      </c>
      <c r="C1045">
        <v>1.04702452944334</v>
      </c>
      <c r="D1045">
        <v>1.07285645165903</v>
      </c>
      <c r="E1045">
        <v>0.50095923577796497</v>
      </c>
      <c r="F1045">
        <v>0.28360422718682399</v>
      </c>
      <c r="G1045">
        <v>0.28354850652104302</v>
      </c>
      <c r="H1045">
        <v>0.10363018766150001</v>
      </c>
      <c r="I1045">
        <v>7.4149270306896095E-2</v>
      </c>
      <c r="J1045">
        <v>4.7686782596487502E-2</v>
      </c>
      <c r="K1045">
        <v>4.0850775971868501E-2</v>
      </c>
      <c r="L1045">
        <v>1436.0685892029801</v>
      </c>
      <c r="M1045">
        <v>28.793598291229902</v>
      </c>
      <c r="N1045">
        <v>50.289119483059103</v>
      </c>
      <c r="O1045">
        <v>49.635874371095802</v>
      </c>
      <c r="P1045">
        <v>-0.12970408519472801</v>
      </c>
      <c r="Q1045">
        <v>0.105644896777933</v>
      </c>
      <c r="R1045">
        <v>0.96084791279483694</v>
      </c>
      <c r="S1045" t="s">
        <v>8048</v>
      </c>
      <c r="T1045" t="s">
        <v>14004</v>
      </c>
      <c r="U1045" t="s">
        <v>14004</v>
      </c>
      <c r="V1045" t="s">
        <v>14004</v>
      </c>
      <c r="W1045" t="s">
        <v>15030</v>
      </c>
      <c r="X1045">
        <v>6</v>
      </c>
      <c r="Y1045" t="s">
        <v>21964</v>
      </c>
      <c r="Z1045" t="s">
        <v>28755</v>
      </c>
      <c r="AA1045">
        <v>0.40602354493966231</v>
      </c>
      <c r="AB1045" t="str">
        <f>HYPERLINK("Melting_Curves/meltCurve_H6UMI1_GABARAP.pdf", "Melting_Curves/meltCurve_H6UMI1_GABARAP.pdf")</f>
        <v>Melting_Curves/meltCurve_H6UMI1_GABARAP.pdf</v>
      </c>
    </row>
    <row r="1046" spans="1:28" x14ac:dyDescent="0.25">
      <c r="A1046" t="s">
        <v>1050</v>
      </c>
      <c r="B1046">
        <v>0.99999676499088797</v>
      </c>
      <c r="C1046">
        <v>0.93596144523275604</v>
      </c>
      <c r="D1046">
        <v>0.87390688118679205</v>
      </c>
      <c r="E1046">
        <v>0.65908636722540004</v>
      </c>
      <c r="F1046">
        <v>0.26825487611535198</v>
      </c>
      <c r="G1046">
        <v>0.14879519495658899</v>
      </c>
      <c r="H1046">
        <v>7.5860491137827293E-2</v>
      </c>
      <c r="I1046">
        <v>5.5562705007559998E-2</v>
      </c>
      <c r="J1046">
        <v>5.4449669889235101E-2</v>
      </c>
      <c r="K1046">
        <v>4.57801071972729E-2</v>
      </c>
      <c r="L1046">
        <v>1046.5306215446899</v>
      </c>
      <c r="M1046">
        <v>20.668169765277302</v>
      </c>
      <c r="N1046">
        <v>50.864387056513102</v>
      </c>
      <c r="O1046">
        <v>50.168025631255901</v>
      </c>
      <c r="P1046">
        <v>-9.8412460867214002E-2</v>
      </c>
      <c r="Q1046">
        <v>4.4517671929152201E-2</v>
      </c>
      <c r="R1046">
        <v>0.99681304050866004</v>
      </c>
      <c r="S1046" t="s">
        <v>8049</v>
      </c>
      <c r="T1046" t="s">
        <v>14004</v>
      </c>
      <c r="U1046" t="s">
        <v>14004</v>
      </c>
      <c r="V1046" t="s">
        <v>14004</v>
      </c>
      <c r="W1046" t="s">
        <v>15031</v>
      </c>
      <c r="X1046">
        <v>3</v>
      </c>
      <c r="Y1046" t="s">
        <v>21965</v>
      </c>
      <c r="Z1046" t="s">
        <v>28756</v>
      </c>
      <c r="AA1046">
        <v>0.39570128780272701</v>
      </c>
      <c r="AB1046" t="str">
        <f>HYPERLINK("Melting_Curves/meltCurve_H7BXD5_GCA.pdf", "Melting_Curves/meltCurve_H7BXD5_GCA.pdf")</f>
        <v>Melting_Curves/meltCurve_H7BXD5_GCA.pdf</v>
      </c>
    </row>
    <row r="1047" spans="1:28" x14ac:dyDescent="0.25">
      <c r="A1047" t="s">
        <v>1051</v>
      </c>
      <c r="B1047">
        <v>0.99999676499088797</v>
      </c>
      <c r="C1047">
        <v>0.91550181230452699</v>
      </c>
      <c r="D1047">
        <v>0.91344483028378398</v>
      </c>
      <c r="E1047">
        <v>0.77061545336551496</v>
      </c>
      <c r="F1047">
        <v>0.21140386719005</v>
      </c>
      <c r="G1047">
        <v>0.127425723439515</v>
      </c>
      <c r="H1047">
        <v>6.0059206037921302E-2</v>
      </c>
      <c r="I1047">
        <v>5.5338044133524097E-2</v>
      </c>
      <c r="J1047">
        <v>4.8097267153405399E-2</v>
      </c>
      <c r="K1047">
        <v>3.8261605346461697E-2</v>
      </c>
      <c r="L1047">
        <v>1793.3903288791901</v>
      </c>
      <c r="M1047">
        <v>35.145411212181997</v>
      </c>
      <c r="N1047">
        <v>51.201418396459601</v>
      </c>
      <c r="O1047">
        <v>50.863365320243702</v>
      </c>
      <c r="P1047">
        <v>-0.16303713432304201</v>
      </c>
      <c r="Q1047">
        <v>5.6196735063525002E-2</v>
      </c>
      <c r="R1047">
        <v>0.99073912902255101</v>
      </c>
      <c r="S1047" t="s">
        <v>8050</v>
      </c>
      <c r="T1047" t="s">
        <v>14004</v>
      </c>
      <c r="U1047" t="s">
        <v>14004</v>
      </c>
      <c r="V1047" t="s">
        <v>14004</v>
      </c>
      <c r="W1047" t="s">
        <v>15032</v>
      </c>
      <c r="X1047">
        <v>6</v>
      </c>
      <c r="Y1047" t="s">
        <v>21966</v>
      </c>
      <c r="Z1047" t="s">
        <v>28757</v>
      </c>
      <c r="AA1047">
        <v>0.40744975819856621</v>
      </c>
      <c r="AB1047" t="str">
        <f>HYPERLINK("Melting_Curves/meltCurve_H7BXF4_SMPD4.pdf", "Melting_Curves/meltCurve_H7BXF4_SMPD4.pdf")</f>
        <v>Melting_Curves/meltCurve_H7BXF4_SMPD4.pdf</v>
      </c>
    </row>
    <row r="1048" spans="1:28" x14ac:dyDescent="0.25">
      <c r="A1048" t="s">
        <v>1052</v>
      </c>
      <c r="B1048">
        <v>0.99999676499088797</v>
      </c>
      <c r="C1048">
        <v>0.74287717703288303</v>
      </c>
      <c r="D1048">
        <v>0.53893361501110904</v>
      </c>
      <c r="E1048">
        <v>0.279888663508845</v>
      </c>
      <c r="F1048">
        <v>0.196176184656942</v>
      </c>
      <c r="G1048">
        <v>0.14115101930371801</v>
      </c>
      <c r="H1048">
        <v>0.10008375651021099</v>
      </c>
      <c r="I1048">
        <v>0.111293496202394</v>
      </c>
      <c r="J1048">
        <v>0.122508625469352</v>
      </c>
      <c r="K1048">
        <v>0.127863257112387</v>
      </c>
      <c r="L1048">
        <v>825.08329202045502</v>
      </c>
      <c r="M1048">
        <v>18.081827225103101</v>
      </c>
      <c r="N1048">
        <v>46.299844093683603</v>
      </c>
      <c r="O1048">
        <v>45.083395694053799</v>
      </c>
      <c r="P1048">
        <v>-8.87406984769505E-2</v>
      </c>
      <c r="Q1048">
        <v>0.115014632117965</v>
      </c>
      <c r="R1048">
        <v>0.99171804750479997</v>
      </c>
      <c r="S1048" t="s">
        <v>8051</v>
      </c>
      <c r="T1048" t="s">
        <v>14004</v>
      </c>
      <c r="U1048" t="s">
        <v>14004</v>
      </c>
      <c r="V1048" t="s">
        <v>14004</v>
      </c>
      <c r="W1048" t="s">
        <v>15033</v>
      </c>
      <c r="X1048">
        <v>3</v>
      </c>
      <c r="Y1048" t="s">
        <v>21967</v>
      </c>
      <c r="Z1048" t="s">
        <v>28758</v>
      </c>
      <c r="AA1048">
        <v>0.29884335673962859</v>
      </c>
      <c r="AB1048" t="str">
        <f>HYPERLINK("Melting_Curves/meltCurve_H7BXF5_SAP130.pdf", "Melting_Curves/meltCurve_H7BXF5_SAP130.pdf")</f>
        <v>Melting_Curves/meltCurve_H7BXF5_SAP130.pdf</v>
      </c>
    </row>
    <row r="1049" spans="1:28" x14ac:dyDescent="0.25">
      <c r="A1049" t="s">
        <v>1053</v>
      </c>
      <c r="B1049">
        <v>0.99999676499088797</v>
      </c>
      <c r="C1049">
        <v>1.0205467404606601</v>
      </c>
      <c r="D1049">
        <v>1.0701245596311399</v>
      </c>
      <c r="E1049">
        <v>1.2731460250250699</v>
      </c>
      <c r="F1049">
        <v>0.88172557115071504</v>
      </c>
      <c r="G1049">
        <v>0.33473849956063001</v>
      </c>
      <c r="H1049">
        <v>0.152924565401862</v>
      </c>
      <c r="I1049">
        <v>0.106514311072287</v>
      </c>
      <c r="J1049">
        <v>0.121362636738842</v>
      </c>
      <c r="K1049">
        <v>0.15169116035765501</v>
      </c>
      <c r="L1049">
        <v>2723.6734087064701</v>
      </c>
      <c r="M1049">
        <v>49.163614933294902</v>
      </c>
      <c r="N1049">
        <v>55.743543714121003</v>
      </c>
      <c r="O1049">
        <v>55.308757342812697</v>
      </c>
      <c r="P1049">
        <v>-0.19319335462922099</v>
      </c>
      <c r="Q1049">
        <v>0.13063557816319099</v>
      </c>
      <c r="R1049">
        <v>0.95912181038561795</v>
      </c>
      <c r="S1049" t="s">
        <v>8052</v>
      </c>
      <c r="T1049" t="s">
        <v>14004</v>
      </c>
      <c r="U1049" t="s">
        <v>14004</v>
      </c>
      <c r="V1049" t="s">
        <v>14004</v>
      </c>
      <c r="W1049" t="s">
        <v>15034</v>
      </c>
      <c r="X1049">
        <v>23</v>
      </c>
      <c r="Y1049" t="s">
        <v>21968</v>
      </c>
      <c r="Z1049" t="s">
        <v>28759</v>
      </c>
      <c r="AA1049">
        <v>0.57911057893204887</v>
      </c>
      <c r="AB1049" t="str">
        <f>HYPERLINK("Melting_Curves/meltCurve_H7BXH2_PPP6R3.pdf", "Melting_Curves/meltCurve_H7BXH2_PPP6R3.pdf")</f>
        <v>Melting_Curves/meltCurve_H7BXH2_PPP6R3.pdf</v>
      </c>
    </row>
    <row r="1050" spans="1:28" x14ac:dyDescent="0.25">
      <c r="A1050" t="s">
        <v>1054</v>
      </c>
      <c r="B1050">
        <v>0.99999676499088797</v>
      </c>
      <c r="C1050">
        <v>0.84487705089978105</v>
      </c>
      <c r="D1050">
        <v>0.88243022987146202</v>
      </c>
      <c r="E1050">
        <v>0.73432898156728899</v>
      </c>
      <c r="F1050">
        <v>0.51360235503792395</v>
      </c>
      <c r="G1050">
        <v>0.36704016292064801</v>
      </c>
      <c r="H1050">
        <v>0.118749207273094</v>
      </c>
      <c r="I1050">
        <v>9.6989367356518696E-2</v>
      </c>
      <c r="J1050">
        <v>0.104770664608328</v>
      </c>
      <c r="K1050">
        <v>0.101505780069844</v>
      </c>
      <c r="L1050">
        <v>641.977654606643</v>
      </c>
      <c r="M1050">
        <v>12.0516025863856</v>
      </c>
      <c r="N1050">
        <v>53.360183746912398</v>
      </c>
      <c r="O1050">
        <v>51.8659856262611</v>
      </c>
      <c r="P1050">
        <v>-5.7512128583450901E-2</v>
      </c>
      <c r="Q1050">
        <v>1.01843656383924E-2</v>
      </c>
      <c r="R1050">
        <v>0.98229146551026902</v>
      </c>
      <c r="S1050" t="s">
        <v>8053</v>
      </c>
      <c r="T1050" t="s">
        <v>14004</v>
      </c>
      <c r="U1050" t="s">
        <v>14004</v>
      </c>
      <c r="V1050" t="s">
        <v>14004</v>
      </c>
      <c r="W1050" t="s">
        <v>15035</v>
      </c>
      <c r="X1050">
        <v>2</v>
      </c>
      <c r="Y1050" t="s">
        <v>21969</v>
      </c>
      <c r="Z1050" t="s">
        <v>28760</v>
      </c>
      <c r="AA1050">
        <v>0.47543531217034302</v>
      </c>
      <c r="AB1050" t="str">
        <f>HYPERLINK("Melting_Curves/meltCurve_H7BXH9_METTL21A.pdf", "Melting_Curves/meltCurve_H7BXH9_METTL21A.pdf")</f>
        <v>Melting_Curves/meltCurve_H7BXH9_METTL21A.pdf</v>
      </c>
    </row>
    <row r="1051" spans="1:28" x14ac:dyDescent="0.25">
      <c r="A1051" t="s">
        <v>1055</v>
      </c>
      <c r="B1051">
        <v>0.99999676499088797</v>
      </c>
      <c r="C1051">
        <v>1.0296656288516099</v>
      </c>
      <c r="D1051">
        <v>0.91782913333999605</v>
      </c>
      <c r="E1051">
        <v>0.70518777355273998</v>
      </c>
      <c r="F1051">
        <v>0.36061204176221801</v>
      </c>
      <c r="G1051">
        <v>0.17979457964699899</v>
      </c>
      <c r="H1051">
        <v>7.6895991911779496E-2</v>
      </c>
      <c r="I1051">
        <v>6.9987635459182407E-2</v>
      </c>
      <c r="J1051">
        <v>6.1071334901477897E-2</v>
      </c>
      <c r="K1051">
        <v>4.77579374783694E-2</v>
      </c>
      <c r="L1051">
        <v>1086.4106705856</v>
      </c>
      <c r="M1051">
        <v>21.114137626627201</v>
      </c>
      <c r="N1051">
        <v>51.717349300433902</v>
      </c>
      <c r="O1051">
        <v>50.999297556591799</v>
      </c>
      <c r="P1051">
        <v>-9.8232838913264897E-2</v>
      </c>
      <c r="Q1051">
        <v>5.0934659886020299E-2</v>
      </c>
      <c r="R1051">
        <v>0.99848008611403805</v>
      </c>
      <c r="S1051" t="s">
        <v>8054</v>
      </c>
      <c r="T1051" t="s">
        <v>14004</v>
      </c>
      <c r="U1051" t="s">
        <v>14004</v>
      </c>
      <c r="V1051" t="s">
        <v>14004</v>
      </c>
      <c r="W1051" t="s">
        <v>15036</v>
      </c>
      <c r="X1051">
        <v>42</v>
      </c>
      <c r="Y1051" t="s">
        <v>21970</v>
      </c>
      <c r="Z1051" t="s">
        <v>28761</v>
      </c>
      <c r="AA1051">
        <v>0.42519466266216288</v>
      </c>
      <c r="AB1051" t="str">
        <f>HYPERLINK("Melting_Curves/meltCurve_H7BXI1_ESYT2.pdf", "Melting_Curves/meltCurve_H7BXI1_ESYT2.pdf")</f>
        <v>Melting_Curves/meltCurve_H7BXI1_ESYT2.pdf</v>
      </c>
    </row>
    <row r="1052" spans="1:28" x14ac:dyDescent="0.25">
      <c r="A1052" t="s">
        <v>1056</v>
      </c>
      <c r="B1052">
        <v>0.99999676499088797</v>
      </c>
      <c r="C1052">
        <v>0.96249706618019304</v>
      </c>
      <c r="D1052">
        <v>0.98620649181993303</v>
      </c>
      <c r="E1052">
        <v>0.93247210675251002</v>
      </c>
      <c r="F1052">
        <v>0.60355274182108998</v>
      </c>
      <c r="G1052">
        <v>0.30067315259782601</v>
      </c>
      <c r="H1052">
        <v>9.5768097336813102E-2</v>
      </c>
      <c r="I1052">
        <v>8.1400060750772496E-2</v>
      </c>
      <c r="J1052">
        <v>7.1028066742345894E-2</v>
      </c>
      <c r="K1052">
        <v>5.6709230148942497E-2</v>
      </c>
      <c r="L1052">
        <v>1334.37024340888</v>
      </c>
      <c r="M1052">
        <v>24.669877240734099</v>
      </c>
      <c r="N1052">
        <v>54.354446928114299</v>
      </c>
      <c r="O1052">
        <v>53.737389915648997</v>
      </c>
      <c r="P1052">
        <v>-0.108260261358197</v>
      </c>
      <c r="Q1052">
        <v>5.6737504209602101E-2</v>
      </c>
      <c r="R1052">
        <v>0.99806387938511099</v>
      </c>
      <c r="S1052" t="s">
        <v>8055</v>
      </c>
      <c r="T1052" t="s">
        <v>14004</v>
      </c>
      <c r="U1052" t="s">
        <v>14004</v>
      </c>
      <c r="V1052" t="s">
        <v>14004</v>
      </c>
      <c r="W1052" t="s">
        <v>15037</v>
      </c>
      <c r="X1052">
        <v>7</v>
      </c>
      <c r="Y1052" t="s">
        <v>21971</v>
      </c>
      <c r="Z1052" t="s">
        <v>28762</v>
      </c>
      <c r="AA1052">
        <v>0.50866990616774654</v>
      </c>
      <c r="AB1052" t="str">
        <f>HYPERLINK("Melting_Curves/meltCurve_H7BXI5_ERGIC3.pdf", "Melting_Curves/meltCurve_H7BXI5_ERGIC3.pdf")</f>
        <v>Melting_Curves/meltCurve_H7BXI5_ERGIC3.pdf</v>
      </c>
    </row>
    <row r="1053" spans="1:28" x14ac:dyDescent="0.25">
      <c r="A1053" t="s">
        <v>1057</v>
      </c>
      <c r="B1053">
        <v>0.99999676499088797</v>
      </c>
      <c r="C1053">
        <v>0.88242311145994301</v>
      </c>
      <c r="D1053">
        <v>0.885875158658601</v>
      </c>
      <c r="E1053">
        <v>0.80210710033847799</v>
      </c>
      <c r="F1053">
        <v>0.83293045020240397</v>
      </c>
      <c r="G1053">
        <v>0.67703883652513597</v>
      </c>
      <c r="H1053">
        <v>0.46143990824718301</v>
      </c>
      <c r="I1053">
        <v>0.33320935115091999</v>
      </c>
      <c r="J1053">
        <v>0.22632358352173099</v>
      </c>
      <c r="K1053">
        <v>0.21208779069557901</v>
      </c>
      <c r="L1053">
        <v>556.140352857121</v>
      </c>
      <c r="M1053">
        <v>9.2913043665665604</v>
      </c>
      <c r="N1053">
        <v>59.855999272645199</v>
      </c>
      <c r="O1053">
        <v>57.279374199788201</v>
      </c>
      <c r="P1053">
        <v>-4.0578681785006697E-2</v>
      </c>
      <c r="Q1053">
        <v>0</v>
      </c>
      <c r="R1053">
        <v>0.965800231681885</v>
      </c>
      <c r="S1053" t="s">
        <v>8056</v>
      </c>
      <c r="T1053" t="s">
        <v>14004</v>
      </c>
      <c r="U1053" t="s">
        <v>14004</v>
      </c>
      <c r="V1053" t="s">
        <v>14004</v>
      </c>
      <c r="W1053" t="s">
        <v>15038</v>
      </c>
      <c r="X1053">
        <v>2</v>
      </c>
      <c r="Y1053" t="s">
        <v>21972</v>
      </c>
      <c r="Z1053" t="s">
        <v>28763</v>
      </c>
      <c r="AA1053">
        <v>0.65581620957869879</v>
      </c>
      <c r="AB1053" t="str">
        <f>HYPERLINK("Melting_Curves/meltCurve_H7BXL1_TMEM41A.pdf", "Melting_Curves/meltCurve_H7BXL1_TMEM41A.pdf")</f>
        <v>Melting_Curves/meltCurve_H7BXL1_TMEM41A.pdf</v>
      </c>
    </row>
    <row r="1054" spans="1:28" x14ac:dyDescent="0.25">
      <c r="A1054" t="s">
        <v>1058</v>
      </c>
      <c r="B1054">
        <v>0.99999676499088797</v>
      </c>
      <c r="C1054">
        <v>0.50332620114684201</v>
      </c>
      <c r="D1054">
        <v>0.23991701037309199</v>
      </c>
      <c r="E1054">
        <v>0.17434661704208801</v>
      </c>
      <c r="F1054">
        <v>0.15728477683400599</v>
      </c>
      <c r="G1054">
        <v>9.0823508208634898E-2</v>
      </c>
      <c r="H1054">
        <v>4.7557283155763803E-2</v>
      </c>
      <c r="I1054">
        <v>4.3370146936566503E-2</v>
      </c>
      <c r="J1054">
        <v>3.0591540562359201E-2</v>
      </c>
      <c r="K1054">
        <v>2.7403601357505601E-2</v>
      </c>
      <c r="L1054">
        <v>1280.1157765687999</v>
      </c>
      <c r="M1054">
        <v>29.757736981937999</v>
      </c>
      <c r="N1054">
        <v>43.2748891564041</v>
      </c>
      <c r="O1054">
        <v>42.825057198061003</v>
      </c>
      <c r="P1054">
        <v>-0.15964906328793599</v>
      </c>
      <c r="Q1054">
        <v>8.0987533534200198E-2</v>
      </c>
      <c r="R1054">
        <v>0.96228050683211097</v>
      </c>
      <c r="S1054" t="s">
        <v>8057</v>
      </c>
      <c r="T1054" t="s">
        <v>14004</v>
      </c>
      <c r="U1054" t="s">
        <v>14004</v>
      </c>
      <c r="V1054" t="s">
        <v>14004</v>
      </c>
      <c r="W1054" t="s">
        <v>15039</v>
      </c>
      <c r="X1054">
        <v>3</v>
      </c>
      <c r="Y1054" t="s">
        <v>21973</v>
      </c>
      <c r="Z1054" t="s">
        <v>28764</v>
      </c>
      <c r="AA1054">
        <v>0.182039681157141</v>
      </c>
      <c r="AB1054" t="str">
        <f>HYPERLINK("Melting_Curves/meltCurve_H7BXR8_ARHGAP19.pdf", "Melting_Curves/meltCurve_H7BXR8_ARHGAP19.pdf")</f>
        <v>Melting_Curves/meltCurve_H7BXR8_ARHGAP19.pdf</v>
      </c>
    </row>
    <row r="1055" spans="1:28" x14ac:dyDescent="0.25">
      <c r="A1055" t="s">
        <v>1059</v>
      </c>
      <c r="B1055">
        <v>0.99999676499088797</v>
      </c>
      <c r="C1055">
        <v>1.27712743266162</v>
      </c>
      <c r="D1055">
        <v>1.15726950633472</v>
      </c>
      <c r="E1055">
        <v>0.81088043405090104</v>
      </c>
      <c r="F1055">
        <v>0.68756962640623198</v>
      </c>
      <c r="G1055">
        <v>0.85038550067690599</v>
      </c>
      <c r="H1055">
        <v>0.52801751140920405</v>
      </c>
      <c r="I1055">
        <v>0.43356980745594098</v>
      </c>
      <c r="J1055">
        <v>0.201235584335893</v>
      </c>
      <c r="K1055">
        <v>0.106752720739516</v>
      </c>
      <c r="L1055">
        <v>767.31173489551099</v>
      </c>
      <c r="M1055">
        <v>12.533834445564199</v>
      </c>
      <c r="N1055">
        <v>61.219233347406302</v>
      </c>
      <c r="O1055">
        <v>59.723557327610102</v>
      </c>
      <c r="P1055">
        <v>-5.2476734161293698E-2</v>
      </c>
      <c r="Q1055">
        <v>0</v>
      </c>
      <c r="R1055">
        <v>0.86269100102286</v>
      </c>
      <c r="S1055" t="s">
        <v>8058</v>
      </c>
      <c r="T1055" t="s">
        <v>14004</v>
      </c>
      <c r="U1055" t="s">
        <v>14004</v>
      </c>
      <c r="V1055" t="s">
        <v>14004</v>
      </c>
      <c r="W1055" t="s">
        <v>15040</v>
      </c>
      <c r="X1055">
        <v>3</v>
      </c>
      <c r="Y1055" t="s">
        <v>21974</v>
      </c>
      <c r="Z1055" t="s">
        <v>28765</v>
      </c>
      <c r="AA1055">
        <v>0.70341470211849633</v>
      </c>
      <c r="AB1055" t="str">
        <f>HYPERLINK("Melting_Curves/meltCurve_H7BXW7_MPC1.pdf", "Melting_Curves/meltCurve_H7BXW7_MPC1.pdf")</f>
        <v>Melting_Curves/meltCurve_H7BXW7_MPC1.pdf</v>
      </c>
    </row>
    <row r="1056" spans="1:28" x14ac:dyDescent="0.25">
      <c r="A1056" t="s">
        <v>1060</v>
      </c>
      <c r="B1056">
        <v>0.99999676499088797</v>
      </c>
      <c r="C1056">
        <v>0.87392711277255497</v>
      </c>
      <c r="D1056">
        <v>0.83356564263267396</v>
      </c>
      <c r="E1056">
        <v>0.78313528593529402</v>
      </c>
      <c r="F1056">
        <v>0.54962583998594094</v>
      </c>
      <c r="G1056">
        <v>0.50123349448669297</v>
      </c>
      <c r="H1056">
        <v>0.196776408135028</v>
      </c>
      <c r="I1056">
        <v>0.14526223252221199</v>
      </c>
      <c r="J1056">
        <v>0.165861632890313</v>
      </c>
      <c r="K1056">
        <v>0.106821670999476</v>
      </c>
      <c r="L1056">
        <v>548.77114499185996</v>
      </c>
      <c r="M1056">
        <v>10.022126389373</v>
      </c>
      <c r="N1056">
        <v>54.7559592945899</v>
      </c>
      <c r="O1056">
        <v>52.709879570768102</v>
      </c>
      <c r="P1056">
        <v>-4.7557308222997398E-2</v>
      </c>
      <c r="Q1056">
        <v>0</v>
      </c>
      <c r="R1056">
        <v>0.97620526288605303</v>
      </c>
      <c r="S1056" t="s">
        <v>8059</v>
      </c>
      <c r="T1056" t="s">
        <v>14004</v>
      </c>
      <c r="U1056" t="s">
        <v>14004</v>
      </c>
      <c r="V1056" t="s">
        <v>14004</v>
      </c>
      <c r="W1056" t="s">
        <v>15041</v>
      </c>
      <c r="X1056">
        <v>1</v>
      </c>
      <c r="Y1056" t="s">
        <v>21975</v>
      </c>
      <c r="Z1056" t="s">
        <v>28766</v>
      </c>
      <c r="AA1056">
        <v>0.51880430922255305</v>
      </c>
      <c r="AB1056" t="str">
        <f>HYPERLINK("Melting_Curves/meltCurve_H7BXY3_DHX30.pdf", "Melting_Curves/meltCurve_H7BXY3_DHX30.pdf")</f>
        <v>Melting_Curves/meltCurve_H7BXY3_DHX30.pdf</v>
      </c>
    </row>
    <row r="1057" spans="1:28" x14ac:dyDescent="0.25">
      <c r="A1057" t="s">
        <v>1061</v>
      </c>
      <c r="B1057">
        <v>0.99999676499088797</v>
      </c>
      <c r="C1057">
        <v>1.0214750781117099</v>
      </c>
      <c r="D1057">
        <v>0.95108111438201404</v>
      </c>
      <c r="E1057">
        <v>0.89785311697575398</v>
      </c>
      <c r="F1057">
        <v>0.75172132098695799</v>
      </c>
      <c r="G1057">
        <v>0.50234070793516805</v>
      </c>
      <c r="H1057">
        <v>0.31709149167524903</v>
      </c>
      <c r="I1057">
        <v>0.27860882656371699</v>
      </c>
      <c r="J1057">
        <v>0.23159913358176801</v>
      </c>
      <c r="K1057">
        <v>0.17966079511831101</v>
      </c>
      <c r="L1057">
        <v>933.66507717721197</v>
      </c>
      <c r="M1057">
        <v>16.804051696655399</v>
      </c>
      <c r="N1057">
        <v>57.020997288682302</v>
      </c>
      <c r="O1057">
        <v>54.7929307471111</v>
      </c>
      <c r="P1057">
        <v>-6.3277045669870399E-2</v>
      </c>
      <c r="Q1057">
        <v>0.17474414141408001</v>
      </c>
      <c r="R1057">
        <v>0.99712658334079995</v>
      </c>
      <c r="S1057" t="s">
        <v>8060</v>
      </c>
      <c r="T1057" t="s">
        <v>14004</v>
      </c>
      <c r="U1057" t="s">
        <v>14004</v>
      </c>
      <c r="V1057" t="s">
        <v>14004</v>
      </c>
      <c r="W1057" t="s">
        <v>15042</v>
      </c>
      <c r="X1057">
        <v>3</v>
      </c>
      <c r="Y1057" t="s">
        <v>21976</v>
      </c>
      <c r="Z1057" t="s">
        <v>28767</v>
      </c>
      <c r="AA1057">
        <v>0.61635247653647451</v>
      </c>
      <c r="AB1057" t="str">
        <f>HYPERLINK("Melting_Curves/meltCurve_H7BY22_ZBTB44.pdf", "Melting_Curves/meltCurve_H7BY22_ZBTB44.pdf")</f>
        <v>Melting_Curves/meltCurve_H7BY22_ZBTB44.pdf</v>
      </c>
    </row>
    <row r="1058" spans="1:28" x14ac:dyDescent="0.25">
      <c r="A1058" t="s">
        <v>1062</v>
      </c>
      <c r="B1058">
        <v>0.99999676499088797</v>
      </c>
      <c r="C1058">
        <v>0.89750860221061102</v>
      </c>
      <c r="D1058">
        <v>0.896960547751252</v>
      </c>
      <c r="E1058">
        <v>0.94311887681775497</v>
      </c>
      <c r="F1058">
        <v>0.89814426135534697</v>
      </c>
      <c r="G1058">
        <v>0.258067343692019</v>
      </c>
      <c r="H1058">
        <v>0.100557625254558</v>
      </c>
      <c r="I1058">
        <v>7.3863841402317401E-2</v>
      </c>
      <c r="J1058">
        <v>8.9909556437146307E-2</v>
      </c>
      <c r="K1058">
        <v>7.81871892846073E-2</v>
      </c>
      <c r="L1058">
        <v>2915.3528338125202</v>
      </c>
      <c r="M1058">
        <v>52.758726374512101</v>
      </c>
      <c r="N1058">
        <v>55.449619362811902</v>
      </c>
      <c r="O1058">
        <v>55.178990819808497</v>
      </c>
      <c r="P1058">
        <v>-0.21913595061625499</v>
      </c>
      <c r="Q1058">
        <v>8.3246060792273605E-2</v>
      </c>
      <c r="R1058">
        <v>0.98531395834839597</v>
      </c>
      <c r="S1058" t="s">
        <v>8061</v>
      </c>
      <c r="T1058" t="s">
        <v>14004</v>
      </c>
      <c r="U1058" t="s">
        <v>14004</v>
      </c>
      <c r="V1058" t="s">
        <v>14004</v>
      </c>
      <c r="W1058" t="s">
        <v>15043</v>
      </c>
      <c r="X1058">
        <v>11</v>
      </c>
      <c r="Y1058" t="s">
        <v>21977</v>
      </c>
      <c r="Z1058" t="s">
        <v>28768</v>
      </c>
      <c r="AA1058">
        <v>0.55151858073327098</v>
      </c>
      <c r="AB1058" t="str">
        <f>HYPERLINK("Melting_Curves/meltCurve_H7BY58_PCMT1.pdf", "Melting_Curves/meltCurve_H7BY58_PCMT1.pdf")</f>
        <v>Melting_Curves/meltCurve_H7BY58_PCMT1.pdf</v>
      </c>
    </row>
    <row r="1059" spans="1:28" x14ac:dyDescent="0.25">
      <c r="A1059" t="s">
        <v>1063</v>
      </c>
      <c r="B1059">
        <v>0.99999676499088797</v>
      </c>
      <c r="C1059">
        <v>0.71819559639000496</v>
      </c>
      <c r="D1059">
        <v>0.41206974938552698</v>
      </c>
      <c r="E1059">
        <v>0.21736401799966401</v>
      </c>
      <c r="F1059">
        <v>0.18244302654097899</v>
      </c>
      <c r="G1059">
        <v>0.161632194666877</v>
      </c>
      <c r="H1059">
        <v>9.0523374380525906E-2</v>
      </c>
      <c r="I1059">
        <v>6.8564815431701398E-2</v>
      </c>
      <c r="J1059">
        <v>5.3613533118192197E-2</v>
      </c>
      <c r="K1059">
        <v>5.8475437636077501E-2</v>
      </c>
      <c r="L1059">
        <v>906.55760575172098</v>
      </c>
      <c r="M1059">
        <v>20.2182473695959</v>
      </c>
      <c r="N1059">
        <v>45.293935723132599</v>
      </c>
      <c r="O1059">
        <v>44.406851440870497</v>
      </c>
      <c r="P1059">
        <v>-0.10335955504967401</v>
      </c>
      <c r="Q1059">
        <v>9.1962985191725605E-2</v>
      </c>
      <c r="R1059">
        <v>0.98301173399809305</v>
      </c>
      <c r="S1059" t="s">
        <v>8062</v>
      </c>
      <c r="T1059" t="s">
        <v>14004</v>
      </c>
      <c r="U1059" t="s">
        <v>14004</v>
      </c>
      <c r="V1059" t="s">
        <v>14004</v>
      </c>
      <c r="W1059" t="s">
        <v>15044</v>
      </c>
      <c r="X1059">
        <v>7</v>
      </c>
      <c r="Y1059" t="s">
        <v>21978</v>
      </c>
      <c r="Z1059" t="s">
        <v>28769</v>
      </c>
      <c r="AA1059">
        <v>0.25368958608345887</v>
      </c>
      <c r="AB1059" t="str">
        <f>HYPERLINK("Melting_Curves/meltCurve_H7BY84_GTF3C5.pdf", "Melting_Curves/meltCurve_H7BY84_GTF3C5.pdf")</f>
        <v>Melting_Curves/meltCurve_H7BY84_GTF3C5.pdf</v>
      </c>
    </row>
    <row r="1060" spans="1:28" x14ac:dyDescent="0.25">
      <c r="A1060" t="s">
        <v>1064</v>
      </c>
      <c r="B1060">
        <v>0.99999676499088797</v>
      </c>
      <c r="C1060">
        <v>1.0294807183107899</v>
      </c>
      <c r="D1060">
        <v>1.09805746094032</v>
      </c>
      <c r="E1060">
        <v>1.2251367142366401</v>
      </c>
      <c r="F1060">
        <v>1.3040744382915701</v>
      </c>
      <c r="G1060">
        <v>1.05901492532705</v>
      </c>
      <c r="H1060">
        <v>0.69122260463590601</v>
      </c>
      <c r="I1060">
        <v>0.45407252598679398</v>
      </c>
      <c r="J1060">
        <v>0.203392640338145</v>
      </c>
      <c r="K1060">
        <v>0.147626388316351</v>
      </c>
      <c r="L1060">
        <v>2040.6051756471099</v>
      </c>
      <c r="M1060">
        <v>32.629225779362201</v>
      </c>
      <c r="N1060">
        <v>63.1152735028707</v>
      </c>
      <c r="O1060">
        <v>62.305685989710703</v>
      </c>
      <c r="P1060">
        <v>-0.114063507538422</v>
      </c>
      <c r="Q1060">
        <v>0.128784528218473</v>
      </c>
      <c r="R1060">
        <v>0.89340873375518304</v>
      </c>
      <c r="S1060" t="s">
        <v>8063</v>
      </c>
      <c r="T1060" t="s">
        <v>14004</v>
      </c>
      <c r="U1060" t="s">
        <v>14004</v>
      </c>
      <c r="V1060" t="s">
        <v>14004</v>
      </c>
      <c r="W1060" t="s">
        <v>15045</v>
      </c>
      <c r="X1060">
        <v>4</v>
      </c>
      <c r="Y1060" t="s">
        <v>21979</v>
      </c>
      <c r="Z1060" t="s">
        <v>28770</v>
      </c>
      <c r="AA1060">
        <v>0.78673630515144077</v>
      </c>
      <c r="AB1060" t="str">
        <f>HYPERLINK("Melting_Curves/meltCurve_H7BYE5_WRB.pdf", "Melting_Curves/meltCurve_H7BYE5_WRB.pdf")</f>
        <v>Melting_Curves/meltCurve_H7BYE5_WRB.pdf</v>
      </c>
    </row>
    <row r="1061" spans="1:28" x14ac:dyDescent="0.25">
      <c r="A1061" t="s">
        <v>1065</v>
      </c>
      <c r="B1061">
        <v>0.99999676499088797</v>
      </c>
      <c r="C1061">
        <v>0.86452143448697605</v>
      </c>
      <c r="D1061">
        <v>0.99079315568957405</v>
      </c>
      <c r="E1061">
        <v>0.82660105385315996</v>
      </c>
      <c r="F1061">
        <v>0.76066188810073598</v>
      </c>
      <c r="G1061">
        <v>0.53386761641043901</v>
      </c>
      <c r="H1061">
        <v>0.345464251830288</v>
      </c>
      <c r="I1061">
        <v>0.30265660369650799</v>
      </c>
      <c r="J1061">
        <v>0.36393863463564402</v>
      </c>
      <c r="K1061">
        <v>0.33469935342826901</v>
      </c>
      <c r="L1061">
        <v>890.78289454681999</v>
      </c>
      <c r="M1061">
        <v>16.394827387863401</v>
      </c>
      <c r="N1061">
        <v>57.397927979006802</v>
      </c>
      <c r="O1061">
        <v>53.544100697741797</v>
      </c>
      <c r="P1061">
        <v>-5.4226604491763197E-2</v>
      </c>
      <c r="Q1061">
        <v>0.29165263478002301</v>
      </c>
      <c r="R1061">
        <v>0.96009566251882095</v>
      </c>
      <c r="S1061" t="s">
        <v>8064</v>
      </c>
      <c r="T1061" t="s">
        <v>14004</v>
      </c>
      <c r="U1061" t="s">
        <v>14004</v>
      </c>
      <c r="V1061" t="s">
        <v>14004</v>
      </c>
      <c r="W1061" t="s">
        <v>15046</v>
      </c>
      <c r="X1061">
        <v>4</v>
      </c>
      <c r="Y1061" t="s">
        <v>21980</v>
      </c>
      <c r="Z1061" t="s">
        <v>28771</v>
      </c>
      <c r="AA1061">
        <v>0.6428452884377136</v>
      </c>
      <c r="AB1061" t="str">
        <f>HYPERLINK("Melting_Curves/meltCurve_H7BYP4_SP140L.pdf", "Melting_Curves/meltCurve_H7BYP4_SP140L.pdf")</f>
        <v>Melting_Curves/meltCurve_H7BYP4_SP140L.pdf</v>
      </c>
    </row>
    <row r="1062" spans="1:28" x14ac:dyDescent="0.25">
      <c r="A1062" t="s">
        <v>1066</v>
      </c>
      <c r="B1062">
        <v>0.99999676499088797</v>
      </c>
      <c r="C1062">
        <v>0.87106634253958004</v>
      </c>
      <c r="D1062">
        <v>0.85339649675386697</v>
      </c>
      <c r="E1062">
        <v>0.78514926904122295</v>
      </c>
      <c r="F1062">
        <v>0.741344740929196</v>
      </c>
      <c r="G1062">
        <v>0.57860638389510899</v>
      </c>
      <c r="H1062">
        <v>0.44653669636254001</v>
      </c>
      <c r="I1062">
        <v>0.50815368855945997</v>
      </c>
      <c r="J1062">
        <v>0.45134097737537499</v>
      </c>
      <c r="K1062">
        <v>0.71957315538845501</v>
      </c>
      <c r="L1062">
        <v>597.62516675424501</v>
      </c>
      <c r="M1062">
        <v>12.0329472256649</v>
      </c>
      <c r="O1062">
        <v>48.353668062821598</v>
      </c>
      <c r="P1062">
        <v>-3.0196469384906399E-2</v>
      </c>
      <c r="Q1062">
        <v>0.51474492424575702</v>
      </c>
      <c r="R1062">
        <v>0.78637891561077899</v>
      </c>
      <c r="S1062" t="s">
        <v>8065</v>
      </c>
      <c r="T1062" t="s">
        <v>14004</v>
      </c>
      <c r="U1062" t="s">
        <v>14004</v>
      </c>
      <c r="V1062" t="s">
        <v>14004</v>
      </c>
      <c r="W1062" t="s">
        <v>15047</v>
      </c>
      <c r="X1062">
        <v>33</v>
      </c>
      <c r="Y1062" t="s">
        <v>21903</v>
      </c>
      <c r="Z1062" t="s">
        <v>28772</v>
      </c>
      <c r="AA1062">
        <v>0.68814670820801427</v>
      </c>
      <c r="AB1062" t="str">
        <f>HYPERLINK("Melting_Curves/meltCurve_H7BYY1_TPM1.pdf", "Melting_Curves/meltCurve_H7BYY1_TPM1.pdf")</f>
        <v>Melting_Curves/meltCurve_H7BYY1_TPM1.pdf</v>
      </c>
    </row>
    <row r="1063" spans="1:28" x14ac:dyDescent="0.25">
      <c r="A1063" t="s">
        <v>1067</v>
      </c>
      <c r="B1063">
        <v>0.99999676499088797</v>
      </c>
      <c r="C1063">
        <v>1.0097141181298499</v>
      </c>
      <c r="D1063">
        <v>1.07065848258317</v>
      </c>
      <c r="E1063">
        <v>1.0754529601837599</v>
      </c>
      <c r="F1063">
        <v>0.86064152640937996</v>
      </c>
      <c r="G1063">
        <v>0.74248350305489896</v>
      </c>
      <c r="H1063">
        <v>0.33559230223259201</v>
      </c>
      <c r="I1063">
        <v>0.23105519949049499</v>
      </c>
      <c r="J1063">
        <v>0.154929527906358</v>
      </c>
      <c r="K1063">
        <v>0.169091779301004</v>
      </c>
      <c r="L1063">
        <v>1517.2066699782399</v>
      </c>
      <c r="M1063">
        <v>26.0545373584803</v>
      </c>
      <c r="N1063">
        <v>59.003279521607602</v>
      </c>
      <c r="O1063">
        <v>57.892161244203599</v>
      </c>
      <c r="P1063">
        <v>-9.6275169024569895E-2</v>
      </c>
      <c r="Q1063">
        <v>0.144331151368599</v>
      </c>
      <c r="R1063">
        <v>0.98591368088706699</v>
      </c>
      <c r="S1063" t="s">
        <v>8066</v>
      </c>
      <c r="T1063" t="s">
        <v>14004</v>
      </c>
      <c r="U1063" t="s">
        <v>14004</v>
      </c>
      <c r="V1063" t="s">
        <v>14004</v>
      </c>
      <c r="W1063" t="s">
        <v>14938</v>
      </c>
      <c r="X1063">
        <v>9</v>
      </c>
      <c r="Z1063" t="s">
        <v>28773</v>
      </c>
      <c r="AA1063">
        <v>0.67129909001517973</v>
      </c>
      <c r="AB1063" t="str">
        <f>HYPERLINK("Melting_Curves/meltCurve_H7BZ11_.pdf", "Melting_Curves/meltCurve_H7BZ11_.pdf")</f>
        <v>Melting_Curves/meltCurve_H7BZ11_.pdf</v>
      </c>
    </row>
    <row r="1064" spans="1:28" x14ac:dyDescent="0.25">
      <c r="A1064" t="s">
        <v>1068</v>
      </c>
      <c r="B1064">
        <v>0.99999676499088797</v>
      </c>
      <c r="C1064">
        <v>1.01744975971259</v>
      </c>
      <c r="D1064">
        <v>0.90625602394885096</v>
      </c>
      <c r="E1064">
        <v>0.47021485809387398</v>
      </c>
      <c r="F1064">
        <v>0.33370776607451402</v>
      </c>
      <c r="G1064">
        <v>0.18017421345934301</v>
      </c>
      <c r="H1064">
        <v>0.107520308615555</v>
      </c>
      <c r="I1064">
        <v>9.6467960846840506E-2</v>
      </c>
      <c r="J1064">
        <v>9.1359648883263603E-2</v>
      </c>
      <c r="K1064">
        <v>8.5538263073190499E-2</v>
      </c>
      <c r="L1064">
        <v>1061.6386508626699</v>
      </c>
      <c r="M1064">
        <v>21.4154066747687</v>
      </c>
      <c r="N1064">
        <v>50.093622810033203</v>
      </c>
      <c r="O1064">
        <v>49.147394025892297</v>
      </c>
      <c r="P1064">
        <v>-9.8079668277420595E-2</v>
      </c>
      <c r="Q1064">
        <v>9.9668518244176496E-2</v>
      </c>
      <c r="R1064">
        <v>0.98863033312475102</v>
      </c>
      <c r="S1064" t="s">
        <v>8067</v>
      </c>
      <c r="T1064" t="s">
        <v>14004</v>
      </c>
      <c r="U1064" t="s">
        <v>14004</v>
      </c>
      <c r="V1064" t="s">
        <v>14004</v>
      </c>
      <c r="W1064" t="s">
        <v>15048</v>
      </c>
      <c r="X1064">
        <v>11</v>
      </c>
      <c r="Y1064" t="s">
        <v>21836</v>
      </c>
      <c r="Z1064" t="s">
        <v>28774</v>
      </c>
      <c r="AA1064">
        <v>0.39793849197506009</v>
      </c>
      <c r="AB1064" t="str">
        <f>HYPERLINK("Melting_Curves/meltCurve_H7BZJ3_PDIA3.pdf", "Melting_Curves/meltCurve_H7BZJ3_PDIA3.pdf")</f>
        <v>Melting_Curves/meltCurve_H7BZJ3_PDIA3.pdf</v>
      </c>
    </row>
    <row r="1065" spans="1:28" x14ac:dyDescent="0.25">
      <c r="A1065" t="s">
        <v>1069</v>
      </c>
      <c r="B1065">
        <v>0.99999676499088797</v>
      </c>
      <c r="C1065">
        <v>0.86027625887492698</v>
      </c>
      <c r="D1065">
        <v>0.67445866915514097</v>
      </c>
      <c r="E1065">
        <v>0.57830410448323299</v>
      </c>
      <c r="F1065">
        <v>0.73049534210459199</v>
      </c>
      <c r="G1065">
        <v>0.76232388432235998</v>
      </c>
      <c r="H1065">
        <v>0.54963680003579296</v>
      </c>
      <c r="I1065">
        <v>0.60941038879781295</v>
      </c>
      <c r="J1065">
        <v>0.55248335998345</v>
      </c>
      <c r="K1065">
        <v>0.56905267073842303</v>
      </c>
      <c r="L1065">
        <v>1671.86613194601</v>
      </c>
      <c r="M1065">
        <v>38.389397701001599</v>
      </c>
      <c r="O1065">
        <v>43.432538622355203</v>
      </c>
      <c r="P1065">
        <v>-8.3496420699148102E-2</v>
      </c>
      <c r="Q1065">
        <v>0.62214022633477595</v>
      </c>
      <c r="R1065">
        <v>0.77066610784711598</v>
      </c>
      <c r="S1065" t="s">
        <v>8068</v>
      </c>
      <c r="T1065" t="s">
        <v>14004</v>
      </c>
      <c r="U1065" t="s">
        <v>14004</v>
      </c>
      <c r="V1065" t="s">
        <v>14004</v>
      </c>
      <c r="W1065" t="s">
        <v>14292</v>
      </c>
      <c r="X1065">
        <v>3</v>
      </c>
      <c r="Z1065" t="s">
        <v>28775</v>
      </c>
      <c r="AA1065">
        <v>0.66846760787674453</v>
      </c>
      <c r="AB1065" t="str">
        <f>HYPERLINK("Melting_Curves/meltCurve_H7BZT4_.pdf", "Melting_Curves/meltCurve_H7BZT4_.pdf")</f>
        <v>Melting_Curves/meltCurve_H7BZT4_.pdf</v>
      </c>
    </row>
    <row r="1066" spans="1:28" x14ac:dyDescent="0.25">
      <c r="A1066" t="s">
        <v>1070</v>
      </c>
      <c r="B1066">
        <v>0.99999676499088797</v>
      </c>
      <c r="C1066">
        <v>0.92336001567652803</v>
      </c>
      <c r="D1066">
        <v>0.88483645078181095</v>
      </c>
      <c r="E1066">
        <v>0.41784083095358099</v>
      </c>
      <c r="F1066">
        <v>0.245857871030456</v>
      </c>
      <c r="G1066">
        <v>0.13120264092874001</v>
      </c>
      <c r="H1066">
        <v>8.4380407565002799E-2</v>
      </c>
      <c r="I1066">
        <v>5.72831200664881E-2</v>
      </c>
      <c r="J1066">
        <v>6.1796339836057597E-2</v>
      </c>
      <c r="K1066">
        <v>7.51025711807803E-2</v>
      </c>
      <c r="L1066">
        <v>1129.55482055517</v>
      </c>
      <c r="M1066">
        <v>23.067051755616099</v>
      </c>
      <c r="N1066">
        <v>49.312717673537598</v>
      </c>
      <c r="O1066">
        <v>48.604747688101398</v>
      </c>
      <c r="P1066">
        <v>-0.10982137276278001</v>
      </c>
      <c r="Q1066">
        <v>7.4395570358678706E-2</v>
      </c>
      <c r="R1066">
        <v>0.992452930020432</v>
      </c>
      <c r="S1066" t="s">
        <v>8069</v>
      </c>
      <c r="T1066" t="s">
        <v>14004</v>
      </c>
      <c r="U1066" t="s">
        <v>14004</v>
      </c>
      <c r="V1066" t="s">
        <v>14004</v>
      </c>
      <c r="W1066" t="s">
        <v>15049</v>
      </c>
      <c r="X1066">
        <v>2</v>
      </c>
      <c r="Y1066" t="s">
        <v>21981</v>
      </c>
      <c r="Z1066" t="s">
        <v>28776</v>
      </c>
      <c r="AA1066">
        <v>0.36077990272625332</v>
      </c>
      <c r="AB1066" t="str">
        <f>HYPERLINK("Melting_Curves/meltCurve_H7C0S3_CDKN3.pdf", "Melting_Curves/meltCurve_H7C0S3_CDKN3.pdf")</f>
        <v>Melting_Curves/meltCurve_H7C0S3_CDKN3.pdf</v>
      </c>
    </row>
    <row r="1067" spans="1:28" x14ac:dyDescent="0.25">
      <c r="A1067" t="s">
        <v>1071</v>
      </c>
      <c r="B1067">
        <v>0.99999676499088797</v>
      </c>
      <c r="C1067">
        <v>1.13718812950715</v>
      </c>
      <c r="D1067">
        <v>1.1769948411500499</v>
      </c>
      <c r="E1067">
        <v>1.0033611028318301</v>
      </c>
      <c r="F1067">
        <v>0.93580784403773798</v>
      </c>
      <c r="G1067">
        <v>0.75487762617715404</v>
      </c>
      <c r="H1067">
        <v>0.49324292065758701</v>
      </c>
      <c r="I1067">
        <v>0.46243630255420698</v>
      </c>
      <c r="J1067">
        <v>0.30507296239006898</v>
      </c>
      <c r="K1067">
        <v>0.25888565446697898</v>
      </c>
      <c r="L1067">
        <v>1148.4546665016001</v>
      </c>
      <c r="M1067">
        <v>19.407378192592301</v>
      </c>
      <c r="N1067">
        <v>61.345731991555397</v>
      </c>
      <c r="O1067">
        <v>58.558635366986302</v>
      </c>
      <c r="P1067">
        <v>-6.2284100385974102E-2</v>
      </c>
      <c r="Q1067">
        <v>0.24829861137116399</v>
      </c>
      <c r="R1067">
        <v>0.94503899210720299</v>
      </c>
      <c r="S1067" t="s">
        <v>8070</v>
      </c>
      <c r="T1067" t="s">
        <v>14004</v>
      </c>
      <c r="U1067" t="s">
        <v>14004</v>
      </c>
      <c r="V1067" t="s">
        <v>14004</v>
      </c>
      <c r="W1067" t="s">
        <v>15050</v>
      </c>
      <c r="X1067">
        <v>4</v>
      </c>
      <c r="Y1067" t="s">
        <v>21982</v>
      </c>
      <c r="Z1067" t="s">
        <v>28777</v>
      </c>
      <c r="AA1067">
        <v>0.73627604723081341</v>
      </c>
      <c r="AB1067" t="str">
        <f>HYPERLINK("Melting_Curves/meltCurve_H7C0V4_RTN4R.pdf", "Melting_Curves/meltCurve_H7C0V4_RTN4R.pdf")</f>
        <v>Melting_Curves/meltCurve_H7C0V4_RTN4R.pdf</v>
      </c>
    </row>
    <row r="1068" spans="1:28" x14ac:dyDescent="0.25">
      <c r="A1068" t="s">
        <v>1072</v>
      </c>
      <c r="B1068">
        <v>0.99999676499088797</v>
      </c>
      <c r="C1068">
        <v>0.89573620478584504</v>
      </c>
      <c r="D1068">
        <v>0.77410963428827895</v>
      </c>
      <c r="E1068">
        <v>0.59996242333517402</v>
      </c>
      <c r="F1068">
        <v>0.418203232089916</v>
      </c>
      <c r="G1068">
        <v>0.27506496329101399</v>
      </c>
      <c r="H1068">
        <v>0.180674786124985</v>
      </c>
      <c r="I1068">
        <v>0.18900881475767201</v>
      </c>
      <c r="J1068">
        <v>0.240188276132384</v>
      </c>
      <c r="K1068">
        <v>0.32732122945902797</v>
      </c>
      <c r="L1068">
        <v>769.66740164306896</v>
      </c>
      <c r="M1068">
        <v>15.707750118115101</v>
      </c>
      <c r="N1068">
        <v>50.8569390157028</v>
      </c>
      <c r="O1068">
        <v>48.2256633309416</v>
      </c>
      <c r="P1068">
        <v>-6.3657639620832804E-2</v>
      </c>
      <c r="Q1068">
        <v>0.21830356212136401</v>
      </c>
      <c r="R1068">
        <v>0.97409500409237204</v>
      </c>
      <c r="S1068" t="s">
        <v>8071</v>
      </c>
      <c r="T1068" t="s">
        <v>14004</v>
      </c>
      <c r="U1068" t="s">
        <v>14004</v>
      </c>
      <c r="V1068" t="s">
        <v>14004</v>
      </c>
      <c r="W1068" t="s">
        <v>15051</v>
      </c>
      <c r="X1068">
        <v>10</v>
      </c>
      <c r="Y1068" t="s">
        <v>21983</v>
      </c>
      <c r="Z1068" t="s">
        <v>28778</v>
      </c>
      <c r="AA1068">
        <v>0.4704684955879555</v>
      </c>
      <c r="AB1068" t="str">
        <f>HYPERLINK("Melting_Curves/meltCurve_H7C128_BRD8.pdf", "Melting_Curves/meltCurve_H7C128_BRD8.pdf")</f>
        <v>Melting_Curves/meltCurve_H7C128_BRD8.pdf</v>
      </c>
    </row>
    <row r="1069" spans="1:28" x14ac:dyDescent="0.25">
      <c r="A1069" t="s">
        <v>1073</v>
      </c>
      <c r="B1069">
        <v>0.99999676499088797</v>
      </c>
      <c r="C1069">
        <v>0.98232503844741303</v>
      </c>
      <c r="D1069">
        <v>0.83186307303912099</v>
      </c>
      <c r="E1069">
        <v>0.39311968039482797</v>
      </c>
      <c r="F1069">
        <v>0.34960832592776497</v>
      </c>
      <c r="G1069">
        <v>0.26568668294645098</v>
      </c>
      <c r="H1069">
        <v>0.18578129283084599</v>
      </c>
      <c r="I1069">
        <v>0.18300472411782101</v>
      </c>
      <c r="J1069">
        <v>0.141102597001696</v>
      </c>
      <c r="K1069">
        <v>0.19882874381987201</v>
      </c>
      <c r="L1069">
        <v>1202.2586370075801</v>
      </c>
      <c r="M1069">
        <v>25.001414211545502</v>
      </c>
      <c r="N1069">
        <v>49.081773544723802</v>
      </c>
      <c r="O1069">
        <v>47.783147273065303</v>
      </c>
      <c r="P1069">
        <v>-0.104820320795671</v>
      </c>
      <c r="Q1069">
        <v>0.19867302804185299</v>
      </c>
      <c r="R1069">
        <v>0.98293235974370097</v>
      </c>
      <c r="S1069" t="s">
        <v>8072</v>
      </c>
      <c r="T1069" t="s">
        <v>14004</v>
      </c>
      <c r="U1069" t="s">
        <v>14004</v>
      </c>
      <c r="V1069" t="s">
        <v>14004</v>
      </c>
      <c r="W1069" t="s">
        <v>15052</v>
      </c>
      <c r="X1069">
        <v>7</v>
      </c>
      <c r="Y1069" t="s">
        <v>21984</v>
      </c>
      <c r="Z1069" t="s">
        <v>28779</v>
      </c>
      <c r="AA1069">
        <v>0.42178141404447111</v>
      </c>
      <c r="AB1069" t="str">
        <f>HYPERLINK("Melting_Curves/meltCurve_H7C155_RAF1.pdf", "Melting_Curves/meltCurve_H7C155_RAF1.pdf")</f>
        <v>Melting_Curves/meltCurve_H7C155_RAF1.pdf</v>
      </c>
    </row>
    <row r="1070" spans="1:28" x14ac:dyDescent="0.25">
      <c r="A1070" t="s">
        <v>1074</v>
      </c>
      <c r="B1070">
        <v>0.99999676499088797</v>
      </c>
      <c r="C1070">
        <v>1.4044893008632</v>
      </c>
      <c r="D1070">
        <v>1.29136333441301</v>
      </c>
      <c r="E1070">
        <v>1.2114021253301099</v>
      </c>
      <c r="F1070">
        <v>1.02574105690725</v>
      </c>
      <c r="G1070">
        <v>0.89328012752237795</v>
      </c>
      <c r="H1070">
        <v>0.55161439795447398</v>
      </c>
      <c r="I1070">
        <v>0.57719459910167703</v>
      </c>
      <c r="J1070">
        <v>0.56054223630548095</v>
      </c>
      <c r="K1070">
        <v>0.59626537176493599</v>
      </c>
      <c r="L1070">
        <v>14262.7048572043</v>
      </c>
      <c r="M1070">
        <v>250</v>
      </c>
      <c r="O1070">
        <v>57.047159774207898</v>
      </c>
      <c r="P1070">
        <v>-0.46956303801956101</v>
      </c>
      <c r="Q1070">
        <v>0.57140413191133299</v>
      </c>
      <c r="R1070">
        <v>0.69342685725309205</v>
      </c>
      <c r="S1070" t="s">
        <v>8073</v>
      </c>
      <c r="T1070" t="s">
        <v>14004</v>
      </c>
      <c r="U1070" t="s">
        <v>14004</v>
      </c>
      <c r="V1070" t="s">
        <v>14004</v>
      </c>
      <c r="W1070" t="s">
        <v>15053</v>
      </c>
      <c r="X1070">
        <v>5</v>
      </c>
      <c r="Y1070" t="s">
        <v>21985</v>
      </c>
      <c r="Z1070" t="s">
        <v>28780</v>
      </c>
      <c r="AA1070">
        <v>0.81504406950132779</v>
      </c>
      <c r="AB1070" t="str">
        <f>HYPERLINK("Melting_Curves/meltCurve_H7C173_MZT2B.pdf", "Melting_Curves/meltCurve_H7C173_MZT2B.pdf")</f>
        <v>Melting_Curves/meltCurve_H7C173_MZT2B.pdf</v>
      </c>
    </row>
    <row r="1071" spans="1:28" x14ac:dyDescent="0.25">
      <c r="A1071" t="s">
        <v>1075</v>
      </c>
      <c r="B1071">
        <v>0.99999676499088797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10350.3282191173</v>
      </c>
      <c r="M1071">
        <v>250</v>
      </c>
      <c r="N1071">
        <v>41.401325127109303</v>
      </c>
      <c r="O1071">
        <v>41.398663255941301</v>
      </c>
      <c r="P1071">
        <v>-1.5097105761148699</v>
      </c>
      <c r="Q1071">
        <v>0</v>
      </c>
      <c r="R1071">
        <v>0.99999994485991595</v>
      </c>
      <c r="S1071" t="s">
        <v>8074</v>
      </c>
      <c r="T1071" t="s">
        <v>14004</v>
      </c>
      <c r="U1071" t="s">
        <v>14004</v>
      </c>
      <c r="V1071" t="s">
        <v>14004</v>
      </c>
      <c r="W1071" t="s">
        <v>15054</v>
      </c>
      <c r="X1071">
        <v>2</v>
      </c>
      <c r="Y1071" t="s">
        <v>21986</v>
      </c>
      <c r="Z1071" t="s">
        <v>28781</v>
      </c>
      <c r="AA1071">
        <v>4.6783891473423121E-2</v>
      </c>
      <c r="AB1071" t="str">
        <f>HYPERLINK("Melting_Curves/meltCurve_H7C1F9_RALGAPA2.pdf", "Melting_Curves/meltCurve_H7C1F9_RALGAPA2.pdf")</f>
        <v>Melting_Curves/meltCurve_H7C1F9_RALGAPA2.pdf</v>
      </c>
    </row>
    <row r="1072" spans="1:28" x14ac:dyDescent="0.25">
      <c r="A1072" t="s">
        <v>1076</v>
      </c>
      <c r="B1072">
        <v>0.99999676499088797</v>
      </c>
      <c r="C1072">
        <v>1.0425591492583599</v>
      </c>
      <c r="D1072">
        <v>1.0290253623709</v>
      </c>
      <c r="E1072">
        <v>0.80764812354315696</v>
      </c>
      <c r="F1072">
        <v>0.39591419332995098</v>
      </c>
      <c r="G1072">
        <v>0.36258879241870901</v>
      </c>
      <c r="H1072">
        <v>0.139110433450368</v>
      </c>
      <c r="I1072">
        <v>0.114966736780048</v>
      </c>
      <c r="J1072">
        <v>0.14279994851109001</v>
      </c>
      <c r="K1072">
        <v>0.11354058397018101</v>
      </c>
      <c r="L1072">
        <v>1196.85935312641</v>
      </c>
      <c r="M1072">
        <v>22.946231599022799</v>
      </c>
      <c r="N1072">
        <v>52.855699784199999</v>
      </c>
      <c r="O1072">
        <v>51.768014649125902</v>
      </c>
      <c r="P1072">
        <v>-9.6358858716497006E-2</v>
      </c>
      <c r="Q1072">
        <v>0.130452321822812</v>
      </c>
      <c r="R1072">
        <v>0.98151949367870694</v>
      </c>
      <c r="S1072" t="s">
        <v>8075</v>
      </c>
      <c r="T1072" t="s">
        <v>14004</v>
      </c>
      <c r="U1072" t="s">
        <v>14004</v>
      </c>
      <c r="V1072" t="s">
        <v>14004</v>
      </c>
      <c r="W1072" t="s">
        <v>15055</v>
      </c>
      <c r="X1072">
        <v>1</v>
      </c>
      <c r="Y1072" t="s">
        <v>21987</v>
      </c>
      <c r="Z1072" t="s">
        <v>28782</v>
      </c>
      <c r="AA1072">
        <v>0.49224213224548619</v>
      </c>
      <c r="AB1072" t="str">
        <f>HYPERLINK("Melting_Curves/meltCurve_H7C1I0_SLC35E1.pdf", "Melting_Curves/meltCurve_H7C1I0_SLC35E1.pdf")</f>
        <v>Melting_Curves/meltCurve_H7C1I0_SLC35E1.pdf</v>
      </c>
    </row>
    <row r="1073" spans="1:28" x14ac:dyDescent="0.25">
      <c r="A1073" t="s">
        <v>1077</v>
      </c>
      <c r="B1073">
        <v>0.99999676499088797</v>
      </c>
      <c r="C1073">
        <v>0.92466781307728296</v>
      </c>
      <c r="D1073">
        <v>1.1059620653569</v>
      </c>
      <c r="E1073">
        <v>1.5539514874298099</v>
      </c>
      <c r="F1073">
        <v>1.4271700007417101</v>
      </c>
      <c r="G1073">
        <v>0.86162277415052502</v>
      </c>
      <c r="H1073">
        <v>0.30783958074718398</v>
      </c>
      <c r="I1073">
        <v>0.146511172216194</v>
      </c>
      <c r="J1073">
        <v>0.139610188464452</v>
      </c>
      <c r="K1073">
        <v>0.17604415112786301</v>
      </c>
      <c r="L1073">
        <v>3081.9106976511098</v>
      </c>
      <c r="M1073">
        <v>52.320495379539601</v>
      </c>
      <c r="N1073">
        <v>59.3186603602798</v>
      </c>
      <c r="O1073">
        <v>58.818599777650299</v>
      </c>
      <c r="P1073">
        <v>-0.18835287854824401</v>
      </c>
      <c r="Q1073">
        <v>0.15301683276713501</v>
      </c>
      <c r="R1073">
        <v>0.803085441441724</v>
      </c>
      <c r="S1073" t="s">
        <v>8076</v>
      </c>
      <c r="T1073" t="s">
        <v>14004</v>
      </c>
      <c r="U1073" t="s">
        <v>14004</v>
      </c>
      <c r="V1073" t="s">
        <v>14004</v>
      </c>
      <c r="W1073" t="s">
        <v>14938</v>
      </c>
      <c r="X1073">
        <v>8</v>
      </c>
      <c r="Z1073" t="s">
        <v>28783</v>
      </c>
      <c r="AA1073">
        <v>0.6887393144443269</v>
      </c>
      <c r="AB1073" t="str">
        <f>HYPERLINK("Melting_Curves/meltCurve_H7C1Q1_.pdf", "Melting_Curves/meltCurve_H7C1Q1_.pdf")</f>
        <v>Melting_Curves/meltCurve_H7C1Q1_.pdf</v>
      </c>
    </row>
    <row r="1074" spans="1:28" x14ac:dyDescent="0.25">
      <c r="A1074" t="s">
        <v>1078</v>
      </c>
      <c r="B1074">
        <v>0.99999676499088797</v>
      </c>
      <c r="C1074">
        <v>0.93462937824578696</v>
      </c>
      <c r="D1074">
        <v>0.92304108496598802</v>
      </c>
      <c r="E1074">
        <v>0.62909643504312895</v>
      </c>
      <c r="F1074">
        <v>0.28485096842220903</v>
      </c>
      <c r="G1074">
        <v>0.22541592501267099</v>
      </c>
      <c r="H1074">
        <v>9.5587690642183198E-2</v>
      </c>
      <c r="I1074">
        <v>9.7150370333914798E-2</v>
      </c>
      <c r="J1074">
        <v>7.8275257374148602E-2</v>
      </c>
      <c r="K1074">
        <v>7.4682857292298593E-2</v>
      </c>
      <c r="L1074">
        <v>1049.2247135328901</v>
      </c>
      <c r="M1074">
        <v>20.7733445183535</v>
      </c>
      <c r="N1074">
        <v>50.951517187084498</v>
      </c>
      <c r="O1074">
        <v>50.047154188263001</v>
      </c>
      <c r="P1074">
        <v>-9.5192800877696507E-2</v>
      </c>
      <c r="Q1074">
        <v>8.2671504315949301E-2</v>
      </c>
      <c r="R1074">
        <v>0.99437154708398101</v>
      </c>
      <c r="S1074" t="s">
        <v>8077</v>
      </c>
      <c r="T1074" t="s">
        <v>14004</v>
      </c>
      <c r="U1074" t="s">
        <v>14004</v>
      </c>
      <c r="V1074" t="s">
        <v>14004</v>
      </c>
      <c r="W1074" t="s">
        <v>15056</v>
      </c>
      <c r="X1074">
        <v>13</v>
      </c>
      <c r="Y1074" t="s">
        <v>21988</v>
      </c>
      <c r="Z1074" t="s">
        <v>28784</v>
      </c>
      <c r="AA1074">
        <v>0.41584216162498172</v>
      </c>
      <c r="AB1074" t="str">
        <f>HYPERLINK("Melting_Curves/meltCurve_H7C1U3_CC2D1B.pdf", "Melting_Curves/meltCurve_H7C1U3_CC2D1B.pdf")</f>
        <v>Melting_Curves/meltCurve_H7C1U3_CC2D1B.pdf</v>
      </c>
    </row>
    <row r="1075" spans="1:28" x14ac:dyDescent="0.25">
      <c r="A1075" t="s">
        <v>1079</v>
      </c>
      <c r="B1075">
        <v>0.99999676499088797</v>
      </c>
      <c r="C1075">
        <v>0.85129564172809102</v>
      </c>
      <c r="D1075">
        <v>0.96085508414795695</v>
      </c>
      <c r="E1075">
        <v>1.04284286352893</v>
      </c>
      <c r="F1075">
        <v>0.90375938728141303</v>
      </c>
      <c r="G1075">
        <v>0.77078590352981402</v>
      </c>
      <c r="H1075">
        <v>0.591608168628313</v>
      </c>
      <c r="I1075">
        <v>0.54251643956819995</v>
      </c>
      <c r="J1075">
        <v>0.40515406539371701</v>
      </c>
      <c r="K1075">
        <v>0.43246194709297597</v>
      </c>
      <c r="L1075">
        <v>1037.7656375439699</v>
      </c>
      <c r="M1075">
        <v>17.695055526705001</v>
      </c>
      <c r="N1075">
        <v>64.032534609828701</v>
      </c>
      <c r="O1075">
        <v>57.913571072766501</v>
      </c>
      <c r="P1075">
        <v>-4.6818354927325598E-2</v>
      </c>
      <c r="Q1075">
        <v>0.387111274214056</v>
      </c>
      <c r="R1075">
        <v>0.93923407667124104</v>
      </c>
      <c r="S1075" t="s">
        <v>8078</v>
      </c>
      <c r="T1075" t="s">
        <v>14004</v>
      </c>
      <c r="U1075" t="s">
        <v>14004</v>
      </c>
      <c r="V1075" t="s">
        <v>14004</v>
      </c>
      <c r="W1075" t="s">
        <v>15057</v>
      </c>
      <c r="X1075">
        <v>7</v>
      </c>
      <c r="Y1075" t="s">
        <v>21989</v>
      </c>
      <c r="Z1075" t="s">
        <v>28785</v>
      </c>
      <c r="AA1075">
        <v>0.77502679288547538</v>
      </c>
      <c r="AB1075" t="str">
        <f>HYPERLINK("Melting_Curves/meltCurve_H7C1U8_APOO.pdf", "Melting_Curves/meltCurve_H7C1U8_APOO.pdf")</f>
        <v>Melting_Curves/meltCurve_H7C1U8_APOO.pdf</v>
      </c>
    </row>
    <row r="1076" spans="1:28" x14ac:dyDescent="0.25">
      <c r="A1076" t="s">
        <v>1080</v>
      </c>
      <c r="B1076">
        <v>0.99999676499088797</v>
      </c>
      <c r="C1076">
        <v>0.88583490646759</v>
      </c>
      <c r="D1076">
        <v>1.00337724859955</v>
      </c>
      <c r="E1076">
        <v>1.10868757235505</v>
      </c>
      <c r="F1076">
        <v>1.1129388327348899</v>
      </c>
      <c r="G1076">
        <v>0.87511741080290095</v>
      </c>
      <c r="H1076">
        <v>0.70071079694823202</v>
      </c>
      <c r="I1076">
        <v>0.56389121479251303</v>
      </c>
      <c r="J1076">
        <v>0.46795535521639903</v>
      </c>
      <c r="K1076">
        <v>0.52907033037437501</v>
      </c>
      <c r="L1076">
        <v>1867.6872854456001</v>
      </c>
      <c r="M1076">
        <v>31.213624774922401</v>
      </c>
      <c r="O1076">
        <v>59.591656837047601</v>
      </c>
      <c r="P1076">
        <v>-6.6138057097853406E-2</v>
      </c>
      <c r="Q1076">
        <v>0.49493156746157102</v>
      </c>
      <c r="R1076">
        <v>0.91479721031457495</v>
      </c>
      <c r="S1076" t="s">
        <v>8079</v>
      </c>
      <c r="T1076" t="s">
        <v>14004</v>
      </c>
      <c r="U1076" t="s">
        <v>14004</v>
      </c>
      <c r="V1076" t="s">
        <v>14004</v>
      </c>
      <c r="W1076" t="s">
        <v>15058</v>
      </c>
      <c r="X1076">
        <v>3</v>
      </c>
      <c r="Y1076" t="s">
        <v>21990</v>
      </c>
      <c r="Z1076" t="s">
        <v>28786</v>
      </c>
      <c r="AA1076">
        <v>0.83181548089667745</v>
      </c>
      <c r="AB1076" t="str">
        <f>HYPERLINK("Melting_Curves/meltCurve_H7C285_TSPAN15.pdf", "Melting_Curves/meltCurve_H7C285_TSPAN15.pdf")</f>
        <v>Melting_Curves/meltCurve_H7C285_TSPAN15.pdf</v>
      </c>
    </row>
    <row r="1077" spans="1:28" x14ac:dyDescent="0.25">
      <c r="A1077" t="s">
        <v>1081</v>
      </c>
      <c r="B1077">
        <v>0.99999676499088797</v>
      </c>
      <c r="C1077">
        <v>1.07467524929395</v>
      </c>
      <c r="D1077">
        <v>0.81972924512754997</v>
      </c>
      <c r="E1077">
        <v>0.42708983475541501</v>
      </c>
      <c r="F1077">
        <v>0.47152146452746702</v>
      </c>
      <c r="G1077">
        <v>0.56586831555520101</v>
      </c>
      <c r="H1077">
        <v>0.48954149793544699</v>
      </c>
      <c r="I1077">
        <v>0.78375125760795905</v>
      </c>
      <c r="J1077">
        <v>0.93572717509083803</v>
      </c>
      <c r="K1077">
        <v>1.1027105469215099</v>
      </c>
      <c r="L1077">
        <v>11487.5126004628</v>
      </c>
      <c r="M1077">
        <v>250</v>
      </c>
      <c r="O1077">
        <v>45.947110353271697</v>
      </c>
      <c r="P1077">
        <v>-0.43213309989482501</v>
      </c>
      <c r="Q1077">
        <v>0.68231572783164296</v>
      </c>
      <c r="R1077">
        <v>0.32007525667827103</v>
      </c>
      <c r="S1077" t="s">
        <v>8080</v>
      </c>
      <c r="T1077" t="s">
        <v>14004</v>
      </c>
      <c r="U1077" t="s">
        <v>14004</v>
      </c>
      <c r="V1077" t="s">
        <v>14004</v>
      </c>
      <c r="W1077" t="s">
        <v>15059</v>
      </c>
      <c r="X1077">
        <v>1</v>
      </c>
      <c r="Y1077" t="s">
        <v>21991</v>
      </c>
      <c r="Z1077" t="s">
        <v>28787</v>
      </c>
      <c r="AA1077">
        <v>0.7453492607829566</v>
      </c>
      <c r="AB1077" t="str">
        <f>HYPERLINK("Melting_Curves/meltCurve_H7C3A6_C1orf86.pdf", "Melting_Curves/meltCurve_H7C3A6_C1orf86.pdf")</f>
        <v>Melting_Curves/meltCurve_H7C3A6_C1orf86.pdf</v>
      </c>
    </row>
    <row r="1078" spans="1:28" x14ac:dyDescent="0.25">
      <c r="A1078" t="s">
        <v>1082</v>
      </c>
      <c r="B1078">
        <v>0.99999676499088797</v>
      </c>
      <c r="C1078">
        <v>0.91979361035401197</v>
      </c>
      <c r="D1078">
        <v>1.0095718471396999</v>
      </c>
      <c r="E1078">
        <v>1.39047804753782</v>
      </c>
      <c r="F1078">
        <v>2.0144054601703698</v>
      </c>
      <c r="G1078">
        <v>0.89915425103884905</v>
      </c>
      <c r="H1078">
        <v>0.54693040575581897</v>
      </c>
      <c r="I1078">
        <v>0.28745435896055599</v>
      </c>
      <c r="J1078">
        <v>0.219150769288321</v>
      </c>
      <c r="K1078">
        <v>0.27286991021911899</v>
      </c>
      <c r="L1078">
        <v>3003.55836905656</v>
      </c>
      <c r="M1078">
        <v>49.845875074907397</v>
      </c>
      <c r="N1078">
        <v>61.086414310857599</v>
      </c>
      <c r="O1078">
        <v>60.1601605585386</v>
      </c>
      <c r="P1078">
        <v>-0.156203740942119</v>
      </c>
      <c r="Q1078">
        <v>0.245896754625724</v>
      </c>
      <c r="R1078">
        <v>0.579132344545226</v>
      </c>
      <c r="S1078" t="s">
        <v>8081</v>
      </c>
      <c r="T1078" t="s">
        <v>14004</v>
      </c>
      <c r="U1078" t="s">
        <v>14004</v>
      </c>
      <c r="V1078" t="s">
        <v>14004</v>
      </c>
      <c r="W1078" t="s">
        <v>15060</v>
      </c>
      <c r="X1078">
        <v>2</v>
      </c>
      <c r="Y1078" t="s">
        <v>21992</v>
      </c>
      <c r="Z1078" t="s">
        <v>28788</v>
      </c>
      <c r="AA1078">
        <v>0.7570652123013879</v>
      </c>
      <c r="AB1078" t="str">
        <f>HYPERLINK("Melting_Curves/meltCurve_H7C3D5_FAM134A.pdf", "Melting_Curves/meltCurve_H7C3D5_FAM134A.pdf")</f>
        <v>Melting_Curves/meltCurve_H7C3D5_FAM134A.pdf</v>
      </c>
    </row>
    <row r="1079" spans="1:28" x14ac:dyDescent="0.25">
      <c r="A1079" t="s">
        <v>1083</v>
      </c>
      <c r="B1079">
        <v>0.99999676499088797</v>
      </c>
      <c r="C1079">
        <v>0.948377303321982</v>
      </c>
      <c r="D1079">
        <v>1.05047331324468</v>
      </c>
      <c r="E1079">
        <v>0.89638404867475296</v>
      </c>
      <c r="F1079">
        <v>0.68472318452330505</v>
      </c>
      <c r="G1079">
        <v>0.66050226340806995</v>
      </c>
      <c r="H1079">
        <v>0.44251534907999202</v>
      </c>
      <c r="I1079">
        <v>0.35602200281665902</v>
      </c>
      <c r="J1079">
        <v>0.334812050816993</v>
      </c>
      <c r="K1079">
        <v>0.32459244408089699</v>
      </c>
      <c r="L1079">
        <v>779.24062330546099</v>
      </c>
      <c r="M1079">
        <v>13.9511715314691</v>
      </c>
      <c r="N1079">
        <v>59.204901607022798</v>
      </c>
      <c r="O1079">
        <v>54.744794155619601</v>
      </c>
      <c r="P1079">
        <v>-4.6327003607907397E-2</v>
      </c>
      <c r="Q1079">
        <v>0.27294362723193299</v>
      </c>
      <c r="R1079">
        <v>0.97463104359906005</v>
      </c>
      <c r="S1079" t="s">
        <v>8082</v>
      </c>
      <c r="T1079" t="s">
        <v>14004</v>
      </c>
      <c r="U1079" t="s">
        <v>14004</v>
      </c>
      <c r="V1079" t="s">
        <v>14004</v>
      </c>
      <c r="W1079" t="s">
        <v>15061</v>
      </c>
      <c r="X1079">
        <v>3</v>
      </c>
      <c r="Y1079" t="s">
        <v>21993</v>
      </c>
      <c r="Z1079" t="s">
        <v>28789</v>
      </c>
      <c r="AA1079">
        <v>0.67106087042053986</v>
      </c>
      <c r="AB1079" t="str">
        <f>HYPERLINK("Melting_Curves/meltCurve_H7C3D8_CMC1.pdf", "Melting_Curves/meltCurve_H7C3D8_CMC1.pdf")</f>
        <v>Melting_Curves/meltCurve_H7C3D8_CMC1.pdf</v>
      </c>
    </row>
    <row r="1080" spans="1:28" x14ac:dyDescent="0.25">
      <c r="A1080" t="s">
        <v>1084</v>
      </c>
      <c r="B1080">
        <v>0.99999676499088797</v>
      </c>
      <c r="C1080">
        <v>0.98062963543290305</v>
      </c>
      <c r="D1080">
        <v>1.0266608987285599</v>
      </c>
      <c r="E1080">
        <v>1.1621454460314</v>
      </c>
      <c r="F1080">
        <v>1.0683549488659401</v>
      </c>
      <c r="G1080">
        <v>1.0298025774302599</v>
      </c>
      <c r="H1080">
        <v>0.65746068041535699</v>
      </c>
      <c r="I1080">
        <v>0.329480596572507</v>
      </c>
      <c r="J1080">
        <v>0.197267177545804</v>
      </c>
      <c r="K1080">
        <v>0.20357382084197301</v>
      </c>
      <c r="L1080">
        <v>2752.6454817865902</v>
      </c>
      <c r="M1080">
        <v>44.8984285116235</v>
      </c>
      <c r="N1080">
        <v>62.0102271220738</v>
      </c>
      <c r="O1080">
        <v>61.187021426709599</v>
      </c>
      <c r="P1080">
        <v>-0.14690069909623499</v>
      </c>
      <c r="Q1080">
        <v>0.199223122896174</v>
      </c>
      <c r="R1080">
        <v>0.972838188264738</v>
      </c>
      <c r="S1080" t="s">
        <v>8083</v>
      </c>
      <c r="T1080" t="s">
        <v>14004</v>
      </c>
      <c r="U1080" t="s">
        <v>14004</v>
      </c>
      <c r="V1080" t="s">
        <v>14004</v>
      </c>
      <c r="W1080" t="s">
        <v>15062</v>
      </c>
      <c r="X1080">
        <v>8</v>
      </c>
      <c r="Y1080" t="s">
        <v>21994</v>
      </c>
      <c r="Z1080" t="s">
        <v>28790</v>
      </c>
      <c r="AA1080">
        <v>0.77049529082251667</v>
      </c>
      <c r="AB1080" t="str">
        <f>HYPERLINK("Melting_Curves/meltCurve_H7C3P4_GNS.pdf", "Melting_Curves/meltCurve_H7C3P4_GNS.pdf")</f>
        <v>Melting_Curves/meltCurve_H7C3P4_GNS.pdf</v>
      </c>
    </row>
    <row r="1081" spans="1:28" x14ac:dyDescent="0.25">
      <c r="A1081" t="s">
        <v>1085</v>
      </c>
      <c r="B1081">
        <v>0.99999676499088797</v>
      </c>
      <c r="C1081">
        <v>1.1265533927800899</v>
      </c>
      <c r="D1081">
        <v>1.0124848248889</v>
      </c>
      <c r="E1081">
        <v>0.82863857963786602</v>
      </c>
      <c r="F1081">
        <v>0.55873904127358298</v>
      </c>
      <c r="G1081">
        <v>0.288987219568763</v>
      </c>
      <c r="H1081">
        <v>0.13844415253578299</v>
      </c>
      <c r="I1081">
        <v>9.7486471644908201E-2</v>
      </c>
      <c r="J1081">
        <v>0.12130970060508101</v>
      </c>
      <c r="K1081">
        <v>0.14821780734703</v>
      </c>
      <c r="L1081">
        <v>1238.14431858077</v>
      </c>
      <c r="M1081">
        <v>23.293257334801702</v>
      </c>
      <c r="N1081">
        <v>53.738011681567002</v>
      </c>
      <c r="O1081">
        <v>52.767502538549699</v>
      </c>
      <c r="P1081">
        <v>-9.8030791537853199E-2</v>
      </c>
      <c r="Q1081">
        <v>0.111717547016408</v>
      </c>
      <c r="R1081">
        <v>0.98649049082008999</v>
      </c>
      <c r="S1081" t="s">
        <v>8084</v>
      </c>
      <c r="T1081" t="s">
        <v>14004</v>
      </c>
      <c r="U1081" t="s">
        <v>14004</v>
      </c>
      <c r="V1081" t="s">
        <v>14004</v>
      </c>
      <c r="W1081" t="s">
        <v>15063</v>
      </c>
      <c r="X1081">
        <v>3</v>
      </c>
      <c r="Y1081" t="s">
        <v>21995</v>
      </c>
      <c r="Z1081" t="s">
        <v>28791</v>
      </c>
      <c r="AA1081">
        <v>0.51054728047552622</v>
      </c>
      <c r="AB1081" t="str">
        <f>HYPERLINK("Melting_Curves/meltCurve_H7C3T2_ATG2A.pdf", "Melting_Curves/meltCurve_H7C3T2_ATG2A.pdf")</f>
        <v>Melting_Curves/meltCurve_H7C3T2_ATG2A.pdf</v>
      </c>
    </row>
    <row r="1082" spans="1:28" x14ac:dyDescent="0.25">
      <c r="A1082" t="s">
        <v>1086</v>
      </c>
      <c r="B1082">
        <v>0.99999676499088797</v>
      </c>
      <c r="C1082">
        <v>1.2780235846552199</v>
      </c>
      <c r="D1082">
        <v>1.14101725735237</v>
      </c>
      <c r="E1082">
        <v>0.48951000470774098</v>
      </c>
      <c r="F1082">
        <v>0.21046062975277799</v>
      </c>
      <c r="G1082">
        <v>0.28203390757680402</v>
      </c>
      <c r="H1082">
        <v>0.104139380135812</v>
      </c>
      <c r="I1082">
        <v>0.132661071315925</v>
      </c>
      <c r="J1082">
        <v>9.7253999291811E-2</v>
      </c>
      <c r="K1082">
        <v>5.86597022872535E-2</v>
      </c>
      <c r="L1082">
        <v>8196.8301019861792</v>
      </c>
      <c r="M1082">
        <v>165.65927707090401</v>
      </c>
      <c r="N1082">
        <v>49.584703869268097</v>
      </c>
      <c r="O1082">
        <v>49.4728360736216</v>
      </c>
      <c r="P1082">
        <v>-0.71361910344397805</v>
      </c>
      <c r="Q1082">
        <v>0.14753300156379001</v>
      </c>
      <c r="R1082">
        <v>0.93547466728334105</v>
      </c>
      <c r="S1082" t="s">
        <v>8085</v>
      </c>
      <c r="T1082" t="s">
        <v>14004</v>
      </c>
      <c r="U1082" t="s">
        <v>14004</v>
      </c>
      <c r="V1082" t="s">
        <v>14004</v>
      </c>
      <c r="W1082" t="s">
        <v>14938</v>
      </c>
      <c r="X1082">
        <v>7</v>
      </c>
      <c r="Z1082" t="s">
        <v>28792</v>
      </c>
      <c r="AA1082">
        <v>0.41708276606724742</v>
      </c>
      <c r="AB1082" t="str">
        <f>HYPERLINK("Melting_Curves/meltCurve_H7C417_.pdf", "Melting_Curves/meltCurve_H7C417_.pdf")</f>
        <v>Melting_Curves/meltCurve_H7C417_.pdf</v>
      </c>
    </row>
    <row r="1083" spans="1:28" x14ac:dyDescent="0.25">
      <c r="A1083" t="s">
        <v>1087</v>
      </c>
      <c r="B1083">
        <v>0.99999676499088797</v>
      </c>
      <c r="C1083">
        <v>1.1596268731487001</v>
      </c>
      <c r="D1083">
        <v>1.2592361734187201</v>
      </c>
      <c r="E1083">
        <v>1.13850478357717</v>
      </c>
      <c r="F1083">
        <v>0.57863990051397196</v>
      </c>
      <c r="G1083">
        <v>0.24060947825411699</v>
      </c>
      <c r="H1083">
        <v>0.146256968744786</v>
      </c>
      <c r="I1083">
        <v>7.5207500725519294E-2</v>
      </c>
      <c r="J1083">
        <v>9.4945356608720805E-2</v>
      </c>
      <c r="K1083">
        <v>6.4398520182432903E-2</v>
      </c>
      <c r="L1083">
        <v>2535.2897464356402</v>
      </c>
      <c r="M1083">
        <v>47.397112848421799</v>
      </c>
      <c r="N1083">
        <v>53.772090072347503</v>
      </c>
      <c r="O1083">
        <v>53.3954196352651</v>
      </c>
      <c r="P1083">
        <v>-0.19752001887389001</v>
      </c>
      <c r="Q1083">
        <v>0.10993280999313799</v>
      </c>
      <c r="R1083">
        <v>0.94447527319716396</v>
      </c>
      <c r="S1083" t="s">
        <v>8086</v>
      </c>
      <c r="T1083" t="s">
        <v>14004</v>
      </c>
      <c r="U1083" t="s">
        <v>14004</v>
      </c>
      <c r="V1083" t="s">
        <v>14004</v>
      </c>
      <c r="W1083" t="s">
        <v>15064</v>
      </c>
      <c r="X1083">
        <v>2</v>
      </c>
      <c r="Y1083" t="s">
        <v>21996</v>
      </c>
      <c r="Z1083" t="s">
        <v>28793</v>
      </c>
      <c r="AA1083">
        <v>0.51251547267557029</v>
      </c>
      <c r="AB1083" t="str">
        <f>HYPERLINK("Melting_Curves/meltCurve_H7C484_ARV1.pdf", "Melting_Curves/meltCurve_H7C484_ARV1.pdf")</f>
        <v>Melting_Curves/meltCurve_H7C484_ARV1.pdf</v>
      </c>
    </row>
    <row r="1084" spans="1:28" x14ac:dyDescent="0.25">
      <c r="A1084" t="s">
        <v>1088</v>
      </c>
      <c r="B1084">
        <v>0.99999676499088797</v>
      </c>
      <c r="C1084">
        <v>1.1362376692473599</v>
      </c>
      <c r="D1084">
        <v>0.99831361399583396</v>
      </c>
      <c r="E1084">
        <v>0.84860117850615802</v>
      </c>
      <c r="F1084">
        <v>0.90222769548891402</v>
      </c>
      <c r="G1084">
        <v>1.0965693859104499</v>
      </c>
      <c r="H1084">
        <v>0.59446956897926095</v>
      </c>
      <c r="I1084">
        <v>0.48075126725459999</v>
      </c>
      <c r="J1084">
        <v>0.38107589466675201</v>
      </c>
      <c r="K1084">
        <v>0.81422493810225505</v>
      </c>
      <c r="L1084">
        <v>15000</v>
      </c>
      <c r="M1084">
        <v>249.138176927812</v>
      </c>
      <c r="O1084">
        <v>60.203673476473298</v>
      </c>
      <c r="P1084">
        <v>-0.456569588402924</v>
      </c>
      <c r="Q1084">
        <v>0.558683992735305</v>
      </c>
      <c r="R1084">
        <v>0.73082816534307604</v>
      </c>
      <c r="S1084" t="s">
        <v>8087</v>
      </c>
      <c r="T1084" t="s">
        <v>14004</v>
      </c>
      <c r="U1084" t="s">
        <v>14004</v>
      </c>
      <c r="V1084" t="s">
        <v>14004</v>
      </c>
      <c r="W1084" t="s">
        <v>15065</v>
      </c>
      <c r="X1084">
        <v>1</v>
      </c>
      <c r="Y1084" t="s">
        <v>21997</v>
      </c>
      <c r="Z1084" t="s">
        <v>28794</v>
      </c>
      <c r="AA1084">
        <v>0.85599483426686562</v>
      </c>
      <c r="AB1084" t="str">
        <f>HYPERLINK("Melting_Curves/meltCurve_H7C494_DNAJB14.pdf", "Melting_Curves/meltCurve_H7C494_DNAJB14.pdf")</f>
        <v>Melting_Curves/meltCurve_H7C494_DNAJB14.pdf</v>
      </c>
    </row>
    <row r="1085" spans="1:28" x14ac:dyDescent="0.25">
      <c r="A1085" t="s">
        <v>1089</v>
      </c>
      <c r="B1085">
        <v>0.99999676499088797</v>
      </c>
      <c r="C1085">
        <v>0.98501676699594398</v>
      </c>
      <c r="D1085">
        <v>0.78192054409457701</v>
      </c>
      <c r="E1085">
        <v>0.36033468367254001</v>
      </c>
      <c r="F1085">
        <v>0.241807522972835</v>
      </c>
      <c r="G1085">
        <v>0.179851359658806</v>
      </c>
      <c r="H1085">
        <v>7.2570636725398402E-2</v>
      </c>
      <c r="I1085">
        <v>9.1178761724615906E-2</v>
      </c>
      <c r="J1085">
        <v>0.12936380671316799</v>
      </c>
      <c r="K1085">
        <v>0.105707519408566</v>
      </c>
      <c r="L1085">
        <v>1175.3880613542201</v>
      </c>
      <c r="M1085">
        <v>24.4727475672676</v>
      </c>
      <c r="N1085">
        <v>48.548876854176797</v>
      </c>
      <c r="O1085">
        <v>47.711202212020702</v>
      </c>
      <c r="P1085">
        <v>-0.113440524355848</v>
      </c>
      <c r="Q1085">
        <v>0.115374411518102</v>
      </c>
      <c r="R1085">
        <v>0.99218751368004299</v>
      </c>
      <c r="S1085" t="s">
        <v>8088</v>
      </c>
      <c r="T1085" t="s">
        <v>14004</v>
      </c>
      <c r="U1085" t="s">
        <v>14004</v>
      </c>
      <c r="V1085" t="s">
        <v>14004</v>
      </c>
      <c r="W1085" t="s">
        <v>15066</v>
      </c>
      <c r="X1085">
        <v>3</v>
      </c>
      <c r="Y1085" t="s">
        <v>21998</v>
      </c>
      <c r="Z1085" t="s">
        <v>28795</v>
      </c>
      <c r="AA1085">
        <v>0.36029369980861331</v>
      </c>
      <c r="AB1085" t="str">
        <f>HYPERLINK("Melting_Curves/meltCurve_H7C4X9_ZMYND8.pdf", "Melting_Curves/meltCurve_H7C4X9_ZMYND8.pdf")</f>
        <v>Melting_Curves/meltCurve_H7C4X9_ZMYND8.pdf</v>
      </c>
    </row>
    <row r="1086" spans="1:28" x14ac:dyDescent="0.25">
      <c r="A1086" t="s">
        <v>1090</v>
      </c>
      <c r="B1086">
        <v>0.99999676499088797</v>
      </c>
      <c r="C1086">
        <v>1.1243114218089401</v>
      </c>
      <c r="D1086">
        <v>1.02608968346768</v>
      </c>
      <c r="E1086">
        <v>1.00265821991704</v>
      </c>
      <c r="F1086">
        <v>0.413995582451823</v>
      </c>
      <c r="G1086">
        <v>0.14315314248801</v>
      </c>
      <c r="H1086">
        <v>6.9256250226984603E-2</v>
      </c>
      <c r="I1086">
        <v>4.0446062761069997E-2</v>
      </c>
      <c r="J1086">
        <v>4.7684879920503603E-2</v>
      </c>
      <c r="K1086">
        <v>2.9989855206297902E-2</v>
      </c>
      <c r="L1086">
        <v>2775.58694563893</v>
      </c>
      <c r="M1086">
        <v>52.629081421076997</v>
      </c>
      <c r="N1086">
        <v>52.867741122257499</v>
      </c>
      <c r="O1086">
        <v>52.662675593906599</v>
      </c>
      <c r="P1086">
        <v>-0.234776578008285</v>
      </c>
      <c r="Q1086">
        <v>6.0294890063427198E-2</v>
      </c>
      <c r="R1086">
        <v>0.98925482351507499</v>
      </c>
      <c r="S1086" t="s">
        <v>8089</v>
      </c>
      <c r="T1086" t="s">
        <v>14004</v>
      </c>
      <c r="U1086" t="s">
        <v>14004</v>
      </c>
      <c r="V1086" t="s">
        <v>14004</v>
      </c>
      <c r="W1086" t="s">
        <v>15067</v>
      </c>
      <c r="X1086">
        <v>9</v>
      </c>
      <c r="Y1086" t="s">
        <v>21999</v>
      </c>
      <c r="Z1086" t="s">
        <v>28796</v>
      </c>
      <c r="AA1086">
        <v>0.46128607358226092</v>
      </c>
      <c r="AB1086" t="str">
        <f>HYPERLINK("Melting_Curves/meltCurve_H7C560_BRAF.pdf", "Melting_Curves/meltCurve_H7C560_BRAF.pdf")</f>
        <v>Melting_Curves/meltCurve_H7C560_BRAF.pdf</v>
      </c>
    </row>
    <row r="1087" spans="1:28" x14ac:dyDescent="0.25">
      <c r="A1087" t="s">
        <v>1091</v>
      </c>
      <c r="B1087">
        <v>0.99999676499088797</v>
      </c>
      <c r="C1087">
        <v>2.2414227096157502</v>
      </c>
      <c r="D1087">
        <v>1.3031279083910301</v>
      </c>
      <c r="E1087">
        <v>0.50515448432329102</v>
      </c>
      <c r="F1087">
        <v>0.30599025504076099</v>
      </c>
      <c r="G1087">
        <v>0</v>
      </c>
      <c r="H1087">
        <v>0.118762371198234</v>
      </c>
      <c r="I1087">
        <v>0.65714347766564596</v>
      </c>
      <c r="J1087">
        <v>0.20869929474207699</v>
      </c>
      <c r="K1087">
        <v>0.45755291525547498</v>
      </c>
      <c r="L1087">
        <v>12358.374628220899</v>
      </c>
      <c r="M1087">
        <v>250</v>
      </c>
      <c r="N1087">
        <v>49.6069062482673</v>
      </c>
      <c r="O1087">
        <v>49.430316500497597</v>
      </c>
      <c r="P1087">
        <v>-0.89601095863519997</v>
      </c>
      <c r="Q1087">
        <v>0.29135804828884498</v>
      </c>
      <c r="R1087">
        <v>0.53812934129773304</v>
      </c>
      <c r="S1087" t="s">
        <v>8090</v>
      </c>
      <c r="T1087" t="s">
        <v>14004</v>
      </c>
      <c r="U1087" t="s">
        <v>14004</v>
      </c>
      <c r="V1087" t="s">
        <v>14004</v>
      </c>
      <c r="W1087" t="s">
        <v>15068</v>
      </c>
      <c r="X1087">
        <v>6</v>
      </c>
      <c r="Y1087" t="s">
        <v>22000</v>
      </c>
      <c r="Z1087" t="s">
        <v>28797</v>
      </c>
      <c r="AA1087">
        <v>0.51425195312372163</v>
      </c>
      <c r="AB1087" t="str">
        <f>HYPERLINK("Melting_Curves/meltCurve_H7C561_SF1.pdf", "Melting_Curves/meltCurve_H7C561_SF1.pdf")</f>
        <v>Melting_Curves/meltCurve_H7C561_SF1.pdf</v>
      </c>
    </row>
    <row r="1088" spans="1:28" x14ac:dyDescent="0.25">
      <c r="A1088" t="s">
        <v>1092</v>
      </c>
      <c r="B1088">
        <v>0.99999676499088797</v>
      </c>
      <c r="C1088">
        <v>1.1459528836538699</v>
      </c>
      <c r="D1088">
        <v>1.07795654585443</v>
      </c>
      <c r="E1088">
        <v>0.98649368237045199</v>
      </c>
      <c r="F1088">
        <v>1.14311978117005</v>
      </c>
      <c r="G1088">
        <v>0.78820651180366796</v>
      </c>
      <c r="H1088">
        <v>0.44439786324425501</v>
      </c>
      <c r="I1088">
        <v>0.44643437093163202</v>
      </c>
      <c r="J1088">
        <v>0.25007315696946802</v>
      </c>
      <c r="K1088">
        <v>0.44210756123536299</v>
      </c>
      <c r="L1088">
        <v>3235.8762192863501</v>
      </c>
      <c r="M1088">
        <v>56.232818822893002</v>
      </c>
      <c r="N1088">
        <v>59.106523845111397</v>
      </c>
      <c r="O1088">
        <v>57.471626531389703</v>
      </c>
      <c r="P1088">
        <v>-0.14997193789129401</v>
      </c>
      <c r="Q1088">
        <v>0.38689706502191201</v>
      </c>
      <c r="R1088">
        <v>0.92860278539838004</v>
      </c>
      <c r="S1088" t="s">
        <v>8091</v>
      </c>
      <c r="T1088" t="s">
        <v>14004</v>
      </c>
      <c r="U1088" t="s">
        <v>14004</v>
      </c>
      <c r="V1088" t="s">
        <v>14004</v>
      </c>
      <c r="W1088" t="s">
        <v>15069</v>
      </c>
      <c r="X1088">
        <v>1</v>
      </c>
      <c r="Y1088" t="s">
        <v>22001</v>
      </c>
      <c r="Z1088" t="s">
        <v>28798</v>
      </c>
      <c r="AA1088">
        <v>0.74667253820250279</v>
      </c>
      <c r="AB1088" t="str">
        <f>HYPERLINK("Melting_Curves/meltCurve_H7C5F7_NDFIP2.pdf", "Melting_Curves/meltCurve_H7C5F7_NDFIP2.pdf")</f>
        <v>Melting_Curves/meltCurve_H7C5F7_NDFIP2.pdf</v>
      </c>
    </row>
    <row r="1089" spans="1:28" x14ac:dyDescent="0.25">
      <c r="A1089" t="s">
        <v>1093</v>
      </c>
      <c r="B1089">
        <v>0.99999676499088797</v>
      </c>
      <c r="C1089">
        <v>0.99832319155141502</v>
      </c>
      <c r="D1089">
        <v>0.86546410203527102</v>
      </c>
      <c r="E1089">
        <v>0.67068495993237998</v>
      </c>
      <c r="F1089">
        <v>0.59022235699183601</v>
      </c>
      <c r="G1089">
        <v>0.67128983346445303</v>
      </c>
      <c r="H1089">
        <v>0.35134137693691803</v>
      </c>
      <c r="I1089">
        <v>0.29864204437908998</v>
      </c>
      <c r="J1089">
        <v>0.14088570298394301</v>
      </c>
      <c r="K1089">
        <v>7.5727311601791997E-2</v>
      </c>
      <c r="L1089">
        <v>501.682990119978</v>
      </c>
      <c r="M1089">
        <v>8.8513369944608993</v>
      </c>
      <c r="N1089">
        <v>56.678756786970901</v>
      </c>
      <c r="O1089">
        <v>54.009401533725303</v>
      </c>
      <c r="P1089">
        <v>-4.1002968632697E-2</v>
      </c>
      <c r="Q1089">
        <v>0</v>
      </c>
      <c r="R1089">
        <v>0.94098284083238704</v>
      </c>
      <c r="S1089" t="s">
        <v>8092</v>
      </c>
      <c r="T1089" t="s">
        <v>14004</v>
      </c>
      <c r="U1089" t="s">
        <v>14004</v>
      </c>
      <c r="V1089" t="s">
        <v>14004</v>
      </c>
      <c r="W1089" t="s">
        <v>15070</v>
      </c>
      <c r="X1089">
        <v>6</v>
      </c>
      <c r="Y1089" t="s">
        <v>22002</v>
      </c>
      <c r="Z1089" t="s">
        <v>28799</v>
      </c>
      <c r="AA1089">
        <v>0.57221249377502814</v>
      </c>
      <c r="AB1089" t="str">
        <f>HYPERLINK("Melting_Curves/meltCurve_H7C5G1_IAH1.pdf", "Melting_Curves/meltCurve_H7C5G1_IAH1.pdf")</f>
        <v>Melting_Curves/meltCurve_H7C5G1_IAH1.pdf</v>
      </c>
    </row>
    <row r="1090" spans="1:28" x14ac:dyDescent="0.25">
      <c r="A1090" t="s">
        <v>1094</v>
      </c>
      <c r="B1090">
        <v>0.99999676499088797</v>
      </c>
      <c r="C1090">
        <v>0.33163520024325899</v>
      </c>
      <c r="D1090">
        <v>0.15725575111822801</v>
      </c>
      <c r="E1090">
        <v>8.51941983674699E-2</v>
      </c>
      <c r="F1090">
        <v>5.80507450680387E-2</v>
      </c>
      <c r="G1090">
        <v>2.8229334738737299E-2</v>
      </c>
      <c r="H1090">
        <v>1.23213315176694E-2</v>
      </c>
      <c r="I1090">
        <v>2.1253472463346499E-2</v>
      </c>
      <c r="J1090">
        <v>2.76982049005404E-2</v>
      </c>
      <c r="K1090">
        <v>2.1051566040470999E-2</v>
      </c>
      <c r="L1090">
        <v>2616.7892693102199</v>
      </c>
      <c r="M1090">
        <v>61.8287986885762</v>
      </c>
      <c r="N1090">
        <v>42.395319116010498</v>
      </c>
      <c r="O1090">
        <v>42.278938087432799</v>
      </c>
      <c r="P1090">
        <v>-0.34733734697112101</v>
      </c>
      <c r="Q1090">
        <v>4.9954122661921202E-2</v>
      </c>
      <c r="R1090">
        <v>0.98087276946597302</v>
      </c>
      <c r="S1090" t="s">
        <v>8093</v>
      </c>
      <c r="T1090" t="s">
        <v>14004</v>
      </c>
      <c r="U1090" t="s">
        <v>14004</v>
      </c>
      <c r="V1090" t="s">
        <v>14004</v>
      </c>
      <c r="W1090" t="s">
        <v>15071</v>
      </c>
      <c r="X1090">
        <v>3</v>
      </c>
      <c r="Y1090" t="s">
        <v>22003</v>
      </c>
      <c r="Z1090" t="s">
        <v>28800</v>
      </c>
      <c r="AA1090">
        <v>0.1251927701997545</v>
      </c>
      <c r="AB1090" t="str">
        <f>HYPERLINK("Melting_Curves/meltCurve_H7C5R8_PARP14.pdf", "Melting_Curves/meltCurve_H7C5R8_PARP14.pdf")</f>
        <v>Melting_Curves/meltCurve_H7C5R8_PARP14.pdf</v>
      </c>
    </row>
    <row r="1091" spans="1:28" x14ac:dyDescent="0.25">
      <c r="A1091" t="s">
        <v>1095</v>
      </c>
      <c r="B1091">
        <v>0.99999676499088797</v>
      </c>
      <c r="C1091">
        <v>1.1315088593703799</v>
      </c>
      <c r="D1091">
        <v>0.97096191732672599</v>
      </c>
      <c r="E1091">
        <v>0.91051483243728704</v>
      </c>
      <c r="F1091">
        <v>0.38006458577913499</v>
      </c>
      <c r="G1091">
        <v>0.34063043648334501</v>
      </c>
      <c r="H1091">
        <v>0.243106999378156</v>
      </c>
      <c r="I1091">
        <v>0.147943619240679</v>
      </c>
      <c r="J1091">
        <v>0.10267728267725899</v>
      </c>
      <c r="K1091">
        <v>0.137548827555276</v>
      </c>
      <c r="L1091">
        <v>1770.6550959118399</v>
      </c>
      <c r="M1091">
        <v>34.055131167307501</v>
      </c>
      <c r="N1091">
        <v>52.666611429745402</v>
      </c>
      <c r="O1091">
        <v>51.815479798731403</v>
      </c>
      <c r="P1091">
        <v>-0.135327945388173</v>
      </c>
      <c r="Q1091">
        <v>0.17638786413671501</v>
      </c>
      <c r="R1091">
        <v>0.96822207876673305</v>
      </c>
      <c r="S1091" t="s">
        <v>8094</v>
      </c>
      <c r="T1091" t="s">
        <v>14004</v>
      </c>
      <c r="U1091" t="s">
        <v>14004</v>
      </c>
      <c r="V1091" t="s">
        <v>14004</v>
      </c>
      <c r="W1091" t="s">
        <v>15072</v>
      </c>
      <c r="X1091">
        <v>1</v>
      </c>
      <c r="Y1091" t="s">
        <v>22004</v>
      </c>
      <c r="Z1091" t="s">
        <v>28801</v>
      </c>
      <c r="AA1091">
        <v>0.50974869712717708</v>
      </c>
      <c r="AB1091" t="str">
        <f>HYPERLINK("Melting_Curves/meltCurve_H9KV44_EFR3A.pdf", "Melting_Curves/meltCurve_H9KV44_EFR3A.pdf")</f>
        <v>Melting_Curves/meltCurve_H9KV44_EFR3A.pdf</v>
      </c>
    </row>
    <row r="1092" spans="1:28" x14ac:dyDescent="0.25">
      <c r="A1092" t="s">
        <v>1096</v>
      </c>
      <c r="B1092">
        <v>0.99999676499088797</v>
      </c>
      <c r="C1092">
        <v>0.68724602388454004</v>
      </c>
      <c r="D1092">
        <v>0.349641522670878</v>
      </c>
      <c r="E1092">
        <v>0.21413322829902701</v>
      </c>
      <c r="F1092">
        <v>0.15948948428306001</v>
      </c>
      <c r="G1092">
        <v>9.9473625976383595E-2</v>
      </c>
      <c r="H1092">
        <v>5.7827179279328199E-2</v>
      </c>
      <c r="I1092">
        <v>6.9452723129477797E-2</v>
      </c>
      <c r="J1092">
        <v>5.6402320764636402E-2</v>
      </c>
      <c r="K1092">
        <v>8.2299094885993504E-2</v>
      </c>
      <c r="L1092">
        <v>989.29052708952599</v>
      </c>
      <c r="M1092">
        <v>22.286480435875699</v>
      </c>
      <c r="N1092">
        <v>44.769046198499701</v>
      </c>
      <c r="O1092">
        <v>44.036943133806197</v>
      </c>
      <c r="P1092">
        <v>-0.115638859207191</v>
      </c>
      <c r="Q1092">
        <v>8.6033310083106801E-2</v>
      </c>
      <c r="R1092">
        <v>0.98529808251769102</v>
      </c>
      <c r="S1092" t="s">
        <v>8095</v>
      </c>
      <c r="T1092" t="s">
        <v>14004</v>
      </c>
      <c r="U1092" t="s">
        <v>14004</v>
      </c>
      <c r="V1092" t="s">
        <v>14004</v>
      </c>
      <c r="W1092" t="s">
        <v>15073</v>
      </c>
      <c r="X1092">
        <v>10</v>
      </c>
      <c r="Y1092" t="s">
        <v>22005</v>
      </c>
      <c r="Z1092" t="s">
        <v>28802</v>
      </c>
      <c r="AA1092">
        <v>0.23273421165810829</v>
      </c>
      <c r="AB1092" t="str">
        <f>HYPERLINK("Melting_Curves/meltCurve_H9KV59_PRC1.pdf", "Melting_Curves/meltCurve_H9KV59_PRC1.pdf")</f>
        <v>Melting_Curves/meltCurve_H9KV59_PRC1.pdf</v>
      </c>
    </row>
    <row r="1093" spans="1:28" x14ac:dyDescent="0.25">
      <c r="A1093" t="s">
        <v>1097</v>
      </c>
      <c r="B1093">
        <v>0.99999676499088797</v>
      </c>
      <c r="C1093">
        <v>0.92989089259217095</v>
      </c>
      <c r="D1093">
        <v>0.81536743536280099</v>
      </c>
      <c r="E1093">
        <v>0.61538053796079795</v>
      </c>
      <c r="F1093">
        <v>0.59459334321246304</v>
      </c>
      <c r="G1093">
        <v>0.27042117084853601</v>
      </c>
      <c r="H1093">
        <v>0.148083308468372</v>
      </c>
      <c r="I1093">
        <v>0.10095150153266599</v>
      </c>
      <c r="J1093">
        <v>7.4609791269783607E-2</v>
      </c>
      <c r="K1093">
        <v>7.3104102295764001E-2</v>
      </c>
      <c r="L1093">
        <v>601.26134476438403</v>
      </c>
      <c r="M1093">
        <v>11.3999507679308</v>
      </c>
      <c r="N1093">
        <v>52.742447409125297</v>
      </c>
      <c r="O1093">
        <v>51.197755141347997</v>
      </c>
      <c r="P1093">
        <v>-5.5682644881138603E-2</v>
      </c>
      <c r="Q1093">
        <v>0</v>
      </c>
      <c r="R1093">
        <v>0.98236078432060003</v>
      </c>
      <c r="S1093" t="s">
        <v>8096</v>
      </c>
      <c r="T1093" t="s">
        <v>14004</v>
      </c>
      <c r="U1093" t="s">
        <v>14004</v>
      </c>
      <c r="V1093" t="s">
        <v>14004</v>
      </c>
      <c r="W1093" t="s">
        <v>15074</v>
      </c>
      <c r="X1093">
        <v>4</v>
      </c>
      <c r="Y1093" t="s">
        <v>22006</v>
      </c>
      <c r="Z1093" t="s">
        <v>28803</v>
      </c>
      <c r="AA1093">
        <v>0.45552094909457458</v>
      </c>
      <c r="AB1093" t="str">
        <f>HYPERLINK("Melting_Curves/meltCurve_H9KVB8_MICU1.pdf", "Melting_Curves/meltCurve_H9KVB8_MICU1.pdf")</f>
        <v>Melting_Curves/meltCurve_H9KVB8_MICU1.pdf</v>
      </c>
    </row>
    <row r="1094" spans="1:28" x14ac:dyDescent="0.25">
      <c r="A1094" t="s">
        <v>1098</v>
      </c>
      <c r="B1094">
        <v>0.99999676499088797</v>
      </c>
      <c r="C1094">
        <v>0.89366204035292396</v>
      </c>
      <c r="D1094">
        <v>0.76311224403233302</v>
      </c>
      <c r="E1094">
        <v>0.49972105749099499</v>
      </c>
      <c r="F1094">
        <v>0.36363565460651098</v>
      </c>
      <c r="G1094">
        <v>0.167893869807722</v>
      </c>
      <c r="H1094">
        <v>0.14138066054433801</v>
      </c>
      <c r="I1094">
        <v>0.16177642979566001</v>
      </c>
      <c r="J1094">
        <v>0.20163076322005799</v>
      </c>
      <c r="K1094">
        <v>0.21504559182143501</v>
      </c>
      <c r="L1094">
        <v>829.09657386354502</v>
      </c>
      <c r="M1094">
        <v>17.100338433594398</v>
      </c>
      <c r="N1094">
        <v>49.633727249894001</v>
      </c>
      <c r="O1094">
        <v>47.835744007918798</v>
      </c>
      <c r="P1094">
        <v>-7.4761679393264793E-2</v>
      </c>
      <c r="Q1094">
        <v>0.16351021245952699</v>
      </c>
      <c r="R1094">
        <v>0.98709161093551701</v>
      </c>
      <c r="S1094" t="s">
        <v>8097</v>
      </c>
      <c r="T1094" t="s">
        <v>14004</v>
      </c>
      <c r="U1094" t="s">
        <v>14004</v>
      </c>
      <c r="V1094" t="s">
        <v>14004</v>
      </c>
      <c r="W1094" t="s">
        <v>14292</v>
      </c>
      <c r="X1094">
        <v>9</v>
      </c>
      <c r="Z1094" t="s">
        <v>28804</v>
      </c>
      <c r="AA1094">
        <v>0.41633206992886879</v>
      </c>
      <c r="AB1094" t="str">
        <f>HYPERLINK("Melting_Curves/meltCurve_I3L097_.pdf", "Melting_Curves/meltCurve_I3L097_.pdf")</f>
        <v>Melting_Curves/meltCurve_I3L097_.pdf</v>
      </c>
    </row>
    <row r="1095" spans="1:28" x14ac:dyDescent="0.25">
      <c r="A1095" t="s">
        <v>1099</v>
      </c>
      <c r="B1095">
        <v>0.99999676499088797</v>
      </c>
      <c r="C1095">
        <v>0.99084877611269895</v>
      </c>
      <c r="D1095">
        <v>1.0332422850745899</v>
      </c>
      <c r="E1095">
        <v>1.4521406622920201</v>
      </c>
      <c r="F1095">
        <v>1.40011948270792</v>
      </c>
      <c r="G1095">
        <v>0.94854028257640299</v>
      </c>
      <c r="H1095">
        <v>0.373698492986765</v>
      </c>
      <c r="I1095">
        <v>8.8896273293584294E-2</v>
      </c>
      <c r="J1095">
        <v>0.13519184757152899</v>
      </c>
      <c r="K1095">
        <v>8.9158464751160696E-2</v>
      </c>
      <c r="L1095">
        <v>3660.80051194004</v>
      </c>
      <c r="M1095">
        <v>61.060623619076601</v>
      </c>
      <c r="N1095">
        <v>60.170706549570703</v>
      </c>
      <c r="O1095">
        <v>59.889333605022998</v>
      </c>
      <c r="P1095">
        <v>-0.229683238442217</v>
      </c>
      <c r="Q1095">
        <v>9.8890908253961296E-2</v>
      </c>
      <c r="R1095">
        <v>0.85537313383946401</v>
      </c>
      <c r="S1095" t="s">
        <v>8098</v>
      </c>
      <c r="T1095" t="s">
        <v>14004</v>
      </c>
      <c r="U1095" t="s">
        <v>14004</v>
      </c>
      <c r="V1095" t="s">
        <v>14004</v>
      </c>
      <c r="W1095" t="s">
        <v>15075</v>
      </c>
      <c r="X1095">
        <v>1</v>
      </c>
      <c r="Y1095" t="s">
        <v>22007</v>
      </c>
      <c r="Z1095" t="s">
        <v>28805</v>
      </c>
      <c r="AA1095">
        <v>0.69982318077320749</v>
      </c>
      <c r="AB1095" t="str">
        <f>HYPERLINK("Melting_Curves/meltCurve_I3L0B8_SLC25A52.pdf", "Melting_Curves/meltCurve_I3L0B8_SLC25A52.pdf")</f>
        <v>Melting_Curves/meltCurve_I3L0B8_SLC25A52.pdf</v>
      </c>
    </row>
    <row r="1096" spans="1:28" x14ac:dyDescent="0.25">
      <c r="A1096" t="s">
        <v>1100</v>
      </c>
      <c r="B1096">
        <v>0.99999676499088797</v>
      </c>
      <c r="C1096">
        <v>1.1311722879314099</v>
      </c>
      <c r="D1096">
        <v>1.0263344046543801</v>
      </c>
      <c r="E1096">
        <v>0.35809440104045898</v>
      </c>
      <c r="F1096">
        <v>0.23342775696618101</v>
      </c>
      <c r="G1096">
        <v>0.13772644898799499</v>
      </c>
      <c r="H1096">
        <v>8.8007126817897893E-2</v>
      </c>
      <c r="I1096">
        <v>0.132537951299767</v>
      </c>
      <c r="J1096">
        <v>0.117632443329448</v>
      </c>
      <c r="K1096">
        <v>8.2221241581635393E-2</v>
      </c>
      <c r="L1096">
        <v>4480.1468219803101</v>
      </c>
      <c r="M1096">
        <v>91.363214915469598</v>
      </c>
      <c r="N1096">
        <v>49.201314496111898</v>
      </c>
      <c r="O1096">
        <v>49.013179991135097</v>
      </c>
      <c r="P1096">
        <v>-0.40463226338851499</v>
      </c>
      <c r="Q1096">
        <v>0.13171565894249199</v>
      </c>
      <c r="R1096">
        <v>0.98097939972621395</v>
      </c>
      <c r="S1096" t="s">
        <v>8099</v>
      </c>
      <c r="T1096" t="s">
        <v>14004</v>
      </c>
      <c r="U1096" t="s">
        <v>14004</v>
      </c>
      <c r="V1096" t="s">
        <v>14004</v>
      </c>
      <c r="W1096" t="s">
        <v>15076</v>
      </c>
      <c r="X1096">
        <v>1</v>
      </c>
      <c r="Y1096" t="s">
        <v>22008</v>
      </c>
      <c r="Z1096" t="s">
        <v>28806</v>
      </c>
      <c r="AA1096">
        <v>0.39382227507619499</v>
      </c>
      <c r="AB1096" t="str">
        <f>HYPERLINK("Melting_Curves/meltCurve_I3L0C1_SMG1.pdf", "Melting_Curves/meltCurve_I3L0C1_SMG1.pdf")</f>
        <v>Melting_Curves/meltCurve_I3L0C1_SMG1.pdf</v>
      </c>
    </row>
    <row r="1097" spans="1:28" x14ac:dyDescent="0.25">
      <c r="A1097" t="s">
        <v>1101</v>
      </c>
      <c r="B1097">
        <v>0.99999676499088797</v>
      </c>
      <c r="C1097">
        <v>1.03550375647557</v>
      </c>
      <c r="D1097">
        <v>0.97816129444938704</v>
      </c>
      <c r="E1097">
        <v>0.64956127060734303</v>
      </c>
      <c r="F1097">
        <v>0.48875174929431398</v>
      </c>
      <c r="G1097">
        <v>0.36948477578761202</v>
      </c>
      <c r="H1097">
        <v>0.141181756770005</v>
      </c>
      <c r="I1097">
        <v>0.13923121537184599</v>
      </c>
      <c r="J1097">
        <v>0.14983770663005999</v>
      </c>
      <c r="K1097">
        <v>7.6047058342392004E-2</v>
      </c>
      <c r="L1097">
        <v>808.90102445828597</v>
      </c>
      <c r="M1097">
        <v>15.4354677633607</v>
      </c>
      <c r="N1097">
        <v>53.067645960889301</v>
      </c>
      <c r="O1097">
        <v>51.5493568225545</v>
      </c>
      <c r="P1097">
        <v>-6.8305560236614299E-2</v>
      </c>
      <c r="Q1097">
        <v>8.7610199257236093E-2</v>
      </c>
      <c r="R1097">
        <v>0.981746630228713</v>
      </c>
      <c r="S1097" t="s">
        <v>8100</v>
      </c>
      <c r="T1097" t="s">
        <v>14004</v>
      </c>
      <c r="U1097" t="s">
        <v>14004</v>
      </c>
      <c r="V1097" t="s">
        <v>14004</v>
      </c>
      <c r="W1097" t="s">
        <v>15077</v>
      </c>
      <c r="X1097">
        <v>5</v>
      </c>
      <c r="Y1097" t="s">
        <v>22009</v>
      </c>
      <c r="Z1097" t="s">
        <v>28807</v>
      </c>
      <c r="AA1097">
        <v>0.48415646557693109</v>
      </c>
      <c r="AB1097" t="str">
        <f>HYPERLINK("Melting_Curves/meltCurve_I3L0K1_GOSR2.pdf", "Melting_Curves/meltCurve_I3L0K1_GOSR2.pdf")</f>
        <v>Melting_Curves/meltCurve_I3L0K1_GOSR2.pdf</v>
      </c>
    </row>
    <row r="1098" spans="1:28" x14ac:dyDescent="0.25">
      <c r="A1098" t="s">
        <v>1102</v>
      </c>
      <c r="B1098">
        <v>0.99999676499088797</v>
      </c>
      <c r="C1098">
        <v>0.93019531009483303</v>
      </c>
      <c r="D1098">
        <v>0.97321812898879101</v>
      </c>
      <c r="E1098">
        <v>0.948474750804566</v>
      </c>
      <c r="F1098">
        <v>0.91012154335965101</v>
      </c>
      <c r="G1098">
        <v>0.79229030825555902</v>
      </c>
      <c r="H1098">
        <v>0.51679230643815299</v>
      </c>
      <c r="I1098">
        <v>0.50210463031631702</v>
      </c>
      <c r="J1098">
        <v>0.49258602109959898</v>
      </c>
      <c r="K1098">
        <v>0.52125222750362898</v>
      </c>
      <c r="L1098">
        <v>1703.7532859334499</v>
      </c>
      <c r="M1098">
        <v>29.894306484206901</v>
      </c>
      <c r="N1098">
        <v>65.339424437208805</v>
      </c>
      <c r="O1098">
        <v>56.739361084784598</v>
      </c>
      <c r="P1098">
        <v>-6.7305039847707804E-2</v>
      </c>
      <c r="Q1098">
        <v>0.48902381818422302</v>
      </c>
      <c r="R1098">
        <v>0.97144791609352599</v>
      </c>
      <c r="S1098" t="s">
        <v>8101</v>
      </c>
      <c r="T1098" t="s">
        <v>14004</v>
      </c>
      <c r="U1098" t="s">
        <v>14004</v>
      </c>
      <c r="V1098" t="s">
        <v>14004</v>
      </c>
      <c r="W1098" t="s">
        <v>15078</v>
      </c>
      <c r="X1098">
        <v>1</v>
      </c>
      <c r="Y1098" t="s">
        <v>22010</v>
      </c>
      <c r="Z1098" t="s">
        <v>28808</v>
      </c>
      <c r="AA1098">
        <v>0.78187431122696727</v>
      </c>
      <c r="AB1098" t="str">
        <f>HYPERLINK("Melting_Curves/meltCurve_I3L0L6_RNF167.pdf", "Melting_Curves/meltCurve_I3L0L6_RNF167.pdf")</f>
        <v>Melting_Curves/meltCurve_I3L0L6_RNF167.pdf</v>
      </c>
    </row>
    <row r="1099" spans="1:28" x14ac:dyDescent="0.25">
      <c r="A1099" t="s">
        <v>1103</v>
      </c>
      <c r="B1099">
        <v>0.99999676499088797</v>
      </c>
      <c r="C1099">
        <v>0.95779957233261503</v>
      </c>
      <c r="D1099">
        <v>0.99422868272732701</v>
      </c>
      <c r="E1099">
        <v>0.85163909048046704</v>
      </c>
      <c r="F1099">
        <v>0.24102287738811701</v>
      </c>
      <c r="G1099">
        <v>0.178313853953396</v>
      </c>
      <c r="H1099">
        <v>8.2389954356350506E-2</v>
      </c>
      <c r="I1099">
        <v>7.9351704124329001E-2</v>
      </c>
      <c r="J1099">
        <v>7.6572869584975597E-2</v>
      </c>
      <c r="K1099">
        <v>6.4774417118606195E-2</v>
      </c>
      <c r="L1099">
        <v>2275.1769611178102</v>
      </c>
      <c r="M1099">
        <v>44.287791199138198</v>
      </c>
      <c r="N1099">
        <v>51.607524770017697</v>
      </c>
      <c r="O1099">
        <v>51.268144153265503</v>
      </c>
      <c r="P1099">
        <v>-0.19624456357025499</v>
      </c>
      <c r="Q1099">
        <v>9.1299874788497895E-2</v>
      </c>
      <c r="R1099">
        <v>0.99491247909562597</v>
      </c>
      <c r="S1099" t="s">
        <v>8102</v>
      </c>
      <c r="T1099" t="s">
        <v>14004</v>
      </c>
      <c r="U1099" t="s">
        <v>14004</v>
      </c>
      <c r="V1099" t="s">
        <v>14004</v>
      </c>
      <c r="W1099" t="s">
        <v>15079</v>
      </c>
      <c r="X1099">
        <v>44</v>
      </c>
      <c r="Y1099" t="s">
        <v>22011</v>
      </c>
      <c r="Z1099" t="s">
        <v>28809</v>
      </c>
      <c r="AA1099">
        <v>0.43840282408207443</v>
      </c>
      <c r="AB1099" t="str">
        <f>HYPERLINK("Melting_Curves/meltCurve_I3L0N3_NSF.pdf", "Melting_Curves/meltCurve_I3L0N3_NSF.pdf")</f>
        <v>Melting_Curves/meltCurve_I3L0N3_NSF.pdf</v>
      </c>
    </row>
    <row r="1100" spans="1:28" x14ac:dyDescent="0.25">
      <c r="A1100" t="s">
        <v>1104</v>
      </c>
      <c r="B1100">
        <v>0.99999676499088797</v>
      </c>
      <c r="C1100">
        <v>0.67787018065829796</v>
      </c>
      <c r="D1100">
        <v>0.572844399202593</v>
      </c>
      <c r="E1100">
        <v>0.45737355698381099</v>
      </c>
      <c r="F1100">
        <v>0.31040114577621902</v>
      </c>
      <c r="G1100">
        <v>0.40451950015683102</v>
      </c>
      <c r="H1100">
        <v>0.31844108917494302</v>
      </c>
      <c r="I1100">
        <v>0.54041918650647702</v>
      </c>
      <c r="J1100">
        <v>0.55104883641938196</v>
      </c>
      <c r="K1100">
        <v>0.402941268706695</v>
      </c>
      <c r="L1100">
        <v>1188.8480910859801</v>
      </c>
      <c r="M1100">
        <v>27.5995406726732</v>
      </c>
      <c r="N1100">
        <v>46.341268572422102</v>
      </c>
      <c r="O1100">
        <v>42.850694507419597</v>
      </c>
      <c r="P1100">
        <v>-9.2019630624321197E-2</v>
      </c>
      <c r="Q1100">
        <v>0.42853124425922601</v>
      </c>
      <c r="R1100">
        <v>0.82421501677303899</v>
      </c>
      <c r="S1100" t="s">
        <v>8103</v>
      </c>
      <c r="T1100" t="s">
        <v>14004</v>
      </c>
      <c r="U1100" t="s">
        <v>14004</v>
      </c>
      <c r="V1100" t="s">
        <v>14004</v>
      </c>
      <c r="W1100" t="s">
        <v>15080</v>
      </c>
      <c r="X1100">
        <v>2</v>
      </c>
      <c r="Y1100" t="s">
        <v>22012</v>
      </c>
      <c r="Z1100" t="s">
        <v>28810</v>
      </c>
      <c r="AA1100">
        <v>0.49343295180387953</v>
      </c>
      <c r="AB1100" t="str">
        <f>HYPERLINK("Melting_Curves/meltCurve_I3L0U5_CCDC137.pdf", "Melting_Curves/meltCurve_I3L0U5_CCDC137.pdf")</f>
        <v>Melting_Curves/meltCurve_I3L0U5_CCDC137.pdf</v>
      </c>
    </row>
    <row r="1101" spans="1:28" x14ac:dyDescent="0.25">
      <c r="A1101" t="s">
        <v>1105</v>
      </c>
      <c r="B1101">
        <v>0.99999676499088797</v>
      </c>
      <c r="C1101">
        <v>1.2222639046641599</v>
      </c>
      <c r="D1101">
        <v>1.1419312429461601</v>
      </c>
      <c r="E1101">
        <v>1.41866090236423</v>
      </c>
      <c r="F1101">
        <v>0.41692270828342898</v>
      </c>
      <c r="G1101">
        <v>9.0029045772600805E-2</v>
      </c>
      <c r="H1101">
        <v>9.5652660047829297E-2</v>
      </c>
      <c r="I1101">
        <v>0</v>
      </c>
      <c r="J1101">
        <v>0</v>
      </c>
      <c r="K1101">
        <v>0</v>
      </c>
      <c r="S1101" t="s">
        <v>8104</v>
      </c>
      <c r="T1101" t="s">
        <v>14004</v>
      </c>
      <c r="U1101" t="s">
        <v>14005</v>
      </c>
      <c r="V1101" t="s">
        <v>14004</v>
      </c>
      <c r="W1101" t="s">
        <v>15081</v>
      </c>
      <c r="X1101">
        <v>3</v>
      </c>
      <c r="Y1101" t="s">
        <v>22013</v>
      </c>
      <c r="Z1101" t="s">
        <v>28811</v>
      </c>
      <c r="AB1101" t="str">
        <f>HYPERLINK("Melting_Curves/meltCurve_I3L112_DGKE.pdf", "Melting_Curves/meltCurve_I3L112_DGKE.pdf")</f>
        <v>Melting_Curves/meltCurve_I3L112_DGKE.pdf</v>
      </c>
    </row>
    <row r="1102" spans="1:28" x14ac:dyDescent="0.25">
      <c r="A1102" t="s">
        <v>1106</v>
      </c>
      <c r="B1102">
        <v>0.99999676499088797</v>
      </c>
      <c r="C1102">
        <v>0.82809176798851003</v>
      </c>
      <c r="D1102">
        <v>0.84826462557131699</v>
      </c>
      <c r="E1102">
        <v>0.59982219955252103</v>
      </c>
      <c r="F1102">
        <v>0.59070636296957302</v>
      </c>
      <c r="G1102">
        <v>0.59655181783188205</v>
      </c>
      <c r="H1102">
        <v>0.289137788035708</v>
      </c>
      <c r="I1102">
        <v>0.50594673931845602</v>
      </c>
      <c r="J1102">
        <v>0.28065971321745697</v>
      </c>
      <c r="K1102">
        <v>0.46029695311610302</v>
      </c>
      <c r="L1102">
        <v>503.37563453098602</v>
      </c>
      <c r="M1102">
        <v>10.17324811956</v>
      </c>
      <c r="N1102">
        <v>56.219146986395003</v>
      </c>
      <c r="O1102">
        <v>47.682665704353198</v>
      </c>
      <c r="P1102">
        <v>-3.45628535405616E-2</v>
      </c>
      <c r="Q1102">
        <v>0.35230176203575703</v>
      </c>
      <c r="R1102">
        <v>0.84790172354793703</v>
      </c>
      <c r="S1102" t="s">
        <v>8105</v>
      </c>
      <c r="T1102" t="s">
        <v>14004</v>
      </c>
      <c r="U1102" t="s">
        <v>14004</v>
      </c>
      <c r="V1102" t="s">
        <v>14004</v>
      </c>
      <c r="W1102" t="s">
        <v>15082</v>
      </c>
      <c r="X1102">
        <v>2</v>
      </c>
      <c r="Y1102" t="s">
        <v>22014</v>
      </c>
      <c r="Z1102" t="s">
        <v>28812</v>
      </c>
      <c r="AA1102">
        <v>0.58676237897441907</v>
      </c>
      <c r="AB1102" t="str">
        <f>HYPERLINK("Melting_Curves/meltCurve_I3L1B5_RPGRIP1L.pdf", "Melting_Curves/meltCurve_I3L1B5_RPGRIP1L.pdf")</f>
        <v>Melting_Curves/meltCurve_I3L1B5_RPGRIP1L.pdf</v>
      </c>
    </row>
    <row r="1103" spans="1:28" x14ac:dyDescent="0.25">
      <c r="A1103" t="s">
        <v>1107</v>
      </c>
      <c r="B1103">
        <v>0.99999676499088797</v>
      </c>
      <c r="C1103">
        <v>1.1041032946773399</v>
      </c>
      <c r="D1103">
        <v>1.0293909606678</v>
      </c>
      <c r="E1103">
        <v>1.0556200874664701</v>
      </c>
      <c r="F1103">
        <v>0.82360310747499499</v>
      </c>
      <c r="G1103">
        <v>0.55396569042077703</v>
      </c>
      <c r="H1103">
        <v>0.28582316548883102</v>
      </c>
      <c r="I1103">
        <v>0.18213870712834301</v>
      </c>
      <c r="J1103">
        <v>9.6486669497760094E-2</v>
      </c>
      <c r="K1103">
        <v>8.83283371818155E-2</v>
      </c>
      <c r="L1103">
        <v>1266.4417936161001</v>
      </c>
      <c r="M1103">
        <v>22.185388267935402</v>
      </c>
      <c r="N1103">
        <v>57.5517716897239</v>
      </c>
      <c r="O1103">
        <v>56.626772338603203</v>
      </c>
      <c r="P1103">
        <v>-8.9875144887380298E-2</v>
      </c>
      <c r="Q1103">
        <v>8.2417878393591798E-2</v>
      </c>
      <c r="R1103">
        <v>0.98684554237446698</v>
      </c>
      <c r="S1103" t="s">
        <v>8106</v>
      </c>
      <c r="T1103" t="s">
        <v>14004</v>
      </c>
      <c r="U1103" t="s">
        <v>14004</v>
      </c>
      <c r="V1103" t="s">
        <v>14004</v>
      </c>
      <c r="W1103" t="s">
        <v>15083</v>
      </c>
      <c r="X1103">
        <v>8</v>
      </c>
      <c r="Y1103" t="s">
        <v>22015</v>
      </c>
      <c r="Z1103" t="s">
        <v>28813</v>
      </c>
      <c r="AA1103">
        <v>0.61476728357849553</v>
      </c>
      <c r="AB1103" t="str">
        <f>HYPERLINK("Melting_Curves/meltCurve_I3L1H5_DPH1.pdf", "Melting_Curves/meltCurve_I3L1H5_DPH1.pdf")</f>
        <v>Melting_Curves/meltCurve_I3L1H5_DPH1.pdf</v>
      </c>
    </row>
    <row r="1104" spans="1:28" x14ac:dyDescent="0.25">
      <c r="A1104" t="s">
        <v>1108</v>
      </c>
      <c r="B1104">
        <v>0.99999676499088797</v>
      </c>
      <c r="C1104">
        <v>0.92826382174091704</v>
      </c>
      <c r="D1104">
        <v>1.00289850491152</v>
      </c>
      <c r="E1104">
        <v>0.92863412419783098</v>
      </c>
      <c r="F1104">
        <v>0.80293815551954795</v>
      </c>
      <c r="G1104">
        <v>0.88317794554994</v>
      </c>
      <c r="H1104">
        <v>0.60766969034983398</v>
      </c>
      <c r="I1104">
        <v>0.64166245830982005</v>
      </c>
      <c r="J1104">
        <v>0.62294992510237301</v>
      </c>
      <c r="K1104">
        <v>0.60274221002079997</v>
      </c>
      <c r="L1104">
        <v>652.10494834026395</v>
      </c>
      <c r="M1104">
        <v>11.462673221516001</v>
      </c>
      <c r="O1104">
        <v>55.240580804203702</v>
      </c>
      <c r="P1104">
        <v>-2.3689623321107901E-2</v>
      </c>
      <c r="Q1104">
        <v>0.54347402251702903</v>
      </c>
      <c r="R1104">
        <v>0.89356403256535499</v>
      </c>
      <c r="S1104" t="s">
        <v>8107</v>
      </c>
      <c r="T1104" t="s">
        <v>14004</v>
      </c>
      <c r="U1104" t="s">
        <v>14004</v>
      </c>
      <c r="V1104" t="s">
        <v>14004</v>
      </c>
      <c r="W1104" t="s">
        <v>15084</v>
      </c>
      <c r="X1104">
        <v>3</v>
      </c>
      <c r="Y1104" t="s">
        <v>22016</v>
      </c>
      <c r="Z1104" t="s">
        <v>28814</v>
      </c>
      <c r="AA1104">
        <v>0.80834680437919992</v>
      </c>
      <c r="AB1104" t="str">
        <f>HYPERLINK("Melting_Curves/meltCurve_I3L1K6_MYL4.pdf", "Melting_Curves/meltCurve_I3L1K6_MYL4.pdf")</f>
        <v>Melting_Curves/meltCurve_I3L1K6_MYL4.pdf</v>
      </c>
    </row>
    <row r="1105" spans="1:28" x14ac:dyDescent="0.25">
      <c r="A1105" t="s">
        <v>1109</v>
      </c>
      <c r="B1105">
        <v>0.99999676499088797</v>
      </c>
      <c r="C1105">
        <v>1.01633216757185</v>
      </c>
      <c r="D1105">
        <v>0.93657449638576595</v>
      </c>
      <c r="E1105">
        <v>0.404610174989671</v>
      </c>
      <c r="F1105">
        <v>0.33123772802481699</v>
      </c>
      <c r="G1105">
        <v>0.188624534062347</v>
      </c>
      <c r="H1105">
        <v>8.2511589992808901E-2</v>
      </c>
      <c r="I1105">
        <v>7.2821653424892704E-2</v>
      </c>
      <c r="J1105">
        <v>4.6386368306992401E-2</v>
      </c>
      <c r="K1105">
        <v>4.6066104485925102E-2</v>
      </c>
      <c r="L1105">
        <v>1073.3196057846201</v>
      </c>
      <c r="M1105">
        <v>21.703151969341601</v>
      </c>
      <c r="N1105">
        <v>49.835903484027099</v>
      </c>
      <c r="O1105">
        <v>49.040403159573998</v>
      </c>
      <c r="P1105">
        <v>-0.102176598677348</v>
      </c>
      <c r="Q1105">
        <v>7.6509088023130306E-2</v>
      </c>
      <c r="R1105">
        <v>0.97505681644534703</v>
      </c>
      <c r="S1105" t="s">
        <v>8108</v>
      </c>
      <c r="T1105" t="s">
        <v>14004</v>
      </c>
      <c r="U1105" t="s">
        <v>14004</v>
      </c>
      <c r="V1105" t="s">
        <v>14004</v>
      </c>
      <c r="W1105" t="s">
        <v>15085</v>
      </c>
      <c r="X1105">
        <v>10</v>
      </c>
      <c r="Y1105" t="s">
        <v>22017</v>
      </c>
      <c r="Z1105" t="s">
        <v>28815</v>
      </c>
      <c r="AA1105">
        <v>0.37848947027096852</v>
      </c>
      <c r="AB1105" t="str">
        <f>HYPERLINK("Melting_Curves/meltCurve_I3L1L3_MYBBP1A.pdf", "Melting_Curves/meltCurve_I3L1L3_MYBBP1A.pdf")</f>
        <v>Melting_Curves/meltCurve_I3L1L3_MYBBP1A.pdf</v>
      </c>
    </row>
    <row r="1106" spans="1:28" x14ac:dyDescent="0.25">
      <c r="A1106" t="s">
        <v>1110</v>
      </c>
      <c r="B1106">
        <v>0.99999676499088797</v>
      </c>
      <c r="C1106">
        <v>1.10368088251527</v>
      </c>
      <c r="D1106">
        <v>1.06316033255071</v>
      </c>
      <c r="E1106">
        <v>1.09579005702877</v>
      </c>
      <c r="F1106">
        <v>0.93693863835430402</v>
      </c>
      <c r="G1106">
        <v>0.97687677434985398</v>
      </c>
      <c r="H1106">
        <v>0.64405430532138097</v>
      </c>
      <c r="I1106">
        <v>0.57405665051389798</v>
      </c>
      <c r="J1106">
        <v>0.48175920673252098</v>
      </c>
      <c r="K1106">
        <v>0.60710090168476505</v>
      </c>
      <c r="L1106">
        <v>3534.73952171883</v>
      </c>
      <c r="M1106">
        <v>59.461375715851602</v>
      </c>
      <c r="O1106">
        <v>59.378849873697398</v>
      </c>
      <c r="P1106">
        <v>-0.112275634773876</v>
      </c>
      <c r="Q1106">
        <v>0.551520959180825</v>
      </c>
      <c r="R1106">
        <v>0.93175763521378996</v>
      </c>
      <c r="S1106" t="s">
        <v>8109</v>
      </c>
      <c r="T1106" t="s">
        <v>14004</v>
      </c>
      <c r="U1106" t="s">
        <v>14004</v>
      </c>
      <c r="V1106" t="s">
        <v>14004</v>
      </c>
      <c r="W1106" t="s">
        <v>15086</v>
      </c>
      <c r="X1106">
        <v>13</v>
      </c>
      <c r="Y1106" t="s">
        <v>22018</v>
      </c>
      <c r="Z1106" t="s">
        <v>28816</v>
      </c>
      <c r="AA1106">
        <v>0.84305211541513936</v>
      </c>
      <c r="AB1106" t="str">
        <f>HYPERLINK("Melting_Curves/meltCurve_I3L1P8_SLC25A11.pdf", "Melting_Curves/meltCurve_I3L1P8_SLC25A11.pdf")</f>
        <v>Melting_Curves/meltCurve_I3L1P8_SLC25A11.pdf</v>
      </c>
    </row>
    <row r="1107" spans="1:28" x14ac:dyDescent="0.25">
      <c r="A1107" t="s">
        <v>1111</v>
      </c>
      <c r="B1107">
        <v>0.99999676499088797</v>
      </c>
      <c r="C1107">
        <v>1.01806639080088</v>
      </c>
      <c r="D1107">
        <v>1.08997900878924</v>
      </c>
      <c r="E1107">
        <v>1.40863253145925</v>
      </c>
      <c r="F1107">
        <v>1.2941566480981599</v>
      </c>
      <c r="G1107">
        <v>0.94659947722120996</v>
      </c>
      <c r="H1107">
        <v>0.44445490553601702</v>
      </c>
      <c r="I1107">
        <v>0.30135336568885901</v>
      </c>
      <c r="J1107">
        <v>0.24698731230426599</v>
      </c>
      <c r="K1107">
        <v>0.337110332386797</v>
      </c>
      <c r="L1107">
        <v>3523.9552422791999</v>
      </c>
      <c r="M1107">
        <v>59.273820823922897</v>
      </c>
      <c r="N1107">
        <v>60.344810082329602</v>
      </c>
      <c r="O1107">
        <v>59.384577828075102</v>
      </c>
      <c r="P1107">
        <v>-0.17668241821343</v>
      </c>
      <c r="Q1107">
        <v>0.291950065854304</v>
      </c>
      <c r="R1107">
        <v>0.84337566607421599</v>
      </c>
      <c r="S1107" t="s">
        <v>8110</v>
      </c>
      <c r="T1107" t="s">
        <v>14004</v>
      </c>
      <c r="U1107" t="s">
        <v>14004</v>
      </c>
      <c r="V1107" t="s">
        <v>14004</v>
      </c>
      <c r="W1107" t="s">
        <v>15087</v>
      </c>
      <c r="X1107">
        <v>4</v>
      </c>
      <c r="Y1107" t="s">
        <v>22019</v>
      </c>
      <c r="Z1107" t="s">
        <v>28817</v>
      </c>
      <c r="AA1107">
        <v>0.75236744254435972</v>
      </c>
      <c r="AB1107" t="str">
        <f>HYPERLINK("Melting_Curves/meltCurve_I3L1Q3_ELP5.pdf", "Melting_Curves/meltCurve_I3L1Q3_ELP5.pdf")</f>
        <v>Melting_Curves/meltCurve_I3L1Q3_ELP5.pdf</v>
      </c>
    </row>
    <row r="1108" spans="1:28" x14ac:dyDescent="0.25">
      <c r="A1108" t="s">
        <v>1112</v>
      </c>
      <c r="B1108">
        <v>0.99999676499088797</v>
      </c>
      <c r="C1108">
        <v>1.08892078528059</v>
      </c>
      <c r="D1108">
        <v>1.04200575358971</v>
      </c>
      <c r="E1108">
        <v>0.881861124360802</v>
      </c>
      <c r="F1108">
        <v>0.68062915142320701</v>
      </c>
      <c r="G1108">
        <v>0.34923890000376701</v>
      </c>
      <c r="H1108">
        <v>0.155382312548701</v>
      </c>
      <c r="I1108">
        <v>0.16611694397080801</v>
      </c>
      <c r="J1108">
        <v>0.19008255623735701</v>
      </c>
      <c r="K1108">
        <v>0.15796586873402799</v>
      </c>
      <c r="L1108">
        <v>1407.1978221122999</v>
      </c>
      <c r="M1108">
        <v>26.024431637149601</v>
      </c>
      <c r="N1108">
        <v>54.843165526471402</v>
      </c>
      <c r="O1108">
        <v>53.755939056298097</v>
      </c>
      <c r="P1108">
        <v>-0.102490203432341</v>
      </c>
      <c r="Q1108">
        <v>0.153196671886911</v>
      </c>
      <c r="R1108">
        <v>0.98940838769630202</v>
      </c>
      <c r="S1108" t="s">
        <v>8111</v>
      </c>
      <c r="T1108" t="s">
        <v>14004</v>
      </c>
      <c r="U1108" t="s">
        <v>14004</v>
      </c>
      <c r="V1108" t="s">
        <v>14004</v>
      </c>
      <c r="W1108" t="s">
        <v>15088</v>
      </c>
      <c r="X1108">
        <v>3</v>
      </c>
      <c r="Y1108" t="s">
        <v>22020</v>
      </c>
      <c r="Z1108" t="s">
        <v>28818</v>
      </c>
      <c r="AA1108">
        <v>0.55769082142694437</v>
      </c>
      <c r="AB1108" t="str">
        <f>HYPERLINK("Melting_Curves/meltCurve_I3L232_B3GNTL1.pdf", "Melting_Curves/meltCurve_I3L232_B3GNTL1.pdf")</f>
        <v>Melting_Curves/meltCurve_I3L232_B3GNTL1.pdf</v>
      </c>
    </row>
    <row r="1109" spans="1:28" x14ac:dyDescent="0.25">
      <c r="A1109" t="s">
        <v>1113</v>
      </c>
      <c r="B1109">
        <v>0.99999676499088797</v>
      </c>
      <c r="C1109">
        <v>0.97543353272684896</v>
      </c>
      <c r="D1109">
        <v>0.95776239597867496</v>
      </c>
      <c r="E1109">
        <v>0.48041297570547198</v>
      </c>
      <c r="F1109">
        <v>0.16715284884104001</v>
      </c>
      <c r="G1109">
        <v>0.11138239990808101</v>
      </c>
      <c r="H1109">
        <v>4.6966525178483598E-2</v>
      </c>
      <c r="I1109">
        <v>5.6866918647996E-2</v>
      </c>
      <c r="J1109">
        <v>5.1569204310879302E-2</v>
      </c>
      <c r="K1109">
        <v>4.3701856840189998E-2</v>
      </c>
      <c r="L1109">
        <v>1619.4140671564801</v>
      </c>
      <c r="M1109">
        <v>32.782900079761099</v>
      </c>
      <c r="N1109">
        <v>49.5971025072175</v>
      </c>
      <c r="O1109">
        <v>49.215410399554401</v>
      </c>
      <c r="P1109">
        <v>-0.15626791885150501</v>
      </c>
      <c r="Q1109">
        <v>6.1613882668286199E-2</v>
      </c>
      <c r="R1109">
        <v>0.997248539157358</v>
      </c>
      <c r="S1109" t="s">
        <v>8112</v>
      </c>
      <c r="T1109" t="s">
        <v>14004</v>
      </c>
      <c r="U1109" t="s">
        <v>14004</v>
      </c>
      <c r="V1109" t="s">
        <v>14004</v>
      </c>
      <c r="W1109" t="s">
        <v>15089</v>
      </c>
      <c r="X1109">
        <v>25</v>
      </c>
      <c r="Y1109" t="s">
        <v>22021</v>
      </c>
      <c r="Z1109" t="s">
        <v>28819</v>
      </c>
      <c r="AA1109">
        <v>0.36038234672931918</v>
      </c>
      <c r="AB1109" t="str">
        <f>HYPERLINK("Melting_Curves/meltCurve_I3L2B0_CLUH.pdf", "Melting_Curves/meltCurve_I3L2B0_CLUH.pdf")</f>
        <v>Melting_Curves/meltCurve_I3L2B0_CLUH.pdf</v>
      </c>
    </row>
    <row r="1110" spans="1:28" x14ac:dyDescent="0.25">
      <c r="A1110" t="s">
        <v>1114</v>
      </c>
      <c r="B1110">
        <v>0.99999676499088797</v>
      </c>
      <c r="C1110">
        <v>0.94913416010693297</v>
      </c>
      <c r="D1110">
        <v>0.71263838629060705</v>
      </c>
      <c r="E1110">
        <v>0.31244177438182502</v>
      </c>
      <c r="F1110">
        <v>0.31117194395602599</v>
      </c>
      <c r="G1110">
        <v>0.17341667825967599</v>
      </c>
      <c r="H1110">
        <v>0.10369696698554801</v>
      </c>
      <c r="I1110">
        <v>8.5662033654909694E-2</v>
      </c>
      <c r="J1110">
        <v>8.1520157511763794E-2</v>
      </c>
      <c r="K1110">
        <v>7.0626687581448105E-2</v>
      </c>
      <c r="L1110">
        <v>913.88759959793401</v>
      </c>
      <c r="M1110">
        <v>19.139618540781399</v>
      </c>
      <c r="N1110">
        <v>48.296057282314898</v>
      </c>
      <c r="O1110">
        <v>47.236390724897703</v>
      </c>
      <c r="P1110">
        <v>-9.1420305256443193E-2</v>
      </c>
      <c r="Q1110">
        <v>9.7537285346920299E-2</v>
      </c>
      <c r="R1110">
        <v>0.98169404297801399</v>
      </c>
      <c r="S1110" t="s">
        <v>8113</v>
      </c>
      <c r="T1110" t="s">
        <v>14004</v>
      </c>
      <c r="U1110" t="s">
        <v>14004</v>
      </c>
      <c r="V1110" t="s">
        <v>14004</v>
      </c>
      <c r="W1110" t="s">
        <v>15090</v>
      </c>
      <c r="X1110">
        <v>2</v>
      </c>
      <c r="Y1110" t="s">
        <v>22022</v>
      </c>
      <c r="Z1110" t="s">
        <v>28820</v>
      </c>
      <c r="AA1110">
        <v>0.34479779563379398</v>
      </c>
      <c r="AB1110" t="str">
        <f>HYPERLINK("Melting_Curves/meltCurve_I3L2C7_GEMIN4.pdf", "Melting_Curves/meltCurve_I3L2C7_GEMIN4.pdf")</f>
        <v>Melting_Curves/meltCurve_I3L2C7_GEMIN4.pdf</v>
      </c>
    </row>
    <row r="1111" spans="1:28" x14ac:dyDescent="0.25">
      <c r="A1111" t="s">
        <v>1115</v>
      </c>
      <c r="B1111">
        <v>0.99999676499088797</v>
      </c>
      <c r="C1111">
        <v>1.0164783838035201</v>
      </c>
      <c r="D1111">
        <v>0.86686858605257</v>
      </c>
      <c r="E1111">
        <v>0.64803714333317697</v>
      </c>
      <c r="F1111">
        <v>0.25725938952777599</v>
      </c>
      <c r="G1111">
        <v>0.30334851740267299</v>
      </c>
      <c r="H1111">
        <v>0.17509950276241701</v>
      </c>
      <c r="I1111">
        <v>0.19482883966058601</v>
      </c>
      <c r="J1111">
        <v>0.187134495417866</v>
      </c>
      <c r="K1111">
        <v>0.12802636468756901</v>
      </c>
      <c r="L1111">
        <v>1195.54178809052</v>
      </c>
      <c r="M1111">
        <v>23.989959001495102</v>
      </c>
      <c r="N1111">
        <v>50.758149305601798</v>
      </c>
      <c r="O1111">
        <v>49.492685733384398</v>
      </c>
      <c r="P1111">
        <v>-9.9759109281274003E-2</v>
      </c>
      <c r="Q1111">
        <v>0.17677761174437601</v>
      </c>
      <c r="R1111">
        <v>0.984701210774659</v>
      </c>
      <c r="S1111" t="s">
        <v>8114</v>
      </c>
      <c r="T1111" t="s">
        <v>14004</v>
      </c>
      <c r="U1111" t="s">
        <v>14004</v>
      </c>
      <c r="V1111" t="s">
        <v>14004</v>
      </c>
      <c r="W1111" t="s">
        <v>15091</v>
      </c>
      <c r="X1111">
        <v>1</v>
      </c>
      <c r="Y1111" t="s">
        <v>22023</v>
      </c>
      <c r="Z1111" t="s">
        <v>28821</v>
      </c>
      <c r="AA1111">
        <v>0.4546422768485312</v>
      </c>
      <c r="AB1111" t="str">
        <f>HYPERLINK("Melting_Curves/meltCurve_I3L2J0_CIC.pdf", "Melting_Curves/meltCurve_I3L2J0_CIC.pdf")</f>
        <v>Melting_Curves/meltCurve_I3L2J0_CIC.pdf</v>
      </c>
    </row>
    <row r="1112" spans="1:28" x14ac:dyDescent="0.25">
      <c r="A1112" t="s">
        <v>1116</v>
      </c>
      <c r="B1112">
        <v>0.99999676499088797</v>
      </c>
      <c r="C1112">
        <v>0.84907903165322196</v>
      </c>
      <c r="D1112">
        <v>0.451130447353286</v>
      </c>
      <c r="E1112">
        <v>0.28932347926042501</v>
      </c>
      <c r="F1112">
        <v>0.231148437127002</v>
      </c>
      <c r="G1112">
        <v>0.20873396065764299</v>
      </c>
      <c r="H1112">
        <v>0.117280248172101</v>
      </c>
      <c r="I1112">
        <v>0.109565233957753</v>
      </c>
      <c r="J1112">
        <v>0.100197990161697</v>
      </c>
      <c r="K1112">
        <v>8.1128314006613494E-2</v>
      </c>
      <c r="L1112">
        <v>978.55345154399095</v>
      </c>
      <c r="M1112">
        <v>21.516623868603599</v>
      </c>
      <c r="N1112">
        <v>46.136799682360902</v>
      </c>
      <c r="O1112">
        <v>45.091583812351097</v>
      </c>
      <c r="P1112">
        <v>-0.10353773416062501</v>
      </c>
      <c r="Q1112">
        <v>0.13210061738738299</v>
      </c>
      <c r="R1112">
        <v>0.97837972020881803</v>
      </c>
      <c r="S1112" t="s">
        <v>8115</v>
      </c>
      <c r="T1112" t="s">
        <v>14004</v>
      </c>
      <c r="U1112" t="s">
        <v>14004</v>
      </c>
      <c r="V1112" t="s">
        <v>14004</v>
      </c>
      <c r="W1112" t="s">
        <v>15092</v>
      </c>
      <c r="X1112">
        <v>12</v>
      </c>
      <c r="Y1112" t="s">
        <v>22024</v>
      </c>
      <c r="Z1112" t="s">
        <v>28822</v>
      </c>
      <c r="AA1112">
        <v>0.30240584378400859</v>
      </c>
      <c r="AB1112" t="str">
        <f>HYPERLINK("Melting_Curves/meltCurve_I3L2J8_AZI1.pdf", "Melting_Curves/meltCurve_I3L2J8_AZI1.pdf")</f>
        <v>Melting_Curves/meltCurve_I3L2J8_AZI1.pdf</v>
      </c>
    </row>
    <row r="1113" spans="1:28" x14ac:dyDescent="0.25">
      <c r="A1113" t="s">
        <v>1117</v>
      </c>
      <c r="B1113">
        <v>0.99999676499088797</v>
      </c>
      <c r="C1113">
        <v>1.2347584867922801</v>
      </c>
      <c r="D1113">
        <v>1.13932097489638</v>
      </c>
      <c r="E1113">
        <v>1.8774622029011501</v>
      </c>
      <c r="F1113">
        <v>1.81720162980839</v>
      </c>
      <c r="G1113">
        <v>1.5785851598285401</v>
      </c>
      <c r="H1113">
        <v>1.2751877734669399</v>
      </c>
      <c r="I1113">
        <v>0.91217455801687697</v>
      </c>
      <c r="J1113">
        <v>0.84154208383027196</v>
      </c>
      <c r="K1113">
        <v>2.0529959855402402</v>
      </c>
      <c r="L1113">
        <v>1331.0120840458701</v>
      </c>
      <c r="M1113">
        <v>30.082704054701001</v>
      </c>
      <c r="O1113">
        <v>44.050957975664403</v>
      </c>
      <c r="P1113">
        <v>7.8695475488999203E-2</v>
      </c>
      <c r="Q1113">
        <v>1.4609411092828499</v>
      </c>
      <c r="R1113">
        <v>0.12966035771683601</v>
      </c>
      <c r="S1113" t="s">
        <v>8116</v>
      </c>
      <c r="T1113" t="s">
        <v>14004</v>
      </c>
      <c r="U1113" t="s">
        <v>14004</v>
      </c>
      <c r="V1113" t="s">
        <v>14004</v>
      </c>
      <c r="W1113" t="s">
        <v>15093</v>
      </c>
      <c r="X1113">
        <v>2</v>
      </c>
      <c r="Y1113" t="s">
        <v>22025</v>
      </c>
      <c r="Z1113" t="s">
        <v>28823</v>
      </c>
      <c r="AA1113">
        <v>1.392505173549986</v>
      </c>
      <c r="AB1113" t="str">
        <f>HYPERLINK("Melting_Curves/meltCurve_I3L2L5_FAM195B.pdf", "Melting_Curves/meltCurve_I3L2L5_FAM195B.pdf")</f>
        <v>Melting_Curves/meltCurve_I3L2L5_FAM195B.pdf</v>
      </c>
    </row>
    <row r="1114" spans="1:28" x14ac:dyDescent="0.25">
      <c r="A1114" t="s">
        <v>1118</v>
      </c>
      <c r="B1114">
        <v>0.99999676499088797</v>
      </c>
      <c r="C1114">
        <v>0.963222332046345</v>
      </c>
      <c r="D1114">
        <v>1.0593252250944201</v>
      </c>
      <c r="E1114">
        <v>1.05879456969203</v>
      </c>
      <c r="F1114">
        <v>0.82739390768309795</v>
      </c>
      <c r="G1114">
        <v>0.24468716720424899</v>
      </c>
      <c r="H1114">
        <v>9.8633936907029096E-2</v>
      </c>
      <c r="I1114">
        <v>9.4200339979920694E-2</v>
      </c>
      <c r="J1114">
        <v>8.1254220319186596E-2</v>
      </c>
      <c r="K1114">
        <v>0.10205961604550599</v>
      </c>
      <c r="L1114">
        <v>2621.17444573987</v>
      </c>
      <c r="M1114">
        <v>47.777595129985798</v>
      </c>
      <c r="N1114">
        <v>55.097189066433202</v>
      </c>
      <c r="O1114">
        <v>54.766148174595401</v>
      </c>
      <c r="P1114">
        <v>-0.19798005105102201</v>
      </c>
      <c r="Q1114">
        <v>9.2244547646635505E-2</v>
      </c>
      <c r="R1114">
        <v>0.99508084779963302</v>
      </c>
      <c r="S1114" t="s">
        <v>8117</v>
      </c>
      <c r="T1114" t="s">
        <v>14004</v>
      </c>
      <c r="U1114" t="s">
        <v>14004</v>
      </c>
      <c r="V1114" t="s">
        <v>14004</v>
      </c>
      <c r="W1114" t="s">
        <v>15094</v>
      </c>
      <c r="X1114">
        <v>14</v>
      </c>
      <c r="Y1114" t="s">
        <v>22026</v>
      </c>
      <c r="Z1114" t="s">
        <v>28824</v>
      </c>
      <c r="AA1114">
        <v>0.54435183342705074</v>
      </c>
      <c r="AB1114" t="str">
        <f>HYPERLINK("Melting_Curves/meltCurve_I3L3A8_PELP1.pdf", "Melting_Curves/meltCurve_I3L3A8_PELP1.pdf")</f>
        <v>Melting_Curves/meltCurve_I3L3A8_PELP1.pdf</v>
      </c>
    </row>
    <row r="1115" spans="1:28" x14ac:dyDescent="0.25">
      <c r="A1115" t="s">
        <v>1119</v>
      </c>
      <c r="B1115">
        <v>0.99999676499088797</v>
      </c>
      <c r="C1115">
        <v>1.0488012443828501</v>
      </c>
      <c r="D1115">
        <v>1.0701222199157601</v>
      </c>
      <c r="E1115">
        <v>1.0575455495782999</v>
      </c>
      <c r="F1115">
        <v>0.73927524658551502</v>
      </c>
      <c r="G1115">
        <v>0.315632840479113</v>
      </c>
      <c r="H1115">
        <v>0.15333583458430999</v>
      </c>
      <c r="I1115">
        <v>8.8228136854285905E-2</v>
      </c>
      <c r="J1115">
        <v>7.5779278400926603E-2</v>
      </c>
      <c r="K1115">
        <v>6.7050335173844705E-2</v>
      </c>
      <c r="L1115">
        <v>1808.9909441939401</v>
      </c>
      <c r="M1115">
        <v>32.954895240642699</v>
      </c>
      <c r="N1115">
        <v>55.200603864307901</v>
      </c>
      <c r="O1115">
        <v>54.691989104870203</v>
      </c>
      <c r="P1115">
        <v>-0.13800086458302199</v>
      </c>
      <c r="Q1115">
        <v>8.3898418710192796E-2</v>
      </c>
      <c r="R1115">
        <v>0.99120439334863297</v>
      </c>
      <c r="S1115" t="s">
        <v>8118</v>
      </c>
      <c r="T1115" t="s">
        <v>14004</v>
      </c>
      <c r="U1115" t="s">
        <v>14004</v>
      </c>
      <c r="V1115" t="s">
        <v>14004</v>
      </c>
      <c r="W1115" t="s">
        <v>14938</v>
      </c>
      <c r="X1115">
        <v>1</v>
      </c>
      <c r="Z1115" t="s">
        <v>28825</v>
      </c>
      <c r="AA1115">
        <v>0.54375099136241689</v>
      </c>
      <c r="AB1115" t="str">
        <f>HYPERLINK("Melting_Curves/meltCurve_I3L3B4_.pdf", "Melting_Curves/meltCurve_I3L3B4_.pdf")</f>
        <v>Melting_Curves/meltCurve_I3L3B4_.pdf</v>
      </c>
    </row>
    <row r="1116" spans="1:28" x14ac:dyDescent="0.25">
      <c r="A1116" t="s">
        <v>1120</v>
      </c>
      <c r="B1116">
        <v>0.99999676499088797</v>
      </c>
      <c r="C1116">
        <v>1.12863627696115</v>
      </c>
      <c r="D1116">
        <v>1.0371382300576499</v>
      </c>
      <c r="E1116">
        <v>0.71488257047335102</v>
      </c>
      <c r="F1116">
        <v>0.43316893525033701</v>
      </c>
      <c r="G1116">
        <v>0.24239810225990199</v>
      </c>
      <c r="H1116">
        <v>0.23747892585349001</v>
      </c>
      <c r="I1116">
        <v>0.26107074086732501</v>
      </c>
      <c r="J1116">
        <v>4.3099300150724301E-2</v>
      </c>
      <c r="K1116">
        <v>0</v>
      </c>
      <c r="L1116">
        <v>1093.3896830978499</v>
      </c>
      <c r="M1116">
        <v>21.0600857676509</v>
      </c>
      <c r="N1116">
        <v>52.568852972351003</v>
      </c>
      <c r="O1116">
        <v>51.456317441008402</v>
      </c>
      <c r="P1116">
        <v>-9.0574268879825295E-2</v>
      </c>
      <c r="Q1116">
        <v>0.114819380873963</v>
      </c>
      <c r="R1116">
        <v>0.95454826263643799</v>
      </c>
      <c r="S1116" t="s">
        <v>8119</v>
      </c>
      <c r="T1116" t="s">
        <v>14004</v>
      </c>
      <c r="U1116" t="s">
        <v>14004</v>
      </c>
      <c r="V1116" t="s">
        <v>14004</v>
      </c>
      <c r="W1116" t="s">
        <v>15095</v>
      </c>
      <c r="X1116">
        <v>1</v>
      </c>
      <c r="Y1116" t="s">
        <v>22027</v>
      </c>
      <c r="Z1116" t="s">
        <v>28826</v>
      </c>
      <c r="AA1116">
        <v>0.47761725172533481</v>
      </c>
      <c r="AB1116" t="str">
        <f>HYPERLINK("Melting_Curves/meltCurve_I3L413_CCNE1.pdf", "Melting_Curves/meltCurve_I3L413_CCNE1.pdf")</f>
        <v>Melting_Curves/meltCurve_I3L413_CCNE1.pdf</v>
      </c>
    </row>
    <row r="1117" spans="1:28" x14ac:dyDescent="0.25">
      <c r="A1117" t="s">
        <v>1121</v>
      </c>
      <c r="B1117">
        <v>0.99999676499088797</v>
      </c>
      <c r="C1117">
        <v>0.91929280477933895</v>
      </c>
      <c r="D1117">
        <v>0.84324598858372801</v>
      </c>
      <c r="E1117">
        <v>0.72111503024926904</v>
      </c>
      <c r="F1117">
        <v>0.378683089183665</v>
      </c>
      <c r="G1117">
        <v>0.31010267814512099</v>
      </c>
      <c r="H1117">
        <v>0.15633470514282299</v>
      </c>
      <c r="I1117">
        <v>0.142606875271137</v>
      </c>
      <c r="J1117">
        <v>0.146972550440396</v>
      </c>
      <c r="K1117">
        <v>9.3470247795823996E-2</v>
      </c>
      <c r="L1117">
        <v>752.15156225035003</v>
      </c>
      <c r="M1117">
        <v>14.628812183165</v>
      </c>
      <c r="N1117">
        <v>52.142255370002601</v>
      </c>
      <c r="O1117">
        <v>50.483635645489898</v>
      </c>
      <c r="P1117">
        <v>-6.5771714247250396E-2</v>
      </c>
      <c r="Q1117">
        <v>9.2195536523742197E-2</v>
      </c>
      <c r="R1117">
        <v>0.99059223479601899</v>
      </c>
      <c r="S1117" t="s">
        <v>8120</v>
      </c>
      <c r="T1117" t="s">
        <v>14004</v>
      </c>
      <c r="U1117" t="s">
        <v>14004</v>
      </c>
      <c r="V1117" t="s">
        <v>14004</v>
      </c>
      <c r="W1117" t="s">
        <v>15096</v>
      </c>
      <c r="X1117">
        <v>4</v>
      </c>
      <c r="Y1117" t="s">
        <v>22028</v>
      </c>
      <c r="Z1117" t="s">
        <v>28827</v>
      </c>
      <c r="AA1117">
        <v>0.45917726020608368</v>
      </c>
      <c r="AB1117" t="str">
        <f>HYPERLINK("Melting_Curves/meltCurve_I3L448_ATPAF1.pdf", "Melting_Curves/meltCurve_I3L448_ATPAF1.pdf")</f>
        <v>Melting_Curves/meltCurve_I3L448_ATPAF1.pdf</v>
      </c>
    </row>
    <row r="1118" spans="1:28" x14ac:dyDescent="0.25">
      <c r="A1118" t="s">
        <v>1122</v>
      </c>
      <c r="B1118">
        <v>0.99999676499088797</v>
      </c>
      <c r="C1118">
        <v>0.98633208272708295</v>
      </c>
      <c r="D1118">
        <v>1.089459180353</v>
      </c>
      <c r="E1118">
        <v>0.66945054997238795</v>
      </c>
      <c r="F1118">
        <v>0.56838025485483301</v>
      </c>
      <c r="G1118">
        <v>0.42803685361322602</v>
      </c>
      <c r="H1118">
        <v>0.214377614015162</v>
      </c>
      <c r="I1118">
        <v>0.20311447395007301</v>
      </c>
      <c r="J1118">
        <v>0.160970970258632</v>
      </c>
      <c r="K1118">
        <v>0.13899299935509701</v>
      </c>
      <c r="L1118">
        <v>816.13540218473599</v>
      </c>
      <c r="M1118">
        <v>15.3307903823462</v>
      </c>
      <c r="N1118">
        <v>54.295190150577</v>
      </c>
      <c r="O1118">
        <v>52.353928253381902</v>
      </c>
      <c r="P1118">
        <v>-6.3744218331120706E-2</v>
      </c>
      <c r="Q1118">
        <v>0.12934657592770599</v>
      </c>
      <c r="R1118">
        <v>0.96513643141385796</v>
      </c>
      <c r="S1118" t="s">
        <v>8121</v>
      </c>
      <c r="T1118" t="s">
        <v>14004</v>
      </c>
      <c r="U1118" t="s">
        <v>14004</v>
      </c>
      <c r="V1118" t="s">
        <v>14004</v>
      </c>
      <c r="W1118" t="s">
        <v>15097</v>
      </c>
      <c r="X1118">
        <v>16</v>
      </c>
      <c r="Y1118" t="s">
        <v>22029</v>
      </c>
      <c r="Z1118" t="s">
        <v>28828</v>
      </c>
      <c r="AA1118">
        <v>0.53145029685511169</v>
      </c>
      <c r="AB1118" t="str">
        <f>HYPERLINK("Melting_Curves/meltCurve_I3L4C3_SPAG7.pdf", "Melting_Curves/meltCurve_I3L4C3_SPAG7.pdf")</f>
        <v>Melting_Curves/meltCurve_I3L4C3_SPAG7.pdf</v>
      </c>
    </row>
    <row r="1119" spans="1:28" x14ac:dyDescent="0.25">
      <c r="A1119" t="s">
        <v>1123</v>
      </c>
      <c r="B1119">
        <v>0.99999676499088797</v>
      </c>
      <c r="C1119">
        <v>0.79209216308274499</v>
      </c>
      <c r="D1119">
        <v>0.40199303511162499</v>
      </c>
      <c r="E1119">
        <v>0.23892647577112</v>
      </c>
      <c r="F1119">
        <v>0.189329696586929</v>
      </c>
      <c r="G1119">
        <v>0.114871767038039</v>
      </c>
      <c r="H1119">
        <v>7.30633072176127E-2</v>
      </c>
      <c r="I1119">
        <v>5.9589454673046202E-2</v>
      </c>
      <c r="J1119">
        <v>5.3363866990431802E-2</v>
      </c>
      <c r="K1119">
        <v>6.3679357610638504E-2</v>
      </c>
      <c r="L1119">
        <v>969.35042194856396</v>
      </c>
      <c r="M1119">
        <v>21.4626272725517</v>
      </c>
      <c r="N1119">
        <v>45.557761877443802</v>
      </c>
      <c r="O1119">
        <v>44.777972154364399</v>
      </c>
      <c r="P1119">
        <v>-0.109700432584241</v>
      </c>
      <c r="Q1119">
        <v>8.4540434391622593E-2</v>
      </c>
      <c r="R1119">
        <v>0.98529742596354397</v>
      </c>
      <c r="S1119" t="s">
        <v>8122</v>
      </c>
      <c r="T1119" t="s">
        <v>14004</v>
      </c>
      <c r="U1119" t="s">
        <v>14004</v>
      </c>
      <c r="V1119" t="s">
        <v>14004</v>
      </c>
      <c r="W1119" t="s">
        <v>15098</v>
      </c>
      <c r="X1119">
        <v>2</v>
      </c>
      <c r="Y1119" t="s">
        <v>22030</v>
      </c>
      <c r="Z1119" t="s">
        <v>28829</v>
      </c>
      <c r="AA1119">
        <v>0.25503914150425239</v>
      </c>
      <c r="AB1119" t="str">
        <f>HYPERLINK("Melting_Curves/meltCurve_I3L4J3_KANSL1.pdf", "Melting_Curves/meltCurve_I3L4J3_KANSL1.pdf")</f>
        <v>Melting_Curves/meltCurve_I3L4J3_KANSL1.pdf</v>
      </c>
    </row>
    <row r="1120" spans="1:28" x14ac:dyDescent="0.25">
      <c r="A1120" t="s">
        <v>1124</v>
      </c>
      <c r="B1120">
        <v>0.99999676499088797</v>
      </c>
      <c r="C1120">
        <v>0.88058909000687902</v>
      </c>
      <c r="D1120">
        <v>0.77541964369534799</v>
      </c>
      <c r="E1120">
        <v>0.42535143575941198</v>
      </c>
      <c r="F1120">
        <v>0.30188514865515198</v>
      </c>
      <c r="G1120">
        <v>0.194446994911529</v>
      </c>
      <c r="H1120">
        <v>0.12877937039728499</v>
      </c>
      <c r="I1120">
        <v>0.10599217473158599</v>
      </c>
      <c r="J1120">
        <v>8.0582873649608297E-2</v>
      </c>
      <c r="K1120">
        <v>7.4046571895268407E-2</v>
      </c>
      <c r="L1120">
        <v>758.024363301172</v>
      </c>
      <c r="M1120">
        <v>15.5594695189434</v>
      </c>
      <c r="N1120">
        <v>49.282461505317499</v>
      </c>
      <c r="O1120">
        <v>47.934411658042997</v>
      </c>
      <c r="P1120">
        <v>-7.4531748068079495E-2</v>
      </c>
      <c r="Q1120">
        <v>8.1633342758359803E-2</v>
      </c>
      <c r="R1120">
        <v>0.99387816788113803</v>
      </c>
      <c r="S1120" t="s">
        <v>8123</v>
      </c>
      <c r="T1120" t="s">
        <v>14004</v>
      </c>
      <c r="U1120" t="s">
        <v>14004</v>
      </c>
      <c r="V1120" t="s">
        <v>14004</v>
      </c>
      <c r="W1120" t="s">
        <v>15099</v>
      </c>
      <c r="X1120">
        <v>4</v>
      </c>
      <c r="Y1120" t="s">
        <v>22031</v>
      </c>
      <c r="Z1120" t="s">
        <v>28830</v>
      </c>
      <c r="AA1120">
        <v>0.36986087054014438</v>
      </c>
      <c r="AB1120" t="str">
        <f>HYPERLINK("Melting_Curves/meltCurve_I3L4X3_NFKBIB.pdf", "Melting_Curves/meltCurve_I3L4X3_NFKBIB.pdf")</f>
        <v>Melting_Curves/meltCurve_I3L4X3_NFKBIB.pdf</v>
      </c>
    </row>
    <row r="1121" spans="1:28" x14ac:dyDescent="0.25">
      <c r="A1121" t="s">
        <v>1125</v>
      </c>
      <c r="B1121">
        <v>0.99999676499088797</v>
      </c>
      <c r="C1121">
        <v>0.98248494413596299</v>
      </c>
      <c r="D1121">
        <v>0.82950605617878803</v>
      </c>
      <c r="E1121">
        <v>0.70146859504038295</v>
      </c>
      <c r="F1121">
        <v>0.69488618221634002</v>
      </c>
      <c r="G1121">
        <v>0.39495192425194597</v>
      </c>
      <c r="H1121">
        <v>0.21915244019865601</v>
      </c>
      <c r="I1121">
        <v>0.214283806746911</v>
      </c>
      <c r="J1121">
        <v>0.21267969870439099</v>
      </c>
      <c r="K1121">
        <v>0.27930390302763097</v>
      </c>
      <c r="L1121">
        <v>665.32369556026401</v>
      </c>
      <c r="M1121">
        <v>12.5616577916362</v>
      </c>
      <c r="N1121">
        <v>54.681615008235397</v>
      </c>
      <c r="O1121">
        <v>51.676123656433298</v>
      </c>
      <c r="P1121">
        <v>-5.08776546668539E-2</v>
      </c>
      <c r="Q1121">
        <v>0.16296738170383601</v>
      </c>
      <c r="R1121">
        <v>0.96070510135057197</v>
      </c>
      <c r="S1121" t="s">
        <v>8124</v>
      </c>
      <c r="T1121" t="s">
        <v>14004</v>
      </c>
      <c r="U1121" t="s">
        <v>14004</v>
      </c>
      <c r="V1121" t="s">
        <v>14004</v>
      </c>
      <c r="W1121" t="s">
        <v>15100</v>
      </c>
      <c r="X1121">
        <v>1</v>
      </c>
      <c r="Y1121" t="s">
        <v>22032</v>
      </c>
      <c r="Z1121" t="s">
        <v>28831</v>
      </c>
      <c r="AA1121">
        <v>0.54736614552349327</v>
      </c>
      <c r="AB1121" t="str">
        <f>HYPERLINK("Melting_Curves/meltCurve_I3L4X7_GPS2.pdf", "Melting_Curves/meltCurve_I3L4X7_GPS2.pdf")</f>
        <v>Melting_Curves/meltCurve_I3L4X7_GPS2.pdf</v>
      </c>
    </row>
    <row r="1122" spans="1:28" x14ac:dyDescent="0.25">
      <c r="A1122" t="s">
        <v>1126</v>
      </c>
      <c r="B1122">
        <v>0.99999676499088797</v>
      </c>
      <c r="C1122">
        <v>0.98309586200725296</v>
      </c>
      <c r="D1122">
        <v>0.94153996776103099</v>
      </c>
      <c r="E1122">
        <v>0.93175937213069804</v>
      </c>
      <c r="F1122">
        <v>0.864061614382718</v>
      </c>
      <c r="G1122">
        <v>0.77317014402975903</v>
      </c>
      <c r="H1122">
        <v>0.35685751467497101</v>
      </c>
      <c r="I1122">
        <v>0.20477612173524401</v>
      </c>
      <c r="J1122">
        <v>0.19834016004086399</v>
      </c>
      <c r="K1122">
        <v>0.14405819026220301</v>
      </c>
      <c r="L1122">
        <v>1381.47099129872</v>
      </c>
      <c r="M1122">
        <v>23.592269148148201</v>
      </c>
      <c r="N1122">
        <v>59.288273683919002</v>
      </c>
      <c r="O1122">
        <v>58.1402660870476</v>
      </c>
      <c r="P1122">
        <v>-8.8626871730743906E-2</v>
      </c>
      <c r="Q1122">
        <v>0.126374715752163</v>
      </c>
      <c r="R1122">
        <v>0.98661311591238898</v>
      </c>
      <c r="S1122" t="s">
        <v>8125</v>
      </c>
      <c r="T1122" t="s">
        <v>14004</v>
      </c>
      <c r="U1122" t="s">
        <v>14004</v>
      </c>
      <c r="V1122" t="s">
        <v>14004</v>
      </c>
      <c r="W1122" t="s">
        <v>15101</v>
      </c>
      <c r="X1122">
        <v>4</v>
      </c>
      <c r="Y1122" t="s">
        <v>22033</v>
      </c>
      <c r="Z1122" t="s">
        <v>28832</v>
      </c>
      <c r="AA1122">
        <v>0.67466618818223489</v>
      </c>
      <c r="AB1122" t="str">
        <f>HYPERLINK("Melting_Curves/meltCurve_J3KMW4_CENPI.pdf", "Melting_Curves/meltCurve_J3KMW4_CENPI.pdf")</f>
        <v>Melting_Curves/meltCurve_J3KMW4_CENPI.pdf</v>
      </c>
    </row>
    <row r="1123" spans="1:28" x14ac:dyDescent="0.25">
      <c r="A1123" t="s">
        <v>1127</v>
      </c>
      <c r="B1123">
        <v>0.99999676499088797</v>
      </c>
      <c r="C1123">
        <v>0.98164193699790903</v>
      </c>
      <c r="D1123">
        <v>0.88357637998852101</v>
      </c>
      <c r="E1123">
        <v>0.63308876738498898</v>
      </c>
      <c r="F1123">
        <v>0.33665176180551798</v>
      </c>
      <c r="G1123">
        <v>0.22023654002500201</v>
      </c>
      <c r="H1123">
        <v>0.11799779256017</v>
      </c>
      <c r="I1123">
        <v>0.13100919464962599</v>
      </c>
      <c r="J1123">
        <v>0.119474106515935</v>
      </c>
      <c r="K1123">
        <v>0.120199461981464</v>
      </c>
      <c r="L1123">
        <v>1006.52330145043</v>
      </c>
      <c r="M1123">
        <v>19.9557575810149</v>
      </c>
      <c r="N1123">
        <v>51.094118184724202</v>
      </c>
      <c r="O1123">
        <v>49.939443834826903</v>
      </c>
      <c r="P1123">
        <v>-8.8607226261819202E-2</v>
      </c>
      <c r="Q1123">
        <v>0.113067936688186</v>
      </c>
      <c r="R1123">
        <v>0.99905001890943002</v>
      </c>
      <c r="S1123" t="s">
        <v>8126</v>
      </c>
      <c r="T1123" t="s">
        <v>14004</v>
      </c>
      <c r="U1123" t="s">
        <v>14004</v>
      </c>
      <c r="V1123" t="s">
        <v>14004</v>
      </c>
      <c r="W1123" t="s">
        <v>15102</v>
      </c>
      <c r="X1123">
        <v>14</v>
      </c>
      <c r="Y1123" t="s">
        <v>22034</v>
      </c>
      <c r="Z1123" t="s">
        <v>28833</v>
      </c>
      <c r="AA1123">
        <v>0.43403551421770648</v>
      </c>
      <c r="AB1123" t="str">
        <f>HYPERLINK("Melting_Curves/meltCurve_J3KMW8_CACTIN.pdf", "Melting_Curves/meltCurve_J3KMW8_CACTIN.pdf")</f>
        <v>Melting_Curves/meltCurve_J3KMW8_CACTIN.pdf</v>
      </c>
    </row>
    <row r="1124" spans="1:28" x14ac:dyDescent="0.25">
      <c r="A1124" t="s">
        <v>1128</v>
      </c>
      <c r="B1124">
        <v>0.99999676499088797</v>
      </c>
      <c r="C1124">
        <v>0.918275380826308</v>
      </c>
      <c r="D1124">
        <v>0.69686722670526402</v>
      </c>
      <c r="E1124">
        <v>0.23942242321432</v>
      </c>
      <c r="F1124">
        <v>0.17241268233333401</v>
      </c>
      <c r="G1124">
        <v>0.122900509069574</v>
      </c>
      <c r="H1124">
        <v>5.6999391507236603E-2</v>
      </c>
      <c r="I1124">
        <v>8.0352565911127397E-2</v>
      </c>
      <c r="J1124">
        <v>6.7374809126217503E-2</v>
      </c>
      <c r="K1124">
        <v>6.7954936330854199E-2</v>
      </c>
      <c r="L1124">
        <v>1238.64253360561</v>
      </c>
      <c r="M1124">
        <v>26.306285001103099</v>
      </c>
      <c r="N1124">
        <v>47.4051285374277</v>
      </c>
      <c r="O1124">
        <v>46.815845977993497</v>
      </c>
      <c r="P1124">
        <v>-0.12906043525809999</v>
      </c>
      <c r="Q1124">
        <v>8.1282965238627797E-2</v>
      </c>
      <c r="R1124">
        <v>0.99512462520563605</v>
      </c>
      <c r="S1124" t="s">
        <v>8127</v>
      </c>
      <c r="T1124" t="s">
        <v>14004</v>
      </c>
      <c r="U1124" t="s">
        <v>14004</v>
      </c>
      <c r="V1124" t="s">
        <v>14004</v>
      </c>
      <c r="W1124" t="s">
        <v>15103</v>
      </c>
      <c r="X1124">
        <v>10</v>
      </c>
      <c r="Y1124" t="s">
        <v>22035</v>
      </c>
      <c r="Z1124" t="s">
        <v>28834</v>
      </c>
      <c r="AA1124">
        <v>0.30559048908531378</v>
      </c>
      <c r="AB1124" t="str">
        <f>HYPERLINK("Melting_Curves/meltCurve_J3KMX2_SMARCD2.pdf", "Melting_Curves/meltCurve_J3KMX2_SMARCD2.pdf")</f>
        <v>Melting_Curves/meltCurve_J3KMX2_SMARCD2.pdf</v>
      </c>
    </row>
    <row r="1125" spans="1:28" x14ac:dyDescent="0.25">
      <c r="A1125" t="s">
        <v>1129</v>
      </c>
      <c r="B1125">
        <v>0.99999676499088797</v>
      </c>
      <c r="C1125">
        <v>0.99121576095511699</v>
      </c>
      <c r="D1125">
        <v>1.08401304398717</v>
      </c>
      <c r="E1125">
        <v>1.28930581688829</v>
      </c>
      <c r="F1125">
        <v>1.4208006725553</v>
      </c>
      <c r="G1125">
        <v>1.26147316808863</v>
      </c>
      <c r="H1125">
        <v>0.94852938983456103</v>
      </c>
      <c r="I1125">
        <v>0.77921722370415203</v>
      </c>
      <c r="J1125">
        <v>0.54186164977260198</v>
      </c>
      <c r="K1125">
        <v>0.71524607570823495</v>
      </c>
      <c r="L1125">
        <v>15000</v>
      </c>
      <c r="M1125">
        <v>234.75719946280901</v>
      </c>
      <c r="O1125">
        <v>63.891180905244802</v>
      </c>
      <c r="P1125">
        <v>-0.34120409440044103</v>
      </c>
      <c r="Q1125">
        <v>0.62855362428582096</v>
      </c>
      <c r="R1125">
        <v>0.47836034809712003</v>
      </c>
      <c r="S1125" t="s">
        <v>8128</v>
      </c>
      <c r="T1125" t="s">
        <v>14004</v>
      </c>
      <c r="U1125" t="s">
        <v>14004</v>
      </c>
      <c r="V1125" t="s">
        <v>14004</v>
      </c>
      <c r="W1125" t="s">
        <v>15104</v>
      </c>
      <c r="X1125">
        <v>11</v>
      </c>
      <c r="Y1125" t="s">
        <v>22036</v>
      </c>
      <c r="Z1125" t="s">
        <v>28835</v>
      </c>
      <c r="AA1125">
        <v>0.92446785564004974</v>
      </c>
      <c r="AB1125" t="str">
        <f>HYPERLINK("Melting_Curves/meltCurve_J3KMY5_NPC2.pdf", "Melting_Curves/meltCurve_J3KMY5_NPC2.pdf")</f>
        <v>Melting_Curves/meltCurve_J3KMY5_NPC2.pdf</v>
      </c>
    </row>
    <row r="1126" spans="1:28" x14ac:dyDescent="0.25">
      <c r="A1126" t="s">
        <v>1130</v>
      </c>
      <c r="B1126">
        <v>0.99999676499088797</v>
      </c>
      <c r="C1126">
        <v>1.0073046073484699</v>
      </c>
      <c r="D1126">
        <v>0.91307808842664495</v>
      </c>
      <c r="E1126">
        <v>0.72983629138182105</v>
      </c>
      <c r="F1126">
        <v>0.24997270680406999</v>
      </c>
      <c r="G1126">
        <v>0.20020720516047399</v>
      </c>
      <c r="H1126">
        <v>0.124294360434475</v>
      </c>
      <c r="I1126">
        <v>0.10162845781848399</v>
      </c>
      <c r="J1126">
        <v>0.11560337049149701</v>
      </c>
      <c r="K1126">
        <v>8.9378512087792697E-2</v>
      </c>
      <c r="L1126">
        <v>1536.7389610376999</v>
      </c>
      <c r="M1126">
        <v>30.293885119517601</v>
      </c>
      <c r="N1126">
        <v>51.159647388688199</v>
      </c>
      <c r="O1126">
        <v>50.50817055532</v>
      </c>
      <c r="P1126">
        <v>-0.133026609334362</v>
      </c>
      <c r="Q1126">
        <v>0.112838727769626</v>
      </c>
      <c r="R1126">
        <v>0.994390434912791</v>
      </c>
      <c r="S1126" t="s">
        <v>8129</v>
      </c>
      <c r="T1126" t="s">
        <v>14004</v>
      </c>
      <c r="U1126" t="s">
        <v>14004</v>
      </c>
      <c r="V1126" t="s">
        <v>14004</v>
      </c>
      <c r="W1126" t="s">
        <v>15105</v>
      </c>
      <c r="X1126">
        <v>5</v>
      </c>
      <c r="Y1126" t="s">
        <v>22037</v>
      </c>
      <c r="Z1126" t="s">
        <v>28836</v>
      </c>
      <c r="AA1126">
        <v>0.43552394569392178</v>
      </c>
      <c r="AB1126" t="str">
        <f>HYPERLINK("Melting_Curves/meltCurve_J3KMZ7_INTS2.pdf", "Melting_Curves/meltCurve_J3KMZ7_INTS2.pdf")</f>
        <v>Melting_Curves/meltCurve_J3KMZ7_INTS2.pdf</v>
      </c>
    </row>
    <row r="1127" spans="1:28" x14ac:dyDescent="0.25">
      <c r="A1127" t="s">
        <v>1131</v>
      </c>
      <c r="B1127">
        <v>0.99999676499088797</v>
      </c>
      <c r="C1127">
        <v>1.0493302174783501</v>
      </c>
      <c r="D1127">
        <v>0.98698062754478699</v>
      </c>
      <c r="E1127">
        <v>0.85778794995483798</v>
      </c>
      <c r="F1127">
        <v>0.76431006607037599</v>
      </c>
      <c r="G1127">
        <v>0.54807257906380602</v>
      </c>
      <c r="H1127">
        <v>0.31920784797685298</v>
      </c>
      <c r="I1127">
        <v>0.27707715569969998</v>
      </c>
      <c r="J1127">
        <v>0.21100918355610099</v>
      </c>
      <c r="K1127">
        <v>0.20424579021814901</v>
      </c>
      <c r="L1127">
        <v>887.11616310274906</v>
      </c>
      <c r="M1127">
        <v>15.844801712991</v>
      </c>
      <c r="N1127">
        <v>57.406264640187402</v>
      </c>
      <c r="O1127">
        <v>55.118790614928102</v>
      </c>
      <c r="P1127">
        <v>-6.02305847778122E-2</v>
      </c>
      <c r="Q1127">
        <v>0.16197967562196</v>
      </c>
      <c r="R1127">
        <v>0.99350304494098796</v>
      </c>
      <c r="S1127" t="s">
        <v>8130</v>
      </c>
      <c r="T1127" t="s">
        <v>14004</v>
      </c>
      <c r="U1127" t="s">
        <v>14004</v>
      </c>
      <c r="V1127" t="s">
        <v>14004</v>
      </c>
      <c r="W1127" t="s">
        <v>15106</v>
      </c>
      <c r="X1127">
        <v>14</v>
      </c>
      <c r="Y1127" t="s">
        <v>22038</v>
      </c>
      <c r="Z1127" t="s">
        <v>28837</v>
      </c>
      <c r="AA1127">
        <v>0.62275058837195274</v>
      </c>
      <c r="AB1127" t="str">
        <f>HYPERLINK("Melting_Curves/meltCurve_J3KMZ9_LDLR.pdf", "Melting_Curves/meltCurve_J3KMZ9_LDLR.pdf")</f>
        <v>Melting_Curves/meltCurve_J3KMZ9_LDLR.pdf</v>
      </c>
    </row>
    <row r="1128" spans="1:28" x14ac:dyDescent="0.25">
      <c r="A1128" t="s">
        <v>1132</v>
      </c>
      <c r="B1128">
        <v>0.99999676499088797</v>
      </c>
      <c r="C1128">
        <v>0.98173989862811695</v>
      </c>
      <c r="D1128">
        <v>0.97872574569588799</v>
      </c>
      <c r="E1128">
        <v>0.41242545409578801</v>
      </c>
      <c r="F1128">
        <v>0.220315471758359</v>
      </c>
      <c r="G1128">
        <v>0.158460503781162</v>
      </c>
      <c r="H1128">
        <v>8.0089717354773299E-2</v>
      </c>
      <c r="I1128">
        <v>6.5200176821648304E-2</v>
      </c>
      <c r="J1128">
        <v>6.6265685600121693E-2</v>
      </c>
      <c r="K1128">
        <v>5.7549218623977702E-2</v>
      </c>
      <c r="L1128">
        <v>1836.1959562172401</v>
      </c>
      <c r="M1128">
        <v>37.483543715831502</v>
      </c>
      <c r="N1128">
        <v>49.267725804704298</v>
      </c>
      <c r="O1128">
        <v>48.847922066695801</v>
      </c>
      <c r="P1128">
        <v>-0.17337505879154599</v>
      </c>
      <c r="Q1128">
        <v>9.6244683074077297E-2</v>
      </c>
      <c r="R1128">
        <v>0.98901022529373195</v>
      </c>
      <c r="S1128" t="s">
        <v>8131</v>
      </c>
      <c r="T1128" t="s">
        <v>14004</v>
      </c>
      <c r="U1128" t="s">
        <v>14004</v>
      </c>
      <c r="V1128" t="s">
        <v>14004</v>
      </c>
      <c r="W1128" t="s">
        <v>15107</v>
      </c>
      <c r="X1128">
        <v>25</v>
      </c>
      <c r="Y1128" t="s">
        <v>22039</v>
      </c>
      <c r="Z1128" t="s">
        <v>28838</v>
      </c>
      <c r="AA1128">
        <v>0.37046592429062258</v>
      </c>
      <c r="AB1128" t="str">
        <f>HYPERLINK("Melting_Curves/meltCurve_J3KN16_KIAA0368.pdf", "Melting_Curves/meltCurve_J3KN16_KIAA0368.pdf")</f>
        <v>Melting_Curves/meltCurve_J3KN16_KIAA0368.pdf</v>
      </c>
    </row>
    <row r="1129" spans="1:28" x14ac:dyDescent="0.25">
      <c r="A1129" t="s">
        <v>1133</v>
      </c>
      <c r="B1129">
        <v>0.99999676499088797</v>
      </c>
      <c r="C1129">
        <v>0.93524635370350995</v>
      </c>
      <c r="D1129">
        <v>0.82752863306661795</v>
      </c>
      <c r="E1129">
        <v>0.59669986739472303</v>
      </c>
      <c r="F1129">
        <v>0.37970776133130002</v>
      </c>
      <c r="G1129">
        <v>0.25542121638300802</v>
      </c>
      <c r="H1129">
        <v>0.17720972692531001</v>
      </c>
      <c r="I1129">
        <v>0.217975444246431</v>
      </c>
      <c r="J1129">
        <v>0.24134957880397301</v>
      </c>
      <c r="K1129">
        <v>0.228327286426589</v>
      </c>
      <c r="L1129">
        <v>909.24426880321403</v>
      </c>
      <c r="M1129">
        <v>18.420346381761501</v>
      </c>
      <c r="N1129">
        <v>50.811927268174898</v>
      </c>
      <c r="O1129">
        <v>48.790148966166399</v>
      </c>
      <c r="P1129">
        <v>-7.5084523121848698E-2</v>
      </c>
      <c r="Q1129">
        <v>0.20452743453428199</v>
      </c>
      <c r="R1129">
        <v>0.99481237287823399</v>
      </c>
      <c r="S1129" t="s">
        <v>8132</v>
      </c>
      <c r="T1129" t="s">
        <v>14004</v>
      </c>
      <c r="U1129" t="s">
        <v>14004</v>
      </c>
      <c r="V1129" t="s">
        <v>14004</v>
      </c>
      <c r="W1129" t="s">
        <v>15108</v>
      </c>
      <c r="X1129">
        <v>5</v>
      </c>
      <c r="Y1129" t="s">
        <v>22040</v>
      </c>
      <c r="Z1129" t="s">
        <v>28839</v>
      </c>
      <c r="AA1129">
        <v>0.46582231116247569</v>
      </c>
      <c r="AB1129" t="str">
        <f>HYPERLINK("Melting_Curves/meltCurve_J3KN27_FBRSL1.pdf", "Melting_Curves/meltCurve_J3KN27_FBRSL1.pdf")</f>
        <v>Melting_Curves/meltCurve_J3KN27_FBRSL1.pdf</v>
      </c>
    </row>
    <row r="1130" spans="1:28" x14ac:dyDescent="0.25">
      <c r="A1130" t="s">
        <v>1134</v>
      </c>
      <c r="B1130">
        <v>0.99999676499088797</v>
      </c>
      <c r="C1130">
        <v>0.97830608533738705</v>
      </c>
      <c r="D1130">
        <v>0.84831388904446403</v>
      </c>
      <c r="E1130">
        <v>0.62123279399861897</v>
      </c>
      <c r="F1130">
        <v>0.57952422803873904</v>
      </c>
      <c r="G1130">
        <v>0.58480475282553301</v>
      </c>
      <c r="H1130">
        <v>0.31681668491067599</v>
      </c>
      <c r="I1130">
        <v>0.36263267203723998</v>
      </c>
      <c r="J1130">
        <v>0.368536715952682</v>
      </c>
      <c r="K1130">
        <v>0.32032509798492598</v>
      </c>
      <c r="L1130">
        <v>579.87680050925496</v>
      </c>
      <c r="M1130">
        <v>11.3738756105869</v>
      </c>
      <c r="N1130">
        <v>55.540497450554597</v>
      </c>
      <c r="O1130">
        <v>49.483517854761502</v>
      </c>
      <c r="P1130">
        <v>-4.0042531705489499E-2</v>
      </c>
      <c r="Q1130">
        <v>0.30336587508076002</v>
      </c>
      <c r="R1130">
        <v>0.94990952251368899</v>
      </c>
      <c r="S1130" t="s">
        <v>8133</v>
      </c>
      <c r="T1130" t="s">
        <v>14004</v>
      </c>
      <c r="U1130" t="s">
        <v>14004</v>
      </c>
      <c r="V1130" t="s">
        <v>14004</v>
      </c>
      <c r="W1130" t="s">
        <v>15109</v>
      </c>
      <c r="X1130">
        <v>15</v>
      </c>
      <c r="Y1130" t="s">
        <v>22041</v>
      </c>
      <c r="Z1130" t="s">
        <v>28840</v>
      </c>
      <c r="AA1130">
        <v>0.5829306078988391</v>
      </c>
      <c r="AB1130" t="str">
        <f>HYPERLINK("Melting_Curves/meltCurve_J3KN29_PSMD9.pdf", "Melting_Curves/meltCurve_J3KN29_PSMD9.pdf")</f>
        <v>Melting_Curves/meltCurve_J3KN29_PSMD9.pdf</v>
      </c>
    </row>
    <row r="1131" spans="1:28" x14ac:dyDescent="0.25">
      <c r="A1131" t="s">
        <v>1135</v>
      </c>
      <c r="B1131">
        <v>0.99999676499088797</v>
      </c>
      <c r="C1131">
        <v>0.92511034070051101</v>
      </c>
      <c r="D1131">
        <v>0.86497340915396104</v>
      </c>
      <c r="E1131">
        <v>0.58525203391146396</v>
      </c>
      <c r="F1131">
        <v>0.27465684462770601</v>
      </c>
      <c r="G1131">
        <v>0.152265862040977</v>
      </c>
      <c r="H1131">
        <v>8.2183179814841203E-2</v>
      </c>
      <c r="I1131">
        <v>8.5386954170973903E-2</v>
      </c>
      <c r="J1131">
        <v>9.1374927320075502E-2</v>
      </c>
      <c r="K1131">
        <v>8.6306428164232604E-2</v>
      </c>
      <c r="L1131">
        <v>1004.50554602495</v>
      </c>
      <c r="M1131">
        <v>20.1001009138756</v>
      </c>
      <c r="N1131">
        <v>50.3807710232958</v>
      </c>
      <c r="O1131">
        <v>49.488351004138003</v>
      </c>
      <c r="P1131">
        <v>-9.3956869250173894E-2</v>
      </c>
      <c r="Q1131">
        <v>7.4706249830011104E-2</v>
      </c>
      <c r="R1131">
        <v>0.99803919995194501</v>
      </c>
      <c r="S1131" t="s">
        <v>8134</v>
      </c>
      <c r="T1131" t="s">
        <v>14004</v>
      </c>
      <c r="U1131" t="s">
        <v>14004</v>
      </c>
      <c r="V1131" t="s">
        <v>14004</v>
      </c>
      <c r="W1131" t="s">
        <v>15110</v>
      </c>
      <c r="X1131">
        <v>12</v>
      </c>
      <c r="Y1131" t="s">
        <v>22042</v>
      </c>
      <c r="Z1131" t="s">
        <v>28841</v>
      </c>
      <c r="AA1131">
        <v>0.39512853348940141</v>
      </c>
      <c r="AB1131" t="str">
        <f>HYPERLINK("Melting_Curves/meltCurve_J3KN32_RCOR1.pdf", "Melting_Curves/meltCurve_J3KN32_RCOR1.pdf")</f>
        <v>Melting_Curves/meltCurve_J3KN32_RCOR1.pdf</v>
      </c>
    </row>
    <row r="1132" spans="1:28" x14ac:dyDescent="0.25">
      <c r="A1132" t="s">
        <v>1136</v>
      </c>
      <c r="B1132">
        <v>0.99999676499088797</v>
      </c>
      <c r="C1132">
        <v>0.83846838156134695</v>
      </c>
      <c r="D1132">
        <v>0.81819002077921499</v>
      </c>
      <c r="E1132">
        <v>0.70496218144717704</v>
      </c>
      <c r="F1132">
        <v>0.77440311802762996</v>
      </c>
      <c r="G1132">
        <v>0.83204262556305197</v>
      </c>
      <c r="H1132">
        <v>0.59903575139488596</v>
      </c>
      <c r="I1132">
        <v>0.51868287426174398</v>
      </c>
      <c r="J1132">
        <v>0.64585002817925796</v>
      </c>
      <c r="K1132">
        <v>0.465249941341908</v>
      </c>
      <c r="L1132">
        <v>219.04786195694399</v>
      </c>
      <c r="M1132">
        <v>3.0457166452373401</v>
      </c>
      <c r="O1132">
        <v>53.306659378394997</v>
      </c>
      <c r="P1132">
        <v>-1.47063158165528E-2</v>
      </c>
      <c r="Q1132">
        <v>0</v>
      </c>
      <c r="R1132">
        <v>0.76554764157777</v>
      </c>
      <c r="S1132" t="s">
        <v>8135</v>
      </c>
      <c r="T1132" t="s">
        <v>14004</v>
      </c>
      <c r="U1132" t="s">
        <v>14004</v>
      </c>
      <c r="V1132" t="s">
        <v>14004</v>
      </c>
      <c r="W1132" t="s">
        <v>15111</v>
      </c>
      <c r="X1132">
        <v>5</v>
      </c>
      <c r="Y1132" t="s">
        <v>22043</v>
      </c>
      <c r="Z1132" t="s">
        <v>28842</v>
      </c>
      <c r="AA1132">
        <v>0.71976312203270998</v>
      </c>
      <c r="AB1132" t="str">
        <f>HYPERLINK("Melting_Curves/meltCurve_J3KN47_TF.pdf", "Melting_Curves/meltCurve_J3KN47_TF.pdf")</f>
        <v>Melting_Curves/meltCurve_J3KN47_TF.pdf</v>
      </c>
    </row>
    <row r="1133" spans="1:28" x14ac:dyDescent="0.25">
      <c r="A1133" t="s">
        <v>1137</v>
      </c>
      <c r="B1133">
        <v>0.99999676499088797</v>
      </c>
      <c r="C1133">
        <v>1.17461531793173</v>
      </c>
      <c r="D1133">
        <v>0.98637955213631301</v>
      </c>
      <c r="E1133">
        <v>0.49012236658073</v>
      </c>
      <c r="F1133">
        <v>0.23263236211674301</v>
      </c>
      <c r="G1133">
        <v>5.9199924389327703E-2</v>
      </c>
      <c r="H1133">
        <v>5.2796799612021897E-2</v>
      </c>
      <c r="I1133">
        <v>5.9337312854623597E-2</v>
      </c>
      <c r="J1133">
        <v>5.9295805866673601E-2</v>
      </c>
      <c r="K1133">
        <v>4.4914603050541103E-2</v>
      </c>
      <c r="L1133">
        <v>1629.1667302937799</v>
      </c>
      <c r="M1133">
        <v>32.8320767647729</v>
      </c>
      <c r="N1133">
        <v>49.822719839530102</v>
      </c>
      <c r="O1133">
        <v>49.438189789751803</v>
      </c>
      <c r="P1133">
        <v>-0.15570328148686599</v>
      </c>
      <c r="Q1133">
        <v>6.2178950639643002E-2</v>
      </c>
      <c r="R1133">
        <v>0.97728718383144098</v>
      </c>
      <c r="S1133" t="s">
        <v>8136</v>
      </c>
      <c r="T1133" t="s">
        <v>14004</v>
      </c>
      <c r="U1133" t="s">
        <v>14004</v>
      </c>
      <c r="V1133" t="s">
        <v>14004</v>
      </c>
      <c r="W1133" t="s">
        <v>15112</v>
      </c>
      <c r="X1133">
        <v>3</v>
      </c>
      <c r="Y1133" t="s">
        <v>22044</v>
      </c>
      <c r="Z1133" t="s">
        <v>28843</v>
      </c>
      <c r="AA1133">
        <v>0.36774445722365889</v>
      </c>
      <c r="AB1133" t="str">
        <f>HYPERLINK("Melting_Curves/meltCurve_J3KN59_BNIP2.pdf", "Melting_Curves/meltCurve_J3KN59_BNIP2.pdf")</f>
        <v>Melting_Curves/meltCurve_J3KN59_BNIP2.pdf</v>
      </c>
    </row>
    <row r="1134" spans="1:28" x14ac:dyDescent="0.25">
      <c r="A1134" t="s">
        <v>1138</v>
      </c>
      <c r="B1134">
        <v>0.99999676499088797</v>
      </c>
      <c r="C1134">
        <v>1.0684290618011201</v>
      </c>
      <c r="D1134">
        <v>1.0606450716139999</v>
      </c>
      <c r="E1134">
        <v>0.97811968914178504</v>
      </c>
      <c r="F1134">
        <v>0.69686583141798797</v>
      </c>
      <c r="G1134">
        <v>0.49957303802512898</v>
      </c>
      <c r="H1134">
        <v>0.18563317959433401</v>
      </c>
      <c r="I1134">
        <v>0.153698770163226</v>
      </c>
      <c r="J1134">
        <v>0.134882594793862</v>
      </c>
      <c r="K1134">
        <v>0.129793300378304</v>
      </c>
      <c r="L1134">
        <v>1232.23310268924</v>
      </c>
      <c r="M1134">
        <v>22.197819238896901</v>
      </c>
      <c r="N1134">
        <v>56.147509793960502</v>
      </c>
      <c r="O1134">
        <v>55.066818386002701</v>
      </c>
      <c r="P1134">
        <v>-8.9575364655235204E-2</v>
      </c>
      <c r="Q1134">
        <v>0.111169584900124</v>
      </c>
      <c r="R1134">
        <v>0.98791961085901603</v>
      </c>
      <c r="S1134" t="s">
        <v>8137</v>
      </c>
      <c r="T1134" t="s">
        <v>14004</v>
      </c>
      <c r="U1134" t="s">
        <v>14004</v>
      </c>
      <c r="V1134" t="s">
        <v>14004</v>
      </c>
      <c r="W1134" t="s">
        <v>15113</v>
      </c>
      <c r="X1134">
        <v>21</v>
      </c>
      <c r="Y1134" t="s">
        <v>22045</v>
      </c>
      <c r="Z1134" t="s">
        <v>28844</v>
      </c>
      <c r="AA1134">
        <v>0.58070516568933028</v>
      </c>
      <c r="AB1134" t="str">
        <f>HYPERLINK("Melting_Curves/meltCurve_J3KN66_TOR1AIP1.pdf", "Melting_Curves/meltCurve_J3KN66_TOR1AIP1.pdf")</f>
        <v>Melting_Curves/meltCurve_J3KN66_TOR1AIP1.pdf</v>
      </c>
    </row>
    <row r="1135" spans="1:28" x14ac:dyDescent="0.25">
      <c r="A1135" t="s">
        <v>1139</v>
      </c>
      <c r="B1135">
        <v>0.99999676499088797</v>
      </c>
      <c r="C1135">
        <v>1.06213472772994</v>
      </c>
      <c r="D1135">
        <v>0.98037128333345402</v>
      </c>
      <c r="E1135">
        <v>0.81906897391052402</v>
      </c>
      <c r="F1135">
        <v>0.65397438380617701</v>
      </c>
      <c r="G1135">
        <v>0.57709385640215605</v>
      </c>
      <c r="H1135">
        <v>0.330651489755658</v>
      </c>
      <c r="I1135">
        <v>0.54733408749019197</v>
      </c>
      <c r="J1135">
        <v>0.49056387077557201</v>
      </c>
      <c r="K1135">
        <v>0.60459630521308105</v>
      </c>
      <c r="L1135">
        <v>1297.03653810079</v>
      </c>
      <c r="M1135">
        <v>25.3936613793317</v>
      </c>
      <c r="O1135">
        <v>50.763577316918798</v>
      </c>
      <c r="P1135">
        <v>-6.2290597758201699E-2</v>
      </c>
      <c r="Q1135">
        <v>0.50191450681224403</v>
      </c>
      <c r="R1135">
        <v>0.90516373289407304</v>
      </c>
      <c r="S1135" t="s">
        <v>8138</v>
      </c>
      <c r="T1135" t="s">
        <v>14004</v>
      </c>
      <c r="U1135" t="s">
        <v>14004</v>
      </c>
      <c r="V1135" t="s">
        <v>14004</v>
      </c>
      <c r="W1135" t="s">
        <v>15114</v>
      </c>
      <c r="X1135">
        <v>43</v>
      </c>
      <c r="Y1135" t="s">
        <v>22046</v>
      </c>
      <c r="Z1135" t="s">
        <v>28845</v>
      </c>
      <c r="AA1135">
        <v>0.69019441439844276</v>
      </c>
      <c r="AB1135" t="str">
        <f>HYPERLINK("Melting_Curves/meltCurve_J3KN67_TPM3.pdf", "Melting_Curves/meltCurve_J3KN67_TPM3.pdf")</f>
        <v>Melting_Curves/meltCurve_J3KN67_TPM3.pdf</v>
      </c>
    </row>
    <row r="1136" spans="1:28" x14ac:dyDescent="0.25">
      <c r="A1136" t="s">
        <v>1140</v>
      </c>
      <c r="B1136">
        <v>0.99999676499088797</v>
      </c>
      <c r="C1136">
        <v>0.93623256783179498</v>
      </c>
      <c r="D1136">
        <v>0.95989587105045104</v>
      </c>
      <c r="E1136">
        <v>0.95001815152967495</v>
      </c>
      <c r="F1136">
        <v>0.93771180483181205</v>
      </c>
      <c r="G1136">
        <v>0.74551460844722695</v>
      </c>
      <c r="H1136">
        <v>0.42053597621977301</v>
      </c>
      <c r="I1136">
        <v>0.12928930642154399</v>
      </c>
      <c r="J1136">
        <v>7.7394408899529005E-2</v>
      </c>
      <c r="K1136">
        <v>8.0947486679802699E-2</v>
      </c>
      <c r="L1136">
        <v>1404.43896131872</v>
      </c>
      <c r="M1136">
        <v>23.636128535397599</v>
      </c>
      <c r="N1136">
        <v>59.548394356028197</v>
      </c>
      <c r="O1136">
        <v>58.998718175962303</v>
      </c>
      <c r="P1136">
        <v>-9.7652910374780896E-2</v>
      </c>
      <c r="Q1136">
        <v>2.50008371132306E-2</v>
      </c>
      <c r="R1136">
        <v>0.99184711587176899</v>
      </c>
      <c r="S1136" t="s">
        <v>8139</v>
      </c>
      <c r="T1136" t="s">
        <v>14004</v>
      </c>
      <c r="U1136" t="s">
        <v>14004</v>
      </c>
      <c r="V1136" t="s">
        <v>14004</v>
      </c>
      <c r="W1136" t="s">
        <v>15115</v>
      </c>
      <c r="X1136">
        <v>5</v>
      </c>
      <c r="Y1136" t="s">
        <v>22047</v>
      </c>
      <c r="Z1136" t="s">
        <v>28846</v>
      </c>
      <c r="AA1136">
        <v>0.66427883140094501</v>
      </c>
      <c r="AB1136" t="str">
        <f>HYPERLINK("Melting_Curves/meltCurve_J3KN69_NCEH1.pdf", "Melting_Curves/meltCurve_J3KN69_NCEH1.pdf")</f>
        <v>Melting_Curves/meltCurve_J3KN69_NCEH1.pdf</v>
      </c>
    </row>
    <row r="1137" spans="1:28" x14ac:dyDescent="0.25">
      <c r="A1137" t="s">
        <v>1141</v>
      </c>
      <c r="B1137">
        <v>0.99999676499088797</v>
      </c>
      <c r="C1137">
        <v>0.91655988770804497</v>
      </c>
      <c r="D1137">
        <v>0.95714573994882002</v>
      </c>
      <c r="E1137">
        <v>0.98862127977982095</v>
      </c>
      <c r="F1137">
        <v>0.59017349866770596</v>
      </c>
      <c r="G1137">
        <v>0.37267370113979398</v>
      </c>
      <c r="H1137">
        <v>0.15781556828125801</v>
      </c>
      <c r="I1137">
        <v>0.15081619421015699</v>
      </c>
      <c r="J1137">
        <v>0.13426803830373801</v>
      </c>
      <c r="K1137">
        <v>0.14075399347601</v>
      </c>
      <c r="L1137">
        <v>1367.38235109587</v>
      </c>
      <c r="M1137">
        <v>25.342665151803601</v>
      </c>
      <c r="N1137">
        <v>54.627731663826403</v>
      </c>
      <c r="O1137">
        <v>53.623147828232803</v>
      </c>
      <c r="P1137">
        <v>-0.102330740153826</v>
      </c>
      <c r="Q1137">
        <v>0.13391482438795399</v>
      </c>
      <c r="R1137">
        <v>0.98623970172138198</v>
      </c>
      <c r="S1137" t="s">
        <v>8140</v>
      </c>
      <c r="T1137" t="s">
        <v>14004</v>
      </c>
      <c r="U1137" t="s">
        <v>14004</v>
      </c>
      <c r="V1137" t="s">
        <v>14004</v>
      </c>
      <c r="W1137" t="s">
        <v>15116</v>
      </c>
      <c r="X1137">
        <v>7</v>
      </c>
      <c r="Y1137" t="s">
        <v>22048</v>
      </c>
      <c r="Z1137" t="s">
        <v>28847</v>
      </c>
      <c r="AA1137">
        <v>0.54462670708409833</v>
      </c>
      <c r="AB1137" t="str">
        <f>HYPERLINK("Melting_Curves/meltCurve_J3KNA0_OXA1L.pdf", "Melting_Curves/meltCurve_J3KNA0_OXA1L.pdf")</f>
        <v>Melting_Curves/meltCurve_J3KNA0_OXA1L.pdf</v>
      </c>
    </row>
    <row r="1138" spans="1:28" x14ac:dyDescent="0.25">
      <c r="A1138" t="s">
        <v>1142</v>
      </c>
      <c r="B1138">
        <v>0.99999676499088797</v>
      </c>
      <c r="C1138">
        <v>0.96260647808691402</v>
      </c>
      <c r="D1138">
        <v>1.04822504688732</v>
      </c>
      <c r="E1138">
        <v>0.94298650960004704</v>
      </c>
      <c r="F1138">
        <v>0.28493938803567898</v>
      </c>
      <c r="G1138">
        <v>0.21201736298987101</v>
      </c>
      <c r="H1138">
        <v>7.85447189587654E-2</v>
      </c>
      <c r="I1138">
        <v>0.11066187820377101</v>
      </c>
      <c r="J1138">
        <v>9.8210272624191394E-2</v>
      </c>
      <c r="K1138">
        <v>8.2685581560202503E-2</v>
      </c>
      <c r="L1138">
        <v>2862.6942480640801</v>
      </c>
      <c r="M1138">
        <v>55.179983893730402</v>
      </c>
      <c r="N1138">
        <v>52.122553757053197</v>
      </c>
      <c r="O1138">
        <v>51.811210094627803</v>
      </c>
      <c r="P1138">
        <v>-0.23602120218452799</v>
      </c>
      <c r="Q1138">
        <v>0.11355269067300899</v>
      </c>
      <c r="R1138">
        <v>0.991625404655188</v>
      </c>
      <c r="S1138" t="s">
        <v>8141</v>
      </c>
      <c r="T1138" t="s">
        <v>14004</v>
      </c>
      <c r="U1138" t="s">
        <v>14004</v>
      </c>
      <c r="V1138" t="s">
        <v>14004</v>
      </c>
      <c r="W1138" t="s">
        <v>15117</v>
      </c>
      <c r="X1138">
        <v>5</v>
      </c>
      <c r="Y1138" t="s">
        <v>22049</v>
      </c>
      <c r="Z1138" t="s">
        <v>28848</v>
      </c>
      <c r="AA1138">
        <v>0.46622649794031451</v>
      </c>
      <c r="AB1138" t="str">
        <f>HYPERLINK("Melting_Curves/meltCurve_J3KNB8_MAP3K4.pdf", "Melting_Curves/meltCurve_J3KNB8_MAP3K4.pdf")</f>
        <v>Melting_Curves/meltCurve_J3KNB8_MAP3K4.pdf</v>
      </c>
    </row>
    <row r="1139" spans="1:28" x14ac:dyDescent="0.25">
      <c r="A1139" t="s">
        <v>1143</v>
      </c>
      <c r="B1139">
        <v>0.99999676499088797</v>
      </c>
      <c r="C1139">
        <v>1.0304292421524801</v>
      </c>
      <c r="D1139">
        <v>0.95965058615383703</v>
      </c>
      <c r="E1139">
        <v>0.73894280851734395</v>
      </c>
      <c r="F1139">
        <v>0.41878103104164199</v>
      </c>
      <c r="G1139">
        <v>0.248371316079606</v>
      </c>
      <c r="H1139">
        <v>0.125508399110596</v>
      </c>
      <c r="I1139">
        <v>0.15024192310953199</v>
      </c>
      <c r="J1139">
        <v>0.19308787844754099</v>
      </c>
      <c r="K1139">
        <v>0.10741430077120601</v>
      </c>
      <c r="L1139">
        <v>1190.1540906662401</v>
      </c>
      <c r="M1139">
        <v>23.104304265256701</v>
      </c>
      <c r="N1139">
        <v>52.245282513499802</v>
      </c>
      <c r="O1139">
        <v>51.130986656576802</v>
      </c>
      <c r="P1139">
        <v>-9.73290623810599E-2</v>
      </c>
      <c r="Q1139">
        <v>0.13843954727362701</v>
      </c>
      <c r="R1139">
        <v>0.99479721701928603</v>
      </c>
      <c r="S1139" t="s">
        <v>8142</v>
      </c>
      <c r="T1139" t="s">
        <v>14004</v>
      </c>
      <c r="U1139" t="s">
        <v>14004</v>
      </c>
      <c r="V1139" t="s">
        <v>14004</v>
      </c>
      <c r="W1139" t="s">
        <v>15118</v>
      </c>
      <c r="X1139">
        <v>10</v>
      </c>
      <c r="Y1139" t="s">
        <v>22050</v>
      </c>
      <c r="Z1139" t="s">
        <v>28849</v>
      </c>
      <c r="AA1139">
        <v>0.47816840038633762</v>
      </c>
      <c r="AB1139" t="str">
        <f>HYPERLINK("Melting_Curves/meltCurve_J3KNF4_CCS.pdf", "Melting_Curves/meltCurve_J3KNF4_CCS.pdf")</f>
        <v>Melting_Curves/meltCurve_J3KNF4_CCS.pdf</v>
      </c>
    </row>
    <row r="1140" spans="1:28" x14ac:dyDescent="0.25">
      <c r="A1140" t="s">
        <v>1144</v>
      </c>
      <c r="B1140">
        <v>0.99999676499088797</v>
      </c>
      <c r="C1140">
        <v>0.84106096661376695</v>
      </c>
      <c r="D1140">
        <v>0.94347460683060902</v>
      </c>
      <c r="E1140">
        <v>1.0000672455157</v>
      </c>
      <c r="F1140">
        <v>0.65923625679819597</v>
      </c>
      <c r="G1140">
        <v>0.64822175816126504</v>
      </c>
      <c r="H1140">
        <v>0.52882085842962001</v>
      </c>
      <c r="I1140">
        <v>1.1313634606282801</v>
      </c>
      <c r="J1140">
        <v>1.2571275264108599</v>
      </c>
      <c r="K1140">
        <v>1.2924655713168101</v>
      </c>
      <c r="L1140">
        <v>10229.8736662547</v>
      </c>
      <c r="M1140">
        <v>250</v>
      </c>
      <c r="O1140">
        <v>40.9168779773889</v>
      </c>
      <c r="P1140">
        <v>-0.118492424443529</v>
      </c>
      <c r="Q1140">
        <v>0.922426562513738</v>
      </c>
      <c r="R1140">
        <v>8.8702229317834096E-3</v>
      </c>
      <c r="S1140" t="s">
        <v>8143</v>
      </c>
      <c r="T1140" t="s">
        <v>14004</v>
      </c>
      <c r="U1140" t="s">
        <v>14004</v>
      </c>
      <c r="V1140" t="s">
        <v>14004</v>
      </c>
      <c r="W1140" t="s">
        <v>15119</v>
      </c>
      <c r="X1140">
        <v>3</v>
      </c>
      <c r="Y1140" t="s">
        <v>22051</v>
      </c>
      <c r="Z1140" t="s">
        <v>28850</v>
      </c>
      <c r="AA1140">
        <v>0.92481102461263598</v>
      </c>
      <c r="AB1140" t="str">
        <f>HYPERLINK("Melting_Curves/meltCurve_J3KNF5_CEP290.pdf", "Melting_Curves/meltCurve_J3KNF5_CEP290.pdf")</f>
        <v>Melting_Curves/meltCurve_J3KNF5_CEP290.pdf</v>
      </c>
    </row>
    <row r="1141" spans="1:28" x14ac:dyDescent="0.25">
      <c r="A1141" t="s">
        <v>1145</v>
      </c>
      <c r="B1141">
        <v>0.99999676499088797</v>
      </c>
      <c r="C1141">
        <v>0.97341642988164401</v>
      </c>
      <c r="D1141">
        <v>1.04011238491806</v>
      </c>
      <c r="E1141">
        <v>1.06346323684265</v>
      </c>
      <c r="F1141">
        <v>1.07839628650318</v>
      </c>
      <c r="G1141">
        <v>0.92572731642376405</v>
      </c>
      <c r="H1141">
        <v>0.67158172317254805</v>
      </c>
      <c r="I1141">
        <v>0.60744380973547396</v>
      </c>
      <c r="J1141">
        <v>0.45580725645976999</v>
      </c>
      <c r="K1141">
        <v>0.49809977745783901</v>
      </c>
      <c r="L1141">
        <v>1905.3229458518899</v>
      </c>
      <c r="M1141">
        <v>31.699782495852201</v>
      </c>
      <c r="N1141">
        <v>67.462443631891006</v>
      </c>
      <c r="O1141">
        <v>59.8675579265689</v>
      </c>
      <c r="P1141">
        <v>-6.8274032108030194E-2</v>
      </c>
      <c r="Q1141">
        <v>0.484238959150187</v>
      </c>
      <c r="R1141">
        <v>0.96297760768938701</v>
      </c>
      <c r="S1141" t="s">
        <v>8144</v>
      </c>
      <c r="T1141" t="s">
        <v>14004</v>
      </c>
      <c r="U1141" t="s">
        <v>14004</v>
      </c>
      <c r="V1141" t="s">
        <v>14004</v>
      </c>
      <c r="W1141" t="s">
        <v>15120</v>
      </c>
      <c r="X1141">
        <v>8</v>
      </c>
      <c r="Y1141" t="s">
        <v>22052</v>
      </c>
      <c r="Z1141" t="s">
        <v>28851</v>
      </c>
      <c r="AA1141">
        <v>0.8327806728199435</v>
      </c>
      <c r="AB1141" t="str">
        <f>HYPERLINK("Melting_Curves/meltCurve_J3KNF8_CYB5B.pdf", "Melting_Curves/meltCurve_J3KNF8_CYB5B.pdf")</f>
        <v>Melting_Curves/meltCurve_J3KNF8_CYB5B.pdf</v>
      </c>
    </row>
    <row r="1142" spans="1:28" x14ac:dyDescent="0.25">
      <c r="A1142" t="s">
        <v>1146</v>
      </c>
      <c r="B1142">
        <v>0.99999676499088797</v>
      </c>
      <c r="C1142">
        <v>1.02738249611082</v>
      </c>
      <c r="D1142">
        <v>0.94663421047110996</v>
      </c>
      <c r="E1142">
        <v>0.71825689614739996</v>
      </c>
      <c r="F1142">
        <v>0.16915460353351799</v>
      </c>
      <c r="G1142">
        <v>7.55957634885287E-2</v>
      </c>
      <c r="H1142">
        <v>3.2367991360340999E-2</v>
      </c>
      <c r="I1142">
        <v>5.9756896664146603E-2</v>
      </c>
      <c r="J1142">
        <v>0</v>
      </c>
      <c r="K1142">
        <v>0</v>
      </c>
      <c r="L1142">
        <v>1837.0936017935101</v>
      </c>
      <c r="M1142">
        <v>36.185822756758498</v>
      </c>
      <c r="N1142">
        <v>50.845671447133299</v>
      </c>
      <c r="O1142">
        <v>50.614023733483897</v>
      </c>
      <c r="P1142">
        <v>-0.17394921653869799</v>
      </c>
      <c r="Q1142">
        <v>2.6774386649877E-2</v>
      </c>
      <c r="R1142">
        <v>0.99714648999259903</v>
      </c>
      <c r="S1142" t="s">
        <v>8145</v>
      </c>
      <c r="T1142" t="s">
        <v>14004</v>
      </c>
      <c r="U1142" t="s">
        <v>14004</v>
      </c>
      <c r="V1142" t="s">
        <v>14004</v>
      </c>
      <c r="W1142" t="s">
        <v>14541</v>
      </c>
      <c r="X1142">
        <v>1</v>
      </c>
      <c r="Y1142" t="s">
        <v>21479</v>
      </c>
      <c r="Z1142" t="s">
        <v>28852</v>
      </c>
      <c r="AA1142">
        <v>0.38028782294769897</v>
      </c>
      <c r="AB1142" t="str">
        <f>HYPERLINK("Melting_Curves/meltCurve_J3KNG8_FNIP1.pdf", "Melting_Curves/meltCurve_J3KNG8_FNIP1.pdf")</f>
        <v>Melting_Curves/meltCurve_J3KNG8_FNIP1.pdf</v>
      </c>
    </row>
    <row r="1143" spans="1:28" x14ac:dyDescent="0.25">
      <c r="A1143" t="s">
        <v>1147</v>
      </c>
      <c r="B1143">
        <v>0.99999676499088797</v>
      </c>
      <c r="C1143">
        <v>0.91150075968445199</v>
      </c>
      <c r="D1143">
        <v>0.47231695979745603</v>
      </c>
      <c r="E1143">
        <v>0.24390515942435301</v>
      </c>
      <c r="F1143">
        <v>0.191960967564239</v>
      </c>
      <c r="G1143">
        <v>0.12687705797862001</v>
      </c>
      <c r="H1143">
        <v>7.2566767258319703E-2</v>
      </c>
      <c r="I1143">
        <v>8.35408921978983E-2</v>
      </c>
      <c r="J1143">
        <v>7.5476736123719301E-2</v>
      </c>
      <c r="K1143">
        <v>6.0120868461615497E-2</v>
      </c>
      <c r="L1143">
        <v>1165.2665714556699</v>
      </c>
      <c r="M1143">
        <v>25.4471162051478</v>
      </c>
      <c r="N1143">
        <v>46.185639758836103</v>
      </c>
      <c r="O1143">
        <v>45.511722961750699</v>
      </c>
      <c r="P1143">
        <v>-0.12614812093809499</v>
      </c>
      <c r="Q1143">
        <v>9.7556646874193506E-2</v>
      </c>
      <c r="R1143">
        <v>0.98704810731151305</v>
      </c>
      <c r="S1143" t="s">
        <v>8146</v>
      </c>
      <c r="T1143" t="s">
        <v>14004</v>
      </c>
      <c r="U1143" t="s">
        <v>14004</v>
      </c>
      <c r="V1143" t="s">
        <v>14004</v>
      </c>
      <c r="W1143" t="s">
        <v>15121</v>
      </c>
      <c r="X1143">
        <v>5</v>
      </c>
      <c r="Y1143" t="s">
        <v>22053</v>
      </c>
      <c r="Z1143" t="s">
        <v>28853</v>
      </c>
      <c r="AA1143">
        <v>0.27987272454959261</v>
      </c>
      <c r="AB1143" t="str">
        <f>HYPERLINK("Melting_Curves/meltCurve_J3KNI1_COG4.pdf", "Melting_Curves/meltCurve_J3KNI1_COG4.pdf")</f>
        <v>Melting_Curves/meltCurve_J3KNI1_COG4.pdf</v>
      </c>
    </row>
    <row r="1144" spans="1:28" x14ac:dyDescent="0.25">
      <c r="A1144" t="s">
        <v>1148</v>
      </c>
      <c r="B1144">
        <v>0.99999676499088797</v>
      </c>
      <c r="C1144">
        <v>1.0162166425496499</v>
      </c>
      <c r="D1144">
        <v>0.991313902909844</v>
      </c>
      <c r="E1144">
        <v>0.87358717593605695</v>
      </c>
      <c r="F1144">
        <v>0.52625513624806497</v>
      </c>
      <c r="G1144">
        <v>0.21937383848685901</v>
      </c>
      <c r="H1144">
        <v>8.6206912751950096E-2</v>
      </c>
      <c r="I1144">
        <v>8.11529975491877E-2</v>
      </c>
      <c r="J1144">
        <v>7.3849990629061404E-2</v>
      </c>
      <c r="K1144">
        <v>7.6329925661130699E-2</v>
      </c>
      <c r="L1144">
        <v>1399.70205791581</v>
      </c>
      <c r="M1144">
        <v>26.3411127840576</v>
      </c>
      <c r="N1144">
        <v>53.437001713238402</v>
      </c>
      <c r="O1144">
        <v>52.834104329348598</v>
      </c>
      <c r="P1144">
        <v>-0.116089326422017</v>
      </c>
      <c r="Q1144">
        <v>6.8617821243945304E-2</v>
      </c>
      <c r="R1144">
        <v>0.99959225139989805</v>
      </c>
      <c r="S1144" t="s">
        <v>8147</v>
      </c>
      <c r="T1144" t="s">
        <v>14004</v>
      </c>
      <c r="U1144" t="s">
        <v>14004</v>
      </c>
      <c r="V1144" t="s">
        <v>14004</v>
      </c>
      <c r="W1144" t="s">
        <v>15122</v>
      </c>
      <c r="X1144">
        <v>28</v>
      </c>
      <c r="Y1144" t="s">
        <v>22054</v>
      </c>
      <c r="Z1144" t="s">
        <v>28854</v>
      </c>
      <c r="AA1144">
        <v>0.48426504650358387</v>
      </c>
      <c r="AB1144" t="str">
        <f>HYPERLINK("Melting_Curves/meltCurve_J3KNL2_SEPT1.pdf", "Melting_Curves/meltCurve_J3KNL2_SEPT1.pdf")</f>
        <v>Melting_Curves/meltCurve_J3KNL2_SEPT1.pdf</v>
      </c>
    </row>
    <row r="1145" spans="1:28" x14ac:dyDescent="0.25">
      <c r="A1145" t="s">
        <v>1149</v>
      </c>
      <c r="B1145">
        <v>0.99999676499088797</v>
      </c>
      <c r="C1145">
        <v>1.00448360557633</v>
      </c>
      <c r="D1145">
        <v>0.97356705701409896</v>
      </c>
      <c r="E1145">
        <v>0.58140478260750394</v>
      </c>
      <c r="F1145">
        <v>0.25163610693603999</v>
      </c>
      <c r="G1145">
        <v>0.23951487819910899</v>
      </c>
      <c r="H1145">
        <v>0.10796671342311299</v>
      </c>
      <c r="I1145">
        <v>0.111872777298723</v>
      </c>
      <c r="J1145">
        <v>6.3909343781755196E-2</v>
      </c>
      <c r="K1145">
        <v>7.4030730677429907E-2</v>
      </c>
      <c r="L1145">
        <v>1317.3323427379701</v>
      </c>
      <c r="M1145">
        <v>26.3075789974312</v>
      </c>
      <c r="N1145">
        <v>50.528247743859097</v>
      </c>
      <c r="O1145">
        <v>49.787598754513503</v>
      </c>
      <c r="P1145">
        <v>-0.11819650528803199</v>
      </c>
      <c r="Q1145">
        <v>0.10525317660417401</v>
      </c>
      <c r="R1145">
        <v>0.98936651411699805</v>
      </c>
      <c r="S1145" t="s">
        <v>8148</v>
      </c>
      <c r="T1145" t="s">
        <v>14004</v>
      </c>
      <c r="U1145" t="s">
        <v>14004</v>
      </c>
      <c r="V1145" t="s">
        <v>14004</v>
      </c>
      <c r="W1145" t="s">
        <v>15123</v>
      </c>
      <c r="X1145">
        <v>7</v>
      </c>
      <c r="Y1145" t="s">
        <v>22055</v>
      </c>
      <c r="Z1145" t="s">
        <v>28855</v>
      </c>
      <c r="AA1145">
        <v>0.41293993600532503</v>
      </c>
      <c r="AB1145" t="str">
        <f>HYPERLINK("Melting_Curves/meltCurve_J3KNL3_CHID1.pdf", "Melting_Curves/meltCurve_J3KNL3_CHID1.pdf")</f>
        <v>Melting_Curves/meltCurve_J3KNL3_CHID1.pdf</v>
      </c>
    </row>
    <row r="1146" spans="1:28" x14ac:dyDescent="0.25">
      <c r="A1146" t="s">
        <v>1150</v>
      </c>
      <c r="B1146">
        <v>0.99999676499088797</v>
      </c>
      <c r="C1146">
        <v>1.00452325735148</v>
      </c>
      <c r="D1146">
        <v>0.99591237490349904</v>
      </c>
      <c r="E1146">
        <v>0.738542825683281</v>
      </c>
      <c r="F1146">
        <v>0.46908618797650697</v>
      </c>
      <c r="G1146">
        <v>0.37528916276685198</v>
      </c>
      <c r="H1146">
        <v>0.25266981106945902</v>
      </c>
      <c r="I1146">
        <v>0.27489479220681801</v>
      </c>
      <c r="J1146">
        <v>0.321639877776696</v>
      </c>
      <c r="K1146">
        <v>0.357484314532935</v>
      </c>
      <c r="L1146">
        <v>1377.57065834941</v>
      </c>
      <c r="M1146">
        <v>27.153561572249298</v>
      </c>
      <c r="N1146">
        <v>52.577375010191503</v>
      </c>
      <c r="O1146">
        <v>50.4598337943358</v>
      </c>
      <c r="P1146">
        <v>-9.3209377477160099E-2</v>
      </c>
      <c r="Q1146">
        <v>0.30715773254082901</v>
      </c>
      <c r="R1146">
        <v>0.98856100568237104</v>
      </c>
      <c r="S1146" t="s">
        <v>8149</v>
      </c>
      <c r="T1146" t="s">
        <v>14004</v>
      </c>
      <c r="U1146" t="s">
        <v>14004</v>
      </c>
      <c r="V1146" t="s">
        <v>14004</v>
      </c>
      <c r="W1146" t="s">
        <v>15124</v>
      </c>
      <c r="X1146">
        <v>11</v>
      </c>
      <c r="Y1146" t="s">
        <v>22056</v>
      </c>
      <c r="Z1146" t="s">
        <v>28856</v>
      </c>
      <c r="AA1146">
        <v>0.56031973075676189</v>
      </c>
      <c r="AB1146" t="str">
        <f>HYPERLINK("Melting_Curves/meltCurve_J3KNL6_SEC16A.pdf", "Melting_Curves/meltCurve_J3KNL6_SEC16A.pdf")</f>
        <v>Melting_Curves/meltCurve_J3KNL6_SEC16A.pdf</v>
      </c>
    </row>
    <row r="1147" spans="1:28" x14ac:dyDescent="0.25">
      <c r="A1147" t="s">
        <v>1151</v>
      </c>
      <c r="B1147">
        <v>0.99999676499088797</v>
      </c>
      <c r="C1147">
        <v>1.0643748378839299</v>
      </c>
      <c r="D1147">
        <v>0.882108820317694</v>
      </c>
      <c r="E1147">
        <v>1.0451853152262001</v>
      </c>
      <c r="F1147">
        <v>0.45027540116430298</v>
      </c>
      <c r="G1147">
        <v>0.31152959267373698</v>
      </c>
      <c r="H1147">
        <v>0.14424178615010799</v>
      </c>
      <c r="I1147">
        <v>0.121602912279122</v>
      </c>
      <c r="J1147">
        <v>0.108748253817725</v>
      </c>
      <c r="K1147">
        <v>0.111395106950264</v>
      </c>
      <c r="L1147">
        <v>2636.9416045288699</v>
      </c>
      <c r="M1147">
        <v>50.032609995289903</v>
      </c>
      <c r="N1147">
        <v>53.086681318716799</v>
      </c>
      <c r="O1147">
        <v>52.620477470121102</v>
      </c>
      <c r="P1147">
        <v>-0.20175394522262199</v>
      </c>
      <c r="Q1147">
        <v>0.15124337238705499</v>
      </c>
      <c r="R1147">
        <v>0.96997817599052505</v>
      </c>
      <c r="S1147" t="s">
        <v>8150</v>
      </c>
      <c r="T1147" t="s">
        <v>14004</v>
      </c>
      <c r="U1147" t="s">
        <v>14004</v>
      </c>
      <c r="V1147" t="s">
        <v>14004</v>
      </c>
      <c r="W1147" t="s">
        <v>15125</v>
      </c>
      <c r="X1147">
        <v>3</v>
      </c>
      <c r="Y1147" t="s">
        <v>22057</v>
      </c>
      <c r="Z1147" t="s">
        <v>28857</v>
      </c>
      <c r="AA1147">
        <v>0.51264685940305854</v>
      </c>
      <c r="AB1147" t="str">
        <f>HYPERLINK("Melting_Curves/meltCurve_J3KNN3_PHKG2.pdf", "Melting_Curves/meltCurve_J3KNN3_PHKG2.pdf")</f>
        <v>Melting_Curves/meltCurve_J3KNN3_PHKG2.pdf</v>
      </c>
    </row>
    <row r="1148" spans="1:28" x14ac:dyDescent="0.25">
      <c r="A1148" t="s">
        <v>1152</v>
      </c>
      <c r="B1148">
        <v>0.99999676499088797</v>
      </c>
      <c r="C1148">
        <v>0.88881575861042905</v>
      </c>
      <c r="D1148">
        <v>0.68874149158996401</v>
      </c>
      <c r="E1148">
        <v>0.40714307584467002</v>
      </c>
      <c r="F1148">
        <v>0.42572054160199702</v>
      </c>
      <c r="G1148">
        <v>0.14787960766365399</v>
      </c>
      <c r="H1148">
        <v>5.81064005948582E-2</v>
      </c>
      <c r="I1148">
        <v>5.0918241842931797E-2</v>
      </c>
      <c r="J1148">
        <v>5.03832681860166E-2</v>
      </c>
      <c r="K1148">
        <v>3.66733180071648E-2</v>
      </c>
      <c r="L1148">
        <v>596.51274075381298</v>
      </c>
      <c r="M1148">
        <v>12.0639836679388</v>
      </c>
      <c r="N1148">
        <v>49.446897104190199</v>
      </c>
      <c r="O1148">
        <v>48.145931464818901</v>
      </c>
      <c r="P1148">
        <v>-6.2648842146885805E-2</v>
      </c>
      <c r="Q1148">
        <v>1.3971050167045201E-4</v>
      </c>
      <c r="R1148">
        <v>0.97611539942373304</v>
      </c>
      <c r="S1148" t="s">
        <v>8151</v>
      </c>
      <c r="T1148" t="s">
        <v>14004</v>
      </c>
      <c r="U1148" t="s">
        <v>14004</v>
      </c>
      <c r="V1148" t="s">
        <v>14004</v>
      </c>
      <c r="W1148" t="s">
        <v>15126</v>
      </c>
      <c r="X1148">
        <v>16</v>
      </c>
      <c r="Y1148" t="s">
        <v>22058</v>
      </c>
      <c r="Z1148" t="s">
        <v>28858</v>
      </c>
      <c r="AA1148">
        <v>0.35040892177460409</v>
      </c>
      <c r="AB1148" t="str">
        <f>HYPERLINK("Melting_Curves/meltCurve_J3KNN5_DDX41.pdf", "Melting_Curves/meltCurve_J3KNN5_DDX41.pdf")</f>
        <v>Melting_Curves/meltCurve_J3KNN5_DDX41.pdf</v>
      </c>
    </row>
    <row r="1149" spans="1:28" x14ac:dyDescent="0.25">
      <c r="A1149" t="s">
        <v>1153</v>
      </c>
      <c r="B1149">
        <v>0.99999676499088797</v>
      </c>
      <c r="C1149">
        <v>0.87617349357030805</v>
      </c>
      <c r="D1149">
        <v>0.58872890988350601</v>
      </c>
      <c r="E1149">
        <v>0.33588107085822899</v>
      </c>
      <c r="F1149">
        <v>0.24666417995370299</v>
      </c>
      <c r="G1149">
        <v>0.17705692357563199</v>
      </c>
      <c r="H1149">
        <v>8.9015222105222905E-2</v>
      </c>
      <c r="I1149">
        <v>7.7571489134023494E-2</v>
      </c>
      <c r="J1149">
        <v>7.5125316900477704E-2</v>
      </c>
      <c r="K1149">
        <v>6.3634856928442604E-2</v>
      </c>
      <c r="L1149">
        <v>776.211508564317</v>
      </c>
      <c r="M1149">
        <v>16.4940615541075</v>
      </c>
      <c r="N1149">
        <v>47.567689925962497</v>
      </c>
      <c r="O1149">
        <v>46.384603776801903</v>
      </c>
      <c r="P1149">
        <v>-8.1730034248354594E-2</v>
      </c>
      <c r="Q1149">
        <v>8.0698622795095695E-2</v>
      </c>
      <c r="R1149">
        <v>0.99063006009872001</v>
      </c>
      <c r="S1149" t="s">
        <v>8152</v>
      </c>
      <c r="T1149" t="s">
        <v>14004</v>
      </c>
      <c r="U1149" t="s">
        <v>14004</v>
      </c>
      <c r="V1149" t="s">
        <v>14004</v>
      </c>
      <c r="W1149" t="s">
        <v>15127</v>
      </c>
      <c r="X1149">
        <v>9</v>
      </c>
      <c r="Y1149" t="s">
        <v>22059</v>
      </c>
      <c r="Z1149" t="s">
        <v>28859</v>
      </c>
      <c r="AA1149">
        <v>0.31744718574878023</v>
      </c>
      <c r="AB1149" t="str">
        <f>HYPERLINK("Melting_Curves/meltCurve_J3KNN7_BRAP.pdf", "Melting_Curves/meltCurve_J3KNN7_BRAP.pdf")</f>
        <v>Melting_Curves/meltCurve_J3KNN7_BRAP.pdf</v>
      </c>
    </row>
    <row r="1150" spans="1:28" x14ac:dyDescent="0.25">
      <c r="A1150" t="s">
        <v>1154</v>
      </c>
      <c r="B1150">
        <v>0.99999676499088797</v>
      </c>
      <c r="C1150">
        <v>1.01367195492467</v>
      </c>
      <c r="D1150">
        <v>1.01970696446788</v>
      </c>
      <c r="E1150">
        <v>0.80299358668138099</v>
      </c>
      <c r="F1150">
        <v>0.60274325009047902</v>
      </c>
      <c r="G1150">
        <v>0.50355761810560096</v>
      </c>
      <c r="H1150">
        <v>0.294772814460107</v>
      </c>
      <c r="I1150">
        <v>0.32366227227633898</v>
      </c>
      <c r="J1150">
        <v>0.28238635846330801</v>
      </c>
      <c r="K1150">
        <v>0.26552977792884602</v>
      </c>
      <c r="L1150">
        <v>918.41644116406803</v>
      </c>
      <c r="M1150">
        <v>17.2787866752317</v>
      </c>
      <c r="N1150">
        <v>55.559282416755998</v>
      </c>
      <c r="O1150">
        <v>52.456204324314903</v>
      </c>
      <c r="P1150">
        <v>-6.0658352694648997E-2</v>
      </c>
      <c r="Q1150">
        <v>0.26343844251017601</v>
      </c>
      <c r="R1150">
        <v>0.98657628528117203</v>
      </c>
      <c r="S1150" t="s">
        <v>8153</v>
      </c>
      <c r="T1150" t="s">
        <v>14004</v>
      </c>
      <c r="U1150" t="s">
        <v>14004</v>
      </c>
      <c r="V1150" t="s">
        <v>14004</v>
      </c>
      <c r="W1150" t="s">
        <v>15128</v>
      </c>
      <c r="X1150">
        <v>4</v>
      </c>
      <c r="Y1150" t="s">
        <v>22060</v>
      </c>
      <c r="Z1150" t="s">
        <v>28860</v>
      </c>
      <c r="AA1150">
        <v>0.59918453185447218</v>
      </c>
      <c r="AB1150" t="str">
        <f>HYPERLINK("Melting_Curves/meltCurve_J3KNP4_SEMA4B.pdf", "Melting_Curves/meltCurve_J3KNP4_SEMA4B.pdf")</f>
        <v>Melting_Curves/meltCurve_J3KNP4_SEMA4B.pdf</v>
      </c>
    </row>
    <row r="1151" spans="1:28" x14ac:dyDescent="0.25">
      <c r="A1151" t="s">
        <v>1155</v>
      </c>
      <c r="B1151">
        <v>0.99999676499088797</v>
      </c>
      <c r="C1151">
        <v>0.98200545245851401</v>
      </c>
      <c r="D1151">
        <v>0.87328866105096303</v>
      </c>
      <c r="E1151">
        <v>0.52995522859585098</v>
      </c>
      <c r="F1151">
        <v>0.233434108199151</v>
      </c>
      <c r="G1151">
        <v>0.15809483425360599</v>
      </c>
      <c r="H1151">
        <v>6.5671822340040598E-2</v>
      </c>
      <c r="I1151">
        <v>8.2315354657688203E-2</v>
      </c>
      <c r="J1151">
        <v>7.1695283711501606E-2</v>
      </c>
      <c r="K1151">
        <v>4.7134218323269798E-2</v>
      </c>
      <c r="L1151">
        <v>1102.0309920837101</v>
      </c>
      <c r="M1151">
        <v>22.1937500587036</v>
      </c>
      <c r="N1151">
        <v>49.978388328283501</v>
      </c>
      <c r="O1151">
        <v>49.257150748588501</v>
      </c>
      <c r="P1151">
        <v>-0.105110748588829</v>
      </c>
      <c r="Q1151">
        <v>6.6882461771554796E-2</v>
      </c>
      <c r="R1151">
        <v>0.998266936963351</v>
      </c>
      <c r="S1151" t="s">
        <v>8154</v>
      </c>
      <c r="T1151" t="s">
        <v>14004</v>
      </c>
      <c r="U1151" t="s">
        <v>14004</v>
      </c>
      <c r="V1151" t="s">
        <v>14004</v>
      </c>
      <c r="W1151" t="s">
        <v>15129</v>
      </c>
      <c r="X1151">
        <v>10</v>
      </c>
      <c r="Y1151" t="s">
        <v>22061</v>
      </c>
      <c r="Z1151" t="s">
        <v>28861</v>
      </c>
      <c r="AA1151">
        <v>0.37776227216884373</v>
      </c>
      <c r="AB1151" t="str">
        <f>HYPERLINK("Melting_Curves/meltCurve_J3KNR0_MARK3.pdf", "Melting_Curves/meltCurve_J3KNR0_MARK3.pdf")</f>
        <v>Melting_Curves/meltCurve_J3KNR0_MARK3.pdf</v>
      </c>
    </row>
    <row r="1152" spans="1:28" x14ac:dyDescent="0.25">
      <c r="A1152" t="s">
        <v>1156</v>
      </c>
      <c r="B1152">
        <v>0.99999676499088797</v>
      </c>
      <c r="C1152">
        <v>0.82330192402176094</v>
      </c>
      <c r="D1152">
        <v>0.84600073774406703</v>
      </c>
      <c r="E1152">
        <v>0.808207808194498</v>
      </c>
      <c r="F1152">
        <v>0.18350573816961499</v>
      </c>
      <c r="G1152">
        <v>0.148754996555962</v>
      </c>
      <c r="H1152">
        <v>6.4987442224048397E-2</v>
      </c>
      <c r="I1152">
        <v>4.0314066754452697E-2</v>
      </c>
      <c r="J1152">
        <v>0</v>
      </c>
      <c r="K1152">
        <v>2.92731685189891E-2</v>
      </c>
      <c r="L1152">
        <v>1943.9106165683099</v>
      </c>
      <c r="M1152">
        <v>38.023509107870503</v>
      </c>
      <c r="N1152">
        <v>51.255150568436299</v>
      </c>
      <c r="O1152">
        <v>50.983115914812601</v>
      </c>
      <c r="P1152">
        <v>-0.17780351782429901</v>
      </c>
      <c r="Q1152">
        <v>4.6384154033683997E-2</v>
      </c>
      <c r="R1152">
        <v>0.95955725507623901</v>
      </c>
      <c r="S1152" t="s">
        <v>8155</v>
      </c>
      <c r="T1152" t="s">
        <v>14004</v>
      </c>
      <c r="U1152" t="s">
        <v>14004</v>
      </c>
      <c r="V1152" t="s">
        <v>14004</v>
      </c>
      <c r="W1152" t="s">
        <v>15130</v>
      </c>
      <c r="X1152">
        <v>1</v>
      </c>
      <c r="Y1152" t="s">
        <v>22062</v>
      </c>
      <c r="Z1152" t="s">
        <v>28862</v>
      </c>
      <c r="AA1152">
        <v>0.40371376719083119</v>
      </c>
      <c r="AB1152" t="str">
        <f>HYPERLINK("Melting_Curves/meltCurve_J3KNV1_ZNF292.pdf", "Melting_Curves/meltCurve_J3KNV1_ZNF292.pdf")</f>
        <v>Melting_Curves/meltCurve_J3KNV1_ZNF292.pdf</v>
      </c>
    </row>
    <row r="1153" spans="1:28" x14ac:dyDescent="0.25">
      <c r="A1153" t="s">
        <v>1157</v>
      </c>
      <c r="B1153">
        <v>0.99999676499088797</v>
      </c>
      <c r="C1153">
        <v>0.93540228934821701</v>
      </c>
      <c r="D1153">
        <v>0.83898377810105096</v>
      </c>
      <c r="E1153">
        <v>0.59827208847384905</v>
      </c>
      <c r="F1153">
        <v>0.35879460920649903</v>
      </c>
      <c r="G1153">
        <v>0.240688027627072</v>
      </c>
      <c r="H1153">
        <v>0.142305706052929</v>
      </c>
      <c r="I1153">
        <v>0.18311530002462101</v>
      </c>
      <c r="J1153">
        <v>0.19203428068206299</v>
      </c>
      <c r="K1153">
        <v>0.17564625180613999</v>
      </c>
      <c r="L1153">
        <v>901.84171239135696</v>
      </c>
      <c r="M1153">
        <v>18.140261926626302</v>
      </c>
      <c r="N1153">
        <v>50.802086069157497</v>
      </c>
      <c r="O1153">
        <v>49.122576511336597</v>
      </c>
      <c r="P1153">
        <v>-7.7474238007903998E-2</v>
      </c>
      <c r="Q1153">
        <v>0.16086061132923901</v>
      </c>
      <c r="R1153">
        <v>0.99658028677284705</v>
      </c>
      <c r="S1153" t="s">
        <v>8156</v>
      </c>
      <c r="T1153" t="s">
        <v>14004</v>
      </c>
      <c r="U1153" t="s">
        <v>14004</v>
      </c>
      <c r="V1153" t="s">
        <v>14004</v>
      </c>
      <c r="W1153" t="s">
        <v>15131</v>
      </c>
      <c r="X1153">
        <v>12</v>
      </c>
      <c r="Y1153" t="s">
        <v>22063</v>
      </c>
      <c r="Z1153" t="s">
        <v>28863</v>
      </c>
      <c r="AA1153">
        <v>0.44675232223484929</v>
      </c>
      <c r="AB1153" t="str">
        <f>HYPERLINK("Melting_Curves/meltCurve_J3KNW4_FHL2.pdf", "Melting_Curves/meltCurve_J3KNW4_FHL2.pdf")</f>
        <v>Melting_Curves/meltCurve_J3KNW4_FHL2.pdf</v>
      </c>
    </row>
    <row r="1154" spans="1:28" x14ac:dyDescent="0.25">
      <c r="A1154" t="s">
        <v>1158</v>
      </c>
      <c r="B1154">
        <v>0.99999676499088797</v>
      </c>
      <c r="C1154">
        <v>0.84097910500391704</v>
      </c>
      <c r="D1154">
        <v>0.82906253423888898</v>
      </c>
      <c r="E1154">
        <v>0.61026307645551603</v>
      </c>
      <c r="F1154">
        <v>0.28593404912518999</v>
      </c>
      <c r="G1154">
        <v>0.27588601430085802</v>
      </c>
      <c r="H1154">
        <v>0.14389362142183901</v>
      </c>
      <c r="I1154">
        <v>0.36157612706505299</v>
      </c>
      <c r="J1154">
        <v>0.339730904666036</v>
      </c>
      <c r="K1154">
        <v>0.36935630343447601</v>
      </c>
      <c r="L1154">
        <v>1060.72927508557</v>
      </c>
      <c r="M1154">
        <v>21.9576552100885</v>
      </c>
      <c r="N1154">
        <v>50.2271975847774</v>
      </c>
      <c r="O1154">
        <v>47.9126234134066</v>
      </c>
      <c r="P1154">
        <v>-8.2042153934686696E-2</v>
      </c>
      <c r="Q1154">
        <v>0.28393695754409198</v>
      </c>
      <c r="R1154">
        <v>0.91738167293133799</v>
      </c>
      <c r="S1154" t="s">
        <v>8157</v>
      </c>
      <c r="T1154" t="s">
        <v>14004</v>
      </c>
      <c r="U1154" t="s">
        <v>14004</v>
      </c>
      <c r="V1154" t="s">
        <v>14004</v>
      </c>
      <c r="W1154" t="s">
        <v>15132</v>
      </c>
      <c r="X1154">
        <v>2</v>
      </c>
      <c r="Y1154" t="s">
        <v>22064</v>
      </c>
      <c r="Z1154" t="s">
        <v>28864</v>
      </c>
      <c r="AA1154">
        <v>0.49055365137184159</v>
      </c>
      <c r="AB1154" t="str">
        <f>HYPERLINK("Melting_Curves/meltCurve_J3KNZ9_FBRS.pdf", "Melting_Curves/meltCurve_J3KNZ9_FBRS.pdf")</f>
        <v>Melting_Curves/meltCurve_J3KNZ9_FBRS.pdf</v>
      </c>
    </row>
    <row r="1155" spans="1:28" x14ac:dyDescent="0.25">
      <c r="A1155" t="s">
        <v>1159</v>
      </c>
      <c r="B1155">
        <v>0.99999676499088797</v>
      </c>
      <c r="C1155">
        <v>1.0538723110874799</v>
      </c>
      <c r="D1155">
        <v>0.90131089018389499</v>
      </c>
      <c r="E1155">
        <v>0.74269042777778205</v>
      </c>
      <c r="F1155">
        <v>0.66613356301912596</v>
      </c>
      <c r="G1155">
        <v>0.52184809145173605</v>
      </c>
      <c r="H1155">
        <v>0.33627123737949</v>
      </c>
      <c r="I1155">
        <v>0.39169697063782999</v>
      </c>
      <c r="J1155">
        <v>0.36322736263224897</v>
      </c>
      <c r="K1155">
        <v>0.35885969490064301</v>
      </c>
      <c r="L1155">
        <v>757.23567626907402</v>
      </c>
      <c r="M1155">
        <v>14.4682700774769</v>
      </c>
      <c r="N1155">
        <v>56.5537956382217</v>
      </c>
      <c r="O1155">
        <v>51.3683126639541</v>
      </c>
      <c r="P1155">
        <v>-4.7185423126199597E-2</v>
      </c>
      <c r="Q1155">
        <v>0.32996732027680598</v>
      </c>
      <c r="R1155">
        <v>0.97507653817204498</v>
      </c>
      <c r="S1155" t="s">
        <v>8158</v>
      </c>
      <c r="T1155" t="s">
        <v>14004</v>
      </c>
      <c r="U1155" t="s">
        <v>14004</v>
      </c>
      <c r="V1155" t="s">
        <v>14004</v>
      </c>
      <c r="W1155" t="s">
        <v>15133</v>
      </c>
      <c r="X1155">
        <v>12</v>
      </c>
      <c r="Y1155" t="s">
        <v>22065</v>
      </c>
      <c r="Z1155" t="s">
        <v>28865</v>
      </c>
      <c r="AA1155">
        <v>0.62112433641998399</v>
      </c>
      <c r="AB1155" t="str">
        <f>HYPERLINK("Melting_Curves/meltCurve_J3KP15_SRSF2.pdf", "Melting_Curves/meltCurve_J3KP15_SRSF2.pdf")</f>
        <v>Melting_Curves/meltCurve_J3KP15_SRSF2.pdf</v>
      </c>
    </row>
    <row r="1156" spans="1:28" x14ac:dyDescent="0.25">
      <c r="A1156" t="s">
        <v>1160</v>
      </c>
      <c r="B1156">
        <v>0.99999676499088797</v>
      </c>
      <c r="C1156">
        <v>0.99566193247885004</v>
      </c>
      <c r="D1156">
        <v>0.94703335934194399</v>
      </c>
      <c r="E1156">
        <v>0.72719512522163399</v>
      </c>
      <c r="F1156">
        <v>0.52526085778697995</v>
      </c>
      <c r="G1156">
        <v>0.54875460126343401</v>
      </c>
      <c r="H1156">
        <v>0.47338975039001602</v>
      </c>
      <c r="I1156">
        <v>0.64923296084619497</v>
      </c>
      <c r="J1156">
        <v>0.76610553515600199</v>
      </c>
      <c r="K1156">
        <v>0.63603863275723305</v>
      </c>
      <c r="L1156">
        <v>2154.0324423137299</v>
      </c>
      <c r="M1156">
        <v>44.389172879029204</v>
      </c>
      <c r="O1156">
        <v>48.427899327934497</v>
      </c>
      <c r="P1156">
        <v>-9.1583718199389999E-2</v>
      </c>
      <c r="Q1156">
        <v>0.60033488051313999</v>
      </c>
      <c r="R1156">
        <v>0.83437663034377296</v>
      </c>
      <c r="S1156" t="s">
        <v>8159</v>
      </c>
      <c r="T1156" t="s">
        <v>14004</v>
      </c>
      <c r="U1156" t="s">
        <v>14004</v>
      </c>
      <c r="V1156" t="s">
        <v>14004</v>
      </c>
      <c r="W1156" t="s">
        <v>15134</v>
      </c>
      <c r="X1156">
        <v>2</v>
      </c>
      <c r="Y1156" t="s">
        <v>22066</v>
      </c>
      <c r="Z1156" t="s">
        <v>28866</v>
      </c>
      <c r="AA1156">
        <v>0.71500851577395319</v>
      </c>
      <c r="AB1156" t="str">
        <f>HYPERLINK("Melting_Curves/meltCurve_J3KP19_SIPA1L1.pdf", "Melting_Curves/meltCurve_J3KP19_SIPA1L1.pdf")</f>
        <v>Melting_Curves/meltCurve_J3KP19_SIPA1L1.pdf</v>
      </c>
    </row>
    <row r="1157" spans="1:28" x14ac:dyDescent="0.25">
      <c r="A1157" t="s">
        <v>1161</v>
      </c>
      <c r="B1157">
        <v>0.99999676499088797</v>
      </c>
      <c r="C1157">
        <v>0.96426759297545495</v>
      </c>
      <c r="D1157">
        <v>0.93291876141722596</v>
      </c>
      <c r="E1157">
        <v>0.94520584773990601</v>
      </c>
      <c r="F1157">
        <v>0.329492436366292</v>
      </c>
      <c r="G1157">
        <v>0.25121709891344501</v>
      </c>
      <c r="H1157">
        <v>0.12592522870654699</v>
      </c>
      <c r="I1157">
        <v>0.13364215196555901</v>
      </c>
      <c r="J1157">
        <v>0.12518479218987499</v>
      </c>
      <c r="K1157">
        <v>9.0334495386166502E-2</v>
      </c>
      <c r="L1157">
        <v>2608.23554549966</v>
      </c>
      <c r="M1157">
        <v>50.199409053894499</v>
      </c>
      <c r="N1157">
        <v>52.301516422807303</v>
      </c>
      <c r="O1157">
        <v>51.8752392049457</v>
      </c>
      <c r="P1157">
        <v>-0.20790750002809999</v>
      </c>
      <c r="Q1157">
        <v>0.14060802101002501</v>
      </c>
      <c r="R1157">
        <v>0.98756710716821705</v>
      </c>
      <c r="S1157" t="s">
        <v>8160</v>
      </c>
      <c r="T1157" t="s">
        <v>14004</v>
      </c>
      <c r="U1157" t="s">
        <v>14004</v>
      </c>
      <c r="V1157" t="s">
        <v>14004</v>
      </c>
      <c r="W1157" t="s">
        <v>15135</v>
      </c>
      <c r="X1157">
        <v>8</v>
      </c>
      <c r="Y1157" t="s">
        <v>22067</v>
      </c>
      <c r="Z1157" t="s">
        <v>28867</v>
      </c>
      <c r="AA1157">
        <v>0.48510097511984501</v>
      </c>
      <c r="AB1157" t="str">
        <f>HYPERLINK("Melting_Curves/meltCurve_J3KP22_PTPRA.pdf", "Melting_Curves/meltCurve_J3KP22_PTPRA.pdf")</f>
        <v>Melting_Curves/meltCurve_J3KP22_PTPRA.pdf</v>
      </c>
    </row>
    <row r="1158" spans="1:28" x14ac:dyDescent="0.25">
      <c r="A1158" t="s">
        <v>1162</v>
      </c>
      <c r="B1158">
        <v>0.99999676499088797</v>
      </c>
      <c r="C1158">
        <v>1.57911743757537</v>
      </c>
      <c r="D1158">
        <v>1.4948572026641</v>
      </c>
      <c r="E1158">
        <v>1.84740417838405</v>
      </c>
      <c r="F1158">
        <v>1.4200080582423</v>
      </c>
      <c r="G1158">
        <v>1.2601439285536999</v>
      </c>
      <c r="H1158">
        <v>0.46497927665613797</v>
      </c>
      <c r="I1158">
        <v>0.41716489267641998</v>
      </c>
      <c r="J1158">
        <v>0.37013398025924499</v>
      </c>
      <c r="K1158">
        <v>0.32459310321290102</v>
      </c>
      <c r="L1158">
        <v>15000</v>
      </c>
      <c r="M1158">
        <v>248.44582399306199</v>
      </c>
      <c r="N1158">
        <v>60.705669765426101</v>
      </c>
      <c r="O1158">
        <v>60.371423408573698</v>
      </c>
      <c r="P1158">
        <v>-0.64750944558380596</v>
      </c>
      <c r="Q1158">
        <v>0.370630324543267</v>
      </c>
      <c r="R1158">
        <v>0.487518746406371</v>
      </c>
      <c r="S1158" t="s">
        <v>8161</v>
      </c>
      <c r="T1158" t="s">
        <v>14004</v>
      </c>
      <c r="U1158" t="s">
        <v>14004</v>
      </c>
      <c r="V1158" t="s">
        <v>14004</v>
      </c>
      <c r="W1158" t="s">
        <v>15136</v>
      </c>
      <c r="X1158">
        <v>4</v>
      </c>
      <c r="Y1158" t="s">
        <v>22068</v>
      </c>
      <c r="Z1158" t="s">
        <v>28868</v>
      </c>
      <c r="AA1158">
        <v>0.7981517932399661</v>
      </c>
      <c r="AB1158" t="str">
        <f>HYPERLINK("Melting_Curves/meltCurve_J3KP26_ANKRD46.pdf", "Melting_Curves/meltCurve_J3KP26_ANKRD46.pdf")</f>
        <v>Melting_Curves/meltCurve_J3KP26_ANKRD46.pdf</v>
      </c>
    </row>
    <row r="1159" spans="1:28" x14ac:dyDescent="0.25">
      <c r="A1159" t="s">
        <v>1163</v>
      </c>
      <c r="B1159">
        <v>0.99999676499088797</v>
      </c>
      <c r="C1159">
        <v>1.0830383111567701</v>
      </c>
      <c r="D1159">
        <v>1.05201189601366</v>
      </c>
      <c r="E1159">
        <v>0.97706739423993105</v>
      </c>
      <c r="F1159">
        <v>0.99446343273494198</v>
      </c>
      <c r="G1159">
        <v>0.76210805456976505</v>
      </c>
      <c r="H1159">
        <v>0.53323896534553406</v>
      </c>
      <c r="I1159">
        <v>0.45696164656252403</v>
      </c>
      <c r="J1159">
        <v>0.42850830455887101</v>
      </c>
      <c r="K1159">
        <v>0.51940306003665804</v>
      </c>
      <c r="L1159">
        <v>2303.9836632942902</v>
      </c>
      <c r="M1159">
        <v>40.299686215603501</v>
      </c>
      <c r="N1159">
        <v>61.4865023304014</v>
      </c>
      <c r="O1159">
        <v>57.031019886364298</v>
      </c>
      <c r="P1159">
        <v>-9.3549990080441403E-2</v>
      </c>
      <c r="Q1159">
        <v>0.47044345074715699</v>
      </c>
      <c r="R1159">
        <v>0.97631702640062501</v>
      </c>
      <c r="S1159" t="s">
        <v>8162</v>
      </c>
      <c r="T1159" t="s">
        <v>14004</v>
      </c>
      <c r="U1159" t="s">
        <v>14004</v>
      </c>
      <c r="V1159" t="s">
        <v>14004</v>
      </c>
      <c r="W1159" t="s">
        <v>15137</v>
      </c>
      <c r="X1159">
        <v>5</v>
      </c>
      <c r="Y1159" t="s">
        <v>22069</v>
      </c>
      <c r="Z1159" t="s">
        <v>28869</v>
      </c>
      <c r="AA1159">
        <v>0.77558568334255085</v>
      </c>
      <c r="AB1159" t="str">
        <f>HYPERLINK("Melting_Curves/meltCurve_J3KP75_PHACTR2.pdf", "Melting_Curves/meltCurve_J3KP75_PHACTR2.pdf")</f>
        <v>Melting_Curves/meltCurve_J3KP75_PHACTR2.pdf</v>
      </c>
    </row>
    <row r="1160" spans="1:28" x14ac:dyDescent="0.25">
      <c r="A1160" t="s">
        <v>1164</v>
      </c>
      <c r="B1160">
        <v>0.99999676499088797</v>
      </c>
      <c r="C1160">
        <v>1.00594997627136</v>
      </c>
      <c r="D1160">
        <v>0.83051735118485304</v>
      </c>
      <c r="E1160">
        <v>0.49497106630558302</v>
      </c>
      <c r="F1160">
        <v>0.33594873670405201</v>
      </c>
      <c r="G1160">
        <v>0.24199611007493599</v>
      </c>
      <c r="H1160">
        <v>0.111531130551518</v>
      </c>
      <c r="I1160">
        <v>9.5737397499517804E-2</v>
      </c>
      <c r="J1160">
        <v>9.8871091785367404E-2</v>
      </c>
      <c r="K1160">
        <v>9.7255173722465602E-2</v>
      </c>
      <c r="L1160">
        <v>870.94401377998997</v>
      </c>
      <c r="M1160">
        <v>17.548729774067901</v>
      </c>
      <c r="N1160">
        <v>50.246412560401801</v>
      </c>
      <c r="O1160">
        <v>48.999018190165998</v>
      </c>
      <c r="P1160">
        <v>-8.0869936194559996E-2</v>
      </c>
      <c r="Q1160">
        <v>9.6839238918286497E-2</v>
      </c>
      <c r="R1160">
        <v>0.99099181897927502</v>
      </c>
      <c r="S1160" t="s">
        <v>8163</v>
      </c>
      <c r="T1160" t="s">
        <v>14004</v>
      </c>
      <c r="U1160" t="s">
        <v>14004</v>
      </c>
      <c r="V1160" t="s">
        <v>14004</v>
      </c>
      <c r="W1160" t="s">
        <v>15138</v>
      </c>
      <c r="X1160">
        <v>8</v>
      </c>
      <c r="Y1160" t="s">
        <v>22070</v>
      </c>
      <c r="Z1160" t="s">
        <v>28870</v>
      </c>
      <c r="AA1160">
        <v>0.40301208072142441</v>
      </c>
      <c r="AB1160" t="str">
        <f>HYPERLINK("Melting_Curves/meltCurve_J3KPC5_RAP1GAP.pdf", "Melting_Curves/meltCurve_J3KPC5_RAP1GAP.pdf")</f>
        <v>Melting_Curves/meltCurve_J3KPC5_RAP1GAP.pdf</v>
      </c>
    </row>
    <row r="1161" spans="1:28" x14ac:dyDescent="0.25">
      <c r="A1161" t="s">
        <v>1165</v>
      </c>
      <c r="B1161">
        <v>0.99999676499088797</v>
      </c>
      <c r="C1161">
        <v>1.0478078162295901</v>
      </c>
      <c r="D1161">
        <v>0.92130931188972398</v>
      </c>
      <c r="E1161">
        <v>0.63099855505614999</v>
      </c>
      <c r="F1161">
        <v>0.32301005607478001</v>
      </c>
      <c r="G1161">
        <v>0.29479917396563898</v>
      </c>
      <c r="H1161">
        <v>0.24157716010428501</v>
      </c>
      <c r="I1161">
        <v>0.28449946783179603</v>
      </c>
      <c r="J1161">
        <v>0.28301952862733099</v>
      </c>
      <c r="K1161">
        <v>0.28690507908721502</v>
      </c>
      <c r="L1161">
        <v>1636.8908479177201</v>
      </c>
      <c r="M1161">
        <v>33.089082846569603</v>
      </c>
      <c r="N1161">
        <v>50.683048558517498</v>
      </c>
      <c r="O1161">
        <v>49.289576257629498</v>
      </c>
      <c r="P1161">
        <v>-0.12190593904057501</v>
      </c>
      <c r="Q1161">
        <v>0.27363769588253301</v>
      </c>
      <c r="R1161">
        <v>0.99482002298761596</v>
      </c>
      <c r="S1161" t="s">
        <v>8164</v>
      </c>
      <c r="T1161" t="s">
        <v>14004</v>
      </c>
      <c r="U1161" t="s">
        <v>14004</v>
      </c>
      <c r="V1161" t="s">
        <v>14004</v>
      </c>
      <c r="W1161" t="s">
        <v>15139</v>
      </c>
      <c r="X1161">
        <v>4</v>
      </c>
      <c r="Y1161" t="s">
        <v>22071</v>
      </c>
      <c r="Z1161" t="s">
        <v>28871</v>
      </c>
      <c r="AA1161">
        <v>0.50655681242519568</v>
      </c>
      <c r="AB1161" t="str">
        <f>HYPERLINK("Melting_Curves/meltCurve_J3KPD3_RBM7.pdf", "Melting_Curves/meltCurve_J3KPD3_RBM7.pdf")</f>
        <v>Melting_Curves/meltCurve_J3KPD3_RBM7.pdf</v>
      </c>
    </row>
    <row r="1162" spans="1:28" x14ac:dyDescent="0.25">
      <c r="A1162" t="s">
        <v>1166</v>
      </c>
      <c r="B1162">
        <v>0.99999676499088797</v>
      </c>
      <c r="C1162">
        <v>0.91185768694117597</v>
      </c>
      <c r="D1162">
        <v>0.71973074777726997</v>
      </c>
      <c r="E1162">
        <v>0.409624508082162</v>
      </c>
      <c r="F1162">
        <v>0.19482616075530701</v>
      </c>
      <c r="G1162">
        <v>0.116309623351896</v>
      </c>
      <c r="H1162">
        <v>4.6216896993948701E-2</v>
      </c>
      <c r="I1162">
        <v>2.93616847036345E-2</v>
      </c>
      <c r="J1162">
        <v>6.7994914230874698E-2</v>
      </c>
      <c r="K1162">
        <v>5.4368656270785402E-2</v>
      </c>
      <c r="L1162">
        <v>879.62836614071102</v>
      </c>
      <c r="M1162">
        <v>18.212885637538001</v>
      </c>
      <c r="N1162">
        <v>48.535031726239303</v>
      </c>
      <c r="O1162">
        <v>47.726073036985099</v>
      </c>
      <c r="P1162">
        <v>-9.13321189198847E-2</v>
      </c>
      <c r="Q1162">
        <v>4.2717745552273798E-2</v>
      </c>
      <c r="R1162">
        <v>0.998415744973288</v>
      </c>
      <c r="S1162" t="s">
        <v>8165</v>
      </c>
      <c r="T1162" t="s">
        <v>14004</v>
      </c>
      <c r="U1162" t="s">
        <v>14004</v>
      </c>
      <c r="V1162" t="s">
        <v>14004</v>
      </c>
      <c r="W1162" t="s">
        <v>15140</v>
      </c>
      <c r="X1162">
        <v>7</v>
      </c>
      <c r="Y1162" t="s">
        <v>22072</v>
      </c>
      <c r="Z1162" t="s">
        <v>28872</v>
      </c>
      <c r="AA1162">
        <v>0.32391033035968841</v>
      </c>
      <c r="AB1162" t="str">
        <f>HYPERLINK("Melting_Curves/meltCurve_J3KPF9_KIF3A.pdf", "Melting_Curves/meltCurve_J3KPF9_KIF3A.pdf")</f>
        <v>Melting_Curves/meltCurve_J3KPF9_KIF3A.pdf</v>
      </c>
    </row>
    <row r="1163" spans="1:28" x14ac:dyDescent="0.25">
      <c r="A1163" t="s">
        <v>1167</v>
      </c>
      <c r="B1163">
        <v>0.99999676499088797</v>
      </c>
      <c r="C1163">
        <v>0.99734677821739404</v>
      </c>
      <c r="D1163">
        <v>0.81649641511901005</v>
      </c>
      <c r="E1163">
        <v>0.73063790726786304</v>
      </c>
      <c r="F1163">
        <v>0.43662613283924301</v>
      </c>
      <c r="G1163">
        <v>0.40348946025607302</v>
      </c>
      <c r="H1163">
        <v>0.21971688768640199</v>
      </c>
      <c r="I1163">
        <v>0.23208042053929601</v>
      </c>
      <c r="J1163">
        <v>0.13444727590744299</v>
      </c>
      <c r="K1163">
        <v>0.14184184202921599</v>
      </c>
      <c r="L1163">
        <v>657.20956721624998</v>
      </c>
      <c r="M1163">
        <v>12.609125959663301</v>
      </c>
      <c r="N1163">
        <v>53.217753180432901</v>
      </c>
      <c r="O1163">
        <v>50.862877430749002</v>
      </c>
      <c r="P1163">
        <v>-5.4899899234083997E-2</v>
      </c>
      <c r="Q1163">
        <v>0.114352107504697</v>
      </c>
      <c r="R1163">
        <v>0.98439240745606205</v>
      </c>
      <c r="S1163" t="s">
        <v>8166</v>
      </c>
      <c r="T1163" t="s">
        <v>14004</v>
      </c>
      <c r="U1163" t="s">
        <v>14004</v>
      </c>
      <c r="V1163" t="s">
        <v>14004</v>
      </c>
      <c r="W1163" t="s">
        <v>15141</v>
      </c>
      <c r="X1163">
        <v>5</v>
      </c>
      <c r="Y1163" t="s">
        <v>22073</v>
      </c>
      <c r="Z1163" t="s">
        <v>28873</v>
      </c>
      <c r="AA1163">
        <v>0.49742040978019442</v>
      </c>
      <c r="AB1163" t="str">
        <f>HYPERLINK("Melting_Curves/meltCurve_J3KPG6_PSTPIP1.pdf", "Melting_Curves/meltCurve_J3KPG6_PSTPIP1.pdf")</f>
        <v>Melting_Curves/meltCurve_J3KPG6_PSTPIP1.pdf</v>
      </c>
    </row>
    <row r="1164" spans="1:28" x14ac:dyDescent="0.25">
      <c r="A1164" t="s">
        <v>1168</v>
      </c>
      <c r="B1164">
        <v>0.99999676499088797</v>
      </c>
      <c r="C1164">
        <v>0.946034904595214</v>
      </c>
      <c r="D1164">
        <v>0.90708877875342098</v>
      </c>
      <c r="E1164">
        <v>0.79227399783167396</v>
      </c>
      <c r="F1164">
        <v>0.41746627007843801</v>
      </c>
      <c r="G1164">
        <v>0.31826378609793499</v>
      </c>
      <c r="H1164">
        <v>0.147510429333744</v>
      </c>
      <c r="I1164">
        <v>0.102409906579691</v>
      </c>
      <c r="J1164">
        <v>7.5762444293170902E-2</v>
      </c>
      <c r="K1164">
        <v>0.10690255803913799</v>
      </c>
      <c r="L1164">
        <v>896.57685920638096</v>
      </c>
      <c r="M1164">
        <v>17.111635249470002</v>
      </c>
      <c r="N1164">
        <v>52.893636993464803</v>
      </c>
      <c r="O1164">
        <v>51.695855591413</v>
      </c>
      <c r="P1164">
        <v>-7.6600612686198097E-2</v>
      </c>
      <c r="Q1164">
        <v>7.4385194136879704E-2</v>
      </c>
      <c r="R1164">
        <v>0.99208512884619504</v>
      </c>
      <c r="S1164" t="s">
        <v>8167</v>
      </c>
      <c r="T1164" t="s">
        <v>14004</v>
      </c>
      <c r="U1164" t="s">
        <v>14004</v>
      </c>
      <c r="V1164" t="s">
        <v>14004</v>
      </c>
      <c r="W1164" t="s">
        <v>15142</v>
      </c>
      <c r="X1164">
        <v>6</v>
      </c>
      <c r="Y1164" t="s">
        <v>22074</v>
      </c>
      <c r="Z1164" t="s">
        <v>28874</v>
      </c>
      <c r="AA1164">
        <v>0.47348167986553652</v>
      </c>
      <c r="AB1164" t="str">
        <f>HYPERLINK("Melting_Curves/meltCurve_J3KPK1_SYNJ1.pdf", "Melting_Curves/meltCurve_J3KPK1_SYNJ1.pdf")</f>
        <v>Melting_Curves/meltCurve_J3KPK1_SYNJ1.pdf</v>
      </c>
    </row>
    <row r="1165" spans="1:28" x14ac:dyDescent="0.25">
      <c r="A1165" t="s">
        <v>1169</v>
      </c>
      <c r="B1165">
        <v>0.99999676499088797</v>
      </c>
      <c r="C1165">
        <v>1.0357758026100401</v>
      </c>
      <c r="D1165">
        <v>1.00586493257522</v>
      </c>
      <c r="E1165">
        <v>1.1762057653653499</v>
      </c>
      <c r="F1165">
        <v>0.57436324239622505</v>
      </c>
      <c r="G1165">
        <v>0.30314622136806402</v>
      </c>
      <c r="H1165">
        <v>0.11286532163835</v>
      </c>
      <c r="I1165">
        <v>0.145560419132473</v>
      </c>
      <c r="J1165">
        <v>9.4868406489001494E-2</v>
      </c>
      <c r="K1165">
        <v>0.103140986124449</v>
      </c>
      <c r="L1165">
        <v>2269.9221466351701</v>
      </c>
      <c r="M1165">
        <v>42.363576253138397</v>
      </c>
      <c r="N1165">
        <v>53.968927784501403</v>
      </c>
      <c r="O1165">
        <v>53.462963764866799</v>
      </c>
      <c r="P1165">
        <v>-0.172149647869239</v>
      </c>
      <c r="Q1165">
        <v>0.13098816608483399</v>
      </c>
      <c r="R1165">
        <v>0.96825534930789103</v>
      </c>
      <c r="S1165" t="s">
        <v>8168</v>
      </c>
      <c r="T1165" t="s">
        <v>14004</v>
      </c>
      <c r="U1165" t="s">
        <v>14004</v>
      </c>
      <c r="V1165" t="s">
        <v>14004</v>
      </c>
      <c r="W1165" t="s">
        <v>15143</v>
      </c>
      <c r="X1165">
        <v>2</v>
      </c>
      <c r="Y1165" t="s">
        <v>22075</v>
      </c>
      <c r="Z1165" t="s">
        <v>28875</v>
      </c>
      <c r="AA1165">
        <v>0.52728104109591478</v>
      </c>
      <c r="AB1165" t="str">
        <f>HYPERLINK("Melting_Curves/meltCurve_J3KPL1_PNPLA8.pdf", "Melting_Curves/meltCurve_J3KPL1_PNPLA8.pdf")</f>
        <v>Melting_Curves/meltCurve_J3KPL1_PNPLA8.pdf</v>
      </c>
    </row>
    <row r="1166" spans="1:28" x14ac:dyDescent="0.25">
      <c r="A1166" t="s">
        <v>1170</v>
      </c>
      <c r="B1166">
        <v>0.99999676499088797</v>
      </c>
      <c r="C1166">
        <v>0.94669099901685705</v>
      </c>
      <c r="D1166">
        <v>0.86759643638806605</v>
      </c>
      <c r="E1166">
        <v>0.63700548130367396</v>
      </c>
      <c r="F1166">
        <v>0.41382497545178698</v>
      </c>
      <c r="G1166">
        <v>0.28247238861120899</v>
      </c>
      <c r="H1166">
        <v>0.15462971391147301</v>
      </c>
      <c r="I1166">
        <v>0.130872022563955</v>
      </c>
      <c r="J1166">
        <v>0.10173151277880001</v>
      </c>
      <c r="K1166">
        <v>0.112382832470293</v>
      </c>
      <c r="L1166">
        <v>755.66287066082305</v>
      </c>
      <c r="M1166">
        <v>14.759749257276599</v>
      </c>
      <c r="N1166">
        <v>51.860095779952097</v>
      </c>
      <c r="O1166">
        <v>50.285272843666696</v>
      </c>
      <c r="P1166">
        <v>-6.7081928783520303E-2</v>
      </c>
      <c r="Q1166">
        <v>8.5927389816316604E-2</v>
      </c>
      <c r="R1166">
        <v>0.99876712886373398</v>
      </c>
      <c r="S1166" t="s">
        <v>8169</v>
      </c>
      <c r="T1166" t="s">
        <v>14004</v>
      </c>
      <c r="U1166" t="s">
        <v>14004</v>
      </c>
      <c r="V1166" t="s">
        <v>14004</v>
      </c>
      <c r="W1166" t="s">
        <v>15144</v>
      </c>
      <c r="X1166">
        <v>4</v>
      </c>
      <c r="Y1166" t="s">
        <v>22076</v>
      </c>
      <c r="Z1166" t="s">
        <v>28876</v>
      </c>
      <c r="AA1166">
        <v>0.44865055646398933</v>
      </c>
      <c r="AB1166" t="str">
        <f>HYPERLINK("Melting_Curves/meltCurve_J3KPN1_TESC.pdf", "Melting_Curves/meltCurve_J3KPN1_TESC.pdf")</f>
        <v>Melting_Curves/meltCurve_J3KPN1_TESC.pdf</v>
      </c>
    </row>
    <row r="1167" spans="1:28" x14ac:dyDescent="0.25">
      <c r="A1167" t="s">
        <v>1171</v>
      </c>
      <c r="B1167">
        <v>0.99999676499088797</v>
      </c>
      <c r="C1167">
        <v>0.96592097511491204</v>
      </c>
      <c r="D1167">
        <v>1.0255370353542701</v>
      </c>
      <c r="E1167">
        <v>1.12187990769291</v>
      </c>
      <c r="F1167">
        <v>0.96778425734871898</v>
      </c>
      <c r="G1167">
        <v>0.37504645895915201</v>
      </c>
      <c r="H1167">
        <v>0.12001826061610001</v>
      </c>
      <c r="I1167">
        <v>0.114722209668103</v>
      </c>
      <c r="J1167">
        <v>8.7808601798669006E-2</v>
      </c>
      <c r="K1167">
        <v>0.104118520849347</v>
      </c>
      <c r="L1167">
        <v>3474.5232973965699</v>
      </c>
      <c r="M1167">
        <v>62.007075398250102</v>
      </c>
      <c r="N1167">
        <v>56.247559884757798</v>
      </c>
      <c r="O1167">
        <v>55.976124338773502</v>
      </c>
      <c r="P1167">
        <v>-0.24792619308719599</v>
      </c>
      <c r="Q1167">
        <v>0.104751277172778</v>
      </c>
      <c r="R1167">
        <v>0.99098122181152504</v>
      </c>
      <c r="S1167" t="s">
        <v>8170</v>
      </c>
      <c r="T1167" t="s">
        <v>14004</v>
      </c>
      <c r="U1167" t="s">
        <v>14004</v>
      </c>
      <c r="V1167" t="s">
        <v>14004</v>
      </c>
      <c r="W1167" t="s">
        <v>15145</v>
      </c>
      <c r="X1167">
        <v>15</v>
      </c>
      <c r="Y1167" t="s">
        <v>22077</v>
      </c>
      <c r="Z1167" t="s">
        <v>28877</v>
      </c>
      <c r="AA1167">
        <v>0.58467671894131579</v>
      </c>
      <c r="AB1167" t="str">
        <f>HYPERLINK("Melting_Curves/meltCurve_J3KPP7_ARRB1.pdf", "Melting_Curves/meltCurve_J3KPP7_ARRB1.pdf")</f>
        <v>Melting_Curves/meltCurve_J3KPP7_ARRB1.pdf</v>
      </c>
    </row>
    <row r="1168" spans="1:28" x14ac:dyDescent="0.25">
      <c r="A1168" t="s">
        <v>1172</v>
      </c>
      <c r="B1168">
        <v>0.99999676499088797</v>
      </c>
      <c r="C1168">
        <v>0.57714892936684004</v>
      </c>
      <c r="D1168">
        <v>0.37888474531125299</v>
      </c>
      <c r="E1168">
        <v>0.28326243632086801</v>
      </c>
      <c r="F1168">
        <v>0.19152257437946299</v>
      </c>
      <c r="G1168">
        <v>0.12191385368717</v>
      </c>
      <c r="H1168">
        <v>6.6681559999744802E-2</v>
      </c>
      <c r="I1168">
        <v>4.7698506293034099E-2</v>
      </c>
      <c r="J1168">
        <v>5.9481051129734598E-2</v>
      </c>
      <c r="K1168">
        <v>5.2240900008534902E-2</v>
      </c>
      <c r="L1168">
        <v>709.75767814525398</v>
      </c>
      <c r="M1168">
        <v>15.9708944099946</v>
      </c>
      <c r="N1168">
        <v>44.8832697957275</v>
      </c>
      <c r="O1168">
        <v>43.7614519943603</v>
      </c>
      <c r="P1168">
        <v>-8.4598036263313206E-2</v>
      </c>
      <c r="Q1168">
        <v>7.2853106117267405E-2</v>
      </c>
      <c r="R1168">
        <v>0.95647803042336199</v>
      </c>
      <c r="S1168" t="s">
        <v>8171</v>
      </c>
      <c r="T1168" t="s">
        <v>14004</v>
      </c>
      <c r="U1168" t="s">
        <v>14004</v>
      </c>
      <c r="V1168" t="s">
        <v>14004</v>
      </c>
      <c r="W1168" t="s">
        <v>15146</v>
      </c>
      <c r="X1168">
        <v>6</v>
      </c>
      <c r="Y1168" t="s">
        <v>22078</v>
      </c>
      <c r="Z1168" t="s">
        <v>28878</v>
      </c>
      <c r="AA1168">
        <v>0.23793790124608569</v>
      </c>
      <c r="AB1168" t="str">
        <f>HYPERLINK("Melting_Curves/meltCurve_J3KPQ4_ARHGAP9.pdf", "Melting_Curves/meltCurve_J3KPQ4_ARHGAP9.pdf")</f>
        <v>Melting_Curves/meltCurve_J3KPQ4_ARHGAP9.pdf</v>
      </c>
    </row>
    <row r="1169" spans="1:28" x14ac:dyDescent="0.25">
      <c r="A1169" t="s">
        <v>1173</v>
      </c>
      <c r="B1169">
        <v>0.99999676499088797</v>
      </c>
      <c r="C1169">
        <v>1.0461829787664001</v>
      </c>
      <c r="D1169">
        <v>1.00119168372456</v>
      </c>
      <c r="E1169">
        <v>0.90089641887000005</v>
      </c>
      <c r="F1169">
        <v>0.54883952108089096</v>
      </c>
      <c r="G1169">
        <v>0.48218140499143902</v>
      </c>
      <c r="H1169">
        <v>0.23989736934087</v>
      </c>
      <c r="I1169">
        <v>0.248955397695514</v>
      </c>
      <c r="J1169">
        <v>0.212816518398212</v>
      </c>
      <c r="K1169">
        <v>0.149335813748775</v>
      </c>
      <c r="L1169">
        <v>986.17062484407302</v>
      </c>
      <c r="M1169">
        <v>18.3093358198925</v>
      </c>
      <c r="N1169">
        <v>55.184714126890199</v>
      </c>
      <c r="O1169">
        <v>53.231443404633097</v>
      </c>
      <c r="P1169">
        <v>-7.0716451813066294E-2</v>
      </c>
      <c r="Q1169">
        <v>0.17765119047340899</v>
      </c>
      <c r="R1169">
        <v>0.98176220729374097</v>
      </c>
      <c r="S1169" t="s">
        <v>8172</v>
      </c>
      <c r="T1169" t="s">
        <v>14004</v>
      </c>
      <c r="U1169" t="s">
        <v>14004</v>
      </c>
      <c r="V1169" t="s">
        <v>14004</v>
      </c>
      <c r="W1169" t="s">
        <v>15147</v>
      </c>
      <c r="X1169">
        <v>6</v>
      </c>
      <c r="Y1169" t="s">
        <v>22079</v>
      </c>
      <c r="Z1169" t="s">
        <v>28879</v>
      </c>
      <c r="AA1169">
        <v>0.57049185133749059</v>
      </c>
      <c r="AB1169" t="str">
        <f>HYPERLINK("Melting_Curves/meltCurve_J3KPS0_DNAJB12.pdf", "Melting_Curves/meltCurve_J3KPS0_DNAJB12.pdf")</f>
        <v>Melting_Curves/meltCurve_J3KPS0_DNAJB12.pdf</v>
      </c>
    </row>
    <row r="1170" spans="1:28" x14ac:dyDescent="0.25">
      <c r="A1170" t="s">
        <v>1174</v>
      </c>
      <c r="B1170">
        <v>0.99999676499088797</v>
      </c>
      <c r="C1170">
        <v>1.01043978575695</v>
      </c>
      <c r="D1170">
        <v>1.00838742541168</v>
      </c>
      <c r="E1170">
        <v>1.1288604317711901</v>
      </c>
      <c r="F1170">
        <v>0.78182523492693801</v>
      </c>
      <c r="G1170">
        <v>0.49309662737002202</v>
      </c>
      <c r="H1170">
        <v>0.133782455785973</v>
      </c>
      <c r="I1170">
        <v>8.7280162628643701E-2</v>
      </c>
      <c r="J1170">
        <v>7.2940315768195596E-2</v>
      </c>
      <c r="K1170">
        <v>7.0144067475442204E-2</v>
      </c>
      <c r="L1170">
        <v>1611.1472786643401</v>
      </c>
      <c r="M1170">
        <v>28.658915554208399</v>
      </c>
      <c r="N1170">
        <v>56.469850478252098</v>
      </c>
      <c r="O1170">
        <v>55.9464254887164</v>
      </c>
      <c r="P1170">
        <v>-0.120382528415859</v>
      </c>
      <c r="Q1170">
        <v>5.9989620588803902E-2</v>
      </c>
      <c r="R1170">
        <v>0.98486247518932601</v>
      </c>
      <c r="S1170" t="s">
        <v>8173</v>
      </c>
      <c r="T1170" t="s">
        <v>14004</v>
      </c>
      <c r="U1170" t="s">
        <v>14004</v>
      </c>
      <c r="V1170" t="s">
        <v>14004</v>
      </c>
      <c r="W1170" t="s">
        <v>15148</v>
      </c>
      <c r="X1170">
        <v>10</v>
      </c>
      <c r="Y1170" t="s">
        <v>22080</v>
      </c>
      <c r="Z1170" t="s">
        <v>28880</v>
      </c>
      <c r="AA1170">
        <v>0.57496812602153258</v>
      </c>
      <c r="AB1170" t="str">
        <f>HYPERLINK("Melting_Curves/meltCurve_J3KPT4_TRABD.pdf", "Melting_Curves/meltCurve_J3KPT4_TRABD.pdf")</f>
        <v>Melting_Curves/meltCurve_J3KPT4_TRABD.pdf</v>
      </c>
    </row>
    <row r="1171" spans="1:28" x14ac:dyDescent="0.25">
      <c r="A1171" t="s">
        <v>1175</v>
      </c>
      <c r="B1171">
        <v>0.99999676499088797</v>
      </c>
      <c r="C1171">
        <v>1.1264592459952101</v>
      </c>
      <c r="D1171">
        <v>1.0749580913474099</v>
      </c>
      <c r="E1171">
        <v>0.78345401702856698</v>
      </c>
      <c r="F1171">
        <v>0.48889744610316199</v>
      </c>
      <c r="G1171">
        <v>0.20353542862990701</v>
      </c>
      <c r="H1171">
        <v>0.119485362215386</v>
      </c>
      <c r="I1171">
        <v>0.114438989188589</v>
      </c>
      <c r="J1171">
        <v>0.124000584943409</v>
      </c>
      <c r="K1171">
        <v>8.8183590270583104E-2</v>
      </c>
      <c r="L1171">
        <v>1359.5936058541299</v>
      </c>
      <c r="M1171">
        <v>25.937787193492301</v>
      </c>
      <c r="N1171">
        <v>52.886427805769799</v>
      </c>
      <c r="O1171">
        <v>52.108887726585998</v>
      </c>
      <c r="P1171">
        <v>-0.11165838508756799</v>
      </c>
      <c r="Q1171">
        <v>0.102725828416334</v>
      </c>
      <c r="R1171">
        <v>0.98279801141561396</v>
      </c>
      <c r="S1171" t="s">
        <v>8174</v>
      </c>
      <c r="T1171" t="s">
        <v>14004</v>
      </c>
      <c r="U1171" t="s">
        <v>14004</v>
      </c>
      <c r="V1171" t="s">
        <v>14004</v>
      </c>
      <c r="W1171" t="s">
        <v>15149</v>
      </c>
      <c r="X1171">
        <v>14</v>
      </c>
      <c r="Y1171" t="s">
        <v>22081</v>
      </c>
      <c r="Z1171" t="s">
        <v>28881</v>
      </c>
      <c r="AA1171">
        <v>0.4817854335678155</v>
      </c>
      <c r="AB1171" t="str">
        <f>HYPERLINK("Melting_Curves/meltCurve_J3KPW7_HDAC2.pdf", "Melting_Curves/meltCurve_J3KPW7_HDAC2.pdf")</f>
        <v>Melting_Curves/meltCurve_J3KPW7_HDAC2.pdf</v>
      </c>
    </row>
    <row r="1172" spans="1:28" x14ac:dyDescent="0.25">
      <c r="A1172" t="s">
        <v>1176</v>
      </c>
      <c r="B1172">
        <v>0.99999676499088797</v>
      </c>
      <c r="C1172">
        <v>1.0845093006222</v>
      </c>
      <c r="D1172">
        <v>0.96588280694900097</v>
      </c>
      <c r="E1172">
        <v>0.81740373431979396</v>
      </c>
      <c r="F1172">
        <v>0.63024796746692402</v>
      </c>
      <c r="G1172">
        <v>0.53052784047163404</v>
      </c>
      <c r="H1172">
        <v>0.31915114704108499</v>
      </c>
      <c r="I1172">
        <v>0.26024408137076599</v>
      </c>
      <c r="J1172">
        <v>0.30597392082011199</v>
      </c>
      <c r="K1172">
        <v>0.25219494350147598</v>
      </c>
      <c r="L1172">
        <v>847.87575315512095</v>
      </c>
      <c r="M1172">
        <v>15.7410076503186</v>
      </c>
      <c r="N1172">
        <v>56.162831027275097</v>
      </c>
      <c r="O1172">
        <v>53.017264391719003</v>
      </c>
      <c r="P1172">
        <v>-5.6603708919406498E-2</v>
      </c>
      <c r="Q1172">
        <v>0.23747609427508201</v>
      </c>
      <c r="R1172">
        <v>0.98174758489358405</v>
      </c>
      <c r="S1172" t="s">
        <v>8175</v>
      </c>
      <c r="T1172" t="s">
        <v>14004</v>
      </c>
      <c r="U1172" t="s">
        <v>14004</v>
      </c>
      <c r="V1172" t="s">
        <v>14004</v>
      </c>
      <c r="W1172" t="s">
        <v>15150</v>
      </c>
      <c r="X1172">
        <v>3</v>
      </c>
      <c r="Y1172" t="s">
        <v>22082</v>
      </c>
      <c r="Z1172" t="s">
        <v>28882</v>
      </c>
      <c r="AA1172">
        <v>0.60467185840017312</v>
      </c>
      <c r="AB1172" t="str">
        <f>HYPERLINK("Melting_Curves/meltCurve_J3KPY9_ANTXR2.pdf", "Melting_Curves/meltCurve_J3KPY9_ANTXR2.pdf")</f>
        <v>Melting_Curves/meltCurve_J3KPY9_ANTXR2.pdf</v>
      </c>
    </row>
    <row r="1173" spans="1:28" x14ac:dyDescent="0.25">
      <c r="A1173" t="s">
        <v>1177</v>
      </c>
      <c r="B1173">
        <v>0.99999676499088797</v>
      </c>
      <c r="C1173">
        <v>0.87075093803402603</v>
      </c>
      <c r="D1173">
        <v>0.798456442788401</v>
      </c>
      <c r="E1173">
        <v>0.80943666281526905</v>
      </c>
      <c r="F1173">
        <v>0.60648622054766699</v>
      </c>
      <c r="G1173">
        <v>0.52955797743784205</v>
      </c>
      <c r="H1173">
        <v>0.38626374492670201</v>
      </c>
      <c r="I1173">
        <v>0.33183718705370302</v>
      </c>
      <c r="J1173">
        <v>0.32496394162230802</v>
      </c>
      <c r="K1173">
        <v>0.36023464033814501</v>
      </c>
      <c r="L1173">
        <v>477.70699937053098</v>
      </c>
      <c r="M1173">
        <v>8.9822461424318405</v>
      </c>
      <c r="N1173">
        <v>57.139752931449301</v>
      </c>
      <c r="O1173">
        <v>50.745775795376098</v>
      </c>
      <c r="P1173">
        <v>-3.4030014210044E-2</v>
      </c>
      <c r="Q1173">
        <v>0.23154327636821401</v>
      </c>
      <c r="R1173">
        <v>0.96980800657084898</v>
      </c>
      <c r="S1173" t="s">
        <v>8176</v>
      </c>
      <c r="T1173" t="s">
        <v>14004</v>
      </c>
      <c r="U1173" t="s">
        <v>14004</v>
      </c>
      <c r="V1173" t="s">
        <v>14004</v>
      </c>
      <c r="W1173" t="s">
        <v>15151</v>
      </c>
      <c r="X1173">
        <v>3</v>
      </c>
      <c r="Y1173" t="s">
        <v>22083</v>
      </c>
      <c r="Z1173" t="s">
        <v>28883</v>
      </c>
      <c r="AA1173">
        <v>0.59729825735372599</v>
      </c>
      <c r="AB1173" t="str">
        <f>HYPERLINK("Melting_Curves/meltCurve_J3KPZ4_C1D.pdf", "Melting_Curves/meltCurve_J3KPZ4_C1D.pdf")</f>
        <v>Melting_Curves/meltCurve_J3KPZ4_C1D.pdf</v>
      </c>
    </row>
    <row r="1174" spans="1:28" x14ac:dyDescent="0.25">
      <c r="A1174" t="s">
        <v>1178</v>
      </c>
      <c r="B1174">
        <v>0.99999676499088797</v>
      </c>
      <c r="C1174">
        <v>0.920932935534159</v>
      </c>
      <c r="D1174">
        <v>0.76758896409487198</v>
      </c>
      <c r="E1174">
        <v>0.57278855762110703</v>
      </c>
      <c r="F1174">
        <v>0.36587427169723002</v>
      </c>
      <c r="G1174">
        <v>0.25713667153796899</v>
      </c>
      <c r="H1174">
        <v>0.104111714289496</v>
      </c>
      <c r="I1174">
        <v>0.107620696137043</v>
      </c>
      <c r="J1174">
        <v>9.0893173542400493E-2</v>
      </c>
      <c r="K1174">
        <v>6.8184424718731998E-2</v>
      </c>
      <c r="L1174">
        <v>652.52982340539097</v>
      </c>
      <c r="M1174">
        <v>12.9395834868977</v>
      </c>
      <c r="N1174">
        <v>50.800600275038299</v>
      </c>
      <c r="O1174">
        <v>49.270087753275298</v>
      </c>
      <c r="P1174">
        <v>-6.2702700446296097E-2</v>
      </c>
      <c r="Q1174">
        <v>4.5158909683679298E-2</v>
      </c>
      <c r="R1174">
        <v>0.99680846774146503</v>
      </c>
      <c r="S1174" t="s">
        <v>8177</v>
      </c>
      <c r="T1174" t="s">
        <v>14004</v>
      </c>
      <c r="U1174" t="s">
        <v>14004</v>
      </c>
      <c r="V1174" t="s">
        <v>14004</v>
      </c>
      <c r="W1174" t="s">
        <v>15152</v>
      </c>
      <c r="X1174">
        <v>2</v>
      </c>
      <c r="Y1174" t="s">
        <v>22084</v>
      </c>
      <c r="Z1174" t="s">
        <v>28884</v>
      </c>
      <c r="AA1174">
        <v>0.40577394696996649</v>
      </c>
      <c r="AB1174" t="str">
        <f>HYPERLINK("Melting_Curves/meltCurve_J3KPZ8_RFXANK.pdf", "Melting_Curves/meltCurve_J3KPZ8_RFXANK.pdf")</f>
        <v>Melting_Curves/meltCurve_J3KPZ8_RFXANK.pdf</v>
      </c>
    </row>
    <row r="1175" spans="1:28" x14ac:dyDescent="0.25">
      <c r="A1175" t="s">
        <v>1179</v>
      </c>
      <c r="B1175">
        <v>0.99999676499088797</v>
      </c>
      <c r="C1175">
        <v>1.0284452174826499</v>
      </c>
      <c r="D1175">
        <v>1.0021871416257</v>
      </c>
      <c r="E1175">
        <v>1.0933362059565299</v>
      </c>
      <c r="F1175">
        <v>0.53764717030165399</v>
      </c>
      <c r="G1175">
        <v>0.17429048451127599</v>
      </c>
      <c r="H1175">
        <v>8.25718475342411E-2</v>
      </c>
      <c r="I1175">
        <v>8.3890640520915494E-2</v>
      </c>
      <c r="J1175">
        <v>8.0508738608568303E-2</v>
      </c>
      <c r="K1175">
        <v>6.5391917161636406E-2</v>
      </c>
      <c r="L1175">
        <v>3449.0200674531702</v>
      </c>
      <c r="M1175">
        <v>64.837068509748406</v>
      </c>
      <c r="N1175">
        <v>53.365684525301702</v>
      </c>
      <c r="O1175">
        <v>53.144652688394899</v>
      </c>
      <c r="P1175">
        <v>-0.276470089255346</v>
      </c>
      <c r="Q1175">
        <v>9.3549243927076003E-2</v>
      </c>
      <c r="R1175">
        <v>0.99141909662444905</v>
      </c>
      <c r="S1175" t="s">
        <v>8178</v>
      </c>
      <c r="T1175" t="s">
        <v>14004</v>
      </c>
      <c r="U1175" t="s">
        <v>14004</v>
      </c>
      <c r="V1175" t="s">
        <v>14004</v>
      </c>
      <c r="W1175" t="s">
        <v>15153</v>
      </c>
      <c r="X1175">
        <v>17</v>
      </c>
      <c r="Y1175" t="s">
        <v>22085</v>
      </c>
      <c r="Z1175" t="s">
        <v>28885</v>
      </c>
      <c r="AA1175">
        <v>0.49350419312941801</v>
      </c>
      <c r="AB1175" t="str">
        <f>HYPERLINK("Melting_Curves/meltCurve_J3KQ32_OLA1.pdf", "Melting_Curves/meltCurve_J3KQ32_OLA1.pdf")</f>
        <v>Melting_Curves/meltCurve_J3KQ32_OLA1.pdf</v>
      </c>
    </row>
    <row r="1176" spans="1:28" x14ac:dyDescent="0.25">
      <c r="A1176" t="s">
        <v>1180</v>
      </c>
      <c r="B1176">
        <v>0.99999676499088797</v>
      </c>
      <c r="C1176">
        <v>0.98695344955772701</v>
      </c>
      <c r="D1176">
        <v>1.0636284554113</v>
      </c>
      <c r="E1176">
        <v>1.21597475467491</v>
      </c>
      <c r="F1176">
        <v>0.66092425825380197</v>
      </c>
      <c r="G1176">
        <v>0.252044612760918</v>
      </c>
      <c r="H1176">
        <v>0.109799257132141</v>
      </c>
      <c r="I1176">
        <v>6.8314506163792005E-2</v>
      </c>
      <c r="J1176">
        <v>6.4026501135066596E-2</v>
      </c>
      <c r="K1176">
        <v>4.6727558277570601E-2</v>
      </c>
      <c r="L1176">
        <v>2185.1850240193598</v>
      </c>
      <c r="M1176">
        <v>40.279697925985801</v>
      </c>
      <c r="N1176">
        <v>54.472514130804498</v>
      </c>
      <c r="O1176">
        <v>54.117080302760499</v>
      </c>
      <c r="P1176">
        <v>-0.17197781501888401</v>
      </c>
      <c r="Q1176">
        <v>7.5770754991211303E-2</v>
      </c>
      <c r="R1176">
        <v>0.968503251800375</v>
      </c>
      <c r="S1176" t="s">
        <v>8179</v>
      </c>
      <c r="T1176" t="s">
        <v>14004</v>
      </c>
      <c r="U1176" t="s">
        <v>14004</v>
      </c>
      <c r="V1176" t="s">
        <v>14004</v>
      </c>
      <c r="W1176" t="s">
        <v>15154</v>
      </c>
      <c r="X1176">
        <v>12</v>
      </c>
      <c r="Y1176" t="s">
        <v>22086</v>
      </c>
      <c r="Z1176" t="s">
        <v>28886</v>
      </c>
      <c r="AA1176">
        <v>0.51819820945657347</v>
      </c>
      <c r="AB1176" t="str">
        <f>HYPERLINK("Melting_Curves/meltCurve_J3KQ34_COPS7B.pdf", "Melting_Curves/meltCurve_J3KQ34_COPS7B.pdf")</f>
        <v>Melting_Curves/meltCurve_J3KQ34_COPS7B.pdf</v>
      </c>
    </row>
    <row r="1177" spans="1:28" x14ac:dyDescent="0.25">
      <c r="A1177" t="s">
        <v>1181</v>
      </c>
      <c r="B1177">
        <v>0.99999676499088797</v>
      </c>
      <c r="C1177">
        <v>0.95953798707986704</v>
      </c>
      <c r="D1177">
        <v>1.0557682619836</v>
      </c>
      <c r="E1177">
        <v>1.2050697740287299</v>
      </c>
      <c r="F1177">
        <v>1.1952668029644</v>
      </c>
      <c r="G1177">
        <v>1.1430805586589201</v>
      </c>
      <c r="H1177">
        <v>0.88949406205824999</v>
      </c>
      <c r="I1177">
        <v>0.90969622786511395</v>
      </c>
      <c r="J1177">
        <v>0.71746423416483796</v>
      </c>
      <c r="K1177">
        <v>1.04447322735799</v>
      </c>
      <c r="L1177">
        <v>14831.4739163169</v>
      </c>
      <c r="M1177">
        <v>250</v>
      </c>
      <c r="O1177">
        <v>59.322099161480097</v>
      </c>
      <c r="P1177">
        <v>-0.11566178511942</v>
      </c>
      <c r="Q1177">
        <v>0.89021920187795001</v>
      </c>
      <c r="R1177">
        <v>0.226621552069697</v>
      </c>
      <c r="S1177" t="s">
        <v>8180</v>
      </c>
      <c r="T1177" t="s">
        <v>14004</v>
      </c>
      <c r="U1177" t="s">
        <v>14004</v>
      </c>
      <c r="V1177" t="s">
        <v>14004</v>
      </c>
      <c r="W1177" t="s">
        <v>15155</v>
      </c>
      <c r="X1177">
        <v>14</v>
      </c>
      <c r="Y1177" t="s">
        <v>22087</v>
      </c>
      <c r="Z1177" t="s">
        <v>28887</v>
      </c>
      <c r="AA1177">
        <v>0.96095104017000055</v>
      </c>
      <c r="AB1177" t="str">
        <f>HYPERLINK("Melting_Curves/meltCurve_J3KQ45_TGOLN2.pdf", "Melting_Curves/meltCurve_J3KQ45_TGOLN2.pdf")</f>
        <v>Melting_Curves/meltCurve_J3KQ45_TGOLN2.pdf</v>
      </c>
    </row>
    <row r="1178" spans="1:28" x14ac:dyDescent="0.25">
      <c r="A1178" t="s">
        <v>1182</v>
      </c>
      <c r="B1178">
        <v>0.99999676499088797</v>
      </c>
      <c r="C1178">
        <v>0.96682521158665302</v>
      </c>
      <c r="D1178">
        <v>1.00674058428689</v>
      </c>
      <c r="E1178">
        <v>1.0028997470235499</v>
      </c>
      <c r="F1178">
        <v>0.72834001731480502</v>
      </c>
      <c r="G1178">
        <v>0.36033961215070398</v>
      </c>
      <c r="H1178">
        <v>0.120328740451143</v>
      </c>
      <c r="I1178">
        <v>9.7562596214555597E-2</v>
      </c>
      <c r="J1178">
        <v>9.5486263702894994E-2</v>
      </c>
      <c r="K1178">
        <v>7.0284790526456198E-2</v>
      </c>
      <c r="L1178">
        <v>1581.12625150293</v>
      </c>
      <c r="M1178">
        <v>28.7351257186365</v>
      </c>
      <c r="N1178">
        <v>55.350578998885901</v>
      </c>
      <c r="O1178">
        <v>54.759740407334696</v>
      </c>
      <c r="P1178">
        <v>-0.120963633368739</v>
      </c>
      <c r="Q1178">
        <v>7.7938825248711194E-2</v>
      </c>
      <c r="R1178">
        <v>0.99761908879885297</v>
      </c>
      <c r="S1178" t="s">
        <v>8181</v>
      </c>
      <c r="T1178" t="s">
        <v>14004</v>
      </c>
      <c r="U1178" t="s">
        <v>14004</v>
      </c>
      <c r="V1178" t="s">
        <v>14004</v>
      </c>
      <c r="W1178" t="s">
        <v>15156</v>
      </c>
      <c r="X1178">
        <v>7</v>
      </c>
      <c r="Y1178" t="s">
        <v>22088</v>
      </c>
      <c r="Z1178" t="s">
        <v>28888</v>
      </c>
      <c r="AA1178">
        <v>0.54634378563624186</v>
      </c>
      <c r="AB1178" t="str">
        <f>HYPERLINK("Melting_Curves/meltCurve_J3KQ48_PTRH2.pdf", "Melting_Curves/meltCurve_J3KQ48_PTRH2.pdf")</f>
        <v>Melting_Curves/meltCurve_J3KQ48_PTRH2.pdf</v>
      </c>
    </row>
    <row r="1179" spans="1:28" x14ac:dyDescent="0.25">
      <c r="A1179" t="s">
        <v>1183</v>
      </c>
      <c r="B1179">
        <v>0.99999676499088797</v>
      </c>
      <c r="C1179">
        <v>0.98668916989310396</v>
      </c>
      <c r="D1179">
        <v>0.85799320929905298</v>
      </c>
      <c r="E1179">
        <v>0.83442946511495597</v>
      </c>
      <c r="F1179">
        <v>0.36095589320268201</v>
      </c>
      <c r="G1179">
        <v>0.191519983300627</v>
      </c>
      <c r="H1179">
        <v>0.120809477824817</v>
      </c>
      <c r="I1179">
        <v>8.1891920991720199E-2</v>
      </c>
      <c r="J1179">
        <v>8.1046318511904997E-2</v>
      </c>
      <c r="K1179">
        <v>0.100467505713116</v>
      </c>
      <c r="L1179">
        <v>1338.92816399972</v>
      </c>
      <c r="M1179">
        <v>25.848994366378001</v>
      </c>
      <c r="N1179">
        <v>52.194741428904102</v>
      </c>
      <c r="O1179">
        <v>51.491045582823801</v>
      </c>
      <c r="P1179">
        <v>-0.11431168101000901</v>
      </c>
      <c r="Q1179">
        <v>8.9177929935105996E-2</v>
      </c>
      <c r="R1179">
        <v>0.98866207739804102</v>
      </c>
      <c r="S1179" t="s">
        <v>8182</v>
      </c>
      <c r="T1179" t="s">
        <v>14004</v>
      </c>
      <c r="U1179" t="s">
        <v>14004</v>
      </c>
      <c r="V1179" t="s">
        <v>14004</v>
      </c>
      <c r="W1179" t="s">
        <v>15157</v>
      </c>
      <c r="X1179">
        <v>2</v>
      </c>
      <c r="Y1179" t="s">
        <v>22089</v>
      </c>
      <c r="Z1179" t="s">
        <v>28889</v>
      </c>
      <c r="AA1179">
        <v>0.4551538051924065</v>
      </c>
      <c r="AB1179" t="str">
        <f>HYPERLINK("Melting_Curves/meltCurve_J3KQ72_FBXO6.pdf", "Melting_Curves/meltCurve_J3KQ72_FBXO6.pdf")</f>
        <v>Melting_Curves/meltCurve_J3KQ72_FBXO6.pdf</v>
      </c>
    </row>
    <row r="1180" spans="1:28" x14ac:dyDescent="0.25">
      <c r="A1180" t="s">
        <v>1184</v>
      </c>
      <c r="B1180">
        <v>0.99999676499088797</v>
      </c>
      <c r="C1180">
        <v>0.97326806545073596</v>
      </c>
      <c r="D1180">
        <v>0.96988489163328995</v>
      </c>
      <c r="E1180">
        <v>0.77685550695099503</v>
      </c>
      <c r="F1180">
        <v>0.31808891093289399</v>
      </c>
      <c r="G1180">
        <v>0.24874284728322299</v>
      </c>
      <c r="H1180">
        <v>9.9668414905487196E-2</v>
      </c>
      <c r="I1180">
        <v>0.100573528505919</v>
      </c>
      <c r="J1180">
        <v>0.11000091959417301</v>
      </c>
      <c r="K1180">
        <v>7.8063033182004596E-2</v>
      </c>
      <c r="L1180">
        <v>1386.9707842384501</v>
      </c>
      <c r="M1180">
        <v>26.9750079438335</v>
      </c>
      <c r="N1180">
        <v>51.865897094519099</v>
      </c>
      <c r="O1180">
        <v>51.136809246423098</v>
      </c>
      <c r="P1180">
        <v>-0.11814518383643299</v>
      </c>
      <c r="Q1180">
        <v>0.10413277853693</v>
      </c>
      <c r="R1180">
        <v>0.993071951260034</v>
      </c>
      <c r="S1180" t="s">
        <v>8183</v>
      </c>
      <c r="T1180" t="s">
        <v>14004</v>
      </c>
      <c r="U1180" t="s">
        <v>14004</v>
      </c>
      <c r="V1180" t="s">
        <v>14004</v>
      </c>
      <c r="W1180" t="s">
        <v>15158</v>
      </c>
      <c r="X1180">
        <v>5</v>
      </c>
      <c r="Y1180" t="s">
        <v>22090</v>
      </c>
      <c r="Z1180" t="s">
        <v>28890</v>
      </c>
      <c r="AA1180">
        <v>0.45206946687555583</v>
      </c>
      <c r="AB1180" t="str">
        <f>HYPERLINK("Melting_Curves/meltCurve_J3KQ88_C6orf203.pdf", "Melting_Curves/meltCurve_J3KQ88_C6orf203.pdf")</f>
        <v>Melting_Curves/meltCurve_J3KQ88_C6orf203.pdf</v>
      </c>
    </row>
    <row r="1181" spans="1:28" x14ac:dyDescent="0.25">
      <c r="A1181" t="s">
        <v>1185</v>
      </c>
      <c r="B1181">
        <v>0.99999676499088797</v>
      </c>
      <c r="C1181">
        <v>0.99888811198695004</v>
      </c>
      <c r="D1181">
        <v>1.1416517169823599</v>
      </c>
      <c r="E1181">
        <v>1.20963314282805</v>
      </c>
      <c r="F1181">
        <v>0.59096745739530598</v>
      </c>
      <c r="G1181">
        <v>0.361980384866253</v>
      </c>
      <c r="H1181">
        <v>0.138029346423964</v>
      </c>
      <c r="I1181">
        <v>0.162620849084816</v>
      </c>
      <c r="J1181">
        <v>0.116224938361657</v>
      </c>
      <c r="K1181">
        <v>0.140998278331184</v>
      </c>
      <c r="L1181">
        <v>2027.38720867757</v>
      </c>
      <c r="M1181">
        <v>37.633260946599997</v>
      </c>
      <c r="N1181">
        <v>54.399000566119099</v>
      </c>
      <c r="O1181">
        <v>53.720784263542797</v>
      </c>
      <c r="P1181">
        <v>-0.148390530013016</v>
      </c>
      <c r="Q1181">
        <v>0.15270340925805501</v>
      </c>
      <c r="R1181">
        <v>0.947732480532545</v>
      </c>
      <c r="S1181" t="s">
        <v>8184</v>
      </c>
      <c r="T1181" t="s">
        <v>14004</v>
      </c>
      <c r="U1181" t="s">
        <v>14004</v>
      </c>
      <c r="V1181" t="s">
        <v>14004</v>
      </c>
      <c r="W1181" t="s">
        <v>15159</v>
      </c>
      <c r="X1181">
        <v>1</v>
      </c>
      <c r="Y1181" t="s">
        <v>22091</v>
      </c>
      <c r="Z1181" t="s">
        <v>28891</v>
      </c>
      <c r="AA1181">
        <v>0.54805657775965355</v>
      </c>
      <c r="AB1181" t="str">
        <f>HYPERLINK("Melting_Curves/meltCurve_J3KQ97_C6orf120.pdf", "Melting_Curves/meltCurve_J3KQ97_C6orf120.pdf")</f>
        <v>Melting_Curves/meltCurve_J3KQ97_C6orf120.pdf</v>
      </c>
    </row>
    <row r="1182" spans="1:28" x14ac:dyDescent="0.25">
      <c r="A1182" t="s">
        <v>1186</v>
      </c>
      <c r="B1182">
        <v>0.99999676499088797</v>
      </c>
      <c r="C1182">
        <v>0.95295749644130501</v>
      </c>
      <c r="D1182">
        <v>0.97214106899328701</v>
      </c>
      <c r="E1182">
        <v>0.97596272023193897</v>
      </c>
      <c r="F1182">
        <v>0.69191939474617203</v>
      </c>
      <c r="G1182">
        <v>0.64077449833540501</v>
      </c>
      <c r="H1182">
        <v>0.31058951798155798</v>
      </c>
      <c r="I1182">
        <v>0.31053821968857198</v>
      </c>
      <c r="J1182">
        <v>0.38269738207676102</v>
      </c>
      <c r="K1182">
        <v>0.28729963666803898</v>
      </c>
      <c r="L1182">
        <v>1064.2020810931001</v>
      </c>
      <c r="M1182">
        <v>19.301191411689601</v>
      </c>
      <c r="N1182">
        <v>57.738878985203101</v>
      </c>
      <c r="O1182">
        <v>54.554969910369699</v>
      </c>
      <c r="P1182">
        <v>-6.2756171701626007E-2</v>
      </c>
      <c r="Q1182">
        <v>0.29050335205521999</v>
      </c>
      <c r="R1182">
        <v>0.96400652232951001</v>
      </c>
      <c r="S1182" t="s">
        <v>8185</v>
      </c>
      <c r="T1182" t="s">
        <v>14004</v>
      </c>
      <c r="U1182" t="s">
        <v>14004</v>
      </c>
      <c r="V1182" t="s">
        <v>14004</v>
      </c>
      <c r="W1182" t="s">
        <v>15160</v>
      </c>
      <c r="X1182">
        <v>2</v>
      </c>
      <c r="Y1182" t="s">
        <v>22092</v>
      </c>
      <c r="Z1182" t="s">
        <v>28892</v>
      </c>
      <c r="AA1182">
        <v>0.65839419258405385</v>
      </c>
      <c r="AB1182" t="str">
        <f>HYPERLINK("Melting_Curves/meltCurve_J3KQA4_SLC25A36.pdf", "Melting_Curves/meltCurve_J3KQA4_SLC25A36.pdf")</f>
        <v>Melting_Curves/meltCurve_J3KQA4_SLC25A36.pdf</v>
      </c>
    </row>
    <row r="1183" spans="1:28" x14ac:dyDescent="0.25">
      <c r="A1183" t="s">
        <v>1187</v>
      </c>
      <c r="B1183">
        <v>0.99999676499088797</v>
      </c>
      <c r="C1183">
        <v>0.950470009556033</v>
      </c>
      <c r="D1183">
        <v>1.00975399260896</v>
      </c>
      <c r="E1183">
        <v>1.0659458436649401</v>
      </c>
      <c r="F1183">
        <v>0.93882782411632903</v>
      </c>
      <c r="G1183">
        <v>0.48300867243914403</v>
      </c>
      <c r="H1183">
        <v>0.18590866360668101</v>
      </c>
      <c r="I1183">
        <v>0.10318500889525301</v>
      </c>
      <c r="J1183">
        <v>8.2603732031555605E-2</v>
      </c>
      <c r="K1183">
        <v>7.1662770833430797E-2</v>
      </c>
      <c r="L1183">
        <v>2154.4382279761799</v>
      </c>
      <c r="M1183">
        <v>38.136290746066699</v>
      </c>
      <c r="N1183">
        <v>56.792226182842903</v>
      </c>
      <c r="O1183">
        <v>56.338459081995502</v>
      </c>
      <c r="P1183">
        <v>-0.15383217576331601</v>
      </c>
      <c r="Q1183">
        <v>9.0981754783644606E-2</v>
      </c>
      <c r="R1183">
        <v>0.99431957490172895</v>
      </c>
      <c r="S1183" t="s">
        <v>8186</v>
      </c>
      <c r="T1183" t="s">
        <v>14004</v>
      </c>
      <c r="U1183" t="s">
        <v>14004</v>
      </c>
      <c r="V1183" t="s">
        <v>14004</v>
      </c>
      <c r="W1183" t="s">
        <v>15161</v>
      </c>
      <c r="X1183">
        <v>22</v>
      </c>
      <c r="Y1183" t="s">
        <v>22093</v>
      </c>
      <c r="Z1183" t="s">
        <v>28893</v>
      </c>
      <c r="AA1183">
        <v>0.59459612890929625</v>
      </c>
      <c r="AB1183" t="str">
        <f>HYPERLINK("Melting_Curves/meltCurve_J3KQB0_THUMPD1.pdf", "Melting_Curves/meltCurve_J3KQB0_THUMPD1.pdf")</f>
        <v>Melting_Curves/meltCurve_J3KQB0_THUMPD1.pdf</v>
      </c>
    </row>
    <row r="1184" spans="1:28" x14ac:dyDescent="0.25">
      <c r="A1184" t="s">
        <v>1188</v>
      </c>
      <c r="B1184">
        <v>0.99999676499088797</v>
      </c>
      <c r="C1184">
        <v>0.90996427099934696</v>
      </c>
      <c r="D1184">
        <v>0.69325148623565802</v>
      </c>
      <c r="E1184">
        <v>0.56771309234274203</v>
      </c>
      <c r="F1184">
        <v>0.316225656332147</v>
      </c>
      <c r="G1184">
        <v>0.23417329484199501</v>
      </c>
      <c r="H1184">
        <v>5.8156161743304097E-2</v>
      </c>
      <c r="I1184">
        <v>5.6033096262381801E-2</v>
      </c>
      <c r="J1184">
        <v>5.3717784332225703E-2</v>
      </c>
      <c r="K1184">
        <v>9.4891847250000202E-2</v>
      </c>
      <c r="L1184">
        <v>640.826768775348</v>
      </c>
      <c r="M1184">
        <v>12.8485817811881</v>
      </c>
      <c r="N1184">
        <v>50.076190748630701</v>
      </c>
      <c r="O1184">
        <v>48.713464384220899</v>
      </c>
      <c r="P1184">
        <v>-6.4295043594363305E-2</v>
      </c>
      <c r="Q1184">
        <v>2.5120359198964898E-2</v>
      </c>
      <c r="R1184">
        <v>0.98818884768891202</v>
      </c>
      <c r="S1184" t="s">
        <v>8187</v>
      </c>
      <c r="T1184" t="s">
        <v>14004</v>
      </c>
      <c r="U1184" t="s">
        <v>14004</v>
      </c>
      <c r="V1184" t="s">
        <v>14004</v>
      </c>
      <c r="W1184" t="s">
        <v>15162</v>
      </c>
      <c r="X1184">
        <v>5</v>
      </c>
      <c r="Y1184" t="s">
        <v>22094</v>
      </c>
      <c r="Z1184" t="s">
        <v>28894</v>
      </c>
      <c r="AA1184">
        <v>0.37647949385416629</v>
      </c>
      <c r="AB1184" t="str">
        <f>HYPERLINK("Melting_Curves/meltCurve_J3KQD0_FAM213B.pdf", "Melting_Curves/meltCurve_J3KQD0_FAM213B.pdf")</f>
        <v>Melting_Curves/meltCurve_J3KQD0_FAM213B.pdf</v>
      </c>
    </row>
    <row r="1185" spans="1:28" x14ac:dyDescent="0.25">
      <c r="A1185" t="s">
        <v>1189</v>
      </c>
      <c r="B1185">
        <v>0.99999676499088797</v>
      </c>
      <c r="C1185">
        <v>0.91948281537760601</v>
      </c>
      <c r="D1185">
        <v>0.89941488116998003</v>
      </c>
      <c r="E1185">
        <v>0.96918504545099504</v>
      </c>
      <c r="F1185">
        <v>0.90905980626000205</v>
      </c>
      <c r="G1185">
        <v>0.633613252624047</v>
      </c>
      <c r="H1185">
        <v>0.20197221354219599</v>
      </c>
      <c r="I1185">
        <v>0.104715193059953</v>
      </c>
      <c r="J1185">
        <v>9.2981437502675901E-2</v>
      </c>
      <c r="K1185">
        <v>7.9121175914280195E-2</v>
      </c>
      <c r="L1185">
        <v>1773.2068134398601</v>
      </c>
      <c r="M1185">
        <v>30.857278168234199</v>
      </c>
      <c r="N1185">
        <v>57.756396755525998</v>
      </c>
      <c r="O1185">
        <v>57.225054561737402</v>
      </c>
      <c r="P1185">
        <v>-0.12508254830875101</v>
      </c>
      <c r="Q1185">
        <v>7.2139285520846794E-2</v>
      </c>
      <c r="R1185">
        <v>0.98810513945043299</v>
      </c>
      <c r="S1185" t="s">
        <v>8188</v>
      </c>
      <c r="T1185" t="s">
        <v>14004</v>
      </c>
      <c r="U1185" t="s">
        <v>14004</v>
      </c>
      <c r="V1185" t="s">
        <v>14004</v>
      </c>
      <c r="W1185" t="s">
        <v>15163</v>
      </c>
      <c r="X1185">
        <v>14</v>
      </c>
      <c r="Y1185" t="s">
        <v>22095</v>
      </c>
      <c r="Z1185" t="s">
        <v>28895</v>
      </c>
      <c r="AA1185">
        <v>0.61816486757613209</v>
      </c>
      <c r="AB1185" t="str">
        <f>HYPERLINK("Melting_Curves/meltCurve_J3KQE5_RAN.pdf", "Melting_Curves/meltCurve_J3KQE5_RAN.pdf")</f>
        <v>Melting_Curves/meltCurve_J3KQE5_RAN.pdf</v>
      </c>
    </row>
    <row r="1186" spans="1:28" x14ac:dyDescent="0.25">
      <c r="A1186" t="s">
        <v>1190</v>
      </c>
      <c r="B1186">
        <v>0.99999676499088797</v>
      </c>
      <c r="C1186">
        <v>1.07800087977334</v>
      </c>
      <c r="D1186">
        <v>1.0510344448397799</v>
      </c>
      <c r="E1186">
        <v>1.0453513907934</v>
      </c>
      <c r="F1186">
        <v>0.95960582339102596</v>
      </c>
      <c r="G1186">
        <v>0.79754486034812899</v>
      </c>
      <c r="H1186">
        <v>0.40466494165336703</v>
      </c>
      <c r="I1186">
        <v>0.19862441131453401</v>
      </c>
      <c r="J1186">
        <v>0.15704091746245599</v>
      </c>
      <c r="K1186">
        <v>0.14474545840618699</v>
      </c>
      <c r="L1186">
        <v>1755.5044722128901</v>
      </c>
      <c r="M1186">
        <v>29.6937674269297</v>
      </c>
      <c r="N1186">
        <v>59.728518543005301</v>
      </c>
      <c r="O1186">
        <v>58.854129982413497</v>
      </c>
      <c r="P1186">
        <v>-0.109677358578234</v>
      </c>
      <c r="Q1186">
        <v>0.130468140980809</v>
      </c>
      <c r="R1186">
        <v>0.99233272507375503</v>
      </c>
      <c r="S1186" t="s">
        <v>8189</v>
      </c>
      <c r="T1186" t="s">
        <v>14004</v>
      </c>
      <c r="U1186" t="s">
        <v>14004</v>
      </c>
      <c r="V1186" t="s">
        <v>14004</v>
      </c>
      <c r="W1186" t="s">
        <v>15164</v>
      </c>
      <c r="X1186">
        <v>6</v>
      </c>
      <c r="Y1186" t="s">
        <v>22096</v>
      </c>
      <c r="Z1186" t="s">
        <v>28896</v>
      </c>
      <c r="AA1186">
        <v>0.69028621469072737</v>
      </c>
      <c r="AB1186" t="str">
        <f>HYPERLINK("Melting_Curves/meltCurve_J3KQG4_GBA.pdf", "Melting_Curves/meltCurve_J3KQG4_GBA.pdf")</f>
        <v>Melting_Curves/meltCurve_J3KQG4_GBA.pdf</v>
      </c>
    </row>
    <row r="1187" spans="1:28" x14ac:dyDescent="0.25">
      <c r="A1187" t="s">
        <v>1191</v>
      </c>
      <c r="B1187">
        <v>0.99999676499088797</v>
      </c>
      <c r="C1187">
        <v>1.0240311464264</v>
      </c>
      <c r="D1187">
        <v>0.95375202977538798</v>
      </c>
      <c r="E1187">
        <v>0.61305556868198896</v>
      </c>
      <c r="F1187">
        <v>0.31552202570621202</v>
      </c>
      <c r="G1187">
        <v>0.23214095679591101</v>
      </c>
      <c r="H1187">
        <v>0.13801799042221</v>
      </c>
      <c r="I1187">
        <v>0.16136335104871399</v>
      </c>
      <c r="J1187">
        <v>0.16414161856750301</v>
      </c>
      <c r="K1187">
        <v>0.141378925054466</v>
      </c>
      <c r="L1187">
        <v>1317.98950521442</v>
      </c>
      <c r="M1187">
        <v>26.308301392213998</v>
      </c>
      <c r="N1187">
        <v>50.829102099036398</v>
      </c>
      <c r="O1187">
        <v>49.811082928795898</v>
      </c>
      <c r="P1187">
        <v>-0.11123873685908001</v>
      </c>
      <c r="Q1187">
        <v>0.15754936649562501</v>
      </c>
      <c r="R1187">
        <v>0.99624938297161503</v>
      </c>
      <c r="S1187" t="s">
        <v>8190</v>
      </c>
      <c r="T1187" t="s">
        <v>14004</v>
      </c>
      <c r="U1187" t="s">
        <v>14004</v>
      </c>
      <c r="V1187" t="s">
        <v>14004</v>
      </c>
      <c r="W1187" t="s">
        <v>15165</v>
      </c>
      <c r="X1187">
        <v>8</v>
      </c>
      <c r="Y1187" t="s">
        <v>22097</v>
      </c>
      <c r="Z1187" t="s">
        <v>28897</v>
      </c>
      <c r="AA1187">
        <v>0.4479169031423087</v>
      </c>
      <c r="AB1187" t="str">
        <f>HYPERLINK("Melting_Curves/meltCurve_J3KQJ1_SUMF2.pdf", "Melting_Curves/meltCurve_J3KQJ1_SUMF2.pdf")</f>
        <v>Melting_Curves/meltCurve_J3KQJ1_SUMF2.pdf</v>
      </c>
    </row>
    <row r="1188" spans="1:28" x14ac:dyDescent="0.25">
      <c r="A1188" t="s">
        <v>1192</v>
      </c>
      <c r="B1188">
        <v>0.99999676499088797</v>
      </c>
      <c r="C1188">
        <v>0.99826198482595796</v>
      </c>
      <c r="D1188">
        <v>0.83589203408415802</v>
      </c>
      <c r="E1188">
        <v>0.512337309536537</v>
      </c>
      <c r="F1188">
        <v>0.38030147606197401</v>
      </c>
      <c r="G1188">
        <v>0.24384538376172399</v>
      </c>
      <c r="H1188">
        <v>0.13313443402959699</v>
      </c>
      <c r="I1188">
        <v>0.138947164095961</v>
      </c>
      <c r="J1188">
        <v>0.127436242817067</v>
      </c>
      <c r="K1188">
        <v>0.10915805299362701</v>
      </c>
      <c r="L1188">
        <v>841.48517791178301</v>
      </c>
      <c r="M1188">
        <v>16.904147218834002</v>
      </c>
      <c r="N1188">
        <v>50.574757838345498</v>
      </c>
      <c r="O1188">
        <v>49.098813523794099</v>
      </c>
      <c r="P1188">
        <v>-7.60351042976984E-2</v>
      </c>
      <c r="Q1188">
        <v>0.116667133774243</v>
      </c>
      <c r="R1188">
        <v>0.99179024997320997</v>
      </c>
      <c r="S1188" t="s">
        <v>8191</v>
      </c>
      <c r="T1188" t="s">
        <v>14004</v>
      </c>
      <c r="U1188" t="s">
        <v>14004</v>
      </c>
      <c r="V1188" t="s">
        <v>14004</v>
      </c>
      <c r="W1188" t="s">
        <v>15166</v>
      </c>
      <c r="X1188">
        <v>6</v>
      </c>
      <c r="Y1188" t="s">
        <v>22098</v>
      </c>
      <c r="Z1188" t="s">
        <v>28898</v>
      </c>
      <c r="AA1188">
        <v>0.42165368209444942</v>
      </c>
      <c r="AB1188" t="str">
        <f>HYPERLINK("Melting_Curves/meltCurve_J3KQL8_APOL2.pdf", "Melting_Curves/meltCurve_J3KQL8_APOL2.pdf")</f>
        <v>Melting_Curves/meltCurve_J3KQL8_APOL2.pdf</v>
      </c>
    </row>
    <row r="1189" spans="1:28" x14ac:dyDescent="0.25">
      <c r="A1189" t="s">
        <v>1193</v>
      </c>
      <c r="B1189">
        <v>0.99999676499088797</v>
      </c>
      <c r="C1189">
        <v>1.02913104188624</v>
      </c>
      <c r="D1189">
        <v>1.0167078737578199</v>
      </c>
      <c r="E1189">
        <v>1.0030926222991701</v>
      </c>
      <c r="F1189">
        <v>1.1079022102072</v>
      </c>
      <c r="G1189">
        <v>0.87352700756336599</v>
      </c>
      <c r="H1189">
        <v>0.46625730152578099</v>
      </c>
      <c r="I1189">
        <v>0.29233781263549902</v>
      </c>
      <c r="J1189">
        <v>0.195976901665803</v>
      </c>
      <c r="K1189">
        <v>0.12991590090921901</v>
      </c>
      <c r="L1189">
        <v>1958.17195364657</v>
      </c>
      <c r="M1189">
        <v>32.655071070119</v>
      </c>
      <c r="N1189">
        <v>60.670682468854899</v>
      </c>
      <c r="O1189">
        <v>59.741786791234901</v>
      </c>
      <c r="P1189">
        <v>-0.115068120074331</v>
      </c>
      <c r="Q1189">
        <v>0.15794481511683001</v>
      </c>
      <c r="R1189">
        <v>0.98613119151766804</v>
      </c>
      <c r="S1189" t="s">
        <v>8192</v>
      </c>
      <c r="T1189" t="s">
        <v>14004</v>
      </c>
      <c r="U1189" t="s">
        <v>14004</v>
      </c>
      <c r="V1189" t="s">
        <v>14004</v>
      </c>
      <c r="W1189" t="s">
        <v>15167</v>
      </c>
      <c r="X1189">
        <v>10</v>
      </c>
      <c r="Y1189" t="s">
        <v>22099</v>
      </c>
      <c r="Z1189" t="s">
        <v>28899</v>
      </c>
      <c r="AA1189">
        <v>0.72290352675595826</v>
      </c>
      <c r="AB1189" t="str">
        <f>HYPERLINK("Melting_Curves/meltCurve_J3KQS6_BABAM1.pdf", "Melting_Curves/meltCurve_J3KQS6_BABAM1.pdf")</f>
        <v>Melting_Curves/meltCurve_J3KQS6_BABAM1.pdf</v>
      </c>
    </row>
    <row r="1190" spans="1:28" x14ac:dyDescent="0.25">
      <c r="A1190" t="s">
        <v>1194</v>
      </c>
      <c r="B1190">
        <v>0.99999676499088797</v>
      </c>
      <c r="C1190">
        <v>1.19847927239139</v>
      </c>
      <c r="D1190">
        <v>1.03352964665793</v>
      </c>
      <c r="E1190">
        <v>0.71536395848574796</v>
      </c>
      <c r="F1190">
        <v>0.63524224068643198</v>
      </c>
      <c r="G1190">
        <v>0.38719654602314602</v>
      </c>
      <c r="H1190">
        <v>0.21097138531625001</v>
      </c>
      <c r="I1190">
        <v>0.17769937229060201</v>
      </c>
      <c r="J1190">
        <v>0.11064913823733701</v>
      </c>
      <c r="K1190">
        <v>0.14479192546835901</v>
      </c>
      <c r="L1190">
        <v>907.74099790602997</v>
      </c>
      <c r="M1190">
        <v>16.8605326953538</v>
      </c>
      <c r="N1190">
        <v>54.642951271088101</v>
      </c>
      <c r="O1190">
        <v>53.097969656518003</v>
      </c>
      <c r="P1190">
        <v>-7.0661091853935307E-2</v>
      </c>
      <c r="Q1190">
        <v>0.109940086990141</v>
      </c>
      <c r="R1190">
        <v>0.95622085339600604</v>
      </c>
      <c r="S1190" t="s">
        <v>8193</v>
      </c>
      <c r="T1190" t="s">
        <v>14004</v>
      </c>
      <c r="U1190" t="s">
        <v>14004</v>
      </c>
      <c r="V1190" t="s">
        <v>14004</v>
      </c>
      <c r="W1190" t="s">
        <v>15168</v>
      </c>
      <c r="X1190">
        <v>2</v>
      </c>
      <c r="Y1190" t="s">
        <v>22100</v>
      </c>
      <c r="Z1190" t="s">
        <v>28900</v>
      </c>
      <c r="AA1190">
        <v>0.53624077252390834</v>
      </c>
      <c r="AB1190" t="str">
        <f>HYPERLINK("Melting_Curves/meltCurve_J3KR15_NAPEPLD.pdf", "Melting_Curves/meltCurve_J3KR15_NAPEPLD.pdf")</f>
        <v>Melting_Curves/meltCurve_J3KR15_NAPEPLD.pdf</v>
      </c>
    </row>
    <row r="1191" spans="1:28" x14ac:dyDescent="0.25">
      <c r="A1191" t="s">
        <v>1195</v>
      </c>
      <c r="B1191">
        <v>0.99999676499088797</v>
      </c>
      <c r="C1191">
        <v>0.88917797015039901</v>
      </c>
      <c r="D1191">
        <v>1.0280831862116799</v>
      </c>
      <c r="E1191">
        <v>0.82239265621103497</v>
      </c>
      <c r="F1191">
        <v>0.45802507691364902</v>
      </c>
      <c r="G1191">
        <v>0.38888970982265397</v>
      </c>
      <c r="H1191">
        <v>0.320041373871636</v>
      </c>
      <c r="I1191">
        <v>0.36995487531423299</v>
      </c>
      <c r="J1191">
        <v>0.29759453001379599</v>
      </c>
      <c r="K1191">
        <v>0.46175280831448301</v>
      </c>
      <c r="L1191">
        <v>2038.7979336917001</v>
      </c>
      <c r="M1191">
        <v>40.1249707530949</v>
      </c>
      <c r="N1191">
        <v>52.533629652986797</v>
      </c>
      <c r="O1191">
        <v>50.685496754282603</v>
      </c>
      <c r="P1191">
        <v>-0.12550760281776299</v>
      </c>
      <c r="Q1191">
        <v>0.36584123956784198</v>
      </c>
      <c r="R1191">
        <v>0.96183540434885895</v>
      </c>
      <c r="S1191" t="s">
        <v>8194</v>
      </c>
      <c r="T1191" t="s">
        <v>14004</v>
      </c>
      <c r="U1191" t="s">
        <v>14004</v>
      </c>
      <c r="V1191" t="s">
        <v>14004</v>
      </c>
      <c r="W1191" t="s">
        <v>15169</v>
      </c>
      <c r="X1191">
        <v>1</v>
      </c>
      <c r="Y1191" t="s">
        <v>22101</v>
      </c>
      <c r="Z1191" t="s">
        <v>28901</v>
      </c>
      <c r="AA1191">
        <v>0.59658851895651055</v>
      </c>
      <c r="AB1191" t="str">
        <f>HYPERLINK("Melting_Curves/meltCurve_J3KR33_MED19.pdf", "Melting_Curves/meltCurve_J3KR33_MED19.pdf")</f>
        <v>Melting_Curves/meltCurve_J3KR33_MED19.pdf</v>
      </c>
    </row>
    <row r="1192" spans="1:28" x14ac:dyDescent="0.25">
      <c r="A1192" t="s">
        <v>1196</v>
      </c>
      <c r="B1192">
        <v>0.99999676499088797</v>
      </c>
      <c r="C1192">
        <v>0.869783856446257</v>
      </c>
      <c r="D1192">
        <v>0.826677610163709</v>
      </c>
      <c r="E1192">
        <v>0.82369213940548103</v>
      </c>
      <c r="F1192">
        <v>1.01359443987289</v>
      </c>
      <c r="G1192">
        <v>0.99190597988245599</v>
      </c>
      <c r="H1192">
        <v>0.69232491913112404</v>
      </c>
      <c r="I1192">
        <v>0.72626959999961405</v>
      </c>
      <c r="J1192">
        <v>0.68861305303653797</v>
      </c>
      <c r="K1192">
        <v>0.86956356322773198</v>
      </c>
      <c r="L1192">
        <v>149.38332611154701</v>
      </c>
      <c r="M1192">
        <v>0.97723780060808096</v>
      </c>
      <c r="O1192">
        <v>53.640448347692399</v>
      </c>
      <c r="P1192">
        <v>-6.2852950034278003E-3</v>
      </c>
      <c r="Q1192">
        <v>0</v>
      </c>
      <c r="R1192">
        <v>0.25679886086649401</v>
      </c>
      <c r="S1192" t="s">
        <v>8195</v>
      </c>
      <c r="T1192" t="s">
        <v>14004</v>
      </c>
      <c r="U1192" t="s">
        <v>14004</v>
      </c>
      <c r="V1192" t="s">
        <v>14004</v>
      </c>
      <c r="W1192" t="s">
        <v>15170</v>
      </c>
      <c r="X1192">
        <v>13</v>
      </c>
      <c r="Y1192" t="s">
        <v>22102</v>
      </c>
      <c r="Z1192" t="s">
        <v>28902</v>
      </c>
      <c r="AA1192">
        <v>0.85069847466131299</v>
      </c>
      <c r="AB1192" t="str">
        <f>HYPERLINK("Melting_Curves/meltCurve_J3KR35_CCDC12.pdf", "Melting_Curves/meltCurve_J3KR35_CCDC12.pdf")</f>
        <v>Melting_Curves/meltCurve_J3KR35_CCDC12.pdf</v>
      </c>
    </row>
    <row r="1193" spans="1:28" x14ac:dyDescent="0.25">
      <c r="A1193" t="s">
        <v>1197</v>
      </c>
      <c r="B1193">
        <v>0.99999676499088797</v>
      </c>
      <c r="C1193">
        <v>0.91750421375514601</v>
      </c>
      <c r="D1193">
        <v>0.75149216469643498</v>
      </c>
      <c r="E1193">
        <v>0.26378176025796102</v>
      </c>
      <c r="F1193">
        <v>0.223783212762106</v>
      </c>
      <c r="G1193">
        <v>0.15218991552741301</v>
      </c>
      <c r="H1193">
        <v>7.5838342983659504E-2</v>
      </c>
      <c r="I1193">
        <v>7.3709448201202801E-2</v>
      </c>
      <c r="J1193">
        <v>7.4303115945152806E-2</v>
      </c>
      <c r="K1193">
        <v>4.9390529119034902E-2</v>
      </c>
      <c r="L1193">
        <v>1169.95659059322</v>
      </c>
      <c r="M1193">
        <v>24.636725680385101</v>
      </c>
      <c r="N1193">
        <v>47.862156852285402</v>
      </c>
      <c r="O1193">
        <v>47.178751167047899</v>
      </c>
      <c r="P1193">
        <v>-0.11912489563596999</v>
      </c>
      <c r="Q1193">
        <v>8.7527412548885797E-2</v>
      </c>
      <c r="R1193">
        <v>0.98778109093516797</v>
      </c>
      <c r="S1193" t="s">
        <v>8196</v>
      </c>
      <c r="T1193" t="s">
        <v>14004</v>
      </c>
      <c r="U1193" t="s">
        <v>14004</v>
      </c>
      <c r="V1193" t="s">
        <v>14004</v>
      </c>
      <c r="W1193" t="s">
        <v>15171</v>
      </c>
      <c r="X1193">
        <v>10</v>
      </c>
      <c r="Y1193" t="s">
        <v>22103</v>
      </c>
      <c r="Z1193" t="s">
        <v>28903</v>
      </c>
      <c r="AA1193">
        <v>0.32363979065610621</v>
      </c>
      <c r="AB1193" t="str">
        <f>HYPERLINK("Melting_Curves/meltCurve_J3KR72_TAF6.pdf", "Melting_Curves/meltCurve_J3KR72_TAF6.pdf")</f>
        <v>Melting_Curves/meltCurve_J3KR72_TAF6.pdf</v>
      </c>
    </row>
    <row r="1194" spans="1:28" x14ac:dyDescent="0.25">
      <c r="A1194" t="s">
        <v>1198</v>
      </c>
      <c r="B1194">
        <v>0.99999676499088797</v>
      </c>
      <c r="C1194">
        <v>1.03752991499988</v>
      </c>
      <c r="D1194">
        <v>0.99826574731683104</v>
      </c>
      <c r="E1194">
        <v>0.64646049685383</v>
      </c>
      <c r="F1194">
        <v>0.21743015569680799</v>
      </c>
      <c r="G1194">
        <v>0.13957563421244901</v>
      </c>
      <c r="H1194">
        <v>6.4194014949262204E-2</v>
      </c>
      <c r="I1194">
        <v>6.8717534556083607E-2</v>
      </c>
      <c r="J1194">
        <v>5.56998839501908E-2</v>
      </c>
      <c r="K1194">
        <v>4.9206110635864199E-2</v>
      </c>
      <c r="L1194">
        <v>1620.0100141626599</v>
      </c>
      <c r="M1194">
        <v>32.112948964001902</v>
      </c>
      <c r="N1194">
        <v>50.6803116689834</v>
      </c>
      <c r="O1194">
        <v>50.2528316104599</v>
      </c>
      <c r="P1194">
        <v>-0.14879128125305099</v>
      </c>
      <c r="Q1194">
        <v>6.8644113196434903E-2</v>
      </c>
      <c r="R1194">
        <v>0.99654361897673105</v>
      </c>
      <c r="S1194" t="s">
        <v>8197</v>
      </c>
      <c r="T1194" t="s">
        <v>14004</v>
      </c>
      <c r="U1194" t="s">
        <v>14004</v>
      </c>
      <c r="V1194" t="s">
        <v>14004</v>
      </c>
      <c r="W1194" t="s">
        <v>15172</v>
      </c>
      <c r="X1194">
        <v>26</v>
      </c>
      <c r="Y1194" t="s">
        <v>22104</v>
      </c>
      <c r="Z1194" t="s">
        <v>28904</v>
      </c>
      <c r="AA1194">
        <v>0.39804002271993177</v>
      </c>
      <c r="AB1194" t="str">
        <f>HYPERLINK("Melting_Curves/meltCurve_J3KR97_TBCD.pdf", "Melting_Curves/meltCurve_J3KR97_TBCD.pdf")</f>
        <v>Melting_Curves/meltCurve_J3KR97_TBCD.pdf</v>
      </c>
    </row>
    <row r="1195" spans="1:28" x14ac:dyDescent="0.25">
      <c r="A1195" t="s">
        <v>1199</v>
      </c>
      <c r="B1195">
        <v>0.99999676499088797</v>
      </c>
      <c r="C1195">
        <v>1.0260322184572701</v>
      </c>
      <c r="D1195">
        <v>0.91944978058608895</v>
      </c>
      <c r="E1195">
        <v>0.73014489700225504</v>
      </c>
      <c r="F1195">
        <v>0.46381472505070998</v>
      </c>
      <c r="G1195">
        <v>0.46134035917106198</v>
      </c>
      <c r="H1195">
        <v>0.25562049915428198</v>
      </c>
      <c r="I1195">
        <v>0.27038797369171602</v>
      </c>
      <c r="J1195">
        <v>0.26478300177831898</v>
      </c>
      <c r="K1195">
        <v>0.30382645399404001</v>
      </c>
      <c r="L1195">
        <v>948.978072370826</v>
      </c>
      <c r="M1195">
        <v>18.587779812399098</v>
      </c>
      <c r="N1195">
        <v>53.299899705388803</v>
      </c>
      <c r="O1195">
        <v>50.473963488142601</v>
      </c>
      <c r="P1195">
        <v>-6.7068786075421702E-2</v>
      </c>
      <c r="Q1195">
        <v>0.27154714909500699</v>
      </c>
      <c r="R1195">
        <v>0.98190785512238099</v>
      </c>
      <c r="S1195" t="s">
        <v>8198</v>
      </c>
      <c r="T1195" t="s">
        <v>14004</v>
      </c>
      <c r="U1195" t="s">
        <v>14004</v>
      </c>
      <c r="V1195" t="s">
        <v>14004</v>
      </c>
      <c r="W1195" t="s">
        <v>15173</v>
      </c>
      <c r="X1195">
        <v>2</v>
      </c>
      <c r="Y1195" t="s">
        <v>22105</v>
      </c>
      <c r="Z1195" t="s">
        <v>28905</v>
      </c>
      <c r="AA1195">
        <v>0.55152779902870686</v>
      </c>
      <c r="AB1195" t="str">
        <f>HYPERLINK("Melting_Curves/meltCurve_J3KRC8_C16orf55.pdf", "Melting_Curves/meltCurve_J3KRC8_C16orf55.pdf")</f>
        <v>Melting_Curves/meltCurve_J3KRC8_C16orf55.pdf</v>
      </c>
    </row>
    <row r="1196" spans="1:28" x14ac:dyDescent="0.25">
      <c r="A1196" t="s">
        <v>1200</v>
      </c>
      <c r="B1196">
        <v>0.99999676499088797</v>
      </c>
      <c r="C1196">
        <v>0.984656446157959</v>
      </c>
      <c r="D1196">
        <v>0.63690071779794899</v>
      </c>
      <c r="E1196">
        <v>1.2280387649548199</v>
      </c>
      <c r="F1196">
        <v>1.3268787459040401</v>
      </c>
      <c r="G1196">
        <v>1.36488066510112</v>
      </c>
      <c r="H1196">
        <v>1.50296116758369</v>
      </c>
      <c r="I1196">
        <v>2.1705254545982302</v>
      </c>
      <c r="J1196">
        <v>1.7575890767256099</v>
      </c>
      <c r="K1196">
        <v>4.4809089984296797</v>
      </c>
      <c r="L1196">
        <v>1630.02111415082</v>
      </c>
      <c r="M1196">
        <v>31.695045634685101</v>
      </c>
      <c r="O1196">
        <v>51.224834671520298</v>
      </c>
      <c r="P1196">
        <v>7.7343371905232702E-2</v>
      </c>
      <c r="Q1196">
        <v>1.5</v>
      </c>
      <c r="R1196">
        <v>9.4798491645970706E-2</v>
      </c>
      <c r="S1196" t="s">
        <v>8199</v>
      </c>
      <c r="T1196" t="s">
        <v>14004</v>
      </c>
      <c r="U1196" t="s">
        <v>14004</v>
      </c>
      <c r="V1196" t="s">
        <v>14004</v>
      </c>
      <c r="W1196" t="s">
        <v>15174</v>
      </c>
      <c r="X1196">
        <v>2</v>
      </c>
      <c r="Y1196" t="s">
        <v>22106</v>
      </c>
      <c r="Z1196" t="s">
        <v>28906</v>
      </c>
      <c r="AA1196">
        <v>1.30669250709499</v>
      </c>
      <c r="AB1196" t="str">
        <f>HYPERLINK("Melting_Curves/meltCurve_J3KRP6_SS18.pdf", "Melting_Curves/meltCurve_J3KRP6_SS18.pdf")</f>
        <v>Melting_Curves/meltCurve_J3KRP6_SS18.pdf</v>
      </c>
    </row>
    <row r="1197" spans="1:28" x14ac:dyDescent="0.25">
      <c r="A1197" t="s">
        <v>1201</v>
      </c>
      <c r="B1197">
        <v>0.99999676499088797</v>
      </c>
      <c r="C1197">
        <v>1.0973682529175799</v>
      </c>
      <c r="D1197">
        <v>0.95501416482948298</v>
      </c>
      <c r="E1197">
        <v>0.70328807978049301</v>
      </c>
      <c r="F1197">
        <v>0.47650655757286198</v>
      </c>
      <c r="G1197">
        <v>0.27172537991253398</v>
      </c>
      <c r="H1197">
        <v>0.14680190943725899</v>
      </c>
      <c r="I1197">
        <v>0.148357420606754</v>
      </c>
      <c r="J1197">
        <v>0.163194031935675</v>
      </c>
      <c r="K1197">
        <v>0.14245213179573701</v>
      </c>
      <c r="L1197">
        <v>1050.21642563215</v>
      </c>
      <c r="M1197">
        <v>20.2982773393401</v>
      </c>
      <c r="N1197">
        <v>52.571555354194203</v>
      </c>
      <c r="O1197">
        <v>51.244870913545498</v>
      </c>
      <c r="P1197">
        <v>-8.5419674282491406E-2</v>
      </c>
      <c r="Q1197">
        <v>0.13742713579877699</v>
      </c>
      <c r="R1197">
        <v>0.98822447246386802</v>
      </c>
      <c r="S1197" t="s">
        <v>8200</v>
      </c>
      <c r="T1197" t="s">
        <v>14004</v>
      </c>
      <c r="U1197" t="s">
        <v>14004</v>
      </c>
      <c r="V1197" t="s">
        <v>14004</v>
      </c>
      <c r="W1197" t="s">
        <v>15175</v>
      </c>
      <c r="X1197">
        <v>10</v>
      </c>
      <c r="Y1197" t="s">
        <v>22107</v>
      </c>
      <c r="Z1197" t="s">
        <v>28907</v>
      </c>
      <c r="AA1197">
        <v>0.48658878595692839</v>
      </c>
      <c r="AB1197" t="str">
        <f>HYPERLINK("Melting_Curves/meltCurve_J3KS05_CBX1.pdf", "Melting_Curves/meltCurve_J3KS05_CBX1.pdf")</f>
        <v>Melting_Curves/meltCurve_J3KS05_CBX1.pdf</v>
      </c>
    </row>
    <row r="1198" spans="1:28" x14ac:dyDescent="0.25">
      <c r="A1198" t="s">
        <v>1202</v>
      </c>
      <c r="B1198">
        <v>0.99999676499088797</v>
      </c>
      <c r="C1198">
        <v>0.780582448581008</v>
      </c>
      <c r="D1198">
        <v>0.65051943058106598</v>
      </c>
      <c r="E1198">
        <v>0.53438244511591304</v>
      </c>
      <c r="F1198">
        <v>0.24505215807168301</v>
      </c>
      <c r="G1198">
        <v>0.19159128259063199</v>
      </c>
      <c r="H1198">
        <v>8.25576765798718E-2</v>
      </c>
      <c r="I1198">
        <v>8.0807760173336199E-2</v>
      </c>
      <c r="J1198">
        <v>6.7813344244751494E-2</v>
      </c>
      <c r="K1198">
        <v>6.6252384524190994E-2</v>
      </c>
      <c r="L1198">
        <v>575.69540803037501</v>
      </c>
      <c r="M1198">
        <v>11.813244504829701</v>
      </c>
      <c r="N1198">
        <v>48.947733613699199</v>
      </c>
      <c r="O1198">
        <v>47.399472926331903</v>
      </c>
      <c r="P1198">
        <v>-6.0749340883808498E-2</v>
      </c>
      <c r="Q1198">
        <v>2.5246855403117101E-2</v>
      </c>
      <c r="R1198">
        <v>0.98417068773185201</v>
      </c>
      <c r="S1198" t="s">
        <v>8201</v>
      </c>
      <c r="T1198" t="s">
        <v>14004</v>
      </c>
      <c r="U1198" t="s">
        <v>14004</v>
      </c>
      <c r="V1198" t="s">
        <v>14004</v>
      </c>
      <c r="W1198" t="s">
        <v>15176</v>
      </c>
      <c r="X1198">
        <v>6</v>
      </c>
      <c r="Y1198" t="s">
        <v>22108</v>
      </c>
      <c r="Z1198" t="s">
        <v>28908</v>
      </c>
      <c r="AA1198">
        <v>0.34637892327434522</v>
      </c>
      <c r="AB1198" t="str">
        <f>HYPERLINK("Melting_Curves/meltCurve_J3KS15_ICT1.pdf", "Melting_Curves/meltCurve_J3KS15_ICT1.pdf")</f>
        <v>Melting_Curves/meltCurve_J3KS15_ICT1.pdf</v>
      </c>
    </row>
    <row r="1199" spans="1:28" x14ac:dyDescent="0.25">
      <c r="A1199" t="s">
        <v>1203</v>
      </c>
      <c r="B1199">
        <v>0.99999676499088797</v>
      </c>
      <c r="C1199">
        <v>0.76970904226454295</v>
      </c>
      <c r="D1199">
        <v>0.77595641337208598</v>
      </c>
      <c r="E1199">
        <v>0.68911075908428099</v>
      </c>
      <c r="F1199">
        <v>0.583939682889275</v>
      </c>
      <c r="G1199">
        <v>0.44841144476176298</v>
      </c>
      <c r="H1199">
        <v>0.19302992600769001</v>
      </c>
      <c r="I1199">
        <v>9.2311727075868599E-2</v>
      </c>
      <c r="J1199">
        <v>6.9538981023597193E-2</v>
      </c>
      <c r="K1199">
        <v>6.8525112929839996E-2</v>
      </c>
      <c r="L1199">
        <v>513.08648298308503</v>
      </c>
      <c r="M1199">
        <v>9.6146204869289509</v>
      </c>
      <c r="N1199">
        <v>53.365234376280299</v>
      </c>
      <c r="O1199">
        <v>51.209896658728603</v>
      </c>
      <c r="P1199">
        <v>-4.6963840116980897E-2</v>
      </c>
      <c r="Q1199">
        <v>0</v>
      </c>
      <c r="R1199">
        <v>0.95381348346040895</v>
      </c>
      <c r="S1199" t="s">
        <v>8202</v>
      </c>
      <c r="T1199" t="s">
        <v>14004</v>
      </c>
      <c r="U1199" t="s">
        <v>14004</v>
      </c>
      <c r="V1199" t="s">
        <v>14004</v>
      </c>
      <c r="W1199" t="s">
        <v>15177</v>
      </c>
      <c r="X1199">
        <v>3</v>
      </c>
      <c r="Y1199" t="s">
        <v>22109</v>
      </c>
      <c r="Z1199" t="s">
        <v>28909</v>
      </c>
      <c r="AA1199">
        <v>0.47933970952149652</v>
      </c>
      <c r="AB1199" t="str">
        <f>HYPERLINK("Melting_Curves/meltCurve_J3KS81_TMEM199.pdf", "Melting_Curves/meltCurve_J3KS81_TMEM199.pdf")</f>
        <v>Melting_Curves/meltCurve_J3KS81_TMEM199.pdf</v>
      </c>
    </row>
    <row r="1200" spans="1:28" x14ac:dyDescent="0.25">
      <c r="A1200" t="s">
        <v>1204</v>
      </c>
      <c r="B1200">
        <v>0.99999676499088797</v>
      </c>
      <c r="C1200">
        <v>0.92824999209812298</v>
      </c>
      <c r="D1200">
        <v>0.92450793601205405</v>
      </c>
      <c r="E1200">
        <v>0.90340693072648404</v>
      </c>
      <c r="F1200">
        <v>0.31806233026782699</v>
      </c>
      <c r="G1200">
        <v>0.167378247271495</v>
      </c>
      <c r="H1200">
        <v>7.69684826374753E-2</v>
      </c>
      <c r="I1200">
        <v>6.72253614682463E-2</v>
      </c>
      <c r="J1200">
        <v>7.4138493660296401E-2</v>
      </c>
      <c r="K1200">
        <v>6.7866019406197797E-2</v>
      </c>
      <c r="L1200">
        <v>2119.9349327057198</v>
      </c>
      <c r="M1200">
        <v>40.813240188941002</v>
      </c>
      <c r="N1200">
        <v>52.172145891584996</v>
      </c>
      <c r="O1200">
        <v>51.818098546792299</v>
      </c>
      <c r="P1200">
        <v>-0.18070676075387701</v>
      </c>
      <c r="Q1200">
        <v>8.2272056801854399E-2</v>
      </c>
      <c r="R1200">
        <v>0.99094807556199804</v>
      </c>
      <c r="S1200" t="s">
        <v>8203</v>
      </c>
      <c r="T1200" t="s">
        <v>14004</v>
      </c>
      <c r="U1200" t="s">
        <v>14004</v>
      </c>
      <c r="V1200" t="s">
        <v>14004</v>
      </c>
      <c r="W1200" t="s">
        <v>15178</v>
      </c>
      <c r="X1200">
        <v>5</v>
      </c>
      <c r="Y1200" t="s">
        <v>22110</v>
      </c>
      <c r="Z1200" t="s">
        <v>28910</v>
      </c>
      <c r="AA1200">
        <v>0.45076205316710921</v>
      </c>
      <c r="AB1200" t="str">
        <f>HYPERLINK("Melting_Curves/meltCurve_J3KTA1_FBXL20.pdf", "Melting_Curves/meltCurve_J3KTA1_FBXL20.pdf")</f>
        <v>Melting_Curves/meltCurve_J3KTA1_FBXL20.pdf</v>
      </c>
    </row>
    <row r="1201" spans="1:28" x14ac:dyDescent="0.25">
      <c r="A1201" t="s">
        <v>1205</v>
      </c>
      <c r="B1201">
        <v>0.99999676499088797</v>
      </c>
      <c r="C1201">
        <v>0.57973185089298196</v>
      </c>
      <c r="D1201">
        <v>0.432201961209218</v>
      </c>
      <c r="E1201">
        <v>0.55939372025712597</v>
      </c>
      <c r="F1201">
        <v>0.39335279734052297</v>
      </c>
      <c r="G1201">
        <v>0.25805387416667902</v>
      </c>
      <c r="H1201">
        <v>0.21177546185601301</v>
      </c>
      <c r="I1201">
        <v>0.318467250707965</v>
      </c>
      <c r="J1201">
        <v>0.36275135334296099</v>
      </c>
      <c r="K1201">
        <v>0.48757201415294299</v>
      </c>
      <c r="L1201">
        <v>2476.8572894090798</v>
      </c>
      <c r="M1201">
        <v>58.428829984493397</v>
      </c>
      <c r="N1201">
        <v>43.431952915899203</v>
      </c>
      <c r="O1201">
        <v>42.341441005020201</v>
      </c>
      <c r="P1201">
        <v>-0.215013785282262</v>
      </c>
      <c r="Q1201">
        <v>0.37674675714317102</v>
      </c>
      <c r="R1201">
        <v>0.79380613446303105</v>
      </c>
      <c r="S1201" t="s">
        <v>8204</v>
      </c>
      <c r="T1201" t="s">
        <v>14004</v>
      </c>
      <c r="U1201" t="s">
        <v>14004</v>
      </c>
      <c r="V1201" t="s">
        <v>14004</v>
      </c>
      <c r="W1201" t="s">
        <v>15179</v>
      </c>
      <c r="X1201">
        <v>5</v>
      </c>
      <c r="Y1201" t="s">
        <v>22111</v>
      </c>
      <c r="Z1201" t="s">
        <v>28911</v>
      </c>
      <c r="AA1201">
        <v>0.42766214222542048</v>
      </c>
      <c r="AB1201" t="str">
        <f>HYPERLINK("Melting_Curves/meltCurve_J3KTL1_ZNF207.pdf", "Melting_Curves/meltCurve_J3KTL1_ZNF207.pdf")</f>
        <v>Melting_Curves/meltCurve_J3KTL1_ZNF207.pdf</v>
      </c>
    </row>
    <row r="1202" spans="1:28" x14ac:dyDescent="0.25">
      <c r="A1202" t="s">
        <v>1206</v>
      </c>
      <c r="B1202">
        <v>0.99999676499088797</v>
      </c>
      <c r="C1202">
        <v>0.96868039986839505</v>
      </c>
      <c r="D1202">
        <v>0.933496285898605</v>
      </c>
      <c r="E1202">
        <v>0.85512983112271901</v>
      </c>
      <c r="F1202">
        <v>0.765072039097486</v>
      </c>
      <c r="G1202">
        <v>0.660473800272114</v>
      </c>
      <c r="H1202">
        <v>0.56535156385451701</v>
      </c>
      <c r="I1202">
        <v>0.61562591092991603</v>
      </c>
      <c r="J1202">
        <v>0.64505539598302097</v>
      </c>
      <c r="K1202">
        <v>0.86478473308631398</v>
      </c>
      <c r="L1202">
        <v>1107.4354629188699</v>
      </c>
      <c r="M1202">
        <v>22.199926143281299</v>
      </c>
      <c r="O1202">
        <v>49.485161636441802</v>
      </c>
      <c r="P1202">
        <v>-3.7039930537133899E-2</v>
      </c>
      <c r="Q1202">
        <v>0.66974890720199598</v>
      </c>
      <c r="R1202">
        <v>0.74851851515636303</v>
      </c>
      <c r="S1202" t="s">
        <v>8205</v>
      </c>
      <c r="T1202" t="s">
        <v>14004</v>
      </c>
      <c r="U1202" t="s">
        <v>14004</v>
      </c>
      <c r="V1202" t="s">
        <v>14004</v>
      </c>
      <c r="W1202" t="s">
        <v>15180</v>
      </c>
      <c r="X1202">
        <v>28</v>
      </c>
      <c r="Y1202" t="s">
        <v>22112</v>
      </c>
      <c r="Z1202" t="s">
        <v>28912</v>
      </c>
      <c r="AA1202">
        <v>0.78230448620787219</v>
      </c>
      <c r="AB1202" t="str">
        <f>HYPERLINK("Melting_Curves/meltCurve_J3KTL2_SRSF1.pdf", "Melting_Curves/meltCurve_J3KTL2_SRSF1.pdf")</f>
        <v>Melting_Curves/meltCurve_J3KTL2_SRSF1.pdf</v>
      </c>
    </row>
    <row r="1203" spans="1:28" x14ac:dyDescent="0.25">
      <c r="A1203" t="s">
        <v>1207</v>
      </c>
      <c r="B1203">
        <v>0.99999676499088797</v>
      </c>
      <c r="C1203">
        <v>0.89288263416458802</v>
      </c>
      <c r="D1203">
        <v>0.63941409605586197</v>
      </c>
      <c r="E1203">
        <v>0.31555129653851099</v>
      </c>
      <c r="F1203">
        <v>0.22944940286013399</v>
      </c>
      <c r="G1203">
        <v>0.173829425321639</v>
      </c>
      <c r="H1203">
        <v>0.138363558022747</v>
      </c>
      <c r="I1203">
        <v>0.16861835618094501</v>
      </c>
      <c r="J1203">
        <v>0.161569639398431</v>
      </c>
      <c r="K1203">
        <v>0.19492630597754401</v>
      </c>
      <c r="L1203">
        <v>1093.80416228532</v>
      </c>
      <c r="M1203">
        <v>23.519849444273898</v>
      </c>
      <c r="N1203">
        <v>47.323707173583003</v>
      </c>
      <c r="O1203">
        <v>46.173290420509801</v>
      </c>
      <c r="P1203">
        <v>-0.106074501559716</v>
      </c>
      <c r="Q1203">
        <v>0.167048129263342</v>
      </c>
      <c r="R1203">
        <v>0.99719953292008601</v>
      </c>
      <c r="S1203" t="s">
        <v>8206</v>
      </c>
      <c r="T1203" t="s">
        <v>14004</v>
      </c>
      <c r="U1203" t="s">
        <v>14004</v>
      </c>
      <c r="V1203" t="s">
        <v>14004</v>
      </c>
      <c r="W1203" t="s">
        <v>15181</v>
      </c>
      <c r="X1203">
        <v>17</v>
      </c>
      <c r="Y1203" t="s">
        <v>22113</v>
      </c>
      <c r="Z1203" t="s">
        <v>28913</v>
      </c>
      <c r="AA1203">
        <v>0.35632325422400368</v>
      </c>
      <c r="AB1203" t="str">
        <f>HYPERLINK("Melting_Curves/meltCurve_J3QK89_CHERP.pdf", "Melting_Curves/meltCurve_J3QK89_CHERP.pdf")</f>
        <v>Melting_Curves/meltCurve_J3QK89_CHERP.pdf</v>
      </c>
    </row>
    <row r="1204" spans="1:28" x14ac:dyDescent="0.25">
      <c r="A1204" t="s">
        <v>1208</v>
      </c>
      <c r="B1204">
        <v>0.99999676499088797</v>
      </c>
      <c r="C1204">
        <v>1.1336816623055701</v>
      </c>
      <c r="D1204">
        <v>1.25153452527813</v>
      </c>
      <c r="E1204">
        <v>0.98867131514162299</v>
      </c>
      <c r="F1204">
        <v>0.23967684792452401</v>
      </c>
      <c r="G1204">
        <v>0.183081111480451</v>
      </c>
      <c r="H1204">
        <v>0.13507079812790601</v>
      </c>
      <c r="I1204">
        <v>0.20368568015409799</v>
      </c>
      <c r="J1204">
        <v>0.15453357783282001</v>
      </c>
      <c r="K1204">
        <v>8.2445773938878794E-2</v>
      </c>
      <c r="L1204">
        <v>4699.1660141294096</v>
      </c>
      <c r="M1204">
        <v>90.483197091308995</v>
      </c>
      <c r="N1204">
        <v>52.142397454104398</v>
      </c>
      <c r="O1204">
        <v>51.908776909885098</v>
      </c>
      <c r="P1204">
        <v>-0.369695559153424</v>
      </c>
      <c r="Q1204">
        <v>0.15164613448981201</v>
      </c>
      <c r="R1204">
        <v>0.95768238505586201</v>
      </c>
      <c r="S1204" t="s">
        <v>8207</v>
      </c>
      <c r="T1204" t="s">
        <v>14004</v>
      </c>
      <c r="U1204" t="s">
        <v>14004</v>
      </c>
      <c r="V1204" t="s">
        <v>14004</v>
      </c>
      <c r="W1204" t="s">
        <v>15182</v>
      </c>
      <c r="X1204">
        <v>5</v>
      </c>
      <c r="Y1204" t="s">
        <v>22114</v>
      </c>
      <c r="Z1204" t="s">
        <v>28914</v>
      </c>
      <c r="AA1204">
        <v>0.48971607975416492</v>
      </c>
      <c r="AB1204" t="str">
        <f>HYPERLINK("Melting_Curves/meltCurve_J3QL56_SCO1.pdf", "Melting_Curves/meltCurve_J3QL56_SCO1.pdf")</f>
        <v>Melting_Curves/meltCurve_J3QL56_SCO1.pdf</v>
      </c>
    </row>
    <row r="1205" spans="1:28" x14ac:dyDescent="0.25">
      <c r="A1205" t="s">
        <v>1209</v>
      </c>
      <c r="B1205">
        <v>0.99999676499088797</v>
      </c>
      <c r="C1205">
        <v>0.93515688691161603</v>
      </c>
      <c r="D1205">
        <v>0.92177653775004897</v>
      </c>
      <c r="E1205">
        <v>0.66217983075434095</v>
      </c>
      <c r="F1205">
        <v>0.33040409850607899</v>
      </c>
      <c r="G1205">
        <v>0.22770585111614899</v>
      </c>
      <c r="H1205">
        <v>0.107329241213366</v>
      </c>
      <c r="I1205">
        <v>8.1666989547723806E-2</v>
      </c>
      <c r="J1205">
        <v>6.4165530529015094E-2</v>
      </c>
      <c r="K1205">
        <v>3.4359346068210797E-2</v>
      </c>
      <c r="L1205">
        <v>927.16457043206299</v>
      </c>
      <c r="M1205">
        <v>18.1198875308203</v>
      </c>
      <c r="N1205">
        <v>51.477892947026199</v>
      </c>
      <c r="O1205">
        <v>50.5573390513321</v>
      </c>
      <c r="P1205">
        <v>-8.4979882291553996E-2</v>
      </c>
      <c r="Q1205">
        <v>5.16167031840227E-2</v>
      </c>
      <c r="R1205">
        <v>0.99573564860123998</v>
      </c>
      <c r="S1205" t="s">
        <v>8208</v>
      </c>
      <c r="T1205" t="s">
        <v>14004</v>
      </c>
      <c r="U1205" t="s">
        <v>14004</v>
      </c>
      <c r="V1205" t="s">
        <v>14004</v>
      </c>
      <c r="W1205" t="s">
        <v>15183</v>
      </c>
      <c r="X1205">
        <v>7</v>
      </c>
      <c r="Y1205" t="s">
        <v>22115</v>
      </c>
      <c r="Z1205" t="s">
        <v>28915</v>
      </c>
      <c r="AA1205">
        <v>0.4204387425184048</v>
      </c>
      <c r="AB1205" t="str">
        <f>HYPERLINK("Melting_Curves/meltCurve_J3QL71_SCRN2.pdf", "Melting_Curves/meltCurve_J3QL71_SCRN2.pdf")</f>
        <v>Melting_Curves/meltCurve_J3QL71_SCRN2.pdf</v>
      </c>
    </row>
    <row r="1206" spans="1:28" x14ac:dyDescent="0.25">
      <c r="A1206" t="s">
        <v>1210</v>
      </c>
      <c r="B1206">
        <v>0.99999676499088797</v>
      </c>
      <c r="C1206">
        <v>0.89858091919991301</v>
      </c>
      <c r="D1206">
        <v>0.91939872471741602</v>
      </c>
      <c r="E1206">
        <v>0.83059010620586904</v>
      </c>
      <c r="F1206">
        <v>1.1101933889384199</v>
      </c>
      <c r="G1206">
        <v>0.94748541066692804</v>
      </c>
      <c r="H1206">
        <v>0.77513349088185102</v>
      </c>
      <c r="I1206">
        <v>0.53829239048305699</v>
      </c>
      <c r="J1206">
        <v>0.765657770197129</v>
      </c>
      <c r="K1206">
        <v>0.53816267200676704</v>
      </c>
      <c r="L1206">
        <v>15000</v>
      </c>
      <c r="M1206">
        <v>247.04404323683599</v>
      </c>
      <c r="O1206">
        <v>60.7139545771782</v>
      </c>
      <c r="P1206">
        <v>-0.392618827453314</v>
      </c>
      <c r="Q1206">
        <v>0.61403747676054599</v>
      </c>
      <c r="R1206">
        <v>0.69522371960136997</v>
      </c>
      <c r="S1206" t="s">
        <v>8209</v>
      </c>
      <c r="T1206" t="s">
        <v>14004</v>
      </c>
      <c r="U1206" t="s">
        <v>14004</v>
      </c>
      <c r="V1206" t="s">
        <v>14004</v>
      </c>
      <c r="W1206" t="s">
        <v>15184</v>
      </c>
      <c r="X1206">
        <v>2</v>
      </c>
      <c r="Y1206" t="s">
        <v>22116</v>
      </c>
      <c r="Z1206" t="s">
        <v>28916</v>
      </c>
      <c r="AA1206">
        <v>0.8806242605534822</v>
      </c>
      <c r="AB1206" t="str">
        <f>HYPERLINK("Melting_Curves/meltCurve_J3QLC9_HP.pdf", "Melting_Curves/meltCurve_J3QLC9_HP.pdf")</f>
        <v>Melting_Curves/meltCurve_J3QLC9_HP.pdf</v>
      </c>
    </row>
    <row r="1207" spans="1:28" x14ac:dyDescent="0.25">
      <c r="A1207" t="s">
        <v>1211</v>
      </c>
      <c r="B1207">
        <v>0.99999676499088797</v>
      </c>
      <c r="C1207">
        <v>0.97088679212003104</v>
      </c>
      <c r="D1207">
        <v>0.96204556904502803</v>
      </c>
      <c r="E1207">
        <v>0.967073984104316</v>
      </c>
      <c r="F1207">
        <v>0.39708461644370202</v>
      </c>
      <c r="G1207">
        <v>0.27263111601840601</v>
      </c>
      <c r="H1207">
        <v>0.11498594115900999</v>
      </c>
      <c r="I1207">
        <v>0.11349259218615899</v>
      </c>
      <c r="J1207">
        <v>0.128872739214307</v>
      </c>
      <c r="K1207">
        <v>8.0010714203151007E-2</v>
      </c>
      <c r="L1207">
        <v>2179.1004134137802</v>
      </c>
      <c r="M1207">
        <v>41.605264837705803</v>
      </c>
      <c r="N1207">
        <v>52.759012055657998</v>
      </c>
      <c r="O1207">
        <v>52.255031143904702</v>
      </c>
      <c r="P1207">
        <v>-0.17308104919935499</v>
      </c>
      <c r="Q1207">
        <v>0.13046207484383401</v>
      </c>
      <c r="R1207">
        <v>0.98714857762611696</v>
      </c>
      <c r="S1207" t="s">
        <v>8210</v>
      </c>
      <c r="T1207" t="s">
        <v>14004</v>
      </c>
      <c r="U1207" t="s">
        <v>14004</v>
      </c>
      <c r="V1207" t="s">
        <v>14004</v>
      </c>
      <c r="W1207" t="s">
        <v>15185</v>
      </c>
      <c r="X1207">
        <v>3</v>
      </c>
      <c r="Y1207" t="s">
        <v>22117</v>
      </c>
      <c r="Z1207" t="s">
        <v>28917</v>
      </c>
      <c r="AA1207">
        <v>0.49207041080394037</v>
      </c>
      <c r="AB1207" t="str">
        <f>HYPERLINK("Melting_Curves/meltCurve_J3QLM1_STARD3.pdf", "Melting_Curves/meltCurve_J3QLM1_STARD3.pdf")</f>
        <v>Melting_Curves/meltCurve_J3QLM1_STARD3.pdf</v>
      </c>
    </row>
    <row r="1208" spans="1:28" x14ac:dyDescent="0.25">
      <c r="A1208" t="s">
        <v>1212</v>
      </c>
      <c r="B1208">
        <v>0.99999676499088797</v>
      </c>
      <c r="C1208">
        <v>0.90969786524334995</v>
      </c>
      <c r="D1208">
        <v>0.78872157077801297</v>
      </c>
      <c r="E1208">
        <v>0.54650075262988995</v>
      </c>
      <c r="F1208">
        <v>0.193351907267237</v>
      </c>
      <c r="G1208">
        <v>0.15056025176332899</v>
      </c>
      <c r="H1208">
        <v>7.3897230292309796E-2</v>
      </c>
      <c r="I1208">
        <v>8.3451586834480299E-2</v>
      </c>
      <c r="J1208">
        <v>6.9540111710298794E-2</v>
      </c>
      <c r="K1208">
        <v>6.6651073422857199E-2</v>
      </c>
      <c r="L1208">
        <v>920.44514860027095</v>
      </c>
      <c r="M1208">
        <v>18.6850670430746</v>
      </c>
      <c r="N1208">
        <v>49.597215864708602</v>
      </c>
      <c r="O1208">
        <v>48.7071655753927</v>
      </c>
      <c r="P1208">
        <v>-9.0204059044722604E-2</v>
      </c>
      <c r="Q1208">
        <v>5.9484892881085598E-2</v>
      </c>
      <c r="R1208">
        <v>0.994432806041333</v>
      </c>
      <c r="S1208" t="s">
        <v>8211</v>
      </c>
      <c r="T1208" t="s">
        <v>14004</v>
      </c>
      <c r="U1208" t="s">
        <v>14004</v>
      </c>
      <c r="V1208" t="s">
        <v>14004</v>
      </c>
      <c r="W1208" t="s">
        <v>15186</v>
      </c>
      <c r="X1208">
        <v>8</v>
      </c>
      <c r="Y1208" t="s">
        <v>22118</v>
      </c>
      <c r="Z1208" t="s">
        <v>28918</v>
      </c>
      <c r="AA1208">
        <v>0.36488219063679611</v>
      </c>
      <c r="AB1208" t="str">
        <f>HYPERLINK("Melting_Curves/meltCurve_J3QLS3_MRPS7.pdf", "Melting_Curves/meltCurve_J3QLS3_MRPS7.pdf")</f>
        <v>Melting_Curves/meltCurve_J3QLS3_MRPS7.pdf</v>
      </c>
    </row>
    <row r="1209" spans="1:28" x14ac:dyDescent="0.25">
      <c r="A1209" t="s">
        <v>1213</v>
      </c>
      <c r="B1209">
        <v>0.99999676499088797</v>
      </c>
      <c r="C1209">
        <v>0.89245877487897396</v>
      </c>
      <c r="D1209">
        <v>0.73618842675462304</v>
      </c>
      <c r="E1209">
        <v>0.41063762033955498</v>
      </c>
      <c r="F1209">
        <v>0.187470348780959</v>
      </c>
      <c r="G1209">
        <v>0.124281881857017</v>
      </c>
      <c r="H1209">
        <v>6.7310484680935201E-2</v>
      </c>
      <c r="I1209">
        <v>4.98608017028912E-2</v>
      </c>
      <c r="J1209">
        <v>6.3639871008414103E-2</v>
      </c>
      <c r="K1209">
        <v>6.5149690563989296E-2</v>
      </c>
      <c r="L1209">
        <v>891.36137398788901</v>
      </c>
      <c r="M1209">
        <v>18.475076201287202</v>
      </c>
      <c r="N1209">
        <v>48.545655128082601</v>
      </c>
      <c r="O1209">
        <v>47.692096810173702</v>
      </c>
      <c r="P1209">
        <v>-9.1642328264108702E-2</v>
      </c>
      <c r="Q1209">
        <v>5.3769487715813302E-2</v>
      </c>
      <c r="R1209">
        <v>0.998721991321324</v>
      </c>
      <c r="S1209" t="s">
        <v>8212</v>
      </c>
      <c r="T1209" t="s">
        <v>14004</v>
      </c>
      <c r="U1209" t="s">
        <v>14004</v>
      </c>
      <c r="V1209" t="s">
        <v>14004</v>
      </c>
      <c r="W1209" t="s">
        <v>15187</v>
      </c>
      <c r="X1209">
        <v>3</v>
      </c>
      <c r="Y1209" t="s">
        <v>22119</v>
      </c>
      <c r="Z1209" t="s">
        <v>28919</v>
      </c>
      <c r="AA1209">
        <v>0.32967383280988111</v>
      </c>
      <c r="AB1209" t="str">
        <f>HYPERLINK("Melting_Curves/meltCurve_J3QLV8_SNX11.pdf", "Melting_Curves/meltCurve_J3QLV8_SNX11.pdf")</f>
        <v>Melting_Curves/meltCurve_J3QLV8_SNX11.pdf</v>
      </c>
    </row>
    <row r="1210" spans="1:28" x14ac:dyDescent="0.25">
      <c r="A1210" t="s">
        <v>1214</v>
      </c>
      <c r="B1210">
        <v>0.99999676499088797</v>
      </c>
      <c r="C1210">
        <v>0.82249579845270204</v>
      </c>
      <c r="D1210">
        <v>0.76775506080433298</v>
      </c>
      <c r="E1210">
        <v>0.68554859283755498</v>
      </c>
      <c r="F1210">
        <v>0.50802658516338095</v>
      </c>
      <c r="G1210">
        <v>0.319212652458994</v>
      </c>
      <c r="H1210">
        <v>0.21844041832136499</v>
      </c>
      <c r="I1210">
        <v>0.22572859360030501</v>
      </c>
      <c r="J1210">
        <v>0.21939352081639099</v>
      </c>
      <c r="K1210">
        <v>0.30703529253574502</v>
      </c>
      <c r="L1210">
        <v>575.64057975626599</v>
      </c>
      <c r="M1210">
        <v>11.4524681661006</v>
      </c>
      <c r="N1210">
        <v>52.413464347815797</v>
      </c>
      <c r="O1210">
        <v>48.804172914632701</v>
      </c>
      <c r="P1210">
        <v>-4.7683488905972897E-2</v>
      </c>
      <c r="Q1210">
        <v>0.187430596242911</v>
      </c>
      <c r="R1210">
        <v>0.96304902328198405</v>
      </c>
      <c r="S1210" t="s">
        <v>8213</v>
      </c>
      <c r="T1210" t="s">
        <v>14004</v>
      </c>
      <c r="U1210" t="s">
        <v>14004</v>
      </c>
      <c r="V1210" t="s">
        <v>14004</v>
      </c>
      <c r="W1210" t="s">
        <v>15188</v>
      </c>
      <c r="X1210">
        <v>10</v>
      </c>
      <c r="Y1210" t="s">
        <v>22120</v>
      </c>
      <c r="Z1210" t="s">
        <v>28920</v>
      </c>
      <c r="AA1210">
        <v>0.49513287628952452</v>
      </c>
      <c r="AB1210" t="str">
        <f>HYPERLINK("Melting_Curves/meltCurve_J3QQJ0_SAP30BP.pdf", "Melting_Curves/meltCurve_J3QQJ0_SAP30BP.pdf")</f>
        <v>Melting_Curves/meltCurve_J3QQJ0_SAP30BP.pdf</v>
      </c>
    </row>
    <row r="1211" spans="1:28" x14ac:dyDescent="0.25">
      <c r="A1211" t="s">
        <v>1215</v>
      </c>
      <c r="B1211">
        <v>0.99999676499088797</v>
      </c>
      <c r="C1211">
        <v>1.11817537831157</v>
      </c>
      <c r="D1211">
        <v>1.0921380168657699</v>
      </c>
      <c r="E1211">
        <v>0.73304034969283505</v>
      </c>
      <c r="F1211">
        <v>0.312714361238011</v>
      </c>
      <c r="G1211">
        <v>0.19091032128935301</v>
      </c>
      <c r="H1211">
        <v>7.5504789629508198E-2</v>
      </c>
      <c r="I1211">
        <v>0.13739066670485001</v>
      </c>
      <c r="J1211">
        <v>0.14119313093795499</v>
      </c>
      <c r="K1211">
        <v>0.12521803559317901</v>
      </c>
      <c r="L1211">
        <v>1747.3808426978201</v>
      </c>
      <c r="M1211">
        <v>34.255450441725202</v>
      </c>
      <c r="N1211">
        <v>51.458088327933503</v>
      </c>
      <c r="O1211">
        <v>50.837413863330497</v>
      </c>
      <c r="P1211">
        <v>-0.14674514178614401</v>
      </c>
      <c r="Q1211">
        <v>0.12888459206699801</v>
      </c>
      <c r="R1211">
        <v>0.98130642927079703</v>
      </c>
      <c r="S1211" t="s">
        <v>8214</v>
      </c>
      <c r="T1211" t="s">
        <v>14004</v>
      </c>
      <c r="U1211" t="s">
        <v>14004</v>
      </c>
      <c r="V1211" t="s">
        <v>14004</v>
      </c>
      <c r="W1211" t="s">
        <v>15189</v>
      </c>
      <c r="X1211">
        <v>4</v>
      </c>
      <c r="Y1211" t="s">
        <v>22121</v>
      </c>
      <c r="Z1211" t="s">
        <v>28921</v>
      </c>
      <c r="AA1211">
        <v>0.45278952770792741</v>
      </c>
      <c r="AB1211" t="str">
        <f>HYPERLINK("Melting_Curves/meltCurve_J3QQJ5_TRAPPC8.pdf", "Melting_Curves/meltCurve_J3QQJ5_TRAPPC8.pdf")</f>
        <v>Melting_Curves/meltCurve_J3QQJ5_TRAPPC8.pdf</v>
      </c>
    </row>
    <row r="1212" spans="1:28" x14ac:dyDescent="0.25">
      <c r="A1212" t="s">
        <v>1216</v>
      </c>
      <c r="B1212">
        <v>0.99999676499088797</v>
      </c>
      <c r="C1212">
        <v>1.1529839664121999</v>
      </c>
      <c r="D1212">
        <v>0.97365505336205405</v>
      </c>
      <c r="E1212">
        <v>0.53475374823660804</v>
      </c>
      <c r="F1212">
        <v>0.38560767178808802</v>
      </c>
      <c r="G1212">
        <v>0.44562207535991799</v>
      </c>
      <c r="H1212">
        <v>0.27172202812394602</v>
      </c>
      <c r="I1212">
        <v>0.42727059394424899</v>
      </c>
      <c r="J1212">
        <v>0.44847299623951797</v>
      </c>
      <c r="K1212">
        <v>0.24954951003444201</v>
      </c>
      <c r="L1212">
        <v>2685.7861292857601</v>
      </c>
      <c r="M1212">
        <v>55.182897450547202</v>
      </c>
      <c r="N1212">
        <v>49.890474148701003</v>
      </c>
      <c r="O1212">
        <v>48.606810412473301</v>
      </c>
      <c r="P1212">
        <v>-0.17872814088918501</v>
      </c>
      <c r="Q1212">
        <v>0.37028287188436698</v>
      </c>
      <c r="R1212">
        <v>0.93457851350661103</v>
      </c>
      <c r="S1212" t="s">
        <v>8215</v>
      </c>
      <c r="T1212" t="s">
        <v>14004</v>
      </c>
      <c r="U1212" t="s">
        <v>14004</v>
      </c>
      <c r="V1212" t="s">
        <v>14004</v>
      </c>
      <c r="W1212" t="s">
        <v>15190</v>
      </c>
      <c r="X1212">
        <v>6</v>
      </c>
      <c r="Y1212" t="s">
        <v>22122</v>
      </c>
      <c r="Z1212" t="s">
        <v>28922</v>
      </c>
      <c r="AA1212">
        <v>0.55339310952719634</v>
      </c>
      <c r="AB1212" t="str">
        <f>HYPERLINK("Melting_Curves/meltCurve_J3QQK6_MBP.pdf", "Melting_Curves/meltCurve_J3QQK6_MBP.pdf")</f>
        <v>Melting_Curves/meltCurve_J3QQK6_MBP.pdf</v>
      </c>
    </row>
    <row r="1213" spans="1:28" x14ac:dyDescent="0.25">
      <c r="A1213" t="s">
        <v>1217</v>
      </c>
      <c r="B1213">
        <v>0.99999676499088797</v>
      </c>
      <c r="C1213">
        <v>1.09060160248972</v>
      </c>
      <c r="D1213">
        <v>1.0620795025371601</v>
      </c>
      <c r="E1213">
        <v>1.2313126977865301</v>
      </c>
      <c r="F1213">
        <v>0.87593150246226903</v>
      </c>
      <c r="G1213">
        <v>0.63614233451520896</v>
      </c>
      <c r="H1213">
        <v>0.246845434884019</v>
      </c>
      <c r="I1213">
        <v>0.25461935604789998</v>
      </c>
      <c r="J1213">
        <v>0.28096662504451297</v>
      </c>
      <c r="K1213">
        <v>0.33018081960943602</v>
      </c>
      <c r="L1213">
        <v>2352.6066250553399</v>
      </c>
      <c r="M1213">
        <v>41.575001046006101</v>
      </c>
      <c r="N1213">
        <v>57.666510799485302</v>
      </c>
      <c r="O1213">
        <v>56.456599847286803</v>
      </c>
      <c r="P1213">
        <v>-0.13432224612497301</v>
      </c>
      <c r="Q1213">
        <v>0.27039195254137099</v>
      </c>
      <c r="R1213">
        <v>0.94234158950860003</v>
      </c>
      <c r="S1213" t="s">
        <v>8216</v>
      </c>
      <c r="T1213" t="s">
        <v>14004</v>
      </c>
      <c r="U1213" t="s">
        <v>14004</v>
      </c>
      <c r="V1213" t="s">
        <v>14004</v>
      </c>
      <c r="W1213" t="s">
        <v>15191</v>
      </c>
      <c r="X1213">
        <v>8</v>
      </c>
      <c r="Y1213" t="s">
        <v>22123</v>
      </c>
      <c r="Z1213" t="s">
        <v>28923</v>
      </c>
      <c r="AA1213">
        <v>0.67641542857646575</v>
      </c>
      <c r="AB1213" t="str">
        <f>HYPERLINK("Melting_Curves/meltCurve_J3QQT2_RPL17.pdf", "Melting_Curves/meltCurve_J3QQT2_RPL17.pdf")</f>
        <v>Melting_Curves/meltCurve_J3QQT2_RPL17.pdf</v>
      </c>
    </row>
    <row r="1214" spans="1:28" x14ac:dyDescent="0.25">
      <c r="A1214" t="s">
        <v>1218</v>
      </c>
      <c r="B1214">
        <v>0.99999676499088797</v>
      </c>
      <c r="C1214">
        <v>0.93206843120490601</v>
      </c>
      <c r="D1214">
        <v>0.81752524058040399</v>
      </c>
      <c r="E1214">
        <v>0.46161595491186902</v>
      </c>
      <c r="F1214">
        <v>0.22518180040237101</v>
      </c>
      <c r="G1214">
        <v>0.15785777667516901</v>
      </c>
      <c r="H1214">
        <v>7.5201660268802706E-2</v>
      </c>
      <c r="I1214">
        <v>7.2308687904293595E-2</v>
      </c>
      <c r="J1214">
        <v>5.9780406900080803E-2</v>
      </c>
      <c r="K1214">
        <v>4.6441762818346E-2</v>
      </c>
      <c r="L1214">
        <v>951.68639059020097</v>
      </c>
      <c r="M1214">
        <v>19.402234797329399</v>
      </c>
      <c r="N1214">
        <v>49.373704255951303</v>
      </c>
      <c r="O1214">
        <v>48.538203624342302</v>
      </c>
      <c r="P1214">
        <v>-9.3973961968516706E-2</v>
      </c>
      <c r="Q1214">
        <v>5.9663013077893297E-2</v>
      </c>
      <c r="R1214">
        <v>0.99801492253928803</v>
      </c>
      <c r="S1214" t="s">
        <v>8217</v>
      </c>
      <c r="T1214" t="s">
        <v>14004</v>
      </c>
      <c r="U1214" t="s">
        <v>14004</v>
      </c>
      <c r="V1214" t="s">
        <v>14004</v>
      </c>
      <c r="W1214" t="s">
        <v>15192</v>
      </c>
      <c r="X1214">
        <v>16</v>
      </c>
      <c r="Y1214" t="s">
        <v>22124</v>
      </c>
      <c r="Z1214" t="s">
        <v>28924</v>
      </c>
      <c r="AA1214">
        <v>0.35734214681498389</v>
      </c>
      <c r="AB1214" t="str">
        <f>HYPERLINK("Melting_Curves/meltCurve_J3QQX3_FDXR.pdf", "Melting_Curves/meltCurve_J3QQX3_FDXR.pdf")</f>
        <v>Melting_Curves/meltCurve_J3QQX3_FDXR.pdf</v>
      </c>
    </row>
    <row r="1215" spans="1:28" x14ac:dyDescent="0.25">
      <c r="A1215" t="s">
        <v>1219</v>
      </c>
      <c r="B1215">
        <v>0.99999676499088797</v>
      </c>
      <c r="C1215">
        <v>1.0839346108769099</v>
      </c>
      <c r="D1215">
        <v>0.90298134655348505</v>
      </c>
      <c r="E1215">
        <v>0.72348926495215304</v>
      </c>
      <c r="F1215">
        <v>0.53029237402841101</v>
      </c>
      <c r="G1215">
        <v>0.45585751603070801</v>
      </c>
      <c r="H1215">
        <v>0.22653614027900101</v>
      </c>
      <c r="I1215">
        <v>0.29383958685117401</v>
      </c>
      <c r="J1215">
        <v>0.34233075768688798</v>
      </c>
      <c r="K1215">
        <v>0.28076936590200602</v>
      </c>
      <c r="L1215">
        <v>926.06909832777001</v>
      </c>
      <c r="M1215">
        <v>18.0517527440939</v>
      </c>
      <c r="N1215">
        <v>53.759858825365697</v>
      </c>
      <c r="O1215">
        <v>50.683655657418399</v>
      </c>
      <c r="P1215">
        <v>-6.4020206743097205E-2</v>
      </c>
      <c r="Q1215">
        <v>0.28104049054978397</v>
      </c>
      <c r="R1215">
        <v>0.96956715480890898</v>
      </c>
      <c r="S1215" t="s">
        <v>8218</v>
      </c>
      <c r="T1215" t="s">
        <v>14004</v>
      </c>
      <c r="U1215" t="s">
        <v>14004</v>
      </c>
      <c r="V1215" t="s">
        <v>14004</v>
      </c>
      <c r="W1215" t="s">
        <v>15193</v>
      </c>
      <c r="X1215">
        <v>2</v>
      </c>
      <c r="Y1215" t="s">
        <v>22125</v>
      </c>
      <c r="Z1215" t="s">
        <v>28925</v>
      </c>
      <c r="AA1215">
        <v>0.56387716984217973</v>
      </c>
      <c r="AB1215" t="str">
        <f>HYPERLINK("Melting_Curves/meltCurve_J3QQY0_MSL1.pdf", "Melting_Curves/meltCurve_J3QQY0_MSL1.pdf")</f>
        <v>Melting_Curves/meltCurve_J3QQY0_MSL1.pdf</v>
      </c>
    </row>
    <row r="1216" spans="1:28" x14ac:dyDescent="0.25">
      <c r="A1216" t="s">
        <v>1220</v>
      </c>
      <c r="B1216">
        <v>0.99999676499088797</v>
      </c>
      <c r="C1216">
        <v>0.96409857554785505</v>
      </c>
      <c r="D1216">
        <v>0.99942380678853404</v>
      </c>
      <c r="E1216">
        <v>0.84700818724346105</v>
      </c>
      <c r="F1216">
        <v>0.73211282713288595</v>
      </c>
      <c r="G1216">
        <v>0.554260123711108</v>
      </c>
      <c r="H1216">
        <v>0.29931883835240097</v>
      </c>
      <c r="I1216">
        <v>0.27157788672132199</v>
      </c>
      <c r="J1216">
        <v>0.235930886817969</v>
      </c>
      <c r="K1216">
        <v>0.18591130651682999</v>
      </c>
      <c r="L1216">
        <v>820.35108796414397</v>
      </c>
      <c r="M1216">
        <v>14.690436439246399</v>
      </c>
      <c r="N1216">
        <v>57.230962590679802</v>
      </c>
      <c r="O1216">
        <v>54.8383509160698</v>
      </c>
      <c r="P1216">
        <v>-5.6938651839579302E-2</v>
      </c>
      <c r="Q1216">
        <v>0.14990123401422201</v>
      </c>
      <c r="R1216">
        <v>0.99313579833436405</v>
      </c>
      <c r="S1216" t="s">
        <v>8219</v>
      </c>
      <c r="T1216" t="s">
        <v>14004</v>
      </c>
      <c r="U1216" t="s">
        <v>14004</v>
      </c>
      <c r="V1216" t="s">
        <v>14004</v>
      </c>
      <c r="W1216" t="s">
        <v>15194</v>
      </c>
      <c r="X1216">
        <v>2</v>
      </c>
      <c r="Y1216" t="s">
        <v>22126</v>
      </c>
      <c r="Z1216" t="s">
        <v>28926</v>
      </c>
      <c r="AA1216">
        <v>0.61441237313600916</v>
      </c>
      <c r="AB1216" t="str">
        <f>HYPERLINK("Melting_Curves/meltCurve_J3QR01_STRA13.pdf", "Melting_Curves/meltCurve_J3QR01_STRA13.pdf")</f>
        <v>Melting_Curves/meltCurve_J3QR01_STRA13.pdf</v>
      </c>
    </row>
    <row r="1217" spans="1:28" x14ac:dyDescent="0.25">
      <c r="A1217" t="s">
        <v>1221</v>
      </c>
      <c r="B1217">
        <v>0.99999676499088797</v>
      </c>
      <c r="C1217">
        <v>0.96435123685442803</v>
      </c>
      <c r="D1217">
        <v>0.88431192708579098</v>
      </c>
      <c r="E1217">
        <v>0.65546381745957905</v>
      </c>
      <c r="F1217">
        <v>0.38930594799030599</v>
      </c>
      <c r="G1217">
        <v>0.53763809579736299</v>
      </c>
      <c r="H1217">
        <v>0.32033537344255703</v>
      </c>
      <c r="I1217">
        <v>0.34723521175345801</v>
      </c>
      <c r="J1217">
        <v>0.24823196058534699</v>
      </c>
      <c r="K1217">
        <v>0.37240182007957701</v>
      </c>
      <c r="L1217">
        <v>938.33308488082002</v>
      </c>
      <c r="M1217">
        <v>19.004943422804399</v>
      </c>
      <c r="N1217">
        <v>52.419724032654102</v>
      </c>
      <c r="O1217">
        <v>48.836197705683503</v>
      </c>
      <c r="P1217">
        <v>-6.47658800878958E-2</v>
      </c>
      <c r="Q1217">
        <v>0.33432189242616001</v>
      </c>
      <c r="R1217">
        <v>0.94498135936288596</v>
      </c>
      <c r="S1217" t="s">
        <v>8220</v>
      </c>
      <c r="T1217" t="s">
        <v>14004</v>
      </c>
      <c r="U1217" t="s">
        <v>14004</v>
      </c>
      <c r="V1217" t="s">
        <v>14004</v>
      </c>
      <c r="W1217" t="s">
        <v>15195</v>
      </c>
      <c r="X1217">
        <v>4</v>
      </c>
      <c r="Y1217" t="s">
        <v>22127</v>
      </c>
      <c r="Z1217" t="s">
        <v>28927</v>
      </c>
      <c r="AA1217">
        <v>0.55259637679138141</v>
      </c>
      <c r="AB1217" t="str">
        <f>HYPERLINK("Melting_Curves/meltCurve_J3QR07_YTHDC1.pdf", "Melting_Curves/meltCurve_J3QR07_YTHDC1.pdf")</f>
        <v>Melting_Curves/meltCurve_J3QR07_YTHDC1.pdf</v>
      </c>
    </row>
    <row r="1218" spans="1:28" x14ac:dyDescent="0.25">
      <c r="A1218" t="s">
        <v>1222</v>
      </c>
      <c r="B1218">
        <v>0.99999676499088797</v>
      </c>
      <c r="C1218">
        <v>0.97907013315083302</v>
      </c>
      <c r="D1218">
        <v>0.95524092882041001</v>
      </c>
      <c r="E1218">
        <v>0.78794819892219603</v>
      </c>
      <c r="F1218">
        <v>0.54580014832325996</v>
      </c>
      <c r="G1218">
        <v>0.59079791744003296</v>
      </c>
      <c r="H1218">
        <v>0.26256765244136498</v>
      </c>
      <c r="I1218">
        <v>0.20791025927548701</v>
      </c>
      <c r="J1218">
        <v>0.16672728944912801</v>
      </c>
      <c r="K1218">
        <v>0.12656825151448001</v>
      </c>
      <c r="L1218">
        <v>601.33787315293796</v>
      </c>
      <c r="M1218">
        <v>10.7620606282744</v>
      </c>
      <c r="N1218">
        <v>56.107539026940998</v>
      </c>
      <c r="O1218">
        <v>54.050202441975799</v>
      </c>
      <c r="P1218">
        <v>-4.87134839410844E-2</v>
      </c>
      <c r="Q1218">
        <v>2.1745818025107999E-2</v>
      </c>
      <c r="R1218">
        <v>0.97450101051480298</v>
      </c>
      <c r="S1218" t="s">
        <v>8221</v>
      </c>
      <c r="T1218" t="s">
        <v>14004</v>
      </c>
      <c r="U1218" t="s">
        <v>14004</v>
      </c>
      <c r="V1218" t="s">
        <v>14004</v>
      </c>
      <c r="W1218" t="s">
        <v>15196</v>
      </c>
      <c r="X1218">
        <v>8</v>
      </c>
      <c r="Y1218" t="s">
        <v>22128</v>
      </c>
      <c r="Z1218" t="s">
        <v>28928</v>
      </c>
      <c r="AA1218">
        <v>0.56048281343246165</v>
      </c>
      <c r="AB1218" t="str">
        <f>HYPERLINK("Melting_Curves/meltCurve_J3QR09_RPL19.pdf", "Melting_Curves/meltCurve_J3QR09_RPL19.pdf")</f>
        <v>Melting_Curves/meltCurve_J3QR09_RPL19.pdf</v>
      </c>
    </row>
    <row r="1219" spans="1:28" x14ac:dyDescent="0.25">
      <c r="A1219" t="s">
        <v>1223</v>
      </c>
      <c r="B1219">
        <v>0.99999676499088797</v>
      </c>
      <c r="C1219">
        <v>0.96986885206285101</v>
      </c>
      <c r="D1219">
        <v>0.93908374849801302</v>
      </c>
      <c r="E1219">
        <v>0.92481295473488601</v>
      </c>
      <c r="F1219">
        <v>0.84187012480734302</v>
      </c>
      <c r="G1219">
        <v>0.66488972463163498</v>
      </c>
      <c r="H1219">
        <v>0.50323821621865805</v>
      </c>
      <c r="I1219">
        <v>0.44893979569221099</v>
      </c>
      <c r="J1219">
        <v>0.38847316703394402</v>
      </c>
      <c r="K1219">
        <v>0.47322443079396298</v>
      </c>
      <c r="L1219">
        <v>996.69026706193904</v>
      </c>
      <c r="M1219">
        <v>17.861583216430901</v>
      </c>
      <c r="N1219">
        <v>61.475164876367899</v>
      </c>
      <c r="O1219">
        <v>55.115449450710699</v>
      </c>
      <c r="P1219">
        <v>-4.8301977815517101E-2</v>
      </c>
      <c r="Q1219">
        <v>0.40384919645688899</v>
      </c>
      <c r="R1219">
        <v>0.98372973356815396</v>
      </c>
      <c r="S1219" t="s">
        <v>8222</v>
      </c>
      <c r="T1219" t="s">
        <v>14004</v>
      </c>
      <c r="U1219" t="s">
        <v>14004</v>
      </c>
      <c r="V1219" t="s">
        <v>14004</v>
      </c>
      <c r="W1219" t="s">
        <v>15197</v>
      </c>
      <c r="X1219">
        <v>3</v>
      </c>
      <c r="Y1219" t="s">
        <v>22129</v>
      </c>
      <c r="Z1219" t="s">
        <v>28929</v>
      </c>
      <c r="AA1219">
        <v>0.72680247978908241</v>
      </c>
      <c r="AB1219" t="str">
        <f>HYPERLINK("Melting_Curves/meltCurve_J3QR77_CD226.pdf", "Melting_Curves/meltCurve_J3QR77_CD226.pdf")</f>
        <v>Melting_Curves/meltCurve_J3QR77_CD226.pdf</v>
      </c>
    </row>
    <row r="1220" spans="1:28" x14ac:dyDescent="0.25">
      <c r="A1220" t="s">
        <v>1224</v>
      </c>
      <c r="B1220">
        <v>0.99999676499088797</v>
      </c>
      <c r="C1220">
        <v>0.92053995569969604</v>
      </c>
      <c r="D1220">
        <v>0.69667641341560804</v>
      </c>
      <c r="E1220">
        <v>0.49401524641731198</v>
      </c>
      <c r="F1220">
        <v>0.31925997222411201</v>
      </c>
      <c r="G1220">
        <v>0.17286354753595601</v>
      </c>
      <c r="H1220">
        <v>9.5937118554416695E-2</v>
      </c>
      <c r="I1220">
        <v>7.2974861941654298E-2</v>
      </c>
      <c r="J1220">
        <v>6.1765747526545497E-2</v>
      </c>
      <c r="K1220">
        <v>5.5788677966451101E-2</v>
      </c>
      <c r="L1220">
        <v>677.49609671459405</v>
      </c>
      <c r="M1220">
        <v>13.7497494899713</v>
      </c>
      <c r="N1220">
        <v>49.560263323165998</v>
      </c>
      <c r="O1220">
        <v>48.266156770759203</v>
      </c>
      <c r="P1220">
        <v>-6.8503415645679702E-2</v>
      </c>
      <c r="Q1220">
        <v>3.8258202695398598E-2</v>
      </c>
      <c r="R1220">
        <v>0.99606260170880201</v>
      </c>
      <c r="S1220" t="s">
        <v>8223</v>
      </c>
      <c r="T1220" t="s">
        <v>14004</v>
      </c>
      <c r="U1220" t="s">
        <v>14004</v>
      </c>
      <c r="V1220" t="s">
        <v>14004</v>
      </c>
      <c r="W1220" t="s">
        <v>15198</v>
      </c>
      <c r="X1220">
        <v>7</v>
      </c>
      <c r="Y1220" t="s">
        <v>22130</v>
      </c>
      <c r="Z1220" t="s">
        <v>28930</v>
      </c>
      <c r="AA1220">
        <v>0.36306923436556687</v>
      </c>
      <c r="AB1220" t="str">
        <f>HYPERLINK("Melting_Curves/meltCurve_J3QRD1_ALDH3A2.pdf", "Melting_Curves/meltCurve_J3QRD1_ALDH3A2.pdf")</f>
        <v>Melting_Curves/meltCurve_J3QRD1_ALDH3A2.pdf</v>
      </c>
    </row>
    <row r="1221" spans="1:28" x14ac:dyDescent="0.25">
      <c r="A1221" t="s">
        <v>1225</v>
      </c>
      <c r="B1221">
        <v>0.99999676499088797</v>
      </c>
      <c r="C1221">
        <v>1.02570765318136</v>
      </c>
      <c r="D1221">
        <v>1.1130355935173</v>
      </c>
      <c r="E1221">
        <v>1.15448432010238</v>
      </c>
      <c r="F1221">
        <v>0.66710493617541</v>
      </c>
      <c r="G1221">
        <v>0.381474777058812</v>
      </c>
      <c r="H1221">
        <v>0.242656269510659</v>
      </c>
      <c r="I1221">
        <v>0.18109946446335701</v>
      </c>
      <c r="J1221">
        <v>0.17775087483134899</v>
      </c>
      <c r="K1221">
        <v>0.152760921841364</v>
      </c>
      <c r="L1221">
        <v>1856.8759321755999</v>
      </c>
      <c r="M1221">
        <v>34.190485538338599</v>
      </c>
      <c r="N1221">
        <v>55.066283331615203</v>
      </c>
      <c r="O1221">
        <v>54.124947050100097</v>
      </c>
      <c r="P1221">
        <v>-0.12832616997435201</v>
      </c>
      <c r="Q1221">
        <v>0.187420723272234</v>
      </c>
      <c r="R1221">
        <v>0.96529293017011397</v>
      </c>
      <c r="S1221" t="s">
        <v>8224</v>
      </c>
      <c r="T1221" t="s">
        <v>14004</v>
      </c>
      <c r="U1221" t="s">
        <v>14004</v>
      </c>
      <c r="V1221" t="s">
        <v>14004</v>
      </c>
      <c r="W1221" t="s">
        <v>15199</v>
      </c>
      <c r="X1221">
        <v>2</v>
      </c>
      <c r="Y1221" t="s">
        <v>22131</v>
      </c>
      <c r="Z1221" t="s">
        <v>28931</v>
      </c>
      <c r="AA1221">
        <v>0.57916753624014849</v>
      </c>
      <c r="AB1221" t="str">
        <f>HYPERLINK("Melting_Curves/meltCurve_J3QRM9_ORMDL3.pdf", "Melting_Curves/meltCurve_J3QRM9_ORMDL3.pdf")</f>
        <v>Melting_Curves/meltCurve_J3QRM9_ORMDL3.pdf</v>
      </c>
    </row>
    <row r="1222" spans="1:28" x14ac:dyDescent="0.25">
      <c r="A1222" t="s">
        <v>1226</v>
      </c>
      <c r="B1222">
        <v>0.99999676499088797</v>
      </c>
      <c r="C1222">
        <v>0.95710019981532501</v>
      </c>
      <c r="D1222">
        <v>0.94418558437467603</v>
      </c>
      <c r="E1222">
        <v>0.64454415971010603</v>
      </c>
      <c r="F1222">
        <v>0.43814864674280701</v>
      </c>
      <c r="G1222">
        <v>0.21083779178426701</v>
      </c>
      <c r="H1222">
        <v>0.12998445618657301</v>
      </c>
      <c r="I1222">
        <v>0.133923528407</v>
      </c>
      <c r="J1222">
        <v>0.15690549718830299</v>
      </c>
      <c r="K1222">
        <v>0.19818875285079099</v>
      </c>
      <c r="L1222">
        <v>1046.6068055507901</v>
      </c>
      <c r="M1222">
        <v>20.575832721848499</v>
      </c>
      <c r="N1222">
        <v>51.715367436741197</v>
      </c>
      <c r="O1222">
        <v>50.392679088376497</v>
      </c>
      <c r="P1222">
        <v>-8.7442075668597602E-2</v>
      </c>
      <c r="Q1222">
        <v>0.14340049218090101</v>
      </c>
      <c r="R1222">
        <v>0.99136667636720399</v>
      </c>
      <c r="S1222" t="s">
        <v>8225</v>
      </c>
      <c r="T1222" t="s">
        <v>14004</v>
      </c>
      <c r="U1222" t="s">
        <v>14004</v>
      </c>
      <c r="V1222" t="s">
        <v>14004</v>
      </c>
      <c r="W1222" t="s">
        <v>15200</v>
      </c>
      <c r="X1222">
        <v>13</v>
      </c>
      <c r="Y1222" t="s">
        <v>22132</v>
      </c>
      <c r="Z1222" t="s">
        <v>28932</v>
      </c>
      <c r="AA1222">
        <v>0.46492949043714632</v>
      </c>
      <c r="AB1222" t="str">
        <f>HYPERLINK("Melting_Curves/meltCurve_J3QRS3_MYL12A.pdf", "Melting_Curves/meltCurve_J3QRS3_MYL12A.pdf")</f>
        <v>Melting_Curves/meltCurve_J3QRS3_MYL12A.pdf</v>
      </c>
    </row>
    <row r="1223" spans="1:28" x14ac:dyDescent="0.25">
      <c r="A1223" t="s">
        <v>1227</v>
      </c>
      <c r="B1223">
        <v>0.99999676499088797</v>
      </c>
      <c r="C1223">
        <v>0.93009684605938203</v>
      </c>
      <c r="D1223">
        <v>0.91885914360066501</v>
      </c>
      <c r="E1223">
        <v>0.92042561632651798</v>
      </c>
      <c r="F1223">
        <v>0.83163046370109195</v>
      </c>
      <c r="G1223">
        <v>0.70074156133332999</v>
      </c>
      <c r="H1223">
        <v>0.32210362536993697</v>
      </c>
      <c r="I1223">
        <v>0.227030452257481</v>
      </c>
      <c r="J1223">
        <v>0.212943850409374</v>
      </c>
      <c r="K1223">
        <v>0.17750832449684301</v>
      </c>
      <c r="L1223">
        <v>1106.37630925897</v>
      </c>
      <c r="M1223">
        <v>19.175726138508999</v>
      </c>
      <c r="N1223">
        <v>58.665764632091701</v>
      </c>
      <c r="O1223">
        <v>57.080221790847503</v>
      </c>
      <c r="P1223">
        <v>-7.2588137472076403E-2</v>
      </c>
      <c r="Q1223">
        <v>0.13574324959350101</v>
      </c>
      <c r="R1223">
        <v>0.98041039683207898</v>
      </c>
      <c r="S1223" t="s">
        <v>8226</v>
      </c>
      <c r="T1223" t="s">
        <v>14004</v>
      </c>
      <c r="U1223" t="s">
        <v>14004</v>
      </c>
      <c r="V1223" t="s">
        <v>14004</v>
      </c>
      <c r="W1223" t="s">
        <v>15201</v>
      </c>
      <c r="X1223">
        <v>11</v>
      </c>
      <c r="Y1223" t="s">
        <v>22111</v>
      </c>
      <c r="Z1223" t="s">
        <v>28933</v>
      </c>
      <c r="AA1223">
        <v>0.65604655617340135</v>
      </c>
      <c r="AB1223" t="str">
        <f>HYPERLINK("Melting_Curves/meltCurve_J3QRS9_ZNF207.pdf", "Melting_Curves/meltCurve_J3QRS9_ZNF207.pdf")</f>
        <v>Melting_Curves/meltCurve_J3QRS9_ZNF207.pdf</v>
      </c>
    </row>
    <row r="1224" spans="1:28" x14ac:dyDescent="0.25">
      <c r="A1224" t="s">
        <v>1228</v>
      </c>
      <c r="B1224">
        <v>0.99999676499088797</v>
      </c>
      <c r="C1224">
        <v>0.94733844987877103</v>
      </c>
      <c r="D1224">
        <v>0.98459684064575004</v>
      </c>
      <c r="E1224">
        <v>1.0477519866929399</v>
      </c>
      <c r="F1224">
        <v>1.1617414644461499</v>
      </c>
      <c r="G1224">
        <v>0.80239229376099996</v>
      </c>
      <c r="H1224">
        <v>0.60893444448719003</v>
      </c>
      <c r="I1224">
        <v>0.50065905990054504</v>
      </c>
      <c r="J1224">
        <v>0.42610872213480699</v>
      </c>
      <c r="K1224">
        <v>0.69047432697269895</v>
      </c>
      <c r="L1224">
        <v>14212.406866683399</v>
      </c>
      <c r="M1224">
        <v>250</v>
      </c>
      <c r="O1224">
        <v>56.845986222173401</v>
      </c>
      <c r="P1224">
        <v>-0.48756284346580497</v>
      </c>
      <c r="Q1224">
        <v>0.55654412426544697</v>
      </c>
      <c r="R1224">
        <v>0.87164359968239602</v>
      </c>
      <c r="S1224" t="s">
        <v>8227</v>
      </c>
      <c r="T1224" t="s">
        <v>14004</v>
      </c>
      <c r="U1224" t="s">
        <v>14004</v>
      </c>
      <c r="V1224" t="s">
        <v>14004</v>
      </c>
      <c r="W1224" t="s">
        <v>15202</v>
      </c>
      <c r="X1224">
        <v>6</v>
      </c>
      <c r="Y1224" t="s">
        <v>22133</v>
      </c>
      <c r="Z1224" t="s">
        <v>28934</v>
      </c>
      <c r="AA1224">
        <v>0.80565724475397227</v>
      </c>
      <c r="AB1224" t="str">
        <f>HYPERLINK("Melting_Curves/meltCurve_J3QRU4_VAMP2.pdf", "Melting_Curves/meltCurve_J3QRU4_VAMP2.pdf")</f>
        <v>Melting_Curves/meltCurve_J3QRU4_VAMP2.pdf</v>
      </c>
    </row>
    <row r="1225" spans="1:28" x14ac:dyDescent="0.25">
      <c r="A1225" t="s">
        <v>1229</v>
      </c>
      <c r="B1225">
        <v>0.99999676499088797</v>
      </c>
      <c r="C1225">
        <v>0.86348353959659896</v>
      </c>
      <c r="D1225">
        <v>0.66265518597530004</v>
      </c>
      <c r="E1225">
        <v>0.43699283699645203</v>
      </c>
      <c r="F1225">
        <v>0.19679836865004499</v>
      </c>
      <c r="G1225">
        <v>0.179077892834729</v>
      </c>
      <c r="H1225">
        <v>0.15513815620069499</v>
      </c>
      <c r="I1225">
        <v>0.29634314881026302</v>
      </c>
      <c r="J1225">
        <v>0.47150066187523298</v>
      </c>
      <c r="K1225">
        <v>0.405996988334063</v>
      </c>
      <c r="L1225">
        <v>1157.7755926719401</v>
      </c>
      <c r="M1225">
        <v>25.133447267661801</v>
      </c>
      <c r="N1225">
        <v>47.6811492801817</v>
      </c>
      <c r="O1225">
        <v>45.7764801607035</v>
      </c>
      <c r="P1225">
        <v>-9.7912531399146394E-2</v>
      </c>
      <c r="Q1225">
        <v>0.28668248503619498</v>
      </c>
      <c r="R1225">
        <v>0.87442889969061799</v>
      </c>
      <c r="S1225" t="s">
        <v>8228</v>
      </c>
      <c r="T1225" t="s">
        <v>14004</v>
      </c>
      <c r="U1225" t="s">
        <v>14004</v>
      </c>
      <c r="V1225" t="s">
        <v>14004</v>
      </c>
      <c r="W1225" t="s">
        <v>15203</v>
      </c>
      <c r="X1225">
        <v>5</v>
      </c>
      <c r="Y1225" t="s">
        <v>22134</v>
      </c>
      <c r="Z1225" t="s">
        <v>28935</v>
      </c>
      <c r="AA1225">
        <v>0.43738296945423411</v>
      </c>
      <c r="AB1225" t="str">
        <f>HYPERLINK("Melting_Curves/meltCurve_J3QSH4_VEZF1.pdf", "Melting_Curves/meltCurve_J3QSH4_VEZF1.pdf")</f>
        <v>Melting_Curves/meltCurve_J3QSH4_VEZF1.pdf</v>
      </c>
    </row>
    <row r="1226" spans="1:28" x14ac:dyDescent="0.25">
      <c r="A1226" t="s">
        <v>1230</v>
      </c>
      <c r="B1226">
        <v>0.99999676499088797</v>
      </c>
      <c r="C1226">
        <v>1.42550223003916</v>
      </c>
      <c r="D1226">
        <v>1.0265323653554299</v>
      </c>
      <c r="E1226">
        <v>0.55472422287529499</v>
      </c>
      <c r="F1226">
        <v>0.52653444206370603</v>
      </c>
      <c r="G1226">
        <v>0.40987989909628503</v>
      </c>
      <c r="H1226">
        <v>0.228308008168813</v>
      </c>
      <c r="I1226">
        <v>0.26463219245612002</v>
      </c>
      <c r="J1226">
        <v>0.27569974014507498</v>
      </c>
      <c r="K1226">
        <v>0.33735322772491499</v>
      </c>
      <c r="L1226">
        <v>1618.3819654691399</v>
      </c>
      <c r="M1226">
        <v>32.731708794148801</v>
      </c>
      <c r="N1226">
        <v>51.035009164833703</v>
      </c>
      <c r="O1226">
        <v>49.260396971710399</v>
      </c>
      <c r="P1226">
        <v>-0.112993745350666</v>
      </c>
      <c r="Q1226">
        <v>0.31979217043838698</v>
      </c>
      <c r="R1226">
        <v>0.83859099698383699</v>
      </c>
      <c r="S1226" t="s">
        <v>8229</v>
      </c>
      <c r="T1226" t="s">
        <v>14004</v>
      </c>
      <c r="U1226" t="s">
        <v>14004</v>
      </c>
      <c r="V1226" t="s">
        <v>14004</v>
      </c>
      <c r="W1226" t="s">
        <v>15204</v>
      </c>
      <c r="X1226">
        <v>4</v>
      </c>
      <c r="Y1226" t="s">
        <v>22135</v>
      </c>
      <c r="Z1226" t="s">
        <v>28936</v>
      </c>
      <c r="AA1226">
        <v>0.53741100440204437</v>
      </c>
      <c r="AB1226" t="str">
        <f>HYPERLINK("Melting_Curves/meltCurve_J3QT56_HYPK.pdf", "Melting_Curves/meltCurve_J3QT56_HYPK.pdf")</f>
        <v>Melting_Curves/meltCurve_J3QT56_HYPK.pdf</v>
      </c>
    </row>
    <row r="1227" spans="1:28" x14ac:dyDescent="0.25">
      <c r="A1227" t="s">
        <v>1231</v>
      </c>
      <c r="B1227">
        <v>0.99999676499088797</v>
      </c>
      <c r="C1227">
        <v>0.99554539885883497</v>
      </c>
      <c r="D1227">
        <v>1.0109551148677201</v>
      </c>
      <c r="E1227">
        <v>1.09913742103081</v>
      </c>
      <c r="F1227">
        <v>0.81765153653275902</v>
      </c>
      <c r="G1227">
        <v>0.47306422135729598</v>
      </c>
      <c r="H1227">
        <v>0.12580961500885399</v>
      </c>
      <c r="I1227">
        <v>0.11382027780126899</v>
      </c>
      <c r="J1227">
        <v>0.106214852194465</v>
      </c>
      <c r="K1227">
        <v>8.1426290747792895E-2</v>
      </c>
      <c r="L1227">
        <v>1782.19978851629</v>
      </c>
      <c r="M1227">
        <v>31.792280781181301</v>
      </c>
      <c r="N1227">
        <v>56.392937728554102</v>
      </c>
      <c r="O1227">
        <v>55.837232701874797</v>
      </c>
      <c r="P1227">
        <v>-0.13008533684700199</v>
      </c>
      <c r="Q1227">
        <v>8.6121857208848795E-2</v>
      </c>
      <c r="R1227">
        <v>0.99055773000373804</v>
      </c>
      <c r="S1227" t="s">
        <v>8230</v>
      </c>
      <c r="T1227" t="s">
        <v>14004</v>
      </c>
      <c r="U1227" t="s">
        <v>14004</v>
      </c>
      <c r="V1227" t="s">
        <v>14004</v>
      </c>
      <c r="W1227" t="s">
        <v>15205</v>
      </c>
      <c r="X1227">
        <v>12</v>
      </c>
      <c r="Y1227" t="s">
        <v>22136</v>
      </c>
      <c r="Z1227" t="s">
        <v>28937</v>
      </c>
      <c r="AA1227">
        <v>0.58075363550543468</v>
      </c>
      <c r="AB1227" t="str">
        <f>HYPERLINK("Melting_Curves/meltCurve_J3QT87_CRBN.pdf", "Melting_Curves/meltCurve_J3QT87_CRBN.pdf")</f>
        <v>Melting_Curves/meltCurve_J3QT87_CRBN.pdf</v>
      </c>
    </row>
    <row r="1228" spans="1:28" x14ac:dyDescent="0.25">
      <c r="A1228" t="s">
        <v>1232</v>
      </c>
      <c r="B1228">
        <v>0.99999676499088797</v>
      </c>
      <c r="C1228">
        <v>0.86883302050798605</v>
      </c>
      <c r="D1228">
        <v>0.91335063765222502</v>
      </c>
      <c r="E1228">
        <v>0.86039079286075604</v>
      </c>
      <c r="F1228">
        <v>0.76077450146750003</v>
      </c>
      <c r="G1228">
        <v>0.458718346846271</v>
      </c>
      <c r="H1228">
        <v>0.18714661677907399</v>
      </c>
      <c r="I1228">
        <v>0.15608552551039401</v>
      </c>
      <c r="J1228">
        <v>0.15523269674580201</v>
      </c>
      <c r="K1228">
        <v>0.163077167531582</v>
      </c>
      <c r="L1228">
        <v>1047.2594836493499</v>
      </c>
      <c r="M1228">
        <v>18.948804287709201</v>
      </c>
      <c r="N1228">
        <v>56.011484706057303</v>
      </c>
      <c r="O1228">
        <v>54.6633309604046</v>
      </c>
      <c r="P1228">
        <v>-7.7026673686327707E-2</v>
      </c>
      <c r="Q1228">
        <v>0.111212501644818</v>
      </c>
      <c r="R1228">
        <v>0.97378858182074801</v>
      </c>
      <c r="S1228" t="s">
        <v>8231</v>
      </c>
      <c r="T1228" t="s">
        <v>14004</v>
      </c>
      <c r="U1228" t="s">
        <v>14004</v>
      </c>
      <c r="V1228" t="s">
        <v>14004</v>
      </c>
      <c r="W1228" t="s">
        <v>15206</v>
      </c>
      <c r="X1228">
        <v>5</v>
      </c>
      <c r="Y1228" t="s">
        <v>22137</v>
      </c>
      <c r="Z1228" t="s">
        <v>28938</v>
      </c>
      <c r="AA1228">
        <v>0.57622650545871379</v>
      </c>
      <c r="AB1228" t="str">
        <f>HYPERLINK("Melting_Curves/meltCurve_J3QTA2_BAG1.pdf", "Melting_Curves/meltCurve_J3QTA2_BAG1.pdf")</f>
        <v>Melting_Curves/meltCurve_J3QTA2_BAG1.pdf</v>
      </c>
    </row>
    <row r="1229" spans="1:28" x14ac:dyDescent="0.25">
      <c r="A1229" t="s">
        <v>1233</v>
      </c>
      <c r="B1229">
        <v>0.99999676499088797</v>
      </c>
      <c r="C1229">
        <v>0.98526980841767198</v>
      </c>
      <c r="D1229">
        <v>0.98978365845592797</v>
      </c>
      <c r="E1229">
        <v>0.91515961316926597</v>
      </c>
      <c r="F1229">
        <v>0.731297982067458</v>
      </c>
      <c r="G1229">
        <v>0.74237084635704398</v>
      </c>
      <c r="H1229">
        <v>0.411401281495482</v>
      </c>
      <c r="I1229">
        <v>0.56516431971749603</v>
      </c>
      <c r="J1229">
        <v>0.491362919058484</v>
      </c>
      <c r="K1229">
        <v>0.51976374833545602</v>
      </c>
      <c r="L1229">
        <v>956.24214256127698</v>
      </c>
      <c r="M1229">
        <v>17.702077394643801</v>
      </c>
      <c r="N1229">
        <v>67.223287819137298</v>
      </c>
      <c r="O1229">
        <v>53.343425537840602</v>
      </c>
      <c r="P1229">
        <v>-4.2765148421923901E-2</v>
      </c>
      <c r="Q1229">
        <v>0.48455330634756999</v>
      </c>
      <c r="R1229">
        <v>0.92501704773036497</v>
      </c>
      <c r="S1229" t="s">
        <v>8232</v>
      </c>
      <c r="T1229" t="s">
        <v>14004</v>
      </c>
      <c r="U1229" t="s">
        <v>14004</v>
      </c>
      <c r="V1229" t="s">
        <v>14004</v>
      </c>
      <c r="W1229" t="s">
        <v>15207</v>
      </c>
      <c r="X1229">
        <v>9</v>
      </c>
      <c r="Y1229" t="s">
        <v>22138</v>
      </c>
      <c r="Z1229" t="s">
        <v>28939</v>
      </c>
      <c r="AA1229">
        <v>0.7338630923718078</v>
      </c>
      <c r="AB1229" t="str">
        <f>HYPERLINK("Melting_Curves/meltCurve_J3QTA6_CHCHD6.pdf", "Melting_Curves/meltCurve_J3QTA6_CHCHD6.pdf")</f>
        <v>Melting_Curves/meltCurve_J3QTA6_CHCHD6.pdf</v>
      </c>
    </row>
    <row r="1230" spans="1:28" x14ac:dyDescent="0.25">
      <c r="A1230" t="s">
        <v>1234</v>
      </c>
      <c r="B1230">
        <v>0.99999676499088797</v>
      </c>
      <c r="C1230">
        <v>1.01125628156262</v>
      </c>
      <c r="D1230">
        <v>1.0585742003437399</v>
      </c>
      <c r="E1230">
        <v>0.93487803598517205</v>
      </c>
      <c r="F1230">
        <v>0.66868928761533097</v>
      </c>
      <c r="G1230">
        <v>0.31791000450993501</v>
      </c>
      <c r="H1230">
        <v>0.12709592597675201</v>
      </c>
      <c r="I1230">
        <v>0.13726909003153301</v>
      </c>
      <c r="J1230">
        <v>9.2091512598496503E-2</v>
      </c>
      <c r="K1230">
        <v>3.8320428205967497E-2</v>
      </c>
      <c r="L1230">
        <v>1406.8846611113599</v>
      </c>
      <c r="M1230">
        <v>25.8293860068048</v>
      </c>
      <c r="N1230">
        <v>54.822435278651703</v>
      </c>
      <c r="O1230">
        <v>54.145031668208397</v>
      </c>
      <c r="P1230">
        <v>-0.11010001325327</v>
      </c>
      <c r="Q1230">
        <v>7.6819225331127602E-2</v>
      </c>
      <c r="R1230">
        <v>0.99520755360523205</v>
      </c>
      <c r="S1230" t="s">
        <v>8233</v>
      </c>
      <c r="T1230" t="s">
        <v>14004</v>
      </c>
      <c r="U1230" t="s">
        <v>14004</v>
      </c>
      <c r="V1230" t="s">
        <v>14004</v>
      </c>
      <c r="W1230" t="s">
        <v>15208</v>
      </c>
      <c r="X1230">
        <v>1</v>
      </c>
      <c r="Y1230" t="s">
        <v>22139</v>
      </c>
      <c r="Z1230" t="s">
        <v>28940</v>
      </c>
      <c r="AA1230">
        <v>0.5301100534426928</v>
      </c>
      <c r="AB1230" t="str">
        <f>HYPERLINK("Melting_Curves/meltCurve_J3QTL0_TTC40.pdf", "Melting_Curves/meltCurve_J3QTL0_TTC40.pdf")</f>
        <v>Melting_Curves/meltCurve_J3QTL0_TTC40.pdf</v>
      </c>
    </row>
    <row r="1231" spans="1:28" x14ac:dyDescent="0.25">
      <c r="A1231" t="s">
        <v>1235</v>
      </c>
      <c r="B1231">
        <v>0.99999676499088797</v>
      </c>
      <c r="C1231">
        <v>0.91530847212313304</v>
      </c>
      <c r="D1231">
        <v>0.66474928403196898</v>
      </c>
      <c r="E1231">
        <v>0.47663435391165399</v>
      </c>
      <c r="F1231">
        <v>0.27720677894062701</v>
      </c>
      <c r="G1231">
        <v>0.16685922162913799</v>
      </c>
      <c r="H1231">
        <v>8.6630638318540704E-2</v>
      </c>
      <c r="I1231">
        <v>0.13411967974119199</v>
      </c>
      <c r="J1231">
        <v>0.15021212814368701</v>
      </c>
      <c r="K1231">
        <v>0.14660937878261901</v>
      </c>
      <c r="L1231">
        <v>797.002194991436</v>
      </c>
      <c r="M1231">
        <v>16.6000448585208</v>
      </c>
      <c r="N1231">
        <v>48.805046685425303</v>
      </c>
      <c r="O1231">
        <v>47.331533189207804</v>
      </c>
      <c r="P1231">
        <v>-7.7320658454898106E-2</v>
      </c>
      <c r="Q1231">
        <v>0.118205750272868</v>
      </c>
      <c r="R1231">
        <v>0.99100560427526296</v>
      </c>
      <c r="S1231" t="s">
        <v>8234</v>
      </c>
      <c r="T1231" t="s">
        <v>14004</v>
      </c>
      <c r="U1231" t="s">
        <v>14004</v>
      </c>
      <c r="V1231" t="s">
        <v>14004</v>
      </c>
      <c r="W1231" t="s">
        <v>15209</v>
      </c>
      <c r="X1231">
        <v>6</v>
      </c>
      <c r="Y1231" t="s">
        <v>22140</v>
      </c>
      <c r="Z1231" t="s">
        <v>28941</v>
      </c>
      <c r="AA1231">
        <v>0.3721958536825753</v>
      </c>
      <c r="AB1231" t="str">
        <f>HYPERLINK("Melting_Curves/meltCurve_J3QTV4_RGPD2.pdf", "Melting_Curves/meltCurve_J3QTV4_RGPD2.pdf")</f>
        <v>Melting_Curves/meltCurve_J3QTV4_RGPD2.pdf</v>
      </c>
    </row>
    <row r="1232" spans="1:28" x14ac:dyDescent="0.25">
      <c r="A1232" t="s">
        <v>1236</v>
      </c>
      <c r="B1232">
        <v>0.99999676499088797</v>
      </c>
      <c r="C1232">
        <v>0.96346167827840501</v>
      </c>
      <c r="D1232">
        <v>1.03369864970283</v>
      </c>
      <c r="E1232">
        <v>1.0752822042833099</v>
      </c>
      <c r="F1232">
        <v>0.59800190777446505</v>
      </c>
      <c r="G1232">
        <v>0.22766636057464601</v>
      </c>
      <c r="H1232">
        <v>9.6661923372817496E-2</v>
      </c>
      <c r="I1232">
        <v>0.11424776063181</v>
      </c>
      <c r="J1232">
        <v>0.151690339369423</v>
      </c>
      <c r="K1232">
        <v>8.2044141170110094E-2</v>
      </c>
      <c r="L1232">
        <v>2465.2670179019101</v>
      </c>
      <c r="M1232">
        <v>46.065204510737999</v>
      </c>
      <c r="N1232">
        <v>53.838067812225603</v>
      </c>
      <c r="O1232">
        <v>53.416337480983003</v>
      </c>
      <c r="P1232">
        <v>-0.189693942297773</v>
      </c>
      <c r="Q1232">
        <v>0.12013904704450699</v>
      </c>
      <c r="R1232">
        <v>0.98960988278373496</v>
      </c>
      <c r="S1232" t="s">
        <v>8235</v>
      </c>
      <c r="T1232" t="s">
        <v>14004</v>
      </c>
      <c r="U1232" t="s">
        <v>14004</v>
      </c>
      <c r="V1232" t="s">
        <v>14004</v>
      </c>
      <c r="W1232" t="s">
        <v>15210</v>
      </c>
      <c r="X1232">
        <v>9</v>
      </c>
      <c r="Y1232" t="s">
        <v>22141</v>
      </c>
      <c r="Z1232" t="s">
        <v>28942</v>
      </c>
      <c r="AA1232">
        <v>0.51902047664433948</v>
      </c>
      <c r="AB1232" t="str">
        <f>HYPERLINK("Melting_Curves/meltCurve_J9JIC5_C17orf75.pdf", "Melting_Curves/meltCurve_J9JIC5_C17orf75.pdf")</f>
        <v>Melting_Curves/meltCurve_J9JIC5_C17orf75.pdf</v>
      </c>
    </row>
    <row r="1233" spans="1:28" x14ac:dyDescent="0.25">
      <c r="A1233" t="s">
        <v>1237</v>
      </c>
      <c r="B1233">
        <v>0.99999676499088797</v>
      </c>
      <c r="C1233">
        <v>0.94881442837083996</v>
      </c>
      <c r="D1233">
        <v>1.0358141457746399</v>
      </c>
      <c r="E1233">
        <v>0.74390108322224302</v>
      </c>
      <c r="F1233">
        <v>0.25737281982069499</v>
      </c>
      <c r="G1233">
        <v>0.182988641355806</v>
      </c>
      <c r="H1233">
        <v>8.6848426623337999E-2</v>
      </c>
      <c r="I1233">
        <v>8.3266388180341905E-2</v>
      </c>
      <c r="J1233">
        <v>7.7062677361144694E-2</v>
      </c>
      <c r="K1233">
        <v>7.2978219575003306E-2</v>
      </c>
      <c r="L1233">
        <v>1742.32048552689</v>
      </c>
      <c r="M1233">
        <v>34.162613192643597</v>
      </c>
      <c r="N1233">
        <v>51.305644844854598</v>
      </c>
      <c r="O1233">
        <v>50.826991318875699</v>
      </c>
      <c r="P1233">
        <v>-0.15259942124846401</v>
      </c>
      <c r="Q1233">
        <v>9.1856436725022902E-2</v>
      </c>
      <c r="R1233">
        <v>0.99338378098788505</v>
      </c>
      <c r="S1233" t="s">
        <v>8236</v>
      </c>
      <c r="T1233" t="s">
        <v>14004</v>
      </c>
      <c r="U1233" t="s">
        <v>14004</v>
      </c>
      <c r="V1233" t="s">
        <v>14004</v>
      </c>
      <c r="W1233" t="s">
        <v>15211</v>
      </c>
      <c r="X1233">
        <v>58</v>
      </c>
      <c r="Y1233" t="s">
        <v>22142</v>
      </c>
      <c r="Z1233" t="s">
        <v>28943</v>
      </c>
      <c r="AA1233">
        <v>0.42926494801627713</v>
      </c>
      <c r="AB1233" t="str">
        <f>HYPERLINK("Melting_Curves/meltCurve_J9JID7_LMNB2.pdf", "Melting_Curves/meltCurve_J9JID7_LMNB2.pdf")</f>
        <v>Melting_Curves/meltCurve_J9JID7_LMNB2.pdf</v>
      </c>
    </row>
    <row r="1234" spans="1:28" x14ac:dyDescent="0.25">
      <c r="A1234" t="s">
        <v>1238</v>
      </c>
      <c r="B1234">
        <v>0.99999676499088797</v>
      </c>
      <c r="C1234">
        <v>1.1759907185599501</v>
      </c>
      <c r="D1234">
        <v>1.2475114468696</v>
      </c>
      <c r="E1234">
        <v>1.1428983111564399</v>
      </c>
      <c r="F1234">
        <v>0.618171070054373</v>
      </c>
      <c r="G1234">
        <v>0.36878516338153</v>
      </c>
      <c r="H1234">
        <v>0.15824861690053901</v>
      </c>
      <c r="I1234">
        <v>0.137112532863539</v>
      </c>
      <c r="J1234">
        <v>0.117294175982893</v>
      </c>
      <c r="K1234">
        <v>0.11117685554835401</v>
      </c>
      <c r="L1234">
        <v>1759.2152711752201</v>
      </c>
      <c r="M1234">
        <v>32.404946769322102</v>
      </c>
      <c r="N1234">
        <v>54.803524318296603</v>
      </c>
      <c r="O1234">
        <v>54.082985386736702</v>
      </c>
      <c r="P1234">
        <v>-0.13013000637319</v>
      </c>
      <c r="Q1234">
        <v>0.13127023529840501</v>
      </c>
      <c r="R1234">
        <v>0.93476611705916701</v>
      </c>
      <c r="S1234" t="s">
        <v>8237</v>
      </c>
      <c r="T1234" t="s">
        <v>14004</v>
      </c>
      <c r="U1234" t="s">
        <v>14004</v>
      </c>
      <c r="V1234" t="s">
        <v>14004</v>
      </c>
      <c r="W1234" t="s">
        <v>15212</v>
      </c>
      <c r="X1234">
        <v>6</v>
      </c>
      <c r="Y1234" t="s">
        <v>22143</v>
      </c>
      <c r="Z1234" t="s">
        <v>28944</v>
      </c>
      <c r="AA1234">
        <v>0.54996242300950582</v>
      </c>
      <c r="AB1234" t="str">
        <f>HYPERLINK("Melting_Curves/meltCurve_J9JIE6_TMCO1.pdf", "Melting_Curves/meltCurve_J9JIE6_TMCO1.pdf")</f>
        <v>Melting_Curves/meltCurve_J9JIE6_TMCO1.pdf</v>
      </c>
    </row>
    <row r="1235" spans="1:28" x14ac:dyDescent="0.25">
      <c r="A1235" t="s">
        <v>1239</v>
      </c>
      <c r="B1235">
        <v>0.99999676499088797</v>
      </c>
      <c r="C1235">
        <v>0.85841325312954997</v>
      </c>
      <c r="D1235">
        <v>0.64838708701496695</v>
      </c>
      <c r="E1235">
        <v>0.37927815900906198</v>
      </c>
      <c r="F1235">
        <v>0.31645286836466702</v>
      </c>
      <c r="G1235">
        <v>0.24994070091034601</v>
      </c>
      <c r="H1235">
        <v>0.17276461737604101</v>
      </c>
      <c r="I1235">
        <v>0.15841286391655199</v>
      </c>
      <c r="J1235">
        <v>0.18131883247556799</v>
      </c>
      <c r="K1235">
        <v>0.22173868924183299</v>
      </c>
      <c r="L1235">
        <v>829.82685163229598</v>
      </c>
      <c r="M1235">
        <v>17.7544604835897</v>
      </c>
      <c r="N1235">
        <v>48.023846287871798</v>
      </c>
      <c r="O1235">
        <v>46.158231000388</v>
      </c>
      <c r="P1235">
        <v>-7.7985488477271006E-2</v>
      </c>
      <c r="Q1235">
        <v>0.18905262184914901</v>
      </c>
      <c r="R1235">
        <v>0.99050150771900403</v>
      </c>
      <c r="S1235" t="s">
        <v>8238</v>
      </c>
      <c r="T1235" t="s">
        <v>14004</v>
      </c>
      <c r="U1235" t="s">
        <v>14004</v>
      </c>
      <c r="V1235" t="s">
        <v>14004</v>
      </c>
      <c r="W1235" t="s">
        <v>15213</v>
      </c>
      <c r="X1235">
        <v>3</v>
      </c>
      <c r="Y1235" t="s">
        <v>22144</v>
      </c>
      <c r="Z1235" t="s">
        <v>28945</v>
      </c>
      <c r="AA1235">
        <v>0.38685092573314339</v>
      </c>
      <c r="AB1235" t="str">
        <f>HYPERLINK("Melting_Curves/meltCurve_K4DI92_RWDD4.pdf", "Melting_Curves/meltCurve_K4DI92_RWDD4.pdf")</f>
        <v>Melting_Curves/meltCurve_K4DI92_RWDD4.pdf</v>
      </c>
    </row>
    <row r="1236" spans="1:28" x14ac:dyDescent="0.25">
      <c r="A1236" t="s">
        <v>1240</v>
      </c>
      <c r="B1236">
        <v>0.99999676499088797</v>
      </c>
      <c r="C1236">
        <v>1.0852063334249</v>
      </c>
      <c r="D1236">
        <v>1.0620200266147299</v>
      </c>
      <c r="E1236">
        <v>1.1488935960129001</v>
      </c>
      <c r="F1236">
        <v>0.93267904594497697</v>
      </c>
      <c r="G1236">
        <v>0.46169390862062698</v>
      </c>
      <c r="H1236">
        <v>0.15632530482604401</v>
      </c>
      <c r="I1236">
        <v>0.13673831999691299</v>
      </c>
      <c r="J1236">
        <v>0.12821981998152901</v>
      </c>
      <c r="K1236">
        <v>0.123934279876366</v>
      </c>
      <c r="L1236">
        <v>2621.4130930440901</v>
      </c>
      <c r="M1236">
        <v>46.637521155167803</v>
      </c>
      <c r="N1236">
        <v>56.570908663494201</v>
      </c>
      <c r="O1236">
        <v>56.105202794706997</v>
      </c>
      <c r="P1236">
        <v>-0.18096058097301801</v>
      </c>
      <c r="Q1236">
        <v>0.12921475919875799</v>
      </c>
      <c r="R1236">
        <v>0.98208978266023095</v>
      </c>
      <c r="S1236" t="s">
        <v>8239</v>
      </c>
      <c r="T1236" t="s">
        <v>14004</v>
      </c>
      <c r="U1236" t="s">
        <v>14004</v>
      </c>
      <c r="V1236" t="s">
        <v>14004</v>
      </c>
      <c r="W1236" t="s">
        <v>15214</v>
      </c>
      <c r="X1236">
        <v>34</v>
      </c>
      <c r="Y1236" t="s">
        <v>22145</v>
      </c>
      <c r="Z1236" t="s">
        <v>28946</v>
      </c>
      <c r="AA1236">
        <v>0.60215580399367397</v>
      </c>
      <c r="AB1236" t="str">
        <f>HYPERLINK("Melting_Curves/meltCurve_K4DI93_CUL4B.pdf", "Melting_Curves/meltCurve_K4DI93_CUL4B.pdf")</f>
        <v>Melting_Curves/meltCurve_K4DI93_CUL4B.pdf</v>
      </c>
    </row>
    <row r="1237" spans="1:28" x14ac:dyDescent="0.25">
      <c r="A1237" t="s">
        <v>1241</v>
      </c>
      <c r="B1237">
        <v>0.99999676499088797</v>
      </c>
      <c r="C1237">
        <v>0.60988866846867895</v>
      </c>
      <c r="D1237">
        <v>0.53925215426386897</v>
      </c>
      <c r="E1237">
        <v>0.51129662212375104</v>
      </c>
      <c r="F1237">
        <v>0.283257009833489</v>
      </c>
      <c r="G1237">
        <v>0.215304868047764</v>
      </c>
      <c r="H1237">
        <v>0.107939756428476</v>
      </c>
      <c r="I1237">
        <v>0.20069597670206299</v>
      </c>
      <c r="J1237">
        <v>0.16046222695502901</v>
      </c>
      <c r="K1237">
        <v>5.8919751930842798E-2</v>
      </c>
      <c r="L1237">
        <v>464.09662850995898</v>
      </c>
      <c r="M1237">
        <v>9.9055543226131704</v>
      </c>
      <c r="N1237">
        <v>47.6914753117955</v>
      </c>
      <c r="O1237">
        <v>45.062544468505799</v>
      </c>
      <c r="P1237">
        <v>-5.0584188979426702E-2</v>
      </c>
      <c r="Q1237">
        <v>7.9989208138685902E-2</v>
      </c>
      <c r="R1237">
        <v>0.92423074851298703</v>
      </c>
      <c r="S1237" t="s">
        <v>8240</v>
      </c>
      <c r="T1237" t="s">
        <v>14004</v>
      </c>
      <c r="U1237" t="s">
        <v>14004</v>
      </c>
      <c r="V1237" t="s">
        <v>14004</v>
      </c>
      <c r="W1237" t="s">
        <v>15215</v>
      </c>
      <c r="X1237">
        <v>1</v>
      </c>
      <c r="Y1237" t="s">
        <v>22146</v>
      </c>
      <c r="Z1237" t="s">
        <v>28947</v>
      </c>
      <c r="AA1237">
        <v>0.34445231534447113</v>
      </c>
      <c r="AB1237" t="str">
        <f>HYPERLINK("Melting_Curves/meltCurve_K7EID0_MLX.pdf", "Melting_Curves/meltCurve_K7EID0_MLX.pdf")</f>
        <v>Melting_Curves/meltCurve_K7EID0_MLX.pdf</v>
      </c>
    </row>
    <row r="1238" spans="1:28" x14ac:dyDescent="0.25">
      <c r="A1238" t="s">
        <v>1242</v>
      </c>
      <c r="B1238">
        <v>0.99999676499088797</v>
      </c>
      <c r="C1238">
        <v>0.98141108652382103</v>
      </c>
      <c r="D1238">
        <v>0.93589568626225805</v>
      </c>
      <c r="E1238">
        <v>0.60116596278817303</v>
      </c>
      <c r="F1238">
        <v>0.258097108544457</v>
      </c>
      <c r="G1238">
        <v>0.183072329683338</v>
      </c>
      <c r="H1238">
        <v>8.3926352098759094E-2</v>
      </c>
      <c r="I1238">
        <v>8.0763503414096896E-2</v>
      </c>
      <c r="J1238">
        <v>7.7930570078949102E-2</v>
      </c>
      <c r="K1238">
        <v>7.1730042554122006E-2</v>
      </c>
      <c r="L1238">
        <v>1221.5509276589601</v>
      </c>
      <c r="M1238">
        <v>24.318332834166402</v>
      </c>
      <c r="N1238">
        <v>50.604658654852102</v>
      </c>
      <c r="O1238">
        <v>49.895710935537103</v>
      </c>
      <c r="P1238">
        <v>-0.111850779267802</v>
      </c>
      <c r="Q1238">
        <v>8.2043903891428002E-2</v>
      </c>
      <c r="R1238">
        <v>0.99759638543471796</v>
      </c>
      <c r="S1238" t="s">
        <v>8241</v>
      </c>
      <c r="T1238" t="s">
        <v>14004</v>
      </c>
      <c r="U1238" t="s">
        <v>14004</v>
      </c>
      <c r="V1238" t="s">
        <v>14004</v>
      </c>
      <c r="W1238" t="s">
        <v>15089</v>
      </c>
      <c r="X1238">
        <v>42</v>
      </c>
      <c r="Y1238" t="s">
        <v>22021</v>
      </c>
      <c r="Z1238" t="s">
        <v>28948</v>
      </c>
      <c r="AA1238">
        <v>0.40380975292804899</v>
      </c>
      <c r="AB1238" t="str">
        <f>HYPERLINK("Melting_Curves/meltCurve_K7EIG1_CLUH.pdf", "Melting_Curves/meltCurve_K7EIG1_CLUH.pdf")</f>
        <v>Melting_Curves/meltCurve_K7EIG1_CLUH.pdf</v>
      </c>
    </row>
    <row r="1239" spans="1:28" x14ac:dyDescent="0.25">
      <c r="A1239" t="s">
        <v>1243</v>
      </c>
      <c r="B1239">
        <v>0.99999676499088797</v>
      </c>
      <c r="C1239">
        <v>1.02964401351479</v>
      </c>
      <c r="D1239">
        <v>1.26181025170592</v>
      </c>
      <c r="E1239">
        <v>1.4213519268975301</v>
      </c>
      <c r="F1239">
        <v>0.93295091789840701</v>
      </c>
      <c r="G1239">
        <v>0.40736480318357099</v>
      </c>
      <c r="H1239">
        <v>0.16581533577344201</v>
      </c>
      <c r="I1239">
        <v>0.147217989011098</v>
      </c>
      <c r="J1239">
        <v>0.14399650674804201</v>
      </c>
      <c r="K1239">
        <v>0.197241665094885</v>
      </c>
      <c r="L1239">
        <v>3069.2714755278898</v>
      </c>
      <c r="M1239">
        <v>54.933162586502299</v>
      </c>
      <c r="N1239">
        <v>56.271938280454201</v>
      </c>
      <c r="O1239">
        <v>55.7989359467539</v>
      </c>
      <c r="P1239">
        <v>-0.20641267317099601</v>
      </c>
      <c r="Q1239">
        <v>0.161337141178925</v>
      </c>
      <c r="R1239">
        <v>0.89227797231190997</v>
      </c>
      <c r="S1239" t="s">
        <v>8242</v>
      </c>
      <c r="T1239" t="s">
        <v>14004</v>
      </c>
      <c r="U1239" t="s">
        <v>14004</v>
      </c>
      <c r="V1239" t="s">
        <v>14004</v>
      </c>
      <c r="W1239" t="s">
        <v>15216</v>
      </c>
      <c r="X1239">
        <v>5</v>
      </c>
      <c r="Y1239" t="s">
        <v>22147</v>
      </c>
      <c r="Z1239" t="s">
        <v>28949</v>
      </c>
      <c r="AA1239">
        <v>0.60677903096829788</v>
      </c>
      <c r="AB1239" t="str">
        <f>HYPERLINK("Melting_Curves/meltCurve_K7EIJ0_WBP2.pdf", "Melting_Curves/meltCurve_K7EIJ0_WBP2.pdf")</f>
        <v>Melting_Curves/meltCurve_K7EIJ0_WBP2.pdf</v>
      </c>
    </row>
    <row r="1240" spans="1:28" x14ac:dyDescent="0.25">
      <c r="A1240" t="s">
        <v>1244</v>
      </c>
      <c r="B1240">
        <v>0.99999676499088797</v>
      </c>
      <c r="C1240">
        <v>1.08408902734204</v>
      </c>
      <c r="D1240">
        <v>1.1557996396153201</v>
      </c>
      <c r="E1240">
        <v>1.2449262305580899</v>
      </c>
      <c r="F1240">
        <v>0.78377432579009398</v>
      </c>
      <c r="G1240">
        <v>0.44702694097385198</v>
      </c>
      <c r="H1240">
        <v>0.16136244615876699</v>
      </c>
      <c r="I1240">
        <v>0.137225498236446</v>
      </c>
      <c r="J1240">
        <v>0.118453075913853</v>
      </c>
      <c r="K1240">
        <v>6.3923174258230395E-2</v>
      </c>
      <c r="L1240">
        <v>1815.21052662377</v>
      </c>
      <c r="M1240">
        <v>32.520110331799302</v>
      </c>
      <c r="N1240">
        <v>56.213390171733003</v>
      </c>
      <c r="O1240">
        <v>55.608317717198702</v>
      </c>
      <c r="P1240">
        <v>-0.131259034022285</v>
      </c>
      <c r="Q1240">
        <v>0.102210139259912</v>
      </c>
      <c r="R1240">
        <v>0.94949296715712295</v>
      </c>
      <c r="S1240" t="s">
        <v>8243</v>
      </c>
      <c r="T1240" t="s">
        <v>14004</v>
      </c>
      <c r="U1240" t="s">
        <v>14004</v>
      </c>
      <c r="V1240" t="s">
        <v>14004</v>
      </c>
      <c r="W1240" t="s">
        <v>15217</v>
      </c>
      <c r="X1240">
        <v>4</v>
      </c>
      <c r="Y1240" t="s">
        <v>22148</v>
      </c>
      <c r="Z1240" t="s">
        <v>28950</v>
      </c>
      <c r="AA1240">
        <v>0.5807332189436345</v>
      </c>
      <c r="AB1240" t="str">
        <f>HYPERLINK("Melting_Curves/meltCurve_K7EIN2_NUDT16L1.pdf", "Melting_Curves/meltCurve_K7EIN2_NUDT16L1.pdf")</f>
        <v>Melting_Curves/meltCurve_K7EIN2_NUDT16L1.pdf</v>
      </c>
    </row>
    <row r="1241" spans="1:28" x14ac:dyDescent="0.25">
      <c r="A1241" t="s">
        <v>1245</v>
      </c>
      <c r="B1241">
        <v>0.99999676499088797</v>
      </c>
      <c r="C1241">
        <v>0.95008018611993394</v>
      </c>
      <c r="D1241">
        <v>0.93072002302247603</v>
      </c>
      <c r="E1241">
        <v>0.74654647351943704</v>
      </c>
      <c r="F1241">
        <v>0.379033195553377</v>
      </c>
      <c r="G1241">
        <v>0.219141443226574</v>
      </c>
      <c r="H1241">
        <v>0.10412185499955499</v>
      </c>
      <c r="I1241">
        <v>9.5004444735109203E-2</v>
      </c>
      <c r="J1241">
        <v>8.32830008447797E-2</v>
      </c>
      <c r="K1241">
        <v>8.3012131727544403E-2</v>
      </c>
      <c r="L1241">
        <v>1089.7366819312999</v>
      </c>
      <c r="M1241">
        <v>21.0988286976282</v>
      </c>
      <c r="N1241">
        <v>52.0680839273777</v>
      </c>
      <c r="O1241">
        <v>51.191893531241497</v>
      </c>
      <c r="P1241">
        <v>-9.4996968775655305E-2</v>
      </c>
      <c r="Q1241">
        <v>7.8063214899801003E-2</v>
      </c>
      <c r="R1241">
        <v>0.997974345428567</v>
      </c>
      <c r="S1241" t="s">
        <v>8244</v>
      </c>
      <c r="T1241" t="s">
        <v>14004</v>
      </c>
      <c r="U1241" t="s">
        <v>14004</v>
      </c>
      <c r="V1241" t="s">
        <v>14004</v>
      </c>
      <c r="W1241" t="s">
        <v>15218</v>
      </c>
      <c r="X1241">
        <v>16</v>
      </c>
      <c r="Y1241" t="s">
        <v>22149</v>
      </c>
      <c r="Z1241" t="s">
        <v>28951</v>
      </c>
      <c r="AA1241">
        <v>0.44763478224292508</v>
      </c>
      <c r="AB1241" t="str">
        <f>HYPERLINK("Melting_Curves/meltCurve_K7EIU8_SMAD4.pdf", "Melting_Curves/meltCurve_K7EIU8_SMAD4.pdf")</f>
        <v>Melting_Curves/meltCurve_K7EIU8_SMAD4.pdf</v>
      </c>
    </row>
    <row r="1242" spans="1:28" x14ac:dyDescent="0.25">
      <c r="A1242" t="s">
        <v>1246</v>
      </c>
      <c r="B1242">
        <v>0.99999676499088797</v>
      </c>
      <c r="C1242">
        <v>0.96648125067653101</v>
      </c>
      <c r="D1242">
        <v>0.93200172121844005</v>
      </c>
      <c r="E1242">
        <v>0.70280071128308497</v>
      </c>
      <c r="F1242">
        <v>0.38217812812459101</v>
      </c>
      <c r="G1242">
        <v>0.272960175375495</v>
      </c>
      <c r="H1242">
        <v>0.13627309654947301</v>
      </c>
      <c r="I1242">
        <v>0.14253943847914399</v>
      </c>
      <c r="J1242">
        <v>0.11586200683765401</v>
      </c>
      <c r="K1242">
        <v>0.11818902881846199</v>
      </c>
      <c r="L1242">
        <v>1003.20912704047</v>
      </c>
      <c r="M1242">
        <v>19.561595240832801</v>
      </c>
      <c r="N1242">
        <v>51.986278452267797</v>
      </c>
      <c r="O1242">
        <v>50.757691421558</v>
      </c>
      <c r="P1242">
        <v>-8.5172589903001694E-2</v>
      </c>
      <c r="Q1242">
        <v>0.116020857513775</v>
      </c>
      <c r="R1242">
        <v>0.99733570196529397</v>
      </c>
      <c r="S1242" t="s">
        <v>8245</v>
      </c>
      <c r="T1242" t="s">
        <v>14004</v>
      </c>
      <c r="U1242" t="s">
        <v>14004</v>
      </c>
      <c r="V1242" t="s">
        <v>14004</v>
      </c>
      <c r="W1242" t="s">
        <v>15219</v>
      </c>
      <c r="X1242">
        <v>3</v>
      </c>
      <c r="Y1242" t="s">
        <v>22150</v>
      </c>
      <c r="Z1242" t="s">
        <v>28952</v>
      </c>
      <c r="AA1242">
        <v>0.4613065804498408</v>
      </c>
      <c r="AB1242" t="str">
        <f>HYPERLINK("Melting_Curves/meltCurve_K7EIX2_HEATR6.pdf", "Melting_Curves/meltCurve_K7EIX2_HEATR6.pdf")</f>
        <v>Melting_Curves/meltCurve_K7EIX2_HEATR6.pdf</v>
      </c>
    </row>
    <row r="1243" spans="1:28" x14ac:dyDescent="0.25">
      <c r="A1243" t="s">
        <v>1247</v>
      </c>
      <c r="B1243">
        <v>0.99999676499088797</v>
      </c>
      <c r="C1243">
        <v>1.02479305378309</v>
      </c>
      <c r="D1243">
        <v>0.86219567661168905</v>
      </c>
      <c r="E1243">
        <v>0.67583938792703002</v>
      </c>
      <c r="F1243">
        <v>0.47597980153208602</v>
      </c>
      <c r="G1243">
        <v>0.322204298926832</v>
      </c>
      <c r="H1243">
        <v>0.202580993882961</v>
      </c>
      <c r="I1243">
        <v>0.17949867706186701</v>
      </c>
      <c r="J1243">
        <v>0.171015477709789</v>
      </c>
      <c r="K1243">
        <v>9.6125128175116203E-2</v>
      </c>
      <c r="L1243">
        <v>749.32767940152598</v>
      </c>
      <c r="M1243">
        <v>14.4632170850498</v>
      </c>
      <c r="N1243">
        <v>52.755997109178999</v>
      </c>
      <c r="O1243">
        <v>50.848966218081998</v>
      </c>
      <c r="P1243">
        <v>-6.2987820085414994E-2</v>
      </c>
      <c r="Q1243">
        <v>0.114307022701665</v>
      </c>
      <c r="R1243">
        <v>0.99352452260140001</v>
      </c>
      <c r="S1243" t="s">
        <v>8246</v>
      </c>
      <c r="T1243" t="s">
        <v>14004</v>
      </c>
      <c r="U1243" t="s">
        <v>14004</v>
      </c>
      <c r="V1243" t="s">
        <v>14004</v>
      </c>
      <c r="W1243" t="s">
        <v>15220</v>
      </c>
      <c r="X1243">
        <v>2</v>
      </c>
      <c r="Y1243" t="s">
        <v>22151</v>
      </c>
      <c r="Z1243" t="s">
        <v>28953</v>
      </c>
      <c r="AA1243">
        <v>0.48402862699734928</v>
      </c>
      <c r="AB1243" t="str">
        <f>HYPERLINK("Melting_Curves/meltCurve_K7EIY4_STX10.pdf", "Melting_Curves/meltCurve_K7EIY4_STX10.pdf")</f>
        <v>Melting_Curves/meltCurve_K7EIY4_STX10.pdf</v>
      </c>
    </row>
    <row r="1244" spans="1:28" x14ac:dyDescent="0.25">
      <c r="A1244" t="s">
        <v>1248</v>
      </c>
      <c r="B1244">
        <v>0.99999676499088797</v>
      </c>
      <c r="C1244">
        <v>0.88699606185452395</v>
      </c>
      <c r="D1244">
        <v>0.93099346129405802</v>
      </c>
      <c r="E1244">
        <v>0.882362463802847</v>
      </c>
      <c r="F1244">
        <v>0.51431697438360902</v>
      </c>
      <c r="G1244">
        <v>0.41687569576824102</v>
      </c>
      <c r="H1244">
        <v>0.204103216399526</v>
      </c>
      <c r="I1244">
        <v>0.26769282860106097</v>
      </c>
      <c r="J1244">
        <v>0.29392833283601</v>
      </c>
      <c r="K1244">
        <v>0.31008115975967399</v>
      </c>
      <c r="L1244">
        <v>1311.6339750218101</v>
      </c>
      <c r="M1244">
        <v>25.136908581077499</v>
      </c>
      <c r="N1244">
        <v>53.857852446107003</v>
      </c>
      <c r="O1244">
        <v>51.852727266159</v>
      </c>
      <c r="P1244">
        <v>-8.8284716713530303E-2</v>
      </c>
      <c r="Q1244">
        <v>0.27155034418688601</v>
      </c>
      <c r="R1244">
        <v>0.96685936092217495</v>
      </c>
      <c r="S1244" t="s">
        <v>8247</v>
      </c>
      <c r="T1244" t="s">
        <v>14004</v>
      </c>
      <c r="U1244" t="s">
        <v>14004</v>
      </c>
      <c r="V1244" t="s">
        <v>14004</v>
      </c>
      <c r="W1244" t="s">
        <v>15221</v>
      </c>
      <c r="X1244">
        <v>1</v>
      </c>
      <c r="Y1244" t="s">
        <v>22152</v>
      </c>
      <c r="Z1244" t="s">
        <v>28954</v>
      </c>
      <c r="AA1244">
        <v>0.57388338071398881</v>
      </c>
      <c r="AB1244" t="str">
        <f>HYPERLINK("Melting_Curves/meltCurve_K7EJ78_RPS15.pdf", "Melting_Curves/meltCurve_K7EJ78_RPS15.pdf")</f>
        <v>Melting_Curves/meltCurve_K7EJ78_RPS15.pdf</v>
      </c>
    </row>
    <row r="1245" spans="1:28" x14ac:dyDescent="0.25">
      <c r="A1245" t="s">
        <v>1249</v>
      </c>
      <c r="B1245">
        <v>0.99999676499088797</v>
      </c>
      <c r="C1245">
        <v>0.62052740701529396</v>
      </c>
      <c r="D1245">
        <v>1.43186567183778</v>
      </c>
      <c r="E1245">
        <v>0.76199507100239094</v>
      </c>
      <c r="F1245">
        <v>0.180817894848709</v>
      </c>
      <c r="G1245">
        <v>0.53330230679689905</v>
      </c>
      <c r="H1245">
        <v>0.15840202314909901</v>
      </c>
      <c r="I1245">
        <v>0.21413592944874399</v>
      </c>
      <c r="J1245">
        <v>0.21590180474909701</v>
      </c>
      <c r="K1245">
        <v>0.133839770329688</v>
      </c>
      <c r="L1245">
        <v>12439.011172953</v>
      </c>
      <c r="M1245">
        <v>250</v>
      </c>
      <c r="N1245">
        <v>49.886087216887603</v>
      </c>
      <c r="O1245">
        <v>49.752860649602901</v>
      </c>
      <c r="P1245">
        <v>-0.95547276544105297</v>
      </c>
      <c r="Q1245">
        <v>0.239399947459461</v>
      </c>
      <c r="R1245">
        <v>0.74336526409264803</v>
      </c>
      <c r="S1245" t="s">
        <v>8248</v>
      </c>
      <c r="T1245" t="s">
        <v>14004</v>
      </c>
      <c r="U1245" t="s">
        <v>14004</v>
      </c>
      <c r="V1245" t="s">
        <v>14004</v>
      </c>
      <c r="W1245" t="s">
        <v>15222</v>
      </c>
      <c r="X1245">
        <v>19</v>
      </c>
      <c r="Y1245" t="s">
        <v>22153</v>
      </c>
      <c r="Z1245" t="s">
        <v>28955</v>
      </c>
      <c r="AA1245">
        <v>0.48681463405325259</v>
      </c>
      <c r="AB1245" t="str">
        <f>HYPERLINK("Melting_Curves/meltCurve_K7EJB9_CALR.pdf", "Melting_Curves/meltCurve_K7EJB9_CALR.pdf")</f>
        <v>Melting_Curves/meltCurve_K7EJB9_CALR.pdf</v>
      </c>
    </row>
    <row r="1246" spans="1:28" x14ac:dyDescent="0.25">
      <c r="A1246" t="s">
        <v>1250</v>
      </c>
      <c r="B1246">
        <v>0.99999676499088797</v>
      </c>
      <c r="C1246">
        <v>0.89105804778363096</v>
      </c>
      <c r="D1246">
        <v>0.72255424882483399</v>
      </c>
      <c r="E1246">
        <v>0.33635677397445601</v>
      </c>
      <c r="F1246">
        <v>0.20107058742307499</v>
      </c>
      <c r="G1246">
        <v>0.14677048923883201</v>
      </c>
      <c r="H1246">
        <v>8.9294747348207595E-2</v>
      </c>
      <c r="I1246">
        <v>8.6044931418875203E-2</v>
      </c>
      <c r="J1246">
        <v>8.8856423054324493E-2</v>
      </c>
      <c r="K1246">
        <v>9.8205212862921401E-2</v>
      </c>
      <c r="L1246">
        <v>989.38616795845098</v>
      </c>
      <c r="M1246">
        <v>20.805054255658799</v>
      </c>
      <c r="N1246">
        <v>48.030205008726902</v>
      </c>
      <c r="O1246">
        <v>47.122297378751902</v>
      </c>
      <c r="P1246">
        <v>-0.100115243722544</v>
      </c>
      <c r="Q1246">
        <v>9.3003670979183106E-2</v>
      </c>
      <c r="R1246">
        <v>0.99717422865443295</v>
      </c>
      <c r="S1246" t="s">
        <v>8249</v>
      </c>
      <c r="T1246" t="s">
        <v>14004</v>
      </c>
      <c r="U1246" t="s">
        <v>14004</v>
      </c>
      <c r="V1246" t="s">
        <v>14004</v>
      </c>
      <c r="W1246" t="s">
        <v>15223</v>
      </c>
      <c r="X1246">
        <v>8</v>
      </c>
      <c r="Y1246" t="s">
        <v>22154</v>
      </c>
      <c r="Z1246" t="s">
        <v>28956</v>
      </c>
      <c r="AA1246">
        <v>0.33338150800173588</v>
      </c>
      <c r="AB1246" t="str">
        <f>HYPERLINK("Melting_Curves/meltCurve_K7EJH0_SPC24.pdf", "Melting_Curves/meltCurve_K7EJH0_SPC24.pdf")</f>
        <v>Melting_Curves/meltCurve_K7EJH0_SPC24.pdf</v>
      </c>
    </row>
    <row r="1247" spans="1:28" x14ac:dyDescent="0.25">
      <c r="A1247" t="s">
        <v>1251</v>
      </c>
      <c r="B1247">
        <v>0.99999676499088797</v>
      </c>
      <c r="C1247">
        <v>0.99583420876504203</v>
      </c>
      <c r="D1247">
        <v>1.0098818093823301</v>
      </c>
      <c r="E1247">
        <v>0.96505442721554702</v>
      </c>
      <c r="F1247">
        <v>0.36322278905215999</v>
      </c>
      <c r="G1247">
        <v>0.214103378787041</v>
      </c>
      <c r="H1247">
        <v>0.109128399375713</v>
      </c>
      <c r="I1247">
        <v>0.104273672915946</v>
      </c>
      <c r="J1247">
        <v>9.2163147692765998E-2</v>
      </c>
      <c r="K1247">
        <v>9.0526713866705494E-2</v>
      </c>
      <c r="L1247">
        <v>2625.96759095159</v>
      </c>
      <c r="M1247">
        <v>50.239508105650401</v>
      </c>
      <c r="N1247">
        <v>52.5474919139915</v>
      </c>
      <c r="O1247">
        <v>52.186358725121003</v>
      </c>
      <c r="P1247">
        <v>-0.21254249374562501</v>
      </c>
      <c r="Q1247">
        <v>0.116885504577804</v>
      </c>
      <c r="R1247">
        <v>0.99481746863270104</v>
      </c>
      <c r="S1247" t="s">
        <v>8250</v>
      </c>
      <c r="T1247" t="s">
        <v>14004</v>
      </c>
      <c r="U1247" t="s">
        <v>14004</v>
      </c>
      <c r="V1247" t="s">
        <v>14004</v>
      </c>
      <c r="W1247" t="s">
        <v>15224</v>
      </c>
      <c r="X1247">
        <v>5</v>
      </c>
      <c r="Y1247" t="s">
        <v>22155</v>
      </c>
      <c r="Z1247" t="s">
        <v>28957</v>
      </c>
      <c r="AA1247">
        <v>0.48006562973161881</v>
      </c>
      <c r="AB1247" t="str">
        <f>HYPERLINK("Melting_Curves/meltCurve_K7EJQ7_SEC11C.pdf", "Melting_Curves/meltCurve_K7EJQ7_SEC11C.pdf")</f>
        <v>Melting_Curves/meltCurve_K7EJQ7_SEC11C.pdf</v>
      </c>
    </row>
    <row r="1248" spans="1:28" x14ac:dyDescent="0.25">
      <c r="A1248" t="s">
        <v>1252</v>
      </c>
      <c r="B1248">
        <v>0.99999676499088797</v>
      </c>
      <c r="C1248">
        <v>1.02310861596138</v>
      </c>
      <c r="D1248">
        <v>1.0054235264618201</v>
      </c>
      <c r="E1248">
        <v>1.06021329104719</v>
      </c>
      <c r="F1248">
        <v>1.0329938366907701</v>
      </c>
      <c r="G1248">
        <v>0.88654508593029002</v>
      </c>
      <c r="H1248">
        <v>0.62694081678314495</v>
      </c>
      <c r="I1248">
        <v>0.48062672911047</v>
      </c>
      <c r="J1248">
        <v>0.322106287351554</v>
      </c>
      <c r="K1248">
        <v>0.36250367029675201</v>
      </c>
      <c r="L1248">
        <v>1657.90978435498</v>
      </c>
      <c r="M1248">
        <v>27.4278542636305</v>
      </c>
      <c r="N1248">
        <v>62.864379732677598</v>
      </c>
      <c r="O1248">
        <v>60.127640133139401</v>
      </c>
      <c r="P1248">
        <v>-7.6873792662230794E-2</v>
      </c>
      <c r="Q1248">
        <v>0.32591215635026499</v>
      </c>
      <c r="R1248">
        <v>0.98673974035676004</v>
      </c>
      <c r="S1248" t="s">
        <v>8251</v>
      </c>
      <c r="T1248" t="s">
        <v>14004</v>
      </c>
      <c r="U1248" t="s">
        <v>14004</v>
      </c>
      <c r="V1248" t="s">
        <v>14004</v>
      </c>
      <c r="W1248" t="s">
        <v>15225</v>
      </c>
      <c r="X1248">
        <v>6</v>
      </c>
      <c r="Y1248" t="s">
        <v>22156</v>
      </c>
      <c r="Z1248" t="s">
        <v>28958</v>
      </c>
      <c r="AA1248">
        <v>0.78967764275182628</v>
      </c>
      <c r="AB1248" t="str">
        <f>HYPERLINK("Melting_Curves/meltCurve_K7EK00_FAM210A.pdf", "Melting_Curves/meltCurve_K7EK00_FAM210A.pdf")</f>
        <v>Melting_Curves/meltCurve_K7EK00_FAM210A.pdf</v>
      </c>
    </row>
    <row r="1249" spans="1:28" x14ac:dyDescent="0.25">
      <c r="A1249" t="s">
        <v>1253</v>
      </c>
      <c r="B1249">
        <v>0.99999676499088797</v>
      </c>
      <c r="C1249">
        <v>1.09727875217422</v>
      </c>
      <c r="D1249">
        <v>0.93420782707745997</v>
      </c>
      <c r="E1249">
        <v>0.75683586305496198</v>
      </c>
      <c r="F1249">
        <v>0.40414308445405001</v>
      </c>
      <c r="G1249">
        <v>0.33982521521562198</v>
      </c>
      <c r="H1249">
        <v>0.19926796796726001</v>
      </c>
      <c r="I1249">
        <v>0.231507507682186</v>
      </c>
      <c r="J1249">
        <v>0.189212867760049</v>
      </c>
      <c r="K1249">
        <v>0.1563056594052</v>
      </c>
      <c r="L1249">
        <v>1164.0271660318199</v>
      </c>
      <c r="M1249">
        <v>22.685635650544601</v>
      </c>
      <c r="N1249">
        <v>52.443951317912301</v>
      </c>
      <c r="O1249">
        <v>50.917497802300801</v>
      </c>
      <c r="P1249">
        <v>-8.9812554918893603E-2</v>
      </c>
      <c r="Q1249">
        <v>0.19368568861339</v>
      </c>
      <c r="R1249">
        <v>0.98412742210351301</v>
      </c>
      <c r="S1249" t="s">
        <v>8252</v>
      </c>
      <c r="T1249" t="s">
        <v>14004</v>
      </c>
      <c r="U1249" t="s">
        <v>14004</v>
      </c>
      <c r="V1249" t="s">
        <v>14004</v>
      </c>
      <c r="W1249" t="s">
        <v>15226</v>
      </c>
      <c r="X1249">
        <v>7</v>
      </c>
      <c r="Y1249" t="s">
        <v>22157</v>
      </c>
      <c r="Z1249" t="s">
        <v>28959</v>
      </c>
      <c r="AA1249">
        <v>0.50651972087199004</v>
      </c>
      <c r="AB1249" t="str">
        <f>HYPERLINK("Melting_Curves/meltCurve_K7EK07_H3F3B.pdf", "Melting_Curves/meltCurve_K7EK07_H3F3B.pdf")</f>
        <v>Melting_Curves/meltCurve_K7EK07_H3F3B.pdf</v>
      </c>
    </row>
    <row r="1250" spans="1:28" x14ac:dyDescent="0.25">
      <c r="A1250" t="s">
        <v>1254</v>
      </c>
      <c r="B1250">
        <v>0.99999676499088797</v>
      </c>
      <c r="C1250">
        <v>0.71384567963666201</v>
      </c>
      <c r="D1250">
        <v>0.42707849380880097</v>
      </c>
      <c r="E1250">
        <v>0.29454079198426197</v>
      </c>
      <c r="F1250">
        <v>0.18338439960425401</v>
      </c>
      <c r="G1250">
        <v>0.14972734502233301</v>
      </c>
      <c r="H1250">
        <v>9.0657754171737395E-2</v>
      </c>
      <c r="I1250">
        <v>9.7300230203730104E-2</v>
      </c>
      <c r="J1250">
        <v>0.140028035664293</v>
      </c>
      <c r="K1250">
        <v>0.12824345512208599</v>
      </c>
      <c r="L1250">
        <v>867.68510731805395</v>
      </c>
      <c r="M1250">
        <v>19.353776377544801</v>
      </c>
      <c r="N1250">
        <v>45.507963069088099</v>
      </c>
      <c r="O1250">
        <v>44.362440429391498</v>
      </c>
      <c r="P1250">
        <v>-9.5459855625154702E-2</v>
      </c>
      <c r="Q1250">
        <v>0.12478575251268099</v>
      </c>
      <c r="R1250">
        <v>0.98416271344073902</v>
      </c>
      <c r="S1250" t="s">
        <v>8253</v>
      </c>
      <c r="T1250" t="s">
        <v>14004</v>
      </c>
      <c r="U1250" t="s">
        <v>14004</v>
      </c>
      <c r="V1250" t="s">
        <v>14004</v>
      </c>
      <c r="W1250" t="s">
        <v>15227</v>
      </c>
      <c r="X1250">
        <v>2</v>
      </c>
      <c r="Y1250" t="s">
        <v>22158</v>
      </c>
      <c r="Z1250" t="s">
        <v>28960</v>
      </c>
      <c r="AA1250">
        <v>0.2820845324364033</v>
      </c>
      <c r="AB1250" t="str">
        <f>HYPERLINK("Melting_Curves/meltCurve_K7EK99_LIN37.pdf", "Melting_Curves/meltCurve_K7EK99_LIN37.pdf")</f>
        <v>Melting_Curves/meltCurve_K7EK99_LIN37.pdf</v>
      </c>
    </row>
    <row r="1251" spans="1:28" x14ac:dyDescent="0.25">
      <c r="A1251" t="s">
        <v>1255</v>
      </c>
      <c r="B1251">
        <v>0.99999676499088797</v>
      </c>
      <c r="C1251">
        <v>0.94350743849680896</v>
      </c>
      <c r="D1251">
        <v>0.98622732173800798</v>
      </c>
      <c r="E1251">
        <v>1.08602207730502</v>
      </c>
      <c r="F1251">
        <v>1.03336594581414</v>
      </c>
      <c r="G1251">
        <v>0.72073774644190503</v>
      </c>
      <c r="H1251">
        <v>0.19402281112446501</v>
      </c>
      <c r="I1251">
        <v>0.10705391526812</v>
      </c>
      <c r="J1251">
        <v>8.7152177431898001E-2</v>
      </c>
      <c r="K1251">
        <v>7.7603195755147E-2</v>
      </c>
      <c r="L1251">
        <v>2594.9957055630798</v>
      </c>
      <c r="M1251">
        <v>44.818872032593497</v>
      </c>
      <c r="N1251">
        <v>58.150636477212799</v>
      </c>
      <c r="O1251">
        <v>57.7847150858303</v>
      </c>
      <c r="P1251">
        <v>-0.17685060214158699</v>
      </c>
      <c r="Q1251">
        <v>8.7951463260318802E-2</v>
      </c>
      <c r="R1251">
        <v>0.99236866305560001</v>
      </c>
      <c r="S1251" t="s">
        <v>8254</v>
      </c>
      <c r="T1251" t="s">
        <v>14004</v>
      </c>
      <c r="U1251" t="s">
        <v>14004</v>
      </c>
      <c r="V1251" t="s">
        <v>14004</v>
      </c>
      <c r="W1251" t="s">
        <v>15228</v>
      </c>
      <c r="X1251">
        <v>43</v>
      </c>
      <c r="Y1251" t="s">
        <v>22159</v>
      </c>
      <c r="Z1251" t="s">
        <v>28961</v>
      </c>
      <c r="AA1251">
        <v>0.63500570405651047</v>
      </c>
      <c r="AB1251" t="str">
        <f>HYPERLINK("Melting_Curves/meltCurve_K7EKE6_LONP1.pdf", "Melting_Curves/meltCurve_K7EKE6_LONP1.pdf")</f>
        <v>Melting_Curves/meltCurve_K7EKE6_LONP1.pdf</v>
      </c>
    </row>
    <row r="1252" spans="1:28" x14ac:dyDescent="0.25">
      <c r="A1252" t="s">
        <v>1256</v>
      </c>
      <c r="B1252">
        <v>0.99999676499088797</v>
      </c>
      <c r="C1252">
        <v>1.71198161256227</v>
      </c>
      <c r="D1252">
        <v>0.73848299088073899</v>
      </c>
      <c r="E1252">
        <v>0.116725403631011</v>
      </c>
      <c r="F1252">
        <v>3.3870101898361003E-2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11546.392555930601</v>
      </c>
      <c r="M1252">
        <v>250</v>
      </c>
      <c r="N1252">
        <v>46.193714349576098</v>
      </c>
      <c r="O1252">
        <v>46.182614665666399</v>
      </c>
      <c r="P1252">
        <v>-1.3242082146191601</v>
      </c>
      <c r="Q1252">
        <v>2.1513637997343699E-2</v>
      </c>
      <c r="R1252">
        <v>0.83769236692314197</v>
      </c>
      <c r="S1252" t="s">
        <v>8255</v>
      </c>
      <c r="T1252" t="s">
        <v>14004</v>
      </c>
      <c r="U1252" t="s">
        <v>14004</v>
      </c>
      <c r="V1252" t="s">
        <v>14004</v>
      </c>
      <c r="W1252" t="s">
        <v>15229</v>
      </c>
      <c r="X1252">
        <v>1</v>
      </c>
      <c r="Y1252" t="s">
        <v>22160</v>
      </c>
      <c r="Z1252" t="s">
        <v>28962</v>
      </c>
      <c r="AA1252">
        <v>0.223342819338015</v>
      </c>
      <c r="AB1252" t="str">
        <f>HYPERLINK("Melting_Curves/meltCurve_K7EKI0_EVPL.pdf", "Melting_Curves/meltCurve_K7EKI0_EVPL.pdf")</f>
        <v>Melting_Curves/meltCurve_K7EKI0_EVPL.pdf</v>
      </c>
    </row>
    <row r="1253" spans="1:28" x14ac:dyDescent="0.25">
      <c r="A1253" t="s">
        <v>1257</v>
      </c>
      <c r="B1253">
        <v>0.99999676499088797</v>
      </c>
      <c r="C1253">
        <v>0.71110581912807402</v>
      </c>
      <c r="D1253">
        <v>1.82273171327066</v>
      </c>
      <c r="E1253">
        <v>1.57111622852328</v>
      </c>
      <c r="F1253">
        <v>0.29166602798117902</v>
      </c>
      <c r="G1253">
        <v>0.45606176280983601</v>
      </c>
      <c r="H1253">
        <v>9.2528118054006694E-2</v>
      </c>
      <c r="I1253">
        <v>5.8907467529894099E-2</v>
      </c>
      <c r="J1253">
        <v>4.7184854500479198E-2</v>
      </c>
      <c r="K1253">
        <v>7.5478327965944197E-2</v>
      </c>
      <c r="L1253">
        <v>13215.847383840301</v>
      </c>
      <c r="M1253">
        <v>250</v>
      </c>
      <c r="N1253">
        <v>52.936526972742399</v>
      </c>
      <c r="O1253">
        <v>52.860000303113502</v>
      </c>
      <c r="P1253">
        <v>-1.0097047036726501</v>
      </c>
      <c r="Q1253">
        <v>0.14603204353666099</v>
      </c>
      <c r="R1253">
        <v>0.68673861878442999</v>
      </c>
      <c r="S1253" t="s">
        <v>8256</v>
      </c>
      <c r="T1253" t="s">
        <v>14004</v>
      </c>
      <c r="U1253" t="s">
        <v>14004</v>
      </c>
      <c r="V1253" t="s">
        <v>14004</v>
      </c>
      <c r="W1253" t="s">
        <v>15230</v>
      </c>
      <c r="X1253">
        <v>1</v>
      </c>
      <c r="Y1253" t="s">
        <v>22161</v>
      </c>
      <c r="Z1253" t="s">
        <v>28963</v>
      </c>
      <c r="AA1253">
        <v>0.51227535241369881</v>
      </c>
      <c r="AB1253" t="str">
        <f>HYPERLINK("Melting_Curves/meltCurve_K7EKI8_PPL.pdf", "Melting_Curves/meltCurve_K7EKI8_PPL.pdf")</f>
        <v>Melting_Curves/meltCurve_K7EKI8_PPL.pdf</v>
      </c>
    </row>
    <row r="1254" spans="1:28" x14ac:dyDescent="0.25">
      <c r="A1254" t="s">
        <v>1258</v>
      </c>
      <c r="B1254">
        <v>0.99999676499088797</v>
      </c>
      <c r="C1254">
        <v>0.83832692242055495</v>
      </c>
      <c r="D1254">
        <v>0.64929979549137995</v>
      </c>
      <c r="E1254">
        <v>0.41163968756942099</v>
      </c>
      <c r="F1254">
        <v>0.26387752997979003</v>
      </c>
      <c r="G1254">
        <v>9.01193075988726E-2</v>
      </c>
      <c r="H1254">
        <v>8.59042414384555E-2</v>
      </c>
      <c r="I1254">
        <v>8.2686753268962701E-2</v>
      </c>
      <c r="J1254">
        <v>7.1806601077566007E-2</v>
      </c>
      <c r="K1254">
        <v>8.0213062015502698E-2</v>
      </c>
      <c r="L1254">
        <v>717.46752080884505</v>
      </c>
      <c r="M1254">
        <v>15.0054435025885</v>
      </c>
      <c r="N1254">
        <v>48.204352604554998</v>
      </c>
      <c r="O1254">
        <v>46.988735920844199</v>
      </c>
      <c r="P1254">
        <v>-7.5273471595573502E-2</v>
      </c>
      <c r="Q1254">
        <v>5.7235959704133303E-2</v>
      </c>
      <c r="R1254">
        <v>0.99388698395792496</v>
      </c>
      <c r="S1254" t="s">
        <v>8257</v>
      </c>
      <c r="T1254" t="s">
        <v>14004</v>
      </c>
      <c r="U1254" t="s">
        <v>14004</v>
      </c>
      <c r="V1254" t="s">
        <v>14004</v>
      </c>
      <c r="W1254" t="s">
        <v>15231</v>
      </c>
      <c r="X1254">
        <v>1</v>
      </c>
      <c r="Y1254" t="s">
        <v>22162</v>
      </c>
      <c r="Z1254" t="s">
        <v>28964</v>
      </c>
      <c r="AA1254">
        <v>0.32725096626837241</v>
      </c>
      <c r="AB1254" t="str">
        <f>HYPERLINK("Melting_Curves/meltCurve_K7EKQ4_C19orf40.pdf", "Melting_Curves/meltCurve_K7EKQ4_C19orf40.pdf")</f>
        <v>Melting_Curves/meltCurve_K7EKQ4_C19orf40.pdf</v>
      </c>
    </row>
    <row r="1255" spans="1:28" x14ac:dyDescent="0.25">
      <c r="A1255" t="s">
        <v>1259</v>
      </c>
      <c r="B1255">
        <v>0.99999676499088797</v>
      </c>
      <c r="C1255">
        <v>0.83074066890419995</v>
      </c>
      <c r="D1255">
        <v>0.82738360072320505</v>
      </c>
      <c r="E1255">
        <v>0.50269671415134398</v>
      </c>
      <c r="F1255">
        <v>0.63046503469562998</v>
      </c>
      <c r="G1255">
        <v>0.30576268887980701</v>
      </c>
      <c r="H1255">
        <v>0.18809943316370101</v>
      </c>
      <c r="I1255">
        <v>0.13868944790596599</v>
      </c>
      <c r="J1255">
        <v>0.121378590898247</v>
      </c>
      <c r="K1255">
        <v>0.107246733242072</v>
      </c>
      <c r="L1255">
        <v>479.06852761712901</v>
      </c>
      <c r="M1255">
        <v>9.1231851961563901</v>
      </c>
      <c r="N1255">
        <v>52.511101743278701</v>
      </c>
      <c r="O1255">
        <v>50.172676010051703</v>
      </c>
      <c r="P1255">
        <v>-4.5490296885516902E-2</v>
      </c>
      <c r="Q1255">
        <v>0</v>
      </c>
      <c r="R1255">
        <v>0.94910380389567095</v>
      </c>
      <c r="S1255" t="s">
        <v>8258</v>
      </c>
      <c r="T1255" t="s">
        <v>14004</v>
      </c>
      <c r="U1255" t="s">
        <v>14004</v>
      </c>
      <c r="V1255" t="s">
        <v>14004</v>
      </c>
      <c r="W1255" t="s">
        <v>15232</v>
      </c>
      <c r="X1255">
        <v>3</v>
      </c>
      <c r="Y1255" t="s">
        <v>22163</v>
      </c>
      <c r="Z1255" t="s">
        <v>28965</v>
      </c>
      <c r="AA1255">
        <v>0.45637196375363981</v>
      </c>
      <c r="AB1255" t="str">
        <f>HYPERLINK("Melting_Curves/meltCurve_K7EKW3_TMUB2.pdf", "Melting_Curves/meltCurve_K7EKW3_TMUB2.pdf")</f>
        <v>Melting_Curves/meltCurve_K7EKW3_TMUB2.pdf</v>
      </c>
    </row>
    <row r="1256" spans="1:28" x14ac:dyDescent="0.25">
      <c r="A1256" t="s">
        <v>1260</v>
      </c>
      <c r="B1256">
        <v>0.99999676499088797</v>
      </c>
      <c r="C1256">
        <v>1.4820906233728799</v>
      </c>
      <c r="D1256">
        <v>1.47377933209238</v>
      </c>
      <c r="E1256">
        <v>1.49699983395428</v>
      </c>
      <c r="F1256">
        <v>0.77939979492800604</v>
      </c>
      <c r="G1256">
        <v>0.25713101855020898</v>
      </c>
      <c r="H1256">
        <v>0.17216257963610601</v>
      </c>
      <c r="I1256">
        <v>0.126646887803883</v>
      </c>
      <c r="J1256">
        <v>0.116085478052706</v>
      </c>
      <c r="K1256">
        <v>8.8825454411042601E-2</v>
      </c>
      <c r="L1256">
        <v>2836.2061098901399</v>
      </c>
      <c r="M1256">
        <v>52.003944017803597</v>
      </c>
      <c r="N1256">
        <v>54.856312904491404</v>
      </c>
      <c r="O1256">
        <v>54.4578296390359</v>
      </c>
      <c r="P1256">
        <v>-0.20766579427847301</v>
      </c>
      <c r="Q1256">
        <v>0.13014147695815001</v>
      </c>
      <c r="R1256">
        <v>0.79354411075046605</v>
      </c>
      <c r="S1256" t="s">
        <v>8259</v>
      </c>
      <c r="T1256" t="s">
        <v>14004</v>
      </c>
      <c r="U1256" t="s">
        <v>14004</v>
      </c>
      <c r="V1256" t="s">
        <v>14004</v>
      </c>
      <c r="W1256" t="s">
        <v>15233</v>
      </c>
      <c r="X1256">
        <v>16</v>
      </c>
      <c r="Y1256" t="s">
        <v>22164</v>
      </c>
      <c r="Z1256" t="s">
        <v>28966</v>
      </c>
      <c r="AA1256">
        <v>0.55361637837017841</v>
      </c>
      <c r="AB1256" t="str">
        <f>HYPERLINK("Melting_Curves/meltCurve_K7EL68_CDC37.pdf", "Melting_Curves/meltCurve_K7EL68_CDC37.pdf")</f>
        <v>Melting_Curves/meltCurve_K7EL68_CDC37.pdf</v>
      </c>
    </row>
    <row r="1257" spans="1:28" x14ac:dyDescent="0.25">
      <c r="A1257" t="s">
        <v>1261</v>
      </c>
      <c r="B1257">
        <v>0.99999676499088797</v>
      </c>
      <c r="C1257">
        <v>0.87579952051614496</v>
      </c>
      <c r="D1257">
        <v>0.70065587030809495</v>
      </c>
      <c r="E1257">
        <v>0.405501253890931</v>
      </c>
      <c r="F1257">
        <v>0.26391221068411802</v>
      </c>
      <c r="G1257">
        <v>0.16575214706035599</v>
      </c>
      <c r="H1257">
        <v>8.7414431983922999E-2</v>
      </c>
      <c r="I1257">
        <v>0.11729954750025499</v>
      </c>
      <c r="J1257">
        <v>0.10413605890322</v>
      </c>
      <c r="K1257">
        <v>0.12385232303615699</v>
      </c>
      <c r="L1257">
        <v>808.84175593229702</v>
      </c>
      <c r="M1257">
        <v>16.9066920606145</v>
      </c>
      <c r="N1257">
        <v>48.489097528512602</v>
      </c>
      <c r="O1257">
        <v>47.187217435330197</v>
      </c>
      <c r="P1257">
        <v>-8.05254075515002E-2</v>
      </c>
      <c r="Q1257">
        <v>0.10105876136039101</v>
      </c>
      <c r="R1257">
        <v>0.99654519942368402</v>
      </c>
      <c r="S1257" t="s">
        <v>8260</v>
      </c>
      <c r="T1257" t="s">
        <v>14004</v>
      </c>
      <c r="U1257" t="s">
        <v>14004</v>
      </c>
      <c r="V1257" t="s">
        <v>14004</v>
      </c>
      <c r="W1257" t="s">
        <v>15234</v>
      </c>
      <c r="X1257">
        <v>10</v>
      </c>
      <c r="Y1257" t="s">
        <v>22165</v>
      </c>
      <c r="Z1257" t="s">
        <v>28967</v>
      </c>
      <c r="AA1257">
        <v>0.3542984630823573</v>
      </c>
      <c r="AB1257" t="str">
        <f>HYPERLINK("Melting_Curves/meltCurve_K7EL81_PPP1R12C.pdf", "Melting_Curves/meltCurve_K7EL81_PPP1R12C.pdf")</f>
        <v>Melting_Curves/meltCurve_K7EL81_PPP1R12C.pdf</v>
      </c>
    </row>
    <row r="1258" spans="1:28" x14ac:dyDescent="0.25">
      <c r="A1258" t="s">
        <v>1262</v>
      </c>
      <c r="B1258">
        <v>0.99999676499088797</v>
      </c>
      <c r="C1258">
        <v>0.954894902854036</v>
      </c>
      <c r="D1258">
        <v>0.95553191725520603</v>
      </c>
      <c r="E1258">
        <v>0.90126023071412797</v>
      </c>
      <c r="F1258">
        <v>0.66693001040950695</v>
      </c>
      <c r="G1258">
        <v>0.41680417923325302</v>
      </c>
      <c r="H1258">
        <v>0.22944873287050399</v>
      </c>
      <c r="I1258">
        <v>0.21714366699988799</v>
      </c>
      <c r="J1258">
        <v>0.227491469797935</v>
      </c>
      <c r="K1258">
        <v>0.27413876066237602</v>
      </c>
      <c r="L1258">
        <v>1256.9918603588901</v>
      </c>
      <c r="M1258">
        <v>23.354196273458498</v>
      </c>
      <c r="N1258">
        <v>55.206365400009702</v>
      </c>
      <c r="O1258">
        <v>53.432983132189101</v>
      </c>
      <c r="P1258">
        <v>-8.5065902157523202E-2</v>
      </c>
      <c r="Q1258">
        <v>0.22151120623011</v>
      </c>
      <c r="R1258">
        <v>0.99265717608172299</v>
      </c>
      <c r="S1258" t="s">
        <v>8261</v>
      </c>
      <c r="T1258" t="s">
        <v>14004</v>
      </c>
      <c r="U1258" t="s">
        <v>14004</v>
      </c>
      <c r="V1258" t="s">
        <v>14004</v>
      </c>
      <c r="W1258" t="s">
        <v>15235</v>
      </c>
      <c r="X1258">
        <v>21</v>
      </c>
      <c r="Y1258" t="s">
        <v>22166</v>
      </c>
      <c r="Z1258" t="s">
        <v>28968</v>
      </c>
      <c r="AA1258">
        <v>0.58835383701735422</v>
      </c>
      <c r="AB1258" t="str">
        <f>HYPERLINK("Melting_Curves/meltCurve_K7ELL7_PRKCSH.pdf", "Melting_Curves/meltCurve_K7ELL7_PRKCSH.pdf")</f>
        <v>Melting_Curves/meltCurve_K7ELL7_PRKCSH.pdf</v>
      </c>
    </row>
    <row r="1259" spans="1:28" x14ac:dyDescent="0.25">
      <c r="A1259" t="s">
        <v>1263</v>
      </c>
      <c r="B1259">
        <v>0.99999676499088797</v>
      </c>
      <c r="C1259">
        <v>1.0607866381064699</v>
      </c>
      <c r="D1259">
        <v>1.0517306649568201</v>
      </c>
      <c r="E1259">
        <v>1.2236416949270199</v>
      </c>
      <c r="F1259">
        <v>1.33824678089698</v>
      </c>
      <c r="G1259">
        <v>1.41653989487124</v>
      </c>
      <c r="H1259">
        <v>1.0274426239398999</v>
      </c>
      <c r="I1259">
        <v>0.82537996974196204</v>
      </c>
      <c r="J1259">
        <v>0.48213773010986</v>
      </c>
      <c r="K1259">
        <v>0.24469444750911401</v>
      </c>
      <c r="L1259">
        <v>2884.0637751560398</v>
      </c>
      <c r="M1259">
        <v>43.580301469816298</v>
      </c>
      <c r="N1259">
        <v>66.862530480558405</v>
      </c>
      <c r="O1259">
        <v>66.039269553172105</v>
      </c>
      <c r="P1259">
        <v>-0.135294050375355</v>
      </c>
      <c r="Q1259">
        <v>0.17993170533582301</v>
      </c>
      <c r="R1259">
        <v>0.71124037617845504</v>
      </c>
      <c r="S1259" t="s">
        <v>8262</v>
      </c>
      <c r="T1259" t="s">
        <v>14004</v>
      </c>
      <c r="U1259" t="s">
        <v>14004</v>
      </c>
      <c r="V1259" t="s">
        <v>14004</v>
      </c>
      <c r="W1259" t="s">
        <v>15236</v>
      </c>
      <c r="X1259">
        <v>1</v>
      </c>
      <c r="Y1259" t="s">
        <v>22167</v>
      </c>
      <c r="Z1259" t="s">
        <v>28969</v>
      </c>
      <c r="AA1259">
        <v>0.89435005919737209</v>
      </c>
      <c r="AB1259" t="str">
        <f>HYPERLINK("Melting_Curves/meltCurve_K7EM02_KATNAL2.pdf", "Melting_Curves/meltCurve_K7EM02_KATNAL2.pdf")</f>
        <v>Melting_Curves/meltCurve_K7EM02_KATNAL2.pdf</v>
      </c>
    </row>
    <row r="1260" spans="1:28" x14ac:dyDescent="0.25">
      <c r="A1260" t="s">
        <v>1264</v>
      </c>
      <c r="B1260">
        <v>0.99999676499088797</v>
      </c>
      <c r="C1260">
        <v>1.1283356316561699</v>
      </c>
      <c r="D1260">
        <v>1.09514775055785</v>
      </c>
      <c r="E1260">
        <v>0.92632365934010696</v>
      </c>
      <c r="F1260">
        <v>0.84711766819044498</v>
      </c>
      <c r="G1260">
        <v>0.887477121465582</v>
      </c>
      <c r="H1260">
        <v>0.56894420849140304</v>
      </c>
      <c r="I1260">
        <v>0.49092972091026799</v>
      </c>
      <c r="J1260">
        <v>0.32658583378718498</v>
      </c>
      <c r="K1260">
        <v>0.22042108135091201</v>
      </c>
      <c r="L1260">
        <v>802.84406495283895</v>
      </c>
      <c r="M1260">
        <v>12.694810058337399</v>
      </c>
      <c r="N1260">
        <v>63.241912355664297</v>
      </c>
      <c r="O1260">
        <v>61.734206726742499</v>
      </c>
      <c r="P1260">
        <v>-5.1419094355237803E-2</v>
      </c>
      <c r="Q1260">
        <v>0</v>
      </c>
      <c r="R1260">
        <v>0.95250033257774103</v>
      </c>
      <c r="S1260" t="s">
        <v>8263</v>
      </c>
      <c r="T1260" t="s">
        <v>14004</v>
      </c>
      <c r="U1260" t="s">
        <v>14004</v>
      </c>
      <c r="V1260" t="s">
        <v>14004</v>
      </c>
      <c r="W1260" t="s">
        <v>15237</v>
      </c>
      <c r="X1260">
        <v>5</v>
      </c>
      <c r="Y1260" t="s">
        <v>22168</v>
      </c>
      <c r="Z1260" t="s">
        <v>28970</v>
      </c>
      <c r="AA1260">
        <v>0.75598301631749087</v>
      </c>
      <c r="AB1260" t="str">
        <f>HYPERLINK("Melting_Curves/meltCurve_K7EM09_TMEM205.pdf", "Melting_Curves/meltCurve_K7EM09_TMEM205.pdf")</f>
        <v>Melting_Curves/meltCurve_K7EM09_TMEM205.pdf</v>
      </c>
    </row>
    <row r="1261" spans="1:28" x14ac:dyDescent="0.25">
      <c r="A1261" t="s">
        <v>1265</v>
      </c>
      <c r="B1261">
        <v>0.99999676499088797</v>
      </c>
      <c r="C1261">
        <v>0.98266714726472504</v>
      </c>
      <c r="D1261">
        <v>0.96115715552632597</v>
      </c>
      <c r="E1261">
        <v>1.42586208830074</v>
      </c>
      <c r="F1261">
        <v>1.4926710514357699</v>
      </c>
      <c r="G1261">
        <v>1.9634286739765101</v>
      </c>
      <c r="H1261">
        <v>1.52944698234589</v>
      </c>
      <c r="I1261">
        <v>1.67206565353305</v>
      </c>
      <c r="J1261">
        <v>1.28525982681433</v>
      </c>
      <c r="K1261">
        <v>0.45464084535413302</v>
      </c>
      <c r="L1261">
        <v>11947.3479476312</v>
      </c>
      <c r="M1261">
        <v>250</v>
      </c>
      <c r="O1261">
        <v>47.7863339571513</v>
      </c>
      <c r="P1261">
        <v>0.52753692667187402</v>
      </c>
      <c r="Q1261">
        <v>1.4033448884412201</v>
      </c>
      <c r="R1261">
        <v>0.219546308451704</v>
      </c>
      <c r="S1261" t="s">
        <v>8264</v>
      </c>
      <c r="T1261" t="s">
        <v>14004</v>
      </c>
      <c r="U1261" t="s">
        <v>14004</v>
      </c>
      <c r="V1261" t="s">
        <v>14004</v>
      </c>
      <c r="W1261" t="s">
        <v>15238</v>
      </c>
      <c r="X1261">
        <v>14</v>
      </c>
      <c r="Y1261" t="s">
        <v>22169</v>
      </c>
      <c r="Z1261" t="s">
        <v>28971</v>
      </c>
      <c r="AA1261">
        <v>1.298584014625294</v>
      </c>
      <c r="AB1261" t="str">
        <f>HYPERLINK("Melting_Curves/meltCurve_K7EM38_ACTG1.pdf", "Melting_Curves/meltCurve_K7EM38_ACTG1.pdf")</f>
        <v>Melting_Curves/meltCurve_K7EM38_ACTG1.pdf</v>
      </c>
    </row>
    <row r="1262" spans="1:28" x14ac:dyDescent="0.25">
      <c r="A1262" t="s">
        <v>1266</v>
      </c>
      <c r="B1262">
        <v>0.99999676499088797</v>
      </c>
      <c r="C1262">
        <v>1.2048834855317501</v>
      </c>
      <c r="D1262">
        <v>0.88077540806422405</v>
      </c>
      <c r="E1262">
        <v>0.51667343749868599</v>
      </c>
      <c r="F1262">
        <v>0.316749823576639</v>
      </c>
      <c r="G1262">
        <v>0.154566385838286</v>
      </c>
      <c r="H1262">
        <v>0.122268985568314</v>
      </c>
      <c r="I1262">
        <v>0.14819789055249499</v>
      </c>
      <c r="J1262">
        <v>0.100044822764837</v>
      </c>
      <c r="K1262">
        <v>0.126100201417919</v>
      </c>
      <c r="L1262">
        <v>1286.4944435724899</v>
      </c>
      <c r="M1262">
        <v>25.977936421194801</v>
      </c>
      <c r="N1262">
        <v>50.100201158265101</v>
      </c>
      <c r="O1262">
        <v>49.231917170102101</v>
      </c>
      <c r="P1262">
        <v>-0.114845934827946</v>
      </c>
      <c r="Q1262">
        <v>0.12941196034045599</v>
      </c>
      <c r="R1262">
        <v>0.96499003513236403</v>
      </c>
      <c r="S1262" t="s">
        <v>8265</v>
      </c>
      <c r="T1262" t="s">
        <v>14004</v>
      </c>
      <c r="U1262" t="s">
        <v>14004</v>
      </c>
      <c r="V1262" t="s">
        <v>14004</v>
      </c>
      <c r="W1262" t="s">
        <v>15239</v>
      </c>
      <c r="X1262">
        <v>3</v>
      </c>
      <c r="Y1262" t="s">
        <v>22170</v>
      </c>
      <c r="Z1262" t="s">
        <v>28972</v>
      </c>
      <c r="AA1262">
        <v>0.41291751397046023</v>
      </c>
      <c r="AB1262" t="str">
        <f>HYPERLINK("Melting_Curves/meltCurve_K7EMK7_TLE2.pdf", "Melting_Curves/meltCurve_K7EMK7_TLE2.pdf")</f>
        <v>Melting_Curves/meltCurve_K7EMK7_TLE2.pdf</v>
      </c>
    </row>
    <row r="1263" spans="1:28" x14ac:dyDescent="0.25">
      <c r="A1263" t="s">
        <v>1267</v>
      </c>
      <c r="B1263">
        <v>0.99999676499088797</v>
      </c>
      <c r="C1263">
        <v>0.99418560368112896</v>
      </c>
      <c r="D1263">
        <v>0.88766868918320496</v>
      </c>
      <c r="E1263">
        <v>0.53969897388038401</v>
      </c>
      <c r="F1263">
        <v>0.51673686515308404</v>
      </c>
      <c r="G1263">
        <v>0.36883381301929402</v>
      </c>
      <c r="H1263">
        <v>0.16907092541587801</v>
      </c>
      <c r="I1263">
        <v>0.19516368608409401</v>
      </c>
      <c r="J1263">
        <v>0.160792493505169</v>
      </c>
      <c r="K1263">
        <v>0.14080328512156101</v>
      </c>
      <c r="L1263">
        <v>675.781864721631</v>
      </c>
      <c r="M1263">
        <v>13.1694816414622</v>
      </c>
      <c r="N1263">
        <v>52.4355153455992</v>
      </c>
      <c r="O1263">
        <v>50.174298885872197</v>
      </c>
      <c r="P1263">
        <v>-5.7575725151996299E-2</v>
      </c>
      <c r="Q1263">
        <v>0.122717823454269</v>
      </c>
      <c r="R1263">
        <v>0.97386822520985605</v>
      </c>
      <c r="S1263" t="s">
        <v>8266</v>
      </c>
      <c r="T1263" t="s">
        <v>14004</v>
      </c>
      <c r="U1263" t="s">
        <v>14004</v>
      </c>
      <c r="V1263" t="s">
        <v>14004</v>
      </c>
      <c r="W1263" t="s">
        <v>15240</v>
      </c>
      <c r="X1263">
        <v>2</v>
      </c>
      <c r="Y1263" t="s">
        <v>22171</v>
      </c>
      <c r="Z1263" t="s">
        <v>28973</v>
      </c>
      <c r="AA1263">
        <v>0.47813267754853778</v>
      </c>
      <c r="AB1263" t="str">
        <f>HYPERLINK("Melting_Curves/meltCurve_K7EMM8_GLYR1.pdf", "Melting_Curves/meltCurve_K7EMM8_GLYR1.pdf")</f>
        <v>Melting_Curves/meltCurve_K7EMM8_GLYR1.pdf</v>
      </c>
    </row>
    <row r="1264" spans="1:28" x14ac:dyDescent="0.25">
      <c r="A1264" t="s">
        <v>1268</v>
      </c>
      <c r="B1264">
        <v>0.99999676499088797</v>
      </c>
      <c r="C1264">
        <v>0.83958220012173901</v>
      </c>
      <c r="D1264">
        <v>0.88016329015698602</v>
      </c>
      <c r="E1264">
        <v>0.68910685261583104</v>
      </c>
      <c r="F1264">
        <v>0.275586531352841</v>
      </c>
      <c r="G1264">
        <v>0.262845999504282</v>
      </c>
      <c r="H1264">
        <v>0.11840919298592301</v>
      </c>
      <c r="I1264">
        <v>0.110579003371993</v>
      </c>
      <c r="J1264">
        <v>0.105194961157019</v>
      </c>
      <c r="K1264">
        <v>0.11962147038309399</v>
      </c>
      <c r="L1264">
        <v>901.15334214872303</v>
      </c>
      <c r="M1264">
        <v>17.8266743595827</v>
      </c>
      <c r="N1264">
        <v>51.166434907892103</v>
      </c>
      <c r="O1264">
        <v>49.9275935244995</v>
      </c>
      <c r="P1264">
        <v>-8.0651300693082906E-2</v>
      </c>
      <c r="Q1264">
        <v>9.6518205416498096E-2</v>
      </c>
      <c r="R1264">
        <v>0.97469974497617595</v>
      </c>
      <c r="S1264" t="s">
        <v>8267</v>
      </c>
      <c r="T1264" t="s">
        <v>14004</v>
      </c>
      <c r="U1264" t="s">
        <v>14004</v>
      </c>
      <c r="V1264" t="s">
        <v>14004</v>
      </c>
      <c r="W1264" t="s">
        <v>15241</v>
      </c>
      <c r="X1264">
        <v>1</v>
      </c>
      <c r="Y1264" t="s">
        <v>22172</v>
      </c>
      <c r="Z1264" t="s">
        <v>28974</v>
      </c>
      <c r="AA1264">
        <v>0.42984646548245642</v>
      </c>
      <c r="AB1264" t="str">
        <f>HYPERLINK("Melting_Curves/meltCurve_K7EMV5_ZNF444.pdf", "Melting_Curves/meltCurve_K7EMV5_ZNF444.pdf")</f>
        <v>Melting_Curves/meltCurve_K7EMV5_ZNF444.pdf</v>
      </c>
    </row>
    <row r="1265" spans="1:28" x14ac:dyDescent="0.25">
      <c r="A1265" t="s">
        <v>1269</v>
      </c>
      <c r="B1265">
        <v>0.99999676499088797</v>
      </c>
      <c r="C1265">
        <v>1.09457983043313</v>
      </c>
      <c r="D1265">
        <v>1.0211127209372901</v>
      </c>
      <c r="E1265">
        <v>1.0205529530234401</v>
      </c>
      <c r="F1265">
        <v>0.57310255162490398</v>
      </c>
      <c r="G1265">
        <v>0.42630051051550899</v>
      </c>
      <c r="H1265">
        <v>0.151972677215409</v>
      </c>
      <c r="I1265">
        <v>0.14189663946611</v>
      </c>
      <c r="J1265">
        <v>0.12521391887271299</v>
      </c>
      <c r="K1265">
        <v>0.134246311156489</v>
      </c>
      <c r="L1265">
        <v>1326.6238050035099</v>
      </c>
      <c r="M1265">
        <v>24.4495646961266</v>
      </c>
      <c r="N1265">
        <v>54.905221823131598</v>
      </c>
      <c r="O1265">
        <v>53.900533060189503</v>
      </c>
      <c r="P1265">
        <v>-9.9235568581465594E-2</v>
      </c>
      <c r="Q1265">
        <v>0.124929786043321</v>
      </c>
      <c r="R1265">
        <v>0.97738577585533504</v>
      </c>
      <c r="S1265" t="s">
        <v>8268</v>
      </c>
      <c r="T1265" t="s">
        <v>14004</v>
      </c>
      <c r="U1265" t="s">
        <v>14004</v>
      </c>
      <c r="V1265" t="s">
        <v>14004</v>
      </c>
      <c r="W1265" t="s">
        <v>15242</v>
      </c>
      <c r="X1265">
        <v>2</v>
      </c>
      <c r="Y1265" t="s">
        <v>22173</v>
      </c>
      <c r="Z1265" t="s">
        <v>28975</v>
      </c>
      <c r="AA1265">
        <v>0.54930078002990967</v>
      </c>
      <c r="AB1265" t="str">
        <f>HYPERLINK("Melting_Curves/meltCurve_K7EN05_ELOF1.pdf", "Melting_Curves/meltCurve_K7EN05_ELOF1.pdf")</f>
        <v>Melting_Curves/meltCurve_K7EN05_ELOF1.pdf</v>
      </c>
    </row>
    <row r="1266" spans="1:28" x14ac:dyDescent="0.25">
      <c r="A1266" t="s">
        <v>1270</v>
      </c>
      <c r="B1266">
        <v>0.99999676499088797</v>
      </c>
      <c r="C1266">
        <v>0.89145289636950598</v>
      </c>
      <c r="D1266">
        <v>0.85583805327506901</v>
      </c>
      <c r="E1266">
        <v>0.77318985456621503</v>
      </c>
      <c r="F1266">
        <v>0.70824129064137997</v>
      </c>
      <c r="G1266">
        <v>0.40034303844767299</v>
      </c>
      <c r="H1266">
        <v>0.18318339865336</v>
      </c>
      <c r="I1266">
        <v>0.209444841103921</v>
      </c>
      <c r="J1266">
        <v>0.20878268304366701</v>
      </c>
      <c r="K1266">
        <v>0.18789603059061</v>
      </c>
      <c r="L1266">
        <v>684.02919608276602</v>
      </c>
      <c r="M1266">
        <v>12.6485061244421</v>
      </c>
      <c r="N1266">
        <v>55.1178521329891</v>
      </c>
      <c r="O1266">
        <v>52.781486890228301</v>
      </c>
      <c r="P1266">
        <v>-5.3571001134734501E-2</v>
      </c>
      <c r="Q1266">
        <v>0.10598092029318699</v>
      </c>
      <c r="R1266">
        <v>0.96644471793666598</v>
      </c>
      <c r="S1266" t="s">
        <v>8269</v>
      </c>
      <c r="T1266" t="s">
        <v>14004</v>
      </c>
      <c r="U1266" t="s">
        <v>14004</v>
      </c>
      <c r="V1266" t="s">
        <v>14004</v>
      </c>
      <c r="W1266" t="s">
        <v>15243</v>
      </c>
      <c r="X1266">
        <v>3</v>
      </c>
      <c r="Y1266" t="s">
        <v>22174</v>
      </c>
      <c r="Z1266" t="s">
        <v>28976</v>
      </c>
      <c r="AA1266">
        <v>0.54761662836207736</v>
      </c>
      <c r="AB1266" t="str">
        <f>HYPERLINK("Melting_Curves/meltCurve_K7EN88_hCG_2039718.pdf", "Melting_Curves/meltCurve_K7EN88_hCG_2039718.pdf")</f>
        <v>Melting_Curves/meltCurve_K7EN88_hCG_2039718.pdf</v>
      </c>
    </row>
    <row r="1267" spans="1:28" x14ac:dyDescent="0.25">
      <c r="A1267" t="s">
        <v>1271</v>
      </c>
      <c r="B1267">
        <v>0.99999676499088797</v>
      </c>
      <c r="C1267">
        <v>1.0261337092301299</v>
      </c>
      <c r="D1267">
        <v>0.98512110644679496</v>
      </c>
      <c r="E1267">
        <v>1.1695857576081199</v>
      </c>
      <c r="F1267">
        <v>0.928291822121179</v>
      </c>
      <c r="G1267">
        <v>0.74463042979748495</v>
      </c>
      <c r="H1267">
        <v>0.171503453766466</v>
      </c>
      <c r="I1267">
        <v>0.16348563560298801</v>
      </c>
      <c r="J1267">
        <v>0.18310967224527</v>
      </c>
      <c r="K1267">
        <v>0.11510858942904501</v>
      </c>
      <c r="L1267">
        <v>3401.92762151324</v>
      </c>
      <c r="M1267">
        <v>59.072175847777501</v>
      </c>
      <c r="N1267">
        <v>57.936468546684601</v>
      </c>
      <c r="O1267">
        <v>57.523451917176402</v>
      </c>
      <c r="P1267">
        <v>-0.21846722729492399</v>
      </c>
      <c r="Q1267">
        <v>0.14904210905720899</v>
      </c>
      <c r="R1267">
        <v>0.97850296242175305</v>
      </c>
      <c r="S1267" t="s">
        <v>8270</v>
      </c>
      <c r="T1267" t="s">
        <v>14004</v>
      </c>
      <c r="U1267" t="s">
        <v>14004</v>
      </c>
      <c r="V1267" t="s">
        <v>14004</v>
      </c>
      <c r="W1267" t="s">
        <v>15244</v>
      </c>
      <c r="X1267">
        <v>2</v>
      </c>
      <c r="Y1267" t="s">
        <v>22175</v>
      </c>
      <c r="Z1267" t="s">
        <v>28977</v>
      </c>
      <c r="AA1267">
        <v>0.64951338665289571</v>
      </c>
      <c r="AB1267" t="str">
        <f>HYPERLINK("Melting_Curves/meltCurve_K7ENF0_NARS.pdf", "Melting_Curves/meltCurve_K7ENF0_NARS.pdf")</f>
        <v>Melting_Curves/meltCurve_K7ENF0_NARS.pdf</v>
      </c>
    </row>
    <row r="1268" spans="1:28" x14ac:dyDescent="0.25">
      <c r="A1268" t="s">
        <v>1272</v>
      </c>
      <c r="B1268">
        <v>0.99999676499088797</v>
      </c>
      <c r="C1268">
        <v>1.0694037292571801</v>
      </c>
      <c r="D1268">
        <v>0.99111823959635603</v>
      </c>
      <c r="E1268">
        <v>0.86677694997961896</v>
      </c>
      <c r="F1268">
        <v>0.22372715259537301</v>
      </c>
      <c r="G1268">
        <v>0.12962889994146101</v>
      </c>
      <c r="H1268">
        <v>4.6569702793115599E-2</v>
      </c>
      <c r="I1268">
        <v>4.8651954492571099E-2</v>
      </c>
      <c r="J1268">
        <v>4.0837589636817898E-2</v>
      </c>
      <c r="K1268">
        <v>2.8242148725585298E-2</v>
      </c>
      <c r="L1268">
        <v>2349.50883360548</v>
      </c>
      <c r="M1268">
        <v>45.612623934697197</v>
      </c>
      <c r="N1268">
        <v>51.640044453432701</v>
      </c>
      <c r="O1268">
        <v>51.411328751389</v>
      </c>
      <c r="P1268">
        <v>-0.209773194379137</v>
      </c>
      <c r="Q1268">
        <v>5.4234842245013098E-2</v>
      </c>
      <c r="R1268">
        <v>0.99503250668113197</v>
      </c>
      <c r="S1268" t="s">
        <v>8271</v>
      </c>
      <c r="T1268" t="s">
        <v>14004</v>
      </c>
      <c r="U1268" t="s">
        <v>14004</v>
      </c>
      <c r="V1268" t="s">
        <v>14004</v>
      </c>
      <c r="W1268" t="s">
        <v>15245</v>
      </c>
      <c r="X1268">
        <v>9</v>
      </c>
      <c r="Y1268" t="s">
        <v>22176</v>
      </c>
      <c r="Z1268" t="s">
        <v>28978</v>
      </c>
      <c r="AA1268">
        <v>0.41967994294775218</v>
      </c>
      <c r="AB1268" t="str">
        <f>HYPERLINK("Melting_Curves/meltCurve_K7ENL9_C18orf8.pdf", "Melting_Curves/meltCurve_K7ENL9_C18orf8.pdf")</f>
        <v>Melting_Curves/meltCurve_K7ENL9_C18orf8.pdf</v>
      </c>
    </row>
    <row r="1269" spans="1:28" x14ac:dyDescent="0.25">
      <c r="A1269" t="s">
        <v>1273</v>
      </c>
      <c r="B1269">
        <v>0.99999676499088797</v>
      </c>
      <c r="C1269">
        <v>1.0582235396247801</v>
      </c>
      <c r="D1269">
        <v>1.0786214651547501</v>
      </c>
      <c r="E1269">
        <v>1.1559372694648899</v>
      </c>
      <c r="F1269">
        <v>1.0441089475023799</v>
      </c>
      <c r="G1269">
        <v>1.02051480730431</v>
      </c>
      <c r="H1269">
        <v>0.43015159793177699</v>
      </c>
      <c r="I1269">
        <v>0.19068288172919701</v>
      </c>
      <c r="J1269">
        <v>0.14738906965816601</v>
      </c>
      <c r="K1269">
        <v>0.12719565077499101</v>
      </c>
      <c r="L1269">
        <v>4850.2248003178502</v>
      </c>
      <c r="M1269">
        <v>80.479042073831707</v>
      </c>
      <c r="N1269">
        <v>60.539418289791101</v>
      </c>
      <c r="O1269">
        <v>60.229748606667201</v>
      </c>
      <c r="P1269">
        <v>-0.28329427926849998</v>
      </c>
      <c r="Q1269">
        <v>0.15194114600313699</v>
      </c>
      <c r="R1269">
        <v>0.97819834731182898</v>
      </c>
      <c r="S1269" t="s">
        <v>8272</v>
      </c>
      <c r="T1269" t="s">
        <v>14004</v>
      </c>
      <c r="U1269" t="s">
        <v>14004</v>
      </c>
      <c r="V1269" t="s">
        <v>14004</v>
      </c>
      <c r="W1269" t="s">
        <v>15246</v>
      </c>
      <c r="X1269">
        <v>9</v>
      </c>
      <c r="Y1269" t="s">
        <v>22177</v>
      </c>
      <c r="Z1269" t="s">
        <v>28979</v>
      </c>
      <c r="AA1269">
        <v>0.72572627071467966</v>
      </c>
      <c r="AB1269" t="str">
        <f>HYPERLINK("Melting_Curves/meltCurve_K7ENR6_PSMG2.pdf", "Melting_Curves/meltCurve_K7ENR6_PSMG2.pdf")</f>
        <v>Melting_Curves/meltCurve_K7ENR6_PSMG2.pdf</v>
      </c>
    </row>
    <row r="1270" spans="1:28" x14ac:dyDescent="0.25">
      <c r="A1270" t="s">
        <v>1274</v>
      </c>
      <c r="B1270">
        <v>0.99999676499088797</v>
      </c>
      <c r="C1270">
        <v>1.0008230384902499</v>
      </c>
      <c r="D1270">
        <v>0.99519211205838098</v>
      </c>
      <c r="E1270">
        <v>1.00173582753402</v>
      </c>
      <c r="F1270">
        <v>0.975002211077586</v>
      </c>
      <c r="G1270">
        <v>0.57306018003640202</v>
      </c>
      <c r="H1270">
        <v>0.32230214650348599</v>
      </c>
      <c r="I1270">
        <v>0.202072794546996</v>
      </c>
      <c r="J1270">
        <v>0.15534244120632401</v>
      </c>
      <c r="K1270">
        <v>0.121963797796196</v>
      </c>
      <c r="L1270">
        <v>1650.91305317149</v>
      </c>
      <c r="M1270">
        <v>28.848513190228999</v>
      </c>
      <c r="N1270">
        <v>57.933427440036901</v>
      </c>
      <c r="O1270">
        <v>56.954123498050798</v>
      </c>
      <c r="P1270">
        <v>-0.107853964524199</v>
      </c>
      <c r="Q1270">
        <v>0.148284825236176</v>
      </c>
      <c r="R1270">
        <v>0.99364597043834502</v>
      </c>
      <c r="S1270" t="s">
        <v>8273</v>
      </c>
      <c r="T1270" t="s">
        <v>14004</v>
      </c>
      <c r="U1270" t="s">
        <v>14004</v>
      </c>
      <c r="V1270" t="s">
        <v>14004</v>
      </c>
      <c r="W1270" t="s">
        <v>15247</v>
      </c>
      <c r="X1270">
        <v>4</v>
      </c>
      <c r="Y1270" t="s">
        <v>22178</v>
      </c>
      <c r="Z1270" t="s">
        <v>28980</v>
      </c>
      <c r="AA1270">
        <v>0.64342328940354065</v>
      </c>
      <c r="AB1270" t="str">
        <f>HYPERLINK("Melting_Curves/meltCurve_K7ENV7_ISOC2.pdf", "Melting_Curves/meltCurve_K7ENV7_ISOC2.pdf")</f>
        <v>Melting_Curves/meltCurve_K7ENV7_ISOC2.pdf</v>
      </c>
    </row>
    <row r="1271" spans="1:28" x14ac:dyDescent="0.25">
      <c r="A1271" t="s">
        <v>1275</v>
      </c>
      <c r="B1271">
        <v>0.99999676499088797</v>
      </c>
      <c r="C1271">
        <v>0.91445647665497998</v>
      </c>
      <c r="D1271">
        <v>0.87052460521975095</v>
      </c>
      <c r="E1271">
        <v>0.74945870200605802</v>
      </c>
      <c r="F1271">
        <v>0.58219195714967997</v>
      </c>
      <c r="G1271">
        <v>0.43582201907062701</v>
      </c>
      <c r="H1271">
        <v>0.25456650715147899</v>
      </c>
      <c r="I1271">
        <v>0.25731318522597801</v>
      </c>
      <c r="J1271">
        <v>0.25588127667305499</v>
      </c>
      <c r="K1271">
        <v>0.31645072476689001</v>
      </c>
      <c r="L1271">
        <v>702.364406869557</v>
      </c>
      <c r="M1271">
        <v>13.489902519775301</v>
      </c>
      <c r="N1271">
        <v>54.504069458056399</v>
      </c>
      <c r="O1271">
        <v>50.961721619721999</v>
      </c>
      <c r="P1271">
        <v>-5.1192965360703703E-2</v>
      </c>
      <c r="Q1271">
        <v>0.22653772757565099</v>
      </c>
      <c r="R1271">
        <v>0.98317030173231501</v>
      </c>
      <c r="S1271" t="s">
        <v>8274</v>
      </c>
      <c r="T1271" t="s">
        <v>14004</v>
      </c>
      <c r="U1271" t="s">
        <v>14004</v>
      </c>
      <c r="V1271" t="s">
        <v>14004</v>
      </c>
      <c r="W1271" t="s">
        <v>15248</v>
      </c>
      <c r="X1271">
        <v>8</v>
      </c>
      <c r="Y1271" t="s">
        <v>22179</v>
      </c>
      <c r="Z1271" t="s">
        <v>28981</v>
      </c>
      <c r="AA1271">
        <v>0.55777034585325747</v>
      </c>
      <c r="AB1271" t="str">
        <f>HYPERLINK("Melting_Curves/meltCurve_K7EP90_RBM42.pdf", "Melting_Curves/meltCurve_K7EP90_RBM42.pdf")</f>
        <v>Melting_Curves/meltCurve_K7EP90_RBM42.pdf</v>
      </c>
    </row>
    <row r="1272" spans="1:28" x14ac:dyDescent="0.25">
      <c r="A1272" t="s">
        <v>1276</v>
      </c>
      <c r="B1272">
        <v>0.99999676499088797</v>
      </c>
      <c r="C1272">
        <v>1.0619464262836</v>
      </c>
      <c r="D1272">
        <v>1.08201458340093</v>
      </c>
      <c r="E1272">
        <v>0.73299988018771001</v>
      </c>
      <c r="F1272">
        <v>0.235652605923382</v>
      </c>
      <c r="G1272">
        <v>0.16163205354041599</v>
      </c>
      <c r="H1272">
        <v>5.4160561880697899E-2</v>
      </c>
      <c r="I1272">
        <v>0</v>
      </c>
      <c r="J1272">
        <v>0</v>
      </c>
      <c r="K1272">
        <v>0</v>
      </c>
      <c r="L1272">
        <v>1643.9133053934499</v>
      </c>
      <c r="M1272">
        <v>32.093905846761601</v>
      </c>
      <c r="N1272">
        <v>51.319246165277598</v>
      </c>
      <c r="O1272">
        <v>51.024338917407299</v>
      </c>
      <c r="P1272">
        <v>-0.15260909259917901</v>
      </c>
      <c r="Q1272">
        <v>2.9505575227437499E-2</v>
      </c>
      <c r="R1272">
        <v>0.98646189833820896</v>
      </c>
      <c r="S1272" t="s">
        <v>8275</v>
      </c>
      <c r="T1272" t="s">
        <v>14004</v>
      </c>
      <c r="U1272" t="s">
        <v>14004</v>
      </c>
      <c r="V1272" t="s">
        <v>14004</v>
      </c>
      <c r="W1272" t="s">
        <v>15249</v>
      </c>
      <c r="X1272">
        <v>1</v>
      </c>
      <c r="Y1272" t="s">
        <v>22180</v>
      </c>
      <c r="Z1272" t="s">
        <v>28982</v>
      </c>
      <c r="AA1272">
        <v>0.39788461037911732</v>
      </c>
      <c r="AB1272" t="str">
        <f>HYPERLINK("Melting_Curves/meltCurve_K7EQE7_TMEM161A.pdf", "Melting_Curves/meltCurve_K7EQE7_TMEM161A.pdf")</f>
        <v>Melting_Curves/meltCurve_K7EQE7_TMEM161A.pdf</v>
      </c>
    </row>
    <row r="1273" spans="1:28" x14ac:dyDescent="0.25">
      <c r="A1273" t="s">
        <v>1277</v>
      </c>
      <c r="B1273">
        <v>0.99999676499088797</v>
      </c>
      <c r="C1273">
        <v>0.60227186413233202</v>
      </c>
      <c r="D1273">
        <v>0.63934048949753497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942.56050532253903</v>
      </c>
      <c r="M1273">
        <v>20.729732238658698</v>
      </c>
      <c r="N1273">
        <v>45.4690149498756</v>
      </c>
      <c r="O1273">
        <v>45.0522384935012</v>
      </c>
      <c r="P1273">
        <v>-0.115034929274864</v>
      </c>
      <c r="Q1273">
        <v>0</v>
      </c>
      <c r="R1273">
        <v>0.92274336895778997</v>
      </c>
      <c r="S1273" t="s">
        <v>8276</v>
      </c>
      <c r="T1273" t="s">
        <v>14004</v>
      </c>
      <c r="U1273" t="s">
        <v>14004</v>
      </c>
      <c r="V1273" t="s">
        <v>14004</v>
      </c>
      <c r="W1273" t="s">
        <v>15250</v>
      </c>
      <c r="X1273">
        <v>1</v>
      </c>
      <c r="Y1273" t="s">
        <v>22181</v>
      </c>
      <c r="Z1273" t="s">
        <v>28983</v>
      </c>
      <c r="AA1273">
        <v>0.19714682274321779</v>
      </c>
      <c r="AB1273" t="str">
        <f>HYPERLINK("Melting_Curves/meltCurve_K7EQR1_UBN1.pdf", "Melting_Curves/meltCurve_K7EQR1_UBN1.pdf")</f>
        <v>Melting_Curves/meltCurve_K7EQR1_UBN1.pdf</v>
      </c>
    </row>
    <row r="1274" spans="1:28" x14ac:dyDescent="0.25">
      <c r="A1274" t="s">
        <v>1278</v>
      </c>
      <c r="B1274">
        <v>0.99999676499088797</v>
      </c>
      <c r="C1274">
        <v>0.94659706076615902</v>
      </c>
      <c r="D1274">
        <v>0.96349620257813295</v>
      </c>
      <c r="E1274">
        <v>0.93332687411073401</v>
      </c>
      <c r="F1274">
        <v>0.85541935568336702</v>
      </c>
      <c r="G1274">
        <v>0.52564500548789705</v>
      </c>
      <c r="H1274">
        <v>0.33256768422656902</v>
      </c>
      <c r="I1274">
        <v>0.24336168980731601</v>
      </c>
      <c r="J1274">
        <v>0.22151462272884401</v>
      </c>
      <c r="K1274">
        <v>0.27914163990539298</v>
      </c>
      <c r="L1274">
        <v>1457.2336171695299</v>
      </c>
      <c r="M1274">
        <v>26.101919553778501</v>
      </c>
      <c r="N1274">
        <v>57.247359841113003</v>
      </c>
      <c r="O1274">
        <v>55.504000020346503</v>
      </c>
      <c r="P1274">
        <v>-8.95685976506016E-2</v>
      </c>
      <c r="Q1274">
        <v>0.238161923063123</v>
      </c>
      <c r="R1274">
        <v>0.99159740050123102</v>
      </c>
      <c r="S1274" t="s">
        <v>8277</v>
      </c>
      <c r="T1274" t="s">
        <v>14004</v>
      </c>
      <c r="U1274" t="s">
        <v>14004</v>
      </c>
      <c r="V1274" t="s">
        <v>14004</v>
      </c>
      <c r="W1274" t="s">
        <v>15251</v>
      </c>
      <c r="X1274">
        <v>4</v>
      </c>
      <c r="Y1274" t="s">
        <v>22182</v>
      </c>
      <c r="Z1274" t="s">
        <v>28984</v>
      </c>
      <c r="AA1274">
        <v>0.64663454898924766</v>
      </c>
      <c r="AB1274" t="str">
        <f>HYPERLINK("Melting_Curves/meltCurve_K7EQU4_SAFB2.pdf", "Melting_Curves/meltCurve_K7EQU4_SAFB2.pdf")</f>
        <v>Melting_Curves/meltCurve_K7EQU4_SAFB2.pdf</v>
      </c>
    </row>
    <row r="1275" spans="1:28" x14ac:dyDescent="0.25">
      <c r="A1275" t="s">
        <v>1279</v>
      </c>
      <c r="B1275">
        <v>0.99999676499088797</v>
      </c>
      <c r="C1275">
        <v>1.1683359381821601</v>
      </c>
      <c r="D1275">
        <v>0.92751934765938704</v>
      </c>
      <c r="E1275">
        <v>0.93532988866496303</v>
      </c>
      <c r="F1275">
        <v>0.91842267704193703</v>
      </c>
      <c r="G1275">
        <v>0.627588891252019</v>
      </c>
      <c r="H1275">
        <v>0.366185986672868</v>
      </c>
      <c r="I1275">
        <v>0.450793868872571</v>
      </c>
      <c r="J1275">
        <v>0.37890351072325301</v>
      </c>
      <c r="K1275">
        <v>0.34996162373614498</v>
      </c>
      <c r="L1275">
        <v>1976.93643439527</v>
      </c>
      <c r="M1275">
        <v>35.270021678060402</v>
      </c>
      <c r="N1275">
        <v>58.3665915120026</v>
      </c>
      <c r="O1275">
        <v>55.872194087120299</v>
      </c>
      <c r="P1275">
        <v>-9.8386143879875598E-2</v>
      </c>
      <c r="Q1275">
        <v>0.37657755297395501</v>
      </c>
      <c r="R1275">
        <v>0.94866856887699402</v>
      </c>
      <c r="S1275" t="s">
        <v>8278</v>
      </c>
      <c r="T1275" t="s">
        <v>14004</v>
      </c>
      <c r="U1275" t="s">
        <v>14004</v>
      </c>
      <c r="V1275" t="s">
        <v>14004</v>
      </c>
      <c r="W1275" t="s">
        <v>15252</v>
      </c>
      <c r="X1275">
        <v>6</v>
      </c>
      <c r="Y1275" t="s">
        <v>22183</v>
      </c>
      <c r="Z1275" t="s">
        <v>28985</v>
      </c>
      <c r="AA1275">
        <v>0.71320533641680417</v>
      </c>
      <c r="AB1275" t="str">
        <f>HYPERLINK("Melting_Curves/meltCurve_K7EQW8_TPM4.pdf", "Melting_Curves/meltCurve_K7EQW8_TPM4.pdf")</f>
        <v>Melting_Curves/meltCurve_K7EQW8_TPM4.pdf</v>
      </c>
    </row>
    <row r="1276" spans="1:28" x14ac:dyDescent="0.25">
      <c r="A1276" t="s">
        <v>1280</v>
      </c>
      <c r="B1276">
        <v>0.99999676499088797</v>
      </c>
      <c r="C1276">
        <v>1.02518099280252</v>
      </c>
      <c r="D1276">
        <v>0.96754728364919595</v>
      </c>
      <c r="E1276">
        <v>0.60776151753491003</v>
      </c>
      <c r="F1276">
        <v>0.21903200166708001</v>
      </c>
      <c r="G1276">
        <v>0.163453729669221</v>
      </c>
      <c r="H1276">
        <v>6.9735523687068202E-2</v>
      </c>
      <c r="I1276">
        <v>7.8386556933922602E-2</v>
      </c>
      <c r="J1276">
        <v>7.4573840881425005E-2</v>
      </c>
      <c r="K1276">
        <v>6.4547826294240204E-2</v>
      </c>
      <c r="L1276">
        <v>1501.1945545733399</v>
      </c>
      <c r="M1276">
        <v>29.9248558563275</v>
      </c>
      <c r="N1276">
        <v>50.466969082219997</v>
      </c>
      <c r="O1276">
        <v>49.943042339907997</v>
      </c>
      <c r="P1276">
        <v>-0.137534866935664</v>
      </c>
      <c r="Q1276">
        <v>8.1851507926353803E-2</v>
      </c>
      <c r="R1276">
        <v>0.996709012530542</v>
      </c>
      <c r="S1276" t="s">
        <v>8279</v>
      </c>
      <c r="T1276" t="s">
        <v>14004</v>
      </c>
      <c r="U1276" t="s">
        <v>14004</v>
      </c>
      <c r="V1276" t="s">
        <v>14004</v>
      </c>
      <c r="W1276" t="s">
        <v>15253</v>
      </c>
      <c r="X1276">
        <v>23</v>
      </c>
      <c r="Y1276" t="s">
        <v>22184</v>
      </c>
      <c r="Z1276" t="s">
        <v>28986</v>
      </c>
      <c r="AA1276">
        <v>0.39868841009109018</v>
      </c>
      <c r="AB1276" t="str">
        <f>HYPERLINK("Melting_Curves/meltCurve_K7ER00_FARSA.pdf", "Melting_Curves/meltCurve_K7ER00_FARSA.pdf")</f>
        <v>Melting_Curves/meltCurve_K7ER00_FARSA.pdf</v>
      </c>
    </row>
    <row r="1277" spans="1:28" x14ac:dyDescent="0.25">
      <c r="A1277" t="s">
        <v>1281</v>
      </c>
      <c r="B1277">
        <v>0.99999676499088797</v>
      </c>
      <c r="C1277">
        <v>1.1277776229493199</v>
      </c>
      <c r="D1277">
        <v>1.0152150410290099</v>
      </c>
      <c r="E1277">
        <v>0.95337344407451896</v>
      </c>
      <c r="F1277">
        <v>0.35297583350703698</v>
      </c>
      <c r="G1277">
        <v>0.23629578644914401</v>
      </c>
      <c r="H1277">
        <v>0.12711092345516201</v>
      </c>
      <c r="I1277">
        <v>0.11965506845397</v>
      </c>
      <c r="J1277">
        <v>0.11480197788324099</v>
      </c>
      <c r="K1277">
        <v>0.100404410079995</v>
      </c>
      <c r="L1277">
        <v>2596.98190558945</v>
      </c>
      <c r="M1277">
        <v>49.823424045586798</v>
      </c>
      <c r="N1277">
        <v>52.454254965822102</v>
      </c>
      <c r="O1277">
        <v>52.039948891399803</v>
      </c>
      <c r="P1277">
        <v>-0.20710488221512899</v>
      </c>
      <c r="Q1277">
        <v>0.134726818088517</v>
      </c>
      <c r="R1277">
        <v>0.98519555606796105</v>
      </c>
      <c r="S1277" t="s">
        <v>8280</v>
      </c>
      <c r="T1277" t="s">
        <v>14004</v>
      </c>
      <c r="U1277" t="s">
        <v>14004</v>
      </c>
      <c r="V1277" t="s">
        <v>14004</v>
      </c>
      <c r="W1277" t="s">
        <v>15254</v>
      </c>
      <c r="X1277">
        <v>10</v>
      </c>
      <c r="Y1277" t="s">
        <v>22185</v>
      </c>
      <c r="Z1277" t="s">
        <v>28987</v>
      </c>
      <c r="AA1277">
        <v>0.48640778043785737</v>
      </c>
      <c r="AB1277" t="str">
        <f>HYPERLINK("Melting_Curves/meltCurve_K7ER95_MAP4K1.pdf", "Melting_Curves/meltCurve_K7ER95_MAP4K1.pdf")</f>
        <v>Melting_Curves/meltCurve_K7ER95_MAP4K1.pdf</v>
      </c>
    </row>
    <row r="1278" spans="1:28" x14ac:dyDescent="0.25">
      <c r="A1278" t="s">
        <v>1282</v>
      </c>
      <c r="B1278">
        <v>0.99999676499088797</v>
      </c>
      <c r="C1278">
        <v>0.93462901781661401</v>
      </c>
      <c r="D1278">
        <v>1.0228970665272601</v>
      </c>
      <c r="E1278">
        <v>1.0948296520971801</v>
      </c>
      <c r="F1278">
        <v>0.49826976174496601</v>
      </c>
      <c r="G1278">
        <v>0.18394086700404699</v>
      </c>
      <c r="H1278">
        <v>8.0421252749164104E-2</v>
      </c>
      <c r="I1278">
        <v>7.7755374612963904E-2</v>
      </c>
      <c r="J1278">
        <v>6.6413649111894804E-2</v>
      </c>
      <c r="K1278">
        <v>6.3218896310308997E-2</v>
      </c>
      <c r="L1278">
        <v>3975.0965656151202</v>
      </c>
      <c r="M1278">
        <v>74.911814511175606</v>
      </c>
      <c r="N1278">
        <v>53.209006798346401</v>
      </c>
      <c r="O1278">
        <v>53.025902136008398</v>
      </c>
      <c r="P1278">
        <v>-0.32051036316725401</v>
      </c>
      <c r="Q1278">
        <v>9.2514400576623398E-2</v>
      </c>
      <c r="R1278">
        <v>0.98743423951536702</v>
      </c>
      <c r="S1278" t="s">
        <v>8281</v>
      </c>
      <c r="T1278" t="s">
        <v>14004</v>
      </c>
      <c r="U1278" t="s">
        <v>14004</v>
      </c>
      <c r="V1278" t="s">
        <v>14004</v>
      </c>
      <c r="W1278" t="s">
        <v>15255</v>
      </c>
      <c r="X1278">
        <v>10</v>
      </c>
      <c r="Y1278" t="s">
        <v>22186</v>
      </c>
      <c r="Z1278" t="s">
        <v>28988</v>
      </c>
      <c r="AA1278">
        <v>0.48862779300771408</v>
      </c>
      <c r="AB1278" t="str">
        <f>HYPERLINK("Melting_Curves/meltCurve_K7ERF1_EIF3K.pdf", "Melting_Curves/meltCurve_K7ERF1_EIF3K.pdf")</f>
        <v>Melting_Curves/meltCurve_K7ERF1_EIF3K.pdf</v>
      </c>
    </row>
    <row r="1279" spans="1:28" x14ac:dyDescent="0.25">
      <c r="A1279" t="s">
        <v>1283</v>
      </c>
      <c r="B1279">
        <v>0.99999676499088797</v>
      </c>
      <c r="C1279">
        <v>1.1034388234881101</v>
      </c>
      <c r="D1279">
        <v>1.0548055094798701</v>
      </c>
      <c r="E1279">
        <v>0.76705424451479798</v>
      </c>
      <c r="F1279">
        <v>0.85083106842725797</v>
      </c>
      <c r="G1279">
        <v>0.67339243095426804</v>
      </c>
      <c r="H1279">
        <v>0.37093934253841498</v>
      </c>
      <c r="I1279">
        <v>0.49303453965434701</v>
      </c>
      <c r="J1279">
        <v>0.36162194710003998</v>
      </c>
      <c r="K1279">
        <v>0.29988934894149299</v>
      </c>
      <c r="L1279">
        <v>776.56678485829298</v>
      </c>
      <c r="M1279">
        <v>13.692437398269799</v>
      </c>
      <c r="N1279">
        <v>60.262459634650597</v>
      </c>
      <c r="O1279">
        <v>55.546321995686498</v>
      </c>
      <c r="P1279">
        <v>-4.4581491570271498E-2</v>
      </c>
      <c r="Q1279">
        <v>0.27668669107517802</v>
      </c>
      <c r="R1279">
        <v>0.919770334916999</v>
      </c>
      <c r="S1279" t="s">
        <v>8282</v>
      </c>
      <c r="T1279" t="s">
        <v>14004</v>
      </c>
      <c r="U1279" t="s">
        <v>14004</v>
      </c>
      <c r="V1279" t="s">
        <v>14004</v>
      </c>
      <c r="W1279" t="s">
        <v>15256</v>
      </c>
      <c r="X1279">
        <v>1</v>
      </c>
      <c r="Y1279" t="s">
        <v>22187</v>
      </c>
      <c r="Z1279" t="s">
        <v>28989</v>
      </c>
      <c r="AA1279">
        <v>0.6921762117271687</v>
      </c>
      <c r="AB1279" t="str">
        <f>HYPERLINK("Melting_Curves/meltCurve_K7ERH3_GJC1.pdf", "Melting_Curves/meltCurve_K7ERH3_GJC1.pdf")</f>
        <v>Melting_Curves/meltCurve_K7ERH3_GJC1.pdf</v>
      </c>
    </row>
    <row r="1280" spans="1:28" x14ac:dyDescent="0.25">
      <c r="A1280" t="s">
        <v>1284</v>
      </c>
      <c r="B1280">
        <v>0.99999676499088797</v>
      </c>
      <c r="C1280">
        <v>0.77083792992994205</v>
      </c>
      <c r="D1280">
        <v>0.80281694465349696</v>
      </c>
      <c r="E1280">
        <v>0.99468993332786704</v>
      </c>
      <c r="F1280">
        <v>0.81812141232404501</v>
      </c>
      <c r="G1280">
        <v>0.56361447249351204</v>
      </c>
      <c r="H1280">
        <v>0.20758988672203399</v>
      </c>
      <c r="I1280">
        <v>0.121103355803825</v>
      </c>
      <c r="J1280">
        <v>0.11236091815157501</v>
      </c>
      <c r="K1280">
        <v>8.8998532317907997E-2</v>
      </c>
      <c r="L1280">
        <v>1296.46779011792</v>
      </c>
      <c r="M1280">
        <v>22.825880898452201</v>
      </c>
      <c r="N1280">
        <v>57.164060102983697</v>
      </c>
      <c r="O1280">
        <v>56.367595373678498</v>
      </c>
      <c r="P1280">
        <v>-9.4357607064870605E-2</v>
      </c>
      <c r="Q1280">
        <v>6.7968715199558896E-2</v>
      </c>
      <c r="R1280">
        <v>0.92804325411607802</v>
      </c>
      <c r="S1280" t="s">
        <v>8283</v>
      </c>
      <c r="T1280" t="s">
        <v>14004</v>
      </c>
      <c r="U1280" t="s">
        <v>14004</v>
      </c>
      <c r="V1280" t="s">
        <v>14004</v>
      </c>
      <c r="W1280" t="s">
        <v>15257</v>
      </c>
      <c r="X1280">
        <v>3</v>
      </c>
      <c r="Y1280" t="s">
        <v>22188</v>
      </c>
      <c r="Z1280" t="s">
        <v>28990</v>
      </c>
      <c r="AA1280">
        <v>0.59952727219665169</v>
      </c>
      <c r="AB1280" t="str">
        <f>HYPERLINK("Melting_Curves/meltCurve_K7ERQ0_YIF1B.pdf", "Melting_Curves/meltCurve_K7ERQ0_YIF1B.pdf")</f>
        <v>Melting_Curves/meltCurve_K7ERQ0_YIF1B.pdf</v>
      </c>
    </row>
    <row r="1281" spans="1:28" x14ac:dyDescent="0.25">
      <c r="A1281" t="s">
        <v>1285</v>
      </c>
      <c r="B1281">
        <v>0.99999676499088797</v>
      </c>
      <c r="C1281">
        <v>1.0866456978758601</v>
      </c>
      <c r="D1281">
        <v>0.96721224303902797</v>
      </c>
      <c r="E1281">
        <v>0.63104496694120105</v>
      </c>
      <c r="F1281">
        <v>0.50894796174034196</v>
      </c>
      <c r="G1281">
        <v>0.59965665255737</v>
      </c>
      <c r="H1281">
        <v>0.53933065685525505</v>
      </c>
      <c r="I1281">
        <v>0.76675419433301295</v>
      </c>
      <c r="J1281">
        <v>0.75730628023642699</v>
      </c>
      <c r="K1281">
        <v>0.60614259529452097</v>
      </c>
      <c r="L1281">
        <v>6007.1170326010597</v>
      </c>
      <c r="M1281">
        <v>128.25780716812301</v>
      </c>
      <c r="O1281">
        <v>46.824883675834101</v>
      </c>
      <c r="P1281">
        <v>-0.25347484041568302</v>
      </c>
      <c r="Q1281">
        <v>0.62984148853764099</v>
      </c>
      <c r="R1281">
        <v>0.82570126150960399</v>
      </c>
      <c r="S1281" t="s">
        <v>8284</v>
      </c>
      <c r="T1281" t="s">
        <v>14004</v>
      </c>
      <c r="U1281" t="s">
        <v>14004</v>
      </c>
      <c r="V1281" t="s">
        <v>14004</v>
      </c>
      <c r="W1281" t="s">
        <v>15258</v>
      </c>
      <c r="X1281">
        <v>2</v>
      </c>
      <c r="Y1281" t="s">
        <v>22189</v>
      </c>
      <c r="Z1281" t="s">
        <v>28991</v>
      </c>
      <c r="AA1281">
        <v>0.71430725284792596</v>
      </c>
      <c r="AB1281" t="str">
        <f>HYPERLINK("Melting_Curves/meltCurve_K7ERU0_ZNF580.pdf", "Melting_Curves/meltCurve_K7ERU0_ZNF580.pdf")</f>
        <v>Melting_Curves/meltCurve_K7ERU0_ZNF580.pdf</v>
      </c>
    </row>
    <row r="1282" spans="1:28" x14ac:dyDescent="0.25">
      <c r="A1282" t="s">
        <v>1286</v>
      </c>
      <c r="B1282">
        <v>0.99999676499088797</v>
      </c>
      <c r="C1282">
        <v>1.1581348033833101</v>
      </c>
      <c r="D1282">
        <v>1.1016833353426301</v>
      </c>
      <c r="E1282">
        <v>0.79421749231112904</v>
      </c>
      <c r="F1282">
        <v>0.27923971716429702</v>
      </c>
      <c r="G1282">
        <v>0.14907560014708199</v>
      </c>
      <c r="H1282">
        <v>8.3077179451335595E-2</v>
      </c>
      <c r="I1282">
        <v>4.1299447216656203E-2</v>
      </c>
      <c r="J1282">
        <v>5.11645660921465E-2</v>
      </c>
      <c r="K1282">
        <v>4.7920854105962502E-2</v>
      </c>
      <c r="L1282">
        <v>1856.0941810930301</v>
      </c>
      <c r="M1282">
        <v>36.069764261729098</v>
      </c>
      <c r="N1282">
        <v>51.661100977254897</v>
      </c>
      <c r="O1282">
        <v>51.301048011518603</v>
      </c>
      <c r="P1282">
        <v>-0.16417992809380899</v>
      </c>
      <c r="Q1282">
        <v>6.5968277547295104E-2</v>
      </c>
      <c r="R1282">
        <v>0.97951516444014997</v>
      </c>
      <c r="S1282" t="s">
        <v>8285</v>
      </c>
      <c r="T1282" t="s">
        <v>14004</v>
      </c>
      <c r="U1282" t="s">
        <v>14004</v>
      </c>
      <c r="V1282" t="s">
        <v>14004</v>
      </c>
      <c r="W1282" t="s">
        <v>15259</v>
      </c>
      <c r="X1282">
        <v>1</v>
      </c>
      <c r="Y1282" t="s">
        <v>22190</v>
      </c>
      <c r="Z1282" t="s">
        <v>28992</v>
      </c>
      <c r="AA1282">
        <v>0.42681002245329369</v>
      </c>
      <c r="AB1282" t="str">
        <f>HYPERLINK("Melting_Curves/meltCurve_K7ERV4_PQLC1.pdf", "Melting_Curves/meltCurve_K7ERV4_PQLC1.pdf")</f>
        <v>Melting_Curves/meltCurve_K7ERV4_PQLC1.pdf</v>
      </c>
    </row>
    <row r="1283" spans="1:28" x14ac:dyDescent="0.25">
      <c r="A1283" t="s">
        <v>1287</v>
      </c>
      <c r="B1283">
        <v>0.99999676499088797</v>
      </c>
      <c r="C1283">
        <v>1.1700031942215099</v>
      </c>
      <c r="D1283">
        <v>1.0569964618118199</v>
      </c>
      <c r="E1283">
        <v>0.81776283348996903</v>
      </c>
      <c r="F1283">
        <v>0.38248887306005902</v>
      </c>
      <c r="G1283">
        <v>0.18062800300531001</v>
      </c>
      <c r="H1283">
        <v>7.4424366226773606E-2</v>
      </c>
      <c r="I1283">
        <v>6.9009053006184096E-2</v>
      </c>
      <c r="J1283">
        <v>4.0541359671820099E-2</v>
      </c>
      <c r="K1283">
        <v>7.5700645615408402E-2</v>
      </c>
      <c r="L1283">
        <v>1548.15902945118</v>
      </c>
      <c r="M1283">
        <v>29.716922162621699</v>
      </c>
      <c r="N1283">
        <v>52.352243802243301</v>
      </c>
      <c r="O1283">
        <v>51.862655184500397</v>
      </c>
      <c r="P1283">
        <v>-0.13358450012657999</v>
      </c>
      <c r="Q1283">
        <v>6.7466990348182196E-2</v>
      </c>
      <c r="R1283">
        <v>0.980931724259552</v>
      </c>
      <c r="S1283" t="s">
        <v>8286</v>
      </c>
      <c r="T1283" t="s">
        <v>14004</v>
      </c>
      <c r="U1283" t="s">
        <v>14004</v>
      </c>
      <c r="V1283" t="s">
        <v>14004</v>
      </c>
      <c r="W1283" t="s">
        <v>15260</v>
      </c>
      <c r="X1283">
        <v>29</v>
      </c>
      <c r="Y1283" t="s">
        <v>22191</v>
      </c>
      <c r="Z1283" t="s">
        <v>28993</v>
      </c>
      <c r="AA1283">
        <v>0.44957204265995099</v>
      </c>
      <c r="AB1283" t="str">
        <f>HYPERLINK("Melting_Curves/meltCurve_K7ES11_UBE2O.pdf", "Melting_Curves/meltCurve_K7ES11_UBE2O.pdf")</f>
        <v>Melting_Curves/meltCurve_K7ES11_UBE2O.pdf</v>
      </c>
    </row>
    <row r="1284" spans="1:28" x14ac:dyDescent="0.25">
      <c r="A1284" t="s">
        <v>1288</v>
      </c>
      <c r="B1284">
        <v>0.99999676499088797</v>
      </c>
      <c r="C1284">
        <v>1.07149768464888</v>
      </c>
      <c r="D1284">
        <v>0.861557971964094</v>
      </c>
      <c r="E1284">
        <v>0.47537473834329902</v>
      </c>
      <c r="F1284">
        <v>0.41717376385100402</v>
      </c>
      <c r="G1284">
        <v>8.6756656298015905E-2</v>
      </c>
      <c r="H1284">
        <v>2.66222418020114E-2</v>
      </c>
      <c r="I1284">
        <v>2.1841727961075402E-2</v>
      </c>
      <c r="J1284">
        <v>1.4096994204149499E-2</v>
      </c>
      <c r="K1284">
        <v>2.7236013891538499E-2</v>
      </c>
      <c r="L1284">
        <v>879.81251620855903</v>
      </c>
      <c r="M1284">
        <v>17.4100132153056</v>
      </c>
      <c r="N1284">
        <v>50.5433409556545</v>
      </c>
      <c r="O1284">
        <v>49.8822746109931</v>
      </c>
      <c r="P1284">
        <v>-8.7132934117756994E-2</v>
      </c>
      <c r="Q1284">
        <v>1.4609790802900099E-3</v>
      </c>
      <c r="R1284">
        <v>0.97511607950520596</v>
      </c>
      <c r="S1284" t="s">
        <v>8287</v>
      </c>
      <c r="T1284" t="s">
        <v>14004</v>
      </c>
      <c r="U1284" t="s">
        <v>14004</v>
      </c>
      <c r="V1284" t="s">
        <v>14004</v>
      </c>
      <c r="W1284" t="s">
        <v>15261</v>
      </c>
      <c r="X1284">
        <v>3</v>
      </c>
      <c r="Y1284" t="s">
        <v>22192</v>
      </c>
      <c r="Z1284" t="s">
        <v>28994</v>
      </c>
      <c r="AA1284">
        <v>0.37009427687860003</v>
      </c>
      <c r="AB1284" t="str">
        <f>HYPERLINK("Melting_Curves/meltCurve_K7ES84_FAM86A.pdf", "Melting_Curves/meltCurve_K7ES84_FAM86A.pdf")</f>
        <v>Melting_Curves/meltCurve_K7ES84_FAM86A.pdf</v>
      </c>
    </row>
    <row r="1285" spans="1:28" x14ac:dyDescent="0.25">
      <c r="A1285" t="s">
        <v>1289</v>
      </c>
      <c r="B1285">
        <v>0.99999676499088797</v>
      </c>
      <c r="C1285">
        <v>0.944419690832902</v>
      </c>
      <c r="D1285">
        <v>1.1025535869157701</v>
      </c>
      <c r="E1285">
        <v>1.0091395297260899</v>
      </c>
      <c r="F1285">
        <v>1.01181382632004</v>
      </c>
      <c r="G1285">
        <v>0.69312611728836504</v>
      </c>
      <c r="H1285">
        <v>0.339610059094761</v>
      </c>
      <c r="I1285">
        <v>0.19574295606114001</v>
      </c>
      <c r="J1285">
        <v>0.14605547320543399</v>
      </c>
      <c r="K1285">
        <v>0.12717851891295401</v>
      </c>
      <c r="L1285">
        <v>1756.35477487042</v>
      </c>
      <c r="M1285">
        <v>30.167406861935099</v>
      </c>
      <c r="N1285">
        <v>58.827895688425301</v>
      </c>
      <c r="O1285">
        <v>57.966242672589097</v>
      </c>
      <c r="P1285">
        <v>-0.11269218631618701</v>
      </c>
      <c r="Q1285">
        <v>0.13385979541991699</v>
      </c>
      <c r="R1285">
        <v>0.98751733793100904</v>
      </c>
      <c r="S1285" t="s">
        <v>8288</v>
      </c>
      <c r="T1285" t="s">
        <v>14004</v>
      </c>
      <c r="U1285" t="s">
        <v>14004</v>
      </c>
      <c r="V1285" t="s">
        <v>14004</v>
      </c>
      <c r="W1285" t="s">
        <v>15262</v>
      </c>
      <c r="X1285">
        <v>17</v>
      </c>
      <c r="Y1285" t="s">
        <v>22193</v>
      </c>
      <c r="Z1285" t="s">
        <v>28995</v>
      </c>
      <c r="AA1285">
        <v>0.66552874264725248</v>
      </c>
      <c r="AB1285" t="str">
        <f>HYPERLINK("Melting_Curves/meltCurve_K7ESE3_RAD23A.pdf", "Melting_Curves/meltCurve_K7ESE3_RAD23A.pdf")</f>
        <v>Melting_Curves/meltCurve_K7ESE3_RAD23A.pdf</v>
      </c>
    </row>
    <row r="1286" spans="1:28" x14ac:dyDescent="0.25">
      <c r="A1286" t="s">
        <v>1290</v>
      </c>
      <c r="B1286">
        <v>0.99999676499088797</v>
      </c>
      <c r="C1286">
        <v>0.73201245942803705</v>
      </c>
      <c r="D1286">
        <v>0.86635897806513995</v>
      </c>
      <c r="E1286">
        <v>0.86428451655284799</v>
      </c>
      <c r="F1286">
        <v>0.46758498134631499</v>
      </c>
      <c r="G1286">
        <v>0.495614452325017</v>
      </c>
      <c r="H1286">
        <v>0.28700133131503103</v>
      </c>
      <c r="I1286">
        <v>0.25742962642904399</v>
      </c>
      <c r="J1286">
        <v>3.8993887183700698E-2</v>
      </c>
      <c r="K1286">
        <v>0</v>
      </c>
      <c r="L1286">
        <v>553.65947235144995</v>
      </c>
      <c r="M1286">
        <v>10.107034759217401</v>
      </c>
      <c r="N1286">
        <v>54.779614911498903</v>
      </c>
      <c r="O1286">
        <v>52.764822038747702</v>
      </c>
      <c r="P1286">
        <v>-4.7909529506158802E-2</v>
      </c>
      <c r="Q1286">
        <v>0</v>
      </c>
      <c r="R1286">
        <v>0.90974246486431798</v>
      </c>
      <c r="S1286" t="s">
        <v>8289</v>
      </c>
      <c r="T1286" t="s">
        <v>14004</v>
      </c>
      <c r="U1286" t="s">
        <v>14004</v>
      </c>
      <c r="V1286" t="s">
        <v>14004</v>
      </c>
      <c r="W1286" t="s">
        <v>15263</v>
      </c>
      <c r="X1286">
        <v>3</v>
      </c>
      <c r="Y1286" t="s">
        <v>22194</v>
      </c>
      <c r="Z1286" t="s">
        <v>28996</v>
      </c>
      <c r="AA1286">
        <v>0.51938195435779289</v>
      </c>
      <c r="AB1286" t="str">
        <f>HYPERLINK("Melting_Curves/meltCurve_K7ESG9_NFIX.pdf", "Melting_Curves/meltCurve_K7ESG9_NFIX.pdf")</f>
        <v>Melting_Curves/meltCurve_K7ESG9_NFIX.pdf</v>
      </c>
    </row>
    <row r="1287" spans="1:28" x14ac:dyDescent="0.25">
      <c r="A1287" t="s">
        <v>1291</v>
      </c>
      <c r="B1287">
        <v>0.99999676499088797</v>
      </c>
      <c r="C1287">
        <v>0.94556319847675296</v>
      </c>
      <c r="D1287">
        <v>0.95090620664322101</v>
      </c>
      <c r="E1287">
        <v>0.86635561746809797</v>
      </c>
      <c r="F1287">
        <v>0.113736674069918</v>
      </c>
      <c r="G1287">
        <v>0.118828744162513</v>
      </c>
      <c r="H1287">
        <v>3.8375549696363899E-2</v>
      </c>
      <c r="I1287">
        <v>7.5966696449065799E-2</v>
      </c>
      <c r="J1287">
        <v>9.9630983664748193E-2</v>
      </c>
      <c r="K1287">
        <v>9.6376247030443701E-2</v>
      </c>
      <c r="L1287">
        <v>3777.1426606124901</v>
      </c>
      <c r="M1287">
        <v>74.390831020370399</v>
      </c>
      <c r="N1287">
        <v>50.902594606913802</v>
      </c>
      <c r="O1287">
        <v>50.737665730342002</v>
      </c>
      <c r="P1287">
        <v>-0.33521392222663199</v>
      </c>
      <c r="Q1287">
        <v>8.5480678642559899E-2</v>
      </c>
      <c r="R1287">
        <v>0.99482143787592903</v>
      </c>
      <c r="S1287" t="s">
        <v>8290</v>
      </c>
      <c r="T1287" t="s">
        <v>14004</v>
      </c>
      <c r="U1287" t="s">
        <v>14004</v>
      </c>
      <c r="V1287" t="s">
        <v>14004</v>
      </c>
      <c r="W1287" t="s">
        <v>15264</v>
      </c>
      <c r="X1287">
        <v>43</v>
      </c>
      <c r="Y1287" t="s">
        <v>22195</v>
      </c>
      <c r="Z1287" t="s">
        <v>28997</v>
      </c>
      <c r="AA1287">
        <v>0.41484676799981868</v>
      </c>
      <c r="AB1287" t="str">
        <f>HYPERLINK("Melting_Curves/meltCurve_K7ESI9_DNM2.pdf", "Melting_Curves/meltCurve_K7ESI9_DNM2.pdf")</f>
        <v>Melting_Curves/meltCurve_K7ESI9_DNM2.pdf</v>
      </c>
    </row>
    <row r="1288" spans="1:28" x14ac:dyDescent="0.25">
      <c r="A1288" t="s">
        <v>1292</v>
      </c>
      <c r="B1288">
        <v>0.99999676499088797</v>
      </c>
      <c r="C1288">
        <v>1.04315707458976</v>
      </c>
      <c r="D1288">
        <v>0.82704934443294498</v>
      </c>
      <c r="E1288">
        <v>0.34055212389251499</v>
      </c>
      <c r="F1288">
        <v>0.22080934946637901</v>
      </c>
      <c r="G1288">
        <v>0.149394433768508</v>
      </c>
      <c r="H1288">
        <v>8.1802581183127304E-2</v>
      </c>
      <c r="I1288">
        <v>6.4020865283051301E-2</v>
      </c>
      <c r="J1288">
        <v>4.2470613885348799E-2</v>
      </c>
      <c r="K1288">
        <v>3.8418809526434998E-2</v>
      </c>
      <c r="L1288">
        <v>1336.0312912469301</v>
      </c>
      <c r="M1288">
        <v>27.647618346739101</v>
      </c>
      <c r="N1288">
        <v>48.629734028392903</v>
      </c>
      <c r="O1288">
        <v>48.072867986054099</v>
      </c>
      <c r="P1288">
        <v>-0.13229559767815299</v>
      </c>
      <c r="Q1288">
        <v>7.9881471218291894E-2</v>
      </c>
      <c r="R1288">
        <v>0.98775031407275304</v>
      </c>
      <c r="S1288" t="s">
        <v>8291</v>
      </c>
      <c r="T1288" t="s">
        <v>14004</v>
      </c>
      <c r="U1288" t="s">
        <v>14004</v>
      </c>
      <c r="V1288" t="s">
        <v>14004</v>
      </c>
      <c r="W1288" t="s">
        <v>15265</v>
      </c>
      <c r="X1288">
        <v>4</v>
      </c>
      <c r="Y1288" t="s">
        <v>22196</v>
      </c>
      <c r="Z1288" t="s">
        <v>28998</v>
      </c>
      <c r="AA1288">
        <v>0.34175514023845832</v>
      </c>
      <c r="AB1288" t="str">
        <f>HYPERLINK("Melting_Curves/meltCurve_K7ESP4_DCAKD.pdf", "Melting_Curves/meltCurve_K7ESP4_DCAKD.pdf")</f>
        <v>Melting_Curves/meltCurve_K7ESP4_DCAKD.pdf</v>
      </c>
    </row>
    <row r="1289" spans="1:28" x14ac:dyDescent="0.25">
      <c r="A1289" t="s">
        <v>1293</v>
      </c>
      <c r="B1289">
        <v>0.99999676499088797</v>
      </c>
      <c r="C1289">
        <v>1.08662401813719</v>
      </c>
      <c r="D1289">
        <v>1.0071233979921399</v>
      </c>
      <c r="E1289">
        <v>1.03084898525802</v>
      </c>
      <c r="F1289">
        <v>0.74113499807199601</v>
      </c>
      <c r="G1289">
        <v>0.219888608964355</v>
      </c>
      <c r="H1289">
        <v>7.7344322234867396E-2</v>
      </c>
      <c r="I1289">
        <v>6.1299271659731702E-2</v>
      </c>
      <c r="J1289">
        <v>4.6460463968821697E-2</v>
      </c>
      <c r="K1289">
        <v>3.4836364880650401E-2</v>
      </c>
      <c r="L1289">
        <v>2170.74624639898</v>
      </c>
      <c r="M1289">
        <v>39.776222885681797</v>
      </c>
      <c r="N1289">
        <v>54.7208642088587</v>
      </c>
      <c r="O1289">
        <v>54.4365785430427</v>
      </c>
      <c r="P1289">
        <v>-0.173422545657374</v>
      </c>
      <c r="Q1289">
        <v>5.0637999142259402E-2</v>
      </c>
      <c r="R1289">
        <v>0.994920862583073</v>
      </c>
      <c r="S1289" t="s">
        <v>8292</v>
      </c>
      <c r="T1289" t="s">
        <v>14004</v>
      </c>
      <c r="U1289" t="s">
        <v>14004</v>
      </c>
      <c r="V1289" t="s">
        <v>14004</v>
      </c>
      <c r="W1289" t="s">
        <v>15266</v>
      </c>
      <c r="X1289">
        <v>22</v>
      </c>
      <c r="Y1289" t="s">
        <v>22197</v>
      </c>
      <c r="Z1289" t="s">
        <v>28999</v>
      </c>
      <c r="AA1289">
        <v>0.51544816558105655</v>
      </c>
      <c r="AB1289" t="str">
        <f>HYPERLINK("Melting_Curves/meltCurve_M0QWZ7_SARS2.pdf", "Melting_Curves/meltCurve_M0QWZ7_SARS2.pdf")</f>
        <v>Melting_Curves/meltCurve_M0QWZ7_SARS2.pdf</v>
      </c>
    </row>
    <row r="1290" spans="1:28" x14ac:dyDescent="0.25">
      <c r="A1290" t="s">
        <v>1294</v>
      </c>
      <c r="B1290">
        <v>0.99999676499088797</v>
      </c>
      <c r="C1290">
        <v>0.87894482590929301</v>
      </c>
      <c r="D1290">
        <v>0.586376178179283</v>
      </c>
      <c r="E1290">
        <v>0.19728874645991801</v>
      </c>
      <c r="F1290">
        <v>0.148791912332808</v>
      </c>
      <c r="G1290">
        <v>9.1425604935410396E-2</v>
      </c>
      <c r="H1290">
        <v>5.8146161397277699E-2</v>
      </c>
      <c r="I1290">
        <v>7.0605858274303004E-2</v>
      </c>
      <c r="J1290">
        <v>7.5990428124060497E-2</v>
      </c>
      <c r="K1290">
        <v>7.2610233823166004E-2</v>
      </c>
      <c r="L1290">
        <v>1170.23181747842</v>
      </c>
      <c r="M1290">
        <v>25.274516890929501</v>
      </c>
      <c r="N1290">
        <v>46.603648303578098</v>
      </c>
      <c r="O1290">
        <v>46.013924494079397</v>
      </c>
      <c r="P1290">
        <v>-0.12692432047956101</v>
      </c>
      <c r="Q1290">
        <v>7.5715526715849399E-2</v>
      </c>
      <c r="R1290">
        <v>0.99738595678796005</v>
      </c>
      <c r="S1290" t="s">
        <v>8293</v>
      </c>
      <c r="T1290" t="s">
        <v>14004</v>
      </c>
      <c r="U1290" t="s">
        <v>14004</v>
      </c>
      <c r="V1290" t="s">
        <v>14004</v>
      </c>
      <c r="W1290" t="s">
        <v>15267</v>
      </c>
      <c r="X1290">
        <v>12</v>
      </c>
      <c r="Y1290" t="s">
        <v>22198</v>
      </c>
      <c r="Z1290" t="s">
        <v>29000</v>
      </c>
      <c r="AA1290">
        <v>0.27805753290474372</v>
      </c>
      <c r="AB1290" t="str">
        <f>HYPERLINK("Melting_Curves/meltCurve_M0QX35_PAF1.pdf", "Melting_Curves/meltCurve_M0QX35_PAF1.pdf")</f>
        <v>Melting_Curves/meltCurve_M0QX35_PAF1.pdf</v>
      </c>
    </row>
    <row r="1291" spans="1:28" x14ac:dyDescent="0.25">
      <c r="A1291" t="s">
        <v>1295</v>
      </c>
      <c r="B1291">
        <v>0.99999676499088797</v>
      </c>
      <c r="C1291">
        <v>1.17156043672795</v>
      </c>
      <c r="D1291">
        <v>1.1157651100302</v>
      </c>
      <c r="E1291">
        <v>0.87199082246406601</v>
      </c>
      <c r="F1291">
        <v>0.66976852061490499</v>
      </c>
      <c r="G1291">
        <v>0.59476814454476001</v>
      </c>
      <c r="H1291">
        <v>0.35308596936240799</v>
      </c>
      <c r="I1291">
        <v>0.52072500245259101</v>
      </c>
      <c r="J1291">
        <v>0.39672936819659999</v>
      </c>
      <c r="K1291">
        <v>0.41803803621741398</v>
      </c>
      <c r="L1291">
        <v>1269.59475718422</v>
      </c>
      <c r="M1291">
        <v>23.971982192637199</v>
      </c>
      <c r="N1291">
        <v>57.504574080712104</v>
      </c>
      <c r="O1291">
        <v>52.597180478727402</v>
      </c>
      <c r="P1291">
        <v>-6.5545499526917697E-2</v>
      </c>
      <c r="Q1291">
        <v>0.42475283235392503</v>
      </c>
      <c r="R1291">
        <v>0.91445781988044905</v>
      </c>
      <c r="S1291" t="s">
        <v>8294</v>
      </c>
      <c r="T1291" t="s">
        <v>14004</v>
      </c>
      <c r="U1291" t="s">
        <v>14004</v>
      </c>
      <c r="V1291" t="s">
        <v>14004</v>
      </c>
      <c r="W1291" t="s">
        <v>15268</v>
      </c>
      <c r="X1291">
        <v>1</v>
      </c>
      <c r="Y1291" t="s">
        <v>22199</v>
      </c>
      <c r="Z1291" t="s">
        <v>29001</v>
      </c>
      <c r="AA1291">
        <v>0.67901717275406426</v>
      </c>
      <c r="AB1291" t="str">
        <f>HYPERLINK("Melting_Curves/meltCurve_M0QX57_KLK3.pdf", "Melting_Curves/meltCurve_M0QX57_KLK3.pdf")</f>
        <v>Melting_Curves/meltCurve_M0QX57_KLK3.pdf</v>
      </c>
    </row>
    <row r="1292" spans="1:28" x14ac:dyDescent="0.25">
      <c r="A1292" t="s">
        <v>1296</v>
      </c>
      <c r="B1292">
        <v>0.99999676499088797</v>
      </c>
      <c r="C1292">
        <v>0.97580423975558805</v>
      </c>
      <c r="D1292">
        <v>0.97277395009363299</v>
      </c>
      <c r="E1292">
        <v>0.93774151544483397</v>
      </c>
      <c r="F1292">
        <v>0.57542525659722799</v>
      </c>
      <c r="G1292">
        <v>0.36262482841894</v>
      </c>
      <c r="H1292">
        <v>0.235356382106544</v>
      </c>
      <c r="I1292">
        <v>0.285347103938072</v>
      </c>
      <c r="J1292">
        <v>0.34518468190509699</v>
      </c>
      <c r="K1292">
        <v>0.42034105584500298</v>
      </c>
      <c r="L1292">
        <v>2095.3454712831599</v>
      </c>
      <c r="M1292">
        <v>39.9141581938283</v>
      </c>
      <c r="N1292">
        <v>53.897783845954201</v>
      </c>
      <c r="O1292">
        <v>52.3650394230432</v>
      </c>
      <c r="P1292">
        <v>-0.12902721537065601</v>
      </c>
      <c r="Q1292">
        <v>0.32289679736668397</v>
      </c>
      <c r="R1292">
        <v>0.97776519261629102</v>
      </c>
      <c r="S1292" t="s">
        <v>8295</v>
      </c>
      <c r="T1292" t="s">
        <v>14004</v>
      </c>
      <c r="U1292" t="s">
        <v>14004</v>
      </c>
      <c r="V1292" t="s">
        <v>14004</v>
      </c>
      <c r="W1292" t="s">
        <v>15269</v>
      </c>
      <c r="X1292">
        <v>7</v>
      </c>
      <c r="Y1292" t="s">
        <v>22200</v>
      </c>
      <c r="Z1292" t="s">
        <v>29002</v>
      </c>
      <c r="AA1292">
        <v>0.60740536196574901</v>
      </c>
      <c r="AB1292" t="str">
        <f>HYPERLINK("Melting_Curves/meltCurve_M0QXA7_WIZ.pdf", "Melting_Curves/meltCurve_M0QXA7_WIZ.pdf")</f>
        <v>Melting_Curves/meltCurve_M0QXA7_WIZ.pdf</v>
      </c>
    </row>
    <row r="1293" spans="1:28" x14ac:dyDescent="0.25">
      <c r="A1293" t="s">
        <v>1297</v>
      </c>
      <c r="B1293">
        <v>0.99999676499088797</v>
      </c>
      <c r="C1293">
        <v>1.0258963710406099</v>
      </c>
      <c r="D1293">
        <v>1.06349292468273</v>
      </c>
      <c r="E1293">
        <v>1.0089494599951201</v>
      </c>
      <c r="F1293">
        <v>1.16428276669774</v>
      </c>
      <c r="G1293">
        <v>0.80791904425671301</v>
      </c>
      <c r="H1293">
        <v>0.66667169920617297</v>
      </c>
      <c r="I1293">
        <v>0.713832375039128</v>
      </c>
      <c r="J1293">
        <v>0.65089552728626399</v>
      </c>
      <c r="K1293">
        <v>0.79629301489454596</v>
      </c>
      <c r="L1293">
        <v>14163.4869116145</v>
      </c>
      <c r="M1293">
        <v>250</v>
      </c>
      <c r="O1293">
        <v>56.650322281786003</v>
      </c>
      <c r="P1293">
        <v>-0.32333979346910102</v>
      </c>
      <c r="Q1293">
        <v>0.70692314481916096</v>
      </c>
      <c r="R1293">
        <v>0.85323426289621096</v>
      </c>
      <c r="S1293" t="s">
        <v>8296</v>
      </c>
      <c r="T1293" t="s">
        <v>14004</v>
      </c>
      <c r="U1293" t="s">
        <v>14004</v>
      </c>
      <c r="V1293" t="s">
        <v>14004</v>
      </c>
      <c r="W1293" t="s">
        <v>15270</v>
      </c>
      <c r="X1293">
        <v>7</v>
      </c>
      <c r="Y1293" t="s">
        <v>22201</v>
      </c>
      <c r="Z1293" t="s">
        <v>29003</v>
      </c>
      <c r="AA1293">
        <v>0.8696485045976422</v>
      </c>
      <c r="AB1293" t="str">
        <f>HYPERLINK("Melting_Curves/meltCurve_M0QXZ5_ZNF428.pdf", "Melting_Curves/meltCurve_M0QXZ5_ZNF428.pdf")</f>
        <v>Melting_Curves/meltCurve_M0QXZ5_ZNF428.pdf</v>
      </c>
    </row>
    <row r="1294" spans="1:28" x14ac:dyDescent="0.25">
      <c r="A1294" t="s">
        <v>1298</v>
      </c>
      <c r="B1294">
        <v>0.99999676499088797</v>
      </c>
      <c r="C1294">
        <v>1.07037394028785</v>
      </c>
      <c r="D1294">
        <v>1.0469456927482199</v>
      </c>
      <c r="E1294">
        <v>1.0666462115100701</v>
      </c>
      <c r="F1294">
        <v>0.98685864488974895</v>
      </c>
      <c r="G1294">
        <v>1.0376228708759301</v>
      </c>
      <c r="H1294">
        <v>0.72863729164302904</v>
      </c>
      <c r="I1294">
        <v>0.88497084248854896</v>
      </c>
      <c r="J1294">
        <v>0.786833071263354</v>
      </c>
      <c r="K1294">
        <v>0.85716304996432702</v>
      </c>
      <c r="L1294">
        <v>5435.1835955300203</v>
      </c>
      <c r="M1294">
        <v>92.866997053422693</v>
      </c>
      <c r="O1294">
        <v>58.499411831464798</v>
      </c>
      <c r="P1294">
        <v>-7.3706560896458398E-2</v>
      </c>
      <c r="Q1294">
        <v>0.81428105753929703</v>
      </c>
      <c r="R1294">
        <v>0.78176958760853699</v>
      </c>
      <c r="S1294" t="s">
        <v>8297</v>
      </c>
      <c r="T1294" t="s">
        <v>14004</v>
      </c>
      <c r="U1294" t="s">
        <v>14004</v>
      </c>
      <c r="V1294" t="s">
        <v>14004</v>
      </c>
      <c r="W1294" t="s">
        <v>15271</v>
      </c>
      <c r="X1294">
        <v>24</v>
      </c>
      <c r="Y1294" t="s">
        <v>22202</v>
      </c>
      <c r="Z1294" t="s">
        <v>29004</v>
      </c>
      <c r="AA1294">
        <v>0.92911044204266624</v>
      </c>
      <c r="AB1294" t="str">
        <f>HYPERLINK("Melting_Curves/meltCurve_M0QY97_ZC3H4.pdf", "Melting_Curves/meltCurve_M0QY97_ZC3H4.pdf")</f>
        <v>Melting_Curves/meltCurve_M0QY97_ZC3H4.pdf</v>
      </c>
    </row>
    <row r="1295" spans="1:28" x14ac:dyDescent="0.25">
      <c r="A1295" t="s">
        <v>1299</v>
      </c>
      <c r="B1295">
        <v>0.99999676499088797</v>
      </c>
      <c r="C1295">
        <v>0.95808909538226195</v>
      </c>
      <c r="D1295">
        <v>0.90540335036429598</v>
      </c>
      <c r="E1295">
        <v>1.04688635605515</v>
      </c>
      <c r="F1295">
        <v>0.62254966168529002</v>
      </c>
      <c r="G1295">
        <v>0.82094941041605995</v>
      </c>
      <c r="H1295">
        <v>0.59195763226518205</v>
      </c>
      <c r="I1295">
        <v>0.355684551497709</v>
      </c>
      <c r="J1295">
        <v>0.40043801676360102</v>
      </c>
      <c r="K1295">
        <v>0.32740188571024398</v>
      </c>
      <c r="L1295">
        <v>560.05295846240699</v>
      </c>
      <c r="M1295">
        <v>9.1835569217645094</v>
      </c>
      <c r="N1295">
        <v>62.553359229220497</v>
      </c>
      <c r="O1295">
        <v>58.301595337852397</v>
      </c>
      <c r="P1295">
        <v>-3.5352183047311497E-2</v>
      </c>
      <c r="Q1295">
        <v>0.10287362940659001</v>
      </c>
      <c r="R1295">
        <v>0.87377617240171102</v>
      </c>
      <c r="S1295" t="s">
        <v>8298</v>
      </c>
      <c r="T1295" t="s">
        <v>14004</v>
      </c>
      <c r="U1295" t="s">
        <v>14004</v>
      </c>
      <c r="V1295" t="s">
        <v>14004</v>
      </c>
      <c r="W1295" t="s">
        <v>15272</v>
      </c>
      <c r="X1295">
        <v>1</v>
      </c>
      <c r="Y1295" t="s">
        <v>22203</v>
      </c>
      <c r="Z1295" t="s">
        <v>29005</v>
      </c>
      <c r="AA1295">
        <v>0.71542265811530792</v>
      </c>
      <c r="AB1295" t="str">
        <f>HYPERLINK("Melting_Curves/meltCurve_M0QYD2_ANO8.pdf", "Melting_Curves/meltCurve_M0QYD2_ANO8.pdf")</f>
        <v>Melting_Curves/meltCurve_M0QYD2_ANO8.pdf</v>
      </c>
    </row>
    <row r="1296" spans="1:28" x14ac:dyDescent="0.25">
      <c r="A1296" t="s">
        <v>1300</v>
      </c>
      <c r="B1296">
        <v>0.99999676499088797</v>
      </c>
      <c r="C1296">
        <v>0.85023559032389195</v>
      </c>
      <c r="D1296">
        <v>1.0807182083892499</v>
      </c>
      <c r="E1296">
        <v>0.95171848711245699</v>
      </c>
      <c r="F1296">
        <v>0.71451197536813704</v>
      </c>
      <c r="G1296">
        <v>0.80098974692708302</v>
      </c>
      <c r="H1296">
        <v>0.19332362582856999</v>
      </c>
      <c r="I1296">
        <v>0.15504283936917601</v>
      </c>
      <c r="J1296">
        <v>0.191782749151686</v>
      </c>
      <c r="K1296">
        <v>0.12926467629757299</v>
      </c>
      <c r="L1296">
        <v>1321.04928776108</v>
      </c>
      <c r="M1296">
        <v>22.892320065951399</v>
      </c>
      <c r="N1296">
        <v>58.266285221997997</v>
      </c>
      <c r="O1296">
        <v>57.272154010782202</v>
      </c>
      <c r="P1296">
        <v>-9.00744933342085E-2</v>
      </c>
      <c r="Q1296">
        <v>9.8621392597119398E-2</v>
      </c>
      <c r="R1296">
        <v>0.92227701288671704</v>
      </c>
      <c r="S1296" t="s">
        <v>8299</v>
      </c>
      <c r="T1296" t="s">
        <v>14004</v>
      </c>
      <c r="U1296" t="s">
        <v>14004</v>
      </c>
      <c r="V1296" t="s">
        <v>14004</v>
      </c>
      <c r="W1296" t="s">
        <v>15273</v>
      </c>
      <c r="X1296">
        <v>8</v>
      </c>
      <c r="Y1296" t="s">
        <v>22204</v>
      </c>
      <c r="Z1296" t="s">
        <v>29006</v>
      </c>
      <c r="AA1296">
        <v>0.63960293691246195</v>
      </c>
      <c r="AB1296" t="str">
        <f>HYPERLINK("Melting_Curves/meltCurve_M0QYM7_TUBB4A.pdf", "Melting_Curves/meltCurve_M0QYM7_TUBB4A.pdf")</f>
        <v>Melting_Curves/meltCurve_M0QYM7_TUBB4A.pdf</v>
      </c>
    </row>
    <row r="1297" spans="1:28" x14ac:dyDescent="0.25">
      <c r="A1297" t="s">
        <v>1301</v>
      </c>
      <c r="B1297">
        <v>0.99999676499088797</v>
      </c>
      <c r="C1297">
        <v>1.03084681959163</v>
      </c>
      <c r="D1297">
        <v>1.15995074494101</v>
      </c>
      <c r="E1297">
        <v>1.3483961015282</v>
      </c>
      <c r="F1297">
        <v>0.95898546742481505</v>
      </c>
      <c r="G1297">
        <v>0.89265229177579697</v>
      </c>
      <c r="H1297">
        <v>0.21780359611836</v>
      </c>
      <c r="I1297">
        <v>0.148008263432169</v>
      </c>
      <c r="J1297">
        <v>0.108128803507083</v>
      </c>
      <c r="K1297">
        <v>9.1447309922570996E-2</v>
      </c>
      <c r="L1297">
        <v>3368.4046741187799</v>
      </c>
      <c r="M1297">
        <v>57.351169993642003</v>
      </c>
      <c r="N1297">
        <v>58.992974643395002</v>
      </c>
      <c r="O1297">
        <v>58.661689901802802</v>
      </c>
      <c r="P1297">
        <v>-0.21711955328757501</v>
      </c>
      <c r="Q1297">
        <v>0.11167679595240899</v>
      </c>
      <c r="R1297">
        <v>0.93128804753279604</v>
      </c>
      <c r="S1297" t="s">
        <v>8300</v>
      </c>
      <c r="T1297" t="s">
        <v>14004</v>
      </c>
      <c r="U1297" t="s">
        <v>14004</v>
      </c>
      <c r="V1297" t="s">
        <v>14004</v>
      </c>
      <c r="W1297" t="s">
        <v>15274</v>
      </c>
      <c r="X1297">
        <v>8</v>
      </c>
      <c r="Y1297" t="s">
        <v>22205</v>
      </c>
      <c r="Z1297" t="s">
        <v>29007</v>
      </c>
      <c r="AA1297">
        <v>0.66811706975130891</v>
      </c>
      <c r="AB1297" t="str">
        <f>HYPERLINK("Melting_Curves/meltCurve_M0QYS1_RPL13A.pdf", "Melting_Curves/meltCurve_M0QYS1_RPL13A.pdf")</f>
        <v>Melting_Curves/meltCurve_M0QYS1_RPL13A.pdf</v>
      </c>
    </row>
    <row r="1298" spans="1:28" x14ac:dyDescent="0.25">
      <c r="A1298" t="s">
        <v>1302</v>
      </c>
      <c r="B1298">
        <v>0.99999676499088797</v>
      </c>
      <c r="C1298">
        <v>0.88959987463178503</v>
      </c>
      <c r="D1298">
        <v>0.93836447587479899</v>
      </c>
      <c r="E1298">
        <v>1.39266321505892</v>
      </c>
      <c r="F1298">
        <v>1.5077793133894899</v>
      </c>
      <c r="G1298">
        <v>1.30236170587185</v>
      </c>
      <c r="H1298">
        <v>0.74222210918206399</v>
      </c>
      <c r="I1298">
        <v>0.60203173064890103</v>
      </c>
      <c r="J1298">
        <v>0.21144407667760001</v>
      </c>
      <c r="K1298">
        <v>0.123445889912979</v>
      </c>
      <c r="L1298">
        <v>2129.57928919084</v>
      </c>
      <c r="M1298">
        <v>33.2091155630687</v>
      </c>
      <c r="N1298">
        <v>64.382501219891296</v>
      </c>
      <c r="O1298">
        <v>63.895149857817998</v>
      </c>
      <c r="P1298">
        <v>-0.121895410904727</v>
      </c>
      <c r="Q1298">
        <v>6.1884949844707299E-2</v>
      </c>
      <c r="R1298">
        <v>0.72142203282154005</v>
      </c>
      <c r="S1298" t="s">
        <v>8301</v>
      </c>
      <c r="T1298" t="s">
        <v>14004</v>
      </c>
      <c r="U1298" t="s">
        <v>14004</v>
      </c>
      <c r="V1298" t="s">
        <v>14004</v>
      </c>
      <c r="W1298" t="s">
        <v>15275</v>
      </c>
      <c r="X1298">
        <v>3</v>
      </c>
      <c r="Y1298" t="s">
        <v>22206</v>
      </c>
      <c r="Z1298" t="s">
        <v>29008</v>
      </c>
      <c r="AA1298">
        <v>0.81776345630682401</v>
      </c>
      <c r="AB1298" t="str">
        <f>HYPERLINK("Melting_Curves/meltCurve_M0QZ12_GRAMD1A.pdf", "Melting_Curves/meltCurve_M0QZ12_GRAMD1A.pdf")</f>
        <v>Melting_Curves/meltCurve_M0QZ12_GRAMD1A.pdf</v>
      </c>
    </row>
    <row r="1299" spans="1:28" x14ac:dyDescent="0.25">
      <c r="A1299" t="s">
        <v>1303</v>
      </c>
      <c r="B1299">
        <v>0.99999676499088797</v>
      </c>
      <c r="C1299">
        <v>0.84051164236860099</v>
      </c>
      <c r="D1299">
        <v>0.66125852456256096</v>
      </c>
      <c r="E1299">
        <v>0.26729185000712002</v>
      </c>
      <c r="F1299">
        <v>0.366322530021431</v>
      </c>
      <c r="G1299">
        <v>0.10329962115788199</v>
      </c>
      <c r="H1299">
        <v>4.3355673654191101E-2</v>
      </c>
      <c r="I1299">
        <v>3.5754710454670102E-2</v>
      </c>
      <c r="J1299">
        <v>3.4822460135335E-2</v>
      </c>
      <c r="K1299">
        <v>2.1684606430404901E-2</v>
      </c>
      <c r="L1299">
        <v>668.75881942876504</v>
      </c>
      <c r="M1299">
        <v>13.973819037093</v>
      </c>
      <c r="N1299">
        <v>47.991882914140398</v>
      </c>
      <c r="O1299">
        <v>46.9098351957661</v>
      </c>
      <c r="P1299">
        <v>-7.3057666351311501E-2</v>
      </c>
      <c r="Q1299">
        <v>1.9118168034726699E-2</v>
      </c>
      <c r="R1299">
        <v>0.96427469886181205</v>
      </c>
      <c r="S1299" t="s">
        <v>8302</v>
      </c>
      <c r="T1299" t="s">
        <v>14004</v>
      </c>
      <c r="U1299" t="s">
        <v>14004</v>
      </c>
      <c r="V1299" t="s">
        <v>14004</v>
      </c>
      <c r="W1299" t="s">
        <v>15276</v>
      </c>
      <c r="X1299">
        <v>4</v>
      </c>
      <c r="Y1299" t="s">
        <v>22207</v>
      </c>
      <c r="Z1299" t="s">
        <v>29009</v>
      </c>
      <c r="AA1299">
        <v>0.30524945252372199</v>
      </c>
      <c r="AB1299" t="str">
        <f>HYPERLINK("Melting_Curves/meltCurve_M0QZ22_SAMD4B.pdf", "Melting_Curves/meltCurve_M0QZ22_SAMD4B.pdf")</f>
        <v>Melting_Curves/meltCurve_M0QZ22_SAMD4B.pdf</v>
      </c>
    </row>
    <row r="1300" spans="1:28" x14ac:dyDescent="0.25">
      <c r="A1300" t="s">
        <v>1304</v>
      </c>
      <c r="B1300">
        <v>0.99999676499088797</v>
      </c>
      <c r="C1300">
        <v>0.98280908916905096</v>
      </c>
      <c r="D1300">
        <v>0.86882814170035705</v>
      </c>
      <c r="E1300">
        <v>0.34616549786138501</v>
      </c>
      <c r="F1300">
        <v>0.24659021584994401</v>
      </c>
      <c r="G1300">
        <v>0.19109354926233099</v>
      </c>
      <c r="H1300">
        <v>0.113818313562929</v>
      </c>
      <c r="I1300">
        <v>0.11345829690911299</v>
      </c>
      <c r="J1300">
        <v>9.7213403026148199E-2</v>
      </c>
      <c r="K1300">
        <v>8.7714429518175902E-2</v>
      </c>
      <c r="L1300">
        <v>1527.8680146466099</v>
      </c>
      <c r="M1300">
        <v>31.692111165457</v>
      </c>
      <c r="N1300">
        <v>48.667304545935799</v>
      </c>
      <c r="O1300">
        <v>48.018995267191301</v>
      </c>
      <c r="P1300">
        <v>-0.14374037166911799</v>
      </c>
      <c r="Q1300">
        <v>0.12883909266023699</v>
      </c>
      <c r="R1300">
        <v>0.98965752244101801</v>
      </c>
      <c r="S1300" t="s">
        <v>8303</v>
      </c>
      <c r="T1300" t="s">
        <v>14004</v>
      </c>
      <c r="U1300" t="s">
        <v>14004</v>
      </c>
      <c r="V1300" t="s">
        <v>14004</v>
      </c>
      <c r="W1300" t="s">
        <v>15277</v>
      </c>
      <c r="X1300">
        <v>7</v>
      </c>
      <c r="Y1300" t="s">
        <v>22208</v>
      </c>
      <c r="Z1300" t="s">
        <v>29010</v>
      </c>
      <c r="AA1300">
        <v>0.37192744179135478</v>
      </c>
      <c r="AB1300" t="str">
        <f>HYPERLINK("Melting_Curves/meltCurve_M0QZI3_FCHO1.pdf", "Melting_Curves/meltCurve_M0QZI3_FCHO1.pdf")</f>
        <v>Melting_Curves/meltCurve_M0QZI3_FCHO1.pdf</v>
      </c>
    </row>
    <row r="1301" spans="1:28" x14ac:dyDescent="0.25">
      <c r="A1301" t="s">
        <v>1305</v>
      </c>
      <c r="B1301">
        <v>0.99999676499088797</v>
      </c>
      <c r="C1301">
        <v>0.95239836016093005</v>
      </c>
      <c r="D1301">
        <v>0.91466547278971999</v>
      </c>
      <c r="E1301">
        <v>0.58427716000712104</v>
      </c>
      <c r="F1301">
        <v>0.24956443994462499</v>
      </c>
      <c r="G1301">
        <v>0.15251231267870899</v>
      </c>
      <c r="H1301">
        <v>7.4052498872838796E-2</v>
      </c>
      <c r="I1301">
        <v>6.2757817936195198E-2</v>
      </c>
      <c r="J1301">
        <v>8.3871491123846106E-2</v>
      </c>
      <c r="K1301">
        <v>5.1034294063879999E-2</v>
      </c>
      <c r="L1301">
        <v>1159.0702474698001</v>
      </c>
      <c r="M1301">
        <v>23.127396455891802</v>
      </c>
      <c r="N1301">
        <v>50.425861758479797</v>
      </c>
      <c r="O1301">
        <v>49.746576518752299</v>
      </c>
      <c r="P1301">
        <v>-0.108546960465876</v>
      </c>
      <c r="Q1301">
        <v>6.6087554680058003E-2</v>
      </c>
      <c r="R1301">
        <v>0.998105713465955</v>
      </c>
      <c r="S1301" t="s">
        <v>8304</v>
      </c>
      <c r="T1301" t="s">
        <v>14004</v>
      </c>
      <c r="U1301" t="s">
        <v>14004</v>
      </c>
      <c r="V1301" t="s">
        <v>14004</v>
      </c>
      <c r="W1301" t="s">
        <v>15278</v>
      </c>
      <c r="X1301">
        <v>1</v>
      </c>
      <c r="Y1301" t="s">
        <v>22209</v>
      </c>
      <c r="Z1301" t="s">
        <v>29011</v>
      </c>
      <c r="AA1301">
        <v>0.39079049944524541</v>
      </c>
      <c r="AB1301" t="str">
        <f>HYPERLINK("Melting_Curves/meltCurve_M0QZL8_JOSD2.pdf", "Melting_Curves/meltCurve_M0QZL8_JOSD2.pdf")</f>
        <v>Melting_Curves/meltCurve_M0QZL8_JOSD2.pdf</v>
      </c>
    </row>
    <row r="1302" spans="1:28" x14ac:dyDescent="0.25">
      <c r="A1302" t="s">
        <v>1306</v>
      </c>
      <c r="B1302">
        <v>0.99999676499088797</v>
      </c>
      <c r="C1302">
        <v>0.90940224246350099</v>
      </c>
      <c r="D1302">
        <v>0.90520094858718503</v>
      </c>
      <c r="E1302">
        <v>0.48812489950924298</v>
      </c>
      <c r="F1302">
        <v>0.20483736928207899</v>
      </c>
      <c r="G1302">
        <v>0.121592758557418</v>
      </c>
      <c r="H1302">
        <v>2.8999292015560101E-2</v>
      </c>
      <c r="I1302">
        <v>5.9396307571027797E-2</v>
      </c>
      <c r="J1302">
        <v>0</v>
      </c>
      <c r="K1302">
        <v>0.11854000780874401</v>
      </c>
      <c r="L1302">
        <v>1197.015800095</v>
      </c>
      <c r="M1302">
        <v>24.219261481589498</v>
      </c>
      <c r="N1302">
        <v>49.660530359081797</v>
      </c>
      <c r="O1302">
        <v>49.090869146571698</v>
      </c>
      <c r="P1302">
        <v>-0.116625172812415</v>
      </c>
      <c r="Q1302">
        <v>5.4447834878958698E-2</v>
      </c>
      <c r="R1302">
        <v>0.98946579835898896</v>
      </c>
      <c r="S1302" t="s">
        <v>8305</v>
      </c>
      <c r="T1302" t="s">
        <v>14004</v>
      </c>
      <c r="U1302" t="s">
        <v>14004</v>
      </c>
      <c r="V1302" t="s">
        <v>14004</v>
      </c>
      <c r="W1302" t="s">
        <v>15279</v>
      </c>
      <c r="X1302">
        <v>23</v>
      </c>
      <c r="Y1302" t="s">
        <v>22210</v>
      </c>
      <c r="Z1302" t="s">
        <v>29012</v>
      </c>
      <c r="AA1302">
        <v>0.36044804849779682</v>
      </c>
      <c r="AB1302" t="str">
        <f>HYPERLINK("Melting_Curves/meltCurve_M0QZM1_HNRNPM.pdf", "Melting_Curves/meltCurve_M0QZM1_HNRNPM.pdf")</f>
        <v>Melting_Curves/meltCurve_M0QZM1_HNRNPM.pdf</v>
      </c>
    </row>
    <row r="1303" spans="1:28" x14ac:dyDescent="0.25">
      <c r="A1303" t="s">
        <v>1307</v>
      </c>
      <c r="B1303">
        <v>0.99999676499088797</v>
      </c>
      <c r="C1303">
        <v>0.90326262489252496</v>
      </c>
      <c r="D1303">
        <v>0.85374702267755498</v>
      </c>
      <c r="E1303">
        <v>0.88652652265546195</v>
      </c>
      <c r="F1303">
        <v>0.85678566449279603</v>
      </c>
      <c r="G1303">
        <v>0.78955749334465797</v>
      </c>
      <c r="H1303">
        <v>0.42801373711476098</v>
      </c>
      <c r="I1303">
        <v>0.70893491730743696</v>
      </c>
      <c r="J1303">
        <v>0.52564644873047595</v>
      </c>
      <c r="K1303">
        <v>0.51046368868313796</v>
      </c>
      <c r="L1303">
        <v>371.93297723086602</v>
      </c>
      <c r="M1303">
        <v>6.0806993689092304</v>
      </c>
      <c r="O1303">
        <v>55.539114208437098</v>
      </c>
      <c r="P1303">
        <v>-1.99618562898102E-2</v>
      </c>
      <c r="Q1303">
        <v>0.27294453473765601</v>
      </c>
      <c r="R1303">
        <v>0.77251317943279996</v>
      </c>
      <c r="S1303" t="s">
        <v>8306</v>
      </c>
      <c r="T1303" t="s">
        <v>14004</v>
      </c>
      <c r="U1303" t="s">
        <v>14004</v>
      </c>
      <c r="V1303" t="s">
        <v>14004</v>
      </c>
      <c r="W1303" t="s">
        <v>15280</v>
      </c>
      <c r="X1303">
        <v>1</v>
      </c>
      <c r="Y1303" t="s">
        <v>22211</v>
      </c>
      <c r="Z1303" t="s">
        <v>29013</v>
      </c>
      <c r="AA1303">
        <v>0.75058867017509789</v>
      </c>
      <c r="AB1303" t="str">
        <f>HYPERLINK("Melting_Curves/meltCurve_M0QZP6_CD37.pdf", "Melting_Curves/meltCurve_M0QZP6_CD37.pdf")</f>
        <v>Melting_Curves/meltCurve_M0QZP6_CD37.pdf</v>
      </c>
    </row>
    <row r="1304" spans="1:28" x14ac:dyDescent="0.25">
      <c r="A1304" t="s">
        <v>1308</v>
      </c>
      <c r="B1304">
        <v>0.99999676499088797</v>
      </c>
      <c r="C1304">
        <v>0.81633274787931198</v>
      </c>
      <c r="D1304">
        <v>0.41802432271672801</v>
      </c>
      <c r="E1304">
        <v>0.21428050993777401</v>
      </c>
      <c r="F1304">
        <v>0.16289791435124101</v>
      </c>
      <c r="G1304">
        <v>0.11366893701506001</v>
      </c>
      <c r="H1304">
        <v>5.8445838314709599E-2</v>
      </c>
      <c r="I1304">
        <v>5.6685587674938399E-2</v>
      </c>
      <c r="J1304">
        <v>4.8628050374503497E-2</v>
      </c>
      <c r="K1304">
        <v>4.1239434848643099E-2</v>
      </c>
      <c r="L1304">
        <v>1033.12396711158</v>
      </c>
      <c r="M1304">
        <v>22.799560390850001</v>
      </c>
      <c r="N1304">
        <v>45.6315731071196</v>
      </c>
      <c r="O1304">
        <v>44.9690618990982</v>
      </c>
      <c r="P1304">
        <v>-0.117436334367842</v>
      </c>
      <c r="Q1304">
        <v>7.3508785110711697E-2</v>
      </c>
      <c r="R1304">
        <v>0.989505291203572</v>
      </c>
      <c r="S1304" t="s">
        <v>8307</v>
      </c>
      <c r="T1304" t="s">
        <v>14004</v>
      </c>
      <c r="U1304" t="s">
        <v>14004</v>
      </c>
      <c r="V1304" t="s">
        <v>14004</v>
      </c>
      <c r="W1304" t="s">
        <v>15281</v>
      </c>
      <c r="X1304">
        <v>37</v>
      </c>
      <c r="Y1304" t="s">
        <v>22212</v>
      </c>
      <c r="Z1304" t="s">
        <v>29014</v>
      </c>
      <c r="AA1304">
        <v>0.24875415956934779</v>
      </c>
      <c r="AB1304" t="str">
        <f>HYPERLINK("Melting_Curves/meltCurve_M0QZR4_ARHGEF1.pdf", "Melting_Curves/meltCurve_M0QZR4_ARHGEF1.pdf")</f>
        <v>Melting_Curves/meltCurve_M0QZR4_ARHGEF1.pdf</v>
      </c>
    </row>
    <row r="1305" spans="1:28" x14ac:dyDescent="0.25">
      <c r="A1305" t="s">
        <v>1309</v>
      </c>
      <c r="B1305">
        <v>0.99999676499088797</v>
      </c>
      <c r="C1305">
        <v>0.98856368467861</v>
      </c>
      <c r="D1305">
        <v>0.74047783586935101</v>
      </c>
      <c r="E1305">
        <v>0.44060357127822503</v>
      </c>
      <c r="F1305">
        <v>0.39036386810697898</v>
      </c>
      <c r="G1305">
        <v>0.28190316128163401</v>
      </c>
      <c r="H1305">
        <v>0.132681508677993</v>
      </c>
      <c r="I1305">
        <v>0.118211453849456</v>
      </c>
      <c r="J1305">
        <v>0.232123823856829</v>
      </c>
      <c r="K1305">
        <v>0.115492840925726</v>
      </c>
      <c r="L1305">
        <v>794.58312044162096</v>
      </c>
      <c r="M1305">
        <v>16.338679108673901</v>
      </c>
      <c r="N1305">
        <v>49.7371896548769</v>
      </c>
      <c r="O1305">
        <v>47.9210197931056</v>
      </c>
      <c r="P1305">
        <v>-7.2267683174836506E-2</v>
      </c>
      <c r="Q1305">
        <v>0.152222550185001</v>
      </c>
      <c r="R1305">
        <v>0.971018745270253</v>
      </c>
      <c r="S1305" t="s">
        <v>8308</v>
      </c>
      <c r="T1305" t="s">
        <v>14004</v>
      </c>
      <c r="U1305" t="s">
        <v>14004</v>
      </c>
      <c r="V1305" t="s">
        <v>14004</v>
      </c>
      <c r="W1305" t="s">
        <v>15282</v>
      </c>
      <c r="X1305">
        <v>1</v>
      </c>
      <c r="Y1305" t="s">
        <v>22213</v>
      </c>
      <c r="Z1305" t="s">
        <v>29015</v>
      </c>
      <c r="AA1305">
        <v>0.41412315176471648</v>
      </c>
      <c r="AB1305" t="str">
        <f>HYPERLINK("Melting_Curves/meltCurve_M0QZW1_PRKD2.pdf", "Melting_Curves/meltCurve_M0QZW1_PRKD2.pdf")</f>
        <v>Melting_Curves/meltCurve_M0QZW1_PRKD2.pdf</v>
      </c>
    </row>
    <row r="1306" spans="1:28" x14ac:dyDescent="0.25">
      <c r="A1306" t="s">
        <v>1310</v>
      </c>
      <c r="B1306">
        <v>0.99999676499088797</v>
      </c>
      <c r="C1306">
        <v>0.97163340733756998</v>
      </c>
      <c r="D1306">
        <v>1.01180435157041</v>
      </c>
      <c r="E1306">
        <v>0.93585903643240398</v>
      </c>
      <c r="F1306">
        <v>0.66298937099575606</v>
      </c>
      <c r="G1306">
        <v>0.66142949006890595</v>
      </c>
      <c r="H1306">
        <v>0.25516589999352801</v>
      </c>
      <c r="I1306">
        <v>0.207852649564019</v>
      </c>
      <c r="J1306">
        <v>0.16624780251728299</v>
      </c>
      <c r="K1306">
        <v>0.13899788660252499</v>
      </c>
      <c r="L1306">
        <v>868.703949077689</v>
      </c>
      <c r="M1306">
        <v>15.269303727095499</v>
      </c>
      <c r="N1306">
        <v>57.492780146196701</v>
      </c>
      <c r="O1306">
        <v>55.943144340500197</v>
      </c>
      <c r="P1306">
        <v>-6.3211391761807595E-2</v>
      </c>
      <c r="Q1306">
        <v>7.3720471133896903E-2</v>
      </c>
      <c r="R1306">
        <v>0.97486859926528902</v>
      </c>
      <c r="S1306" t="s">
        <v>8309</v>
      </c>
      <c r="T1306" t="s">
        <v>14004</v>
      </c>
      <c r="U1306" t="s">
        <v>14004</v>
      </c>
      <c r="V1306" t="s">
        <v>14004</v>
      </c>
      <c r="W1306" t="s">
        <v>15273</v>
      </c>
      <c r="X1306">
        <v>8</v>
      </c>
      <c r="Y1306" t="s">
        <v>22204</v>
      </c>
      <c r="Z1306" t="s">
        <v>29016</v>
      </c>
      <c r="AA1306">
        <v>0.60998347534934383</v>
      </c>
      <c r="AB1306" t="str">
        <f>HYPERLINK("Melting_Curves/meltCurve_M0R042_TUBB4A.pdf", "Melting_Curves/meltCurve_M0R042_TUBB4A.pdf")</f>
        <v>Melting_Curves/meltCurve_M0R042_TUBB4A.pdf</v>
      </c>
    </row>
    <row r="1307" spans="1:28" x14ac:dyDescent="0.25">
      <c r="A1307" t="s">
        <v>1311</v>
      </c>
      <c r="B1307">
        <v>0.99999676499088797</v>
      </c>
      <c r="C1307">
        <v>1.40472307155896</v>
      </c>
      <c r="D1307">
        <v>1.0659133519964701</v>
      </c>
      <c r="E1307">
        <v>0.93700433847504705</v>
      </c>
      <c r="F1307">
        <v>0.45913922012898201</v>
      </c>
      <c r="G1307">
        <v>0.56117614217439105</v>
      </c>
      <c r="H1307">
        <v>0.76027397102754102</v>
      </c>
      <c r="I1307">
        <v>1.60418049226058</v>
      </c>
      <c r="J1307">
        <v>1.59745734246118</v>
      </c>
      <c r="K1307">
        <v>1.72616729774726</v>
      </c>
      <c r="L1307">
        <v>15000</v>
      </c>
      <c r="M1307">
        <v>240.130424239127</v>
      </c>
      <c r="O1307">
        <v>62.461720954413202</v>
      </c>
      <c r="P1307">
        <v>0.48055517127312303</v>
      </c>
      <c r="Q1307">
        <v>1.5</v>
      </c>
      <c r="R1307">
        <v>0.57223476212386504</v>
      </c>
      <c r="S1307" t="s">
        <v>8310</v>
      </c>
      <c r="T1307" t="s">
        <v>14004</v>
      </c>
      <c r="U1307" t="s">
        <v>14004</v>
      </c>
      <c r="V1307" t="s">
        <v>14004</v>
      </c>
      <c r="W1307" t="s">
        <v>15283</v>
      </c>
      <c r="X1307">
        <v>1</v>
      </c>
      <c r="Y1307" t="s">
        <v>22214</v>
      </c>
      <c r="Z1307" t="s">
        <v>29017</v>
      </c>
      <c r="AA1307">
        <v>1.1255063570275159</v>
      </c>
      <c r="AB1307" t="str">
        <f>HYPERLINK("Melting_Curves/meltCurve_M0R087_ZNF575.pdf", "Melting_Curves/meltCurve_M0R087_ZNF575.pdf")</f>
        <v>Melting_Curves/meltCurve_M0R087_ZNF575.pdf</v>
      </c>
    </row>
    <row r="1308" spans="1:28" x14ac:dyDescent="0.25">
      <c r="A1308" t="s">
        <v>1312</v>
      </c>
      <c r="B1308">
        <v>0.99999676499088797</v>
      </c>
      <c r="C1308">
        <v>1.01058608417898</v>
      </c>
      <c r="D1308">
        <v>0.94457704842433998</v>
      </c>
      <c r="E1308">
        <v>0.88890951515366301</v>
      </c>
      <c r="F1308">
        <v>0.75096800341915304</v>
      </c>
      <c r="G1308">
        <v>0.57500881160026196</v>
      </c>
      <c r="H1308">
        <v>0.238486633639343</v>
      </c>
      <c r="I1308">
        <v>0.213223010902236</v>
      </c>
      <c r="J1308">
        <v>0.19692341339092201</v>
      </c>
      <c r="K1308">
        <v>0.17312998626787701</v>
      </c>
      <c r="L1308">
        <v>978.122026931493</v>
      </c>
      <c r="M1308">
        <v>17.450593232915399</v>
      </c>
      <c r="N1308">
        <v>57.045784920772597</v>
      </c>
      <c r="O1308">
        <v>55.330417835508499</v>
      </c>
      <c r="P1308">
        <v>-6.8506952452695197E-2</v>
      </c>
      <c r="Q1308">
        <v>0.131191385247999</v>
      </c>
      <c r="R1308">
        <v>0.99024843971044996</v>
      </c>
      <c r="S1308" t="s">
        <v>8311</v>
      </c>
      <c r="T1308" t="s">
        <v>14004</v>
      </c>
      <c r="U1308" t="s">
        <v>14004</v>
      </c>
      <c r="V1308" t="s">
        <v>14004</v>
      </c>
      <c r="W1308" t="s">
        <v>15284</v>
      </c>
      <c r="X1308">
        <v>5</v>
      </c>
      <c r="Y1308" t="s">
        <v>22215</v>
      </c>
      <c r="Z1308" t="s">
        <v>29018</v>
      </c>
      <c r="AA1308">
        <v>0.60925366766834277</v>
      </c>
      <c r="AB1308" t="str">
        <f>HYPERLINK("Melting_Curves/meltCurve_M0R0B4_KXD1.pdf", "Melting_Curves/meltCurve_M0R0B4_KXD1.pdf")</f>
        <v>Melting_Curves/meltCurve_M0R0B4_KXD1.pdf</v>
      </c>
    </row>
    <row r="1309" spans="1:28" x14ac:dyDescent="0.25">
      <c r="A1309" t="s">
        <v>1313</v>
      </c>
      <c r="B1309">
        <v>0.99999676499088797</v>
      </c>
      <c r="C1309">
        <v>1.0933512817783499</v>
      </c>
      <c r="D1309">
        <v>0.92338680356090896</v>
      </c>
      <c r="E1309">
        <v>0.69376997856705802</v>
      </c>
      <c r="F1309">
        <v>0.49432344801873201</v>
      </c>
      <c r="G1309">
        <v>0.37311683044753302</v>
      </c>
      <c r="H1309">
        <v>0.142207445307061</v>
      </c>
      <c r="I1309">
        <v>0.11744673650927299</v>
      </c>
      <c r="J1309">
        <v>0.106100763852398</v>
      </c>
      <c r="K1309">
        <v>8.5249790056582495E-2</v>
      </c>
      <c r="L1309">
        <v>796.34556585820803</v>
      </c>
      <c r="M1309">
        <v>15.0712108995686</v>
      </c>
      <c r="N1309">
        <v>53.316870084946999</v>
      </c>
      <c r="O1309">
        <v>51.934775407544201</v>
      </c>
      <c r="P1309">
        <v>-6.7970774663237907E-2</v>
      </c>
      <c r="Q1309">
        <v>6.3194886355074101E-2</v>
      </c>
      <c r="R1309">
        <v>0.98357808844483696</v>
      </c>
      <c r="S1309" t="s">
        <v>8312</v>
      </c>
      <c r="T1309" t="s">
        <v>14004</v>
      </c>
      <c r="U1309" t="s">
        <v>14004</v>
      </c>
      <c r="V1309" t="s">
        <v>14004</v>
      </c>
      <c r="W1309" t="s">
        <v>15285</v>
      </c>
      <c r="X1309">
        <v>14</v>
      </c>
      <c r="Y1309" t="s">
        <v>22216</v>
      </c>
      <c r="Z1309" t="s">
        <v>29019</v>
      </c>
      <c r="AA1309">
        <v>0.48426994161702069</v>
      </c>
      <c r="AB1309" t="str">
        <f>HYPERLINK("Melting_Curves/meltCurve_M0R0F0_RPS5.pdf", "Melting_Curves/meltCurve_M0R0F0_RPS5.pdf")</f>
        <v>Melting_Curves/meltCurve_M0R0F0_RPS5.pdf</v>
      </c>
    </row>
    <row r="1310" spans="1:28" x14ac:dyDescent="0.25">
      <c r="A1310" t="s">
        <v>1314</v>
      </c>
      <c r="B1310">
        <v>0.99999676499088797</v>
      </c>
      <c r="C1310">
        <v>1.0388922576930999</v>
      </c>
      <c r="D1310">
        <v>1.0497975898637899</v>
      </c>
      <c r="E1310">
        <v>0.93141649494144896</v>
      </c>
      <c r="F1310">
        <v>0.74652968963340205</v>
      </c>
      <c r="G1310">
        <v>0.63269441710781704</v>
      </c>
      <c r="H1310">
        <v>0.41385334930734202</v>
      </c>
      <c r="I1310">
        <v>0.19584936660257499</v>
      </c>
      <c r="J1310">
        <v>0.118006856719628</v>
      </c>
      <c r="K1310">
        <v>9.6547946664076803E-2</v>
      </c>
      <c r="L1310">
        <v>838.56770893152702</v>
      </c>
      <c r="M1310">
        <v>14.3195907234934</v>
      </c>
      <c r="N1310">
        <v>58.560871456273397</v>
      </c>
      <c r="O1310">
        <v>57.454306008876401</v>
      </c>
      <c r="P1310">
        <v>-6.2316154662780503E-2</v>
      </c>
      <c r="Q1310">
        <v>0</v>
      </c>
      <c r="R1310">
        <v>0.98928475051674902</v>
      </c>
      <c r="S1310" t="s">
        <v>8313</v>
      </c>
      <c r="T1310" t="s">
        <v>14004</v>
      </c>
      <c r="U1310" t="s">
        <v>14004</v>
      </c>
      <c r="V1310" t="s">
        <v>14004</v>
      </c>
      <c r="W1310" t="s">
        <v>15286</v>
      </c>
      <c r="X1310">
        <v>4</v>
      </c>
      <c r="Y1310" t="s">
        <v>22217</v>
      </c>
      <c r="Z1310" t="s">
        <v>29020</v>
      </c>
      <c r="AA1310">
        <v>0.63041836698069498</v>
      </c>
      <c r="AB1310" t="str">
        <f>HYPERLINK("Melting_Curves/meltCurve_M0R0N4_AP2S1.pdf", "Melting_Curves/meltCurve_M0R0N4_AP2S1.pdf")</f>
        <v>Melting_Curves/meltCurve_M0R0N4_AP2S1.pdf</v>
      </c>
    </row>
    <row r="1311" spans="1:28" x14ac:dyDescent="0.25">
      <c r="A1311" t="s">
        <v>1315</v>
      </c>
      <c r="B1311">
        <v>0.99999676499088797</v>
      </c>
      <c r="C1311">
        <v>0.88096061339173004</v>
      </c>
      <c r="D1311">
        <v>0.66415417906702801</v>
      </c>
      <c r="E1311">
        <v>0.43474800917721601</v>
      </c>
      <c r="F1311">
        <v>0.34620713215850102</v>
      </c>
      <c r="G1311">
        <v>0.22678655461096101</v>
      </c>
      <c r="H1311">
        <v>0.12457255912821499</v>
      </c>
      <c r="I1311">
        <v>0.123652651143368</v>
      </c>
      <c r="J1311">
        <v>0.143335307095348</v>
      </c>
      <c r="K1311">
        <v>0.14573392654346101</v>
      </c>
      <c r="L1311">
        <v>691.02114579127601</v>
      </c>
      <c r="M1311">
        <v>14.405346858487601</v>
      </c>
      <c r="N1311">
        <v>48.928427876871098</v>
      </c>
      <c r="O1311">
        <v>47.073748514253502</v>
      </c>
      <c r="P1311">
        <v>-6.7105271189716903E-2</v>
      </c>
      <c r="Q1311">
        <v>0.122957989234607</v>
      </c>
      <c r="R1311">
        <v>0.99060498200550495</v>
      </c>
      <c r="S1311" t="s">
        <v>8314</v>
      </c>
      <c r="T1311" t="s">
        <v>14004</v>
      </c>
      <c r="U1311" t="s">
        <v>14004</v>
      </c>
      <c r="V1311" t="s">
        <v>14004</v>
      </c>
      <c r="W1311" t="s">
        <v>14938</v>
      </c>
      <c r="X1311">
        <v>14</v>
      </c>
      <c r="Z1311" t="s">
        <v>29021</v>
      </c>
      <c r="AA1311">
        <v>0.38042405659096201</v>
      </c>
      <c r="AB1311" t="str">
        <f>HYPERLINK("Melting_Curves/meltCurve_M0R150_.pdf", "Melting_Curves/meltCurve_M0R150_.pdf")</f>
        <v>Melting_Curves/meltCurve_M0R150_.pdf</v>
      </c>
    </row>
    <row r="1312" spans="1:28" x14ac:dyDescent="0.25">
      <c r="A1312" t="s">
        <v>1316</v>
      </c>
      <c r="B1312">
        <v>0.99999676499088797</v>
      </c>
      <c r="C1312">
        <v>0.99152020014320097</v>
      </c>
      <c r="D1312">
        <v>1.9262352152864399</v>
      </c>
      <c r="E1312">
        <v>1.92093132709266</v>
      </c>
      <c r="F1312">
        <v>0.61918632831598097</v>
      </c>
      <c r="G1312">
        <v>0.82603131953976805</v>
      </c>
      <c r="H1312">
        <v>0.424209301897848</v>
      </c>
      <c r="I1312">
        <v>0.61163437124944298</v>
      </c>
      <c r="J1312">
        <v>0.48436704968226202</v>
      </c>
      <c r="K1312">
        <v>0.30295994838157903</v>
      </c>
      <c r="L1312">
        <v>1624.50112804791</v>
      </c>
      <c r="M1312">
        <v>28.495993161658401</v>
      </c>
      <c r="N1312">
        <v>61.367535878432797</v>
      </c>
      <c r="O1312">
        <v>56.729518232579501</v>
      </c>
      <c r="P1312">
        <v>-7.1083085203748994E-2</v>
      </c>
      <c r="Q1312">
        <v>0.43395874637095999</v>
      </c>
      <c r="R1312">
        <v>0.38001006516413699</v>
      </c>
      <c r="S1312" t="s">
        <v>8315</v>
      </c>
      <c r="T1312" t="s">
        <v>14004</v>
      </c>
      <c r="U1312" t="s">
        <v>14004</v>
      </c>
      <c r="V1312" t="s">
        <v>14004</v>
      </c>
      <c r="W1312" t="s">
        <v>15287</v>
      </c>
      <c r="X1312">
        <v>1</v>
      </c>
      <c r="Y1312" t="s">
        <v>22218</v>
      </c>
      <c r="Z1312" t="s">
        <v>29022</v>
      </c>
      <c r="AA1312">
        <v>0.75898743338006847</v>
      </c>
      <c r="AB1312" t="str">
        <f>HYPERLINK("Melting_Curves/meltCurve_M0R226_MRPL34.pdf", "Melting_Curves/meltCurve_M0R226_MRPL34.pdf")</f>
        <v>Melting_Curves/meltCurve_M0R226_MRPL34.pdf</v>
      </c>
    </row>
    <row r="1313" spans="1:28" x14ac:dyDescent="0.25">
      <c r="A1313" t="s">
        <v>1317</v>
      </c>
      <c r="B1313">
        <v>0.99999676499088797</v>
      </c>
      <c r="C1313">
        <v>1.02693274027293</v>
      </c>
      <c r="D1313">
        <v>1.0020509027305</v>
      </c>
      <c r="E1313">
        <v>0.90546009810489902</v>
      </c>
      <c r="F1313">
        <v>0.79709001640926203</v>
      </c>
      <c r="G1313">
        <v>0.44335563022457702</v>
      </c>
      <c r="H1313">
        <v>0.20191728390555999</v>
      </c>
      <c r="I1313">
        <v>0.17575913666815399</v>
      </c>
      <c r="J1313">
        <v>0.15195576250463599</v>
      </c>
      <c r="K1313">
        <v>0.14752729941983</v>
      </c>
      <c r="L1313">
        <v>1390.60063442449</v>
      </c>
      <c r="M1313">
        <v>25.085343632275499</v>
      </c>
      <c r="N1313">
        <v>56.158328156793701</v>
      </c>
      <c r="O1313">
        <v>55.086078489072897</v>
      </c>
      <c r="P1313">
        <v>-9.8126492936522994E-2</v>
      </c>
      <c r="Q1313">
        <v>0.13808888057313001</v>
      </c>
      <c r="R1313">
        <v>0.99684242628147801</v>
      </c>
      <c r="S1313" t="s">
        <v>8316</v>
      </c>
      <c r="T1313" t="s">
        <v>14004</v>
      </c>
      <c r="U1313" t="s">
        <v>14004</v>
      </c>
      <c r="V1313" t="s">
        <v>14004</v>
      </c>
      <c r="W1313" t="s">
        <v>15288</v>
      </c>
      <c r="X1313">
        <v>6</v>
      </c>
      <c r="Y1313" t="s">
        <v>22219</v>
      </c>
      <c r="Z1313" t="s">
        <v>29023</v>
      </c>
      <c r="AA1313">
        <v>0.58944546459512581</v>
      </c>
      <c r="AB1313" t="str">
        <f>HYPERLINK("Melting_Curves/meltCurve_M0R2A0_EMC10.pdf", "Melting_Curves/meltCurve_M0R2A0_EMC10.pdf")</f>
        <v>Melting_Curves/meltCurve_M0R2A0_EMC10.pdf</v>
      </c>
    </row>
    <row r="1314" spans="1:28" x14ac:dyDescent="0.25">
      <c r="A1314" t="s">
        <v>1318</v>
      </c>
      <c r="B1314">
        <v>0.99999676499088797</v>
      </c>
      <c r="C1314">
        <v>0.93352763304772601</v>
      </c>
      <c r="D1314">
        <v>0.68142853515178003</v>
      </c>
      <c r="E1314">
        <v>0.31371948782243197</v>
      </c>
      <c r="F1314">
        <v>0.23249614637771601</v>
      </c>
      <c r="G1314">
        <v>0.17903780032686401</v>
      </c>
      <c r="H1314">
        <v>8.5688496778034196E-2</v>
      </c>
      <c r="I1314">
        <v>7.1488870083341399E-2</v>
      </c>
      <c r="J1314">
        <v>6.15437701298489E-2</v>
      </c>
      <c r="K1314">
        <v>4.8085578382686102E-2</v>
      </c>
      <c r="L1314">
        <v>932.12570099048901</v>
      </c>
      <c r="M1314">
        <v>19.6139300843321</v>
      </c>
      <c r="N1314">
        <v>47.950532179180001</v>
      </c>
      <c r="O1314">
        <v>47.037899092059398</v>
      </c>
      <c r="P1314">
        <v>-9.5897777108226306E-2</v>
      </c>
      <c r="Q1314">
        <v>8.0108117833792195E-2</v>
      </c>
      <c r="R1314">
        <v>0.99006385396636398</v>
      </c>
      <c r="S1314" t="s">
        <v>8317</v>
      </c>
      <c r="T1314" t="s">
        <v>14004</v>
      </c>
      <c r="U1314" t="s">
        <v>14004</v>
      </c>
      <c r="V1314" t="s">
        <v>14004</v>
      </c>
      <c r="W1314" t="s">
        <v>14064</v>
      </c>
      <c r="X1314">
        <v>36</v>
      </c>
      <c r="Y1314" t="s">
        <v>22220</v>
      </c>
      <c r="Z1314" t="s">
        <v>29024</v>
      </c>
      <c r="AA1314">
        <v>0.3246026155642005</v>
      </c>
      <c r="AB1314" t="str">
        <f>HYPERLINK("Melting_Curves/meltCurve_M0R2B7_POLD1.pdf", "Melting_Curves/meltCurve_M0R2B7_POLD1.pdf")</f>
        <v>Melting_Curves/meltCurve_M0R2B7_POLD1.pdf</v>
      </c>
    </row>
    <row r="1315" spans="1:28" x14ac:dyDescent="0.25">
      <c r="A1315" t="s">
        <v>1319</v>
      </c>
      <c r="B1315">
        <v>0.99999676499088797</v>
      </c>
      <c r="C1315">
        <v>0.99398711450735</v>
      </c>
      <c r="D1315">
        <v>0.994046170093701</v>
      </c>
      <c r="E1315">
        <v>1.0949677858269</v>
      </c>
      <c r="F1315">
        <v>1.0401709775099699</v>
      </c>
      <c r="G1315">
        <v>0.87646456513484405</v>
      </c>
      <c r="H1315">
        <v>0.54938636398959295</v>
      </c>
      <c r="I1315">
        <v>0.40901146115921599</v>
      </c>
      <c r="J1315">
        <v>0.37699497612581701</v>
      </c>
      <c r="K1315">
        <v>0.37832736271879902</v>
      </c>
      <c r="L1315">
        <v>2184.3693841454201</v>
      </c>
      <c r="M1315">
        <v>36.915674841770098</v>
      </c>
      <c r="N1315">
        <v>61.461814918577701</v>
      </c>
      <c r="O1315">
        <v>58.999045921752099</v>
      </c>
      <c r="P1315">
        <v>-9.7979629688634204E-2</v>
      </c>
      <c r="Q1315">
        <v>0.37363338043857802</v>
      </c>
      <c r="R1315">
        <v>0.98564371273335505</v>
      </c>
      <c r="S1315" t="s">
        <v>8318</v>
      </c>
      <c r="T1315" t="s">
        <v>14004</v>
      </c>
      <c r="U1315" t="s">
        <v>14004</v>
      </c>
      <c r="V1315" t="s">
        <v>14004</v>
      </c>
      <c r="W1315" t="s">
        <v>15289</v>
      </c>
      <c r="X1315">
        <v>2</v>
      </c>
      <c r="Y1315" t="s">
        <v>22221</v>
      </c>
      <c r="Z1315" t="s">
        <v>29025</v>
      </c>
      <c r="AA1315">
        <v>0.77676821126939144</v>
      </c>
      <c r="AB1315" t="str">
        <f>HYPERLINK("Melting_Curves/meltCurve_M0R2P6_SHKBP1.pdf", "Melting_Curves/meltCurve_M0R2P6_SHKBP1.pdf")</f>
        <v>Melting_Curves/meltCurve_M0R2P6_SHKBP1.pdf</v>
      </c>
    </row>
    <row r="1316" spans="1:28" x14ac:dyDescent="0.25">
      <c r="A1316" t="s">
        <v>1320</v>
      </c>
      <c r="B1316">
        <v>0.99999676499088797</v>
      </c>
      <c r="C1316">
        <v>1.0958399615046901</v>
      </c>
      <c r="D1316">
        <v>0.96598410104812105</v>
      </c>
      <c r="E1316">
        <v>0.62595140207962097</v>
      </c>
      <c r="F1316">
        <v>0.34684830402692801</v>
      </c>
      <c r="G1316">
        <v>0.44360180784782599</v>
      </c>
      <c r="H1316">
        <v>0.212335611967083</v>
      </c>
      <c r="I1316">
        <v>0.34764059208217502</v>
      </c>
      <c r="J1316">
        <v>0.37580911154300001</v>
      </c>
      <c r="K1316">
        <v>0.23420055151347899</v>
      </c>
      <c r="L1316">
        <v>1973.5357112205199</v>
      </c>
      <c r="M1316">
        <v>39.9804470385332</v>
      </c>
      <c r="N1316">
        <v>50.6565989224069</v>
      </c>
      <c r="O1316">
        <v>49.239507995758402</v>
      </c>
      <c r="P1316">
        <v>-0.13804453415482801</v>
      </c>
      <c r="Q1316">
        <v>0.31994448765882499</v>
      </c>
      <c r="R1316">
        <v>0.95378262057819396</v>
      </c>
      <c r="S1316" t="s">
        <v>8319</v>
      </c>
      <c r="T1316" t="s">
        <v>14004</v>
      </c>
      <c r="U1316" t="s">
        <v>14004</v>
      </c>
      <c r="V1316" t="s">
        <v>14004</v>
      </c>
      <c r="W1316" t="s">
        <v>15290</v>
      </c>
      <c r="X1316">
        <v>3</v>
      </c>
      <c r="Y1316" t="s">
        <v>22222</v>
      </c>
      <c r="Z1316" t="s">
        <v>29026</v>
      </c>
      <c r="AA1316">
        <v>0.53450341209175223</v>
      </c>
      <c r="AB1316" t="str">
        <f>HYPERLINK("Melting_Curves/meltCurve_M0R300_MYO9B.pdf", "Melting_Curves/meltCurve_M0R300_MYO9B.pdf")</f>
        <v>Melting_Curves/meltCurve_M0R300_MYO9B.pdf</v>
      </c>
    </row>
    <row r="1317" spans="1:28" x14ac:dyDescent="0.25">
      <c r="A1317" t="s">
        <v>1321</v>
      </c>
      <c r="B1317">
        <v>0.99999676499088797</v>
      </c>
      <c r="C1317">
        <v>1.0325923792154701</v>
      </c>
      <c r="D1317">
        <v>1.1400850053987499</v>
      </c>
      <c r="E1317">
        <v>1.37640132486477</v>
      </c>
      <c r="F1317">
        <v>1.4360553432066501</v>
      </c>
      <c r="G1317">
        <v>1.23159840908919</v>
      </c>
      <c r="H1317">
        <v>0.87647323712708103</v>
      </c>
      <c r="I1317">
        <v>0.714025323751872</v>
      </c>
      <c r="J1317">
        <v>0.52875125865762795</v>
      </c>
      <c r="K1317">
        <v>0.64840614315893097</v>
      </c>
      <c r="L1317">
        <v>3150.2530748159502</v>
      </c>
      <c r="M1317">
        <v>50.556132541400501</v>
      </c>
      <c r="O1317">
        <v>62.214723347261099</v>
      </c>
      <c r="P1317">
        <v>-8.2402641608358307E-2</v>
      </c>
      <c r="Q1317">
        <v>0.59437931032062996</v>
      </c>
      <c r="R1317">
        <v>0.50693574400737096</v>
      </c>
      <c r="S1317" t="s">
        <v>8320</v>
      </c>
      <c r="T1317" t="s">
        <v>14004</v>
      </c>
      <c r="U1317" t="s">
        <v>14004</v>
      </c>
      <c r="V1317" t="s">
        <v>14004</v>
      </c>
      <c r="W1317" t="s">
        <v>15291</v>
      </c>
      <c r="X1317">
        <v>3</v>
      </c>
      <c r="Y1317" t="s">
        <v>22223</v>
      </c>
      <c r="Z1317" t="s">
        <v>29027</v>
      </c>
      <c r="AA1317">
        <v>0.89705784926066867</v>
      </c>
      <c r="AB1317" t="str">
        <f>HYPERLINK("Melting_Curves/meltCurve_M0R3D4_RABAC1.pdf", "Melting_Curves/meltCurve_M0R3D4_RABAC1.pdf")</f>
        <v>Melting_Curves/meltCurve_M0R3D4_RABAC1.pdf</v>
      </c>
    </row>
    <row r="1318" spans="1:28" x14ac:dyDescent="0.25">
      <c r="A1318" t="s">
        <v>1322</v>
      </c>
      <c r="B1318">
        <v>0.99999676499088797</v>
      </c>
      <c r="C1318">
        <v>0.96864839603693997</v>
      </c>
      <c r="D1318">
        <v>0.96210085833091097</v>
      </c>
      <c r="E1318">
        <v>0.93380411244426598</v>
      </c>
      <c r="F1318">
        <v>0.33192165659303502</v>
      </c>
      <c r="G1318">
        <v>0.21950013362576801</v>
      </c>
      <c r="H1318">
        <v>0.109551932782275</v>
      </c>
      <c r="I1318">
        <v>0.103579796413095</v>
      </c>
      <c r="J1318">
        <v>8.8643426621743196E-2</v>
      </c>
      <c r="K1318">
        <v>7.6316093998565399E-2</v>
      </c>
      <c r="L1318">
        <v>2373.0580017255602</v>
      </c>
      <c r="M1318">
        <v>45.616421968017498</v>
      </c>
      <c r="N1318">
        <v>52.315482807913902</v>
      </c>
      <c r="O1318">
        <v>51.922331371007303</v>
      </c>
      <c r="P1318">
        <v>-0.19484450599960501</v>
      </c>
      <c r="Q1318">
        <v>0.11288367540673</v>
      </c>
      <c r="R1318">
        <v>0.99219816698853003</v>
      </c>
      <c r="S1318" t="s">
        <v>8321</v>
      </c>
      <c r="T1318" t="s">
        <v>14004</v>
      </c>
      <c r="U1318" t="s">
        <v>14004</v>
      </c>
      <c r="V1318" t="s">
        <v>14004</v>
      </c>
      <c r="W1318" t="s">
        <v>15292</v>
      </c>
      <c r="X1318">
        <v>32</v>
      </c>
      <c r="Y1318" t="s">
        <v>22224</v>
      </c>
      <c r="Z1318" t="s">
        <v>29028</v>
      </c>
      <c r="AA1318">
        <v>0.47082907568092319</v>
      </c>
      <c r="AB1318" t="str">
        <f>HYPERLINK("Melting_Curves/meltCurve_O00116_AGPS.pdf", "Melting_Curves/meltCurve_O00116_AGPS.pdf")</f>
        <v>Melting_Curves/meltCurve_O00116_AGPS.pdf</v>
      </c>
    </row>
    <row r="1319" spans="1:28" x14ac:dyDescent="0.25">
      <c r="A1319" t="s">
        <v>1323</v>
      </c>
      <c r="B1319">
        <v>0.99999676499088797</v>
      </c>
      <c r="C1319">
        <v>0.80377844989743796</v>
      </c>
      <c r="D1319">
        <v>0.64570533736847902</v>
      </c>
      <c r="E1319">
        <v>0.14899399204160599</v>
      </c>
      <c r="F1319">
        <v>9.3749187782537297E-2</v>
      </c>
      <c r="G1319">
        <v>0</v>
      </c>
      <c r="H1319">
        <v>0</v>
      </c>
      <c r="I1319">
        <v>5.5966609428591503E-2</v>
      </c>
      <c r="J1319">
        <v>0</v>
      </c>
      <c r="K1319">
        <v>0</v>
      </c>
      <c r="L1319">
        <v>1069.76785806771</v>
      </c>
      <c r="M1319">
        <v>22.940998663019698</v>
      </c>
      <c r="N1319">
        <v>46.659109358190904</v>
      </c>
      <c r="O1319">
        <v>46.281295933033803</v>
      </c>
      <c r="P1319">
        <v>-0.12308152968750601</v>
      </c>
      <c r="Q1319">
        <v>6.7977745563490097E-3</v>
      </c>
      <c r="R1319">
        <v>0.98652719276097101</v>
      </c>
      <c r="S1319" t="s">
        <v>8322</v>
      </c>
      <c r="T1319" t="s">
        <v>14004</v>
      </c>
      <c r="U1319" t="s">
        <v>14004</v>
      </c>
      <c r="V1319" t="s">
        <v>14004</v>
      </c>
      <c r="W1319" t="s">
        <v>15293</v>
      </c>
      <c r="X1319">
        <v>2</v>
      </c>
      <c r="Y1319" t="s">
        <v>22225</v>
      </c>
      <c r="Z1319" t="s">
        <v>29029</v>
      </c>
      <c r="AA1319">
        <v>0.2371927723979588</v>
      </c>
      <c r="AB1319" t="str">
        <f>HYPERLINK("Melting_Curves/meltCurve_O00124_3_UBXN8.pdf", "Melting_Curves/meltCurve_O00124_3_UBXN8.pdf")</f>
        <v>Melting_Curves/meltCurve_O00124_3_UBXN8.pdf</v>
      </c>
    </row>
    <row r="1320" spans="1:28" x14ac:dyDescent="0.25">
      <c r="A1320" t="s">
        <v>1324</v>
      </c>
      <c r="B1320">
        <v>0.99999676499088797</v>
      </c>
      <c r="C1320">
        <v>0.966275451427698</v>
      </c>
      <c r="D1320">
        <v>0.89432364195813896</v>
      </c>
      <c r="E1320">
        <v>0.73222778327319205</v>
      </c>
      <c r="F1320">
        <v>0.23642434354635</v>
      </c>
      <c r="G1320">
        <v>0.175086778384133</v>
      </c>
      <c r="H1320">
        <v>8.9334326230362499E-2</v>
      </c>
      <c r="I1320">
        <v>8.6338223594273802E-2</v>
      </c>
      <c r="J1320">
        <v>8.03739298487922E-2</v>
      </c>
      <c r="K1320">
        <v>7.7512438815197093E-2</v>
      </c>
      <c r="L1320">
        <v>1468.0789080493601</v>
      </c>
      <c r="M1320">
        <v>28.905712144020502</v>
      </c>
      <c r="N1320">
        <v>51.121677879646299</v>
      </c>
      <c r="O1320">
        <v>50.547308212930503</v>
      </c>
      <c r="P1320">
        <v>-0.13069200643300499</v>
      </c>
      <c r="Q1320">
        <v>8.5844228505161893E-2</v>
      </c>
      <c r="R1320">
        <v>0.99299215054330303</v>
      </c>
      <c r="S1320" t="s">
        <v>8323</v>
      </c>
      <c r="T1320" t="s">
        <v>14004</v>
      </c>
      <c r="U1320" t="s">
        <v>14004</v>
      </c>
      <c r="V1320" t="s">
        <v>14004</v>
      </c>
      <c r="W1320" t="s">
        <v>15294</v>
      </c>
      <c r="X1320">
        <v>36</v>
      </c>
      <c r="Y1320" t="s">
        <v>22226</v>
      </c>
      <c r="Z1320" t="s">
        <v>29030</v>
      </c>
      <c r="AA1320">
        <v>0.4207619323178719</v>
      </c>
      <c r="AB1320" t="str">
        <f>HYPERLINK("Melting_Curves/meltCurve_O00139_KIF2A.pdf", "Melting_Curves/meltCurve_O00139_KIF2A.pdf")</f>
        <v>Melting_Curves/meltCurve_O00139_KIF2A.pdf</v>
      </c>
    </row>
    <row r="1321" spans="1:28" x14ac:dyDescent="0.25">
      <c r="A1321" t="s">
        <v>1325</v>
      </c>
      <c r="B1321">
        <v>0.99999676499088797</v>
      </c>
      <c r="C1321">
        <v>0.99260027764994396</v>
      </c>
      <c r="D1321">
        <v>0.80627136529271104</v>
      </c>
      <c r="E1321">
        <v>0.31348738862311898</v>
      </c>
      <c r="F1321">
        <v>0.185923205112065</v>
      </c>
      <c r="G1321">
        <v>0.11314151245594201</v>
      </c>
      <c r="H1321">
        <v>6.9232774005108494E-2</v>
      </c>
      <c r="I1321">
        <v>6.0906754514483401E-2</v>
      </c>
      <c r="J1321">
        <v>4.9866650545994498E-2</v>
      </c>
      <c r="K1321">
        <v>4.7937815776453098E-2</v>
      </c>
      <c r="L1321">
        <v>1360.5687492336201</v>
      </c>
      <c r="M1321">
        <v>28.315247406463001</v>
      </c>
      <c r="N1321">
        <v>48.317101492461497</v>
      </c>
      <c r="O1321">
        <v>47.812995066707003</v>
      </c>
      <c r="P1321">
        <v>-0.13735459685454099</v>
      </c>
      <c r="Q1321">
        <v>7.2262338161211206E-2</v>
      </c>
      <c r="R1321">
        <v>0.99525537621638205</v>
      </c>
      <c r="S1321" t="s">
        <v>8324</v>
      </c>
      <c r="T1321" t="s">
        <v>14004</v>
      </c>
      <c r="U1321" t="s">
        <v>14004</v>
      </c>
      <c r="V1321" t="s">
        <v>14004</v>
      </c>
      <c r="W1321" t="s">
        <v>15295</v>
      </c>
      <c r="X1321">
        <v>32</v>
      </c>
      <c r="Y1321" t="s">
        <v>22227</v>
      </c>
      <c r="Z1321" t="s">
        <v>29031</v>
      </c>
      <c r="AA1321">
        <v>0.32753277837662748</v>
      </c>
      <c r="AB1321" t="str">
        <f>HYPERLINK("Melting_Curves/meltCurve_O00148_DDX39A.pdf", "Melting_Curves/meltCurve_O00148_DDX39A.pdf")</f>
        <v>Melting_Curves/meltCurve_O00148_DDX39A.pdf</v>
      </c>
    </row>
    <row r="1322" spans="1:28" x14ac:dyDescent="0.25">
      <c r="A1322" t="s">
        <v>1326</v>
      </c>
      <c r="B1322">
        <v>0.99999676499088797</v>
      </c>
      <c r="C1322">
        <v>0.89807864244775204</v>
      </c>
      <c r="D1322">
        <v>0.90423733257755401</v>
      </c>
      <c r="E1322">
        <v>0.75213894174415297</v>
      </c>
      <c r="F1322">
        <v>0.54110978037851398</v>
      </c>
      <c r="G1322">
        <v>0.361143192212667</v>
      </c>
      <c r="H1322">
        <v>0.20832825198475999</v>
      </c>
      <c r="I1322">
        <v>0.21062230104534899</v>
      </c>
      <c r="J1322">
        <v>0.18974757392977701</v>
      </c>
      <c r="K1322">
        <v>0.226080458666608</v>
      </c>
      <c r="L1322">
        <v>786.631664651405</v>
      </c>
      <c r="M1322">
        <v>15.0615100940375</v>
      </c>
      <c r="N1322">
        <v>53.673117792674198</v>
      </c>
      <c r="O1322">
        <v>51.333193632962299</v>
      </c>
      <c r="P1322">
        <v>-6.11306014493984E-2</v>
      </c>
      <c r="Q1322">
        <v>0.16669258772190201</v>
      </c>
      <c r="R1322">
        <v>0.99031804706226101</v>
      </c>
      <c r="S1322" t="s">
        <v>8325</v>
      </c>
      <c r="T1322" t="s">
        <v>14004</v>
      </c>
      <c r="U1322" t="s">
        <v>14004</v>
      </c>
      <c r="V1322" t="s">
        <v>14004</v>
      </c>
      <c r="W1322" t="s">
        <v>15296</v>
      </c>
      <c r="X1322">
        <v>27</v>
      </c>
      <c r="Y1322" t="s">
        <v>22228</v>
      </c>
      <c r="Z1322" t="s">
        <v>29032</v>
      </c>
      <c r="AA1322">
        <v>0.52471356706237027</v>
      </c>
      <c r="AB1322" t="str">
        <f>HYPERLINK("Melting_Curves/meltCurve_O00151_PDLIM1.pdf", "Melting_Curves/meltCurve_O00151_PDLIM1.pdf")</f>
        <v>Melting_Curves/meltCurve_O00151_PDLIM1.pdf</v>
      </c>
    </row>
    <row r="1323" spans="1:28" x14ac:dyDescent="0.25">
      <c r="A1323" t="s">
        <v>1327</v>
      </c>
      <c r="B1323">
        <v>0.99999676499088797</v>
      </c>
      <c r="C1323">
        <v>1.0051684072507501</v>
      </c>
      <c r="D1323">
        <v>0.99092870265977195</v>
      </c>
      <c r="E1323">
        <v>1.02593963061852</v>
      </c>
      <c r="F1323">
        <v>1.0990925162768801</v>
      </c>
      <c r="G1323">
        <v>0.94426605436760103</v>
      </c>
      <c r="H1323">
        <v>0.63716445033497904</v>
      </c>
      <c r="I1323">
        <v>0.32839101870978799</v>
      </c>
      <c r="J1323">
        <v>0.143142333779327</v>
      </c>
      <c r="K1323">
        <v>0.11202923171729701</v>
      </c>
      <c r="L1323">
        <v>1955.6525981070699</v>
      </c>
      <c r="M1323">
        <v>31.691320743432801</v>
      </c>
      <c r="N1323">
        <v>62.093100555142797</v>
      </c>
      <c r="O1323">
        <v>61.465255000019098</v>
      </c>
      <c r="P1323">
        <v>-0.11743735291103399</v>
      </c>
      <c r="Q1323">
        <v>8.8926706170536302E-2</v>
      </c>
      <c r="R1323">
        <v>0.99101482676818298</v>
      </c>
      <c r="S1323" t="s">
        <v>8326</v>
      </c>
      <c r="T1323" t="s">
        <v>14004</v>
      </c>
      <c r="U1323" t="s">
        <v>14004</v>
      </c>
      <c r="V1323" t="s">
        <v>14004</v>
      </c>
      <c r="W1323" t="s">
        <v>15297</v>
      </c>
      <c r="X1323">
        <v>29</v>
      </c>
      <c r="Y1323" t="s">
        <v>22229</v>
      </c>
      <c r="Z1323" t="s">
        <v>29033</v>
      </c>
      <c r="AA1323">
        <v>0.75254226045830819</v>
      </c>
      <c r="AB1323" t="str">
        <f>HYPERLINK("Melting_Curves/meltCurve_O00154_4_ACOT7.pdf", "Melting_Curves/meltCurve_O00154_4_ACOT7.pdf")</f>
        <v>Melting_Curves/meltCurve_O00154_4_ACOT7.pdf</v>
      </c>
    </row>
    <row r="1324" spans="1:28" x14ac:dyDescent="0.25">
      <c r="A1324" t="s">
        <v>1328</v>
      </c>
      <c r="B1324">
        <v>0.99999676499088797</v>
      </c>
      <c r="C1324">
        <v>0.94445096957544095</v>
      </c>
      <c r="D1324">
        <v>1.0408084839616001</v>
      </c>
      <c r="E1324">
        <v>1.1958027979677099</v>
      </c>
      <c r="F1324">
        <v>1.25808839930232</v>
      </c>
      <c r="G1324">
        <v>1.03044235664838</v>
      </c>
      <c r="H1324">
        <v>0.84907698562433598</v>
      </c>
      <c r="I1324">
        <v>0.729109233476816</v>
      </c>
      <c r="J1324">
        <v>0.62575780077322996</v>
      </c>
      <c r="K1324">
        <v>1.0207837537987701</v>
      </c>
      <c r="L1324">
        <v>15000</v>
      </c>
      <c r="M1324">
        <v>247.68087099356501</v>
      </c>
      <c r="O1324">
        <v>60.557854051321002</v>
      </c>
      <c r="P1324">
        <v>-0.212798332029809</v>
      </c>
      <c r="Q1324">
        <v>0.79188364010651902</v>
      </c>
      <c r="R1324">
        <v>0.42426109711834897</v>
      </c>
      <c r="S1324" t="s">
        <v>8327</v>
      </c>
      <c r="T1324" t="s">
        <v>14004</v>
      </c>
      <c r="U1324" t="s">
        <v>14004</v>
      </c>
      <c r="V1324" t="s">
        <v>14004</v>
      </c>
      <c r="W1324" t="s">
        <v>15298</v>
      </c>
      <c r="X1324">
        <v>21</v>
      </c>
      <c r="Y1324" t="s">
        <v>22230</v>
      </c>
      <c r="Z1324" t="s">
        <v>29034</v>
      </c>
      <c r="AA1324">
        <v>0.93454775921225486</v>
      </c>
      <c r="AB1324" t="str">
        <f>HYPERLINK("Melting_Curves/meltCurve_O00161_SNAP23.pdf", "Melting_Curves/meltCurve_O00161_SNAP23.pdf")</f>
        <v>Melting_Curves/meltCurve_O00161_SNAP23.pdf</v>
      </c>
    </row>
    <row r="1325" spans="1:28" x14ac:dyDescent="0.25">
      <c r="A1325" t="s">
        <v>1329</v>
      </c>
      <c r="B1325">
        <v>0.99999676499088797</v>
      </c>
      <c r="C1325">
        <v>0.98844250840704095</v>
      </c>
      <c r="D1325">
        <v>0.84687891736558696</v>
      </c>
      <c r="E1325">
        <v>0.47287555386376801</v>
      </c>
      <c r="F1325">
        <v>0.30261769917860998</v>
      </c>
      <c r="G1325">
        <v>0.25703185038964099</v>
      </c>
      <c r="H1325">
        <v>0.16143169985838701</v>
      </c>
      <c r="I1325">
        <v>0.208179829138572</v>
      </c>
      <c r="J1325">
        <v>0.23300425516477399</v>
      </c>
      <c r="K1325">
        <v>0.20816528913001101</v>
      </c>
      <c r="L1325">
        <v>1263.2607637763499</v>
      </c>
      <c r="M1325">
        <v>26.083365548016399</v>
      </c>
      <c r="N1325">
        <v>49.473360703065197</v>
      </c>
      <c r="O1325">
        <v>48.149651886159504</v>
      </c>
      <c r="P1325">
        <v>-0.106814157205909</v>
      </c>
      <c r="Q1325">
        <v>0.211296825690166</v>
      </c>
      <c r="R1325">
        <v>0.99506856750304395</v>
      </c>
      <c r="S1325" t="s">
        <v>8328</v>
      </c>
      <c r="T1325" t="s">
        <v>14004</v>
      </c>
      <c r="U1325" t="s">
        <v>14004</v>
      </c>
      <c r="V1325" t="s">
        <v>14004</v>
      </c>
      <c r="W1325" t="s">
        <v>15299</v>
      </c>
      <c r="X1325">
        <v>8</v>
      </c>
      <c r="Y1325" t="s">
        <v>22231</v>
      </c>
      <c r="Z1325" t="s">
        <v>29035</v>
      </c>
      <c r="AA1325">
        <v>0.43934526555754511</v>
      </c>
      <c r="AB1325" t="str">
        <f>HYPERLINK("Melting_Curves/meltCurve_O00165_HAX1.pdf", "Melting_Curves/meltCurve_O00165_HAX1.pdf")</f>
        <v>Melting_Curves/meltCurve_O00165_HAX1.pdf</v>
      </c>
    </row>
    <row r="1326" spans="1:28" x14ac:dyDescent="0.25">
      <c r="A1326" t="s">
        <v>1330</v>
      </c>
      <c r="B1326">
        <v>0.99999676499088797</v>
      </c>
      <c r="C1326">
        <v>0.96947994986507202</v>
      </c>
      <c r="D1326">
        <v>0.86525286644549904</v>
      </c>
      <c r="E1326">
        <v>0.462312273826331</v>
      </c>
      <c r="F1326">
        <v>0.23065368609821901</v>
      </c>
      <c r="G1326">
        <v>0.13773549422728201</v>
      </c>
      <c r="H1326">
        <v>6.7883681360713904E-2</v>
      </c>
      <c r="I1326">
        <v>6.5040973299176102E-2</v>
      </c>
      <c r="J1326">
        <v>5.6730514722922003E-2</v>
      </c>
      <c r="K1326">
        <v>4.8806325343610499E-2</v>
      </c>
      <c r="L1326">
        <v>1100.2728248609501</v>
      </c>
      <c r="M1326">
        <v>22.3454667960814</v>
      </c>
      <c r="N1326">
        <v>49.533783285618</v>
      </c>
      <c r="O1326">
        <v>48.849931557264497</v>
      </c>
      <c r="P1326">
        <v>-0.10724458414714701</v>
      </c>
      <c r="Q1326">
        <v>6.2220388102901002E-2</v>
      </c>
      <c r="R1326">
        <v>0.997763805671113</v>
      </c>
      <c r="S1326" t="s">
        <v>8329</v>
      </c>
      <c r="T1326" t="s">
        <v>14004</v>
      </c>
      <c r="U1326" t="s">
        <v>14004</v>
      </c>
      <c r="V1326" t="s">
        <v>14004</v>
      </c>
      <c r="W1326" t="s">
        <v>15300</v>
      </c>
      <c r="X1326">
        <v>20</v>
      </c>
      <c r="Y1326" t="s">
        <v>22232</v>
      </c>
      <c r="Z1326" t="s">
        <v>29036</v>
      </c>
      <c r="AA1326">
        <v>0.3615022223927562</v>
      </c>
      <c r="AB1326" t="str">
        <f>HYPERLINK("Melting_Curves/meltCurve_O00170_AIP.pdf", "Melting_Curves/meltCurve_O00170_AIP.pdf")</f>
        <v>Melting_Curves/meltCurve_O00170_AIP.pdf</v>
      </c>
    </row>
    <row r="1327" spans="1:28" x14ac:dyDescent="0.25">
      <c r="A1327" t="s">
        <v>1331</v>
      </c>
      <c r="B1327">
        <v>0.99999676499088797</v>
      </c>
      <c r="C1327">
        <v>1.07528986420574</v>
      </c>
      <c r="D1327">
        <v>0.99615026817002605</v>
      </c>
      <c r="E1327">
        <v>0.79855266432759897</v>
      </c>
      <c r="F1327">
        <v>0.34014027753175102</v>
      </c>
      <c r="G1327">
        <v>0.14724531043692901</v>
      </c>
      <c r="H1327">
        <v>7.7888568602015998E-2</v>
      </c>
      <c r="I1327">
        <v>7.4992686161754196E-2</v>
      </c>
      <c r="J1327">
        <v>9.4965579564302599E-2</v>
      </c>
      <c r="K1327">
        <v>6.17766037897012E-2</v>
      </c>
      <c r="L1327">
        <v>1608.1695044257899</v>
      </c>
      <c r="M1327">
        <v>31.129986090332601</v>
      </c>
      <c r="N1327">
        <v>51.942198335011597</v>
      </c>
      <c r="O1327">
        <v>51.4480517373647</v>
      </c>
      <c r="P1327">
        <v>-0.13949436702735499</v>
      </c>
      <c r="Q1327">
        <v>7.7844518660063602E-2</v>
      </c>
      <c r="R1327">
        <v>0.99597791939807401</v>
      </c>
      <c r="S1327" t="s">
        <v>8330</v>
      </c>
      <c r="T1327" t="s">
        <v>14004</v>
      </c>
      <c r="U1327" t="s">
        <v>14004</v>
      </c>
      <c r="V1327" t="s">
        <v>14004</v>
      </c>
      <c r="W1327" t="s">
        <v>15301</v>
      </c>
      <c r="X1327">
        <v>21</v>
      </c>
      <c r="Y1327" t="s">
        <v>22233</v>
      </c>
      <c r="Z1327" t="s">
        <v>29037</v>
      </c>
      <c r="AA1327">
        <v>0.44169420380797941</v>
      </c>
      <c r="AB1327" t="str">
        <f>HYPERLINK("Melting_Curves/meltCurve_O00178_GTPBP1.pdf", "Melting_Curves/meltCurve_O00178_GTPBP1.pdf")</f>
        <v>Melting_Curves/meltCurve_O00178_GTPBP1.pdf</v>
      </c>
    </row>
    <row r="1328" spans="1:28" x14ac:dyDescent="0.25">
      <c r="A1328" t="s">
        <v>1332</v>
      </c>
      <c r="B1328">
        <v>0.99999676499088797</v>
      </c>
      <c r="C1328">
        <v>0.93925343921098903</v>
      </c>
      <c r="D1328">
        <v>1.0685113235688499</v>
      </c>
      <c r="E1328">
        <v>1.1044111028410499</v>
      </c>
      <c r="F1328">
        <v>0.91695256645647505</v>
      </c>
      <c r="G1328">
        <v>0.71012963821593</v>
      </c>
      <c r="H1328">
        <v>0.55242616753683904</v>
      </c>
      <c r="I1328">
        <v>0.52617859806729605</v>
      </c>
      <c r="J1328">
        <v>0.43433177385681598</v>
      </c>
      <c r="K1328">
        <v>0.39039780635159399</v>
      </c>
      <c r="L1328">
        <v>1363.84462453674</v>
      </c>
      <c r="M1328">
        <v>23.8141937888144</v>
      </c>
      <c r="N1328">
        <v>62.257720268360302</v>
      </c>
      <c r="O1328">
        <v>56.870986057443098</v>
      </c>
      <c r="P1328">
        <v>-6.01118529981833E-2</v>
      </c>
      <c r="Q1328">
        <v>0.42579377019842601</v>
      </c>
      <c r="R1328">
        <v>0.956935590754321</v>
      </c>
      <c r="S1328" t="s">
        <v>8331</v>
      </c>
      <c r="T1328" t="s">
        <v>14004</v>
      </c>
      <c r="U1328" t="s">
        <v>14004</v>
      </c>
      <c r="V1328" t="s">
        <v>14004</v>
      </c>
      <c r="W1328" t="s">
        <v>15302</v>
      </c>
      <c r="X1328">
        <v>3</v>
      </c>
      <c r="Y1328" t="s">
        <v>22234</v>
      </c>
      <c r="Z1328" t="s">
        <v>29038</v>
      </c>
      <c r="AA1328">
        <v>0.76186401863321673</v>
      </c>
      <c r="AB1328" t="str">
        <f>HYPERLINK("Melting_Curves/meltCurve_O00180_KCNK1.pdf", "Melting_Curves/meltCurve_O00180_KCNK1.pdf")</f>
        <v>Melting_Curves/meltCurve_O00180_KCNK1.pdf</v>
      </c>
    </row>
    <row r="1329" spans="1:28" x14ac:dyDescent="0.25">
      <c r="A1329" t="s">
        <v>1333</v>
      </c>
      <c r="B1329">
        <v>0.99999676499088797</v>
      </c>
      <c r="C1329">
        <v>0.93434488744173305</v>
      </c>
      <c r="D1329">
        <v>0.78208987995969903</v>
      </c>
      <c r="E1329">
        <v>0.29965898277585301</v>
      </c>
      <c r="F1329">
        <v>0.22635787419171699</v>
      </c>
      <c r="G1329">
        <v>0.15282808746052201</v>
      </c>
      <c r="H1329">
        <v>9.0105439567356102E-2</v>
      </c>
      <c r="I1329">
        <v>9.0011649633780097E-2</v>
      </c>
      <c r="J1329">
        <v>8.0362348598229397E-2</v>
      </c>
      <c r="K1329">
        <v>7.2165310086980905E-2</v>
      </c>
      <c r="L1329">
        <v>1220.56414524864</v>
      </c>
      <c r="M1329">
        <v>25.5673272604791</v>
      </c>
      <c r="N1329">
        <v>48.157054811851602</v>
      </c>
      <c r="O1329">
        <v>47.450038835155802</v>
      </c>
      <c r="P1329">
        <v>-0.121307814963811</v>
      </c>
      <c r="Q1329">
        <v>9.9477304354569293E-2</v>
      </c>
      <c r="R1329">
        <v>0.99147546645569795</v>
      </c>
      <c r="S1329" t="s">
        <v>8332</v>
      </c>
      <c r="T1329" t="s">
        <v>14004</v>
      </c>
      <c r="U1329" t="s">
        <v>14004</v>
      </c>
      <c r="V1329" t="s">
        <v>14004</v>
      </c>
      <c r="W1329" t="s">
        <v>15303</v>
      </c>
      <c r="X1329">
        <v>16</v>
      </c>
      <c r="Y1329" t="s">
        <v>22235</v>
      </c>
      <c r="Z1329" t="s">
        <v>29039</v>
      </c>
      <c r="AA1329">
        <v>0.33938255882973689</v>
      </c>
      <c r="AB1329" t="str">
        <f>HYPERLINK("Melting_Curves/meltCurve_O00186_STXBP3.pdf", "Melting_Curves/meltCurve_O00186_STXBP3.pdf")</f>
        <v>Melting_Curves/meltCurve_O00186_STXBP3.pdf</v>
      </c>
    </row>
    <row r="1330" spans="1:28" x14ac:dyDescent="0.25">
      <c r="A1330" t="s">
        <v>1334</v>
      </c>
      <c r="B1330">
        <v>0.99999676499088797</v>
      </c>
      <c r="C1330">
        <v>0.91471480160166097</v>
      </c>
      <c r="D1330">
        <v>0.90728891858070604</v>
      </c>
      <c r="E1330">
        <v>0.58285174460282496</v>
      </c>
      <c r="F1330">
        <v>0.32097339437289701</v>
      </c>
      <c r="G1330">
        <v>0.110456804065119</v>
      </c>
      <c r="H1330">
        <v>3.99871817783891E-2</v>
      </c>
      <c r="I1330">
        <v>4.5499562912818398E-2</v>
      </c>
      <c r="J1330">
        <v>3.3747987491182997E-2</v>
      </c>
      <c r="K1330">
        <v>2.2222965105692601E-2</v>
      </c>
      <c r="L1330">
        <v>958.77188343996795</v>
      </c>
      <c r="M1330">
        <v>18.937021056539901</v>
      </c>
      <c r="N1330">
        <v>50.7179160887789</v>
      </c>
      <c r="O1330">
        <v>50.0750480795597</v>
      </c>
      <c r="P1330">
        <v>-9.3011848032070105E-2</v>
      </c>
      <c r="Q1330">
        <v>1.62371061052567E-2</v>
      </c>
      <c r="R1330">
        <v>0.996191145347468</v>
      </c>
      <c r="S1330" t="s">
        <v>8333</v>
      </c>
      <c r="T1330" t="s">
        <v>14004</v>
      </c>
      <c r="U1330" t="s">
        <v>14004</v>
      </c>
      <c r="V1330" t="s">
        <v>14004</v>
      </c>
      <c r="W1330" t="s">
        <v>15304</v>
      </c>
      <c r="X1330">
        <v>5</v>
      </c>
      <c r="Y1330" t="s">
        <v>22236</v>
      </c>
      <c r="Z1330" t="s">
        <v>29040</v>
      </c>
      <c r="AA1330">
        <v>0.37995243966771319</v>
      </c>
      <c r="AB1330" t="str">
        <f>HYPERLINK("Melting_Curves/meltCurve_O00214_LGALS8.pdf", "Melting_Curves/meltCurve_O00214_LGALS8.pdf")</f>
        <v>Melting_Curves/meltCurve_O00214_LGALS8.pdf</v>
      </c>
    </row>
    <row r="1331" spans="1:28" x14ac:dyDescent="0.25">
      <c r="A1331" t="s">
        <v>1335</v>
      </c>
      <c r="B1331">
        <v>0.99999676499088797</v>
      </c>
      <c r="C1331">
        <v>0.99979308573901904</v>
      </c>
      <c r="D1331">
        <v>1.02628417912467</v>
      </c>
      <c r="E1331">
        <v>0.96473185032224196</v>
      </c>
      <c r="F1331">
        <v>0.44385791226392202</v>
      </c>
      <c r="G1331">
        <v>0.25738199319439098</v>
      </c>
      <c r="H1331">
        <v>0.15278977870336199</v>
      </c>
      <c r="I1331">
        <v>0.172765575433938</v>
      </c>
      <c r="J1331">
        <v>0.16361615759262199</v>
      </c>
      <c r="K1331">
        <v>0.18216260714331201</v>
      </c>
      <c r="L1331">
        <v>2453.6804077281599</v>
      </c>
      <c r="M1331">
        <v>46.802914798258598</v>
      </c>
      <c r="N1331">
        <v>52.928881164689599</v>
      </c>
      <c r="O1331">
        <v>52.330361550930199</v>
      </c>
      <c r="P1331">
        <v>-0.18344967425816899</v>
      </c>
      <c r="Q1331">
        <v>0.17954023699935701</v>
      </c>
      <c r="R1331">
        <v>0.99632286577791196</v>
      </c>
      <c r="S1331" t="s">
        <v>8334</v>
      </c>
      <c r="T1331" t="s">
        <v>14004</v>
      </c>
      <c r="U1331" t="s">
        <v>14004</v>
      </c>
      <c r="V1331" t="s">
        <v>14004</v>
      </c>
      <c r="W1331" t="s">
        <v>15305</v>
      </c>
      <c r="X1331">
        <v>8</v>
      </c>
      <c r="Y1331" t="s">
        <v>22237</v>
      </c>
      <c r="Z1331" t="s">
        <v>29041</v>
      </c>
      <c r="AA1331">
        <v>0.52153597139296037</v>
      </c>
      <c r="AB1331" t="str">
        <f>HYPERLINK("Melting_Curves/meltCurve_O00217_NDUFS8.pdf", "Melting_Curves/meltCurve_O00217_NDUFS8.pdf")</f>
        <v>Melting_Curves/meltCurve_O00217_NDUFS8.pdf</v>
      </c>
    </row>
    <row r="1332" spans="1:28" x14ac:dyDescent="0.25">
      <c r="A1332" t="s">
        <v>1336</v>
      </c>
      <c r="B1332">
        <v>0.99999676499088797</v>
      </c>
      <c r="C1332">
        <v>0.91230526355525898</v>
      </c>
      <c r="D1332">
        <v>0.73867775034306105</v>
      </c>
      <c r="E1332">
        <v>0.37809878662908702</v>
      </c>
      <c r="F1332">
        <v>0.26766867850432002</v>
      </c>
      <c r="G1332">
        <v>0.20486752817951401</v>
      </c>
      <c r="H1332">
        <v>0.108867918525098</v>
      </c>
      <c r="I1332">
        <v>0.13358387568729499</v>
      </c>
      <c r="J1332">
        <v>0.13200948209501001</v>
      </c>
      <c r="K1332">
        <v>9.7320301537410905E-2</v>
      </c>
      <c r="L1332">
        <v>914.64770667309801</v>
      </c>
      <c r="M1332">
        <v>19.116495284196599</v>
      </c>
      <c r="N1332">
        <v>48.562615130459903</v>
      </c>
      <c r="O1332">
        <v>47.331635780731503</v>
      </c>
      <c r="P1332">
        <v>-8.8565299590759594E-2</v>
      </c>
      <c r="Q1332">
        <v>0.122898213212645</v>
      </c>
      <c r="R1332">
        <v>0.99395405389191904</v>
      </c>
      <c r="S1332" t="s">
        <v>8335</v>
      </c>
      <c r="T1332" t="s">
        <v>14004</v>
      </c>
      <c r="U1332" t="s">
        <v>14004</v>
      </c>
      <c r="V1332" t="s">
        <v>14004</v>
      </c>
      <c r="W1332" t="s">
        <v>15306</v>
      </c>
      <c r="X1332">
        <v>4</v>
      </c>
      <c r="Y1332" t="s">
        <v>22238</v>
      </c>
      <c r="Z1332" t="s">
        <v>29042</v>
      </c>
      <c r="AA1332">
        <v>0.36605922841835792</v>
      </c>
      <c r="AB1332" t="str">
        <f>HYPERLINK("Melting_Curves/meltCurve_O00221_NFKBIE.pdf", "Melting_Curves/meltCurve_O00221_NFKBIE.pdf")</f>
        <v>Melting_Curves/meltCurve_O00221_NFKBIE.pdf</v>
      </c>
    </row>
    <row r="1333" spans="1:28" x14ac:dyDescent="0.25">
      <c r="A1333" t="s">
        <v>1337</v>
      </c>
      <c r="B1333">
        <v>0.99999676499088797</v>
      </c>
      <c r="C1333">
        <v>0.85406699014583998</v>
      </c>
      <c r="D1333">
        <v>0.81300431703450105</v>
      </c>
      <c r="E1333">
        <v>0.684083801100419</v>
      </c>
      <c r="F1333">
        <v>0.61228688557567401</v>
      </c>
      <c r="G1333">
        <v>0.27528270176715403</v>
      </c>
      <c r="H1333">
        <v>7.6361202184671004E-2</v>
      </c>
      <c r="I1333">
        <v>7.8508721851991106E-2</v>
      </c>
      <c r="J1333">
        <v>6.9001662535866204E-2</v>
      </c>
      <c r="K1333">
        <v>5.3445850299633203E-2</v>
      </c>
      <c r="L1333">
        <v>657.88638976520201</v>
      </c>
      <c r="M1333">
        <v>12.434811445911</v>
      </c>
      <c r="N1333">
        <v>52.906832346579201</v>
      </c>
      <c r="O1333">
        <v>51.5943751328874</v>
      </c>
      <c r="P1333">
        <v>-6.0265372838492301E-2</v>
      </c>
      <c r="Q1333">
        <v>0</v>
      </c>
      <c r="R1333">
        <v>0.97042677409398104</v>
      </c>
      <c r="S1333" t="s">
        <v>8336</v>
      </c>
      <c r="T1333" t="s">
        <v>14004</v>
      </c>
      <c r="U1333" t="s">
        <v>14004</v>
      </c>
      <c r="V1333" t="s">
        <v>14004</v>
      </c>
      <c r="W1333" t="s">
        <v>15307</v>
      </c>
      <c r="X1333">
        <v>26</v>
      </c>
      <c r="Y1333" t="s">
        <v>22239</v>
      </c>
      <c r="Z1333" t="s">
        <v>29043</v>
      </c>
      <c r="AA1333">
        <v>0.45775000851202002</v>
      </c>
      <c r="AB1333" t="str">
        <f>HYPERLINK("Melting_Curves/meltCurve_O00231_PSMD11.pdf", "Melting_Curves/meltCurve_O00231_PSMD11.pdf")</f>
        <v>Melting_Curves/meltCurve_O00231_PSMD11.pdf</v>
      </c>
    </row>
    <row r="1334" spans="1:28" x14ac:dyDescent="0.25">
      <c r="A1334" t="s">
        <v>1338</v>
      </c>
      <c r="B1334">
        <v>0.99999676499088797</v>
      </c>
      <c r="C1334">
        <v>0.94413394439785303</v>
      </c>
      <c r="D1334">
        <v>0.92643750046743401</v>
      </c>
      <c r="E1334">
        <v>0.71252823993962799</v>
      </c>
      <c r="F1334">
        <v>0.62898202197828401</v>
      </c>
      <c r="G1334">
        <v>0.25429392015672603</v>
      </c>
      <c r="H1334">
        <v>8.9076109631290201E-2</v>
      </c>
      <c r="I1334">
        <v>7.9777049523864205E-2</v>
      </c>
      <c r="J1334">
        <v>7.8542510703503002E-2</v>
      </c>
      <c r="K1334">
        <v>6.4519360236249601E-2</v>
      </c>
      <c r="L1334">
        <v>844.33305752410797</v>
      </c>
      <c r="M1334">
        <v>15.7943775590911</v>
      </c>
      <c r="N1334">
        <v>53.571590715686902</v>
      </c>
      <c r="O1334">
        <v>52.622879899564502</v>
      </c>
      <c r="P1334">
        <v>-7.3804305770031206E-2</v>
      </c>
      <c r="Q1334">
        <v>1.6491877431725501E-2</v>
      </c>
      <c r="R1334">
        <v>0.98508383190715998</v>
      </c>
      <c r="S1334" t="s">
        <v>8337</v>
      </c>
      <c r="T1334" t="s">
        <v>14004</v>
      </c>
      <c r="U1334" t="s">
        <v>14004</v>
      </c>
      <c r="V1334" t="s">
        <v>14004</v>
      </c>
      <c r="W1334" t="s">
        <v>15308</v>
      </c>
      <c r="X1334">
        <v>29</v>
      </c>
      <c r="Y1334" t="s">
        <v>22240</v>
      </c>
      <c r="Z1334" t="s">
        <v>29044</v>
      </c>
      <c r="AA1334">
        <v>0.47702185378553541</v>
      </c>
      <c r="AB1334" t="str">
        <f>HYPERLINK("Melting_Curves/meltCurve_O00232_PSMD12.pdf", "Melting_Curves/meltCurve_O00232_PSMD12.pdf")</f>
        <v>Melting_Curves/meltCurve_O00232_PSMD12.pdf</v>
      </c>
    </row>
    <row r="1335" spans="1:28" x14ac:dyDescent="0.25">
      <c r="A1335" t="s">
        <v>1339</v>
      </c>
      <c r="B1335">
        <v>0.99999676499088797</v>
      </c>
      <c r="C1335">
        <v>0.92019998987852003</v>
      </c>
      <c r="D1335">
        <v>0.95035130356150799</v>
      </c>
      <c r="E1335">
        <v>0.84096474989734404</v>
      </c>
      <c r="F1335">
        <v>0.782978556775072</v>
      </c>
      <c r="G1335">
        <v>0.59519253195449495</v>
      </c>
      <c r="H1335">
        <v>0.33622208191089897</v>
      </c>
      <c r="I1335">
        <v>0.22283936474930799</v>
      </c>
      <c r="J1335">
        <v>0.179213863574819</v>
      </c>
      <c r="K1335">
        <v>0.21564046758139399</v>
      </c>
      <c r="L1335">
        <v>771.81742116772296</v>
      </c>
      <c r="M1335">
        <v>13.5593091154521</v>
      </c>
      <c r="N1335">
        <v>57.844316119048898</v>
      </c>
      <c r="O1335">
        <v>55.726313555247302</v>
      </c>
      <c r="P1335">
        <v>-5.4922346492663601E-2</v>
      </c>
      <c r="Q1335">
        <v>9.7251903808521098E-2</v>
      </c>
      <c r="R1335">
        <v>0.98424040506727295</v>
      </c>
      <c r="S1335" t="s">
        <v>8338</v>
      </c>
      <c r="T1335" t="s">
        <v>14004</v>
      </c>
      <c r="U1335" t="s">
        <v>14004</v>
      </c>
      <c r="V1335" t="s">
        <v>14004</v>
      </c>
      <c r="W1335" t="s">
        <v>15309</v>
      </c>
      <c r="X1335">
        <v>6</v>
      </c>
      <c r="Y1335" t="s">
        <v>22241</v>
      </c>
      <c r="Z1335" t="s">
        <v>29045</v>
      </c>
      <c r="AA1335">
        <v>0.62158364886467155</v>
      </c>
      <c r="AB1335" t="str">
        <f>HYPERLINK("Melting_Curves/meltCurve_O00244_ATOX1.pdf", "Melting_Curves/meltCurve_O00244_ATOX1.pdf")</f>
        <v>Melting_Curves/meltCurve_O00244_ATOX1.pdf</v>
      </c>
    </row>
    <row r="1336" spans="1:28" x14ac:dyDescent="0.25">
      <c r="A1336" t="s">
        <v>1340</v>
      </c>
      <c r="B1336">
        <v>0.99999676499088797</v>
      </c>
      <c r="C1336">
        <v>0.74185836699884</v>
      </c>
      <c r="D1336">
        <v>0.29394053630924799</v>
      </c>
      <c r="E1336">
        <v>0.14906580115854001</v>
      </c>
      <c r="F1336">
        <v>0.121225985583155</v>
      </c>
      <c r="G1336">
        <v>9.6277693875535905E-2</v>
      </c>
      <c r="H1336">
        <v>5.0145640584079103E-2</v>
      </c>
      <c r="I1336">
        <v>4.9496430951355898E-2</v>
      </c>
      <c r="J1336">
        <v>2.9239212942698802E-2</v>
      </c>
      <c r="K1336">
        <v>4.1778720628739302E-2</v>
      </c>
      <c r="L1336">
        <v>1291.1260797228099</v>
      </c>
      <c r="M1336">
        <v>29.119129863982899</v>
      </c>
      <c r="N1336">
        <v>44.562377567264001</v>
      </c>
      <c r="O1336">
        <v>44.131894316493899</v>
      </c>
      <c r="P1336">
        <v>-0.15377629125716899</v>
      </c>
      <c r="Q1336">
        <v>6.7775519606626505E-2</v>
      </c>
      <c r="R1336">
        <v>0.99122282132898498</v>
      </c>
      <c r="S1336" t="s">
        <v>8339</v>
      </c>
      <c r="T1336" t="s">
        <v>14004</v>
      </c>
      <c r="U1336" t="s">
        <v>14004</v>
      </c>
      <c r="V1336" t="s">
        <v>14004</v>
      </c>
      <c r="W1336" t="s">
        <v>15310</v>
      </c>
      <c r="X1336">
        <v>3</v>
      </c>
      <c r="Y1336" t="s">
        <v>22242</v>
      </c>
      <c r="Z1336" t="s">
        <v>29046</v>
      </c>
      <c r="AA1336">
        <v>0.20956300516226431</v>
      </c>
      <c r="AB1336" t="str">
        <f>HYPERLINK("Melting_Curves/meltCurve_O00255_2_MEN1.pdf", "Melting_Curves/meltCurve_O00255_2_MEN1.pdf")</f>
        <v>Melting_Curves/meltCurve_O00255_2_MEN1.pdf</v>
      </c>
    </row>
    <row r="1337" spans="1:28" x14ac:dyDescent="0.25">
      <c r="A1337" t="s">
        <v>1341</v>
      </c>
      <c r="B1337">
        <v>0.99999676499088797</v>
      </c>
      <c r="C1337">
        <v>1.09182499397966</v>
      </c>
      <c r="D1337">
        <v>0.72390584161990201</v>
      </c>
      <c r="E1337">
        <v>0.41296627568483701</v>
      </c>
      <c r="F1337">
        <v>0.23810852450653899</v>
      </c>
      <c r="G1337">
        <v>6.5181237763119806E-2</v>
      </c>
      <c r="H1337">
        <v>6.1330971941836399E-2</v>
      </c>
      <c r="I1337">
        <v>8.2291866061824107E-2</v>
      </c>
      <c r="J1337">
        <v>0.11195396843949</v>
      </c>
      <c r="K1337">
        <v>7.1991786737383698E-2</v>
      </c>
      <c r="L1337">
        <v>1114.8465086613501</v>
      </c>
      <c r="M1337">
        <v>23.045615940711698</v>
      </c>
      <c r="N1337">
        <v>48.740193500737099</v>
      </c>
      <c r="O1337">
        <v>48.015828003468101</v>
      </c>
      <c r="P1337">
        <v>-0.110492736616781</v>
      </c>
      <c r="Q1337">
        <v>7.9165483597478603E-2</v>
      </c>
      <c r="R1337">
        <v>0.97997477216217999</v>
      </c>
      <c r="S1337" t="s">
        <v>8340</v>
      </c>
      <c r="T1337" t="s">
        <v>14004</v>
      </c>
      <c r="U1337" t="s">
        <v>14004</v>
      </c>
      <c r="V1337" t="s">
        <v>14004</v>
      </c>
      <c r="W1337" t="s">
        <v>15311</v>
      </c>
      <c r="X1337">
        <v>4</v>
      </c>
      <c r="Y1337" t="s">
        <v>22243</v>
      </c>
      <c r="Z1337" t="s">
        <v>29047</v>
      </c>
      <c r="AA1337">
        <v>0.34590729747193999</v>
      </c>
      <c r="AB1337" t="str">
        <f>HYPERLINK("Melting_Curves/meltCurve_O00257_CBX4.pdf", "Melting_Curves/meltCurve_O00257_CBX4.pdf")</f>
        <v>Melting_Curves/meltCurve_O00257_CBX4.pdf</v>
      </c>
    </row>
    <row r="1338" spans="1:28" x14ac:dyDescent="0.25">
      <c r="A1338" t="s">
        <v>1342</v>
      </c>
      <c r="B1338">
        <v>0.99999676499088797</v>
      </c>
      <c r="C1338">
        <v>0.75553557137748295</v>
      </c>
      <c r="D1338">
        <v>0.75669005712272197</v>
      </c>
      <c r="E1338">
        <v>0.62745427898680906</v>
      </c>
      <c r="F1338">
        <v>0.34333413163120402</v>
      </c>
      <c r="G1338">
        <v>0.294235859456975</v>
      </c>
      <c r="H1338">
        <v>0.19732433559301599</v>
      </c>
      <c r="I1338">
        <v>0.23702583294650001</v>
      </c>
      <c r="J1338">
        <v>0.205930675099678</v>
      </c>
      <c r="K1338">
        <v>0.23419395804788501</v>
      </c>
      <c r="L1338">
        <v>585.71121930983099</v>
      </c>
      <c r="M1338">
        <v>12.0056498900558</v>
      </c>
      <c r="N1338">
        <v>50.605256087365298</v>
      </c>
      <c r="O1338">
        <v>47.491863047775901</v>
      </c>
      <c r="P1338">
        <v>-5.21359013576769E-2</v>
      </c>
      <c r="Q1338">
        <v>0.175243173193292</v>
      </c>
      <c r="R1338">
        <v>0.96156603954875897</v>
      </c>
      <c r="S1338" t="s">
        <v>8341</v>
      </c>
      <c r="T1338" t="s">
        <v>14004</v>
      </c>
      <c r="U1338" t="s">
        <v>14004</v>
      </c>
      <c r="V1338" t="s">
        <v>14004</v>
      </c>
      <c r="W1338" t="s">
        <v>15312</v>
      </c>
      <c r="X1338">
        <v>12</v>
      </c>
      <c r="Y1338" t="s">
        <v>22244</v>
      </c>
      <c r="Z1338" t="s">
        <v>29048</v>
      </c>
      <c r="AA1338">
        <v>0.44746896540819481</v>
      </c>
      <c r="AB1338" t="str">
        <f>HYPERLINK("Melting_Curves/meltCurve_O00264_PGRMC1.pdf", "Melting_Curves/meltCurve_O00264_PGRMC1.pdf")</f>
        <v>Melting_Curves/meltCurve_O00264_PGRMC1.pdf</v>
      </c>
    </row>
    <row r="1339" spans="1:28" x14ac:dyDescent="0.25">
      <c r="A1339" t="s">
        <v>1343</v>
      </c>
      <c r="B1339">
        <v>0.99999676499088797</v>
      </c>
      <c r="C1339">
        <v>1.01272854747289</v>
      </c>
      <c r="D1339">
        <v>0.93510450307994797</v>
      </c>
      <c r="E1339">
        <v>0.67554724790241205</v>
      </c>
      <c r="F1339">
        <v>0.25786790739604099</v>
      </c>
      <c r="G1339">
        <v>0.21489260573403299</v>
      </c>
      <c r="H1339">
        <v>9.1203089424145498E-2</v>
      </c>
      <c r="I1339">
        <v>0.101580252256241</v>
      </c>
      <c r="J1339">
        <v>9.1709893993802596E-2</v>
      </c>
      <c r="K1339">
        <v>7.0459187976954593E-2</v>
      </c>
      <c r="L1339">
        <v>1321.0333829101</v>
      </c>
      <c r="M1339">
        <v>26.105110403350398</v>
      </c>
      <c r="N1339">
        <v>51.017240879905003</v>
      </c>
      <c r="O1339">
        <v>50.3102429976461</v>
      </c>
      <c r="P1339">
        <v>-0.117370870840736</v>
      </c>
      <c r="Q1339">
        <v>9.5213148575563497E-2</v>
      </c>
      <c r="R1339">
        <v>0.994979617332584</v>
      </c>
      <c r="S1339" t="s">
        <v>8342</v>
      </c>
      <c r="T1339" t="s">
        <v>14004</v>
      </c>
      <c r="U1339" t="s">
        <v>14004</v>
      </c>
      <c r="V1339" t="s">
        <v>14004</v>
      </c>
      <c r="W1339" t="s">
        <v>15313</v>
      </c>
      <c r="X1339">
        <v>40</v>
      </c>
      <c r="Y1339" t="s">
        <v>22245</v>
      </c>
      <c r="Z1339" t="s">
        <v>29049</v>
      </c>
      <c r="AA1339">
        <v>0.42250481862149097</v>
      </c>
      <c r="AB1339" t="str">
        <f>HYPERLINK("Melting_Curves/meltCurve_O00267_2_SUPT5H.pdf", "Melting_Curves/meltCurve_O00267_2_SUPT5H.pdf")</f>
        <v>Melting_Curves/meltCurve_O00267_2_SUPT5H.pdf</v>
      </c>
    </row>
    <row r="1340" spans="1:28" x14ac:dyDescent="0.25">
      <c r="A1340" t="s">
        <v>1344</v>
      </c>
      <c r="B1340">
        <v>0.99999676499088797</v>
      </c>
      <c r="C1340">
        <v>0.889051052507428</v>
      </c>
      <c r="D1340">
        <v>0.92116614573361799</v>
      </c>
      <c r="E1340">
        <v>0.84771502885295402</v>
      </c>
      <c r="F1340">
        <v>0.57784019241141305</v>
      </c>
      <c r="G1340">
        <v>0.32810417445787998</v>
      </c>
      <c r="H1340">
        <v>0.17532051030811599</v>
      </c>
      <c r="I1340">
        <v>0.186957077565199</v>
      </c>
      <c r="J1340">
        <v>0.17382031112111601</v>
      </c>
      <c r="K1340">
        <v>0.21363218035600101</v>
      </c>
      <c r="L1340">
        <v>1095.3609304123399</v>
      </c>
      <c r="M1340">
        <v>20.683724399364401</v>
      </c>
      <c r="N1340">
        <v>54.012186947363901</v>
      </c>
      <c r="O1340">
        <v>52.470057898228703</v>
      </c>
      <c r="P1340">
        <v>-8.2180887356369803E-2</v>
      </c>
      <c r="Q1340">
        <v>0.16612438185280301</v>
      </c>
      <c r="R1340">
        <v>0.98476734642914299</v>
      </c>
      <c r="S1340" t="s">
        <v>8343</v>
      </c>
      <c r="T1340" t="s">
        <v>14004</v>
      </c>
      <c r="U1340" t="s">
        <v>14004</v>
      </c>
      <c r="V1340" t="s">
        <v>14004</v>
      </c>
      <c r="W1340" t="s">
        <v>15314</v>
      </c>
      <c r="X1340">
        <v>18</v>
      </c>
      <c r="Y1340" t="s">
        <v>22246</v>
      </c>
      <c r="Z1340" t="s">
        <v>29050</v>
      </c>
      <c r="AA1340">
        <v>0.53711910274513597</v>
      </c>
      <c r="AB1340" t="str">
        <f>HYPERLINK("Melting_Curves/meltCurve_O00273_DFFA.pdf", "Melting_Curves/meltCurve_O00273_DFFA.pdf")</f>
        <v>Melting_Curves/meltCurve_O00273_DFFA.pdf</v>
      </c>
    </row>
    <row r="1341" spans="1:28" x14ac:dyDescent="0.25">
      <c r="A1341" t="s">
        <v>1345</v>
      </c>
      <c r="B1341">
        <v>0.99999676499088797</v>
      </c>
      <c r="C1341">
        <v>1.0257787169261099</v>
      </c>
      <c r="D1341">
        <v>0.97132297883265195</v>
      </c>
      <c r="E1341">
        <v>0.68570420111959096</v>
      </c>
      <c r="F1341">
        <v>0.45070326750217399</v>
      </c>
      <c r="G1341">
        <v>0.22635512477950301</v>
      </c>
      <c r="H1341">
        <v>0.15929468541324099</v>
      </c>
      <c r="I1341">
        <v>0.191046646282611</v>
      </c>
      <c r="J1341">
        <v>0.23211491656809599</v>
      </c>
      <c r="K1341">
        <v>0.27066246313631698</v>
      </c>
      <c r="L1341">
        <v>1271.16544332338</v>
      </c>
      <c r="M1341">
        <v>25.019963619785699</v>
      </c>
      <c r="N1341">
        <v>51.917688760938603</v>
      </c>
      <c r="O1341">
        <v>50.4848188167892</v>
      </c>
      <c r="P1341">
        <v>-9.8206298012771198E-2</v>
      </c>
      <c r="Q1341">
        <v>0.20737517943773401</v>
      </c>
      <c r="R1341">
        <v>0.98731099391974098</v>
      </c>
      <c r="S1341" t="s">
        <v>8344</v>
      </c>
      <c r="T1341" t="s">
        <v>14004</v>
      </c>
      <c r="U1341" t="s">
        <v>14004</v>
      </c>
      <c r="V1341" t="s">
        <v>14004</v>
      </c>
      <c r="W1341" t="s">
        <v>15315</v>
      </c>
      <c r="X1341">
        <v>15</v>
      </c>
      <c r="Y1341" t="s">
        <v>22246</v>
      </c>
      <c r="Z1341" t="s">
        <v>29051</v>
      </c>
      <c r="AA1341">
        <v>0.50001400303694921</v>
      </c>
      <c r="AB1341" t="str">
        <f>HYPERLINK("Melting_Curves/meltCurve_O00273_2_DFFA.pdf", "Melting_Curves/meltCurve_O00273_2_DFFA.pdf")</f>
        <v>Melting_Curves/meltCurve_O00273_2_DFFA.pdf</v>
      </c>
    </row>
    <row r="1342" spans="1:28" x14ac:dyDescent="0.25">
      <c r="A1342" t="s">
        <v>1346</v>
      </c>
      <c r="B1342">
        <v>0.99999676499088797</v>
      </c>
      <c r="C1342">
        <v>0.97493925354345401</v>
      </c>
      <c r="D1342">
        <v>0.71971772314312499</v>
      </c>
      <c r="E1342">
        <v>0.60457336446932997</v>
      </c>
      <c r="F1342">
        <v>0.40136439009161801</v>
      </c>
      <c r="G1342">
        <v>0.344561499427611</v>
      </c>
      <c r="H1342">
        <v>0.21609884961924999</v>
      </c>
      <c r="I1342">
        <v>0.17965844340808301</v>
      </c>
      <c r="J1342">
        <v>0.19096323648636501</v>
      </c>
      <c r="K1342">
        <v>0.2128468565586</v>
      </c>
      <c r="L1342">
        <v>676.49128436842102</v>
      </c>
      <c r="M1342">
        <v>13.639039129013099</v>
      </c>
      <c r="N1342">
        <v>51.210152938495398</v>
      </c>
      <c r="O1342">
        <v>48.569814467286101</v>
      </c>
      <c r="P1342">
        <v>-5.7968343036058599E-2</v>
      </c>
      <c r="Q1342">
        <v>0.17439955585216799</v>
      </c>
      <c r="R1342">
        <v>0.98488340816185405</v>
      </c>
      <c r="S1342" t="s">
        <v>8345</v>
      </c>
      <c r="T1342" t="s">
        <v>14004</v>
      </c>
      <c r="U1342" t="s">
        <v>14004</v>
      </c>
      <c r="V1342" t="s">
        <v>14004</v>
      </c>
      <c r="W1342" t="s">
        <v>15316</v>
      </c>
      <c r="X1342">
        <v>5</v>
      </c>
      <c r="Y1342" t="s">
        <v>22247</v>
      </c>
      <c r="Z1342" t="s">
        <v>29052</v>
      </c>
      <c r="AA1342">
        <v>0.46220211323373578</v>
      </c>
      <c r="AB1342" t="str">
        <f>HYPERLINK("Melting_Curves/meltCurve_O00287_RFXAP.pdf", "Melting_Curves/meltCurve_O00287_RFXAP.pdf")</f>
        <v>Melting_Curves/meltCurve_O00287_RFXAP.pdf</v>
      </c>
    </row>
    <row r="1343" spans="1:28" x14ac:dyDescent="0.25">
      <c r="A1343" t="s">
        <v>1347</v>
      </c>
      <c r="B1343">
        <v>0.99999676499088797</v>
      </c>
      <c r="C1343">
        <v>0.99686385017708201</v>
      </c>
      <c r="D1343">
        <v>0.95200404575041697</v>
      </c>
      <c r="E1343">
        <v>0.759316979627359</v>
      </c>
      <c r="F1343">
        <v>0.33413765158234598</v>
      </c>
      <c r="G1343">
        <v>0.27179018066161897</v>
      </c>
      <c r="H1343">
        <v>0.14049337949548199</v>
      </c>
      <c r="I1343">
        <v>0.117614959713675</v>
      </c>
      <c r="J1343">
        <v>0.11499910266979101</v>
      </c>
      <c r="K1343">
        <v>0.124891772319758</v>
      </c>
      <c r="L1343">
        <v>1283.5928266782</v>
      </c>
      <c r="M1343">
        <v>25.0287051276432</v>
      </c>
      <c r="N1343">
        <v>51.898655874607002</v>
      </c>
      <c r="O1343">
        <v>50.960800025512398</v>
      </c>
      <c r="P1343">
        <v>-0.107054951050714</v>
      </c>
      <c r="Q1343">
        <v>0.128115834863744</v>
      </c>
      <c r="R1343">
        <v>0.99401687239853298</v>
      </c>
      <c r="S1343" t="s">
        <v>8346</v>
      </c>
      <c r="T1343" t="s">
        <v>14004</v>
      </c>
      <c r="U1343" t="s">
        <v>14004</v>
      </c>
      <c r="V1343" t="s">
        <v>14004</v>
      </c>
      <c r="W1343" t="s">
        <v>15317</v>
      </c>
      <c r="X1343">
        <v>9</v>
      </c>
      <c r="Y1343" t="s">
        <v>22248</v>
      </c>
      <c r="Z1343" t="s">
        <v>29053</v>
      </c>
      <c r="AA1343">
        <v>0.4639677897341527</v>
      </c>
      <c r="AB1343" t="str">
        <f>HYPERLINK("Melting_Curves/meltCurve_O00291_HIP1.pdf", "Melting_Curves/meltCurve_O00291_HIP1.pdf")</f>
        <v>Melting_Curves/meltCurve_O00291_HIP1.pdf</v>
      </c>
    </row>
    <row r="1344" spans="1:28" x14ac:dyDescent="0.25">
      <c r="A1344" t="s">
        <v>1348</v>
      </c>
      <c r="B1344">
        <v>0.99999676499088797</v>
      </c>
      <c r="C1344">
        <v>1.1296839034056601</v>
      </c>
      <c r="D1344">
        <v>0.95137475926491399</v>
      </c>
      <c r="E1344">
        <v>0.64113093267584997</v>
      </c>
      <c r="F1344">
        <v>0.33110981420061802</v>
      </c>
      <c r="G1344">
        <v>0.159777553910456</v>
      </c>
      <c r="H1344">
        <v>7.4872515541516402E-2</v>
      </c>
      <c r="I1344">
        <v>7.3105176991293805E-2</v>
      </c>
      <c r="J1344">
        <v>6.9117153508722398E-2</v>
      </c>
      <c r="K1344">
        <v>5.8713467491735297E-2</v>
      </c>
      <c r="L1344">
        <v>1208.5779387008499</v>
      </c>
      <c r="M1344">
        <v>23.741798999492399</v>
      </c>
      <c r="N1344">
        <v>51.215164997365399</v>
      </c>
      <c r="O1344">
        <v>50.548035853978099</v>
      </c>
      <c r="P1344">
        <v>-0.10956257561018599</v>
      </c>
      <c r="Q1344">
        <v>6.6948079841479893E-2</v>
      </c>
      <c r="R1344">
        <v>0.98715941271158403</v>
      </c>
      <c r="S1344" t="s">
        <v>8347</v>
      </c>
      <c r="T1344" t="s">
        <v>14004</v>
      </c>
      <c r="U1344" t="s">
        <v>14004</v>
      </c>
      <c r="V1344" t="s">
        <v>14004</v>
      </c>
      <c r="W1344" t="s">
        <v>15318</v>
      </c>
      <c r="X1344">
        <v>19</v>
      </c>
      <c r="Y1344" t="s">
        <v>22249</v>
      </c>
      <c r="Z1344" t="s">
        <v>29054</v>
      </c>
      <c r="AA1344">
        <v>0.41543381093038512</v>
      </c>
      <c r="AB1344" t="str">
        <f>HYPERLINK("Melting_Curves/meltCurve_O00299_CLIC1.pdf", "Melting_Curves/meltCurve_O00299_CLIC1.pdf")</f>
        <v>Melting_Curves/meltCurve_O00299_CLIC1.pdf</v>
      </c>
    </row>
    <row r="1345" spans="1:28" x14ac:dyDescent="0.25">
      <c r="A1345" t="s">
        <v>1349</v>
      </c>
      <c r="B1345">
        <v>0.99999676499088797</v>
      </c>
      <c r="C1345">
        <v>1.5030955491306099</v>
      </c>
      <c r="D1345">
        <v>0.92970222653192003</v>
      </c>
      <c r="E1345">
        <v>0.161095687260746</v>
      </c>
      <c r="F1345">
        <v>0.16151531609327199</v>
      </c>
      <c r="G1345">
        <v>0</v>
      </c>
      <c r="H1345">
        <v>0.16336988740555</v>
      </c>
      <c r="I1345">
        <v>0</v>
      </c>
      <c r="J1345">
        <v>0</v>
      </c>
      <c r="K1345">
        <v>0</v>
      </c>
      <c r="L1345">
        <v>2972.21596024173</v>
      </c>
      <c r="M1345">
        <v>61.967899294500199</v>
      </c>
      <c r="N1345">
        <v>48.051666989877802</v>
      </c>
      <c r="O1345">
        <v>47.913914569549597</v>
      </c>
      <c r="P1345">
        <v>-0.30600774599851399</v>
      </c>
      <c r="Q1345">
        <v>5.3572763519640701E-2</v>
      </c>
      <c r="R1345">
        <v>0.89179905746300903</v>
      </c>
      <c r="S1345" t="s">
        <v>8348</v>
      </c>
      <c r="T1345" t="s">
        <v>14004</v>
      </c>
      <c r="U1345" t="s">
        <v>14004</v>
      </c>
      <c r="V1345" t="s">
        <v>14004</v>
      </c>
      <c r="W1345" t="s">
        <v>15319</v>
      </c>
      <c r="X1345">
        <v>4</v>
      </c>
      <c r="Y1345" t="s">
        <v>22250</v>
      </c>
      <c r="Z1345" t="s">
        <v>29055</v>
      </c>
      <c r="AA1345">
        <v>0.30611248619442261</v>
      </c>
      <c r="AB1345" t="str">
        <f>HYPERLINK("Melting_Curves/meltCurve_O00308_WWP2.pdf", "Melting_Curves/meltCurve_O00308_WWP2.pdf")</f>
        <v>Melting_Curves/meltCurve_O00308_WWP2.pdf</v>
      </c>
    </row>
    <row r="1346" spans="1:28" x14ac:dyDescent="0.25">
      <c r="A1346" t="s">
        <v>1350</v>
      </c>
      <c r="B1346">
        <v>0.99999676499088797</v>
      </c>
      <c r="C1346">
        <v>1.09432504085501</v>
      </c>
      <c r="D1346">
        <v>0.98386300981252395</v>
      </c>
      <c r="E1346">
        <v>0.82474737163302603</v>
      </c>
      <c r="F1346">
        <v>0.233104032024055</v>
      </c>
      <c r="G1346">
        <v>0.167960136467803</v>
      </c>
      <c r="H1346">
        <v>6.4664829826188902E-2</v>
      </c>
      <c r="I1346">
        <v>6.7478275349631994E-2</v>
      </c>
      <c r="J1346">
        <v>7.3293059070413197E-2</v>
      </c>
      <c r="K1346">
        <v>7.0918825014707698E-2</v>
      </c>
      <c r="L1346">
        <v>2142.7138477172598</v>
      </c>
      <c r="M1346">
        <v>41.801026378234702</v>
      </c>
      <c r="N1346">
        <v>51.484011410403099</v>
      </c>
      <c r="O1346">
        <v>51.142938738970301</v>
      </c>
      <c r="P1346">
        <v>-0.18733387260843501</v>
      </c>
      <c r="Q1346">
        <v>8.3200671824115405E-2</v>
      </c>
      <c r="R1346">
        <v>0.99190014178362396</v>
      </c>
      <c r="S1346" t="s">
        <v>8349</v>
      </c>
      <c r="T1346" t="s">
        <v>14004</v>
      </c>
      <c r="U1346" t="s">
        <v>14004</v>
      </c>
      <c r="V1346" t="s">
        <v>14004</v>
      </c>
      <c r="W1346" t="s">
        <v>15320</v>
      </c>
      <c r="X1346">
        <v>11</v>
      </c>
      <c r="Y1346" t="s">
        <v>22251</v>
      </c>
      <c r="Z1346" t="s">
        <v>29056</v>
      </c>
      <c r="AA1346">
        <v>0.43027337276364092</v>
      </c>
      <c r="AB1346" t="str">
        <f>HYPERLINK("Melting_Curves/meltCurve_O00329_PIK3CD.pdf", "Melting_Curves/meltCurve_O00329_PIK3CD.pdf")</f>
        <v>Melting_Curves/meltCurve_O00329_PIK3CD.pdf</v>
      </c>
    </row>
    <row r="1347" spans="1:28" x14ac:dyDescent="0.25">
      <c r="A1347" t="s">
        <v>1351</v>
      </c>
      <c r="B1347">
        <v>0.99999676499088797</v>
      </c>
      <c r="C1347">
        <v>0.90164547106745996</v>
      </c>
      <c r="D1347">
        <v>0.90917121259757605</v>
      </c>
      <c r="E1347">
        <v>1.1204227789468899</v>
      </c>
      <c r="F1347">
        <v>1.26994651421654</v>
      </c>
      <c r="G1347">
        <v>0.74647825797442802</v>
      </c>
      <c r="H1347">
        <v>0.36267969997386001</v>
      </c>
      <c r="I1347">
        <v>0.209397558128394</v>
      </c>
      <c r="J1347">
        <v>0.15211441962438499</v>
      </c>
      <c r="K1347">
        <v>0.13110103964521799</v>
      </c>
      <c r="L1347">
        <v>2219.67540351055</v>
      </c>
      <c r="M1347">
        <v>37.825395610636797</v>
      </c>
      <c r="N1347">
        <v>59.259766452612403</v>
      </c>
      <c r="O1347">
        <v>58.5188481745964</v>
      </c>
      <c r="P1347">
        <v>-0.136680392286715</v>
      </c>
      <c r="Q1347">
        <v>0.15418112148388</v>
      </c>
      <c r="R1347">
        <v>0.92667590063908101</v>
      </c>
      <c r="S1347" t="s">
        <v>8350</v>
      </c>
      <c r="T1347" t="s">
        <v>14004</v>
      </c>
      <c r="U1347" t="s">
        <v>14004</v>
      </c>
      <c r="V1347" t="s">
        <v>14004</v>
      </c>
      <c r="W1347" t="s">
        <v>15321</v>
      </c>
      <c r="X1347">
        <v>15</v>
      </c>
      <c r="Y1347" t="s">
        <v>22252</v>
      </c>
      <c r="Z1347" t="s">
        <v>29057</v>
      </c>
      <c r="AA1347">
        <v>0.68459985795760725</v>
      </c>
      <c r="AB1347" t="str">
        <f>HYPERLINK("Melting_Curves/meltCurve_O00330_PDHX.pdf", "Melting_Curves/meltCurve_O00330_PDHX.pdf")</f>
        <v>Melting_Curves/meltCurve_O00330_PDHX.pdf</v>
      </c>
    </row>
    <row r="1348" spans="1:28" x14ac:dyDescent="0.25">
      <c r="A1348" t="s">
        <v>1352</v>
      </c>
      <c r="B1348">
        <v>0.99999676499088797</v>
      </c>
      <c r="C1348">
        <v>1.12121877651878</v>
      </c>
      <c r="D1348">
        <v>1.0788997811599901</v>
      </c>
      <c r="E1348">
        <v>0.87462241458346301</v>
      </c>
      <c r="F1348">
        <v>0.54429771877159805</v>
      </c>
      <c r="G1348">
        <v>0.471288510172095</v>
      </c>
      <c r="H1348">
        <v>0.215082110955577</v>
      </c>
      <c r="I1348">
        <v>0.12821486824879</v>
      </c>
      <c r="J1348">
        <v>2.829130677388E-2</v>
      </c>
      <c r="K1348">
        <v>0.13126447636374799</v>
      </c>
      <c r="L1348">
        <v>948.20660492184595</v>
      </c>
      <c r="M1348">
        <v>17.327613531084602</v>
      </c>
      <c r="N1348">
        <v>55.160302656322102</v>
      </c>
      <c r="O1348">
        <v>54.0090361728681</v>
      </c>
      <c r="P1348">
        <v>-7.5056071661977294E-2</v>
      </c>
      <c r="Q1348">
        <v>6.4274192229265101E-2</v>
      </c>
      <c r="R1348">
        <v>0.96733536150831001</v>
      </c>
      <c r="S1348" t="s">
        <v>8351</v>
      </c>
      <c r="T1348" t="s">
        <v>14004</v>
      </c>
      <c r="U1348" t="s">
        <v>14004</v>
      </c>
      <c r="V1348" t="s">
        <v>14004</v>
      </c>
      <c r="W1348" t="s">
        <v>15322</v>
      </c>
      <c r="X1348">
        <v>2</v>
      </c>
      <c r="Y1348" t="s">
        <v>22253</v>
      </c>
      <c r="Z1348" t="s">
        <v>29058</v>
      </c>
      <c r="AA1348">
        <v>0.5388840918763359</v>
      </c>
      <c r="AB1348" t="str">
        <f>HYPERLINK("Melting_Curves/meltCurve_O00391_QSOX1.pdf", "Melting_Curves/meltCurve_O00391_QSOX1.pdf")</f>
        <v>Melting_Curves/meltCurve_O00391_QSOX1.pdf</v>
      </c>
    </row>
    <row r="1349" spans="1:28" x14ac:dyDescent="0.25">
      <c r="A1349" t="s">
        <v>1353</v>
      </c>
      <c r="B1349">
        <v>0.99999676499088797</v>
      </c>
      <c r="C1349">
        <v>0.93882420920173804</v>
      </c>
      <c r="D1349">
        <v>0.92382666284209902</v>
      </c>
      <c r="E1349">
        <v>0.86975007490421596</v>
      </c>
      <c r="F1349">
        <v>0.88085805950219898</v>
      </c>
      <c r="G1349">
        <v>0.76517458917108905</v>
      </c>
      <c r="H1349">
        <v>0.54324054722031101</v>
      </c>
      <c r="I1349">
        <v>0.464615954841614</v>
      </c>
      <c r="J1349">
        <v>0.232855656976694</v>
      </c>
      <c r="K1349">
        <v>0.17923954251431801</v>
      </c>
      <c r="L1349">
        <v>722.89431410376801</v>
      </c>
      <c r="M1349">
        <v>11.690731920431</v>
      </c>
      <c r="N1349">
        <v>61.834820899319602</v>
      </c>
      <c r="O1349">
        <v>60.108677965982103</v>
      </c>
      <c r="P1349">
        <v>-4.8636259967979802E-2</v>
      </c>
      <c r="Q1349">
        <v>0</v>
      </c>
      <c r="R1349">
        <v>0.97509772700605601</v>
      </c>
      <c r="S1349" t="s">
        <v>8352</v>
      </c>
      <c r="T1349" t="s">
        <v>14004</v>
      </c>
      <c r="U1349" t="s">
        <v>14004</v>
      </c>
      <c r="V1349" t="s">
        <v>14004</v>
      </c>
      <c r="W1349" t="s">
        <v>15323</v>
      </c>
      <c r="X1349">
        <v>8</v>
      </c>
      <c r="Y1349" t="s">
        <v>22254</v>
      </c>
      <c r="Z1349" t="s">
        <v>29059</v>
      </c>
      <c r="AA1349">
        <v>0.71655008099246909</v>
      </c>
      <c r="AB1349" t="str">
        <f>HYPERLINK("Melting_Curves/meltCurve_O00399_DCTN6.pdf", "Melting_Curves/meltCurve_O00399_DCTN6.pdf")</f>
        <v>Melting_Curves/meltCurve_O00399_DCTN6.pdf</v>
      </c>
    </row>
    <row r="1350" spans="1:28" x14ac:dyDescent="0.25">
      <c r="A1350" t="s">
        <v>1354</v>
      </c>
      <c r="B1350">
        <v>0.99999676499088797</v>
      </c>
      <c r="C1350">
        <v>1.0107433215986701</v>
      </c>
      <c r="D1350">
        <v>1.0832065985780801</v>
      </c>
      <c r="E1350">
        <v>1.03003514587324</v>
      </c>
      <c r="F1350">
        <v>0.90512152305499705</v>
      </c>
      <c r="G1350">
        <v>0.72740240088101005</v>
      </c>
      <c r="H1350">
        <v>0.29807760672440498</v>
      </c>
      <c r="I1350">
        <v>0.146811318062322</v>
      </c>
      <c r="J1350">
        <v>0.135197702675387</v>
      </c>
      <c r="K1350">
        <v>0.13448298141065201</v>
      </c>
      <c r="L1350">
        <v>1769.73020013929</v>
      </c>
      <c r="M1350">
        <v>30.434691418242899</v>
      </c>
      <c r="N1350">
        <v>58.654976545225203</v>
      </c>
      <c r="O1350">
        <v>57.8991368686344</v>
      </c>
      <c r="P1350">
        <v>-0.116227063942645</v>
      </c>
      <c r="Q1350">
        <v>0.115561228345197</v>
      </c>
      <c r="R1350">
        <v>0.99278847039340801</v>
      </c>
      <c r="S1350" t="s">
        <v>8353</v>
      </c>
      <c r="T1350" t="s">
        <v>14004</v>
      </c>
      <c r="U1350" t="s">
        <v>14004</v>
      </c>
      <c r="V1350" t="s">
        <v>14004</v>
      </c>
      <c r="W1350" t="s">
        <v>15324</v>
      </c>
      <c r="X1350">
        <v>3</v>
      </c>
      <c r="Y1350" t="s">
        <v>22255</v>
      </c>
      <c r="Z1350" t="s">
        <v>29060</v>
      </c>
      <c r="AA1350">
        <v>0.65627059368262819</v>
      </c>
      <c r="AB1350" t="str">
        <f>HYPERLINK("Melting_Curves/meltCurve_O00400_SLC33A1.pdf", "Melting_Curves/meltCurve_O00400_SLC33A1.pdf")</f>
        <v>Melting_Curves/meltCurve_O00400_SLC33A1.pdf</v>
      </c>
    </row>
    <row r="1351" spans="1:28" x14ac:dyDescent="0.25">
      <c r="A1351" t="s">
        <v>1355</v>
      </c>
      <c r="B1351">
        <v>0.99999676499088797</v>
      </c>
      <c r="C1351">
        <v>0.89633862609431103</v>
      </c>
      <c r="D1351">
        <v>0.920842050815875</v>
      </c>
      <c r="E1351">
        <v>0.906633088660453</v>
      </c>
      <c r="F1351">
        <v>0.47201670934168699</v>
      </c>
      <c r="G1351">
        <v>0.24348702793004101</v>
      </c>
      <c r="H1351">
        <v>0.171420333622712</v>
      </c>
      <c r="I1351">
        <v>0.19133023824206299</v>
      </c>
      <c r="J1351">
        <v>0.18296827949442099</v>
      </c>
      <c r="K1351">
        <v>0.15790975350672401</v>
      </c>
      <c r="L1351">
        <v>1737.35971834765</v>
      </c>
      <c r="M1351">
        <v>33.183585950830697</v>
      </c>
      <c r="N1351">
        <v>53.043948244440401</v>
      </c>
      <c r="O1351">
        <v>52.166954038257202</v>
      </c>
      <c r="P1351">
        <v>-0.13121811501818101</v>
      </c>
      <c r="Q1351">
        <v>0.17486681642167001</v>
      </c>
      <c r="R1351">
        <v>0.98628745333943302</v>
      </c>
      <c r="S1351" t="s">
        <v>8354</v>
      </c>
      <c r="T1351" t="s">
        <v>14004</v>
      </c>
      <c r="U1351" t="s">
        <v>14004</v>
      </c>
      <c r="V1351" t="s">
        <v>14004</v>
      </c>
      <c r="W1351" t="s">
        <v>15325</v>
      </c>
      <c r="X1351">
        <v>4</v>
      </c>
      <c r="Y1351" t="s">
        <v>22256</v>
      </c>
      <c r="Z1351" t="s">
        <v>29061</v>
      </c>
      <c r="AA1351">
        <v>0.51905059746408388</v>
      </c>
      <c r="AB1351" t="str">
        <f>HYPERLINK("Melting_Curves/meltCurve_O00401_WASL.pdf", "Melting_Curves/meltCurve_O00401_WASL.pdf")</f>
        <v>Melting_Curves/meltCurve_O00401_WASL.pdf</v>
      </c>
    </row>
    <row r="1352" spans="1:28" x14ac:dyDescent="0.25">
      <c r="A1352" t="s">
        <v>1356</v>
      </c>
      <c r="B1352">
        <v>0.99999676499088797</v>
      </c>
      <c r="C1352">
        <v>0.93023119296769596</v>
      </c>
      <c r="D1352">
        <v>0.93221583144926201</v>
      </c>
      <c r="E1352">
        <v>0.84766852784258195</v>
      </c>
      <c r="F1352">
        <v>0.32245924426483003</v>
      </c>
      <c r="G1352">
        <v>0.158944286728261</v>
      </c>
      <c r="H1352">
        <v>7.5057943679040895E-2</v>
      </c>
      <c r="I1352">
        <v>5.7037139805030002E-2</v>
      </c>
      <c r="J1352">
        <v>5.2227899861072298E-2</v>
      </c>
      <c r="K1352">
        <v>4.6222212038513302E-2</v>
      </c>
      <c r="L1352">
        <v>1654.22429923507</v>
      </c>
      <c r="M1352">
        <v>31.910817312927499</v>
      </c>
      <c r="N1352">
        <v>52.052562523379798</v>
      </c>
      <c r="O1352">
        <v>51.636666636033503</v>
      </c>
      <c r="P1352">
        <v>-0.14501768261805301</v>
      </c>
      <c r="Q1352">
        <v>6.1359928417008103E-2</v>
      </c>
      <c r="R1352">
        <v>0.99323606710984003</v>
      </c>
      <c r="S1352" t="s">
        <v>8355</v>
      </c>
      <c r="T1352" t="s">
        <v>14004</v>
      </c>
      <c r="U1352" t="s">
        <v>14004</v>
      </c>
      <c r="V1352" t="s">
        <v>14004</v>
      </c>
      <c r="W1352" t="s">
        <v>15326</v>
      </c>
      <c r="X1352">
        <v>43</v>
      </c>
      <c r="Y1352" t="s">
        <v>22257</v>
      </c>
      <c r="Z1352" t="s">
        <v>29062</v>
      </c>
      <c r="AA1352">
        <v>0.43706799537808788</v>
      </c>
      <c r="AB1352" t="str">
        <f>HYPERLINK("Melting_Curves/meltCurve_O00410_IPO5.pdf", "Melting_Curves/meltCurve_O00410_IPO5.pdf")</f>
        <v>Melting_Curves/meltCurve_O00410_IPO5.pdf</v>
      </c>
    </row>
    <row r="1353" spans="1:28" x14ac:dyDescent="0.25">
      <c r="A1353" t="s">
        <v>1357</v>
      </c>
      <c r="B1353">
        <v>0.99999676499088797</v>
      </c>
      <c r="C1353">
        <v>0.834038331864703</v>
      </c>
      <c r="D1353">
        <v>0.420034755260486</v>
      </c>
      <c r="E1353">
        <v>0.26257193403483597</v>
      </c>
      <c r="F1353">
        <v>0.20673176418254199</v>
      </c>
      <c r="G1353">
        <v>0.14408079407680299</v>
      </c>
      <c r="H1353">
        <v>9.3042849515311596E-2</v>
      </c>
      <c r="I1353">
        <v>9.3318527206239898E-2</v>
      </c>
      <c r="J1353">
        <v>9.2312228798946794E-2</v>
      </c>
      <c r="K1353">
        <v>8.2269096993930396E-2</v>
      </c>
      <c r="L1353">
        <v>1049.7065765903501</v>
      </c>
      <c r="M1353">
        <v>23.1969018112386</v>
      </c>
      <c r="N1353">
        <v>45.764931208394302</v>
      </c>
      <c r="O1353">
        <v>44.919756428844103</v>
      </c>
      <c r="P1353">
        <v>-0.11432608430509</v>
      </c>
      <c r="Q1353">
        <v>0.11446709585294799</v>
      </c>
      <c r="R1353">
        <v>0.98508465326794603</v>
      </c>
      <c r="S1353" t="s">
        <v>8356</v>
      </c>
      <c r="T1353" t="s">
        <v>14004</v>
      </c>
      <c r="U1353" t="s">
        <v>14004</v>
      </c>
      <c r="V1353" t="s">
        <v>14004</v>
      </c>
      <c r="W1353" t="s">
        <v>15327</v>
      </c>
      <c r="X1353">
        <v>5</v>
      </c>
      <c r="Y1353" t="s">
        <v>22258</v>
      </c>
      <c r="Z1353" t="s">
        <v>29063</v>
      </c>
      <c r="AA1353">
        <v>0.27978606869578809</v>
      </c>
      <c r="AB1353" t="str">
        <f>HYPERLINK("Melting_Curves/meltCurve_O00418_EEF2K.pdf", "Melting_Curves/meltCurve_O00418_EEF2K.pdf")</f>
        <v>Melting_Curves/meltCurve_O00418_EEF2K.pdf</v>
      </c>
    </row>
    <row r="1354" spans="1:28" x14ac:dyDescent="0.25">
      <c r="A1354" t="s">
        <v>1358</v>
      </c>
      <c r="B1354">
        <v>0.99999676499088797</v>
      </c>
      <c r="C1354">
        <v>0.79105306917532303</v>
      </c>
      <c r="D1354">
        <v>0.60753204246885095</v>
      </c>
      <c r="E1354">
        <v>0.36121120264114298</v>
      </c>
      <c r="F1354">
        <v>0.23328580426569601</v>
      </c>
      <c r="G1354">
        <v>0.18262679996058101</v>
      </c>
      <c r="H1354">
        <v>0.121642070981721</v>
      </c>
      <c r="I1354">
        <v>0.22253536811260999</v>
      </c>
      <c r="J1354">
        <v>0.28036794948469601</v>
      </c>
      <c r="K1354">
        <v>0.342115200323381</v>
      </c>
      <c r="L1354">
        <v>956.303051342137</v>
      </c>
      <c r="M1354">
        <v>20.953884293129999</v>
      </c>
      <c r="N1354">
        <v>46.9739312490508</v>
      </c>
      <c r="O1354">
        <v>45.228888641874399</v>
      </c>
      <c r="P1354">
        <v>-8.9831640572579502E-2</v>
      </c>
      <c r="Q1354">
        <v>0.224415829905735</v>
      </c>
      <c r="R1354">
        <v>0.95158336124939302</v>
      </c>
      <c r="S1354" t="s">
        <v>8357</v>
      </c>
      <c r="T1354" t="s">
        <v>14004</v>
      </c>
      <c r="U1354" t="s">
        <v>14004</v>
      </c>
      <c r="V1354" t="s">
        <v>14004</v>
      </c>
      <c r="W1354" t="s">
        <v>15328</v>
      </c>
      <c r="X1354">
        <v>10</v>
      </c>
      <c r="Y1354" t="s">
        <v>22259</v>
      </c>
      <c r="Z1354" t="s">
        <v>29064</v>
      </c>
      <c r="AA1354">
        <v>0.38125297208595382</v>
      </c>
      <c r="AB1354" t="str">
        <f>HYPERLINK("Melting_Curves/meltCurve_O00422_SAP18.pdf", "Melting_Curves/meltCurve_O00422_SAP18.pdf")</f>
        <v>Melting_Curves/meltCurve_O00422_SAP18.pdf</v>
      </c>
    </row>
    <row r="1355" spans="1:28" x14ac:dyDescent="0.25">
      <c r="A1355" t="s">
        <v>1359</v>
      </c>
      <c r="B1355">
        <v>0.99999676499088797</v>
      </c>
      <c r="C1355">
        <v>0.98343747213127197</v>
      </c>
      <c r="D1355">
        <v>0.64501200483128596</v>
      </c>
      <c r="E1355">
        <v>0.37335631065160901</v>
      </c>
      <c r="F1355">
        <v>0.241343587934888</v>
      </c>
      <c r="G1355">
        <v>0.217140274450525</v>
      </c>
      <c r="H1355">
        <v>9.8114510579711697E-2</v>
      </c>
      <c r="I1355">
        <v>5.03107415559675E-2</v>
      </c>
      <c r="J1355">
        <v>2.93500211442424E-2</v>
      </c>
      <c r="K1355">
        <v>3.9613000352043203E-2</v>
      </c>
      <c r="L1355">
        <v>811.11795886204402</v>
      </c>
      <c r="M1355">
        <v>16.888234705461901</v>
      </c>
      <c r="N1355">
        <v>48.405586492776699</v>
      </c>
      <c r="O1355">
        <v>47.370331583966198</v>
      </c>
      <c r="P1355">
        <v>-8.3641296101435905E-2</v>
      </c>
      <c r="Q1355">
        <v>6.1627301185169098E-2</v>
      </c>
      <c r="R1355">
        <v>0.98002438268789205</v>
      </c>
      <c r="S1355" t="s">
        <v>8358</v>
      </c>
      <c r="T1355" t="s">
        <v>14004</v>
      </c>
      <c r="U1355" t="s">
        <v>14004</v>
      </c>
      <c r="V1355" t="s">
        <v>14004</v>
      </c>
      <c r="W1355" t="s">
        <v>15329</v>
      </c>
      <c r="X1355">
        <v>5</v>
      </c>
      <c r="Y1355" t="s">
        <v>22260</v>
      </c>
      <c r="Z1355" t="s">
        <v>29065</v>
      </c>
      <c r="AA1355">
        <v>0.33173707475850378</v>
      </c>
      <c r="AB1355" t="str">
        <f>HYPERLINK("Melting_Curves/meltCurve_O00425_IGF2BP3.pdf", "Melting_Curves/meltCurve_O00425_IGF2BP3.pdf")</f>
        <v>Melting_Curves/meltCurve_O00425_IGF2BP3.pdf</v>
      </c>
    </row>
    <row r="1356" spans="1:28" x14ac:dyDescent="0.25">
      <c r="A1356" t="s">
        <v>1360</v>
      </c>
      <c r="B1356">
        <v>0.99999676499088797</v>
      </c>
      <c r="C1356">
        <v>0.96913699547825405</v>
      </c>
      <c r="D1356">
        <v>1.0031548121396101</v>
      </c>
      <c r="E1356">
        <v>1.13304048264247</v>
      </c>
      <c r="F1356">
        <v>0.25965877111329799</v>
      </c>
      <c r="G1356">
        <v>0.20834442279977899</v>
      </c>
      <c r="H1356">
        <v>0.102449060915487</v>
      </c>
      <c r="I1356">
        <v>0.115903825343063</v>
      </c>
      <c r="J1356">
        <v>0.10737465067829501</v>
      </c>
      <c r="K1356">
        <v>9.4631245683811205E-2</v>
      </c>
      <c r="L1356">
        <v>13209.0343064872</v>
      </c>
      <c r="M1356">
        <v>250</v>
      </c>
      <c r="N1356">
        <v>52.897417573628303</v>
      </c>
      <c r="O1356">
        <v>52.832758156200697</v>
      </c>
      <c r="P1356">
        <v>-1.0342298114722901</v>
      </c>
      <c r="Q1356">
        <v>0.12574061951169199</v>
      </c>
      <c r="R1356">
        <v>0.98549343811824697</v>
      </c>
      <c r="S1356" t="s">
        <v>8359</v>
      </c>
      <c r="T1356" t="s">
        <v>14004</v>
      </c>
      <c r="U1356" t="s">
        <v>14004</v>
      </c>
      <c r="V1356" t="s">
        <v>14004</v>
      </c>
      <c r="W1356" t="s">
        <v>15330</v>
      </c>
      <c r="X1356">
        <v>32</v>
      </c>
      <c r="Y1356" t="s">
        <v>22261</v>
      </c>
      <c r="Z1356" t="s">
        <v>29066</v>
      </c>
      <c r="AA1356">
        <v>0.49989213257763188</v>
      </c>
      <c r="AB1356" t="str">
        <f>HYPERLINK("Melting_Curves/meltCurve_O00429_DNM1L.pdf", "Melting_Curves/meltCurve_O00429_DNM1L.pdf")</f>
        <v>Melting_Curves/meltCurve_O00429_DNM1L.pdf</v>
      </c>
    </row>
    <row r="1357" spans="1:28" x14ac:dyDescent="0.25">
      <c r="A1357" t="s">
        <v>1361</v>
      </c>
      <c r="B1357">
        <v>0.99999676499088797</v>
      </c>
      <c r="C1357">
        <v>1.1592603177310901</v>
      </c>
      <c r="D1357">
        <v>1.06995194789016</v>
      </c>
      <c r="E1357">
        <v>1.4042843782272001</v>
      </c>
      <c r="F1357">
        <v>0.114406499487251</v>
      </c>
      <c r="G1357">
        <v>4.4891320346225602E-2</v>
      </c>
      <c r="H1357">
        <v>0</v>
      </c>
      <c r="I1357">
        <v>0</v>
      </c>
      <c r="J1357">
        <v>0</v>
      </c>
      <c r="K1357">
        <v>3.8899636852998E-2</v>
      </c>
      <c r="L1357">
        <v>13182.7005630732</v>
      </c>
      <c r="M1357">
        <v>250</v>
      </c>
      <c r="N1357">
        <v>52.7379937957895</v>
      </c>
      <c r="O1357">
        <v>52.727436848113399</v>
      </c>
      <c r="P1357">
        <v>-1.1654773145913899</v>
      </c>
      <c r="Q1357">
        <v>1.6758064809062501E-2</v>
      </c>
      <c r="R1357">
        <v>0.93768984509579401</v>
      </c>
      <c r="S1357" t="s">
        <v>8360</v>
      </c>
      <c r="T1357" t="s">
        <v>14004</v>
      </c>
      <c r="U1357" t="s">
        <v>14004</v>
      </c>
      <c r="V1357" t="s">
        <v>14004</v>
      </c>
      <c r="W1357" t="s">
        <v>15331</v>
      </c>
      <c r="X1357">
        <v>32</v>
      </c>
      <c r="Y1357" t="s">
        <v>22261</v>
      </c>
      <c r="Z1357" t="s">
        <v>29067</v>
      </c>
      <c r="AA1357">
        <v>0.43409767716182912</v>
      </c>
      <c r="AB1357" t="str">
        <f>HYPERLINK("Melting_Curves/meltCurve_O00429_2_DNM1L.pdf", "Melting_Curves/meltCurve_O00429_2_DNM1L.pdf")</f>
        <v>Melting_Curves/meltCurve_O00429_2_DNM1L.pdf</v>
      </c>
    </row>
    <row r="1358" spans="1:28" x14ac:dyDescent="0.25">
      <c r="A1358" t="s">
        <v>1362</v>
      </c>
      <c r="B1358">
        <v>0.99999676499088797</v>
      </c>
      <c r="C1358">
        <v>0.82483432248025101</v>
      </c>
      <c r="D1358">
        <v>0.860344234819997</v>
      </c>
      <c r="E1358">
        <v>0.87107474233442195</v>
      </c>
      <c r="F1358">
        <v>0.17622730766311001</v>
      </c>
      <c r="G1358">
        <v>0.18607036425342599</v>
      </c>
      <c r="H1358">
        <v>0.109466851450977</v>
      </c>
      <c r="I1358">
        <v>0.129098482908761</v>
      </c>
      <c r="J1358">
        <v>8.9593650028212804E-2</v>
      </c>
      <c r="K1358">
        <v>0.104392656788416</v>
      </c>
      <c r="L1358">
        <v>3183.1063629923001</v>
      </c>
      <c r="M1358">
        <v>62.447453858917399</v>
      </c>
      <c r="N1358">
        <v>51.202708154763002</v>
      </c>
      <c r="O1358">
        <v>50.9203601265936</v>
      </c>
      <c r="P1358">
        <v>-0.26907847232169202</v>
      </c>
      <c r="Q1358">
        <v>0.12236175999398601</v>
      </c>
      <c r="R1358">
        <v>0.96038707987565797</v>
      </c>
      <c r="S1358" t="s">
        <v>8361</v>
      </c>
      <c r="T1358" t="s">
        <v>14004</v>
      </c>
      <c r="U1358" t="s">
        <v>14004</v>
      </c>
      <c r="V1358" t="s">
        <v>14004</v>
      </c>
      <c r="W1358" t="s">
        <v>15332</v>
      </c>
      <c r="X1358">
        <v>33</v>
      </c>
      <c r="Y1358" t="s">
        <v>22261</v>
      </c>
      <c r="Z1358" t="s">
        <v>29068</v>
      </c>
      <c r="AA1358">
        <v>0.44462208525052488</v>
      </c>
      <c r="AB1358" t="str">
        <f>HYPERLINK("Melting_Curves/meltCurve_O00429_3_DNM1L.pdf", "Melting_Curves/meltCurve_O00429_3_DNM1L.pdf")</f>
        <v>Melting_Curves/meltCurve_O00429_3_DNM1L.pdf</v>
      </c>
    </row>
    <row r="1359" spans="1:28" x14ac:dyDescent="0.25">
      <c r="A1359" t="s">
        <v>1363</v>
      </c>
      <c r="B1359">
        <v>0.99999676499088797</v>
      </c>
      <c r="C1359">
        <v>1.2460319311503001</v>
      </c>
      <c r="D1359">
        <v>1.03048275171213</v>
      </c>
      <c r="E1359">
        <v>1.1086708305031201</v>
      </c>
      <c r="F1359">
        <v>0.34707950284312</v>
      </c>
      <c r="G1359">
        <v>0.12125628785353799</v>
      </c>
      <c r="H1359">
        <v>0.107191910639534</v>
      </c>
      <c r="I1359">
        <v>5.6094356390870397E-2</v>
      </c>
      <c r="J1359">
        <v>0.128446944955212</v>
      </c>
      <c r="K1359">
        <v>0</v>
      </c>
      <c r="L1359">
        <v>13251.924039780501</v>
      </c>
      <c r="M1359">
        <v>250</v>
      </c>
      <c r="N1359">
        <v>53.046007796660703</v>
      </c>
      <c r="O1359">
        <v>53.004304177056703</v>
      </c>
      <c r="P1359">
        <v>-1.0817542710721899</v>
      </c>
      <c r="Q1359">
        <v>8.2597884965547499E-2</v>
      </c>
      <c r="R1359">
        <v>0.96402377208847101</v>
      </c>
      <c r="S1359" t="s">
        <v>8362</v>
      </c>
      <c r="T1359" t="s">
        <v>14004</v>
      </c>
      <c r="U1359" t="s">
        <v>14004</v>
      </c>
      <c r="V1359" t="s">
        <v>14004</v>
      </c>
      <c r="W1359" t="s">
        <v>15333</v>
      </c>
      <c r="X1359">
        <v>33</v>
      </c>
      <c r="Y1359" t="s">
        <v>22261</v>
      </c>
      <c r="Z1359" t="s">
        <v>29069</v>
      </c>
      <c r="AA1359">
        <v>0.48045949436103491</v>
      </c>
      <c r="AB1359" t="str">
        <f>HYPERLINK("Melting_Curves/meltCurve_O00429_4_DNM1L.pdf", "Melting_Curves/meltCurve_O00429_4_DNM1L.pdf")</f>
        <v>Melting_Curves/meltCurve_O00429_4_DNM1L.pdf</v>
      </c>
    </row>
    <row r="1360" spans="1:28" x14ac:dyDescent="0.25">
      <c r="A1360" t="s">
        <v>1364</v>
      </c>
      <c r="B1360">
        <v>0.99999676499088797</v>
      </c>
      <c r="C1360">
        <v>1.06630173947505</v>
      </c>
      <c r="D1360">
        <v>1.07288529678726</v>
      </c>
      <c r="E1360">
        <v>1.0944498632359101</v>
      </c>
      <c r="F1360">
        <v>0.74315972684912202</v>
      </c>
      <c r="G1360">
        <v>0.429635027040976</v>
      </c>
      <c r="H1360">
        <v>0.15584193569535801</v>
      </c>
      <c r="I1360">
        <v>9.1210777776112306E-2</v>
      </c>
      <c r="J1360">
        <v>7.04804289261661E-2</v>
      </c>
      <c r="K1360">
        <v>6.8108135905108905E-2</v>
      </c>
      <c r="L1360">
        <v>1535.87930117051</v>
      </c>
      <c r="M1360">
        <v>27.587398204426101</v>
      </c>
      <c r="N1360">
        <v>55.968562901439</v>
      </c>
      <c r="O1360">
        <v>55.383157423033801</v>
      </c>
      <c r="P1360">
        <v>-0.116095247666495</v>
      </c>
      <c r="Q1360">
        <v>6.7739247381364998E-2</v>
      </c>
      <c r="R1360">
        <v>0.98467299464819003</v>
      </c>
      <c r="S1360" t="s">
        <v>8363</v>
      </c>
      <c r="T1360" t="s">
        <v>14004</v>
      </c>
      <c r="U1360" t="s">
        <v>14004</v>
      </c>
      <c r="V1360" t="s">
        <v>14004</v>
      </c>
      <c r="W1360" t="s">
        <v>15334</v>
      </c>
      <c r="X1360">
        <v>15</v>
      </c>
      <c r="Y1360" t="s">
        <v>22262</v>
      </c>
      <c r="Z1360" t="s">
        <v>29070</v>
      </c>
      <c r="AA1360">
        <v>0.56202450821179062</v>
      </c>
      <c r="AB1360" t="str">
        <f>HYPERLINK("Melting_Curves/meltCurve_O00442_RTCA.pdf", "Melting_Curves/meltCurve_O00442_RTCA.pdf")</f>
        <v>Melting_Curves/meltCurve_O00442_RTCA.pdf</v>
      </c>
    </row>
    <row r="1361" spans="1:28" x14ac:dyDescent="0.25">
      <c r="A1361" t="s">
        <v>1365</v>
      </c>
      <c r="B1361">
        <v>0.99999676499088797</v>
      </c>
      <c r="C1361">
        <v>0.88875160728977698</v>
      </c>
      <c r="D1361">
        <v>0.81941835180242995</v>
      </c>
      <c r="E1361">
        <v>0.57835573305924703</v>
      </c>
      <c r="F1361">
        <v>0.21419419779464</v>
      </c>
      <c r="G1361">
        <v>0.17966591516854299</v>
      </c>
      <c r="H1361">
        <v>6.7544510662847099E-2</v>
      </c>
      <c r="I1361">
        <v>6.9740274412213296E-2</v>
      </c>
      <c r="J1361">
        <v>5.0182658452968702E-2</v>
      </c>
      <c r="K1361">
        <v>4.8619785382634097E-2</v>
      </c>
      <c r="L1361">
        <v>870.24314706821099</v>
      </c>
      <c r="M1361">
        <v>17.483374376655501</v>
      </c>
      <c r="N1361">
        <v>50.026493080601497</v>
      </c>
      <c r="O1361">
        <v>49.137961433962303</v>
      </c>
      <c r="P1361">
        <v>-8.5219659732206701E-2</v>
      </c>
      <c r="Q1361">
        <v>4.1995318205102501E-2</v>
      </c>
      <c r="R1361">
        <v>0.99199316048464503</v>
      </c>
      <c r="S1361" t="s">
        <v>8364</v>
      </c>
      <c r="T1361" t="s">
        <v>14004</v>
      </c>
      <c r="U1361" t="s">
        <v>14004</v>
      </c>
      <c r="V1361" t="s">
        <v>14004</v>
      </c>
      <c r="W1361" t="s">
        <v>15335</v>
      </c>
      <c r="X1361">
        <v>5</v>
      </c>
      <c r="Y1361" t="s">
        <v>22263</v>
      </c>
      <c r="Z1361" t="s">
        <v>29071</v>
      </c>
      <c r="AA1361">
        <v>0.37148540632919108</v>
      </c>
      <c r="AB1361" t="str">
        <f>HYPERLINK("Melting_Curves/meltCurve_O00459_PIK3R2.pdf", "Melting_Curves/meltCurve_O00459_PIK3R2.pdf")</f>
        <v>Melting_Curves/meltCurve_O00459_PIK3R2.pdf</v>
      </c>
    </row>
    <row r="1362" spans="1:28" x14ac:dyDescent="0.25">
      <c r="A1362" t="s">
        <v>1366</v>
      </c>
      <c r="B1362">
        <v>0.99999676499088797</v>
      </c>
      <c r="C1362">
        <v>1.02348077269157</v>
      </c>
      <c r="D1362">
        <v>1.05752813770956</v>
      </c>
      <c r="E1362">
        <v>1.1873403112796601</v>
      </c>
      <c r="F1362">
        <v>1.10386544080435</v>
      </c>
      <c r="G1362">
        <v>0.71355584906901603</v>
      </c>
      <c r="H1362">
        <v>0.30261672133767797</v>
      </c>
      <c r="I1362">
        <v>0.16073621989708001</v>
      </c>
      <c r="J1362">
        <v>0.12362954082351101</v>
      </c>
      <c r="K1362">
        <v>0.105225194870482</v>
      </c>
      <c r="L1362">
        <v>2165.9583106293499</v>
      </c>
      <c r="M1362">
        <v>37.190590679517697</v>
      </c>
      <c r="N1362">
        <v>58.683120129629103</v>
      </c>
      <c r="O1362">
        <v>58.071800309078299</v>
      </c>
      <c r="P1362">
        <v>-0.14048377301523601</v>
      </c>
      <c r="Q1362">
        <v>0.12256057530221499</v>
      </c>
      <c r="R1362">
        <v>0.96814935455100304</v>
      </c>
      <c r="S1362" t="s">
        <v>8365</v>
      </c>
      <c r="T1362" t="s">
        <v>14004</v>
      </c>
      <c r="U1362" t="s">
        <v>14004</v>
      </c>
      <c r="V1362" t="s">
        <v>14004</v>
      </c>
      <c r="W1362" t="s">
        <v>15336</v>
      </c>
      <c r="X1362">
        <v>10</v>
      </c>
      <c r="Y1362" t="s">
        <v>22264</v>
      </c>
      <c r="Z1362" t="s">
        <v>29072</v>
      </c>
      <c r="AA1362">
        <v>0.65998268981573116</v>
      </c>
      <c r="AB1362" t="str">
        <f>HYPERLINK("Melting_Curves/meltCurve_O00462_MANBA.pdf", "Melting_Curves/meltCurve_O00462_MANBA.pdf")</f>
        <v>Melting_Curves/meltCurve_O00462_MANBA.pdf</v>
      </c>
    </row>
    <row r="1363" spans="1:28" x14ac:dyDescent="0.25">
      <c r="A1363" t="s">
        <v>1367</v>
      </c>
      <c r="B1363">
        <v>0.99999676499088797</v>
      </c>
      <c r="C1363">
        <v>1.05931736182118</v>
      </c>
      <c r="D1363">
        <v>0.74635839061544795</v>
      </c>
      <c r="E1363">
        <v>0.35554230213464</v>
      </c>
      <c r="F1363">
        <v>0.43460465621781802</v>
      </c>
      <c r="G1363">
        <v>0.28749982367250898</v>
      </c>
      <c r="H1363">
        <v>0.14784154211304801</v>
      </c>
      <c r="I1363">
        <v>0.127685501007303</v>
      </c>
      <c r="J1363">
        <v>9.5231160021007996E-2</v>
      </c>
      <c r="K1363">
        <v>0.11565942658013301</v>
      </c>
      <c r="L1363">
        <v>809.20567766238798</v>
      </c>
      <c r="M1363">
        <v>16.622513363140801</v>
      </c>
      <c r="N1363">
        <v>49.6067036006161</v>
      </c>
      <c r="O1363">
        <v>47.9931123225508</v>
      </c>
      <c r="P1363">
        <v>-7.5050159507130801E-2</v>
      </c>
      <c r="Q1363">
        <v>0.13330854560695701</v>
      </c>
      <c r="R1363">
        <v>0.94353937595355697</v>
      </c>
      <c r="S1363" t="s">
        <v>8366</v>
      </c>
      <c r="T1363" t="s">
        <v>14004</v>
      </c>
      <c r="U1363" t="s">
        <v>14004</v>
      </c>
      <c r="V1363" t="s">
        <v>14004</v>
      </c>
      <c r="W1363" t="s">
        <v>15337</v>
      </c>
      <c r="X1363">
        <v>2</v>
      </c>
      <c r="Y1363" t="s">
        <v>22265</v>
      </c>
      <c r="Z1363" t="s">
        <v>29073</v>
      </c>
      <c r="AA1363">
        <v>0.40183298777799892</v>
      </c>
      <c r="AB1363" t="str">
        <f>HYPERLINK("Melting_Curves/meltCurve_O00463_TRAF5.pdf", "Melting_Curves/meltCurve_O00463_TRAF5.pdf")</f>
        <v>Melting_Curves/meltCurve_O00463_TRAF5.pdf</v>
      </c>
    </row>
    <row r="1364" spans="1:28" x14ac:dyDescent="0.25">
      <c r="A1364" t="s">
        <v>1368</v>
      </c>
      <c r="B1364">
        <v>0.99999676499088797</v>
      </c>
      <c r="C1364">
        <v>0.88860140878290195</v>
      </c>
      <c r="D1364">
        <v>0.78895094204416605</v>
      </c>
      <c r="E1364">
        <v>0.33879638017306202</v>
      </c>
      <c r="F1364">
        <v>0.22923560360491799</v>
      </c>
      <c r="G1364">
        <v>0.14694765107812999</v>
      </c>
      <c r="H1364">
        <v>8.1069492638694604E-2</v>
      </c>
      <c r="I1364">
        <v>7.8545258727335102E-2</v>
      </c>
      <c r="J1364">
        <v>7.4556646621831604E-2</v>
      </c>
      <c r="K1364">
        <v>4.9496724108277997E-2</v>
      </c>
      <c r="L1364">
        <v>984.86253106550703</v>
      </c>
      <c r="M1364">
        <v>20.483552842435099</v>
      </c>
      <c r="N1364">
        <v>48.468412161603197</v>
      </c>
      <c r="O1364">
        <v>47.629407029443698</v>
      </c>
      <c r="P1364">
        <v>-9.9392257815428306E-2</v>
      </c>
      <c r="Q1364">
        <v>7.5579072892896698E-2</v>
      </c>
      <c r="R1364">
        <v>0.99102205235072904</v>
      </c>
      <c r="S1364" t="s">
        <v>8367</v>
      </c>
      <c r="T1364" t="s">
        <v>14004</v>
      </c>
      <c r="U1364" t="s">
        <v>14004</v>
      </c>
      <c r="V1364" t="s">
        <v>14004</v>
      </c>
      <c r="W1364" t="s">
        <v>15338</v>
      </c>
      <c r="X1364">
        <v>15</v>
      </c>
      <c r="Y1364" t="s">
        <v>22266</v>
      </c>
      <c r="Z1364" t="s">
        <v>29074</v>
      </c>
      <c r="AA1364">
        <v>0.3370460854195006</v>
      </c>
      <c r="AB1364" t="str">
        <f>HYPERLINK("Melting_Curves/meltCurve_O00471_EXOC5.pdf", "Melting_Curves/meltCurve_O00471_EXOC5.pdf")</f>
        <v>Melting_Curves/meltCurve_O00471_EXOC5.pdf</v>
      </c>
    </row>
    <row r="1365" spans="1:28" x14ac:dyDescent="0.25">
      <c r="A1365" t="s">
        <v>1369</v>
      </c>
      <c r="B1365">
        <v>0.99999676499088797</v>
      </c>
      <c r="C1365">
        <v>1.0314063079753699</v>
      </c>
      <c r="D1365">
        <v>1.09311074262435</v>
      </c>
      <c r="E1365">
        <v>0.73972168588223097</v>
      </c>
      <c r="F1365">
        <v>0.53671999984491003</v>
      </c>
      <c r="G1365">
        <v>0.63601374502034702</v>
      </c>
      <c r="H1365">
        <v>0.45657364472963002</v>
      </c>
      <c r="I1365">
        <v>0.57859048108563904</v>
      </c>
      <c r="J1365">
        <v>0.62399443062786597</v>
      </c>
      <c r="K1365">
        <v>0.47147556799606</v>
      </c>
      <c r="L1365">
        <v>12384.169848163099</v>
      </c>
      <c r="M1365">
        <v>250</v>
      </c>
      <c r="O1365">
        <v>49.533511242480301</v>
      </c>
      <c r="P1365">
        <v>-0.56708920018942599</v>
      </c>
      <c r="Q1365">
        <v>0.55056130910362699</v>
      </c>
      <c r="R1365">
        <v>0.92553379462588303</v>
      </c>
      <c r="S1365" t="s">
        <v>8368</v>
      </c>
      <c r="T1365" t="s">
        <v>14004</v>
      </c>
      <c r="U1365" t="s">
        <v>14004</v>
      </c>
      <c r="V1365" t="s">
        <v>14004</v>
      </c>
      <c r="W1365" t="s">
        <v>15339</v>
      </c>
      <c r="X1365">
        <v>6</v>
      </c>
      <c r="Y1365" t="s">
        <v>22267</v>
      </c>
      <c r="Z1365" t="s">
        <v>29075</v>
      </c>
      <c r="AA1365">
        <v>0.69347213827562348</v>
      </c>
      <c r="AB1365" t="str">
        <f>HYPERLINK("Melting_Curves/meltCurve_O00479_HMGN4.pdf", "Melting_Curves/meltCurve_O00479_HMGN4.pdf")</f>
        <v>Melting_Curves/meltCurve_O00479_HMGN4.pdf</v>
      </c>
    </row>
    <row r="1366" spans="1:28" x14ac:dyDescent="0.25">
      <c r="A1366" t="s">
        <v>1370</v>
      </c>
      <c r="B1366">
        <v>0.99999676499088797</v>
      </c>
      <c r="C1366">
        <v>0.98393429151455702</v>
      </c>
      <c r="D1366">
        <v>0.809172254839715</v>
      </c>
      <c r="E1366">
        <v>0.697703962082316</v>
      </c>
      <c r="F1366">
        <v>0.30417766584150602</v>
      </c>
      <c r="G1366">
        <v>0.20458573735295699</v>
      </c>
      <c r="H1366">
        <v>5.6291400500911498E-2</v>
      </c>
      <c r="I1366">
        <v>6.8711477659234493E-2</v>
      </c>
      <c r="J1366">
        <v>5.8362335456878599E-2</v>
      </c>
      <c r="K1366">
        <v>6.1298880268593502E-2</v>
      </c>
      <c r="L1366">
        <v>899.36104995879202</v>
      </c>
      <c r="M1366">
        <v>17.643198615226598</v>
      </c>
      <c r="N1366">
        <v>51.212687931455498</v>
      </c>
      <c r="O1366">
        <v>50.3336093594611</v>
      </c>
      <c r="P1366">
        <v>-8.4190120483504993E-2</v>
      </c>
      <c r="Q1366">
        <v>3.93202531116848E-2</v>
      </c>
      <c r="R1366">
        <v>0.990892941435498</v>
      </c>
      <c r="S1366" t="s">
        <v>8369</v>
      </c>
      <c r="T1366" t="s">
        <v>14004</v>
      </c>
      <c r="U1366" t="s">
        <v>14004</v>
      </c>
      <c r="V1366" t="s">
        <v>14004</v>
      </c>
      <c r="W1366" t="s">
        <v>15340</v>
      </c>
      <c r="X1366">
        <v>2</v>
      </c>
      <c r="Y1366" t="s">
        <v>22268</v>
      </c>
      <c r="Z1366" t="s">
        <v>29076</v>
      </c>
      <c r="AA1366">
        <v>0.40755244825487791</v>
      </c>
      <c r="AB1366" t="str">
        <f>HYPERLINK("Melting_Curves/meltCurve_O00481_BTN3A1.pdf", "Melting_Curves/meltCurve_O00481_BTN3A1.pdf")</f>
        <v>Melting_Curves/meltCurve_O00481_BTN3A1.pdf</v>
      </c>
    </row>
    <row r="1367" spans="1:28" x14ac:dyDescent="0.25">
      <c r="A1367" t="s">
        <v>1371</v>
      </c>
      <c r="B1367">
        <v>0.99999676499088797</v>
      </c>
      <c r="C1367">
        <v>1.08402897860764</v>
      </c>
      <c r="D1367">
        <v>1.0445931939416699</v>
      </c>
      <c r="E1367">
        <v>0.920085252882065</v>
      </c>
      <c r="F1367">
        <v>0.69751361925924305</v>
      </c>
      <c r="G1367">
        <v>0.67710560421375798</v>
      </c>
      <c r="H1367">
        <v>0.478274979810419</v>
      </c>
      <c r="I1367">
        <v>0.47416112948098199</v>
      </c>
      <c r="J1367">
        <v>0.39337487629170198</v>
      </c>
      <c r="K1367">
        <v>0.34434461142938799</v>
      </c>
      <c r="L1367">
        <v>811.46239811314399</v>
      </c>
      <c r="M1367">
        <v>14.560537232062799</v>
      </c>
      <c r="N1367">
        <v>60.576789225011602</v>
      </c>
      <c r="O1367">
        <v>54.710702029779199</v>
      </c>
      <c r="P1367">
        <v>-4.3649486458397203E-2</v>
      </c>
      <c r="Q1367">
        <v>0.34402897172847602</v>
      </c>
      <c r="R1367">
        <v>0.96310063013285496</v>
      </c>
      <c r="S1367" t="s">
        <v>8370</v>
      </c>
      <c r="T1367" t="s">
        <v>14004</v>
      </c>
      <c r="U1367" t="s">
        <v>14004</v>
      </c>
      <c r="V1367" t="s">
        <v>14004</v>
      </c>
      <c r="W1367" t="s">
        <v>15341</v>
      </c>
      <c r="X1367">
        <v>8</v>
      </c>
      <c r="Y1367" t="s">
        <v>22269</v>
      </c>
      <c r="Z1367" t="s">
        <v>29077</v>
      </c>
      <c r="AA1367">
        <v>0.70023290600808907</v>
      </c>
      <c r="AB1367" t="str">
        <f>HYPERLINK("Melting_Curves/meltCurve_O00483_NDUFA4.pdf", "Melting_Curves/meltCurve_O00483_NDUFA4.pdf")</f>
        <v>Melting_Curves/meltCurve_O00483_NDUFA4.pdf</v>
      </c>
    </row>
    <row r="1368" spans="1:28" x14ac:dyDescent="0.25">
      <c r="A1368" t="s">
        <v>1372</v>
      </c>
      <c r="B1368">
        <v>0.99999676499088797</v>
      </c>
      <c r="C1368">
        <v>1.0279065757885999</v>
      </c>
      <c r="D1368">
        <v>1.04589734215462</v>
      </c>
      <c r="E1368">
        <v>1.0440857457099999</v>
      </c>
      <c r="F1368">
        <v>0.841611951144277</v>
      </c>
      <c r="G1368">
        <v>0.463097844383841</v>
      </c>
      <c r="H1368">
        <v>9.5554325285468006E-2</v>
      </c>
      <c r="I1368">
        <v>9.4694317617411997E-2</v>
      </c>
      <c r="J1368">
        <v>9.0045344366145405E-2</v>
      </c>
      <c r="K1368">
        <v>8.0151047866229105E-2</v>
      </c>
      <c r="L1368">
        <v>1893.13585664017</v>
      </c>
      <c r="M1368">
        <v>33.748953241853201</v>
      </c>
      <c r="N1368">
        <v>56.356945804748101</v>
      </c>
      <c r="O1368">
        <v>55.898802307286601</v>
      </c>
      <c r="P1368">
        <v>-0.13996743433747599</v>
      </c>
      <c r="Q1368">
        <v>7.26847234393624E-2</v>
      </c>
      <c r="R1368">
        <v>0.99493823778375901</v>
      </c>
      <c r="S1368" t="s">
        <v>8371</v>
      </c>
      <c r="T1368" t="s">
        <v>14004</v>
      </c>
      <c r="U1368" t="s">
        <v>14004</v>
      </c>
      <c r="V1368" t="s">
        <v>14004</v>
      </c>
      <c r="W1368" t="s">
        <v>15342</v>
      </c>
      <c r="X1368">
        <v>9</v>
      </c>
      <c r="Y1368" t="s">
        <v>22270</v>
      </c>
      <c r="Z1368" t="s">
        <v>29078</v>
      </c>
      <c r="AA1368">
        <v>0.57514325020089141</v>
      </c>
      <c r="AB1368" t="str">
        <f>HYPERLINK("Melting_Curves/meltCurve_O00487_PSMD14.pdf", "Melting_Curves/meltCurve_O00487_PSMD14.pdf")</f>
        <v>Melting_Curves/meltCurve_O00487_PSMD14.pdf</v>
      </c>
    </row>
    <row r="1369" spans="1:28" x14ac:dyDescent="0.25">
      <c r="A1369" t="s">
        <v>1373</v>
      </c>
      <c r="B1369">
        <v>0.99999676499088797</v>
      </c>
      <c r="C1369">
        <v>0.84538624570152798</v>
      </c>
      <c r="D1369">
        <v>0.89420914211110702</v>
      </c>
      <c r="E1369">
        <v>0.77865422609388302</v>
      </c>
      <c r="F1369">
        <v>0.52892978869288898</v>
      </c>
      <c r="G1369">
        <v>0.43022132826586501</v>
      </c>
      <c r="H1369">
        <v>0.35107952847068602</v>
      </c>
      <c r="I1369">
        <v>0.54005920123112505</v>
      </c>
      <c r="J1369">
        <v>0.68972268770485401</v>
      </c>
      <c r="K1369">
        <v>0.63723485086899001</v>
      </c>
      <c r="L1369">
        <v>1185.40309510829</v>
      </c>
      <c r="M1369">
        <v>24.337426803898801</v>
      </c>
      <c r="O1369">
        <v>48.3817107707304</v>
      </c>
      <c r="P1369">
        <v>-5.9812093996916997E-2</v>
      </c>
      <c r="Q1369">
        <v>0.52439192665364198</v>
      </c>
      <c r="R1369">
        <v>0.726170664451534</v>
      </c>
      <c r="S1369" t="s">
        <v>8372</v>
      </c>
      <c r="T1369" t="s">
        <v>14004</v>
      </c>
      <c r="U1369" t="s">
        <v>14004</v>
      </c>
      <c r="V1369" t="s">
        <v>14004</v>
      </c>
      <c r="W1369" t="s">
        <v>15343</v>
      </c>
      <c r="X1369">
        <v>6</v>
      </c>
      <c r="Y1369" t="s">
        <v>22271</v>
      </c>
      <c r="Z1369" t="s">
        <v>29079</v>
      </c>
      <c r="AA1369">
        <v>0.66687859323723986</v>
      </c>
      <c r="AB1369" t="str">
        <f>HYPERLINK("Melting_Curves/meltCurve_O00488_ZNF593.pdf", "Melting_Curves/meltCurve_O00488_ZNF593.pdf")</f>
        <v>Melting_Curves/meltCurve_O00488_ZNF593.pdf</v>
      </c>
    </row>
    <row r="1370" spans="1:28" x14ac:dyDescent="0.25">
      <c r="A1370" t="s">
        <v>1374</v>
      </c>
      <c r="B1370">
        <v>0.99999676499088797</v>
      </c>
      <c r="C1370">
        <v>0.97312094369701596</v>
      </c>
      <c r="D1370">
        <v>0.95649456868638805</v>
      </c>
      <c r="E1370">
        <v>0.83852297904314699</v>
      </c>
      <c r="F1370">
        <v>0.32985077202077201</v>
      </c>
      <c r="G1370">
        <v>0.24002202557267399</v>
      </c>
      <c r="H1370">
        <v>0.15025451692876499</v>
      </c>
      <c r="I1370">
        <v>0.16872903040878501</v>
      </c>
      <c r="J1370">
        <v>0.18892655882338699</v>
      </c>
      <c r="K1370">
        <v>0.21058604018215199</v>
      </c>
      <c r="L1370">
        <v>2046.5820931253299</v>
      </c>
      <c r="M1370">
        <v>39.926319424328099</v>
      </c>
      <c r="N1370">
        <v>51.865431513552799</v>
      </c>
      <c r="O1370">
        <v>51.130886304819697</v>
      </c>
      <c r="P1370">
        <v>-0.15880583256251701</v>
      </c>
      <c r="Q1370">
        <v>0.186514941509835</v>
      </c>
      <c r="R1370">
        <v>0.99552791279988895</v>
      </c>
      <c r="S1370" t="s">
        <v>8373</v>
      </c>
      <c r="T1370" t="s">
        <v>14004</v>
      </c>
      <c r="U1370" t="s">
        <v>14004</v>
      </c>
      <c r="V1370" t="s">
        <v>14004</v>
      </c>
      <c r="W1370" t="s">
        <v>15344</v>
      </c>
      <c r="X1370">
        <v>19</v>
      </c>
      <c r="Y1370" t="s">
        <v>22272</v>
      </c>
      <c r="Z1370" t="s">
        <v>29080</v>
      </c>
      <c r="AA1370">
        <v>0.49470769431158862</v>
      </c>
      <c r="AB1370" t="str">
        <f>HYPERLINK("Melting_Curves/meltCurve_O00499_6_BIN1.pdf", "Melting_Curves/meltCurve_O00499_6_BIN1.pdf")</f>
        <v>Melting_Curves/meltCurve_O00499_6_BIN1.pdf</v>
      </c>
    </row>
    <row r="1371" spans="1:28" x14ac:dyDescent="0.25">
      <c r="A1371" t="s">
        <v>1375</v>
      </c>
      <c r="B1371">
        <v>0.99999676499088797</v>
      </c>
      <c r="C1371">
        <v>0.98793987439337105</v>
      </c>
      <c r="D1371">
        <v>0.96989762646090505</v>
      </c>
      <c r="E1371">
        <v>1.02327986065192</v>
      </c>
      <c r="F1371">
        <v>0.52679550120571195</v>
      </c>
      <c r="G1371">
        <v>0.181482797130534</v>
      </c>
      <c r="H1371">
        <v>6.9510698075657795E-2</v>
      </c>
      <c r="I1371">
        <v>4.4223037976674401E-2</v>
      </c>
      <c r="J1371">
        <v>3.1663583635787799E-2</v>
      </c>
      <c r="K1371">
        <v>3.1029356828427002E-2</v>
      </c>
      <c r="L1371">
        <v>2034.2659720433901</v>
      </c>
      <c r="M1371">
        <v>38.104170939347497</v>
      </c>
      <c r="N1371">
        <v>53.531772865099903</v>
      </c>
      <c r="O1371">
        <v>53.240541001226099</v>
      </c>
      <c r="P1371">
        <v>-0.17016255148783299</v>
      </c>
      <c r="Q1371">
        <v>4.8972762325836298E-2</v>
      </c>
      <c r="R1371">
        <v>0.99483833425457502</v>
      </c>
      <c r="S1371" t="s">
        <v>8374</v>
      </c>
      <c r="T1371" t="s">
        <v>14004</v>
      </c>
      <c r="U1371" t="s">
        <v>14004</v>
      </c>
      <c r="V1371" t="s">
        <v>14004</v>
      </c>
      <c r="W1371" t="s">
        <v>15345</v>
      </c>
      <c r="X1371">
        <v>13</v>
      </c>
      <c r="Y1371" t="s">
        <v>22273</v>
      </c>
      <c r="Z1371" t="s">
        <v>29081</v>
      </c>
      <c r="AA1371">
        <v>0.47721409055378</v>
      </c>
      <c r="AB1371" t="str">
        <f>HYPERLINK("Melting_Curves/meltCurve_O00505_KPNA3.pdf", "Melting_Curves/meltCurve_O00505_KPNA3.pdf")</f>
        <v>Melting_Curves/meltCurve_O00505_KPNA3.pdf</v>
      </c>
    </row>
    <row r="1372" spans="1:28" x14ac:dyDescent="0.25">
      <c r="A1372" t="s">
        <v>1376</v>
      </c>
      <c r="B1372">
        <v>0.99999676499088797</v>
      </c>
      <c r="C1372">
        <v>1.0054150002923901</v>
      </c>
      <c r="D1372">
        <v>0.98962257454404601</v>
      </c>
      <c r="E1372">
        <v>1.2070978906005601</v>
      </c>
      <c r="F1372">
        <v>0.64618425880695896</v>
      </c>
      <c r="G1372">
        <v>0.21582893831872799</v>
      </c>
      <c r="H1372">
        <v>7.0650317721146605E-2</v>
      </c>
      <c r="I1372">
        <v>5.4517885651866799E-2</v>
      </c>
      <c r="J1372">
        <v>5.5854738906753701E-2</v>
      </c>
      <c r="K1372">
        <v>8.4863134357452998E-3</v>
      </c>
      <c r="L1372">
        <v>2281.5195089876001</v>
      </c>
      <c r="M1372">
        <v>42.158509837708799</v>
      </c>
      <c r="N1372">
        <v>54.261713280590698</v>
      </c>
      <c r="O1372">
        <v>53.996310123482701</v>
      </c>
      <c r="P1372">
        <v>-0.18485749886880101</v>
      </c>
      <c r="Q1372">
        <v>5.2945063754459502E-2</v>
      </c>
      <c r="R1372">
        <v>0.97309207733771697</v>
      </c>
      <c r="S1372" t="s">
        <v>8375</v>
      </c>
      <c r="T1372" t="s">
        <v>14004</v>
      </c>
      <c r="U1372" t="s">
        <v>14004</v>
      </c>
      <c r="V1372" t="s">
        <v>14004</v>
      </c>
      <c r="W1372" t="s">
        <v>15346</v>
      </c>
      <c r="X1372">
        <v>5</v>
      </c>
      <c r="Y1372" t="s">
        <v>22274</v>
      </c>
      <c r="Z1372" t="s">
        <v>29082</v>
      </c>
      <c r="AA1372">
        <v>0.50180033531626311</v>
      </c>
      <c r="AB1372" t="str">
        <f>HYPERLINK("Melting_Curves/meltCurve_O00506_STK25.pdf", "Melting_Curves/meltCurve_O00506_STK25.pdf")</f>
        <v>Melting_Curves/meltCurve_O00506_STK25.pdf</v>
      </c>
    </row>
    <row r="1373" spans="1:28" x14ac:dyDescent="0.25">
      <c r="A1373" t="s">
        <v>1377</v>
      </c>
      <c r="B1373">
        <v>0.99999676499088797</v>
      </c>
      <c r="C1373">
        <v>0.95101546223630296</v>
      </c>
      <c r="D1373">
        <v>0.94329379551600601</v>
      </c>
      <c r="E1373">
        <v>0.886254722852719</v>
      </c>
      <c r="F1373">
        <v>0.62139455960337198</v>
      </c>
      <c r="G1373">
        <v>0.53641201319637499</v>
      </c>
      <c r="H1373">
        <v>0.30704111145289098</v>
      </c>
      <c r="I1373">
        <v>0.378398893153292</v>
      </c>
      <c r="J1373">
        <v>0.363944180480338</v>
      </c>
      <c r="K1373">
        <v>0.42123305602692301</v>
      </c>
      <c r="L1373">
        <v>1109.27468934378</v>
      </c>
      <c r="M1373">
        <v>21.066718972885202</v>
      </c>
      <c r="N1373">
        <v>56.110031998464201</v>
      </c>
      <c r="O1373">
        <v>52.187743588056499</v>
      </c>
      <c r="P1373">
        <v>-6.4252405143879907E-2</v>
      </c>
      <c r="Q1373">
        <v>0.36333719606953602</v>
      </c>
      <c r="R1373">
        <v>0.97256969612116095</v>
      </c>
      <c r="S1373" t="s">
        <v>8376</v>
      </c>
      <c r="T1373" t="s">
        <v>14004</v>
      </c>
      <c r="U1373" t="s">
        <v>14004</v>
      </c>
      <c r="V1373" t="s">
        <v>14004</v>
      </c>
      <c r="W1373" t="s">
        <v>15347</v>
      </c>
      <c r="X1373">
        <v>6</v>
      </c>
      <c r="Y1373" t="s">
        <v>22275</v>
      </c>
      <c r="Z1373" t="s">
        <v>29083</v>
      </c>
      <c r="AA1373">
        <v>0.63992215494823412</v>
      </c>
      <c r="AB1373" t="str">
        <f>HYPERLINK("Melting_Curves/meltCurve_O00512_BCL9.pdf", "Melting_Curves/meltCurve_O00512_BCL9.pdf")</f>
        <v>Melting_Curves/meltCurve_O00512_BCL9.pdf</v>
      </c>
    </row>
    <row r="1374" spans="1:28" x14ac:dyDescent="0.25">
      <c r="A1374" t="s">
        <v>1378</v>
      </c>
      <c r="B1374">
        <v>0.99999676499088797</v>
      </c>
      <c r="C1374">
        <v>1.00286139820867</v>
      </c>
      <c r="D1374">
        <v>0.97172505415621402</v>
      </c>
      <c r="E1374">
        <v>0.76745986140830502</v>
      </c>
      <c r="F1374">
        <v>0.332464968595027</v>
      </c>
      <c r="G1374">
        <v>0.20950576246880701</v>
      </c>
      <c r="H1374">
        <v>0.10366920357687399</v>
      </c>
      <c r="I1374">
        <v>0.11893610531019</v>
      </c>
      <c r="J1374">
        <v>8.5504633778483496E-2</v>
      </c>
      <c r="K1374">
        <v>8.1289887806447497E-2</v>
      </c>
      <c r="L1374">
        <v>1403.4955492480201</v>
      </c>
      <c r="M1374">
        <v>27.295492237270899</v>
      </c>
      <c r="N1374">
        <v>51.840726534031702</v>
      </c>
      <c r="O1374">
        <v>51.144989652671697</v>
      </c>
      <c r="P1374">
        <v>-0.120127770601266</v>
      </c>
      <c r="Q1374">
        <v>9.9650137198786501E-2</v>
      </c>
      <c r="R1374">
        <v>0.99747863319975805</v>
      </c>
      <c r="S1374" t="s">
        <v>8377</v>
      </c>
      <c r="T1374" t="s">
        <v>14004</v>
      </c>
      <c r="U1374" t="s">
        <v>14004</v>
      </c>
      <c r="V1374" t="s">
        <v>14004</v>
      </c>
      <c r="W1374" t="s">
        <v>15348</v>
      </c>
      <c r="X1374">
        <v>5</v>
      </c>
      <c r="Y1374" t="s">
        <v>22276</v>
      </c>
      <c r="Z1374" t="s">
        <v>29084</v>
      </c>
      <c r="AA1374">
        <v>0.44921680861398738</v>
      </c>
      <c r="AB1374" t="str">
        <f>HYPERLINK("Melting_Curves/meltCurve_O00534_VWA5A.pdf", "Melting_Curves/meltCurve_O00534_VWA5A.pdf")</f>
        <v>Melting_Curves/meltCurve_O00534_VWA5A.pdf</v>
      </c>
    </row>
    <row r="1375" spans="1:28" x14ac:dyDescent="0.25">
      <c r="A1375" t="s">
        <v>1379</v>
      </c>
      <c r="B1375">
        <v>0.99999676499088797</v>
      </c>
      <c r="C1375">
        <v>0.89922571061287304</v>
      </c>
      <c r="D1375">
        <v>0.91285934786530898</v>
      </c>
      <c r="E1375">
        <v>0.66690784259594205</v>
      </c>
      <c r="F1375">
        <v>0.361647315349724</v>
      </c>
      <c r="G1375">
        <v>0.30144688862464702</v>
      </c>
      <c r="H1375">
        <v>0.16547345238164701</v>
      </c>
      <c r="I1375">
        <v>0.15972998112146</v>
      </c>
      <c r="J1375">
        <v>0.13809216776723701</v>
      </c>
      <c r="K1375">
        <v>0.16749571186415299</v>
      </c>
      <c r="L1375">
        <v>909.04521515258602</v>
      </c>
      <c r="M1375">
        <v>17.930809688068798</v>
      </c>
      <c r="N1375">
        <v>51.674229127262798</v>
      </c>
      <c r="O1375">
        <v>50.079428400640502</v>
      </c>
      <c r="P1375">
        <v>-7.6648945438789404E-2</v>
      </c>
      <c r="Q1375">
        <v>0.14374349884328</v>
      </c>
      <c r="R1375">
        <v>0.99039622716210596</v>
      </c>
      <c r="S1375" t="s">
        <v>8378</v>
      </c>
      <c r="T1375" t="s">
        <v>14004</v>
      </c>
      <c r="U1375" t="s">
        <v>14004</v>
      </c>
      <c r="V1375" t="s">
        <v>14004</v>
      </c>
      <c r="W1375" t="s">
        <v>15349</v>
      </c>
      <c r="X1375">
        <v>7</v>
      </c>
      <c r="Y1375" t="s">
        <v>22277</v>
      </c>
      <c r="Z1375" t="s">
        <v>29085</v>
      </c>
      <c r="AA1375">
        <v>0.46364789270664691</v>
      </c>
      <c r="AB1375" t="str">
        <f>HYPERLINK("Melting_Curves/meltCurve_O00560_SDCBP.pdf", "Melting_Curves/meltCurve_O00560_SDCBP.pdf")</f>
        <v>Melting_Curves/meltCurve_O00560_SDCBP.pdf</v>
      </c>
    </row>
    <row r="1376" spans="1:28" x14ac:dyDescent="0.25">
      <c r="A1376" t="s">
        <v>1380</v>
      </c>
      <c r="B1376">
        <v>0.99999676499088797</v>
      </c>
      <c r="C1376">
        <v>0.97316897048389095</v>
      </c>
      <c r="D1376">
        <v>1.19373031486445</v>
      </c>
      <c r="E1376">
        <v>1.05906720285816</v>
      </c>
      <c r="F1376">
        <v>0.76648403597912096</v>
      </c>
      <c r="G1376">
        <v>0.61722788943491802</v>
      </c>
      <c r="H1376">
        <v>0.41901729075058602</v>
      </c>
      <c r="I1376">
        <v>0.49340767142199199</v>
      </c>
      <c r="J1376">
        <v>0.49225646366437598</v>
      </c>
      <c r="K1376">
        <v>0.49711698980135399</v>
      </c>
      <c r="L1376">
        <v>1899.8201469150399</v>
      </c>
      <c r="M1376">
        <v>35.180104047469797</v>
      </c>
      <c r="N1376">
        <v>59.628137769161903</v>
      </c>
      <c r="O1376">
        <v>53.829091774577797</v>
      </c>
      <c r="P1376">
        <v>-8.4650800433573495E-2</v>
      </c>
      <c r="Q1376">
        <v>0.48190493772596099</v>
      </c>
      <c r="R1376">
        <v>0.92312793871271503</v>
      </c>
      <c r="S1376" t="s">
        <v>8379</v>
      </c>
      <c r="T1376" t="s">
        <v>14004</v>
      </c>
      <c r="U1376" t="s">
        <v>14004</v>
      </c>
      <c r="V1376" t="s">
        <v>14004</v>
      </c>
      <c r="W1376" t="s">
        <v>15350</v>
      </c>
      <c r="X1376">
        <v>8</v>
      </c>
      <c r="Y1376" t="s">
        <v>22278</v>
      </c>
      <c r="Z1376" t="s">
        <v>29086</v>
      </c>
      <c r="AA1376">
        <v>0.72622102109544473</v>
      </c>
      <c r="AB1376" t="str">
        <f>HYPERLINK("Melting_Curves/meltCurve_O00566_MPHOSPH10.pdf", "Melting_Curves/meltCurve_O00566_MPHOSPH10.pdf")</f>
        <v>Melting_Curves/meltCurve_O00566_MPHOSPH10.pdf</v>
      </c>
    </row>
    <row r="1377" spans="1:28" x14ac:dyDescent="0.25">
      <c r="A1377" t="s">
        <v>1381</v>
      </c>
      <c r="B1377">
        <v>0.99999676499088797</v>
      </c>
      <c r="C1377">
        <v>1.1285700211591201</v>
      </c>
      <c r="D1377">
        <v>1.1655417352715001</v>
      </c>
      <c r="E1377">
        <v>1.06506710865601</v>
      </c>
      <c r="F1377">
        <v>0.455505615850332</v>
      </c>
      <c r="G1377">
        <v>0.28059675499476999</v>
      </c>
      <c r="H1377">
        <v>0.108214069198658</v>
      </c>
      <c r="I1377">
        <v>9.3713060235567594E-2</v>
      </c>
      <c r="J1377">
        <v>6.6294994089509202E-2</v>
      </c>
      <c r="K1377">
        <v>6.8414482662746398E-2</v>
      </c>
      <c r="L1377">
        <v>2677.7780809774399</v>
      </c>
      <c r="M1377">
        <v>50.662775490084698</v>
      </c>
      <c r="N1377">
        <v>53.127678016939299</v>
      </c>
      <c r="O1377">
        <v>52.772795037435003</v>
      </c>
      <c r="P1377">
        <v>-0.21252117647695001</v>
      </c>
      <c r="Q1377">
        <v>0.114511559197433</v>
      </c>
      <c r="R1377">
        <v>0.96300389731563596</v>
      </c>
      <c r="S1377" t="s">
        <v>8380</v>
      </c>
      <c r="T1377" t="s">
        <v>14004</v>
      </c>
      <c r="U1377" t="s">
        <v>14004</v>
      </c>
      <c r="V1377" t="s">
        <v>14004</v>
      </c>
      <c r="W1377" t="s">
        <v>15351</v>
      </c>
      <c r="X1377">
        <v>27</v>
      </c>
      <c r="Y1377" t="s">
        <v>22279</v>
      </c>
      <c r="Z1377" t="s">
        <v>29087</v>
      </c>
      <c r="AA1377">
        <v>0.49595194466012049</v>
      </c>
      <c r="AB1377" t="str">
        <f>HYPERLINK("Melting_Curves/meltCurve_O00567_NOP56.pdf", "Melting_Curves/meltCurve_O00567_NOP56.pdf")</f>
        <v>Melting_Curves/meltCurve_O00567_NOP56.pdf</v>
      </c>
    </row>
    <row r="1378" spans="1:28" x14ac:dyDescent="0.25">
      <c r="A1378" t="s">
        <v>1382</v>
      </c>
      <c r="B1378">
        <v>0.99999676499088797</v>
      </c>
      <c r="C1378">
        <v>0.90243474641483301</v>
      </c>
      <c r="D1378">
        <v>0.60718551292283396</v>
      </c>
      <c r="E1378">
        <v>0.20611503146693499</v>
      </c>
      <c r="F1378">
        <v>0.15548218214444401</v>
      </c>
      <c r="G1378">
        <v>9.8507907655276006E-2</v>
      </c>
      <c r="H1378">
        <v>4.9469844737995497E-2</v>
      </c>
      <c r="I1378">
        <v>5.4968313274993803E-2</v>
      </c>
      <c r="J1378">
        <v>5.0279210577009299E-2</v>
      </c>
      <c r="K1378">
        <v>4.30858578270224E-2</v>
      </c>
      <c r="L1378">
        <v>1154.9144786858001</v>
      </c>
      <c r="M1378">
        <v>24.7960703863655</v>
      </c>
      <c r="N1378">
        <v>46.8280582670684</v>
      </c>
      <c r="O1378">
        <v>46.276749303452497</v>
      </c>
      <c r="P1378">
        <v>-0.12560457679520401</v>
      </c>
      <c r="Q1378">
        <v>6.2353015881404503E-2</v>
      </c>
      <c r="R1378">
        <v>0.99592757055473302</v>
      </c>
      <c r="S1378" t="s">
        <v>8381</v>
      </c>
      <c r="T1378" t="s">
        <v>14004</v>
      </c>
      <c r="U1378" t="s">
        <v>14004</v>
      </c>
      <c r="V1378" t="s">
        <v>14004</v>
      </c>
      <c r="W1378" t="s">
        <v>15352</v>
      </c>
      <c r="X1378">
        <v>42</v>
      </c>
      <c r="Y1378" t="s">
        <v>22280</v>
      </c>
      <c r="Z1378" t="s">
        <v>29088</v>
      </c>
      <c r="AA1378">
        <v>0.27651968727889997</v>
      </c>
      <c r="AB1378" t="str">
        <f>HYPERLINK("Melting_Curves/meltCurve_O00571_DDX3X.pdf", "Melting_Curves/meltCurve_O00571_DDX3X.pdf")</f>
        <v>Melting_Curves/meltCurve_O00571_DDX3X.pdf</v>
      </c>
    </row>
    <row r="1379" spans="1:28" x14ac:dyDescent="0.25">
      <c r="A1379" t="s">
        <v>1383</v>
      </c>
      <c r="B1379">
        <v>0.99999676499088797</v>
      </c>
      <c r="C1379">
        <v>0.92827353805678503</v>
      </c>
      <c r="D1379">
        <v>1.0047483144743099</v>
      </c>
      <c r="E1379">
        <v>0.82525706461713</v>
      </c>
      <c r="F1379">
        <v>0.46009874024666098</v>
      </c>
      <c r="G1379">
        <v>0.23751836261685499</v>
      </c>
      <c r="H1379">
        <v>0.146101335315827</v>
      </c>
      <c r="I1379">
        <v>0.106613176116723</v>
      </c>
      <c r="J1379">
        <v>8.9423552269777606E-2</v>
      </c>
      <c r="K1379">
        <v>4.4105785823023297E-2</v>
      </c>
      <c r="L1379">
        <v>1195.2433958853001</v>
      </c>
      <c r="M1379">
        <v>22.718579136671199</v>
      </c>
      <c r="N1379">
        <v>53.016599610285098</v>
      </c>
      <c r="O1379">
        <v>52.208297782731002</v>
      </c>
      <c r="P1379">
        <v>-0.100108820275796</v>
      </c>
      <c r="Q1379">
        <v>7.9800213918093804E-2</v>
      </c>
      <c r="R1379">
        <v>0.99411777388739297</v>
      </c>
      <c r="S1379" t="s">
        <v>8382</v>
      </c>
      <c r="T1379" t="s">
        <v>14004</v>
      </c>
      <c r="U1379" t="s">
        <v>14004</v>
      </c>
      <c r="V1379" t="s">
        <v>14004</v>
      </c>
      <c r="W1379" t="s">
        <v>15353</v>
      </c>
      <c r="X1379">
        <v>1</v>
      </c>
      <c r="Y1379" t="s">
        <v>22281</v>
      </c>
      <c r="Z1379" t="s">
        <v>29089</v>
      </c>
      <c r="AA1379">
        <v>0.47671798038834462</v>
      </c>
      <c r="AB1379" t="str">
        <f>HYPERLINK("Melting_Curves/meltCurve_O00623_PEX12.pdf", "Melting_Curves/meltCurve_O00623_PEX12.pdf")</f>
        <v>Melting_Curves/meltCurve_O00623_PEX12.pdf</v>
      </c>
    </row>
    <row r="1380" spans="1:28" x14ac:dyDescent="0.25">
      <c r="A1380" t="s">
        <v>1384</v>
      </c>
      <c r="B1380">
        <v>0.99999676499088797</v>
      </c>
      <c r="C1380">
        <v>0.96015711167845996</v>
      </c>
      <c r="D1380">
        <v>0.88917081560411204</v>
      </c>
      <c r="E1380">
        <v>0.75343013513892998</v>
      </c>
      <c r="F1380">
        <v>0.455630159133395</v>
      </c>
      <c r="G1380">
        <v>0.18856085737907</v>
      </c>
      <c r="H1380">
        <v>5.7871333023622497E-2</v>
      </c>
      <c r="I1380">
        <v>5.6813282565110701E-2</v>
      </c>
      <c r="J1380">
        <v>5.0780587082416603E-2</v>
      </c>
      <c r="K1380">
        <v>4.2051919312512599E-2</v>
      </c>
      <c r="L1380">
        <v>967.61940484533397</v>
      </c>
      <c r="M1380">
        <v>18.488800116008701</v>
      </c>
      <c r="N1380">
        <v>52.449657170035103</v>
      </c>
      <c r="O1380">
        <v>51.734711701563597</v>
      </c>
      <c r="P1380">
        <v>-8.75852438544448E-2</v>
      </c>
      <c r="Q1380">
        <v>1.9731681481616199E-2</v>
      </c>
      <c r="R1380">
        <v>0.99720889570943705</v>
      </c>
      <c r="S1380" t="s">
        <v>8383</v>
      </c>
      <c r="T1380" t="s">
        <v>14004</v>
      </c>
      <c r="U1380" t="s">
        <v>14004</v>
      </c>
      <c r="V1380" t="s">
        <v>14004</v>
      </c>
      <c r="W1380" t="s">
        <v>15354</v>
      </c>
      <c r="X1380">
        <v>18</v>
      </c>
      <c r="Y1380" t="s">
        <v>22282</v>
      </c>
      <c r="Z1380" t="s">
        <v>29090</v>
      </c>
      <c r="AA1380">
        <v>0.43831688326072038</v>
      </c>
      <c r="AB1380" t="str">
        <f>HYPERLINK("Melting_Curves/meltCurve_O00629_KPNA4.pdf", "Melting_Curves/meltCurve_O00629_KPNA4.pdf")</f>
        <v>Melting_Curves/meltCurve_O00629_KPNA4.pdf</v>
      </c>
    </row>
    <row r="1381" spans="1:28" x14ac:dyDescent="0.25">
      <c r="A1381" t="s">
        <v>1385</v>
      </c>
      <c r="B1381">
        <v>0.99999676499088797</v>
      </c>
      <c r="C1381">
        <v>0.97681850518286595</v>
      </c>
      <c r="D1381">
        <v>0.78106903089059498</v>
      </c>
      <c r="E1381">
        <v>0.61541648240144797</v>
      </c>
      <c r="F1381">
        <v>0.41638939624028998</v>
      </c>
      <c r="G1381">
        <v>0.31937252230447499</v>
      </c>
      <c r="H1381">
        <v>0.101532687093865</v>
      </c>
      <c r="I1381">
        <v>0.19680365054860899</v>
      </c>
      <c r="J1381">
        <v>0.166320095543739</v>
      </c>
      <c r="K1381">
        <v>8.0058834747480101E-2</v>
      </c>
      <c r="L1381">
        <v>677.23836037591002</v>
      </c>
      <c r="M1381">
        <v>13.332663598430999</v>
      </c>
      <c r="N1381">
        <v>51.613699193734</v>
      </c>
      <c r="O1381">
        <v>49.693503198153699</v>
      </c>
      <c r="P1381">
        <v>-6.0694414240427201E-2</v>
      </c>
      <c r="Q1381">
        <v>9.5263799812919395E-2</v>
      </c>
      <c r="R1381">
        <v>0.98347948577390998</v>
      </c>
      <c r="S1381" t="s">
        <v>8384</v>
      </c>
      <c r="T1381" t="s">
        <v>14004</v>
      </c>
      <c r="U1381" t="s">
        <v>14004</v>
      </c>
      <c r="V1381" t="s">
        <v>14004</v>
      </c>
      <c r="W1381" t="s">
        <v>15355</v>
      </c>
      <c r="X1381">
        <v>3</v>
      </c>
      <c r="Y1381" t="s">
        <v>22283</v>
      </c>
      <c r="Z1381" t="s">
        <v>29091</v>
      </c>
      <c r="AA1381">
        <v>0.44630516127982939</v>
      </c>
      <c r="AB1381" t="str">
        <f>HYPERLINK("Melting_Curves/meltCurve_O00716_2_E2F3.pdf", "Melting_Curves/meltCurve_O00716_2_E2F3.pdf")</f>
        <v>Melting_Curves/meltCurve_O00716_2_E2F3.pdf</v>
      </c>
    </row>
    <row r="1382" spans="1:28" x14ac:dyDescent="0.25">
      <c r="A1382" t="s">
        <v>1386</v>
      </c>
      <c r="B1382">
        <v>0.99999676499088797</v>
      </c>
      <c r="C1382">
        <v>0.99799000774923197</v>
      </c>
      <c r="D1382">
        <v>0.93633555351968301</v>
      </c>
      <c r="E1382">
        <v>0.80752143213658301</v>
      </c>
      <c r="F1382">
        <v>0.69759251586080695</v>
      </c>
      <c r="G1382">
        <v>0.63506444655764005</v>
      </c>
      <c r="H1382">
        <v>0.377578490539209</v>
      </c>
      <c r="I1382">
        <v>0.24279661511390699</v>
      </c>
      <c r="J1382">
        <v>0.15101350871816899</v>
      </c>
      <c r="K1382">
        <v>0.12123292451086499</v>
      </c>
      <c r="L1382">
        <v>633.80899076164997</v>
      </c>
      <c r="M1382">
        <v>10.9443761382933</v>
      </c>
      <c r="N1382">
        <v>57.911838282688599</v>
      </c>
      <c r="O1382">
        <v>56.079059420609703</v>
      </c>
      <c r="P1382">
        <v>-4.8806716149320903E-2</v>
      </c>
      <c r="Q1382">
        <v>0</v>
      </c>
      <c r="R1382">
        <v>0.98868954645321405</v>
      </c>
      <c r="S1382" t="s">
        <v>8385</v>
      </c>
      <c r="T1382" t="s">
        <v>14004</v>
      </c>
      <c r="U1382" t="s">
        <v>14004</v>
      </c>
      <c r="V1382" t="s">
        <v>14004</v>
      </c>
      <c r="W1382" t="s">
        <v>15356</v>
      </c>
      <c r="X1382">
        <v>16</v>
      </c>
      <c r="Y1382" t="s">
        <v>22284</v>
      </c>
      <c r="Z1382" t="s">
        <v>29092</v>
      </c>
      <c r="AA1382">
        <v>0.60908812623270803</v>
      </c>
      <c r="AB1382" t="str">
        <f>HYPERLINK("Melting_Curves/meltCurve_O00743_PPP6C.pdf", "Melting_Curves/meltCurve_O00743_PPP6C.pdf")</f>
        <v>Melting_Curves/meltCurve_O00743_PPP6C.pdf</v>
      </c>
    </row>
    <row r="1383" spans="1:28" x14ac:dyDescent="0.25">
      <c r="A1383" t="s">
        <v>1387</v>
      </c>
      <c r="B1383">
        <v>0.99999676499088797</v>
      </c>
      <c r="C1383">
        <v>0.99401938835167403</v>
      </c>
      <c r="D1383">
        <v>0.97272375638436004</v>
      </c>
      <c r="E1383">
        <v>0.97987388394387498</v>
      </c>
      <c r="F1383">
        <v>0.94944570671694295</v>
      </c>
      <c r="G1383">
        <v>0.83551475914728501</v>
      </c>
      <c r="H1383">
        <v>0.57925304313872905</v>
      </c>
      <c r="I1383">
        <v>0.61604836860942602</v>
      </c>
      <c r="J1383">
        <v>0.61848980843955503</v>
      </c>
      <c r="K1383">
        <v>0.60431473413229497</v>
      </c>
      <c r="L1383">
        <v>14219.286209931801</v>
      </c>
      <c r="M1383">
        <v>250</v>
      </c>
      <c r="O1383">
        <v>56.873497485523103</v>
      </c>
      <c r="P1383">
        <v>-0.434597708448687</v>
      </c>
      <c r="Q1383">
        <v>0.60452648068761705</v>
      </c>
      <c r="R1383">
        <v>0.98505648117246403</v>
      </c>
      <c r="S1383" t="s">
        <v>8386</v>
      </c>
      <c r="T1383" t="s">
        <v>14004</v>
      </c>
      <c r="U1383" t="s">
        <v>14004</v>
      </c>
      <c r="V1383" t="s">
        <v>14004</v>
      </c>
      <c r="W1383" t="s">
        <v>15357</v>
      </c>
      <c r="X1383">
        <v>27</v>
      </c>
      <c r="Y1383" t="s">
        <v>22285</v>
      </c>
      <c r="Z1383" t="s">
        <v>29093</v>
      </c>
      <c r="AA1383">
        <v>0.82704808511974048</v>
      </c>
      <c r="AB1383" t="str">
        <f>HYPERLINK("Melting_Curves/meltCurve_O00754_2_MAN2B1.pdf", "Melting_Curves/meltCurve_O00754_2_MAN2B1.pdf")</f>
        <v>Melting_Curves/meltCurve_O00754_2_MAN2B1.pdf</v>
      </c>
    </row>
    <row r="1384" spans="1:28" x14ac:dyDescent="0.25">
      <c r="A1384" t="s">
        <v>1388</v>
      </c>
      <c r="B1384">
        <v>0.99999676499088797</v>
      </c>
      <c r="C1384">
        <v>0.88111895642246296</v>
      </c>
      <c r="D1384">
        <v>0.79430589381600603</v>
      </c>
      <c r="E1384">
        <v>0.39355694691645599</v>
      </c>
      <c r="F1384">
        <v>0.26047880889869302</v>
      </c>
      <c r="G1384">
        <v>0.15320207429449501</v>
      </c>
      <c r="H1384">
        <v>0.102117684995716</v>
      </c>
      <c r="I1384">
        <v>0.100988643069417</v>
      </c>
      <c r="J1384">
        <v>0.11382074738794699</v>
      </c>
      <c r="K1384">
        <v>0.136958202824702</v>
      </c>
      <c r="L1384">
        <v>961.91487257145604</v>
      </c>
      <c r="M1384">
        <v>19.965597809598599</v>
      </c>
      <c r="N1384">
        <v>48.790435486374697</v>
      </c>
      <c r="O1384">
        <v>47.703104686499799</v>
      </c>
      <c r="P1384">
        <v>-9.3050786688217396E-2</v>
      </c>
      <c r="Q1384">
        <v>0.11073725227498001</v>
      </c>
      <c r="R1384">
        <v>0.99281637905310405</v>
      </c>
      <c r="S1384" t="s">
        <v>8387</v>
      </c>
      <c r="T1384" t="s">
        <v>14004</v>
      </c>
      <c r="U1384" t="s">
        <v>14004</v>
      </c>
      <c r="V1384" t="s">
        <v>14004</v>
      </c>
      <c r="W1384" t="s">
        <v>15358</v>
      </c>
      <c r="X1384">
        <v>6</v>
      </c>
      <c r="Y1384" t="s">
        <v>22286</v>
      </c>
      <c r="Z1384" t="s">
        <v>29094</v>
      </c>
      <c r="AA1384">
        <v>0.36580819816221649</v>
      </c>
      <c r="AB1384" t="str">
        <f>HYPERLINK("Melting_Curves/meltCurve_O00762_2_UBE2C.pdf", "Melting_Curves/meltCurve_O00762_2_UBE2C.pdf")</f>
        <v>Melting_Curves/meltCurve_O00762_2_UBE2C.pdf</v>
      </c>
    </row>
    <row r="1385" spans="1:28" x14ac:dyDescent="0.25">
      <c r="A1385" t="s">
        <v>1389</v>
      </c>
      <c r="B1385">
        <v>0.99999676499088797</v>
      </c>
      <c r="C1385">
        <v>1.06357652590928</v>
      </c>
      <c r="D1385">
        <v>1.0374393241581701</v>
      </c>
      <c r="E1385">
        <v>1.16760823446394</v>
      </c>
      <c r="F1385">
        <v>1.0741464608884801</v>
      </c>
      <c r="G1385">
        <v>1.0281285949911201</v>
      </c>
      <c r="H1385">
        <v>0.67558570119579398</v>
      </c>
      <c r="I1385">
        <v>0.23864984007905901</v>
      </c>
      <c r="J1385">
        <v>0.15441783171724099</v>
      </c>
      <c r="K1385">
        <v>7.4086165766396997E-2</v>
      </c>
      <c r="L1385">
        <v>2871.63530254536</v>
      </c>
      <c r="M1385">
        <v>46.623452452085402</v>
      </c>
      <c r="N1385">
        <v>61.898812718368703</v>
      </c>
      <c r="O1385">
        <v>61.479099717120398</v>
      </c>
      <c r="P1385">
        <v>-0.17003486871297299</v>
      </c>
      <c r="Q1385">
        <v>0.1031486515883</v>
      </c>
      <c r="R1385">
        <v>0.97418612704003604</v>
      </c>
      <c r="S1385" t="s">
        <v>8388</v>
      </c>
      <c r="T1385" t="s">
        <v>14004</v>
      </c>
      <c r="U1385" t="s">
        <v>14004</v>
      </c>
      <c r="V1385" t="s">
        <v>14004</v>
      </c>
      <c r="W1385" t="s">
        <v>15359</v>
      </c>
      <c r="X1385">
        <v>9</v>
      </c>
      <c r="Y1385" t="s">
        <v>22287</v>
      </c>
      <c r="Z1385" t="s">
        <v>29095</v>
      </c>
      <c r="AA1385">
        <v>0.75125127835578243</v>
      </c>
      <c r="AB1385" t="str">
        <f>HYPERLINK("Melting_Curves/meltCurve_O00764_PDXK.pdf", "Melting_Curves/meltCurve_O00764_PDXK.pdf")</f>
        <v>Melting_Curves/meltCurve_O00764_PDXK.pdf</v>
      </c>
    </row>
    <row r="1386" spans="1:28" x14ac:dyDescent="0.25">
      <c r="A1386" t="s">
        <v>1390</v>
      </c>
      <c r="B1386">
        <v>0.99999676499088797</v>
      </c>
      <c r="C1386">
        <v>1.1502579546921201</v>
      </c>
      <c r="D1386">
        <v>1.12028805494503</v>
      </c>
      <c r="E1386">
        <v>1.35817349247605</v>
      </c>
      <c r="F1386">
        <v>1.3792158796215399</v>
      </c>
      <c r="G1386">
        <v>1.01115534521332</v>
      </c>
      <c r="H1386">
        <v>0.584749439698799</v>
      </c>
      <c r="I1386">
        <v>0.159164890816481</v>
      </c>
      <c r="J1386">
        <v>7.3264781433534307E-2</v>
      </c>
      <c r="K1386">
        <v>8.3751993237530895E-2</v>
      </c>
      <c r="L1386">
        <v>3432.8928009923802</v>
      </c>
      <c r="M1386">
        <v>56.245890396961201</v>
      </c>
      <c r="N1386">
        <v>61.226804856477898</v>
      </c>
      <c r="O1386">
        <v>60.956659050684799</v>
      </c>
      <c r="P1386">
        <v>-0.21192666793853501</v>
      </c>
      <c r="Q1386">
        <v>8.1295774123831099E-2</v>
      </c>
      <c r="R1386">
        <v>0.873545998012215</v>
      </c>
      <c r="S1386" t="s">
        <v>8389</v>
      </c>
      <c r="T1386" t="s">
        <v>14004</v>
      </c>
      <c r="U1386" t="s">
        <v>14004</v>
      </c>
      <c r="V1386" t="s">
        <v>14004</v>
      </c>
      <c r="W1386" t="s">
        <v>15360</v>
      </c>
      <c r="X1386">
        <v>4</v>
      </c>
      <c r="Y1386" t="s">
        <v>22288</v>
      </c>
      <c r="Z1386" t="s">
        <v>29096</v>
      </c>
      <c r="AA1386">
        <v>0.72733800506572732</v>
      </c>
      <c r="AB1386" t="str">
        <f>HYPERLINK("Melting_Curves/meltCurve_O00767_SCD.pdf", "Melting_Curves/meltCurve_O00767_SCD.pdf")</f>
        <v>Melting_Curves/meltCurve_O00767_SCD.pdf</v>
      </c>
    </row>
    <row r="1387" spans="1:28" x14ac:dyDescent="0.25">
      <c r="A1387" t="s">
        <v>1391</v>
      </c>
      <c r="B1387">
        <v>0.99999676499088797</v>
      </c>
      <c r="C1387">
        <v>0.89861443276951802</v>
      </c>
      <c r="D1387">
        <v>0.59811575418263896</v>
      </c>
      <c r="E1387">
        <v>0.30495931271624299</v>
      </c>
      <c r="F1387">
        <v>0.21536206790159501</v>
      </c>
      <c r="G1387">
        <v>0.159504226337668</v>
      </c>
      <c r="H1387">
        <v>0.101319485835439</v>
      </c>
      <c r="I1387">
        <v>0.114132324627381</v>
      </c>
      <c r="J1387">
        <v>0.12388942082110101</v>
      </c>
      <c r="K1387">
        <v>0.124772894183624</v>
      </c>
      <c r="L1387">
        <v>1005.74804853795</v>
      </c>
      <c r="M1387">
        <v>21.609851259924501</v>
      </c>
      <c r="N1387">
        <v>47.166862996901898</v>
      </c>
      <c r="O1387">
        <v>46.148137674240601</v>
      </c>
      <c r="P1387">
        <v>-0.102482020275332</v>
      </c>
      <c r="Q1387">
        <v>0.124613998465692</v>
      </c>
      <c r="R1387">
        <v>0.99625538994754903</v>
      </c>
      <c r="S1387" t="s">
        <v>8390</v>
      </c>
      <c r="T1387" t="s">
        <v>14004</v>
      </c>
      <c r="U1387" t="s">
        <v>14004</v>
      </c>
      <c r="V1387" t="s">
        <v>14004</v>
      </c>
      <c r="W1387" t="s">
        <v>15361</v>
      </c>
      <c r="X1387">
        <v>43</v>
      </c>
      <c r="Y1387" t="s">
        <v>22289</v>
      </c>
      <c r="Z1387" t="s">
        <v>29097</v>
      </c>
      <c r="AA1387">
        <v>0.32647454659803171</v>
      </c>
      <c r="AB1387" t="str">
        <f>HYPERLINK("Melting_Curves/meltCurve_O14497_ARID1A.pdf", "Melting_Curves/meltCurve_O14497_ARID1A.pdf")</f>
        <v>Melting_Curves/meltCurve_O14497_ARID1A.pdf</v>
      </c>
    </row>
    <row r="1388" spans="1:28" x14ac:dyDescent="0.25">
      <c r="A1388" t="s">
        <v>1392</v>
      </c>
      <c r="B1388">
        <v>0.99999676499088797</v>
      </c>
      <c r="C1388">
        <v>0.91387064916202199</v>
      </c>
      <c r="D1388">
        <v>0.83436645711939394</v>
      </c>
      <c r="E1388">
        <v>0.56025208206948196</v>
      </c>
      <c r="F1388">
        <v>0.48414124098926697</v>
      </c>
      <c r="G1388">
        <v>0.499513495991181</v>
      </c>
      <c r="H1388">
        <v>0.27922084768098998</v>
      </c>
      <c r="I1388">
        <v>0.28739646873149299</v>
      </c>
      <c r="J1388">
        <v>0.27442863683389201</v>
      </c>
      <c r="K1388">
        <v>0.26582294809228901</v>
      </c>
      <c r="L1388">
        <v>599.14447952815101</v>
      </c>
      <c r="M1388">
        <v>12.0031094631799</v>
      </c>
      <c r="N1388">
        <v>52.914567602263901</v>
      </c>
      <c r="O1388">
        <v>48.590854998287803</v>
      </c>
      <c r="P1388">
        <v>-4.6528681586121001E-2</v>
      </c>
      <c r="Q1388">
        <v>0.24675417078991199</v>
      </c>
      <c r="R1388">
        <v>0.96811909286841302</v>
      </c>
      <c r="S1388" t="s">
        <v>8391</v>
      </c>
      <c r="T1388" t="s">
        <v>14004</v>
      </c>
      <c r="U1388" t="s">
        <v>14004</v>
      </c>
      <c r="V1388" t="s">
        <v>14004</v>
      </c>
      <c r="W1388" t="s">
        <v>15362</v>
      </c>
      <c r="X1388">
        <v>3</v>
      </c>
      <c r="Y1388" t="s">
        <v>22290</v>
      </c>
      <c r="Z1388" t="s">
        <v>29098</v>
      </c>
      <c r="AA1388">
        <v>0.52191487124913072</v>
      </c>
      <c r="AB1388" t="str">
        <f>HYPERLINK("Melting_Curves/meltCurve_O14519_2_CDK2AP1.pdf", "Melting_Curves/meltCurve_O14519_2_CDK2AP1.pdf")</f>
        <v>Melting_Curves/meltCurve_O14519_2_CDK2AP1.pdf</v>
      </c>
    </row>
    <row r="1389" spans="1:28" x14ac:dyDescent="0.25">
      <c r="A1389" t="s">
        <v>1393</v>
      </c>
      <c r="B1389">
        <v>0.99999676499088797</v>
      </c>
      <c r="C1389">
        <v>1.010975005051</v>
      </c>
      <c r="D1389">
        <v>0.932692208500424</v>
      </c>
      <c r="E1389">
        <v>0.60990391327342697</v>
      </c>
      <c r="F1389">
        <v>0.386823816981202</v>
      </c>
      <c r="G1389">
        <v>0.32160536293067699</v>
      </c>
      <c r="H1389">
        <v>0.110917857926935</v>
      </c>
      <c r="I1389">
        <v>8.7496998548897101E-2</v>
      </c>
      <c r="J1389">
        <v>8.22859122211273E-2</v>
      </c>
      <c r="K1389">
        <v>7.2887964999167304E-2</v>
      </c>
      <c r="L1389">
        <v>828.25921079365901</v>
      </c>
      <c r="M1389">
        <v>16.105117973430001</v>
      </c>
      <c r="N1389">
        <v>51.876089989608097</v>
      </c>
      <c r="O1389">
        <v>50.655033420335002</v>
      </c>
      <c r="P1389">
        <v>-7.4332233469111497E-2</v>
      </c>
      <c r="Q1389">
        <v>6.4890471674160705E-2</v>
      </c>
      <c r="R1389">
        <v>0.98727245233443806</v>
      </c>
      <c r="S1389" t="s">
        <v>8392</v>
      </c>
      <c r="T1389" t="s">
        <v>14004</v>
      </c>
      <c r="U1389" t="s">
        <v>14004</v>
      </c>
      <c r="V1389" t="s">
        <v>14004</v>
      </c>
      <c r="W1389" t="s">
        <v>15363</v>
      </c>
      <c r="X1389">
        <v>8</v>
      </c>
      <c r="Y1389" t="s">
        <v>22291</v>
      </c>
      <c r="Z1389" t="s">
        <v>29099</v>
      </c>
      <c r="AA1389">
        <v>0.44008825851469202</v>
      </c>
      <c r="AB1389" t="str">
        <f>HYPERLINK("Melting_Curves/meltCurve_O14523_C2CD2L.pdf", "Melting_Curves/meltCurve_O14523_C2CD2L.pdf")</f>
        <v>Melting_Curves/meltCurve_O14523_C2CD2L.pdf</v>
      </c>
    </row>
    <row r="1390" spans="1:28" x14ac:dyDescent="0.25">
      <c r="A1390" t="s">
        <v>1394</v>
      </c>
      <c r="B1390">
        <v>0.99999676499088797</v>
      </c>
      <c r="C1390">
        <v>1.75012950942305</v>
      </c>
      <c r="D1390">
        <v>1.9626387285465601</v>
      </c>
      <c r="E1390">
        <v>1.9172072829150699</v>
      </c>
      <c r="F1390">
        <v>0.832263528798867</v>
      </c>
      <c r="G1390">
        <v>0.79434746270502399</v>
      </c>
      <c r="H1390">
        <v>0.25531795922780498</v>
      </c>
      <c r="I1390">
        <v>0.421859572552234</v>
      </c>
      <c r="J1390">
        <v>0.480462916205878</v>
      </c>
      <c r="K1390">
        <v>0.60878776738976004</v>
      </c>
      <c r="L1390">
        <v>14230.6460729397</v>
      </c>
      <c r="M1390">
        <v>250</v>
      </c>
      <c r="N1390">
        <v>57.415746789059398</v>
      </c>
      <c r="O1390">
        <v>56.918941644120402</v>
      </c>
      <c r="P1390">
        <v>-0.61314490914208497</v>
      </c>
      <c r="Q1390">
        <v>0.441607052007087</v>
      </c>
      <c r="R1390">
        <v>0.34730099051096602</v>
      </c>
      <c r="S1390" t="s">
        <v>8393</v>
      </c>
      <c r="T1390" t="s">
        <v>14004</v>
      </c>
      <c r="U1390" t="s">
        <v>14004</v>
      </c>
      <c r="V1390" t="s">
        <v>14004</v>
      </c>
      <c r="W1390" t="s">
        <v>15364</v>
      </c>
      <c r="X1390">
        <v>1</v>
      </c>
      <c r="Y1390" t="s">
        <v>22292</v>
      </c>
      <c r="Z1390" t="s">
        <v>29100</v>
      </c>
      <c r="AA1390">
        <v>0.75664455882959503</v>
      </c>
      <c r="AB1390" t="str">
        <f>HYPERLINK("Melting_Curves/meltCurve_O14524_2_TMEM194A.pdf", "Melting_Curves/meltCurve_O14524_2_TMEM194A.pdf")</f>
        <v>Melting_Curves/meltCurve_O14524_2_TMEM194A.pdf</v>
      </c>
    </row>
    <row r="1391" spans="1:28" x14ac:dyDescent="0.25">
      <c r="A1391" t="s">
        <v>1395</v>
      </c>
      <c r="B1391">
        <v>0.99999676499088797</v>
      </c>
      <c r="C1391">
        <v>0.974234823203324</v>
      </c>
      <c r="D1391">
        <v>0.91715922621683699</v>
      </c>
      <c r="E1391">
        <v>0.81673148604503898</v>
      </c>
      <c r="F1391">
        <v>0.34799233936205498</v>
      </c>
      <c r="G1391">
        <v>0.228112189141706</v>
      </c>
      <c r="H1391">
        <v>9.1320689349102493E-2</v>
      </c>
      <c r="I1391">
        <v>9.5457095872057904E-2</v>
      </c>
      <c r="J1391">
        <v>0.10474391801652599</v>
      </c>
      <c r="K1391">
        <v>8.3770770071244199E-2</v>
      </c>
      <c r="L1391">
        <v>1356.1494081109599</v>
      </c>
      <c r="M1391">
        <v>26.216499598810099</v>
      </c>
      <c r="N1391">
        <v>52.145045177230102</v>
      </c>
      <c r="O1391">
        <v>51.430707241973401</v>
      </c>
      <c r="P1391">
        <v>-0.11540711487353</v>
      </c>
      <c r="Q1391">
        <v>9.4402216884488993E-2</v>
      </c>
      <c r="R1391">
        <v>0.99346643813056401</v>
      </c>
      <c r="S1391" t="s">
        <v>8394</v>
      </c>
      <c r="T1391" t="s">
        <v>14004</v>
      </c>
      <c r="U1391" t="s">
        <v>14004</v>
      </c>
      <c r="V1391" t="s">
        <v>14004</v>
      </c>
      <c r="W1391" t="s">
        <v>15365</v>
      </c>
      <c r="X1391">
        <v>8</v>
      </c>
      <c r="Y1391" t="s">
        <v>22293</v>
      </c>
      <c r="Z1391" t="s">
        <v>29101</v>
      </c>
      <c r="AA1391">
        <v>0.45597314096881819</v>
      </c>
      <c r="AB1391" t="str">
        <f>HYPERLINK("Melting_Curves/meltCurve_O14530_TXNDC9.pdf", "Melting_Curves/meltCurve_O14530_TXNDC9.pdf")</f>
        <v>Melting_Curves/meltCurve_O14530_TXNDC9.pdf</v>
      </c>
    </row>
    <row r="1392" spans="1:28" x14ac:dyDescent="0.25">
      <c r="A1392" t="s">
        <v>1396</v>
      </c>
      <c r="B1392">
        <v>0.99999676499088797</v>
      </c>
      <c r="C1392">
        <v>1.1027271723530701</v>
      </c>
      <c r="D1392">
        <v>1.0012152091640001</v>
      </c>
      <c r="E1392">
        <v>0.84832159022245202</v>
      </c>
      <c r="F1392">
        <v>0.60168258144056697</v>
      </c>
      <c r="G1392">
        <v>0.46170259613499698</v>
      </c>
      <c r="H1392">
        <v>0.31589122811692399</v>
      </c>
      <c r="I1392">
        <v>0.46920275495198999</v>
      </c>
      <c r="J1392">
        <v>0.49558520663999001</v>
      </c>
      <c r="K1392">
        <v>0.56393047061670798</v>
      </c>
      <c r="L1392">
        <v>1709.4678311172199</v>
      </c>
      <c r="M1392">
        <v>33.380194278505101</v>
      </c>
      <c r="N1392">
        <v>55.3840715891983</v>
      </c>
      <c r="O1392">
        <v>51.029286817475302</v>
      </c>
      <c r="P1392">
        <v>-8.8382870089315294E-2</v>
      </c>
      <c r="Q1392">
        <v>0.45954831689691</v>
      </c>
      <c r="R1392">
        <v>0.93398203935125301</v>
      </c>
      <c r="S1392" t="s">
        <v>8395</v>
      </c>
      <c r="T1392" t="s">
        <v>14004</v>
      </c>
      <c r="U1392" t="s">
        <v>14004</v>
      </c>
      <c r="V1392" t="s">
        <v>14004</v>
      </c>
      <c r="W1392" t="s">
        <v>15366</v>
      </c>
      <c r="X1392">
        <v>13</v>
      </c>
      <c r="Y1392" t="s">
        <v>22294</v>
      </c>
      <c r="Z1392" t="s">
        <v>29102</v>
      </c>
      <c r="AA1392">
        <v>0.66428675792871839</v>
      </c>
      <c r="AB1392" t="str">
        <f>HYPERLINK("Melting_Curves/meltCurve_O14545_TRAFD1.pdf", "Melting_Curves/meltCurve_O14545_TRAFD1.pdf")</f>
        <v>Melting_Curves/meltCurve_O14545_TRAFD1.pdf</v>
      </c>
    </row>
    <row r="1393" spans="1:28" x14ac:dyDescent="0.25">
      <c r="A1393" t="s">
        <v>1397</v>
      </c>
      <c r="B1393">
        <v>0.99999676499088797</v>
      </c>
      <c r="C1393">
        <v>1.08730681468412</v>
      </c>
      <c r="D1393">
        <v>1.16840642762096</v>
      </c>
      <c r="E1393">
        <v>1.1398867146945799</v>
      </c>
      <c r="F1393">
        <v>0.96810237804125299</v>
      </c>
      <c r="G1393">
        <v>0.798974432274421</v>
      </c>
      <c r="H1393">
        <v>0.50471140211661503</v>
      </c>
      <c r="I1393">
        <v>0.37405419387225802</v>
      </c>
      <c r="J1393">
        <v>0.33872317312456801</v>
      </c>
      <c r="K1393">
        <v>0.38556765146266098</v>
      </c>
      <c r="L1393">
        <v>1897.65693508799</v>
      </c>
      <c r="M1393">
        <v>32.547015175114502</v>
      </c>
      <c r="N1393">
        <v>60.6047558265088</v>
      </c>
      <c r="O1393">
        <v>58.086312683557402</v>
      </c>
      <c r="P1393">
        <v>-9.0410811457279805E-2</v>
      </c>
      <c r="Q1393">
        <v>0.35458218943499498</v>
      </c>
      <c r="R1393">
        <v>0.94459399743101302</v>
      </c>
      <c r="S1393" t="s">
        <v>8396</v>
      </c>
      <c r="T1393" t="s">
        <v>14004</v>
      </c>
      <c r="U1393" t="s">
        <v>14004</v>
      </c>
      <c r="V1393" t="s">
        <v>14004</v>
      </c>
      <c r="W1393" t="s">
        <v>15367</v>
      </c>
      <c r="X1393">
        <v>3</v>
      </c>
      <c r="Y1393" t="s">
        <v>22295</v>
      </c>
      <c r="Z1393" t="s">
        <v>29103</v>
      </c>
      <c r="AA1393">
        <v>0.75208357258089154</v>
      </c>
      <c r="AB1393" t="str">
        <f>HYPERLINK("Melting_Curves/meltCurve_O14548_COX7A2L.pdf", "Melting_Curves/meltCurve_O14548_COX7A2L.pdf")</f>
        <v>Melting_Curves/meltCurve_O14548_COX7A2L.pdf</v>
      </c>
    </row>
    <row r="1394" spans="1:28" x14ac:dyDescent="0.25">
      <c r="A1394" t="s">
        <v>1398</v>
      </c>
      <c r="B1394">
        <v>0.99999676499088797</v>
      </c>
      <c r="C1394">
        <v>0.86363140092776902</v>
      </c>
      <c r="D1394">
        <v>0.89293641229725296</v>
      </c>
      <c r="E1394">
        <v>1.0476351620189299</v>
      </c>
      <c r="F1394">
        <v>1.02248312874255</v>
      </c>
      <c r="G1394">
        <v>0.59166589218989196</v>
      </c>
      <c r="H1394">
        <v>0.35315960561318099</v>
      </c>
      <c r="I1394">
        <v>0.20046954816276599</v>
      </c>
      <c r="J1394">
        <v>0.14958380288644699</v>
      </c>
      <c r="K1394">
        <v>0.18005166354218999</v>
      </c>
      <c r="L1394">
        <v>1870.3528242606101</v>
      </c>
      <c r="M1394">
        <v>32.6512743907005</v>
      </c>
      <c r="N1394">
        <v>58.070130071922797</v>
      </c>
      <c r="O1394">
        <v>57.0691007539168</v>
      </c>
      <c r="P1394">
        <v>-0.117450266650848</v>
      </c>
      <c r="Q1394">
        <v>0.178868194690875</v>
      </c>
      <c r="R1394">
        <v>0.96216933291647799</v>
      </c>
      <c r="S1394" t="s">
        <v>8397</v>
      </c>
      <c r="T1394" t="s">
        <v>14004</v>
      </c>
      <c r="U1394" t="s">
        <v>14004</v>
      </c>
      <c r="V1394" t="s">
        <v>14004</v>
      </c>
      <c r="W1394" t="s">
        <v>15368</v>
      </c>
      <c r="X1394">
        <v>3</v>
      </c>
      <c r="Y1394" t="s">
        <v>22296</v>
      </c>
      <c r="Z1394" t="s">
        <v>29104</v>
      </c>
      <c r="AA1394">
        <v>0.65661057299608749</v>
      </c>
      <c r="AB1394" t="str">
        <f>HYPERLINK("Melting_Curves/meltCurve_O14561_NDUFAB1.pdf", "Melting_Curves/meltCurve_O14561_NDUFAB1.pdf")</f>
        <v>Melting_Curves/meltCurve_O14561_NDUFAB1.pdf</v>
      </c>
    </row>
    <row r="1395" spans="1:28" x14ac:dyDescent="0.25">
      <c r="A1395" t="s">
        <v>1399</v>
      </c>
      <c r="B1395">
        <v>0.99999676499088797</v>
      </c>
      <c r="C1395">
        <v>0.85092954922327901</v>
      </c>
      <c r="D1395">
        <v>0.94743825679868199</v>
      </c>
      <c r="E1395">
        <v>0.86314863627980598</v>
      </c>
      <c r="F1395">
        <v>0.51000992630068998</v>
      </c>
      <c r="G1395">
        <v>0.54684994763322303</v>
      </c>
      <c r="H1395">
        <v>0.25370914967244501</v>
      </c>
      <c r="I1395">
        <v>0.39901460445165099</v>
      </c>
      <c r="J1395">
        <v>0.28250759457904201</v>
      </c>
      <c r="K1395">
        <v>0.30367146498070102</v>
      </c>
      <c r="L1395">
        <v>827.74021746675805</v>
      </c>
      <c r="M1395">
        <v>15.780219847703799</v>
      </c>
      <c r="N1395">
        <v>55.414267237761599</v>
      </c>
      <c r="O1395">
        <v>51.633586322417997</v>
      </c>
      <c r="P1395">
        <v>-5.4651436956784899E-2</v>
      </c>
      <c r="Q1395">
        <v>0.28477142694841101</v>
      </c>
      <c r="R1395">
        <v>0.92636234748238999</v>
      </c>
      <c r="S1395" t="s">
        <v>8398</v>
      </c>
      <c r="T1395" t="s">
        <v>14004</v>
      </c>
      <c r="U1395" t="s">
        <v>14004</v>
      </c>
      <c r="V1395" t="s">
        <v>14004</v>
      </c>
      <c r="W1395" t="s">
        <v>15369</v>
      </c>
      <c r="X1395">
        <v>1</v>
      </c>
      <c r="Y1395" t="s">
        <v>22297</v>
      </c>
      <c r="Z1395" t="s">
        <v>29105</v>
      </c>
      <c r="AA1395">
        <v>0.59627362680386187</v>
      </c>
      <c r="AB1395" t="str">
        <f>HYPERLINK("Melting_Curves/meltCurve_O14569_CYB561D2.pdf", "Melting_Curves/meltCurve_O14569_CYB561D2.pdf")</f>
        <v>Melting_Curves/meltCurve_O14569_CYB561D2.pdf</v>
      </c>
    </row>
    <row r="1396" spans="1:28" x14ac:dyDescent="0.25">
      <c r="A1396" t="s">
        <v>1400</v>
      </c>
      <c r="B1396">
        <v>0.99999676499088797</v>
      </c>
      <c r="C1396">
        <v>1.03176543999231</v>
      </c>
      <c r="D1396">
        <v>0.96428799337451299</v>
      </c>
      <c r="E1396">
        <v>0.54863880249413599</v>
      </c>
      <c r="F1396">
        <v>0.28498664415073299</v>
      </c>
      <c r="G1396">
        <v>0.19984995500486799</v>
      </c>
      <c r="H1396">
        <v>0.110660329896019</v>
      </c>
      <c r="I1396">
        <v>0.105752608493436</v>
      </c>
      <c r="J1396">
        <v>9.8337789578295295E-2</v>
      </c>
      <c r="K1396">
        <v>9.6763813296392498E-2</v>
      </c>
      <c r="L1396">
        <v>1307.4905865812</v>
      </c>
      <c r="M1396">
        <v>26.2079008124913</v>
      </c>
      <c r="N1396">
        <v>50.386760224302897</v>
      </c>
      <c r="O1396">
        <v>49.601429338563598</v>
      </c>
      <c r="P1396">
        <v>-0.117032653466364</v>
      </c>
      <c r="Q1396">
        <v>0.114019539296731</v>
      </c>
      <c r="R1396">
        <v>0.99297168460048602</v>
      </c>
      <c r="S1396" t="s">
        <v>8399</v>
      </c>
      <c r="T1396" t="s">
        <v>14004</v>
      </c>
      <c r="U1396" t="s">
        <v>14004</v>
      </c>
      <c r="V1396" t="s">
        <v>14004</v>
      </c>
      <c r="W1396" t="s">
        <v>15370</v>
      </c>
      <c r="X1396">
        <v>25</v>
      </c>
      <c r="Y1396" t="s">
        <v>22298</v>
      </c>
      <c r="Z1396" t="s">
        <v>29106</v>
      </c>
      <c r="AA1396">
        <v>0.41326472636533917</v>
      </c>
      <c r="AB1396" t="str">
        <f>HYPERLINK("Melting_Curves/meltCurve_O14578_4_CIT.pdf", "Melting_Curves/meltCurve_O14578_4_CIT.pdf")</f>
        <v>Melting_Curves/meltCurve_O14578_4_CIT.pdf</v>
      </c>
    </row>
    <row r="1397" spans="1:28" x14ac:dyDescent="0.25">
      <c r="A1397" t="s">
        <v>1401</v>
      </c>
      <c r="B1397">
        <v>0.99999676499088797</v>
      </c>
      <c r="C1397">
        <v>1.02204059915043</v>
      </c>
      <c r="D1397">
        <v>0.94763854176777396</v>
      </c>
      <c r="E1397">
        <v>0.81088930738673304</v>
      </c>
      <c r="F1397">
        <v>0.477637882804959</v>
      </c>
      <c r="G1397">
        <v>0.212843648759136</v>
      </c>
      <c r="H1397">
        <v>0.13692245937297401</v>
      </c>
      <c r="I1397">
        <v>0.12254406227232501</v>
      </c>
      <c r="J1397">
        <v>0.130561272578787</v>
      </c>
      <c r="K1397">
        <v>6.3045462561038296E-2</v>
      </c>
      <c r="L1397">
        <v>1214.68975490973</v>
      </c>
      <c r="M1397">
        <v>23.174363063804201</v>
      </c>
      <c r="N1397">
        <v>52.906539924411298</v>
      </c>
      <c r="O1397">
        <v>52.029622967446898</v>
      </c>
      <c r="P1397">
        <v>-0.100573653826739</v>
      </c>
      <c r="Q1397">
        <v>9.6809830554898793E-2</v>
      </c>
      <c r="R1397">
        <v>0.99762171009823897</v>
      </c>
      <c r="S1397" t="s">
        <v>8400</v>
      </c>
      <c r="T1397" t="s">
        <v>14004</v>
      </c>
      <c r="U1397" t="s">
        <v>14004</v>
      </c>
      <c r="V1397" t="s">
        <v>14004</v>
      </c>
      <c r="W1397" t="s">
        <v>15371</v>
      </c>
      <c r="X1397">
        <v>21</v>
      </c>
      <c r="Y1397" t="s">
        <v>22299</v>
      </c>
      <c r="Z1397" t="s">
        <v>29107</v>
      </c>
      <c r="AA1397">
        <v>0.48013664174921378</v>
      </c>
      <c r="AB1397" t="str">
        <f>HYPERLINK("Melting_Curves/meltCurve_O14579_COPE.pdf", "Melting_Curves/meltCurve_O14579_COPE.pdf")</f>
        <v>Melting_Curves/meltCurve_O14579_COPE.pdf</v>
      </c>
    </row>
    <row r="1398" spans="1:28" x14ac:dyDescent="0.25">
      <c r="A1398" t="s">
        <v>1402</v>
      </c>
      <c r="B1398">
        <v>0.99999676499088797</v>
      </c>
      <c r="C1398">
        <v>0.99015833417599097</v>
      </c>
      <c r="D1398">
        <v>1.02202358351553</v>
      </c>
      <c r="E1398">
        <v>0.97492816034393204</v>
      </c>
      <c r="F1398">
        <v>0.55830222526969497</v>
      </c>
      <c r="G1398">
        <v>0.287882438826215</v>
      </c>
      <c r="H1398">
        <v>0.11840389457157501</v>
      </c>
      <c r="I1398">
        <v>0.140730851359748</v>
      </c>
      <c r="J1398">
        <v>0.13273101420320199</v>
      </c>
      <c r="K1398">
        <v>0.16707413739938701</v>
      </c>
      <c r="L1398">
        <v>1782.3392273634699</v>
      </c>
      <c r="M1398">
        <v>33.432995623811799</v>
      </c>
      <c r="N1398">
        <v>53.8544230287809</v>
      </c>
      <c r="O1398">
        <v>53.121143170706503</v>
      </c>
      <c r="P1398">
        <v>-0.13480850868043701</v>
      </c>
      <c r="Q1398">
        <v>0.14322351370825301</v>
      </c>
      <c r="R1398">
        <v>0.995070668155835</v>
      </c>
      <c r="S1398" t="s">
        <v>8401</v>
      </c>
      <c r="T1398" t="s">
        <v>14004</v>
      </c>
      <c r="U1398" t="s">
        <v>14004</v>
      </c>
      <c r="V1398" t="s">
        <v>14004</v>
      </c>
      <c r="W1398" t="s">
        <v>15372</v>
      </c>
      <c r="X1398">
        <v>11</v>
      </c>
      <c r="Y1398" t="s">
        <v>22300</v>
      </c>
      <c r="Z1398" t="s">
        <v>29108</v>
      </c>
      <c r="AA1398">
        <v>0.52787808595570518</v>
      </c>
      <c r="AB1398" t="str">
        <f>HYPERLINK("Melting_Curves/meltCurve_O14602_EIF1AY.pdf", "Melting_Curves/meltCurve_O14602_EIF1AY.pdf")</f>
        <v>Melting_Curves/meltCurve_O14602_EIF1AY.pdf</v>
      </c>
    </row>
    <row r="1399" spans="1:28" x14ac:dyDescent="0.25">
      <c r="A1399" t="s">
        <v>1403</v>
      </c>
      <c r="B1399">
        <v>0.99999676499088797</v>
      </c>
      <c r="C1399">
        <v>1.0578569138106499</v>
      </c>
      <c r="D1399">
        <v>0.94744835261115101</v>
      </c>
      <c r="E1399">
        <v>0.57404416190604601</v>
      </c>
      <c r="F1399">
        <v>0.25120084311021401</v>
      </c>
      <c r="G1399">
        <v>0.16484307828816999</v>
      </c>
      <c r="H1399">
        <v>8.9444680426148004E-2</v>
      </c>
      <c r="I1399">
        <v>9.8207193703257506E-2</v>
      </c>
      <c r="J1399">
        <v>6.44291462725642E-2</v>
      </c>
      <c r="K1399">
        <v>6.3968009063990694E-2</v>
      </c>
      <c r="L1399">
        <v>1339.94167633198</v>
      </c>
      <c r="M1399">
        <v>26.7750062311992</v>
      </c>
      <c r="N1399">
        <v>50.4013844263511</v>
      </c>
      <c r="O1399">
        <v>49.767837155903898</v>
      </c>
      <c r="P1399">
        <v>-0.12288672433996201</v>
      </c>
      <c r="Q1399">
        <v>8.6350326471092503E-2</v>
      </c>
      <c r="R1399">
        <v>0.99440546227313897</v>
      </c>
      <c r="S1399" t="s">
        <v>8402</v>
      </c>
      <c r="T1399" t="s">
        <v>14004</v>
      </c>
      <c r="U1399" t="s">
        <v>14004</v>
      </c>
      <c r="V1399" t="s">
        <v>14004</v>
      </c>
      <c r="W1399" t="s">
        <v>15373</v>
      </c>
      <c r="X1399">
        <v>12</v>
      </c>
      <c r="Y1399" t="s">
        <v>22301</v>
      </c>
      <c r="Z1399" t="s">
        <v>29109</v>
      </c>
      <c r="AA1399">
        <v>0.3993712790733413</v>
      </c>
      <c r="AB1399" t="str">
        <f>HYPERLINK("Melting_Curves/meltCurve_O14617_4_AP3D1.pdf", "Melting_Curves/meltCurve_O14617_4_AP3D1.pdf")</f>
        <v>Melting_Curves/meltCurve_O14617_4_AP3D1.pdf</v>
      </c>
    </row>
    <row r="1400" spans="1:28" x14ac:dyDescent="0.25">
      <c r="A1400" t="s">
        <v>1404</v>
      </c>
      <c r="B1400">
        <v>0.99999676499088797</v>
      </c>
      <c r="C1400">
        <v>1.0147175749589099</v>
      </c>
      <c r="D1400">
        <v>1.0566986342596201</v>
      </c>
      <c r="E1400">
        <v>1.11960042646627</v>
      </c>
      <c r="F1400">
        <v>1.0555785270858999</v>
      </c>
      <c r="G1400">
        <v>0.81903104432360196</v>
      </c>
      <c r="H1400">
        <v>0.26505389791833001</v>
      </c>
      <c r="I1400">
        <v>0.21576819434255401</v>
      </c>
      <c r="J1400">
        <v>0.22649448412627099</v>
      </c>
      <c r="K1400">
        <v>0.17463630349444501</v>
      </c>
      <c r="L1400">
        <v>3316.0819974023302</v>
      </c>
      <c r="M1400">
        <v>57.133338774516901</v>
      </c>
      <c r="N1400">
        <v>58.583440583292798</v>
      </c>
      <c r="O1400">
        <v>57.970128261372302</v>
      </c>
      <c r="P1400">
        <v>-0.195788253561064</v>
      </c>
      <c r="Q1400">
        <v>0.20537718392734799</v>
      </c>
      <c r="R1400">
        <v>0.98535553866680503</v>
      </c>
      <c r="S1400" t="s">
        <v>8403</v>
      </c>
      <c r="T1400" t="s">
        <v>14004</v>
      </c>
      <c r="U1400" t="s">
        <v>14004</v>
      </c>
      <c r="V1400" t="s">
        <v>14004</v>
      </c>
      <c r="W1400" t="s">
        <v>15374</v>
      </c>
      <c r="X1400">
        <v>8</v>
      </c>
      <c r="Y1400" t="s">
        <v>22302</v>
      </c>
      <c r="Z1400" t="s">
        <v>29110</v>
      </c>
      <c r="AA1400">
        <v>0.68479328822901175</v>
      </c>
      <c r="AB1400" t="str">
        <f>HYPERLINK("Melting_Curves/meltCurve_O14656_TOR1A.pdf", "Melting_Curves/meltCurve_O14656_TOR1A.pdf")</f>
        <v>Melting_Curves/meltCurve_O14656_TOR1A.pdf</v>
      </c>
    </row>
    <row r="1401" spans="1:28" x14ac:dyDescent="0.25">
      <c r="A1401" t="s">
        <v>1405</v>
      </c>
      <c r="B1401">
        <v>0.99999676499088797</v>
      </c>
      <c r="C1401">
        <v>0.96278710948403401</v>
      </c>
      <c r="D1401">
        <v>1.06694766375913</v>
      </c>
      <c r="E1401">
        <v>1.13768626100637</v>
      </c>
      <c r="F1401">
        <v>0.74923059970320605</v>
      </c>
      <c r="G1401">
        <v>0.463024628351898</v>
      </c>
      <c r="H1401">
        <v>0.19331733848140201</v>
      </c>
      <c r="I1401">
        <v>0.25160405975038902</v>
      </c>
      <c r="J1401">
        <v>0.31747811997525699</v>
      </c>
      <c r="K1401">
        <v>0.157731789121174</v>
      </c>
      <c r="L1401">
        <v>1851.39476405299</v>
      </c>
      <c r="M1401">
        <v>33.711547106439603</v>
      </c>
      <c r="N1401">
        <v>55.924194989547097</v>
      </c>
      <c r="O1401">
        <v>54.726543409184401</v>
      </c>
      <c r="P1401">
        <v>-0.119001440984343</v>
      </c>
      <c r="Q1401">
        <v>0.22726646023883901</v>
      </c>
      <c r="R1401">
        <v>0.96185921140873898</v>
      </c>
      <c r="S1401" t="s">
        <v>8404</v>
      </c>
      <c r="T1401" t="s">
        <v>14004</v>
      </c>
      <c r="U1401" t="s">
        <v>14004</v>
      </c>
      <c r="V1401" t="s">
        <v>14004</v>
      </c>
      <c r="W1401" t="s">
        <v>15375</v>
      </c>
      <c r="X1401">
        <v>3</v>
      </c>
      <c r="Y1401" t="s">
        <v>22303</v>
      </c>
      <c r="Z1401" t="s">
        <v>29111</v>
      </c>
      <c r="AA1401">
        <v>0.61563384146433253</v>
      </c>
      <c r="AB1401" t="str">
        <f>HYPERLINK("Melting_Curves/meltCurve_O14657_TOR1B.pdf", "Melting_Curves/meltCurve_O14657_TOR1B.pdf")</f>
        <v>Melting_Curves/meltCurve_O14657_TOR1B.pdf</v>
      </c>
    </row>
    <row r="1402" spans="1:28" x14ac:dyDescent="0.25">
      <c r="A1402" t="s">
        <v>1406</v>
      </c>
      <c r="B1402">
        <v>0.99999676499088797</v>
      </c>
      <c r="C1402">
        <v>0.87953388686926004</v>
      </c>
      <c r="D1402">
        <v>1.0228720199475101</v>
      </c>
      <c r="E1402">
        <v>0.67800368474002304</v>
      </c>
      <c r="F1402">
        <v>0.26871158025670699</v>
      </c>
      <c r="G1402">
        <v>0.16454369464369301</v>
      </c>
      <c r="H1402">
        <v>6.79535438266856E-2</v>
      </c>
      <c r="I1402">
        <v>5.1577284124976502E-2</v>
      </c>
      <c r="J1402">
        <v>5.3398837334220198E-2</v>
      </c>
      <c r="K1402">
        <v>8.3758337253152904E-2</v>
      </c>
      <c r="L1402">
        <v>1434.28492755365</v>
      </c>
      <c r="M1402">
        <v>28.212279040898402</v>
      </c>
      <c r="N1402">
        <v>51.113531618519303</v>
      </c>
      <c r="O1402">
        <v>50.585658754862102</v>
      </c>
      <c r="P1402">
        <v>-0.12962817855285499</v>
      </c>
      <c r="Q1402">
        <v>7.0295321495803906E-2</v>
      </c>
      <c r="R1402">
        <v>0.98618903251322299</v>
      </c>
      <c r="S1402" t="s">
        <v>8405</v>
      </c>
      <c r="T1402" t="s">
        <v>14004</v>
      </c>
      <c r="U1402" t="s">
        <v>14004</v>
      </c>
      <c r="V1402" t="s">
        <v>14004</v>
      </c>
      <c r="W1402" t="s">
        <v>15376</v>
      </c>
      <c r="X1402">
        <v>3</v>
      </c>
      <c r="Y1402" t="s">
        <v>22304</v>
      </c>
      <c r="Z1402" t="s">
        <v>29112</v>
      </c>
      <c r="AA1402">
        <v>0.41279195496421822</v>
      </c>
      <c r="AB1402" t="str">
        <f>HYPERLINK("Melting_Curves/meltCurve_O14662_2_STX16.pdf", "Melting_Curves/meltCurve_O14662_2_STX16.pdf")</f>
        <v>Melting_Curves/meltCurve_O14662_2_STX16.pdf</v>
      </c>
    </row>
    <row r="1403" spans="1:28" x14ac:dyDescent="0.25">
      <c r="A1403" t="s">
        <v>1407</v>
      </c>
      <c r="B1403">
        <v>0.99999676499088797</v>
      </c>
      <c r="C1403">
        <v>0.99571500546237801</v>
      </c>
      <c r="D1403">
        <v>1.0274724995504201</v>
      </c>
      <c r="E1403">
        <v>0.94810529185930803</v>
      </c>
      <c r="F1403">
        <v>0.70367746591305702</v>
      </c>
      <c r="G1403">
        <v>0.50540881440072305</v>
      </c>
      <c r="H1403">
        <v>0.29782625726893502</v>
      </c>
      <c r="I1403">
        <v>0.24277853278908901</v>
      </c>
      <c r="J1403">
        <v>0.20324248147212401</v>
      </c>
      <c r="K1403">
        <v>0.190361491962592</v>
      </c>
      <c r="L1403">
        <v>1084.46175077885</v>
      </c>
      <c r="M1403">
        <v>19.6250975097823</v>
      </c>
      <c r="N1403">
        <v>56.572026550193499</v>
      </c>
      <c r="O1403">
        <v>54.694769616512701</v>
      </c>
      <c r="P1403">
        <v>-7.32948684716348E-2</v>
      </c>
      <c r="Q1403">
        <v>0.182943251168728</v>
      </c>
      <c r="R1403">
        <v>0.99630878217165197</v>
      </c>
      <c r="S1403" t="s">
        <v>8406</v>
      </c>
      <c r="T1403" t="s">
        <v>14004</v>
      </c>
      <c r="U1403" t="s">
        <v>14004</v>
      </c>
      <c r="V1403" t="s">
        <v>14004</v>
      </c>
      <c r="W1403" t="s">
        <v>15377</v>
      </c>
      <c r="X1403">
        <v>32</v>
      </c>
      <c r="Y1403" t="s">
        <v>22305</v>
      </c>
      <c r="Z1403" t="s">
        <v>29113</v>
      </c>
      <c r="AA1403">
        <v>0.609625025329391</v>
      </c>
      <c r="AB1403" t="str">
        <f>HYPERLINK("Melting_Curves/meltCurve_O14672_ADAM10.pdf", "Melting_Curves/meltCurve_O14672_ADAM10.pdf")</f>
        <v>Melting_Curves/meltCurve_O14672_ADAM10.pdf</v>
      </c>
    </row>
    <row r="1404" spans="1:28" x14ac:dyDescent="0.25">
      <c r="A1404" t="s">
        <v>1408</v>
      </c>
      <c r="B1404">
        <v>0.99999676499088797</v>
      </c>
      <c r="C1404">
        <v>0.94345768092549398</v>
      </c>
      <c r="D1404">
        <v>0.85283389226486495</v>
      </c>
      <c r="E1404">
        <v>0.68570119090081405</v>
      </c>
      <c r="F1404">
        <v>0.492267835048387</v>
      </c>
      <c r="G1404">
        <v>0.37313877775915</v>
      </c>
      <c r="H1404">
        <v>0.25425939776149797</v>
      </c>
      <c r="I1404">
        <v>0.29220946498537498</v>
      </c>
      <c r="J1404">
        <v>0.28818441625505398</v>
      </c>
      <c r="K1404">
        <v>0.39527652890804499</v>
      </c>
      <c r="L1404">
        <v>868.77111906296795</v>
      </c>
      <c r="M1404">
        <v>17.391574256387099</v>
      </c>
      <c r="N1404">
        <v>52.683673086493201</v>
      </c>
      <c r="O1404">
        <v>49.307148088206702</v>
      </c>
      <c r="P1404">
        <v>-6.1996706811490401E-2</v>
      </c>
      <c r="Q1404">
        <v>0.29696802982904602</v>
      </c>
      <c r="R1404">
        <v>0.978658174638114</v>
      </c>
      <c r="S1404" t="s">
        <v>8407</v>
      </c>
      <c r="T1404" t="s">
        <v>14004</v>
      </c>
      <c r="U1404" t="s">
        <v>14004</v>
      </c>
      <c r="V1404" t="s">
        <v>14004</v>
      </c>
      <c r="W1404" t="s">
        <v>15378</v>
      </c>
      <c r="X1404">
        <v>15</v>
      </c>
      <c r="Y1404" t="s">
        <v>22306</v>
      </c>
      <c r="Z1404" t="s">
        <v>29114</v>
      </c>
      <c r="AA1404">
        <v>0.54302730672448263</v>
      </c>
      <c r="AB1404" t="str">
        <f>HYPERLINK("Melting_Curves/meltCurve_O14686_MLL2.pdf", "Melting_Curves/meltCurve_O14686_MLL2.pdf")</f>
        <v>Melting_Curves/meltCurve_O14686_MLL2.pdf</v>
      </c>
    </row>
    <row r="1405" spans="1:28" x14ac:dyDescent="0.25">
      <c r="A1405" t="s">
        <v>1409</v>
      </c>
      <c r="B1405">
        <v>0.99999676499088797</v>
      </c>
      <c r="C1405">
        <v>1.1007671663412999</v>
      </c>
      <c r="D1405">
        <v>1.058935239055</v>
      </c>
      <c r="E1405">
        <v>1.2257132403408799</v>
      </c>
      <c r="F1405">
        <v>1.20084208955227</v>
      </c>
      <c r="G1405">
        <v>1.0320459907667201</v>
      </c>
      <c r="H1405">
        <v>0.72755049859993204</v>
      </c>
      <c r="I1405">
        <v>0.67635541223626405</v>
      </c>
      <c r="J1405">
        <v>0.23711167016804599</v>
      </c>
      <c r="K1405">
        <v>0.152171199077755</v>
      </c>
      <c r="L1405">
        <v>1637.59858085214</v>
      </c>
      <c r="M1405">
        <v>25.262271654979799</v>
      </c>
      <c r="N1405">
        <v>64.823883999219802</v>
      </c>
      <c r="O1405">
        <v>64.421775445081195</v>
      </c>
      <c r="P1405">
        <v>-9.8035941451033906E-2</v>
      </c>
      <c r="Q1405">
        <v>0</v>
      </c>
      <c r="R1405">
        <v>0.89759993286137596</v>
      </c>
      <c r="S1405" t="s">
        <v>8408</v>
      </c>
      <c r="T1405" t="s">
        <v>14004</v>
      </c>
      <c r="U1405" t="s">
        <v>14004</v>
      </c>
      <c r="V1405" t="s">
        <v>14004</v>
      </c>
      <c r="W1405" t="s">
        <v>15379</v>
      </c>
      <c r="X1405">
        <v>7</v>
      </c>
      <c r="Y1405" t="s">
        <v>22307</v>
      </c>
      <c r="Z1405" t="s">
        <v>29115</v>
      </c>
      <c r="AA1405">
        <v>0.82306068798038778</v>
      </c>
      <c r="AB1405" t="str">
        <f>HYPERLINK("Melting_Curves/meltCurve_O14732_2_IMPA2.pdf", "Melting_Curves/meltCurve_O14732_2_IMPA2.pdf")</f>
        <v>Melting_Curves/meltCurve_O14732_2_IMPA2.pdf</v>
      </c>
    </row>
    <row r="1406" spans="1:28" x14ac:dyDescent="0.25">
      <c r="A1406" t="s">
        <v>1410</v>
      </c>
      <c r="B1406">
        <v>0.99999676499088797</v>
      </c>
      <c r="C1406">
        <v>0.98449342098012205</v>
      </c>
      <c r="D1406">
        <v>1.0184755864908299</v>
      </c>
      <c r="E1406">
        <v>1.13189569626914</v>
      </c>
      <c r="F1406">
        <v>1.0931117798338701</v>
      </c>
      <c r="G1406">
        <v>0.91085830880952101</v>
      </c>
      <c r="H1406">
        <v>0.42367389174786702</v>
      </c>
      <c r="I1406">
        <v>0.19666994861949899</v>
      </c>
      <c r="J1406">
        <v>0.155506758768375</v>
      </c>
      <c r="K1406">
        <v>0.14268269328025501</v>
      </c>
      <c r="L1406">
        <v>2599.1143955063399</v>
      </c>
      <c r="M1406">
        <v>43.484398196608602</v>
      </c>
      <c r="N1406">
        <v>60.2524444451468</v>
      </c>
      <c r="O1406">
        <v>59.645198797990602</v>
      </c>
      <c r="P1406">
        <v>-0.15552315035151101</v>
      </c>
      <c r="Q1406">
        <v>0.146710482793728</v>
      </c>
      <c r="R1406">
        <v>0.98270602696943099</v>
      </c>
      <c r="S1406" t="s">
        <v>8409</v>
      </c>
      <c r="T1406" t="s">
        <v>14004</v>
      </c>
      <c r="U1406" t="s">
        <v>14004</v>
      </c>
      <c r="V1406" t="s">
        <v>14004</v>
      </c>
      <c r="W1406" t="s">
        <v>15380</v>
      </c>
      <c r="X1406">
        <v>8</v>
      </c>
      <c r="Y1406" t="s">
        <v>22308</v>
      </c>
      <c r="Z1406" t="s">
        <v>29116</v>
      </c>
      <c r="AA1406">
        <v>0.71194341126965233</v>
      </c>
      <c r="AB1406" t="str">
        <f>HYPERLINK("Melting_Curves/meltCurve_O14734_ACOT8.pdf", "Melting_Curves/meltCurve_O14734_ACOT8.pdf")</f>
        <v>Melting_Curves/meltCurve_O14734_ACOT8.pdf</v>
      </c>
    </row>
    <row r="1407" spans="1:28" x14ac:dyDescent="0.25">
      <c r="A1407" t="s">
        <v>1411</v>
      </c>
      <c r="B1407">
        <v>0.99999676499088797</v>
      </c>
      <c r="C1407">
        <v>1.1483226577727901</v>
      </c>
      <c r="D1407">
        <v>1.0285459331062401</v>
      </c>
      <c r="E1407">
        <v>0.89086318071805104</v>
      </c>
      <c r="F1407">
        <v>0.98434692519414801</v>
      </c>
      <c r="G1407">
        <v>0.90176508576735503</v>
      </c>
      <c r="H1407">
        <v>0.63325255324044805</v>
      </c>
      <c r="I1407">
        <v>0.59978957575198799</v>
      </c>
      <c r="J1407">
        <v>0.50685383090849301</v>
      </c>
      <c r="K1407">
        <v>0.61805166287535196</v>
      </c>
      <c r="L1407">
        <v>2462.69518830366</v>
      </c>
      <c r="M1407">
        <v>42.1776560135729</v>
      </c>
      <c r="O1407">
        <v>58.257830854518097</v>
      </c>
      <c r="P1407">
        <v>-7.7907413317738705E-2</v>
      </c>
      <c r="Q1407">
        <v>0.56956273262224399</v>
      </c>
      <c r="R1407">
        <v>0.90607497602790099</v>
      </c>
      <c r="S1407" t="s">
        <v>8410</v>
      </c>
      <c r="T1407" t="s">
        <v>14004</v>
      </c>
      <c r="U1407" t="s">
        <v>14004</v>
      </c>
      <c r="V1407" t="s">
        <v>14004</v>
      </c>
      <c r="W1407" t="s">
        <v>15381</v>
      </c>
      <c r="X1407">
        <v>15</v>
      </c>
      <c r="Y1407" t="s">
        <v>22309</v>
      </c>
      <c r="Z1407" t="s">
        <v>29117</v>
      </c>
      <c r="AA1407">
        <v>0.83493478562067758</v>
      </c>
      <c r="AB1407" t="str">
        <f>HYPERLINK("Melting_Curves/meltCurve_O14737_PDCD5.pdf", "Melting_Curves/meltCurve_O14737_PDCD5.pdf")</f>
        <v>Melting_Curves/meltCurve_O14737_PDCD5.pdf</v>
      </c>
    </row>
    <row r="1408" spans="1:28" x14ac:dyDescent="0.25">
      <c r="A1408" t="s">
        <v>1412</v>
      </c>
      <c r="B1408">
        <v>0.99999676499088797</v>
      </c>
      <c r="C1408">
        <v>0.95848765554441295</v>
      </c>
      <c r="D1408">
        <v>0.95031743877576602</v>
      </c>
      <c r="E1408">
        <v>1.1191377551615</v>
      </c>
      <c r="F1408">
        <v>1.0419791602716999</v>
      </c>
      <c r="G1408">
        <v>0.59298151311844605</v>
      </c>
      <c r="H1408">
        <v>0.14296958440002999</v>
      </c>
      <c r="I1408">
        <v>0.13493461404245499</v>
      </c>
      <c r="J1408">
        <v>0.117781627555492</v>
      </c>
      <c r="K1408">
        <v>8.4721397709336302E-2</v>
      </c>
      <c r="L1408">
        <v>10153.635623820801</v>
      </c>
      <c r="M1408">
        <v>178.61119592480699</v>
      </c>
      <c r="N1408">
        <v>56.935264576703197</v>
      </c>
      <c r="O1408">
        <v>56.840576192618499</v>
      </c>
      <c r="P1408">
        <v>-0.69123185759907302</v>
      </c>
      <c r="Q1408">
        <v>0.12009961745109</v>
      </c>
      <c r="R1408">
        <v>0.98767710767773598</v>
      </c>
      <c r="S1408" t="s">
        <v>8411</v>
      </c>
      <c r="T1408" t="s">
        <v>14004</v>
      </c>
      <c r="U1408" t="s">
        <v>14004</v>
      </c>
      <c r="V1408" t="s">
        <v>14004</v>
      </c>
      <c r="W1408" t="s">
        <v>15382</v>
      </c>
      <c r="X1408">
        <v>27</v>
      </c>
      <c r="Y1408" t="s">
        <v>22310</v>
      </c>
      <c r="Z1408" t="s">
        <v>29118</v>
      </c>
      <c r="AA1408">
        <v>0.6144148818896672</v>
      </c>
      <c r="AB1408" t="str">
        <f>HYPERLINK("Melting_Curves/meltCurve_O14744_PRMT5.pdf", "Melting_Curves/meltCurve_O14744_PRMT5.pdf")</f>
        <v>Melting_Curves/meltCurve_O14744_PRMT5.pdf</v>
      </c>
    </row>
    <row r="1409" spans="1:28" x14ac:dyDescent="0.25">
      <c r="A1409" t="s">
        <v>1413</v>
      </c>
      <c r="B1409">
        <v>0.99999676499088797</v>
      </c>
      <c r="C1409">
        <v>1.0013956740188801</v>
      </c>
      <c r="D1409">
        <v>1.0349473709619199</v>
      </c>
      <c r="E1409">
        <v>0.93894748183647603</v>
      </c>
      <c r="F1409">
        <v>0.80406092792809303</v>
      </c>
      <c r="G1409">
        <v>0.56185039432906903</v>
      </c>
      <c r="H1409">
        <v>0.302483638628883</v>
      </c>
      <c r="I1409">
        <v>0.30299235806611602</v>
      </c>
      <c r="J1409">
        <v>0.300161835416631</v>
      </c>
      <c r="K1409">
        <v>0.31433255621594097</v>
      </c>
      <c r="L1409">
        <v>1414.87511232324</v>
      </c>
      <c r="M1409">
        <v>25.5538701222391</v>
      </c>
      <c r="N1409">
        <v>57.262536542448203</v>
      </c>
      <c r="O1409">
        <v>55.032568520494699</v>
      </c>
      <c r="P1409">
        <v>-8.2968629341446706E-2</v>
      </c>
      <c r="Q1409">
        <v>0.28528677161476301</v>
      </c>
      <c r="R1409">
        <v>0.99356542604081199</v>
      </c>
      <c r="S1409" t="s">
        <v>8412</v>
      </c>
      <c r="T1409" t="s">
        <v>14004</v>
      </c>
      <c r="U1409" t="s">
        <v>14004</v>
      </c>
      <c r="V1409" t="s">
        <v>14004</v>
      </c>
      <c r="W1409" t="s">
        <v>15383</v>
      </c>
      <c r="X1409">
        <v>30</v>
      </c>
      <c r="Y1409" t="s">
        <v>22311</v>
      </c>
      <c r="Z1409" t="s">
        <v>29119</v>
      </c>
      <c r="AA1409">
        <v>0.65777283468877634</v>
      </c>
      <c r="AB1409" t="str">
        <f>HYPERLINK("Melting_Curves/meltCurve_O14745_SLC9A3R1.pdf", "Melting_Curves/meltCurve_O14745_SLC9A3R1.pdf")</f>
        <v>Melting_Curves/meltCurve_O14745_SLC9A3R1.pdf</v>
      </c>
    </row>
    <row r="1410" spans="1:28" x14ac:dyDescent="0.25">
      <c r="A1410" t="s">
        <v>1414</v>
      </c>
      <c r="B1410">
        <v>0.99999676499088797</v>
      </c>
      <c r="C1410">
        <v>0.94186689631023601</v>
      </c>
      <c r="D1410">
        <v>0.95536510644569295</v>
      </c>
      <c r="E1410">
        <v>0.912882032260805</v>
      </c>
      <c r="F1410">
        <v>0.50603843503689305</v>
      </c>
      <c r="G1410">
        <v>0.17503951678015101</v>
      </c>
      <c r="H1410">
        <v>5.8334641876883898E-2</v>
      </c>
      <c r="I1410">
        <v>5.0846218270278597E-2</v>
      </c>
      <c r="J1410">
        <v>4.7607932712244297E-2</v>
      </c>
      <c r="K1410">
        <v>4.2071355875653201E-2</v>
      </c>
      <c r="L1410">
        <v>1576.45945227947</v>
      </c>
      <c r="M1410">
        <v>29.665583787603001</v>
      </c>
      <c r="N1410">
        <v>53.303236805131398</v>
      </c>
      <c r="O1410">
        <v>52.901286952635701</v>
      </c>
      <c r="P1410">
        <v>-0.13414294388238299</v>
      </c>
      <c r="Q1410">
        <v>4.3162244511753801E-2</v>
      </c>
      <c r="R1410">
        <v>0.99713255860977601</v>
      </c>
      <c r="S1410" t="s">
        <v>8413</v>
      </c>
      <c r="T1410" t="s">
        <v>14004</v>
      </c>
      <c r="U1410" t="s">
        <v>14004</v>
      </c>
      <c r="V1410" t="s">
        <v>14004</v>
      </c>
      <c r="W1410" t="s">
        <v>15384</v>
      </c>
      <c r="X1410">
        <v>17</v>
      </c>
      <c r="Y1410" t="s">
        <v>22312</v>
      </c>
      <c r="Z1410" t="s">
        <v>29120</v>
      </c>
      <c r="AA1410">
        <v>0.46864465230778107</v>
      </c>
      <c r="AB1410" t="str">
        <f>HYPERLINK("Melting_Curves/meltCurve_O14757_CHEK1.pdf", "Melting_Curves/meltCurve_O14757_CHEK1.pdf")</f>
        <v>Melting_Curves/meltCurve_O14757_CHEK1.pdf</v>
      </c>
    </row>
    <row r="1411" spans="1:28" x14ac:dyDescent="0.25">
      <c r="A1411" t="s">
        <v>1415</v>
      </c>
      <c r="B1411">
        <v>0.99999676499088797</v>
      </c>
      <c r="C1411">
        <v>1.03657239365081</v>
      </c>
      <c r="D1411">
        <v>1.15423663752997</v>
      </c>
      <c r="E1411">
        <v>0.54203531729368104</v>
      </c>
      <c r="F1411">
        <v>0.59275434588555798</v>
      </c>
      <c r="G1411">
        <v>0.60473775778430805</v>
      </c>
      <c r="H1411">
        <v>0.20386585466618701</v>
      </c>
      <c r="I1411">
        <v>0.19225904824361401</v>
      </c>
      <c r="J1411">
        <v>0.198779583853436</v>
      </c>
      <c r="K1411">
        <v>0.27371076081646001</v>
      </c>
      <c r="L1411">
        <v>751.13407396774096</v>
      </c>
      <c r="M1411">
        <v>14.129278663480299</v>
      </c>
      <c r="N1411">
        <v>54.923082843888501</v>
      </c>
      <c r="O1411">
        <v>52.130621140485196</v>
      </c>
      <c r="P1411">
        <v>-5.5420832663908001E-2</v>
      </c>
      <c r="Q1411">
        <v>0.182193622000559</v>
      </c>
      <c r="R1411">
        <v>0.86367813463032295</v>
      </c>
      <c r="S1411" t="s">
        <v>8414</v>
      </c>
      <c r="T1411" t="s">
        <v>14004</v>
      </c>
      <c r="U1411" t="s">
        <v>14004</v>
      </c>
      <c r="V1411" t="s">
        <v>14004</v>
      </c>
      <c r="W1411" t="s">
        <v>15385</v>
      </c>
      <c r="X1411">
        <v>2</v>
      </c>
      <c r="Y1411" t="s">
        <v>22313</v>
      </c>
      <c r="Z1411" t="s">
        <v>29121</v>
      </c>
      <c r="AA1411">
        <v>0.55990436517808972</v>
      </c>
      <c r="AB1411" t="str">
        <f>HYPERLINK("Melting_Curves/meltCurve_O14763_2_TNFRSF10B.pdf", "Melting_Curves/meltCurve_O14763_2_TNFRSF10B.pdf")</f>
        <v>Melting_Curves/meltCurve_O14763_2_TNFRSF10B.pdf</v>
      </c>
    </row>
    <row r="1412" spans="1:28" x14ac:dyDescent="0.25">
      <c r="A1412" t="s">
        <v>1416</v>
      </c>
      <c r="B1412">
        <v>0.99999676499088797</v>
      </c>
      <c r="C1412">
        <v>0.99570875113256896</v>
      </c>
      <c r="D1412">
        <v>0.98100339237940104</v>
      </c>
      <c r="E1412">
        <v>0.99013896181150296</v>
      </c>
      <c r="F1412">
        <v>0.56299403081435195</v>
      </c>
      <c r="G1412">
        <v>0.17433441883310599</v>
      </c>
      <c r="H1412">
        <v>7.7655787526305795E-2</v>
      </c>
      <c r="I1412">
        <v>7.8788006347791206E-2</v>
      </c>
      <c r="J1412">
        <v>7.6776359286384599E-2</v>
      </c>
      <c r="K1412">
        <v>3.9799425358008698E-2</v>
      </c>
      <c r="L1412">
        <v>2071.2306647143</v>
      </c>
      <c r="M1412">
        <v>38.755300476997597</v>
      </c>
      <c r="N1412">
        <v>53.6494928350658</v>
      </c>
      <c r="O1412">
        <v>53.302115162396902</v>
      </c>
      <c r="P1412">
        <v>-0.16922261240164699</v>
      </c>
      <c r="Q1412">
        <v>6.9040907238809901E-2</v>
      </c>
      <c r="R1412">
        <v>0.99834768503451798</v>
      </c>
      <c r="S1412" t="s">
        <v>8415</v>
      </c>
      <c r="T1412" t="s">
        <v>14004</v>
      </c>
      <c r="U1412" t="s">
        <v>14004</v>
      </c>
      <c r="V1412" t="s">
        <v>14004</v>
      </c>
      <c r="W1412" t="s">
        <v>15386</v>
      </c>
      <c r="X1412">
        <v>7</v>
      </c>
      <c r="Y1412" t="s">
        <v>22314</v>
      </c>
      <c r="Z1412" t="s">
        <v>29122</v>
      </c>
      <c r="AA1412">
        <v>0.48988719791648327</v>
      </c>
      <c r="AB1412" t="str">
        <f>HYPERLINK("Melting_Curves/meltCurve_O14772_FPGT.pdf", "Melting_Curves/meltCurve_O14772_FPGT.pdf")</f>
        <v>Melting_Curves/meltCurve_O14772_FPGT.pdf</v>
      </c>
    </row>
    <row r="1413" spans="1:28" x14ac:dyDescent="0.25">
      <c r="A1413" t="s">
        <v>1417</v>
      </c>
      <c r="B1413">
        <v>0.99999676499088797</v>
      </c>
      <c r="C1413">
        <v>0.906451685815444</v>
      </c>
      <c r="D1413">
        <v>0.82947375200669804</v>
      </c>
      <c r="E1413">
        <v>0.73112524078649599</v>
      </c>
      <c r="F1413">
        <v>0.50585648146136597</v>
      </c>
      <c r="G1413">
        <v>0.22320450734554501</v>
      </c>
      <c r="H1413">
        <v>0.114694924262463</v>
      </c>
      <c r="I1413">
        <v>0.123635803578012</v>
      </c>
      <c r="J1413">
        <v>0.116869577586467</v>
      </c>
      <c r="K1413">
        <v>0.105729775664357</v>
      </c>
      <c r="L1413">
        <v>763.55563921955104</v>
      </c>
      <c r="M1413">
        <v>14.662731456491001</v>
      </c>
      <c r="N1413">
        <v>52.533948886829002</v>
      </c>
      <c r="O1413">
        <v>51.134743668131101</v>
      </c>
      <c r="P1413">
        <v>-6.7380996505663301E-2</v>
      </c>
      <c r="Q1413">
        <v>6.0167057664424699E-2</v>
      </c>
      <c r="R1413">
        <v>0.98748101624228801</v>
      </c>
      <c r="S1413" t="s">
        <v>8416</v>
      </c>
      <c r="T1413" t="s">
        <v>14004</v>
      </c>
      <c r="U1413" t="s">
        <v>14004</v>
      </c>
      <c r="V1413" t="s">
        <v>14004</v>
      </c>
      <c r="W1413" t="s">
        <v>15387</v>
      </c>
      <c r="X1413">
        <v>4</v>
      </c>
      <c r="Y1413" t="s">
        <v>22315</v>
      </c>
      <c r="Z1413" t="s">
        <v>29123</v>
      </c>
      <c r="AA1413">
        <v>0.4601235840099891</v>
      </c>
      <c r="AB1413" t="str">
        <f>HYPERLINK("Melting_Curves/meltCurve_O14773_2_TPP1.pdf", "Melting_Curves/meltCurve_O14773_2_TPP1.pdf")</f>
        <v>Melting_Curves/meltCurve_O14773_2_TPP1.pdf</v>
      </c>
    </row>
    <row r="1414" spans="1:28" x14ac:dyDescent="0.25">
      <c r="A1414" t="s">
        <v>1418</v>
      </c>
      <c r="B1414">
        <v>0.99999676499088797</v>
      </c>
      <c r="C1414">
        <v>1.08282746172335</v>
      </c>
      <c r="D1414">
        <v>0.91916391129410802</v>
      </c>
      <c r="E1414">
        <v>0.91339285087909405</v>
      </c>
      <c r="F1414">
        <v>0.45868604747969599</v>
      </c>
      <c r="G1414">
        <v>0.205771635210175</v>
      </c>
      <c r="H1414">
        <v>4.9395034432158397E-2</v>
      </c>
      <c r="I1414">
        <v>7.1980847977037299E-2</v>
      </c>
      <c r="J1414">
        <v>5.9365658497224999E-2</v>
      </c>
      <c r="K1414">
        <v>0.13322282249676301</v>
      </c>
      <c r="L1414">
        <v>1641.74517676442</v>
      </c>
      <c r="M1414">
        <v>31.133037711416801</v>
      </c>
      <c r="N1414">
        <v>53.029760743749002</v>
      </c>
      <c r="O1414">
        <v>52.517096009426602</v>
      </c>
      <c r="P1414">
        <v>-0.136364826898554</v>
      </c>
      <c r="Q1414">
        <v>7.9891631740570901E-2</v>
      </c>
      <c r="R1414">
        <v>0.98856514117317495</v>
      </c>
      <c r="S1414" t="s">
        <v>8417</v>
      </c>
      <c r="T1414" t="s">
        <v>14004</v>
      </c>
      <c r="U1414" t="s">
        <v>14004</v>
      </c>
      <c r="V1414" t="s">
        <v>14004</v>
      </c>
      <c r="W1414" t="s">
        <v>15388</v>
      </c>
      <c r="X1414">
        <v>1</v>
      </c>
      <c r="Y1414" t="s">
        <v>22316</v>
      </c>
      <c r="Z1414" t="s">
        <v>29124</v>
      </c>
      <c r="AA1414">
        <v>0.47594833992345259</v>
      </c>
      <c r="AB1414" t="str">
        <f>HYPERLINK("Melting_Curves/meltCurve_O14775_3_GNB5.pdf", "Melting_Curves/meltCurve_O14775_3_GNB5.pdf")</f>
        <v>Melting_Curves/meltCurve_O14775_3_GNB5.pdf</v>
      </c>
    </row>
    <row r="1415" spans="1:28" x14ac:dyDescent="0.25">
      <c r="A1415" t="s">
        <v>1419</v>
      </c>
      <c r="B1415">
        <v>0.99999676499088797</v>
      </c>
      <c r="C1415">
        <v>0.84508329964366202</v>
      </c>
      <c r="D1415">
        <v>0.746548810189954</v>
      </c>
      <c r="E1415">
        <v>0.30521148692091299</v>
      </c>
      <c r="F1415">
        <v>0.18284761966201701</v>
      </c>
      <c r="G1415">
        <v>0.120869210913674</v>
      </c>
      <c r="H1415">
        <v>7.1977373152371099E-2</v>
      </c>
      <c r="I1415">
        <v>8.0743120016554995E-2</v>
      </c>
      <c r="J1415">
        <v>7.3141129675123304E-2</v>
      </c>
      <c r="K1415">
        <v>6.5617598661197402E-2</v>
      </c>
      <c r="L1415">
        <v>983.15347898728601</v>
      </c>
      <c r="M1415">
        <v>20.678794144852802</v>
      </c>
      <c r="N1415">
        <v>47.90549637318</v>
      </c>
      <c r="O1415">
        <v>47.106136372845903</v>
      </c>
      <c r="P1415">
        <v>-0.101821687561418</v>
      </c>
      <c r="Q1415">
        <v>7.2230754392231394E-2</v>
      </c>
      <c r="R1415">
        <v>0.99140754878966797</v>
      </c>
      <c r="S1415" t="s">
        <v>8418</v>
      </c>
      <c r="T1415" t="s">
        <v>14004</v>
      </c>
      <c r="U1415" t="s">
        <v>14004</v>
      </c>
      <c r="V1415" t="s">
        <v>14004</v>
      </c>
      <c r="W1415" t="s">
        <v>15389</v>
      </c>
      <c r="X1415">
        <v>55</v>
      </c>
      <c r="Y1415" t="s">
        <v>22317</v>
      </c>
      <c r="Z1415" t="s">
        <v>29125</v>
      </c>
      <c r="AA1415">
        <v>0.31793831099075659</v>
      </c>
      <c r="AB1415" t="str">
        <f>HYPERLINK("Melting_Curves/meltCurve_O14776_2_TCERG1.pdf", "Melting_Curves/meltCurve_O14776_2_TCERG1.pdf")</f>
        <v>Melting_Curves/meltCurve_O14776_2_TCERG1.pdf</v>
      </c>
    </row>
    <row r="1416" spans="1:28" x14ac:dyDescent="0.25">
      <c r="A1416" t="s">
        <v>1420</v>
      </c>
      <c r="B1416">
        <v>0.99999676499088797</v>
      </c>
      <c r="C1416">
        <v>0.81211356879487495</v>
      </c>
      <c r="D1416">
        <v>0.47954883377558299</v>
      </c>
      <c r="E1416">
        <v>0.28310240675155501</v>
      </c>
      <c r="F1416">
        <v>0.188642819008836</v>
      </c>
      <c r="G1416">
        <v>0.14284088740626499</v>
      </c>
      <c r="H1416">
        <v>9.7128713574146E-2</v>
      </c>
      <c r="I1416">
        <v>0.11403602828793501</v>
      </c>
      <c r="J1416">
        <v>0.106711501692907</v>
      </c>
      <c r="K1416">
        <v>9.9346182130332999E-2</v>
      </c>
      <c r="L1416">
        <v>929.92191675221</v>
      </c>
      <c r="M1416">
        <v>20.406258265318598</v>
      </c>
      <c r="N1416">
        <v>46.156189379446801</v>
      </c>
      <c r="O1416">
        <v>45.139574431418097</v>
      </c>
      <c r="P1416">
        <v>-0.10012776128813899</v>
      </c>
      <c r="Q1416">
        <v>0.114078034673832</v>
      </c>
      <c r="R1416">
        <v>0.99348804045397399</v>
      </c>
      <c r="S1416" t="s">
        <v>8419</v>
      </c>
      <c r="T1416" t="s">
        <v>14004</v>
      </c>
      <c r="U1416" t="s">
        <v>14004</v>
      </c>
      <c r="V1416" t="s">
        <v>14004</v>
      </c>
      <c r="W1416" t="s">
        <v>15390</v>
      </c>
      <c r="X1416">
        <v>7</v>
      </c>
      <c r="Y1416" t="s">
        <v>22318</v>
      </c>
      <c r="Z1416" t="s">
        <v>29126</v>
      </c>
      <c r="AA1416">
        <v>0.2920984882387333</v>
      </c>
      <c r="AB1416" t="str">
        <f>HYPERLINK("Melting_Curves/meltCurve_O14777_NDC80.pdf", "Melting_Curves/meltCurve_O14777_NDC80.pdf")</f>
        <v>Melting_Curves/meltCurve_O14777_NDC80.pdf</v>
      </c>
    </row>
    <row r="1417" spans="1:28" x14ac:dyDescent="0.25">
      <c r="A1417" t="s">
        <v>1421</v>
      </c>
      <c r="B1417">
        <v>0.99999676499088797</v>
      </c>
      <c r="C1417">
        <v>0.90503843205340595</v>
      </c>
      <c r="D1417">
        <v>0.788489188356711</v>
      </c>
      <c r="E1417">
        <v>0.32446173139860601</v>
      </c>
      <c r="F1417">
        <v>0.18149148898725301</v>
      </c>
      <c r="G1417">
        <v>0.117679939783929</v>
      </c>
      <c r="H1417">
        <v>5.8751811530006103E-2</v>
      </c>
      <c r="I1417">
        <v>5.5896816496204697E-2</v>
      </c>
      <c r="J1417">
        <v>5.3206827151861702E-2</v>
      </c>
      <c r="K1417">
        <v>4.0939948931280501E-2</v>
      </c>
      <c r="L1417">
        <v>1105.07729085765</v>
      </c>
      <c r="M1417">
        <v>23.008333131808399</v>
      </c>
      <c r="N1417">
        <v>48.293819447212201</v>
      </c>
      <c r="O1417">
        <v>47.671033125569103</v>
      </c>
      <c r="P1417">
        <v>-0.11352369943849901</v>
      </c>
      <c r="Q1417">
        <v>5.9177228881477299E-2</v>
      </c>
      <c r="R1417">
        <v>0.99464113352757899</v>
      </c>
      <c r="S1417" t="s">
        <v>8420</v>
      </c>
      <c r="T1417" t="s">
        <v>14004</v>
      </c>
      <c r="U1417" t="s">
        <v>14004</v>
      </c>
      <c r="V1417" t="s">
        <v>14004</v>
      </c>
      <c r="W1417" t="s">
        <v>15391</v>
      </c>
      <c r="X1417">
        <v>13</v>
      </c>
      <c r="Y1417" t="s">
        <v>22319</v>
      </c>
      <c r="Z1417" t="s">
        <v>29127</v>
      </c>
      <c r="AA1417">
        <v>0.32090636895835067</v>
      </c>
      <c r="AB1417" t="str">
        <f>HYPERLINK("Melting_Curves/meltCurve_O14787_2_TNPO2.pdf", "Melting_Curves/meltCurve_O14787_2_TNPO2.pdf")</f>
        <v>Melting_Curves/meltCurve_O14787_2_TNPO2.pdf</v>
      </c>
    </row>
    <row r="1418" spans="1:28" x14ac:dyDescent="0.25">
      <c r="A1418" t="s">
        <v>1422</v>
      </c>
      <c r="B1418">
        <v>0.99999676499088797</v>
      </c>
      <c r="C1418">
        <v>1.1661396652715099</v>
      </c>
      <c r="D1418">
        <v>0.95979704857391601</v>
      </c>
      <c r="E1418">
        <v>0.382348686023465</v>
      </c>
      <c r="F1418">
        <v>0.26847866815662003</v>
      </c>
      <c r="G1418">
        <v>0.16271824423790399</v>
      </c>
      <c r="H1418">
        <v>7.2439573597908702E-2</v>
      </c>
      <c r="I1418">
        <v>6.0798106941958502E-2</v>
      </c>
      <c r="J1418">
        <v>7.3769445240825807E-2</v>
      </c>
      <c r="K1418">
        <v>5.3968099367296803E-2</v>
      </c>
      <c r="L1418">
        <v>1865.9935680083199</v>
      </c>
      <c r="M1418">
        <v>38.216061129905199</v>
      </c>
      <c r="N1418">
        <v>49.126736593505903</v>
      </c>
      <c r="O1418">
        <v>48.694345970708802</v>
      </c>
      <c r="P1418">
        <v>-0.17582903029557101</v>
      </c>
      <c r="Q1418">
        <v>0.103847115661656</v>
      </c>
      <c r="R1418">
        <v>0.96756821568305396</v>
      </c>
      <c r="S1418" t="s">
        <v>8421</v>
      </c>
      <c r="T1418" t="s">
        <v>14004</v>
      </c>
      <c r="U1418" t="s">
        <v>14004</v>
      </c>
      <c r="V1418" t="s">
        <v>14004</v>
      </c>
      <c r="W1418" t="s">
        <v>15392</v>
      </c>
      <c r="X1418">
        <v>3</v>
      </c>
      <c r="Y1418" t="s">
        <v>22320</v>
      </c>
      <c r="Z1418" t="s">
        <v>29128</v>
      </c>
      <c r="AA1418">
        <v>0.37086108233889609</v>
      </c>
      <c r="AB1418" t="str">
        <f>HYPERLINK("Melting_Curves/meltCurve_O14802_POLR3A.pdf", "Melting_Curves/meltCurve_O14802_POLR3A.pdf")</f>
        <v>Melting_Curves/meltCurve_O14802_POLR3A.pdf</v>
      </c>
    </row>
    <row r="1419" spans="1:28" x14ac:dyDescent="0.25">
      <c r="A1419" t="s">
        <v>1423</v>
      </c>
      <c r="B1419">
        <v>0.99999676499088797</v>
      </c>
      <c r="C1419">
        <v>0.98666009808633104</v>
      </c>
      <c r="D1419">
        <v>1.03600180808131</v>
      </c>
      <c r="E1419">
        <v>1.2453092005151201</v>
      </c>
      <c r="F1419">
        <v>1.33819768006109</v>
      </c>
      <c r="G1419">
        <v>1.32404061858188</v>
      </c>
      <c r="H1419">
        <v>0.93897107374669297</v>
      </c>
      <c r="I1419">
        <v>0.66948022128054496</v>
      </c>
      <c r="J1419">
        <v>0.41669626963718998</v>
      </c>
      <c r="K1419">
        <v>0.38668946527640002</v>
      </c>
      <c r="L1419">
        <v>3425.5432841522002</v>
      </c>
      <c r="M1419">
        <v>53.680209933112799</v>
      </c>
      <c r="N1419">
        <v>65.545537718843605</v>
      </c>
      <c r="O1419">
        <v>63.725517304345701</v>
      </c>
      <c r="P1419">
        <v>-0.130793825683545</v>
      </c>
      <c r="Q1419">
        <v>0.37892203761012799</v>
      </c>
      <c r="R1419">
        <v>0.73570390566603505</v>
      </c>
      <c r="S1419" t="s">
        <v>8422</v>
      </c>
      <c r="T1419" t="s">
        <v>14004</v>
      </c>
      <c r="U1419" t="s">
        <v>14004</v>
      </c>
      <c r="V1419" t="s">
        <v>14004</v>
      </c>
      <c r="W1419" t="s">
        <v>15393</v>
      </c>
      <c r="X1419">
        <v>20</v>
      </c>
      <c r="Y1419" t="s">
        <v>22321</v>
      </c>
      <c r="Z1419" t="s">
        <v>29129</v>
      </c>
      <c r="AA1419">
        <v>0.87317929028923447</v>
      </c>
      <c r="AB1419" t="str">
        <f>HYPERLINK("Melting_Curves/meltCurve_O14818_PSMA7.pdf", "Melting_Curves/meltCurve_O14818_PSMA7.pdf")</f>
        <v>Melting_Curves/meltCurve_O14818_PSMA7.pdf</v>
      </c>
    </row>
    <row r="1420" spans="1:28" x14ac:dyDescent="0.25">
      <c r="A1420" t="s">
        <v>1424</v>
      </c>
      <c r="B1420">
        <v>0.99999676499088797</v>
      </c>
      <c r="C1420">
        <v>1.0559889903565101</v>
      </c>
      <c r="D1420">
        <v>1.07108099599345</v>
      </c>
      <c r="E1420">
        <v>1.1533726334251699</v>
      </c>
      <c r="F1420">
        <v>0.89748550267170901</v>
      </c>
      <c r="G1420">
        <v>0.99605342042651501</v>
      </c>
      <c r="H1420">
        <v>0.71797132490651105</v>
      </c>
      <c r="I1420">
        <v>0.67438928632125394</v>
      </c>
      <c r="J1420">
        <v>0.48474649355185201</v>
      </c>
      <c r="K1420">
        <v>0.41502672259058498</v>
      </c>
      <c r="L1420">
        <v>1186.8937403554301</v>
      </c>
      <c r="M1420">
        <v>18.755708695175901</v>
      </c>
      <c r="N1420">
        <v>66.980045092781793</v>
      </c>
      <c r="O1420">
        <v>62.575488805289197</v>
      </c>
      <c r="P1420">
        <v>-5.0769276728706597E-2</v>
      </c>
      <c r="Q1420">
        <v>0.32249317376007303</v>
      </c>
      <c r="R1420">
        <v>0.91416636615637803</v>
      </c>
      <c r="S1420" t="s">
        <v>8423</v>
      </c>
      <c r="T1420" t="s">
        <v>14004</v>
      </c>
      <c r="U1420" t="s">
        <v>14004</v>
      </c>
      <c r="V1420" t="s">
        <v>14004</v>
      </c>
      <c r="W1420" t="s">
        <v>15394</v>
      </c>
      <c r="X1420">
        <v>12</v>
      </c>
      <c r="Y1420" t="s">
        <v>22322</v>
      </c>
      <c r="Z1420" t="s">
        <v>29130</v>
      </c>
      <c r="AA1420">
        <v>0.84578893880525097</v>
      </c>
      <c r="AB1420" t="str">
        <f>HYPERLINK("Melting_Curves/meltCurve_O14828_SCAMP3.pdf", "Melting_Curves/meltCurve_O14828_SCAMP3.pdf")</f>
        <v>Melting_Curves/meltCurve_O14828_SCAMP3.pdf</v>
      </c>
    </row>
    <row r="1421" spans="1:28" x14ac:dyDescent="0.25">
      <c r="A1421" t="s">
        <v>1425</v>
      </c>
      <c r="B1421">
        <v>0.99999676499088797</v>
      </c>
      <c r="C1421">
        <v>1.03767145230685</v>
      </c>
      <c r="D1421">
        <v>0.98878112952958797</v>
      </c>
      <c r="E1421">
        <v>0.87730954375237802</v>
      </c>
      <c r="F1421">
        <v>0.55743522867754602</v>
      </c>
      <c r="G1421">
        <v>0.246521121407479</v>
      </c>
      <c r="H1421">
        <v>0.115567905221204</v>
      </c>
      <c r="I1421">
        <v>0.119643786896264</v>
      </c>
      <c r="J1421">
        <v>0.13051103353042301</v>
      </c>
      <c r="K1421">
        <v>0.12738347649430501</v>
      </c>
      <c r="L1421">
        <v>1448.27688548061</v>
      </c>
      <c r="M1421">
        <v>27.253793314919701</v>
      </c>
      <c r="N1421">
        <v>53.651092907005001</v>
      </c>
      <c r="O1421">
        <v>52.856756415539898</v>
      </c>
      <c r="P1421">
        <v>-0.114177105821496</v>
      </c>
      <c r="Q1421">
        <v>0.114255746362677</v>
      </c>
      <c r="R1421">
        <v>0.99823420456999801</v>
      </c>
      <c r="S1421" t="s">
        <v>8424</v>
      </c>
      <c r="T1421" t="s">
        <v>14004</v>
      </c>
      <c r="U1421" t="s">
        <v>14004</v>
      </c>
      <c r="V1421" t="s">
        <v>14004</v>
      </c>
      <c r="W1421" t="s">
        <v>15395</v>
      </c>
      <c r="X1421">
        <v>11</v>
      </c>
      <c r="Y1421" t="s">
        <v>22323</v>
      </c>
      <c r="Z1421" t="s">
        <v>29131</v>
      </c>
      <c r="AA1421">
        <v>0.50915445171628204</v>
      </c>
      <c r="AB1421" t="str">
        <f>HYPERLINK("Melting_Curves/meltCurve_O14841_OPLAH.pdf", "Melting_Curves/meltCurve_O14841_OPLAH.pdf")</f>
        <v>Melting_Curves/meltCurve_O14841_OPLAH.pdf</v>
      </c>
    </row>
    <row r="1422" spans="1:28" x14ac:dyDescent="0.25">
      <c r="A1422" t="s">
        <v>1426</v>
      </c>
      <c r="B1422">
        <v>0.99999676499088797</v>
      </c>
      <c r="C1422">
        <v>1.0260000472656201</v>
      </c>
      <c r="D1422">
        <v>1.0358834674587101</v>
      </c>
      <c r="E1422">
        <v>0.85477272584753905</v>
      </c>
      <c r="F1422">
        <v>0.57925267645798195</v>
      </c>
      <c r="G1422">
        <v>0.33311089481376899</v>
      </c>
      <c r="H1422">
        <v>0.17167188365585201</v>
      </c>
      <c r="I1422">
        <v>0.166507774772581</v>
      </c>
      <c r="J1422">
        <v>0.13237098962765001</v>
      </c>
      <c r="K1422">
        <v>0.119254066327749</v>
      </c>
      <c r="L1422">
        <v>1178.34111690433</v>
      </c>
      <c r="M1422">
        <v>22.027795728481699</v>
      </c>
      <c r="N1422">
        <v>54.206797085711401</v>
      </c>
      <c r="O1422">
        <v>53.058360529423098</v>
      </c>
      <c r="P1422">
        <v>-9.0731983185162304E-2</v>
      </c>
      <c r="Q1422">
        <v>0.12583477432862999</v>
      </c>
      <c r="R1422">
        <v>0.99614731701794001</v>
      </c>
      <c r="S1422" t="s">
        <v>8425</v>
      </c>
      <c r="T1422" t="s">
        <v>14004</v>
      </c>
      <c r="U1422" t="s">
        <v>14004</v>
      </c>
      <c r="V1422" t="s">
        <v>14004</v>
      </c>
      <c r="W1422" t="s">
        <v>15396</v>
      </c>
      <c r="X1422">
        <v>6</v>
      </c>
      <c r="Y1422" t="s">
        <v>22324</v>
      </c>
      <c r="Z1422" t="s">
        <v>29132</v>
      </c>
      <c r="AA1422">
        <v>0.52916020459555546</v>
      </c>
      <c r="AB1422" t="str">
        <f>HYPERLINK("Melting_Curves/meltCurve_O14867_BACH1.pdf", "Melting_Curves/meltCurve_O14867_BACH1.pdf")</f>
        <v>Melting_Curves/meltCurve_O14867_BACH1.pdf</v>
      </c>
    </row>
    <row r="1423" spans="1:28" x14ac:dyDescent="0.25">
      <c r="A1423" t="s">
        <v>1427</v>
      </c>
      <c r="B1423">
        <v>0.99999676499088797</v>
      </c>
      <c r="C1423">
        <v>1.00638489031687</v>
      </c>
      <c r="D1423">
        <v>0.92954503693805601</v>
      </c>
      <c r="E1423">
        <v>0.83218768731968895</v>
      </c>
      <c r="F1423">
        <v>0.89740784425518605</v>
      </c>
      <c r="G1423">
        <v>0.40716357852998403</v>
      </c>
      <c r="H1423">
        <v>0.238615426130663</v>
      </c>
      <c r="I1423">
        <v>0.26665397562117199</v>
      </c>
      <c r="J1423">
        <v>0.18708893617149699</v>
      </c>
      <c r="K1423">
        <v>0.21360729262974401</v>
      </c>
      <c r="L1423">
        <v>2289.86708244794</v>
      </c>
      <c r="M1423">
        <v>41.394711154700303</v>
      </c>
      <c r="N1423">
        <v>56.102197300323397</v>
      </c>
      <c r="O1423">
        <v>55.189241111707901</v>
      </c>
      <c r="P1423">
        <v>-0.14631811563726799</v>
      </c>
      <c r="Q1423">
        <v>0.21969064668239899</v>
      </c>
      <c r="R1423">
        <v>0.97044306876310304</v>
      </c>
      <c r="S1423" t="s">
        <v>8426</v>
      </c>
      <c r="T1423" t="s">
        <v>14004</v>
      </c>
      <c r="U1423" t="s">
        <v>14004</v>
      </c>
      <c r="V1423" t="s">
        <v>14004</v>
      </c>
      <c r="W1423" t="s">
        <v>15397</v>
      </c>
      <c r="X1423">
        <v>4</v>
      </c>
      <c r="Y1423" t="s">
        <v>22325</v>
      </c>
      <c r="Z1423" t="s">
        <v>29133</v>
      </c>
      <c r="AA1423">
        <v>0.62088822387630138</v>
      </c>
      <c r="AB1423" t="str">
        <f>HYPERLINK("Melting_Curves/meltCurve_O14893_2_GEMIN2.pdf", "Melting_Curves/meltCurve_O14893_2_GEMIN2.pdf")</f>
        <v>Melting_Curves/meltCurve_O14893_2_GEMIN2.pdf</v>
      </c>
    </row>
    <row r="1424" spans="1:28" x14ac:dyDescent="0.25">
      <c r="A1424" t="s">
        <v>1428</v>
      </c>
      <c r="B1424">
        <v>0.99999676499088797</v>
      </c>
      <c r="C1424">
        <v>0.75797150052768503</v>
      </c>
      <c r="D1424">
        <v>0.47705832267368198</v>
      </c>
      <c r="E1424">
        <v>0.23298026636289701</v>
      </c>
      <c r="F1424">
        <v>0.262282263358671</v>
      </c>
      <c r="G1424">
        <v>0.15219777057846101</v>
      </c>
      <c r="H1424">
        <v>0.112472289089097</v>
      </c>
      <c r="I1424">
        <v>8.3505302828679906E-2</v>
      </c>
      <c r="J1424">
        <v>0.10055820157822799</v>
      </c>
      <c r="K1424">
        <v>0.10116222364305</v>
      </c>
      <c r="L1424">
        <v>872.67778126860003</v>
      </c>
      <c r="M1424">
        <v>19.278784294629201</v>
      </c>
      <c r="N1424">
        <v>45.9029491124614</v>
      </c>
      <c r="O1424">
        <v>44.787623212357403</v>
      </c>
      <c r="P1424">
        <v>-9.4990371656514597E-2</v>
      </c>
      <c r="Q1424">
        <v>0.11732342987349099</v>
      </c>
      <c r="R1424">
        <v>0.98122582832380401</v>
      </c>
      <c r="S1424" t="s">
        <v>8427</v>
      </c>
      <c r="T1424" t="s">
        <v>14004</v>
      </c>
      <c r="U1424" t="s">
        <v>14004</v>
      </c>
      <c r="V1424" t="s">
        <v>14004</v>
      </c>
      <c r="W1424" t="s">
        <v>15398</v>
      </c>
      <c r="X1424">
        <v>2</v>
      </c>
      <c r="Y1424" t="s">
        <v>22326</v>
      </c>
      <c r="Z1424" t="s">
        <v>29134</v>
      </c>
      <c r="AA1424">
        <v>0.28808310336976273</v>
      </c>
      <c r="AB1424" t="str">
        <f>HYPERLINK("Melting_Curves/meltCurve_O14907_TAX1BP3.pdf", "Melting_Curves/meltCurve_O14907_TAX1BP3.pdf")</f>
        <v>Melting_Curves/meltCurve_O14907_TAX1BP3.pdf</v>
      </c>
    </row>
    <row r="1425" spans="1:28" x14ac:dyDescent="0.25">
      <c r="A1425" t="s">
        <v>1429</v>
      </c>
      <c r="B1425">
        <v>0.99999676499088797</v>
      </c>
      <c r="C1425">
        <v>0.92299421395707704</v>
      </c>
      <c r="D1425">
        <v>0.71248302510851602</v>
      </c>
      <c r="E1425">
        <v>0.34248699594687598</v>
      </c>
      <c r="F1425">
        <v>0.19503617147126701</v>
      </c>
      <c r="G1425">
        <v>0.115806162101174</v>
      </c>
      <c r="H1425">
        <v>5.9829605514971899E-2</v>
      </c>
      <c r="I1425">
        <v>5.8100997284384698E-2</v>
      </c>
      <c r="J1425">
        <v>5.79953476724476E-2</v>
      </c>
      <c r="K1425">
        <v>5.3249926315628797E-2</v>
      </c>
      <c r="L1425">
        <v>966.814436462765</v>
      </c>
      <c r="M1425">
        <v>20.217975519827299</v>
      </c>
      <c r="N1425">
        <v>48.119756850350498</v>
      </c>
      <c r="O1425">
        <v>47.359112950258599</v>
      </c>
      <c r="P1425">
        <v>-0.100406238996208</v>
      </c>
      <c r="Q1425">
        <v>5.92528568999484E-2</v>
      </c>
      <c r="R1425">
        <v>0.99818462894870497</v>
      </c>
      <c r="S1425" t="s">
        <v>8428</v>
      </c>
      <c r="T1425" t="s">
        <v>14004</v>
      </c>
      <c r="U1425" t="s">
        <v>14004</v>
      </c>
      <c r="V1425" t="s">
        <v>14004</v>
      </c>
      <c r="W1425" t="s">
        <v>15399</v>
      </c>
      <c r="X1425">
        <v>10</v>
      </c>
      <c r="Y1425" t="s">
        <v>22327</v>
      </c>
      <c r="Z1425" t="s">
        <v>29135</v>
      </c>
      <c r="AA1425">
        <v>0.31757529310946281</v>
      </c>
      <c r="AB1425" t="str">
        <f>HYPERLINK("Melting_Curves/meltCurve_O14908_GIPC1.pdf", "Melting_Curves/meltCurve_O14908_GIPC1.pdf")</f>
        <v>Melting_Curves/meltCurve_O14908_GIPC1.pdf</v>
      </c>
    </row>
    <row r="1426" spans="1:28" x14ac:dyDescent="0.25">
      <c r="A1426" t="s">
        <v>1430</v>
      </c>
      <c r="B1426">
        <v>0.99999676499088797</v>
      </c>
      <c r="C1426">
        <v>1.0196879157199199</v>
      </c>
      <c r="D1426">
        <v>0.71426182480744205</v>
      </c>
      <c r="E1426">
        <v>0.41768151608853399</v>
      </c>
      <c r="F1426">
        <v>0.26615926496332698</v>
      </c>
      <c r="G1426">
        <v>0.16548427111580999</v>
      </c>
      <c r="H1426">
        <v>8.7245249881235304E-2</v>
      </c>
      <c r="I1426">
        <v>0.106099601256815</v>
      </c>
      <c r="J1426">
        <v>0.124425304075795</v>
      </c>
      <c r="K1426">
        <v>8.4525085505717398E-2</v>
      </c>
      <c r="L1426">
        <v>973.08867487587804</v>
      </c>
      <c r="M1426">
        <v>20.172919421171901</v>
      </c>
      <c r="N1426">
        <v>48.808442834434601</v>
      </c>
      <c r="O1426">
        <v>47.770858741079302</v>
      </c>
      <c r="P1426">
        <v>-9.4476712524554293E-2</v>
      </c>
      <c r="Q1426">
        <v>0.105118772205019</v>
      </c>
      <c r="R1426">
        <v>0.98927503962325203</v>
      </c>
      <c r="S1426" t="s">
        <v>8429</v>
      </c>
      <c r="T1426" t="s">
        <v>14004</v>
      </c>
      <c r="U1426" t="s">
        <v>14004</v>
      </c>
      <c r="V1426" t="s">
        <v>14004</v>
      </c>
      <c r="W1426" t="s">
        <v>15400</v>
      </c>
      <c r="X1426">
        <v>11</v>
      </c>
      <c r="Y1426" t="s">
        <v>22328</v>
      </c>
      <c r="Z1426" t="s">
        <v>29136</v>
      </c>
      <c r="AA1426">
        <v>0.3632679951525068</v>
      </c>
      <c r="AB1426" t="str">
        <f>HYPERLINK("Melting_Curves/meltCurve_O14920_IKBKB.pdf", "Melting_Curves/meltCurve_O14920_IKBKB.pdf")</f>
        <v>Melting_Curves/meltCurve_O14920_IKBKB.pdf</v>
      </c>
    </row>
    <row r="1427" spans="1:28" x14ac:dyDescent="0.25">
      <c r="A1427" t="s">
        <v>1431</v>
      </c>
      <c r="B1427">
        <v>0.99999676499088797</v>
      </c>
      <c r="C1427">
        <v>1.1787088893220901</v>
      </c>
      <c r="D1427">
        <v>1.0417040963550599</v>
      </c>
      <c r="E1427">
        <v>1.0155004562533601</v>
      </c>
      <c r="F1427">
        <v>0.89876648946293203</v>
      </c>
      <c r="G1427">
        <v>0.92990463013536495</v>
      </c>
      <c r="H1427">
        <v>0.60797456318766296</v>
      </c>
      <c r="I1427">
        <v>0.42373251542759199</v>
      </c>
      <c r="J1427">
        <v>0.21188758803940599</v>
      </c>
      <c r="K1427">
        <v>8.59730712489854E-2</v>
      </c>
      <c r="L1427">
        <v>1241.32771047132</v>
      </c>
      <c r="M1427">
        <v>19.827087717342199</v>
      </c>
      <c r="N1427">
        <v>62.607670282862202</v>
      </c>
      <c r="O1427">
        <v>61.981220945024702</v>
      </c>
      <c r="P1427">
        <v>-7.9974852782596098E-2</v>
      </c>
      <c r="Q1427">
        <v>0</v>
      </c>
      <c r="R1427">
        <v>0.96626811087763098</v>
      </c>
      <c r="S1427" t="s">
        <v>8430</v>
      </c>
      <c r="T1427" t="s">
        <v>14004</v>
      </c>
      <c r="U1427" t="s">
        <v>14004</v>
      </c>
      <c r="V1427" t="s">
        <v>14004</v>
      </c>
      <c r="W1427" t="s">
        <v>15401</v>
      </c>
      <c r="X1427">
        <v>4</v>
      </c>
      <c r="Y1427" t="s">
        <v>22329</v>
      </c>
      <c r="Z1427" t="s">
        <v>29137</v>
      </c>
      <c r="AA1427">
        <v>0.7542572495829688</v>
      </c>
      <c r="AB1427" t="str">
        <f>HYPERLINK("Melting_Curves/meltCurve_O14925_TIMM23.pdf", "Melting_Curves/meltCurve_O14925_TIMM23.pdf")</f>
        <v>Melting_Curves/meltCurve_O14925_TIMM23.pdf</v>
      </c>
    </row>
    <row r="1428" spans="1:28" x14ac:dyDescent="0.25">
      <c r="A1428" t="s">
        <v>1432</v>
      </c>
      <c r="B1428">
        <v>0.99999676499088797</v>
      </c>
      <c r="C1428">
        <v>1.0353005068074199</v>
      </c>
      <c r="D1428">
        <v>1.0476472930123499</v>
      </c>
      <c r="E1428">
        <v>0.90746384991130902</v>
      </c>
      <c r="F1428">
        <v>0.29853732847363201</v>
      </c>
      <c r="G1428">
        <v>0.144178263974965</v>
      </c>
      <c r="H1428">
        <v>6.4980711651351997E-2</v>
      </c>
      <c r="I1428">
        <v>5.9378762026652203E-2</v>
      </c>
      <c r="J1428">
        <v>5.5194132475554103E-2</v>
      </c>
      <c r="K1428">
        <v>4.6906069268749101E-2</v>
      </c>
      <c r="L1428">
        <v>2330.40291040088</v>
      </c>
      <c r="M1428">
        <v>44.859890546635299</v>
      </c>
      <c r="N1428">
        <v>52.119024438399599</v>
      </c>
      <c r="O1428">
        <v>51.845567036383898</v>
      </c>
      <c r="P1428">
        <v>-0.201547856762744</v>
      </c>
      <c r="Q1428">
        <v>6.8268101974041706E-2</v>
      </c>
      <c r="R1428">
        <v>0.99597003848104204</v>
      </c>
      <c r="S1428" t="s">
        <v>8431</v>
      </c>
      <c r="T1428" t="s">
        <v>14004</v>
      </c>
      <c r="U1428" t="s">
        <v>14004</v>
      </c>
      <c r="V1428" t="s">
        <v>14004</v>
      </c>
      <c r="W1428" t="s">
        <v>15402</v>
      </c>
      <c r="X1428">
        <v>20</v>
      </c>
      <c r="Y1428" t="s">
        <v>22330</v>
      </c>
      <c r="Z1428" t="s">
        <v>29138</v>
      </c>
      <c r="AA1428">
        <v>0.4420159623300895</v>
      </c>
      <c r="AB1428" t="str">
        <f>HYPERLINK("Melting_Curves/meltCurve_O14929_HAT1.pdf", "Melting_Curves/meltCurve_O14929_HAT1.pdf")</f>
        <v>Melting_Curves/meltCurve_O14929_HAT1.pdf</v>
      </c>
    </row>
    <row r="1429" spans="1:28" x14ac:dyDescent="0.25">
      <c r="A1429" t="s">
        <v>1433</v>
      </c>
      <c r="B1429">
        <v>0.99999676499088797</v>
      </c>
      <c r="C1429">
        <v>0.83704708141176698</v>
      </c>
      <c r="D1429">
        <v>0.76525862155483204</v>
      </c>
      <c r="E1429">
        <v>0.48691074591557798</v>
      </c>
      <c r="F1429">
        <v>0.256195683350259</v>
      </c>
      <c r="G1429">
        <v>0.17893041675701801</v>
      </c>
      <c r="H1429">
        <v>8.3331322355068294E-2</v>
      </c>
      <c r="I1429">
        <v>8.9419298686851098E-2</v>
      </c>
      <c r="J1429">
        <v>8.6867182774337096E-2</v>
      </c>
      <c r="K1429">
        <v>0.105969080399198</v>
      </c>
      <c r="L1429">
        <v>748.18225394066701</v>
      </c>
      <c r="M1429">
        <v>15.335021255878299</v>
      </c>
      <c r="N1429">
        <v>49.278192298938997</v>
      </c>
      <c r="O1429">
        <v>47.982016725390203</v>
      </c>
      <c r="P1429">
        <v>-7.4266615128528002E-2</v>
      </c>
      <c r="Q1429">
        <v>7.0589400213161499E-2</v>
      </c>
      <c r="R1429">
        <v>0.99315869147360003</v>
      </c>
      <c r="S1429" t="s">
        <v>8432</v>
      </c>
      <c r="T1429" t="s">
        <v>14004</v>
      </c>
      <c r="U1429" t="s">
        <v>14004</v>
      </c>
      <c r="V1429" t="s">
        <v>14004</v>
      </c>
      <c r="W1429" t="s">
        <v>15403</v>
      </c>
      <c r="X1429">
        <v>9</v>
      </c>
      <c r="Y1429" t="s">
        <v>22331</v>
      </c>
      <c r="Z1429" t="s">
        <v>29139</v>
      </c>
      <c r="AA1429">
        <v>0.36504696560338801</v>
      </c>
      <c r="AB1429" t="str">
        <f>HYPERLINK("Melting_Curves/meltCurve_O14933_UBE2L6.pdf", "Melting_Curves/meltCurve_O14933_UBE2L6.pdf")</f>
        <v>Melting_Curves/meltCurve_O14933_UBE2L6.pdf</v>
      </c>
    </row>
    <row r="1430" spans="1:28" x14ac:dyDescent="0.25">
      <c r="A1430" t="s">
        <v>1434</v>
      </c>
      <c r="B1430">
        <v>0.99999676499088797</v>
      </c>
      <c r="C1430">
        <v>1.1426756638843301</v>
      </c>
      <c r="D1430">
        <v>1.07071393511622</v>
      </c>
      <c r="E1430">
        <v>0.97615543166710195</v>
      </c>
      <c r="F1430">
        <v>0.75181881620457303</v>
      </c>
      <c r="G1430">
        <v>0.74895111830976202</v>
      </c>
      <c r="H1430">
        <v>0.35118859949082998</v>
      </c>
      <c r="I1430">
        <v>0.237288193752898</v>
      </c>
      <c r="J1430">
        <v>0.16631538524349301</v>
      </c>
      <c r="K1430">
        <v>0.16728173077637401</v>
      </c>
      <c r="L1430">
        <v>1043.52621348769</v>
      </c>
      <c r="M1430">
        <v>17.903063815359399</v>
      </c>
      <c r="N1430">
        <v>59.009752837314899</v>
      </c>
      <c r="O1430">
        <v>57.574940261869997</v>
      </c>
      <c r="P1430">
        <v>-7.0093763004898002E-2</v>
      </c>
      <c r="Q1430">
        <v>9.8379839730191807E-2</v>
      </c>
      <c r="R1430">
        <v>0.96349630012165899</v>
      </c>
      <c r="S1430" t="s">
        <v>8433</v>
      </c>
      <c r="T1430" t="s">
        <v>14004</v>
      </c>
      <c r="U1430" t="s">
        <v>14004</v>
      </c>
      <c r="V1430" t="s">
        <v>14004</v>
      </c>
      <c r="W1430" t="s">
        <v>15404</v>
      </c>
      <c r="X1430">
        <v>8</v>
      </c>
      <c r="Y1430" t="s">
        <v>22332</v>
      </c>
      <c r="Z1430" t="s">
        <v>29140</v>
      </c>
      <c r="AA1430">
        <v>0.6587636330325658</v>
      </c>
      <c r="AB1430" t="str">
        <f>HYPERLINK("Melting_Curves/meltCurve_O14949_UQCRQ.pdf", "Melting_Curves/meltCurve_O14949_UQCRQ.pdf")</f>
        <v>Melting_Curves/meltCurve_O14949_UQCRQ.pdf</v>
      </c>
    </row>
    <row r="1431" spans="1:28" x14ac:dyDescent="0.25">
      <c r="A1431" t="s">
        <v>1435</v>
      </c>
      <c r="B1431">
        <v>0.99999676499088797</v>
      </c>
      <c r="C1431">
        <v>0.93629289312899699</v>
      </c>
      <c r="D1431">
        <v>0.95036647303094801</v>
      </c>
      <c r="E1431">
        <v>0.66575885358782205</v>
      </c>
      <c r="F1431">
        <v>0.20534181723602801</v>
      </c>
      <c r="G1431">
        <v>0.14578025900378599</v>
      </c>
      <c r="H1431">
        <v>7.0120244607275201E-2</v>
      </c>
      <c r="I1431">
        <v>8.2223742433437302E-2</v>
      </c>
      <c r="J1431">
        <v>0.100260567710677</v>
      </c>
      <c r="K1431">
        <v>7.9902238453395502E-2</v>
      </c>
      <c r="L1431">
        <v>1645.2662192810301</v>
      </c>
      <c r="M1431">
        <v>32.666712521340102</v>
      </c>
      <c r="N1431">
        <v>50.664054960201398</v>
      </c>
      <c r="O1431">
        <v>50.177578498835999</v>
      </c>
      <c r="P1431">
        <v>-0.148494687853478</v>
      </c>
      <c r="Q1431">
        <v>8.7625017769047506E-2</v>
      </c>
      <c r="R1431">
        <v>0.99591920030602499</v>
      </c>
      <c r="S1431" t="s">
        <v>8434</v>
      </c>
      <c r="T1431" t="s">
        <v>14004</v>
      </c>
      <c r="U1431" t="s">
        <v>14004</v>
      </c>
      <c r="V1431" t="s">
        <v>14004</v>
      </c>
      <c r="W1431" t="s">
        <v>15405</v>
      </c>
      <c r="X1431">
        <v>24</v>
      </c>
      <c r="Y1431" t="s">
        <v>22333</v>
      </c>
      <c r="Z1431" t="s">
        <v>29141</v>
      </c>
      <c r="AA1431">
        <v>0.40763814082650179</v>
      </c>
      <c r="AB1431" t="str">
        <f>HYPERLINK("Melting_Curves/meltCurve_O14964_HGS.pdf", "Melting_Curves/meltCurve_O14964_HGS.pdf")</f>
        <v>Melting_Curves/meltCurve_O14964_HGS.pdf</v>
      </c>
    </row>
    <row r="1432" spans="1:28" x14ac:dyDescent="0.25">
      <c r="A1432" t="s">
        <v>1436</v>
      </c>
      <c r="B1432">
        <v>0.99999676499088797</v>
      </c>
      <c r="C1432">
        <v>1.00381440379627</v>
      </c>
      <c r="D1432">
        <v>0.97983097778139405</v>
      </c>
      <c r="E1432">
        <v>0.88619204518389405</v>
      </c>
      <c r="F1432">
        <v>0.45259259090781401</v>
      </c>
      <c r="G1432">
        <v>0.25710062433381897</v>
      </c>
      <c r="H1432">
        <v>0.113837625521045</v>
      </c>
      <c r="I1432">
        <v>0.1087216820715</v>
      </c>
      <c r="J1432">
        <v>8.0905097401143003E-2</v>
      </c>
      <c r="K1432">
        <v>8.5591293245085007E-2</v>
      </c>
      <c r="L1432">
        <v>1396.3793394950401</v>
      </c>
      <c r="M1432">
        <v>26.4982198659132</v>
      </c>
      <c r="N1432">
        <v>53.113706755395398</v>
      </c>
      <c r="O1432">
        <v>52.3997230379317</v>
      </c>
      <c r="P1432">
        <v>-0.114562053857863</v>
      </c>
      <c r="Q1432">
        <v>9.3832682382991098E-2</v>
      </c>
      <c r="R1432">
        <v>0.99680982794294903</v>
      </c>
      <c r="S1432" t="s">
        <v>8435</v>
      </c>
      <c r="T1432" t="s">
        <v>14004</v>
      </c>
      <c r="U1432" t="s">
        <v>14004</v>
      </c>
      <c r="V1432" t="s">
        <v>14004</v>
      </c>
      <c r="W1432" t="s">
        <v>15406</v>
      </c>
      <c r="X1432">
        <v>8</v>
      </c>
      <c r="Y1432" t="s">
        <v>22334</v>
      </c>
      <c r="Z1432" t="s">
        <v>29142</v>
      </c>
      <c r="AA1432">
        <v>0.48480545118160312</v>
      </c>
      <c r="AB1432" t="str">
        <f>HYPERLINK("Melting_Curves/meltCurve_O14965_AURKA.pdf", "Melting_Curves/meltCurve_O14965_AURKA.pdf")</f>
        <v>Melting_Curves/meltCurve_O14965_AURKA.pdf</v>
      </c>
    </row>
    <row r="1433" spans="1:28" x14ac:dyDescent="0.25">
      <c r="A1433" t="s">
        <v>1437</v>
      </c>
      <c r="B1433">
        <v>0.99999676499088797</v>
      </c>
      <c r="C1433">
        <v>0.84547434445415404</v>
      </c>
      <c r="D1433">
        <v>0.81974130922460198</v>
      </c>
      <c r="E1433">
        <v>0.79820716702523897</v>
      </c>
      <c r="F1433">
        <v>0.51492890651474799</v>
      </c>
      <c r="G1433">
        <v>0.287033373155483</v>
      </c>
      <c r="H1433">
        <v>5.76923746778433E-2</v>
      </c>
      <c r="I1433">
        <v>5.2391160713075098E-2</v>
      </c>
      <c r="J1433">
        <v>5.3256807369349499E-2</v>
      </c>
      <c r="K1433">
        <v>4.4882917609675402E-2</v>
      </c>
      <c r="L1433">
        <v>773.743337711658</v>
      </c>
      <c r="M1433">
        <v>14.583849865608</v>
      </c>
      <c r="N1433">
        <v>53.054813189205603</v>
      </c>
      <c r="O1433">
        <v>52.087202201276703</v>
      </c>
      <c r="P1433">
        <v>-7.0005175142865403E-2</v>
      </c>
      <c r="Q1433">
        <v>0</v>
      </c>
      <c r="R1433">
        <v>0.97529057440081401</v>
      </c>
      <c r="S1433" t="s">
        <v>8436</v>
      </c>
      <c r="T1433" t="s">
        <v>14004</v>
      </c>
      <c r="U1433" t="s">
        <v>14004</v>
      </c>
      <c r="V1433" t="s">
        <v>14004</v>
      </c>
      <c r="W1433" t="s">
        <v>15407</v>
      </c>
      <c r="X1433">
        <v>4</v>
      </c>
      <c r="Y1433" t="s">
        <v>22335</v>
      </c>
      <c r="Z1433" t="s">
        <v>29143</v>
      </c>
      <c r="AA1433">
        <v>0.45747060461520977</v>
      </c>
      <c r="AB1433" t="str">
        <f>HYPERLINK("Melting_Curves/meltCurve_O14966_RAB7L1.pdf", "Melting_Curves/meltCurve_O14966_RAB7L1.pdf")</f>
        <v>Melting_Curves/meltCurve_O14966_RAB7L1.pdf</v>
      </c>
    </row>
    <row r="1434" spans="1:28" x14ac:dyDescent="0.25">
      <c r="A1434" t="s">
        <v>1438</v>
      </c>
      <c r="B1434">
        <v>0.99999676499088797</v>
      </c>
      <c r="C1434">
        <v>0.96757671214761998</v>
      </c>
      <c r="D1434">
        <v>0.94385893786393504</v>
      </c>
      <c r="E1434">
        <v>0.68701340388646803</v>
      </c>
      <c r="F1434">
        <v>0.33196586142534601</v>
      </c>
      <c r="G1434">
        <v>0.299869069175069</v>
      </c>
      <c r="H1434">
        <v>0.129265912783742</v>
      </c>
      <c r="I1434">
        <v>0.136239760238829</v>
      </c>
      <c r="J1434">
        <v>8.8573920954741606E-2</v>
      </c>
      <c r="K1434">
        <v>9.2426822462632702E-2</v>
      </c>
      <c r="L1434">
        <v>1003.93017525601</v>
      </c>
      <c r="M1434">
        <v>19.638602412365199</v>
      </c>
      <c r="N1434">
        <v>51.741307295674098</v>
      </c>
      <c r="O1434">
        <v>50.599041055547097</v>
      </c>
      <c r="P1434">
        <v>-8.6845202940457E-2</v>
      </c>
      <c r="Q1434">
        <v>0.105001428351562</v>
      </c>
      <c r="R1434">
        <v>0.99044424635983896</v>
      </c>
      <c r="S1434" t="s">
        <v>8437</v>
      </c>
      <c r="T1434" t="s">
        <v>14004</v>
      </c>
      <c r="U1434" t="s">
        <v>14004</v>
      </c>
      <c r="V1434" t="s">
        <v>14004</v>
      </c>
      <c r="W1434" t="s">
        <v>15408</v>
      </c>
      <c r="X1434">
        <v>8</v>
      </c>
      <c r="Y1434" t="s">
        <v>22336</v>
      </c>
      <c r="Z1434" t="s">
        <v>29144</v>
      </c>
      <c r="AA1434">
        <v>0.44960289481208249</v>
      </c>
      <c r="AB1434" t="str">
        <f>HYPERLINK("Melting_Curves/meltCurve_O14967_CLGN.pdf", "Melting_Curves/meltCurve_O14967_CLGN.pdf")</f>
        <v>Melting_Curves/meltCurve_O14967_CLGN.pdf</v>
      </c>
    </row>
    <row r="1435" spans="1:28" x14ac:dyDescent="0.25">
      <c r="A1435" t="s">
        <v>1439</v>
      </c>
      <c r="B1435">
        <v>0.99999676499088797</v>
      </c>
      <c r="C1435">
        <v>0.96436190550493694</v>
      </c>
      <c r="D1435">
        <v>0.88713141183961697</v>
      </c>
      <c r="E1435">
        <v>0.55882394862761198</v>
      </c>
      <c r="F1435">
        <v>0.28435353611680603</v>
      </c>
      <c r="G1435">
        <v>0.21471093268597699</v>
      </c>
      <c r="H1435">
        <v>0.128448632343382</v>
      </c>
      <c r="I1435">
        <v>0.15155285428804599</v>
      </c>
      <c r="J1435">
        <v>0.17659195537261499</v>
      </c>
      <c r="K1435">
        <v>0.16961373121600601</v>
      </c>
      <c r="L1435">
        <v>1190.0905371184299</v>
      </c>
      <c r="M1435">
        <v>24.075819613233602</v>
      </c>
      <c r="N1435">
        <v>50.219583999947702</v>
      </c>
      <c r="O1435">
        <v>49.093706083296397</v>
      </c>
      <c r="P1435">
        <v>-0.103303552301084</v>
      </c>
      <c r="Q1435">
        <v>0.15741600903441699</v>
      </c>
      <c r="R1435">
        <v>0.99770365165816499</v>
      </c>
      <c r="S1435" t="s">
        <v>8438</v>
      </c>
      <c r="T1435" t="s">
        <v>14004</v>
      </c>
      <c r="U1435" t="s">
        <v>14004</v>
      </c>
      <c r="V1435" t="s">
        <v>14004</v>
      </c>
      <c r="W1435" t="s">
        <v>15409</v>
      </c>
      <c r="X1435">
        <v>29</v>
      </c>
      <c r="Y1435" t="s">
        <v>22337</v>
      </c>
      <c r="Z1435" t="s">
        <v>29145</v>
      </c>
      <c r="AA1435">
        <v>0.43038274333015841</v>
      </c>
      <c r="AB1435" t="str">
        <f>HYPERLINK("Melting_Curves/meltCurve_O14974_4_PPP1R12A.pdf", "Melting_Curves/meltCurve_O14974_4_PPP1R12A.pdf")</f>
        <v>Melting_Curves/meltCurve_O14974_4_PPP1R12A.pdf</v>
      </c>
    </row>
    <row r="1436" spans="1:28" x14ac:dyDescent="0.25">
      <c r="A1436" t="s">
        <v>1440</v>
      </c>
      <c r="B1436">
        <v>0.99999676499088797</v>
      </c>
      <c r="C1436">
        <v>0.98658036015828798</v>
      </c>
      <c r="D1436">
        <v>0.74853897928331603</v>
      </c>
      <c r="E1436">
        <v>0.36149441375950903</v>
      </c>
      <c r="F1436">
        <v>0.28553474585425198</v>
      </c>
      <c r="G1436">
        <v>0.175960330794697</v>
      </c>
      <c r="H1436">
        <v>7.6771602980469797E-2</v>
      </c>
      <c r="I1436">
        <v>6.3667405259928103E-2</v>
      </c>
      <c r="J1436">
        <v>5.86862195941079E-2</v>
      </c>
      <c r="K1436">
        <v>3.3985503188694102E-2</v>
      </c>
      <c r="L1436">
        <v>894.82349391275295</v>
      </c>
      <c r="M1436">
        <v>18.464904158703</v>
      </c>
      <c r="N1436">
        <v>48.831630270358403</v>
      </c>
      <c r="O1436">
        <v>47.903109860044999</v>
      </c>
      <c r="P1436">
        <v>-9.0065388050532602E-2</v>
      </c>
      <c r="Q1436">
        <v>6.5422792276332797E-2</v>
      </c>
      <c r="R1436">
        <v>0.98594068939383706</v>
      </c>
      <c r="S1436" t="s">
        <v>8439</v>
      </c>
      <c r="T1436" t="s">
        <v>14004</v>
      </c>
      <c r="U1436" t="s">
        <v>14004</v>
      </c>
      <c r="V1436" t="s">
        <v>14004</v>
      </c>
      <c r="W1436" t="s">
        <v>15410</v>
      </c>
      <c r="X1436">
        <v>4</v>
      </c>
      <c r="Y1436" t="s">
        <v>22338</v>
      </c>
      <c r="Z1436" t="s">
        <v>29146</v>
      </c>
      <c r="AA1436">
        <v>0.3445388845309012</v>
      </c>
      <c r="AB1436" t="str">
        <f>HYPERLINK("Melting_Curves/meltCurve_O14975_2_SLC27A2.pdf", "Melting_Curves/meltCurve_O14975_2_SLC27A2.pdf")</f>
        <v>Melting_Curves/meltCurve_O14975_2_SLC27A2.pdf</v>
      </c>
    </row>
    <row r="1437" spans="1:28" x14ac:dyDescent="0.25">
      <c r="A1437" t="s">
        <v>1441</v>
      </c>
      <c r="B1437">
        <v>0.99999676499088797</v>
      </c>
      <c r="C1437">
        <v>0.95439750192067996</v>
      </c>
      <c r="D1437">
        <v>0.72454153205636196</v>
      </c>
      <c r="E1437">
        <v>0.258674172453079</v>
      </c>
      <c r="F1437">
        <v>0.19353461695309301</v>
      </c>
      <c r="G1437">
        <v>0.11898579253887299</v>
      </c>
      <c r="H1437">
        <v>6.03030914774196E-2</v>
      </c>
      <c r="I1437">
        <v>7.2019736382434904E-2</v>
      </c>
      <c r="J1437">
        <v>7.0637673761808295E-2</v>
      </c>
      <c r="K1437">
        <v>6.6721692125796303E-2</v>
      </c>
      <c r="L1437">
        <v>1281.7121789307801</v>
      </c>
      <c r="M1437">
        <v>27.067420043676702</v>
      </c>
      <c r="N1437">
        <v>47.6729799449854</v>
      </c>
      <c r="O1437">
        <v>47.096364131478197</v>
      </c>
      <c r="P1437">
        <v>-0.131733270893028</v>
      </c>
      <c r="Q1437">
        <v>8.3163569116875197E-2</v>
      </c>
      <c r="R1437">
        <v>0.99442093414177102</v>
      </c>
      <c r="S1437" t="s">
        <v>8440</v>
      </c>
      <c r="T1437" t="s">
        <v>14004</v>
      </c>
      <c r="U1437" t="s">
        <v>14004</v>
      </c>
      <c r="V1437" t="s">
        <v>14004</v>
      </c>
      <c r="W1437" t="s">
        <v>15411</v>
      </c>
      <c r="X1437">
        <v>24</v>
      </c>
      <c r="Y1437" t="s">
        <v>22339</v>
      </c>
      <c r="Z1437" t="s">
        <v>29147</v>
      </c>
      <c r="AA1437">
        <v>0.31472057588600127</v>
      </c>
      <c r="AB1437" t="str">
        <f>HYPERLINK("Melting_Curves/meltCurve_O14976_GAK.pdf", "Melting_Curves/meltCurve_O14976_GAK.pdf")</f>
        <v>Melting_Curves/meltCurve_O14976_GAK.pdf</v>
      </c>
    </row>
    <row r="1438" spans="1:28" x14ac:dyDescent="0.25">
      <c r="A1438" t="s">
        <v>1442</v>
      </c>
      <c r="B1438">
        <v>0.99999676499088797</v>
      </c>
      <c r="C1438">
        <v>0.975749819151844</v>
      </c>
      <c r="D1438">
        <v>1.00179209527987</v>
      </c>
      <c r="E1438">
        <v>0.953281664474667</v>
      </c>
      <c r="F1438">
        <v>0.75893017251084005</v>
      </c>
      <c r="G1438">
        <v>0.82626363401250802</v>
      </c>
      <c r="H1438">
        <v>0.64563590901103796</v>
      </c>
      <c r="I1438">
        <v>0.88300347563220905</v>
      </c>
      <c r="J1438">
        <v>1.0023283797101901</v>
      </c>
      <c r="K1438">
        <v>1.0629718547659299</v>
      </c>
      <c r="L1438">
        <v>12432.5724149171</v>
      </c>
      <c r="M1438">
        <v>250</v>
      </c>
      <c r="O1438">
        <v>49.727107413298498</v>
      </c>
      <c r="P1438">
        <v>-0.17195235883550899</v>
      </c>
      <c r="Q1438">
        <v>0.86318890592237296</v>
      </c>
      <c r="R1438">
        <v>0.227407113274982</v>
      </c>
      <c r="S1438" t="s">
        <v>8441</v>
      </c>
      <c r="T1438" t="s">
        <v>14004</v>
      </c>
      <c r="U1438" t="s">
        <v>14004</v>
      </c>
      <c r="V1438" t="s">
        <v>14004</v>
      </c>
      <c r="W1438" t="s">
        <v>15412</v>
      </c>
      <c r="X1438">
        <v>18</v>
      </c>
      <c r="Y1438" t="s">
        <v>22340</v>
      </c>
      <c r="Z1438" t="s">
        <v>29148</v>
      </c>
      <c r="AA1438">
        <v>0.90757456536598313</v>
      </c>
      <c r="AB1438" t="str">
        <f>HYPERLINK("Melting_Curves/meltCurve_O14979_HNRPDL.pdf", "Melting_Curves/meltCurve_O14979_HNRPDL.pdf")</f>
        <v>Melting_Curves/meltCurve_O14979_HNRPDL.pdf</v>
      </c>
    </row>
    <row r="1439" spans="1:28" x14ac:dyDescent="0.25">
      <c r="A1439" t="s">
        <v>1443</v>
      </c>
      <c r="B1439">
        <v>0.99999676499088797</v>
      </c>
      <c r="C1439">
        <v>0.90478906006150195</v>
      </c>
      <c r="D1439">
        <v>0.89989518724937501</v>
      </c>
      <c r="E1439">
        <v>0.38601129523348998</v>
      </c>
      <c r="F1439">
        <v>0.205549675416419</v>
      </c>
      <c r="G1439">
        <v>0.14257645855711401</v>
      </c>
      <c r="H1439">
        <v>6.6562869645180295E-2</v>
      </c>
      <c r="I1439">
        <v>6.6615116969157506E-2</v>
      </c>
      <c r="J1439">
        <v>5.49975671329547E-2</v>
      </c>
      <c r="K1439">
        <v>5.0447125832849202E-2</v>
      </c>
      <c r="L1439">
        <v>1293.35492899576</v>
      </c>
      <c r="M1439">
        <v>26.535036135168198</v>
      </c>
      <c r="N1439">
        <v>49.036365817282601</v>
      </c>
      <c r="O1439">
        <v>48.467107956423597</v>
      </c>
      <c r="P1439">
        <v>-0.12677673221783201</v>
      </c>
      <c r="Q1439">
        <v>7.3762643174842907E-2</v>
      </c>
      <c r="R1439">
        <v>0.98901066315058195</v>
      </c>
      <c r="S1439" t="s">
        <v>8442</v>
      </c>
      <c r="T1439" t="s">
        <v>14004</v>
      </c>
      <c r="U1439" t="s">
        <v>14004</v>
      </c>
      <c r="V1439" t="s">
        <v>14004</v>
      </c>
      <c r="W1439" t="s">
        <v>15413</v>
      </c>
      <c r="X1439">
        <v>31</v>
      </c>
      <c r="Y1439" t="s">
        <v>22341</v>
      </c>
      <c r="Z1439" t="s">
        <v>29149</v>
      </c>
      <c r="AA1439">
        <v>0.35089301131447281</v>
      </c>
      <c r="AB1439" t="str">
        <f>HYPERLINK("Melting_Curves/meltCurve_O14980_XPO1.pdf", "Melting_Curves/meltCurve_O14980_XPO1.pdf")</f>
        <v>Melting_Curves/meltCurve_O14980_XPO1.pdf</v>
      </c>
    </row>
    <row r="1440" spans="1:28" x14ac:dyDescent="0.25">
      <c r="A1440" t="s">
        <v>1444</v>
      </c>
      <c r="B1440">
        <v>0.99999676499088797</v>
      </c>
      <c r="C1440">
        <v>1.1427426702162899</v>
      </c>
      <c r="D1440">
        <v>1.0020970500831301</v>
      </c>
      <c r="E1440">
        <v>0.49887405793994799</v>
      </c>
      <c r="F1440">
        <v>0.16675053203512499</v>
      </c>
      <c r="G1440">
        <v>0.112632874812962</v>
      </c>
      <c r="H1440">
        <v>5.0590865854797801E-2</v>
      </c>
      <c r="I1440">
        <v>5.13400541021099E-2</v>
      </c>
      <c r="J1440">
        <v>4.6398153697044801E-2</v>
      </c>
      <c r="K1440">
        <v>3.6107640309888299E-2</v>
      </c>
      <c r="L1440">
        <v>1957.67776605939</v>
      </c>
      <c r="M1440">
        <v>39.525051801373799</v>
      </c>
      <c r="N1440">
        <v>49.704491286708098</v>
      </c>
      <c r="O1440">
        <v>49.403770430277</v>
      </c>
      <c r="P1440">
        <v>-0.18705753537516401</v>
      </c>
      <c r="Q1440">
        <v>6.4762546415471703E-2</v>
      </c>
      <c r="R1440">
        <v>0.985043164739279</v>
      </c>
      <c r="S1440" t="s">
        <v>8443</v>
      </c>
      <c r="T1440" t="s">
        <v>14004</v>
      </c>
      <c r="U1440" t="s">
        <v>14004</v>
      </c>
      <c r="V1440" t="s">
        <v>14004</v>
      </c>
      <c r="W1440" t="s">
        <v>15414</v>
      </c>
      <c r="X1440">
        <v>11</v>
      </c>
      <c r="Y1440" t="s">
        <v>22342</v>
      </c>
      <c r="Z1440" t="s">
        <v>29150</v>
      </c>
      <c r="AA1440">
        <v>0.36514003647790277</v>
      </c>
      <c r="AB1440" t="str">
        <f>HYPERLINK("Melting_Curves/meltCurve_O14981_BTAF1.pdf", "Melting_Curves/meltCurve_O14981_BTAF1.pdf")</f>
        <v>Melting_Curves/meltCurve_O14981_BTAF1.pdf</v>
      </c>
    </row>
    <row r="1441" spans="1:28" x14ac:dyDescent="0.25">
      <c r="A1441" t="s">
        <v>1445</v>
      </c>
      <c r="B1441">
        <v>0.99999676499088797</v>
      </c>
      <c r="C1441">
        <v>0.92107409679112595</v>
      </c>
      <c r="D1441">
        <v>0.80341401025596804</v>
      </c>
      <c r="E1441">
        <v>0.61760262637590502</v>
      </c>
      <c r="F1441">
        <v>0.52028421599303398</v>
      </c>
      <c r="G1441">
        <v>0.37165411495614098</v>
      </c>
      <c r="H1441">
        <v>0.33396454989241497</v>
      </c>
      <c r="I1441">
        <v>0.504688369279644</v>
      </c>
      <c r="J1441">
        <v>0.53305038381432301</v>
      </c>
      <c r="K1441">
        <v>0.65601493075957396</v>
      </c>
      <c r="L1441">
        <v>1103.9341856497299</v>
      </c>
      <c r="M1441">
        <v>23.5292810688461</v>
      </c>
      <c r="N1441">
        <v>54.699138257494198</v>
      </c>
      <c r="O1441">
        <v>46.582509093717498</v>
      </c>
      <c r="P1441">
        <v>-6.5360900223507698E-2</v>
      </c>
      <c r="Q1441">
        <v>0.48241129456892201</v>
      </c>
      <c r="R1441">
        <v>0.83919077197770697</v>
      </c>
      <c r="S1441" t="s">
        <v>8444</v>
      </c>
      <c r="T1441" t="s">
        <v>14004</v>
      </c>
      <c r="U1441" t="s">
        <v>14004</v>
      </c>
      <c r="V1441" t="s">
        <v>14004</v>
      </c>
      <c r="W1441" t="s">
        <v>15415</v>
      </c>
      <c r="X1441">
        <v>8</v>
      </c>
      <c r="Y1441" t="s">
        <v>22343</v>
      </c>
      <c r="Z1441" t="s">
        <v>29151</v>
      </c>
      <c r="AA1441">
        <v>0.60705380207216308</v>
      </c>
      <c r="AB1441" t="str">
        <f>HYPERLINK("Melting_Curves/meltCurve_O15014_ZNF609.pdf", "Melting_Curves/meltCurve_O15014_ZNF609.pdf")</f>
        <v>Melting_Curves/meltCurve_O15014_ZNF609.pdf</v>
      </c>
    </row>
    <row r="1442" spans="1:28" x14ac:dyDescent="0.25">
      <c r="A1442" t="s">
        <v>1446</v>
      </c>
      <c r="B1442">
        <v>0.99999676499088797</v>
      </c>
      <c r="C1442">
        <v>1.2066176203381</v>
      </c>
      <c r="D1442">
        <v>1.13091895603654</v>
      </c>
      <c r="E1442">
        <v>1.06096033820483</v>
      </c>
      <c r="F1442">
        <v>0.619531427354443</v>
      </c>
      <c r="G1442">
        <v>0.56240543376311003</v>
      </c>
      <c r="H1442">
        <v>0.333345014287384</v>
      </c>
      <c r="I1442">
        <v>0.47024392326474201</v>
      </c>
      <c r="J1442">
        <v>0.73400065202189002</v>
      </c>
      <c r="K1442">
        <v>0.46101198233287699</v>
      </c>
      <c r="L1442">
        <v>13232.6756824041</v>
      </c>
      <c r="M1442">
        <v>250</v>
      </c>
      <c r="O1442">
        <v>52.9273224840193</v>
      </c>
      <c r="P1442">
        <v>-0.57602416984110905</v>
      </c>
      <c r="Q1442">
        <v>0.51220139273021503</v>
      </c>
      <c r="R1442">
        <v>0.83152272564791996</v>
      </c>
      <c r="S1442" t="s">
        <v>8445</v>
      </c>
      <c r="T1442" t="s">
        <v>14004</v>
      </c>
      <c r="U1442" t="s">
        <v>14004</v>
      </c>
      <c r="V1442" t="s">
        <v>14004</v>
      </c>
      <c r="W1442" t="s">
        <v>15416</v>
      </c>
      <c r="X1442">
        <v>5</v>
      </c>
      <c r="Y1442" t="s">
        <v>22344</v>
      </c>
      <c r="Z1442" t="s">
        <v>29152</v>
      </c>
      <c r="AA1442">
        <v>0.72249933167558544</v>
      </c>
      <c r="AB1442" t="str">
        <f>HYPERLINK("Melting_Curves/meltCurve_O15015_ZNF646.pdf", "Melting_Curves/meltCurve_O15015_ZNF646.pdf")</f>
        <v>Melting_Curves/meltCurve_O15015_ZNF646.pdf</v>
      </c>
    </row>
    <row r="1443" spans="1:28" x14ac:dyDescent="0.25">
      <c r="A1443" t="s">
        <v>1447</v>
      </c>
      <c r="B1443">
        <v>0.99999676499088797</v>
      </c>
      <c r="C1443">
        <v>0.90702686041334502</v>
      </c>
      <c r="D1443">
        <v>0.87354497308273305</v>
      </c>
      <c r="E1443">
        <v>0.45024067834222498</v>
      </c>
      <c r="F1443">
        <v>0.57703816183683299</v>
      </c>
      <c r="G1443">
        <v>0.260502465890184</v>
      </c>
      <c r="H1443">
        <v>0.273014273639825</v>
      </c>
      <c r="I1443">
        <v>0.15867180278026399</v>
      </c>
      <c r="J1443">
        <v>0.164845388140306</v>
      </c>
      <c r="K1443">
        <v>0.118687729026627</v>
      </c>
      <c r="L1443">
        <v>582.93391784955998</v>
      </c>
      <c r="M1443">
        <v>11.4516992303599</v>
      </c>
      <c r="N1443">
        <v>51.951479677159099</v>
      </c>
      <c r="O1443">
        <v>49.425661517428701</v>
      </c>
      <c r="P1443">
        <v>-5.1966055870087798E-2</v>
      </c>
      <c r="Q1443">
        <v>0.103115027221925</v>
      </c>
      <c r="R1443">
        <v>0.94236248557297497</v>
      </c>
      <c r="S1443" t="s">
        <v>8446</v>
      </c>
      <c r="T1443" t="s">
        <v>14004</v>
      </c>
      <c r="U1443" t="s">
        <v>14004</v>
      </c>
      <c r="V1443" t="s">
        <v>14004</v>
      </c>
      <c r="W1443" t="s">
        <v>15417</v>
      </c>
      <c r="X1443">
        <v>25</v>
      </c>
      <c r="Y1443" t="s">
        <v>22345</v>
      </c>
      <c r="Z1443" t="s">
        <v>29153</v>
      </c>
      <c r="AA1443">
        <v>0.4605365970752705</v>
      </c>
      <c r="AB1443" t="str">
        <f>HYPERLINK("Melting_Curves/meltCurve_O15020_2_SPTBN2.pdf", "Melting_Curves/meltCurve_O15020_2_SPTBN2.pdf")</f>
        <v>Melting_Curves/meltCurve_O15020_2_SPTBN2.pdf</v>
      </c>
    </row>
    <row r="1444" spans="1:28" x14ac:dyDescent="0.25">
      <c r="A1444" t="s">
        <v>1448</v>
      </c>
      <c r="B1444">
        <v>0.99999676499088797</v>
      </c>
      <c r="C1444">
        <v>1.03654980095055</v>
      </c>
      <c r="D1444">
        <v>1.0031490029458501</v>
      </c>
      <c r="E1444">
        <v>0.91749705105975599</v>
      </c>
      <c r="F1444">
        <v>0.72366819099345003</v>
      </c>
      <c r="G1444">
        <v>0.45083186152606403</v>
      </c>
      <c r="H1444">
        <v>0.150943345730019</v>
      </c>
      <c r="I1444">
        <v>0.12953637016144101</v>
      </c>
      <c r="J1444">
        <v>9.5060525268894802E-2</v>
      </c>
      <c r="K1444">
        <v>9.5014822088584305E-2</v>
      </c>
      <c r="L1444">
        <v>1196.7959318753001</v>
      </c>
      <c r="M1444">
        <v>21.581703668759701</v>
      </c>
      <c r="N1444">
        <v>55.857799672978899</v>
      </c>
      <c r="O1444">
        <v>54.984660442402202</v>
      </c>
      <c r="P1444">
        <v>-9.1043968463049393E-2</v>
      </c>
      <c r="Q1444">
        <v>7.2195367825030304E-2</v>
      </c>
      <c r="R1444">
        <v>0.99683688498164802</v>
      </c>
      <c r="S1444" t="s">
        <v>8447</v>
      </c>
      <c r="T1444" t="s">
        <v>14004</v>
      </c>
      <c r="U1444" t="s">
        <v>14004</v>
      </c>
      <c r="V1444" t="s">
        <v>14004</v>
      </c>
      <c r="W1444" t="s">
        <v>15418</v>
      </c>
      <c r="X1444">
        <v>10</v>
      </c>
      <c r="Y1444" t="s">
        <v>22346</v>
      </c>
      <c r="Z1444" t="s">
        <v>29154</v>
      </c>
      <c r="AA1444">
        <v>0.56102805555134494</v>
      </c>
      <c r="AB1444" t="str">
        <f>HYPERLINK("Melting_Curves/meltCurve_O15040_TECPR2.pdf", "Melting_Curves/meltCurve_O15040_TECPR2.pdf")</f>
        <v>Melting_Curves/meltCurve_O15040_TECPR2.pdf</v>
      </c>
    </row>
    <row r="1445" spans="1:28" x14ac:dyDescent="0.25">
      <c r="A1445" t="s">
        <v>1449</v>
      </c>
      <c r="B1445">
        <v>0.99999676499088797</v>
      </c>
      <c r="C1445">
        <v>0.82124942445446303</v>
      </c>
      <c r="D1445">
        <v>0.42507376456269502</v>
      </c>
      <c r="E1445">
        <v>0.24527310064996599</v>
      </c>
      <c r="F1445">
        <v>0.21087980160529801</v>
      </c>
      <c r="G1445">
        <v>0.16613273662050301</v>
      </c>
      <c r="H1445">
        <v>9.7046444941507007E-2</v>
      </c>
      <c r="I1445">
        <v>0.105786096859074</v>
      </c>
      <c r="J1445">
        <v>0.101612129858316</v>
      </c>
      <c r="K1445">
        <v>9.58437859606628E-2</v>
      </c>
      <c r="L1445">
        <v>1094.5347606963701</v>
      </c>
      <c r="M1445">
        <v>24.2637185721333</v>
      </c>
      <c r="N1445">
        <v>45.656662629253802</v>
      </c>
      <c r="O1445">
        <v>44.8068458473468</v>
      </c>
      <c r="P1445">
        <v>-0.118313309096665</v>
      </c>
      <c r="Q1445">
        <v>0.12607479841616701</v>
      </c>
      <c r="R1445">
        <v>0.98729171468132904</v>
      </c>
      <c r="S1445" t="s">
        <v>8448</v>
      </c>
      <c r="T1445" t="s">
        <v>14004</v>
      </c>
      <c r="U1445" t="s">
        <v>14004</v>
      </c>
      <c r="V1445" t="s">
        <v>14004</v>
      </c>
      <c r="W1445" t="s">
        <v>15419</v>
      </c>
      <c r="X1445">
        <v>8</v>
      </c>
      <c r="Y1445" t="s">
        <v>22347</v>
      </c>
      <c r="Z1445" t="s">
        <v>29155</v>
      </c>
      <c r="AA1445">
        <v>0.28418187369475129</v>
      </c>
      <c r="AB1445" t="str">
        <f>HYPERLINK("Melting_Curves/meltCurve_O15047_SETD1A.pdf", "Melting_Curves/meltCurve_O15047_SETD1A.pdf")</f>
        <v>Melting_Curves/meltCurve_O15047_SETD1A.pdf</v>
      </c>
    </row>
    <row r="1446" spans="1:28" x14ac:dyDescent="0.25">
      <c r="A1446" t="s">
        <v>1450</v>
      </c>
      <c r="B1446">
        <v>0.99999676499088797</v>
      </c>
      <c r="C1446">
        <v>1.0641382787660001</v>
      </c>
      <c r="D1446">
        <v>0.85362353851914397</v>
      </c>
      <c r="E1446">
        <v>0.40239707374544997</v>
      </c>
      <c r="F1446">
        <v>0.24899005530156901</v>
      </c>
      <c r="G1446">
        <v>0.201859887482744</v>
      </c>
      <c r="H1446">
        <v>0.16183903168956601</v>
      </c>
      <c r="I1446">
        <v>0.210641596309737</v>
      </c>
      <c r="J1446">
        <v>0.24292679995888899</v>
      </c>
      <c r="K1446">
        <v>0.22020845457230401</v>
      </c>
      <c r="L1446">
        <v>1730.44785870435</v>
      </c>
      <c r="M1446">
        <v>36.033425272436702</v>
      </c>
      <c r="N1446">
        <v>48.760369546813102</v>
      </c>
      <c r="O1446">
        <v>47.876205163970802</v>
      </c>
      <c r="P1446">
        <v>-0.14865275111165999</v>
      </c>
      <c r="Q1446">
        <v>0.20996586283841701</v>
      </c>
      <c r="R1446">
        <v>0.99183440490303298</v>
      </c>
      <c r="S1446" t="s">
        <v>8449</v>
      </c>
      <c r="T1446" t="s">
        <v>14004</v>
      </c>
      <c r="U1446" t="s">
        <v>14004</v>
      </c>
      <c r="V1446" t="s">
        <v>14004</v>
      </c>
      <c r="W1446" t="s">
        <v>15420</v>
      </c>
      <c r="X1446">
        <v>8</v>
      </c>
      <c r="Y1446" t="s">
        <v>22348</v>
      </c>
      <c r="Z1446" t="s">
        <v>29156</v>
      </c>
      <c r="AA1446">
        <v>0.42451331181816171</v>
      </c>
      <c r="AB1446" t="str">
        <f>HYPERLINK("Melting_Curves/meltCurve_O15056_SYNJ2.pdf", "Melting_Curves/meltCurve_O15056_SYNJ2.pdf")</f>
        <v>Melting_Curves/meltCurve_O15056_SYNJ2.pdf</v>
      </c>
    </row>
    <row r="1447" spans="1:28" x14ac:dyDescent="0.25">
      <c r="A1447" t="s">
        <v>1451</v>
      </c>
      <c r="B1447">
        <v>0.99999676499088797</v>
      </c>
      <c r="C1447">
        <v>1.0732516444996401</v>
      </c>
      <c r="D1447">
        <v>0.91215381610304602</v>
      </c>
      <c r="E1447">
        <v>0.62690782147040802</v>
      </c>
      <c r="F1447">
        <v>0.26523289815703399</v>
      </c>
      <c r="G1447">
        <v>0.16880564472083101</v>
      </c>
      <c r="H1447">
        <v>0.10247296868649899</v>
      </c>
      <c r="I1447">
        <v>0.101454347035433</v>
      </c>
      <c r="J1447">
        <v>8.8778515603868097E-2</v>
      </c>
      <c r="K1447">
        <v>7.8861424829695506E-2</v>
      </c>
      <c r="L1447">
        <v>1289.13909942089</v>
      </c>
      <c r="M1447">
        <v>25.6313586817915</v>
      </c>
      <c r="N1447">
        <v>50.707349536087001</v>
      </c>
      <c r="O1447">
        <v>49.992233693152002</v>
      </c>
      <c r="P1447">
        <v>-0.116130577485782</v>
      </c>
      <c r="Q1447">
        <v>9.3991706447205503E-2</v>
      </c>
      <c r="R1447">
        <v>0.99458864059915497</v>
      </c>
      <c r="S1447" t="s">
        <v>8450</v>
      </c>
      <c r="T1447" t="s">
        <v>14004</v>
      </c>
      <c r="U1447" t="s">
        <v>14004</v>
      </c>
      <c r="V1447" t="s">
        <v>14004</v>
      </c>
      <c r="W1447" t="s">
        <v>15421</v>
      </c>
      <c r="X1447">
        <v>8</v>
      </c>
      <c r="Y1447" t="s">
        <v>22349</v>
      </c>
      <c r="Z1447" t="s">
        <v>29157</v>
      </c>
      <c r="AA1447">
        <v>0.41264258572933171</v>
      </c>
      <c r="AB1447" t="str">
        <f>HYPERLINK("Melting_Curves/meltCurve_O15066_KIF3B.pdf", "Melting_Curves/meltCurve_O15066_KIF3B.pdf")</f>
        <v>Melting_Curves/meltCurve_O15066_KIF3B.pdf</v>
      </c>
    </row>
    <row r="1448" spans="1:28" x14ac:dyDescent="0.25">
      <c r="A1448" t="s">
        <v>1452</v>
      </c>
      <c r="B1448">
        <v>0.99999676499088797</v>
      </c>
      <c r="C1448">
        <v>0.95614291030313003</v>
      </c>
      <c r="D1448">
        <v>0.76808729597449898</v>
      </c>
      <c r="E1448">
        <v>0.64075997382472905</v>
      </c>
      <c r="F1448">
        <v>0.30033164791602601</v>
      </c>
      <c r="G1448">
        <v>0.19050087721137601</v>
      </c>
      <c r="H1448">
        <v>8.3138529243761305E-2</v>
      </c>
      <c r="I1448">
        <v>8.7582216694043702E-2</v>
      </c>
      <c r="J1448">
        <v>8.1029962946744194E-2</v>
      </c>
      <c r="K1448">
        <v>6.1637377229174999E-2</v>
      </c>
      <c r="L1448">
        <v>797.03728184160502</v>
      </c>
      <c r="M1448">
        <v>15.8298471533503</v>
      </c>
      <c r="N1448">
        <v>50.677279401156298</v>
      </c>
      <c r="O1448">
        <v>49.567304360003902</v>
      </c>
      <c r="P1448">
        <v>-7.5970174157621501E-2</v>
      </c>
      <c r="Q1448">
        <v>4.8549563223220203E-2</v>
      </c>
      <c r="R1448">
        <v>0.99293780840919299</v>
      </c>
      <c r="S1448" t="s">
        <v>8451</v>
      </c>
      <c r="T1448" t="s">
        <v>14004</v>
      </c>
      <c r="U1448" t="s">
        <v>14004</v>
      </c>
      <c r="V1448" t="s">
        <v>14004</v>
      </c>
      <c r="W1448" t="s">
        <v>15422</v>
      </c>
      <c r="X1448">
        <v>47</v>
      </c>
      <c r="Y1448" t="s">
        <v>22350</v>
      </c>
      <c r="Z1448" t="s">
        <v>29158</v>
      </c>
      <c r="AA1448">
        <v>0.39722434424853148</v>
      </c>
      <c r="AB1448" t="str">
        <f>HYPERLINK("Melting_Curves/meltCurve_O15067_PFAS.pdf", "Melting_Curves/meltCurve_O15067_PFAS.pdf")</f>
        <v>Melting_Curves/meltCurve_O15067_PFAS.pdf</v>
      </c>
    </row>
    <row r="1449" spans="1:28" x14ac:dyDescent="0.25">
      <c r="A1449" t="s">
        <v>1453</v>
      </c>
      <c r="B1449">
        <v>0.99999676499088797</v>
      </c>
      <c r="C1449">
        <v>1.2346036103121101</v>
      </c>
      <c r="D1449">
        <v>1.1771751996398201</v>
      </c>
      <c r="E1449">
        <v>1.1727897514410599</v>
      </c>
      <c r="F1449">
        <v>0.52756588914847702</v>
      </c>
      <c r="G1449">
        <v>0.38311432457153399</v>
      </c>
      <c r="H1449">
        <v>0.171475357130071</v>
      </c>
      <c r="I1449">
        <v>0.165881989253444</v>
      </c>
      <c r="J1449">
        <v>0.13938513307185499</v>
      </c>
      <c r="K1449">
        <v>0.13334405670278801</v>
      </c>
      <c r="L1449">
        <v>4411.9208776609903</v>
      </c>
      <c r="M1449">
        <v>83.262388091294099</v>
      </c>
      <c r="N1449">
        <v>53.309721903096701</v>
      </c>
      <c r="O1449">
        <v>52.957618247434297</v>
      </c>
      <c r="P1449">
        <v>-0.31546621907792</v>
      </c>
      <c r="Q1449">
        <v>0.197412517994599</v>
      </c>
      <c r="R1449">
        <v>0.92307678641400104</v>
      </c>
      <c r="S1449" t="s">
        <v>8452</v>
      </c>
      <c r="T1449" t="s">
        <v>14004</v>
      </c>
      <c r="U1449" t="s">
        <v>14004</v>
      </c>
      <c r="V1449" t="s">
        <v>14004</v>
      </c>
      <c r="W1449" t="s">
        <v>15423</v>
      </c>
      <c r="X1449">
        <v>9</v>
      </c>
      <c r="Y1449" t="s">
        <v>22351</v>
      </c>
      <c r="Z1449" t="s">
        <v>29159</v>
      </c>
      <c r="AA1449">
        <v>0.54555777713284115</v>
      </c>
      <c r="AB1449" t="str">
        <f>HYPERLINK("Melting_Curves/meltCurve_O15084_ANKRD28.pdf", "Melting_Curves/meltCurve_O15084_ANKRD28.pdf")</f>
        <v>Melting_Curves/meltCurve_O15084_ANKRD28.pdf</v>
      </c>
    </row>
    <row r="1450" spans="1:28" x14ac:dyDescent="0.25">
      <c r="A1450" t="s">
        <v>1454</v>
      </c>
      <c r="B1450">
        <v>0.99999676499088797</v>
      </c>
      <c r="C1450">
        <v>1.04190470638857</v>
      </c>
      <c r="D1450">
        <v>1.1685184445891399</v>
      </c>
      <c r="E1450">
        <v>0.56316424058894898</v>
      </c>
      <c r="F1450">
        <v>0.35091162987834401</v>
      </c>
      <c r="G1450">
        <v>0.18209792281500101</v>
      </c>
      <c r="H1450">
        <v>0.131728033095942</v>
      </c>
      <c r="I1450">
        <v>0.19218593558889099</v>
      </c>
      <c r="J1450">
        <v>0.26475906426491302</v>
      </c>
      <c r="K1450">
        <v>0.298216974443895</v>
      </c>
      <c r="L1450">
        <v>5229.7679672780496</v>
      </c>
      <c r="M1450">
        <v>105.726797991278</v>
      </c>
      <c r="N1450">
        <v>49.766479030835796</v>
      </c>
      <c r="O1450">
        <v>49.447237222331403</v>
      </c>
      <c r="P1450">
        <v>-0.408111725917712</v>
      </c>
      <c r="Q1450">
        <v>0.23652298968521299</v>
      </c>
      <c r="R1450">
        <v>0.95575379874288802</v>
      </c>
      <c r="S1450" t="s">
        <v>8453</v>
      </c>
      <c r="T1450" t="s">
        <v>14004</v>
      </c>
      <c r="U1450" t="s">
        <v>14004</v>
      </c>
      <c r="V1450" t="s">
        <v>14004</v>
      </c>
      <c r="W1450" t="s">
        <v>15424</v>
      </c>
      <c r="X1450">
        <v>2</v>
      </c>
      <c r="Y1450" t="s">
        <v>22352</v>
      </c>
      <c r="Z1450" t="s">
        <v>29160</v>
      </c>
      <c r="AA1450">
        <v>0.47776899040246801</v>
      </c>
      <c r="AB1450" t="str">
        <f>HYPERLINK("Melting_Curves/meltCurve_O15085_ARHGEF11.pdf", "Melting_Curves/meltCurve_O15085_ARHGEF11.pdf")</f>
        <v>Melting_Curves/meltCurve_O15085_ARHGEF11.pdf</v>
      </c>
    </row>
    <row r="1451" spans="1:28" x14ac:dyDescent="0.25">
      <c r="A1451" t="s">
        <v>1455</v>
      </c>
      <c r="B1451">
        <v>0.99999676499088797</v>
      </c>
      <c r="C1451">
        <v>1.0355443905033599</v>
      </c>
      <c r="D1451">
        <v>0.59051228121050003</v>
      </c>
      <c r="E1451">
        <v>0.24973437422039901</v>
      </c>
      <c r="F1451">
        <v>0.17062649864573601</v>
      </c>
      <c r="G1451">
        <v>0.10859853216002199</v>
      </c>
      <c r="H1451">
        <v>4.2426506137815102E-2</v>
      </c>
      <c r="I1451">
        <v>4.4733190301667801E-2</v>
      </c>
      <c r="J1451">
        <v>5.7021079645965901E-2</v>
      </c>
      <c r="K1451">
        <v>3.8796987687304399E-2</v>
      </c>
      <c r="L1451">
        <v>1299.7272414752999</v>
      </c>
      <c r="M1451">
        <v>27.779713792928</v>
      </c>
      <c r="N1451">
        <v>47.044270565415403</v>
      </c>
      <c r="O1451">
        <v>46.546484525832497</v>
      </c>
      <c r="P1451">
        <v>-0.13868788447272201</v>
      </c>
      <c r="Q1451">
        <v>7.0490585435142902E-2</v>
      </c>
      <c r="R1451">
        <v>0.98396546644375504</v>
      </c>
      <c r="S1451" t="s">
        <v>8454</v>
      </c>
      <c r="T1451" t="s">
        <v>14004</v>
      </c>
      <c r="U1451" t="s">
        <v>14004</v>
      </c>
      <c r="V1451" t="s">
        <v>14004</v>
      </c>
      <c r="W1451" t="s">
        <v>15425</v>
      </c>
      <c r="X1451">
        <v>8</v>
      </c>
      <c r="Y1451" t="s">
        <v>22353</v>
      </c>
      <c r="Z1451" t="s">
        <v>29161</v>
      </c>
      <c r="AA1451">
        <v>0.28737777245441942</v>
      </c>
      <c r="AB1451" t="str">
        <f>HYPERLINK("Melting_Curves/meltCurve_O15111_CHUK.pdf", "Melting_Curves/meltCurve_O15111_CHUK.pdf")</f>
        <v>Melting_Curves/meltCurve_O15111_CHUK.pdf</v>
      </c>
    </row>
    <row r="1452" spans="1:28" x14ac:dyDescent="0.25">
      <c r="A1452" t="s">
        <v>1456</v>
      </c>
      <c r="B1452">
        <v>0.99999676499088797</v>
      </c>
      <c r="C1452">
        <v>1.1641576333833401</v>
      </c>
      <c r="D1452">
        <v>1.0238338090938</v>
      </c>
      <c r="E1452">
        <v>0.879221237587406</v>
      </c>
      <c r="F1452">
        <v>0.82938439660790297</v>
      </c>
      <c r="G1452">
        <v>0.75502980955737597</v>
      </c>
      <c r="H1452">
        <v>0.48935190242705701</v>
      </c>
      <c r="I1452">
        <v>0.56479893866571296</v>
      </c>
      <c r="J1452">
        <v>0.58027460313736001</v>
      </c>
      <c r="K1452">
        <v>0.42181847423791302</v>
      </c>
      <c r="L1452">
        <v>903.21868000219501</v>
      </c>
      <c r="M1452">
        <v>16.169376962776401</v>
      </c>
      <c r="N1452">
        <v>67.160193850164603</v>
      </c>
      <c r="O1452">
        <v>55.026383447124701</v>
      </c>
      <c r="P1452">
        <v>-3.91519660268555E-2</v>
      </c>
      <c r="Q1452">
        <v>0.46708423563796603</v>
      </c>
      <c r="R1452">
        <v>0.89956713107242903</v>
      </c>
      <c r="S1452" t="s">
        <v>8455</v>
      </c>
      <c r="T1452" t="s">
        <v>14004</v>
      </c>
      <c r="U1452" t="s">
        <v>14004</v>
      </c>
      <c r="V1452" t="s">
        <v>14004</v>
      </c>
      <c r="W1452" t="s">
        <v>15426</v>
      </c>
      <c r="X1452">
        <v>8</v>
      </c>
      <c r="Y1452" t="s">
        <v>22354</v>
      </c>
      <c r="Z1452" t="s">
        <v>29162</v>
      </c>
      <c r="AA1452">
        <v>0.7577368093617155</v>
      </c>
      <c r="AB1452" t="str">
        <f>HYPERLINK("Melting_Curves/meltCurve_O15116_LSM1.pdf", "Melting_Curves/meltCurve_O15116_LSM1.pdf")</f>
        <v>Melting_Curves/meltCurve_O15116_LSM1.pdf</v>
      </c>
    </row>
    <row r="1453" spans="1:28" x14ac:dyDescent="0.25">
      <c r="A1453" t="s">
        <v>1457</v>
      </c>
      <c r="B1453">
        <v>0.99999676499088797</v>
      </c>
      <c r="C1453">
        <v>0.92518828307499001</v>
      </c>
      <c r="D1453">
        <v>0.84721877326947204</v>
      </c>
      <c r="E1453">
        <v>0.49440446866474302</v>
      </c>
      <c r="F1453">
        <v>0.19889001630011299</v>
      </c>
      <c r="G1453">
        <v>0.13947007923802199</v>
      </c>
      <c r="H1453">
        <v>8.4872952328708201E-2</v>
      </c>
      <c r="I1453">
        <v>9.6903475907313394E-2</v>
      </c>
      <c r="J1453">
        <v>0.116047853171362</v>
      </c>
      <c r="K1453">
        <v>0.10013284660211599</v>
      </c>
      <c r="L1453">
        <v>1151.4703798210701</v>
      </c>
      <c r="M1453">
        <v>23.495515140786701</v>
      </c>
      <c r="N1453">
        <v>49.452686531059697</v>
      </c>
      <c r="O1453">
        <v>48.657215773900703</v>
      </c>
      <c r="P1453">
        <v>-0.109228197664187</v>
      </c>
      <c r="Q1453">
        <v>9.5206283194837801E-2</v>
      </c>
      <c r="R1453">
        <v>0.99745499243803903</v>
      </c>
      <c r="S1453" t="s">
        <v>8456</v>
      </c>
      <c r="T1453" t="s">
        <v>14004</v>
      </c>
      <c r="U1453" t="s">
        <v>14004</v>
      </c>
      <c r="V1453" t="s">
        <v>14004</v>
      </c>
      <c r="W1453" t="s">
        <v>15427</v>
      </c>
      <c r="X1453">
        <v>27</v>
      </c>
      <c r="Y1453" t="s">
        <v>22355</v>
      </c>
      <c r="Z1453" t="s">
        <v>29163</v>
      </c>
      <c r="AA1453">
        <v>0.37600002362010398</v>
      </c>
      <c r="AB1453" t="str">
        <f>HYPERLINK("Melting_Curves/meltCurve_O15117_FYB.pdf", "Melting_Curves/meltCurve_O15117_FYB.pdf")</f>
        <v>Melting_Curves/meltCurve_O15117_FYB.pdf</v>
      </c>
    </row>
    <row r="1454" spans="1:28" x14ac:dyDescent="0.25">
      <c r="A1454" t="s">
        <v>1458</v>
      </c>
      <c r="B1454">
        <v>0.99999676499088797</v>
      </c>
      <c r="C1454">
        <v>0.93103177159039896</v>
      </c>
      <c r="D1454">
        <v>1.0148885119803801</v>
      </c>
      <c r="E1454">
        <v>1.0645779049774999</v>
      </c>
      <c r="F1454">
        <v>1.0862073438815001</v>
      </c>
      <c r="G1454">
        <v>0.89554505465168299</v>
      </c>
      <c r="H1454">
        <v>0.57026932243171902</v>
      </c>
      <c r="I1454">
        <v>0.377383060072501</v>
      </c>
      <c r="J1454">
        <v>0.23705382189789601</v>
      </c>
      <c r="K1454">
        <v>0.22255681983301201</v>
      </c>
      <c r="L1454">
        <v>1820.0217264067001</v>
      </c>
      <c r="M1454">
        <v>30.034315249394801</v>
      </c>
      <c r="N1454">
        <v>61.734459573073998</v>
      </c>
      <c r="O1454">
        <v>60.331335696266102</v>
      </c>
      <c r="P1454">
        <v>-9.8028487964816197E-2</v>
      </c>
      <c r="Q1454">
        <v>0.21234744823903301</v>
      </c>
      <c r="R1454">
        <v>0.98143146346008403</v>
      </c>
      <c r="S1454" t="s">
        <v>8457</v>
      </c>
      <c r="T1454" t="s">
        <v>14004</v>
      </c>
      <c r="U1454" t="s">
        <v>14004</v>
      </c>
      <c r="V1454" t="s">
        <v>14004</v>
      </c>
      <c r="W1454" t="s">
        <v>15428</v>
      </c>
      <c r="X1454">
        <v>8</v>
      </c>
      <c r="Y1454" t="s">
        <v>22356</v>
      </c>
      <c r="Z1454" t="s">
        <v>29164</v>
      </c>
      <c r="AA1454">
        <v>0.75769688709253624</v>
      </c>
      <c r="AB1454" t="str">
        <f>HYPERLINK("Melting_Curves/meltCurve_O15118_NPC1.pdf", "Melting_Curves/meltCurve_O15118_NPC1.pdf")</f>
        <v>Melting_Curves/meltCurve_O15118_NPC1.pdf</v>
      </c>
    </row>
    <row r="1455" spans="1:28" x14ac:dyDescent="0.25">
      <c r="A1455" t="s">
        <v>1459</v>
      </c>
      <c r="B1455">
        <v>0.99999676499088797</v>
      </c>
      <c r="C1455">
        <v>1.07987363392022</v>
      </c>
      <c r="D1455">
        <v>1.02399588722241</v>
      </c>
      <c r="E1455">
        <v>0.68057805493423296</v>
      </c>
      <c r="F1455">
        <v>0.452066598420932</v>
      </c>
      <c r="G1455">
        <v>0.33725565987934097</v>
      </c>
      <c r="H1455">
        <v>0.15555012788023201</v>
      </c>
      <c r="I1455">
        <v>0.115838756536791</v>
      </c>
      <c r="J1455">
        <v>7.9001648252635406E-2</v>
      </c>
      <c r="K1455">
        <v>4.4464743756404301E-2</v>
      </c>
      <c r="L1455">
        <v>891.87978117171804</v>
      </c>
      <c r="M1455">
        <v>16.971647954398399</v>
      </c>
      <c r="N1455">
        <v>52.981094000949199</v>
      </c>
      <c r="O1455">
        <v>51.837831080205</v>
      </c>
      <c r="P1455">
        <v>-7.6589111478495897E-2</v>
      </c>
      <c r="Q1455">
        <v>6.4329803422083498E-2</v>
      </c>
      <c r="R1455">
        <v>0.97974086796243098</v>
      </c>
      <c r="S1455" t="s">
        <v>8458</v>
      </c>
      <c r="T1455" t="s">
        <v>14004</v>
      </c>
      <c r="U1455" t="s">
        <v>14004</v>
      </c>
      <c r="V1455" t="s">
        <v>14004</v>
      </c>
      <c r="W1455" t="s">
        <v>15429</v>
      </c>
      <c r="X1455">
        <v>3</v>
      </c>
      <c r="Y1455" t="s">
        <v>22357</v>
      </c>
      <c r="Z1455" t="s">
        <v>29165</v>
      </c>
      <c r="AA1455">
        <v>0.47277418380929359</v>
      </c>
      <c r="AB1455" t="str">
        <f>HYPERLINK("Melting_Curves/meltCurve_O15121_DEGS1.pdf", "Melting_Curves/meltCurve_O15121_DEGS1.pdf")</f>
        <v>Melting_Curves/meltCurve_O15121_DEGS1.pdf</v>
      </c>
    </row>
    <row r="1456" spans="1:28" x14ac:dyDescent="0.25">
      <c r="A1456" t="s">
        <v>1460</v>
      </c>
      <c r="B1456">
        <v>0.99999676499088797</v>
      </c>
      <c r="C1456">
        <v>1.02071254071294</v>
      </c>
      <c r="D1456">
        <v>1.08475440010005</v>
      </c>
      <c r="E1456">
        <v>1.0773864606827599</v>
      </c>
      <c r="F1456">
        <v>1.0534493641159</v>
      </c>
      <c r="G1456">
        <v>1.0669643251696399</v>
      </c>
      <c r="H1456">
        <v>0.73098565154740103</v>
      </c>
      <c r="I1456">
        <v>0.60523535839416798</v>
      </c>
      <c r="J1456">
        <v>0.39755223835353698</v>
      </c>
      <c r="K1456">
        <v>0.36671572126311502</v>
      </c>
      <c r="L1456">
        <v>1886.7060011766901</v>
      </c>
      <c r="M1456">
        <v>30.237923232800298</v>
      </c>
      <c r="N1456">
        <v>64.923116125796994</v>
      </c>
      <c r="O1456">
        <v>62.124373875022002</v>
      </c>
      <c r="P1456">
        <v>-7.9587804514118704E-2</v>
      </c>
      <c r="Q1456">
        <v>0.34594574959677299</v>
      </c>
      <c r="R1456">
        <v>0.955440898662831</v>
      </c>
      <c r="S1456" t="s">
        <v>8459</v>
      </c>
      <c r="T1456" t="s">
        <v>14004</v>
      </c>
      <c r="U1456" t="s">
        <v>14004</v>
      </c>
      <c r="V1456" t="s">
        <v>14004</v>
      </c>
      <c r="W1456" t="s">
        <v>15430</v>
      </c>
      <c r="X1456">
        <v>8</v>
      </c>
      <c r="Y1456" t="s">
        <v>22358</v>
      </c>
      <c r="Z1456" t="s">
        <v>29166</v>
      </c>
      <c r="AA1456">
        <v>0.8369185267710938</v>
      </c>
      <c r="AB1456" t="str">
        <f>HYPERLINK("Melting_Curves/meltCurve_O15126_SCAMP1.pdf", "Melting_Curves/meltCurve_O15126_SCAMP1.pdf")</f>
        <v>Melting_Curves/meltCurve_O15126_SCAMP1.pdf</v>
      </c>
    </row>
    <row r="1457" spans="1:28" x14ac:dyDescent="0.25">
      <c r="A1457" t="s">
        <v>1461</v>
      </c>
      <c r="B1457">
        <v>0.99999676499088797</v>
      </c>
      <c r="C1457">
        <v>1.07047479689991</v>
      </c>
      <c r="D1457">
        <v>1.05188420971653</v>
      </c>
      <c r="E1457">
        <v>0.883565312500186</v>
      </c>
      <c r="F1457">
        <v>0.91009068080578104</v>
      </c>
      <c r="G1457">
        <v>0.75324721268057804</v>
      </c>
      <c r="H1457">
        <v>0.46252597138391799</v>
      </c>
      <c r="I1457">
        <v>0.43726454690719002</v>
      </c>
      <c r="J1457">
        <v>0.35377641155863798</v>
      </c>
      <c r="K1457">
        <v>0.342268861770466</v>
      </c>
      <c r="L1457">
        <v>1155.85312297014</v>
      </c>
      <c r="M1457">
        <v>19.975077279807302</v>
      </c>
      <c r="N1457">
        <v>60.980423440261198</v>
      </c>
      <c r="O1457">
        <v>57.294180624669799</v>
      </c>
      <c r="P1457">
        <v>-5.9287672964341398E-2</v>
      </c>
      <c r="Q1457">
        <v>0.31980688131183999</v>
      </c>
      <c r="R1457">
        <v>0.97390655605268694</v>
      </c>
      <c r="S1457" t="s">
        <v>8460</v>
      </c>
      <c r="T1457" t="s">
        <v>14004</v>
      </c>
      <c r="U1457" t="s">
        <v>14004</v>
      </c>
      <c r="V1457" t="s">
        <v>14004</v>
      </c>
      <c r="W1457" t="s">
        <v>15431</v>
      </c>
      <c r="X1457">
        <v>8</v>
      </c>
      <c r="Y1457" t="s">
        <v>22359</v>
      </c>
      <c r="Z1457" t="s">
        <v>29167</v>
      </c>
      <c r="AA1457">
        <v>0.73266915696132484</v>
      </c>
      <c r="AB1457" t="str">
        <f>HYPERLINK("Melting_Curves/meltCurve_O15127_SCAMP2.pdf", "Melting_Curves/meltCurve_O15127_SCAMP2.pdf")</f>
        <v>Melting_Curves/meltCurve_O15127_SCAMP2.pdf</v>
      </c>
    </row>
    <row r="1458" spans="1:28" x14ac:dyDescent="0.25">
      <c r="A1458" t="s">
        <v>1462</v>
      </c>
      <c r="B1458">
        <v>0.99999676499088797</v>
      </c>
      <c r="C1458">
        <v>0.98673301118846801</v>
      </c>
      <c r="D1458">
        <v>0.94437920843913803</v>
      </c>
      <c r="E1458">
        <v>0.80415487383011597</v>
      </c>
      <c r="F1458">
        <v>0.63454690282604198</v>
      </c>
      <c r="G1458">
        <v>0.56483819176422201</v>
      </c>
      <c r="H1458">
        <v>0.229563307753405</v>
      </c>
      <c r="I1458">
        <v>0.13126572131713901</v>
      </c>
      <c r="J1458">
        <v>0.104983518572804</v>
      </c>
      <c r="K1458">
        <v>7.9298126981108497E-2</v>
      </c>
      <c r="L1458">
        <v>717.26615324461</v>
      </c>
      <c r="M1458">
        <v>12.786447432238599</v>
      </c>
      <c r="N1458">
        <v>56.095812155834103</v>
      </c>
      <c r="O1458">
        <v>54.776863025745598</v>
      </c>
      <c r="P1458">
        <v>-5.8367992079089E-2</v>
      </c>
      <c r="Q1458">
        <v>0</v>
      </c>
      <c r="R1458">
        <v>0.98722849285785297</v>
      </c>
      <c r="S1458" t="s">
        <v>8461</v>
      </c>
      <c r="T1458" t="s">
        <v>14004</v>
      </c>
      <c r="U1458" t="s">
        <v>14004</v>
      </c>
      <c r="V1458" t="s">
        <v>14004</v>
      </c>
      <c r="W1458" t="s">
        <v>15432</v>
      </c>
      <c r="X1458">
        <v>22</v>
      </c>
      <c r="Y1458" t="s">
        <v>22360</v>
      </c>
      <c r="Z1458" t="s">
        <v>29168</v>
      </c>
      <c r="AA1458">
        <v>0.55605990931406823</v>
      </c>
      <c r="AB1458" t="str">
        <f>HYPERLINK("Melting_Curves/meltCurve_O15143_ARPC1B.pdf", "Melting_Curves/meltCurve_O15143_ARPC1B.pdf")</f>
        <v>Melting_Curves/meltCurve_O15143_ARPC1B.pdf</v>
      </c>
    </row>
    <row r="1459" spans="1:28" x14ac:dyDescent="0.25">
      <c r="A1459" t="s">
        <v>1463</v>
      </c>
      <c r="B1459">
        <v>0.99999676499088797</v>
      </c>
      <c r="C1459">
        <v>0.95866226214200101</v>
      </c>
      <c r="D1459">
        <v>0.99355571511728602</v>
      </c>
      <c r="E1459">
        <v>1.23334522427034</v>
      </c>
      <c r="F1459">
        <v>1.25216030117771</v>
      </c>
      <c r="G1459">
        <v>0.97795825070869802</v>
      </c>
      <c r="H1459">
        <v>0.47113025872634101</v>
      </c>
      <c r="I1459">
        <v>0.19846088022027999</v>
      </c>
      <c r="J1459">
        <v>0.128259763998469</v>
      </c>
      <c r="K1459">
        <v>0.10984083520523</v>
      </c>
      <c r="L1459">
        <v>3140.8831798251399</v>
      </c>
      <c r="M1459">
        <v>52.053900070040299</v>
      </c>
      <c r="N1459">
        <v>60.683452732377198</v>
      </c>
      <c r="O1459">
        <v>60.250199681622597</v>
      </c>
      <c r="P1459">
        <v>-0.18836743944186701</v>
      </c>
      <c r="Q1459">
        <v>0.12789107518002299</v>
      </c>
      <c r="R1459">
        <v>0.935290934720443</v>
      </c>
      <c r="S1459" t="s">
        <v>8462</v>
      </c>
      <c r="T1459" t="s">
        <v>14004</v>
      </c>
      <c r="U1459" t="s">
        <v>14004</v>
      </c>
      <c r="V1459" t="s">
        <v>14004</v>
      </c>
      <c r="W1459" t="s">
        <v>15433</v>
      </c>
      <c r="X1459">
        <v>25</v>
      </c>
      <c r="Y1459" t="s">
        <v>22361</v>
      </c>
      <c r="Z1459" t="s">
        <v>29169</v>
      </c>
      <c r="AA1459">
        <v>0.72125813982264153</v>
      </c>
      <c r="AB1459" t="str">
        <f>HYPERLINK("Melting_Curves/meltCurve_O15144_ARPC2.pdf", "Melting_Curves/meltCurve_O15144_ARPC2.pdf")</f>
        <v>Melting_Curves/meltCurve_O15144_ARPC2.pdf</v>
      </c>
    </row>
    <row r="1460" spans="1:28" x14ac:dyDescent="0.25">
      <c r="A1460" t="s">
        <v>1464</v>
      </c>
      <c r="B1460">
        <v>0.99999676499088797</v>
      </c>
      <c r="C1460">
        <v>0.98162733238766098</v>
      </c>
      <c r="D1460">
        <v>0.98578307353391403</v>
      </c>
      <c r="E1460">
        <v>0.96955423411548802</v>
      </c>
      <c r="F1460">
        <v>0.92331767708734802</v>
      </c>
      <c r="G1460">
        <v>0.66913946497608601</v>
      </c>
      <c r="H1460">
        <v>0.240083333516808</v>
      </c>
      <c r="I1460">
        <v>0.13548741662692901</v>
      </c>
      <c r="J1460">
        <v>0.11702694420610101</v>
      </c>
      <c r="K1460">
        <v>9.8360301878512094E-2</v>
      </c>
      <c r="L1460">
        <v>1790.84337255162</v>
      </c>
      <c r="M1460">
        <v>31.032929891189902</v>
      </c>
      <c r="N1460">
        <v>58.108078984034101</v>
      </c>
      <c r="O1460">
        <v>57.469799344762897</v>
      </c>
      <c r="P1460">
        <v>-0.122007442069585</v>
      </c>
      <c r="Q1460">
        <v>9.62241662744069E-2</v>
      </c>
      <c r="R1460">
        <v>0.99886934673915695</v>
      </c>
      <c r="S1460" t="s">
        <v>8463</v>
      </c>
      <c r="T1460" t="s">
        <v>14004</v>
      </c>
      <c r="U1460" t="s">
        <v>14004</v>
      </c>
      <c r="V1460" t="s">
        <v>14004</v>
      </c>
      <c r="W1460" t="s">
        <v>15434</v>
      </c>
      <c r="X1460">
        <v>12</v>
      </c>
      <c r="Y1460" t="s">
        <v>22362</v>
      </c>
      <c r="Z1460" t="s">
        <v>29170</v>
      </c>
      <c r="AA1460">
        <v>0.6353300814308136</v>
      </c>
      <c r="AB1460" t="str">
        <f>HYPERLINK("Melting_Curves/meltCurve_O15145_ARPC3.pdf", "Melting_Curves/meltCurve_O15145_ARPC3.pdf")</f>
        <v>Melting_Curves/meltCurve_O15145_ARPC3.pdf</v>
      </c>
    </row>
    <row r="1461" spans="1:28" x14ac:dyDescent="0.25">
      <c r="A1461" t="s">
        <v>1465</v>
      </c>
      <c r="B1461">
        <v>0.99999676499088797</v>
      </c>
      <c r="C1461">
        <v>1.00287095959591</v>
      </c>
      <c r="D1461">
        <v>1.0170505205595299</v>
      </c>
      <c r="E1461">
        <v>0.64391015470143997</v>
      </c>
      <c r="F1461">
        <v>0.423706458099601</v>
      </c>
      <c r="G1461">
        <v>0.48056030524787802</v>
      </c>
      <c r="H1461">
        <v>0.27010183476974797</v>
      </c>
      <c r="I1461">
        <v>0.50920782421921096</v>
      </c>
      <c r="J1461">
        <v>0.62590131147119199</v>
      </c>
      <c r="K1461">
        <v>0.19542251425105001</v>
      </c>
      <c r="L1461">
        <v>9515.5414829148594</v>
      </c>
      <c r="M1461">
        <v>192.29835285028099</v>
      </c>
      <c r="N1461">
        <v>49.951202077099197</v>
      </c>
      <c r="O1461">
        <v>49.477867531582397</v>
      </c>
      <c r="P1461">
        <v>-0.56599557687016</v>
      </c>
      <c r="Q1461">
        <v>0.41748322913939701</v>
      </c>
      <c r="R1461">
        <v>0.84527220765547095</v>
      </c>
      <c r="S1461" t="s">
        <v>8464</v>
      </c>
      <c r="T1461" t="s">
        <v>14004</v>
      </c>
      <c r="U1461" t="s">
        <v>14004</v>
      </c>
      <c r="V1461" t="s">
        <v>14004</v>
      </c>
      <c r="W1461" t="s">
        <v>15435</v>
      </c>
      <c r="X1461">
        <v>4</v>
      </c>
      <c r="Y1461" t="s">
        <v>22363</v>
      </c>
      <c r="Z1461" t="s">
        <v>29171</v>
      </c>
      <c r="AA1461">
        <v>0.60170654384223543</v>
      </c>
      <c r="AB1461" t="str">
        <f>HYPERLINK("Melting_Curves/meltCurve_O15155_BET1.pdf", "Melting_Curves/meltCurve_O15155_BET1.pdf")</f>
        <v>Melting_Curves/meltCurve_O15155_BET1.pdf</v>
      </c>
    </row>
    <row r="1462" spans="1:28" x14ac:dyDescent="0.25">
      <c r="A1462" t="s">
        <v>1466</v>
      </c>
      <c r="B1462">
        <v>0.99999676499088797</v>
      </c>
      <c r="C1462">
        <v>0.99261476944285398</v>
      </c>
      <c r="D1462">
        <v>0.766633300285817</v>
      </c>
      <c r="E1462">
        <v>0.39073170414025599</v>
      </c>
      <c r="F1462">
        <v>0.31818892973325302</v>
      </c>
      <c r="G1462">
        <v>0.192723494020233</v>
      </c>
      <c r="H1462">
        <v>9.8137436271178199E-2</v>
      </c>
      <c r="I1462">
        <v>8.4445468133423393E-2</v>
      </c>
      <c r="J1462">
        <v>7.5950455385847396E-2</v>
      </c>
      <c r="K1462">
        <v>6.5245639323876697E-2</v>
      </c>
      <c r="L1462">
        <v>876.35694223170299</v>
      </c>
      <c r="M1462">
        <v>17.999761932705599</v>
      </c>
      <c r="N1462">
        <v>49.1924463015539</v>
      </c>
      <c r="O1462">
        <v>48.098130440061396</v>
      </c>
      <c r="P1462">
        <v>-8.5665117478775102E-2</v>
      </c>
      <c r="Q1462">
        <v>8.4403715383558106E-2</v>
      </c>
      <c r="R1462">
        <v>0.985820823586121</v>
      </c>
      <c r="S1462" t="s">
        <v>8465</v>
      </c>
      <c r="T1462" t="s">
        <v>14004</v>
      </c>
      <c r="U1462" t="s">
        <v>14004</v>
      </c>
      <c r="V1462" t="s">
        <v>14004</v>
      </c>
      <c r="W1462" t="s">
        <v>15436</v>
      </c>
      <c r="X1462">
        <v>9</v>
      </c>
      <c r="Y1462" t="s">
        <v>22364</v>
      </c>
      <c r="Z1462" t="s">
        <v>29172</v>
      </c>
      <c r="AA1462">
        <v>0.36549430542382638</v>
      </c>
      <c r="AB1462" t="str">
        <f>HYPERLINK("Melting_Curves/meltCurve_O15160_POLR1C.pdf", "Melting_Curves/meltCurve_O15160_POLR1C.pdf")</f>
        <v>Melting_Curves/meltCurve_O15160_POLR1C.pdf</v>
      </c>
    </row>
    <row r="1463" spans="1:28" x14ac:dyDescent="0.25">
      <c r="A1463" t="s">
        <v>1467</v>
      </c>
      <c r="B1463">
        <v>0.99999676499088797</v>
      </c>
      <c r="C1463">
        <v>1.3307180420977001</v>
      </c>
      <c r="D1463">
        <v>1.1430711654046899</v>
      </c>
      <c r="E1463">
        <v>0.63398182537717096</v>
      </c>
      <c r="F1463">
        <v>0.53053750002418498</v>
      </c>
      <c r="G1463">
        <v>0.55617026867813801</v>
      </c>
      <c r="H1463">
        <v>0.26105898191017002</v>
      </c>
      <c r="I1463">
        <v>0.173388307595646</v>
      </c>
      <c r="J1463">
        <v>0.13001103907192099</v>
      </c>
      <c r="K1463">
        <v>0.12701469740292101</v>
      </c>
      <c r="L1463">
        <v>793.510892167007</v>
      </c>
      <c r="M1463">
        <v>14.632862411062099</v>
      </c>
      <c r="N1463">
        <v>55.107134531660698</v>
      </c>
      <c r="O1463">
        <v>53.245417857840998</v>
      </c>
      <c r="P1463">
        <v>-6.1559542517052597E-2</v>
      </c>
      <c r="Q1463">
        <v>0.104099095883547</v>
      </c>
      <c r="R1463">
        <v>0.86920101406267503</v>
      </c>
      <c r="S1463" t="s">
        <v>8466</v>
      </c>
      <c r="T1463" t="s">
        <v>14004</v>
      </c>
      <c r="U1463" t="s">
        <v>14004</v>
      </c>
      <c r="V1463" t="s">
        <v>14004</v>
      </c>
      <c r="W1463" t="s">
        <v>15437</v>
      </c>
      <c r="X1463">
        <v>2</v>
      </c>
      <c r="Y1463" t="s">
        <v>22365</v>
      </c>
      <c r="Z1463" t="s">
        <v>29173</v>
      </c>
      <c r="AA1463">
        <v>0.54768555582029932</v>
      </c>
      <c r="AB1463" t="str">
        <f>HYPERLINK("Melting_Curves/meltCurve_O15165_5_LDLRAD4.pdf", "Melting_Curves/meltCurve_O15165_5_LDLRAD4.pdf")</f>
        <v>Melting_Curves/meltCurve_O15165_5_LDLRAD4.pdf</v>
      </c>
    </row>
    <row r="1464" spans="1:28" x14ac:dyDescent="0.25">
      <c r="A1464" t="s">
        <v>1468</v>
      </c>
      <c r="B1464">
        <v>0.99999676499088797</v>
      </c>
      <c r="C1464">
        <v>0.969095493324032</v>
      </c>
      <c r="D1464">
        <v>1.0048010373876</v>
      </c>
      <c r="E1464">
        <v>0.929953579329588</v>
      </c>
      <c r="F1464">
        <v>0.576487762951987</v>
      </c>
      <c r="G1464">
        <v>0.41724765233033401</v>
      </c>
      <c r="H1464">
        <v>0.25991928004901299</v>
      </c>
      <c r="I1464">
        <v>0.222395447150009</v>
      </c>
      <c r="J1464">
        <v>0.22480005574999001</v>
      </c>
      <c r="K1464">
        <v>0.25791779672878901</v>
      </c>
      <c r="L1464">
        <v>1329.37457114279</v>
      </c>
      <c r="M1464">
        <v>24.972377931282999</v>
      </c>
      <c r="N1464">
        <v>54.623239240953197</v>
      </c>
      <c r="O1464">
        <v>52.8959308347087</v>
      </c>
      <c r="P1464">
        <v>-9.0280472349555205E-2</v>
      </c>
      <c r="Q1464">
        <v>0.23508968946620001</v>
      </c>
      <c r="R1464">
        <v>0.99260815197449903</v>
      </c>
      <c r="S1464" t="s">
        <v>8467</v>
      </c>
      <c r="T1464" t="s">
        <v>14004</v>
      </c>
      <c r="U1464" t="s">
        <v>14004</v>
      </c>
      <c r="V1464" t="s">
        <v>14004</v>
      </c>
      <c r="W1464" t="s">
        <v>15438</v>
      </c>
      <c r="X1464">
        <v>12</v>
      </c>
      <c r="Y1464" t="s">
        <v>22366</v>
      </c>
      <c r="Z1464" t="s">
        <v>29174</v>
      </c>
      <c r="AA1464">
        <v>0.57958018318931914</v>
      </c>
      <c r="AB1464" t="str">
        <f>HYPERLINK("Melting_Curves/meltCurve_O15173_PGRMC2.pdf", "Melting_Curves/meltCurve_O15173_PGRMC2.pdf")</f>
        <v>Melting_Curves/meltCurve_O15173_PGRMC2.pdf</v>
      </c>
    </row>
    <row r="1465" spans="1:28" x14ac:dyDescent="0.25">
      <c r="A1465" t="s">
        <v>1469</v>
      </c>
      <c r="B1465">
        <v>0.99999676499088797</v>
      </c>
      <c r="C1465">
        <v>1.12564273586985</v>
      </c>
      <c r="D1465">
        <v>0.87242467410359403</v>
      </c>
      <c r="E1465">
        <v>0.586345690663712</v>
      </c>
      <c r="F1465">
        <v>0.544838519229079</v>
      </c>
      <c r="G1465">
        <v>0.35252920564631801</v>
      </c>
      <c r="H1465">
        <v>0.15789225821713601</v>
      </c>
      <c r="I1465">
        <v>0.15132011398235801</v>
      </c>
      <c r="J1465">
        <v>0.15376015967564899</v>
      </c>
      <c r="K1465">
        <v>9.8246414912767893E-2</v>
      </c>
      <c r="L1465">
        <v>725.11081955607904</v>
      </c>
      <c r="M1465">
        <v>13.9018143490445</v>
      </c>
      <c r="N1465">
        <v>52.917966278678101</v>
      </c>
      <c r="O1465">
        <v>51.115690719083901</v>
      </c>
      <c r="P1465">
        <v>-6.1858257727660203E-2</v>
      </c>
      <c r="Q1465">
        <v>9.0335270471169404E-2</v>
      </c>
      <c r="R1465">
        <v>0.96230943396036095</v>
      </c>
      <c r="S1465" t="s">
        <v>8468</v>
      </c>
      <c r="T1465" t="s">
        <v>14004</v>
      </c>
      <c r="U1465" t="s">
        <v>14004</v>
      </c>
      <c r="V1465" t="s">
        <v>14004</v>
      </c>
      <c r="W1465" t="s">
        <v>15439</v>
      </c>
      <c r="X1465">
        <v>1</v>
      </c>
      <c r="Y1465" t="s">
        <v>22367</v>
      </c>
      <c r="Z1465" t="s">
        <v>29175</v>
      </c>
      <c r="AA1465">
        <v>0.48164268535006649</v>
      </c>
      <c r="AB1465" t="str">
        <f>HYPERLINK("Melting_Curves/meltCurve_O15197_3_EPHB6.pdf", "Melting_Curves/meltCurve_O15197_3_EPHB6.pdf")</f>
        <v>Melting_Curves/meltCurve_O15197_3_EPHB6.pdf</v>
      </c>
    </row>
    <row r="1466" spans="1:28" x14ac:dyDescent="0.25">
      <c r="A1466" t="s">
        <v>1470</v>
      </c>
      <c r="B1466">
        <v>0.99999676499088797</v>
      </c>
      <c r="C1466">
        <v>1.0595542518155401</v>
      </c>
      <c r="D1466">
        <v>1.00684212411837</v>
      </c>
      <c r="E1466">
        <v>0.84354343963192102</v>
      </c>
      <c r="F1466">
        <v>0.75366309958015199</v>
      </c>
      <c r="G1466">
        <v>0.77204588801565999</v>
      </c>
      <c r="H1466">
        <v>0.47464185390140601</v>
      </c>
      <c r="I1466">
        <v>0.53856671497524899</v>
      </c>
      <c r="J1466">
        <v>0.455384244731874</v>
      </c>
      <c r="K1466">
        <v>0.42742331935544697</v>
      </c>
      <c r="L1466">
        <v>677.08005428560398</v>
      </c>
      <c r="M1466">
        <v>12.0119093435138</v>
      </c>
      <c r="N1466">
        <v>63.835898734833499</v>
      </c>
      <c r="O1466">
        <v>54.873303777405198</v>
      </c>
      <c r="P1466">
        <v>-3.4082680386660798E-2</v>
      </c>
      <c r="Q1466">
        <v>0.37735785233720598</v>
      </c>
      <c r="R1466">
        <v>0.94292521444043897</v>
      </c>
      <c r="S1466" t="s">
        <v>8469</v>
      </c>
      <c r="T1466" t="s">
        <v>14004</v>
      </c>
      <c r="U1466" t="s">
        <v>14004</v>
      </c>
      <c r="V1466" t="s">
        <v>14004</v>
      </c>
      <c r="W1466" t="s">
        <v>15440</v>
      </c>
      <c r="X1466">
        <v>16</v>
      </c>
      <c r="Y1466" t="s">
        <v>22368</v>
      </c>
      <c r="Z1466" t="s">
        <v>29176</v>
      </c>
      <c r="AA1466">
        <v>0.72897328590374044</v>
      </c>
      <c r="AB1466" t="str">
        <f>HYPERLINK("Melting_Curves/meltCurve_O15212_PFDN6.pdf", "Melting_Curves/meltCurve_O15212_PFDN6.pdf")</f>
        <v>Melting_Curves/meltCurve_O15212_PFDN6.pdf</v>
      </c>
    </row>
    <row r="1467" spans="1:28" x14ac:dyDescent="0.25">
      <c r="A1467" t="s">
        <v>1471</v>
      </c>
      <c r="B1467">
        <v>0.99999676499088797</v>
      </c>
      <c r="C1467">
        <v>1.0709892277417301</v>
      </c>
      <c r="D1467">
        <v>1.50468225164728</v>
      </c>
      <c r="E1467">
        <v>1.33262960310642</v>
      </c>
      <c r="F1467">
        <v>0.65718475856799197</v>
      </c>
      <c r="G1467">
        <v>0.33976751356603702</v>
      </c>
      <c r="H1467">
        <v>0.106807004132515</v>
      </c>
      <c r="I1467">
        <v>0.105861189844859</v>
      </c>
      <c r="J1467">
        <v>7.9938517490439398E-2</v>
      </c>
      <c r="K1467">
        <v>0.16230094386912899</v>
      </c>
      <c r="L1467">
        <v>2146.1046702809299</v>
      </c>
      <c r="M1467">
        <v>39.456293254507102</v>
      </c>
      <c r="N1467">
        <v>54.780503138352202</v>
      </c>
      <c r="O1467">
        <v>54.252795117341499</v>
      </c>
      <c r="P1467">
        <v>-0.15962638077646399</v>
      </c>
      <c r="Q1467">
        <v>0.122050555087026</v>
      </c>
      <c r="R1467">
        <v>0.85341784356431105</v>
      </c>
      <c r="S1467" t="s">
        <v>8470</v>
      </c>
      <c r="T1467" t="s">
        <v>14004</v>
      </c>
      <c r="U1467" t="s">
        <v>14004</v>
      </c>
      <c r="V1467" t="s">
        <v>14004</v>
      </c>
      <c r="W1467" t="s">
        <v>15441</v>
      </c>
      <c r="X1467">
        <v>2</v>
      </c>
      <c r="Y1467" t="s">
        <v>22369</v>
      </c>
      <c r="Z1467" t="s">
        <v>29177</v>
      </c>
      <c r="AA1467">
        <v>0.54661411478481081</v>
      </c>
      <c r="AB1467" t="str">
        <f>HYPERLINK("Melting_Curves/meltCurve_O15213_WDR46.pdf", "Melting_Curves/meltCurve_O15213_WDR46.pdf")</f>
        <v>Melting_Curves/meltCurve_O15213_WDR46.pdf</v>
      </c>
    </row>
    <row r="1468" spans="1:28" x14ac:dyDescent="0.25">
      <c r="A1468" t="s">
        <v>1472</v>
      </c>
      <c r="B1468">
        <v>0.99999676499088797</v>
      </c>
      <c r="C1468">
        <v>0.97885643285937296</v>
      </c>
      <c r="D1468">
        <v>1.0030297331504801</v>
      </c>
      <c r="E1468">
        <v>0.65907347138087002</v>
      </c>
      <c r="F1468">
        <v>0.22351386041669699</v>
      </c>
      <c r="G1468">
        <v>0.131735939638427</v>
      </c>
      <c r="H1468">
        <v>6.65399484957582E-2</v>
      </c>
      <c r="I1468">
        <v>6.7531192814841406E-2</v>
      </c>
      <c r="J1468">
        <v>6.2161268916451899E-2</v>
      </c>
      <c r="K1468">
        <v>4.3442567544410997E-2</v>
      </c>
      <c r="L1468">
        <v>1609.4402517567501</v>
      </c>
      <c r="M1468">
        <v>31.845557365043401</v>
      </c>
      <c r="N1468">
        <v>50.767758380596497</v>
      </c>
      <c r="O1468">
        <v>50.340893762608303</v>
      </c>
      <c r="P1468">
        <v>-0.14757693968611499</v>
      </c>
      <c r="Q1468">
        <v>6.6856820855306906E-2</v>
      </c>
      <c r="R1468">
        <v>0.99750523439297101</v>
      </c>
      <c r="S1468" t="s">
        <v>8471</v>
      </c>
      <c r="T1468" t="s">
        <v>14004</v>
      </c>
      <c r="U1468" t="s">
        <v>14004</v>
      </c>
      <c r="V1468" t="s">
        <v>14004</v>
      </c>
      <c r="W1468" t="s">
        <v>15442</v>
      </c>
      <c r="X1468">
        <v>11</v>
      </c>
      <c r="Y1468" t="s">
        <v>22370</v>
      </c>
      <c r="Z1468" t="s">
        <v>29178</v>
      </c>
      <c r="AA1468">
        <v>0.39983082718098889</v>
      </c>
      <c r="AB1468" t="str">
        <f>HYPERLINK("Melting_Curves/meltCurve_O15228_GNPAT.pdf", "Melting_Curves/meltCurve_O15228_GNPAT.pdf")</f>
        <v>Melting_Curves/meltCurve_O15228_GNPAT.pdf</v>
      </c>
    </row>
    <row r="1469" spans="1:28" x14ac:dyDescent="0.25">
      <c r="A1469" t="s">
        <v>1473</v>
      </c>
      <c r="B1469">
        <v>0.99999676499088797</v>
      </c>
      <c r="C1469">
        <v>0.92748346227367595</v>
      </c>
      <c r="D1469">
        <v>0.88521979240269</v>
      </c>
      <c r="E1469">
        <v>0.72056551371010602</v>
      </c>
      <c r="F1469">
        <v>0.72208134951339498</v>
      </c>
      <c r="G1469">
        <v>0.82779843817017196</v>
      </c>
      <c r="H1469">
        <v>0.80820848065373696</v>
      </c>
      <c r="I1469">
        <v>1.0734808266498399</v>
      </c>
      <c r="J1469">
        <v>1.04088204266752</v>
      </c>
      <c r="K1469">
        <v>1.1538189653398201</v>
      </c>
      <c r="L1469">
        <v>2554.1893146633101</v>
      </c>
      <c r="M1469">
        <v>36.370283054368102</v>
      </c>
      <c r="Q1469">
        <v>1.3251893172599001</v>
      </c>
      <c r="R1469">
        <v>-0.22267796157293199</v>
      </c>
      <c r="S1469" t="s">
        <v>8472</v>
      </c>
      <c r="T1469" t="s">
        <v>14004</v>
      </c>
      <c r="U1469" t="s">
        <v>14004</v>
      </c>
      <c r="V1469" t="s">
        <v>14004</v>
      </c>
      <c r="W1469" t="s">
        <v>15443</v>
      </c>
      <c r="X1469">
        <v>8</v>
      </c>
      <c r="Y1469" t="s">
        <v>22371</v>
      </c>
      <c r="Z1469" t="s">
        <v>29179</v>
      </c>
      <c r="AA1469">
        <v>1.012442063885695</v>
      </c>
      <c r="AB1469" t="str">
        <f>HYPERLINK("Melting_Curves/meltCurve_O15234_CASC3.pdf", "Melting_Curves/meltCurve_O15234_CASC3.pdf")</f>
        <v>Melting_Curves/meltCurve_O15234_CASC3.pdf</v>
      </c>
    </row>
    <row r="1470" spans="1:28" x14ac:dyDescent="0.25">
      <c r="A1470" t="s">
        <v>1474</v>
      </c>
      <c r="B1470">
        <v>0.99999676499088797</v>
      </c>
      <c r="C1470">
        <v>0.96066964868069704</v>
      </c>
      <c r="D1470">
        <v>0.91989936140012996</v>
      </c>
      <c r="E1470">
        <v>0.56951426142214201</v>
      </c>
      <c r="F1470">
        <v>0.25941286975674299</v>
      </c>
      <c r="G1470">
        <v>0.18937093913226999</v>
      </c>
      <c r="H1470">
        <v>0.123257283796013</v>
      </c>
      <c r="I1470">
        <v>0.12779202085229799</v>
      </c>
      <c r="J1470">
        <v>0.117029697764146</v>
      </c>
      <c r="K1470">
        <v>9.3819402761407905E-2</v>
      </c>
      <c r="L1470">
        <v>1237.4407509539799</v>
      </c>
      <c r="M1470">
        <v>24.859819253627201</v>
      </c>
      <c r="N1470">
        <v>50.319580030802697</v>
      </c>
      <c r="O1470">
        <v>49.458009765469001</v>
      </c>
      <c r="P1470">
        <v>-0.110883473594951</v>
      </c>
      <c r="Q1470">
        <v>0.117612368863603</v>
      </c>
      <c r="R1470">
        <v>0.99788404018410903</v>
      </c>
      <c r="S1470" t="s">
        <v>8473</v>
      </c>
      <c r="T1470" t="s">
        <v>14004</v>
      </c>
      <c r="U1470" t="s">
        <v>14004</v>
      </c>
      <c r="V1470" t="s">
        <v>14004</v>
      </c>
      <c r="W1470" t="s">
        <v>15444</v>
      </c>
      <c r="X1470">
        <v>2</v>
      </c>
      <c r="Y1470" t="s">
        <v>22372</v>
      </c>
      <c r="Z1470" t="s">
        <v>29180</v>
      </c>
      <c r="AA1470">
        <v>0.41313395004345249</v>
      </c>
      <c r="AB1470" t="str">
        <f>HYPERLINK("Melting_Curves/meltCurve_O15235_MRPS12.pdf", "Melting_Curves/meltCurve_O15235_MRPS12.pdf")</f>
        <v>Melting_Curves/meltCurve_O15235_MRPS12.pdf</v>
      </c>
    </row>
    <row r="1471" spans="1:28" x14ac:dyDescent="0.25">
      <c r="A1471" t="s">
        <v>1475</v>
      </c>
      <c r="B1471">
        <v>0.99999676499088797</v>
      </c>
      <c r="C1471">
        <v>1.0170702446666999</v>
      </c>
      <c r="D1471">
        <v>1.03479183306158</v>
      </c>
      <c r="E1471">
        <v>1.16068246599214</v>
      </c>
      <c r="F1471">
        <v>1.0995046212289801</v>
      </c>
      <c r="G1471">
        <v>0.70897149596974696</v>
      </c>
      <c r="H1471">
        <v>0.31367728385987897</v>
      </c>
      <c r="I1471">
        <v>0.214059297308374</v>
      </c>
      <c r="J1471">
        <v>0.18076569207691001</v>
      </c>
      <c r="K1471">
        <v>0.14860333685579999</v>
      </c>
      <c r="L1471">
        <v>2344.3742686145001</v>
      </c>
      <c r="M1471">
        <v>40.4993053011124</v>
      </c>
      <c r="N1471">
        <v>58.534902975878303</v>
      </c>
      <c r="O1471">
        <v>57.746184771188503</v>
      </c>
      <c r="P1471">
        <v>-0.14365362358973799</v>
      </c>
      <c r="Q1471">
        <v>0.18068408433867</v>
      </c>
      <c r="R1471">
        <v>0.97191422492375901</v>
      </c>
      <c r="S1471" t="s">
        <v>8474</v>
      </c>
      <c r="T1471" t="s">
        <v>14004</v>
      </c>
      <c r="U1471" t="s">
        <v>14004</v>
      </c>
      <c r="V1471" t="s">
        <v>14004</v>
      </c>
      <c r="W1471" t="s">
        <v>15445</v>
      </c>
      <c r="X1471">
        <v>6</v>
      </c>
      <c r="Y1471" t="s">
        <v>22373</v>
      </c>
      <c r="Z1471" t="s">
        <v>29181</v>
      </c>
      <c r="AA1471">
        <v>0.67232468000879086</v>
      </c>
      <c r="AB1471" t="str">
        <f>HYPERLINK("Melting_Curves/meltCurve_O15254_ACOX3.pdf", "Melting_Curves/meltCurve_O15254_ACOX3.pdf")</f>
        <v>Melting_Curves/meltCurve_O15254_ACOX3.pdf</v>
      </c>
    </row>
    <row r="1472" spans="1:28" x14ac:dyDescent="0.25">
      <c r="A1472" t="s">
        <v>1476</v>
      </c>
      <c r="B1472">
        <v>0.99999676499088797</v>
      </c>
      <c r="C1472">
        <v>0.890728873405772</v>
      </c>
      <c r="D1472">
        <v>0.90382329830390096</v>
      </c>
      <c r="E1472">
        <v>0.824371657254233</v>
      </c>
      <c r="F1472">
        <v>0.77712564455323996</v>
      </c>
      <c r="G1472">
        <v>0.53985462421583497</v>
      </c>
      <c r="H1472">
        <v>0.41078014019083797</v>
      </c>
      <c r="I1472">
        <v>0.288176525903167</v>
      </c>
      <c r="J1472">
        <v>0.19342432647964999</v>
      </c>
      <c r="K1472">
        <v>0.286027547118823</v>
      </c>
      <c r="L1472">
        <v>585.10153899757699</v>
      </c>
      <c r="M1472">
        <v>10.2739584373894</v>
      </c>
      <c r="N1472">
        <v>58.1880189851273</v>
      </c>
      <c r="O1472">
        <v>54.918931832257002</v>
      </c>
      <c r="P1472">
        <v>-4.2195611034748302E-2</v>
      </c>
      <c r="Q1472">
        <v>9.8177399400391302E-2</v>
      </c>
      <c r="R1472">
        <v>0.97249415589662502</v>
      </c>
      <c r="S1472" t="s">
        <v>8475</v>
      </c>
      <c r="T1472" t="s">
        <v>14004</v>
      </c>
      <c r="U1472" t="s">
        <v>14004</v>
      </c>
      <c r="V1472" t="s">
        <v>14004</v>
      </c>
      <c r="W1472" t="s">
        <v>15446</v>
      </c>
      <c r="X1472">
        <v>5</v>
      </c>
      <c r="Y1472" t="s">
        <v>22374</v>
      </c>
      <c r="Z1472" t="s">
        <v>29182</v>
      </c>
      <c r="AA1472">
        <v>0.62244317277509575</v>
      </c>
      <c r="AB1472" t="str">
        <f>HYPERLINK("Melting_Curves/meltCurve_O15258_RER1.pdf", "Melting_Curves/meltCurve_O15258_RER1.pdf")</f>
        <v>Melting_Curves/meltCurve_O15258_RER1.pdf</v>
      </c>
    </row>
    <row r="1473" spans="1:28" x14ac:dyDescent="0.25">
      <c r="A1473" t="s">
        <v>1477</v>
      </c>
      <c r="B1473">
        <v>0.99999676499088797</v>
      </c>
      <c r="C1473">
        <v>1.0290969097298499</v>
      </c>
      <c r="D1473">
        <v>0.94103947042845704</v>
      </c>
      <c r="E1473">
        <v>0.81888795932246405</v>
      </c>
      <c r="F1473">
        <v>0.30785965878086502</v>
      </c>
      <c r="G1473">
        <v>0.19292830867654201</v>
      </c>
      <c r="H1473">
        <v>9.5818656378122896E-2</v>
      </c>
      <c r="I1473">
        <v>8.2208717480864196E-2</v>
      </c>
      <c r="J1473">
        <v>7.9691348564562503E-2</v>
      </c>
      <c r="K1473">
        <v>5.7022231152914798E-2</v>
      </c>
      <c r="L1473">
        <v>1607.8849999131301</v>
      </c>
      <c r="M1473">
        <v>31.176728248299099</v>
      </c>
      <c r="N1473">
        <v>51.884097485000602</v>
      </c>
      <c r="O1473">
        <v>51.3624609307086</v>
      </c>
      <c r="P1473">
        <v>-0.138821822292479</v>
      </c>
      <c r="Q1473">
        <v>8.5190856516478106E-2</v>
      </c>
      <c r="R1473">
        <v>0.994953735955449</v>
      </c>
      <c r="S1473" t="s">
        <v>8476</v>
      </c>
      <c r="T1473" t="s">
        <v>14004</v>
      </c>
      <c r="U1473" t="s">
        <v>14004</v>
      </c>
      <c r="V1473" t="s">
        <v>14004</v>
      </c>
      <c r="W1473" t="s">
        <v>15447</v>
      </c>
      <c r="X1473">
        <v>10</v>
      </c>
      <c r="Y1473" t="s">
        <v>22375</v>
      </c>
      <c r="Z1473" t="s">
        <v>29183</v>
      </c>
      <c r="AA1473">
        <v>0.44347794386872558</v>
      </c>
      <c r="AB1473" t="str">
        <f>HYPERLINK("Melting_Curves/meltCurve_O15269_SPTLC1.pdf", "Melting_Curves/meltCurve_O15269_SPTLC1.pdf")</f>
        <v>Melting_Curves/meltCurve_O15269_SPTLC1.pdf</v>
      </c>
    </row>
    <row r="1474" spans="1:28" x14ac:dyDescent="0.25">
      <c r="A1474" t="s">
        <v>1478</v>
      </c>
      <c r="B1474">
        <v>0.99999676499088797</v>
      </c>
      <c r="C1474">
        <v>1.0734585042133</v>
      </c>
      <c r="D1474">
        <v>1.0853082598799799</v>
      </c>
      <c r="E1474">
        <v>1.23621948308582</v>
      </c>
      <c r="F1474">
        <v>0.36053481009710697</v>
      </c>
      <c r="G1474">
        <v>0.239319218286353</v>
      </c>
      <c r="H1474">
        <v>0.120656822867342</v>
      </c>
      <c r="I1474">
        <v>0.13304808976701701</v>
      </c>
      <c r="J1474">
        <v>0.10379918034532699</v>
      </c>
      <c r="K1474">
        <v>0.105745899404462</v>
      </c>
      <c r="L1474">
        <v>13243.240453291901</v>
      </c>
      <c r="M1474">
        <v>250</v>
      </c>
      <c r="N1474">
        <v>53.042967976457398</v>
      </c>
      <c r="O1474">
        <v>52.969574614831203</v>
      </c>
      <c r="P1474">
        <v>-1.01412724604298</v>
      </c>
      <c r="Q1474">
        <v>0.14051382385348701</v>
      </c>
      <c r="R1474">
        <v>0.96169324632478304</v>
      </c>
      <c r="S1474" t="s">
        <v>8477</v>
      </c>
      <c r="T1474" t="s">
        <v>14004</v>
      </c>
      <c r="U1474" t="s">
        <v>14004</v>
      </c>
      <c r="V1474" t="s">
        <v>14004</v>
      </c>
      <c r="W1474" t="s">
        <v>15448</v>
      </c>
      <c r="X1474">
        <v>17</v>
      </c>
      <c r="Y1474" t="s">
        <v>22376</v>
      </c>
      <c r="Z1474" t="s">
        <v>29184</v>
      </c>
      <c r="AA1474">
        <v>0.5122631055370177</v>
      </c>
      <c r="AB1474" t="str">
        <f>HYPERLINK("Melting_Curves/meltCurve_O15270_SPTLC2.pdf", "Melting_Curves/meltCurve_O15270_SPTLC2.pdf")</f>
        <v>Melting_Curves/meltCurve_O15270_SPTLC2.pdf</v>
      </c>
    </row>
    <row r="1475" spans="1:28" x14ac:dyDescent="0.25">
      <c r="A1475" t="s">
        <v>1479</v>
      </c>
      <c r="B1475">
        <v>0.99999676499088797</v>
      </c>
      <c r="C1475">
        <v>0.70030982215699999</v>
      </c>
      <c r="D1475">
        <v>0.66498216314467795</v>
      </c>
      <c r="E1475">
        <v>0.54997974958104101</v>
      </c>
      <c r="F1475">
        <v>0.70161847704532299</v>
      </c>
      <c r="G1475">
        <v>0.74134910610287097</v>
      </c>
      <c r="H1475">
        <v>0.292106390257796</v>
      </c>
      <c r="I1475">
        <v>0.13566719114070799</v>
      </c>
      <c r="J1475">
        <v>7.2079712534688201E-2</v>
      </c>
      <c r="K1475">
        <v>7.71688968712336E-2</v>
      </c>
      <c r="L1475">
        <v>376.627451418161</v>
      </c>
      <c r="M1475">
        <v>6.9536489301222302</v>
      </c>
      <c r="N1475">
        <v>54.1625633799244</v>
      </c>
      <c r="O1475">
        <v>50.215797598738199</v>
      </c>
      <c r="P1475">
        <v>-3.4684596083343101E-2</v>
      </c>
      <c r="Q1475">
        <v>0</v>
      </c>
      <c r="R1475">
        <v>0.75984164255559195</v>
      </c>
      <c r="S1475" t="s">
        <v>8478</v>
      </c>
      <c r="T1475" t="s">
        <v>14004</v>
      </c>
      <c r="U1475" t="s">
        <v>14004</v>
      </c>
      <c r="V1475" t="s">
        <v>14004</v>
      </c>
      <c r="W1475" t="s">
        <v>15449</v>
      </c>
      <c r="X1475">
        <v>5</v>
      </c>
      <c r="Y1475" t="s">
        <v>22377</v>
      </c>
      <c r="Z1475" t="s">
        <v>29185</v>
      </c>
      <c r="AA1475">
        <v>0.50648827627599058</v>
      </c>
      <c r="AB1475" t="str">
        <f>HYPERLINK("Melting_Curves/meltCurve_O15294_3_OGT.pdf", "Melting_Curves/meltCurve_O15294_3_OGT.pdf")</f>
        <v>Melting_Curves/meltCurve_O15294_3_OGT.pdf</v>
      </c>
    </row>
    <row r="1476" spans="1:28" x14ac:dyDescent="0.25">
      <c r="A1476" t="s">
        <v>1480</v>
      </c>
      <c r="B1476">
        <v>0.99999676499088797</v>
      </c>
      <c r="C1476">
        <v>1.04145714862859</v>
      </c>
      <c r="D1476">
        <v>0.96364900472404202</v>
      </c>
      <c r="E1476">
        <v>1.02357530306933</v>
      </c>
      <c r="F1476">
        <v>0.68039633215556905</v>
      </c>
      <c r="G1476">
        <v>0.403282162989197</v>
      </c>
      <c r="H1476">
        <v>0.19840812314436401</v>
      </c>
      <c r="I1476">
        <v>0.17846203079817699</v>
      </c>
      <c r="J1476">
        <v>0.173645886762364</v>
      </c>
      <c r="K1476">
        <v>0.17922839422873099</v>
      </c>
      <c r="L1476">
        <v>1531.4637192924299</v>
      </c>
      <c r="M1476">
        <v>28.110449841112899</v>
      </c>
      <c r="N1476">
        <v>55.305455841078498</v>
      </c>
      <c r="O1476">
        <v>54.2067462201409</v>
      </c>
      <c r="P1476">
        <v>-0.10743854749253801</v>
      </c>
      <c r="Q1476">
        <v>0.171291019384126</v>
      </c>
      <c r="R1476">
        <v>0.99217396703539495</v>
      </c>
      <c r="S1476" t="s">
        <v>8479</v>
      </c>
      <c r="T1476" t="s">
        <v>14004</v>
      </c>
      <c r="U1476" t="s">
        <v>14004</v>
      </c>
      <c r="V1476" t="s">
        <v>14004</v>
      </c>
      <c r="W1476" t="s">
        <v>15450</v>
      </c>
      <c r="X1476">
        <v>12</v>
      </c>
      <c r="Y1476" t="s">
        <v>22378</v>
      </c>
      <c r="Z1476" t="s">
        <v>29186</v>
      </c>
      <c r="AA1476">
        <v>0.57747635942803588</v>
      </c>
      <c r="AB1476" t="str">
        <f>HYPERLINK("Melting_Curves/meltCurve_O15305_PMM2.pdf", "Melting_Curves/meltCurve_O15305_PMM2.pdf")</f>
        <v>Melting_Curves/meltCurve_O15305_PMM2.pdf</v>
      </c>
    </row>
    <row r="1477" spans="1:28" x14ac:dyDescent="0.25">
      <c r="A1477" t="s">
        <v>1481</v>
      </c>
      <c r="B1477">
        <v>0.99999676499088797</v>
      </c>
      <c r="C1477">
        <v>1.0440635846965201</v>
      </c>
      <c r="D1477">
        <v>1.00212607602181</v>
      </c>
      <c r="E1477">
        <v>0.71801077747829201</v>
      </c>
      <c r="F1477">
        <v>0.34376108900050301</v>
      </c>
      <c r="G1477">
        <v>0.251350121808946</v>
      </c>
      <c r="H1477">
        <v>0.12591904119403</v>
      </c>
      <c r="I1477">
        <v>8.3384434164997301E-2</v>
      </c>
      <c r="J1477">
        <v>0.12230981331484</v>
      </c>
      <c r="K1477">
        <v>4.9342591206775803E-2</v>
      </c>
      <c r="L1477">
        <v>1228.58575846452</v>
      </c>
      <c r="M1477">
        <v>23.909737495818501</v>
      </c>
      <c r="N1477">
        <v>51.853040877293502</v>
      </c>
      <c r="O1477">
        <v>51.028928893962998</v>
      </c>
      <c r="P1477">
        <v>-0.105755955954232</v>
      </c>
      <c r="Q1477">
        <v>9.7183473053956498E-2</v>
      </c>
      <c r="R1477">
        <v>0.99046704117685802</v>
      </c>
      <c r="S1477" t="s">
        <v>8480</v>
      </c>
      <c r="T1477" t="s">
        <v>14004</v>
      </c>
      <c r="U1477" t="s">
        <v>14004</v>
      </c>
      <c r="V1477" t="s">
        <v>14004</v>
      </c>
      <c r="W1477" t="s">
        <v>15451</v>
      </c>
      <c r="X1477">
        <v>3</v>
      </c>
      <c r="Y1477" t="s">
        <v>22379</v>
      </c>
      <c r="Z1477" t="s">
        <v>29187</v>
      </c>
      <c r="AA1477">
        <v>0.4487133157696912</v>
      </c>
      <c r="AB1477" t="str">
        <f>HYPERLINK("Melting_Curves/meltCurve_O15344_MID1.pdf", "Melting_Curves/meltCurve_O15344_MID1.pdf")</f>
        <v>Melting_Curves/meltCurve_O15344_MID1.pdf</v>
      </c>
    </row>
    <row r="1478" spans="1:28" x14ac:dyDescent="0.25">
      <c r="A1478" t="s">
        <v>1482</v>
      </c>
      <c r="B1478">
        <v>0.99999676499088797</v>
      </c>
      <c r="C1478">
        <v>0.92211727500229201</v>
      </c>
      <c r="D1478">
        <v>0.94921664547699502</v>
      </c>
      <c r="E1478">
        <v>0.94435994878105001</v>
      </c>
      <c r="F1478">
        <v>0.65632793557948599</v>
      </c>
      <c r="G1478">
        <v>0.61652540331203098</v>
      </c>
      <c r="H1478">
        <v>0.39735640884773998</v>
      </c>
      <c r="I1478">
        <v>0.31366075969420498</v>
      </c>
      <c r="J1478">
        <v>0.25132288066046499</v>
      </c>
      <c r="K1478">
        <v>0.27344025941757799</v>
      </c>
      <c r="L1478">
        <v>735.70183189142404</v>
      </c>
      <c r="M1478">
        <v>13.1199993237579</v>
      </c>
      <c r="N1478">
        <v>58.221383095292403</v>
      </c>
      <c r="O1478">
        <v>54.820111065381397</v>
      </c>
      <c r="P1478">
        <v>-4.8367120446796398E-2</v>
      </c>
      <c r="Q1478">
        <v>0.19175641842796601</v>
      </c>
      <c r="R1478">
        <v>0.97745087874056003</v>
      </c>
      <c r="S1478" t="s">
        <v>8481</v>
      </c>
      <c r="T1478" t="s">
        <v>14004</v>
      </c>
      <c r="U1478" t="s">
        <v>14004</v>
      </c>
      <c r="V1478" t="s">
        <v>14004</v>
      </c>
      <c r="W1478" t="s">
        <v>15452</v>
      </c>
      <c r="X1478">
        <v>24</v>
      </c>
      <c r="Y1478" t="s">
        <v>22380</v>
      </c>
      <c r="Z1478" t="s">
        <v>29188</v>
      </c>
      <c r="AA1478">
        <v>0.6404573516612202</v>
      </c>
      <c r="AB1478" t="str">
        <f>HYPERLINK("Melting_Curves/meltCurve_O15347_HMGB3.pdf", "Melting_Curves/meltCurve_O15347_HMGB3.pdf")</f>
        <v>Melting_Curves/meltCurve_O15347_HMGB3.pdf</v>
      </c>
    </row>
    <row r="1479" spans="1:28" x14ac:dyDescent="0.25">
      <c r="A1479" t="s">
        <v>1483</v>
      </c>
      <c r="B1479">
        <v>0.99999676499088797</v>
      </c>
      <c r="C1479">
        <v>0.96361378049769897</v>
      </c>
      <c r="D1479">
        <v>0.69221066511618401</v>
      </c>
      <c r="E1479">
        <v>0.24333747259703201</v>
      </c>
      <c r="F1479">
        <v>0.166797012491815</v>
      </c>
      <c r="G1479">
        <v>0.120817999079347</v>
      </c>
      <c r="H1479">
        <v>6.5694846715434893E-2</v>
      </c>
      <c r="I1479">
        <v>6.2477044453179399E-2</v>
      </c>
      <c r="J1479">
        <v>5.8982854567618197E-2</v>
      </c>
      <c r="K1479">
        <v>6.2616338139533795E-2</v>
      </c>
      <c r="L1479">
        <v>1317.9791123327</v>
      </c>
      <c r="M1479">
        <v>27.959429472183398</v>
      </c>
      <c r="N1479">
        <v>47.430232731753499</v>
      </c>
      <c r="O1479">
        <v>46.8998108739736</v>
      </c>
      <c r="P1479">
        <v>-0.13728336278317199</v>
      </c>
      <c r="Q1479">
        <v>7.8878311681239696E-2</v>
      </c>
      <c r="R1479">
        <v>0.99572999048685096</v>
      </c>
      <c r="S1479" t="s">
        <v>8482</v>
      </c>
      <c r="T1479" t="s">
        <v>14004</v>
      </c>
      <c r="U1479" t="s">
        <v>14004</v>
      </c>
      <c r="V1479" t="s">
        <v>14004</v>
      </c>
      <c r="W1479" t="s">
        <v>15453</v>
      </c>
      <c r="X1479">
        <v>30</v>
      </c>
      <c r="Y1479" t="s">
        <v>22381</v>
      </c>
      <c r="Z1479" t="s">
        <v>29189</v>
      </c>
      <c r="AA1479">
        <v>0.30450228783929068</v>
      </c>
      <c r="AB1479" t="str">
        <f>HYPERLINK("Melting_Curves/meltCurve_O15355_PPM1G.pdf", "Melting_Curves/meltCurve_O15355_PPM1G.pdf")</f>
        <v>Melting_Curves/meltCurve_O15355_PPM1G.pdf</v>
      </c>
    </row>
    <row r="1480" spans="1:28" x14ac:dyDescent="0.25">
      <c r="A1480" t="s">
        <v>1484</v>
      </c>
      <c r="B1480">
        <v>0.99999676499088797</v>
      </c>
      <c r="C1480">
        <v>0.82595172606140899</v>
      </c>
      <c r="D1480">
        <v>0.74295616938311404</v>
      </c>
      <c r="E1480">
        <v>0.58361207004675397</v>
      </c>
      <c r="F1480">
        <v>0.44424902597483201</v>
      </c>
      <c r="G1480">
        <v>0.35857464670056299</v>
      </c>
      <c r="H1480">
        <v>6.0581058116006302E-2</v>
      </c>
      <c r="I1480">
        <v>6.0286117254236299E-2</v>
      </c>
      <c r="J1480">
        <v>6.5852431231523303E-2</v>
      </c>
      <c r="K1480">
        <v>4.2080475404898898E-2</v>
      </c>
      <c r="L1480">
        <v>543.02905428445899</v>
      </c>
      <c r="M1480">
        <v>10.5976151960606</v>
      </c>
      <c r="N1480">
        <v>51.2406634419239</v>
      </c>
      <c r="O1480">
        <v>49.517131492835198</v>
      </c>
      <c r="P1480">
        <v>-5.3525628991616697E-2</v>
      </c>
      <c r="Q1480">
        <v>0</v>
      </c>
      <c r="R1480">
        <v>0.97417848376048299</v>
      </c>
      <c r="S1480" t="s">
        <v>8483</v>
      </c>
      <c r="T1480" t="s">
        <v>14004</v>
      </c>
      <c r="U1480" t="s">
        <v>14004</v>
      </c>
      <c r="V1480" t="s">
        <v>14004</v>
      </c>
      <c r="W1480" t="s">
        <v>15454</v>
      </c>
      <c r="X1480">
        <v>5</v>
      </c>
      <c r="Y1480" t="s">
        <v>22382</v>
      </c>
      <c r="Z1480" t="s">
        <v>29190</v>
      </c>
      <c r="AA1480">
        <v>0.41260294441545009</v>
      </c>
      <c r="AB1480" t="str">
        <f>HYPERLINK("Melting_Curves/meltCurve_O15379_HDAC3.pdf", "Melting_Curves/meltCurve_O15379_HDAC3.pdf")</f>
        <v>Melting_Curves/meltCurve_O15379_HDAC3.pdf</v>
      </c>
    </row>
    <row r="1481" spans="1:28" x14ac:dyDescent="0.25">
      <c r="A1481" t="s">
        <v>1485</v>
      </c>
      <c r="B1481">
        <v>0.99999676499088797</v>
      </c>
      <c r="C1481">
        <v>0.78320196407712495</v>
      </c>
      <c r="D1481">
        <v>0.56517989612894304</v>
      </c>
      <c r="E1481">
        <v>0.281187664025771</v>
      </c>
      <c r="F1481">
        <v>0.24329870088852501</v>
      </c>
      <c r="G1481">
        <v>0.106449088304208</v>
      </c>
      <c r="H1481">
        <v>7.2349757695586298E-2</v>
      </c>
      <c r="I1481">
        <v>0</v>
      </c>
      <c r="J1481">
        <v>0</v>
      </c>
      <c r="K1481">
        <v>0</v>
      </c>
      <c r="L1481">
        <v>656.50614588218798</v>
      </c>
      <c r="M1481">
        <v>13.954082959170099</v>
      </c>
      <c r="N1481">
        <v>47.085705853189097</v>
      </c>
      <c r="O1481">
        <v>46.112955884724798</v>
      </c>
      <c r="P1481">
        <v>-7.5237089756144196E-2</v>
      </c>
      <c r="Q1481">
        <v>5.6130171458020203E-3</v>
      </c>
      <c r="R1481">
        <v>0.985383146606714</v>
      </c>
      <c r="S1481" t="s">
        <v>8484</v>
      </c>
      <c r="T1481" t="s">
        <v>14004</v>
      </c>
      <c r="U1481" t="s">
        <v>14004</v>
      </c>
      <c r="V1481" t="s">
        <v>14004</v>
      </c>
      <c r="W1481" t="s">
        <v>15455</v>
      </c>
      <c r="X1481">
        <v>1</v>
      </c>
      <c r="Y1481" t="s">
        <v>22383</v>
      </c>
      <c r="Z1481" t="s">
        <v>29191</v>
      </c>
      <c r="AA1481">
        <v>0.270392767503494</v>
      </c>
      <c r="AB1481" t="str">
        <f>HYPERLINK("Melting_Curves/meltCurve_O15381_NVL.pdf", "Melting_Curves/meltCurve_O15381_NVL.pdf")</f>
        <v>Melting_Curves/meltCurve_O15381_NVL.pdf</v>
      </c>
    </row>
    <row r="1482" spans="1:28" x14ac:dyDescent="0.25">
      <c r="A1482" t="s">
        <v>1486</v>
      </c>
      <c r="B1482">
        <v>0.99999676499088797</v>
      </c>
      <c r="C1482">
        <v>1.05027818271733</v>
      </c>
      <c r="D1482">
        <v>1.0355737447823701</v>
      </c>
      <c r="E1482">
        <v>1.0725479511431599</v>
      </c>
      <c r="F1482">
        <v>0.99403037769034996</v>
      </c>
      <c r="G1482">
        <v>0.830112916204651</v>
      </c>
      <c r="H1482">
        <v>0.44499979652414701</v>
      </c>
      <c r="I1482">
        <v>0.31662875003556501</v>
      </c>
      <c r="J1482">
        <v>0.20851447175208199</v>
      </c>
      <c r="K1482">
        <v>0.17031467722163099</v>
      </c>
      <c r="L1482">
        <v>1694.9615700867801</v>
      </c>
      <c r="M1482">
        <v>28.500813466763301</v>
      </c>
      <c r="N1482">
        <v>60.416742079313899</v>
      </c>
      <c r="O1482">
        <v>59.180168323328502</v>
      </c>
      <c r="P1482">
        <v>-9.8726620083609606E-2</v>
      </c>
      <c r="Q1482">
        <v>0.18000779343369</v>
      </c>
      <c r="R1482">
        <v>0.99040844049978005</v>
      </c>
      <c r="S1482" t="s">
        <v>8485</v>
      </c>
      <c r="T1482" t="s">
        <v>14004</v>
      </c>
      <c r="U1482" t="s">
        <v>14004</v>
      </c>
      <c r="V1482" t="s">
        <v>14004</v>
      </c>
      <c r="W1482" t="s">
        <v>15456</v>
      </c>
      <c r="X1482">
        <v>18</v>
      </c>
      <c r="Y1482" t="s">
        <v>22384</v>
      </c>
      <c r="Z1482" t="s">
        <v>29192</v>
      </c>
      <c r="AA1482">
        <v>0.71771875651117223</v>
      </c>
      <c r="AB1482" t="str">
        <f>HYPERLINK("Melting_Curves/meltCurve_O15382_BCAT2.pdf", "Melting_Curves/meltCurve_O15382_BCAT2.pdf")</f>
        <v>Melting_Curves/meltCurve_O15382_BCAT2.pdf</v>
      </c>
    </row>
    <row r="1483" spans="1:28" x14ac:dyDescent="0.25">
      <c r="A1483" t="s">
        <v>1487</v>
      </c>
      <c r="B1483">
        <v>0.99999676499088797</v>
      </c>
      <c r="C1483">
        <v>0.92319829693323496</v>
      </c>
      <c r="D1483">
        <v>0.81707245101394999</v>
      </c>
      <c r="E1483">
        <v>0.72770237802712001</v>
      </c>
      <c r="F1483">
        <v>0.73997189060259805</v>
      </c>
      <c r="G1483">
        <v>0.58315047356905203</v>
      </c>
      <c r="H1483">
        <v>0.39748592426288498</v>
      </c>
      <c r="I1483">
        <v>0.416405839097582</v>
      </c>
      <c r="J1483">
        <v>0.39628134363960399</v>
      </c>
      <c r="K1483">
        <v>0.49922143129560898</v>
      </c>
      <c r="L1483">
        <v>506.59825962249897</v>
      </c>
      <c r="M1483">
        <v>9.73832239200771</v>
      </c>
      <c r="N1483">
        <v>59.994015971857003</v>
      </c>
      <c r="O1483">
        <v>49.969673164711701</v>
      </c>
      <c r="P1483">
        <v>-3.105509899288E-2</v>
      </c>
      <c r="Q1483">
        <v>0.36293816058721401</v>
      </c>
      <c r="R1483">
        <v>0.93049473521922998</v>
      </c>
      <c r="S1483" t="s">
        <v>8486</v>
      </c>
      <c r="T1483" t="s">
        <v>14004</v>
      </c>
      <c r="U1483" t="s">
        <v>14004</v>
      </c>
      <c r="V1483" t="s">
        <v>14004</v>
      </c>
      <c r="W1483" t="s">
        <v>15457</v>
      </c>
      <c r="X1483">
        <v>5</v>
      </c>
      <c r="Y1483" t="s">
        <v>22385</v>
      </c>
      <c r="Z1483" t="s">
        <v>29193</v>
      </c>
      <c r="AA1483">
        <v>0.64304002724523335</v>
      </c>
      <c r="AB1483" t="str">
        <f>HYPERLINK("Melting_Curves/meltCurve_O15392_4_BIRC5.pdf", "Melting_Curves/meltCurve_O15392_4_BIRC5.pdf")</f>
        <v>Melting_Curves/meltCurve_O15392_4_BIRC5.pdf</v>
      </c>
    </row>
    <row r="1484" spans="1:28" x14ac:dyDescent="0.25">
      <c r="A1484" t="s">
        <v>1488</v>
      </c>
      <c r="B1484">
        <v>0.99999676499088797</v>
      </c>
      <c r="C1484">
        <v>0.92296360790084198</v>
      </c>
      <c r="D1484">
        <v>0.60303843810035895</v>
      </c>
      <c r="E1484">
        <v>0.307811062341041</v>
      </c>
      <c r="F1484">
        <v>0.197014347944515</v>
      </c>
      <c r="G1484">
        <v>9.0112552661546802E-2</v>
      </c>
      <c r="H1484">
        <v>4.6982639647101601E-2</v>
      </c>
      <c r="I1484">
        <v>4.5728024438651003E-2</v>
      </c>
      <c r="J1484">
        <v>4.5578580974354001E-2</v>
      </c>
      <c r="K1484">
        <v>3.8848247002674897E-2</v>
      </c>
      <c r="L1484">
        <v>907.84533877044998</v>
      </c>
      <c r="M1484">
        <v>19.238234892709499</v>
      </c>
      <c r="N1484">
        <v>47.439468008568603</v>
      </c>
      <c r="O1484">
        <v>46.688630944000003</v>
      </c>
      <c r="P1484">
        <v>-9.8054600469125799E-2</v>
      </c>
      <c r="Q1484">
        <v>4.8174355902603903E-2</v>
      </c>
      <c r="R1484">
        <v>0.99422162447433104</v>
      </c>
      <c r="S1484" t="s">
        <v>8487</v>
      </c>
      <c r="T1484" t="s">
        <v>14004</v>
      </c>
      <c r="U1484" t="s">
        <v>14004</v>
      </c>
      <c r="V1484" t="s">
        <v>14004</v>
      </c>
      <c r="W1484" t="s">
        <v>15458</v>
      </c>
      <c r="X1484">
        <v>14</v>
      </c>
      <c r="Y1484" t="s">
        <v>22386</v>
      </c>
      <c r="Z1484" t="s">
        <v>29194</v>
      </c>
      <c r="AA1484">
        <v>0.29134545246894772</v>
      </c>
      <c r="AB1484" t="str">
        <f>HYPERLINK("Melting_Curves/meltCurve_O15397_IPO8.pdf", "Melting_Curves/meltCurve_O15397_IPO8.pdf")</f>
        <v>Melting_Curves/meltCurve_O15397_IPO8.pdf</v>
      </c>
    </row>
    <row r="1485" spans="1:28" x14ac:dyDescent="0.25">
      <c r="A1485" t="s">
        <v>1489</v>
      </c>
      <c r="B1485">
        <v>0.99999676499088797</v>
      </c>
      <c r="C1485">
        <v>1.0054500031562099</v>
      </c>
      <c r="D1485">
        <v>1.0015654589771501</v>
      </c>
      <c r="E1485">
        <v>0.92742155675131699</v>
      </c>
      <c r="F1485">
        <v>0.87777074359871798</v>
      </c>
      <c r="G1485">
        <v>0.84492455308495296</v>
      </c>
      <c r="H1485">
        <v>0.52954298283380996</v>
      </c>
      <c r="I1485">
        <v>0.461586392635145</v>
      </c>
      <c r="J1485">
        <v>0.393610791494864</v>
      </c>
      <c r="K1485">
        <v>0.40694473805260301</v>
      </c>
      <c r="L1485">
        <v>1180.12007707312</v>
      </c>
      <c r="M1485">
        <v>20.138374177737699</v>
      </c>
      <c r="N1485">
        <v>62.577750357830901</v>
      </c>
      <c r="O1485">
        <v>58.031925856800001</v>
      </c>
      <c r="P1485">
        <v>-5.5441258335147098E-2</v>
      </c>
      <c r="Q1485">
        <v>0.36096924759499799</v>
      </c>
      <c r="R1485">
        <v>0.98040504883666202</v>
      </c>
      <c r="S1485" t="s">
        <v>8488</v>
      </c>
      <c r="T1485" t="s">
        <v>14004</v>
      </c>
      <c r="U1485" t="s">
        <v>14004</v>
      </c>
      <c r="V1485" t="s">
        <v>14004</v>
      </c>
      <c r="W1485" t="s">
        <v>15459</v>
      </c>
      <c r="X1485">
        <v>14</v>
      </c>
      <c r="Y1485" t="s">
        <v>22387</v>
      </c>
      <c r="Z1485" t="s">
        <v>29195</v>
      </c>
      <c r="AA1485">
        <v>0.76393037948711517</v>
      </c>
      <c r="AB1485" t="str">
        <f>HYPERLINK("Melting_Curves/meltCurve_O15400_2_STX7.pdf", "Melting_Curves/meltCurve_O15400_2_STX7.pdf")</f>
        <v>Melting_Curves/meltCurve_O15400_2_STX7.pdf</v>
      </c>
    </row>
    <row r="1486" spans="1:28" x14ac:dyDescent="0.25">
      <c r="A1486" t="s">
        <v>1490</v>
      </c>
      <c r="B1486">
        <v>0.99999676499088797</v>
      </c>
      <c r="C1486">
        <v>1.0340915288167301</v>
      </c>
      <c r="D1486">
        <v>1.0200179500914199</v>
      </c>
      <c r="E1486">
        <v>1.0430833486875599</v>
      </c>
      <c r="F1486">
        <v>1.01116245426631</v>
      </c>
      <c r="G1486">
        <v>0.87980754052296695</v>
      </c>
      <c r="H1486">
        <v>0.69392973146034997</v>
      </c>
      <c r="I1486">
        <v>0.55146648726977598</v>
      </c>
      <c r="J1486">
        <v>0.45211320598729399</v>
      </c>
      <c r="K1486">
        <v>0.67465634035717204</v>
      </c>
      <c r="L1486">
        <v>2043.7536301893499</v>
      </c>
      <c r="M1486">
        <v>34.743666000475002</v>
      </c>
      <c r="O1486">
        <v>58.629923476859197</v>
      </c>
      <c r="P1486">
        <v>-6.5850441425387804E-2</v>
      </c>
      <c r="Q1486">
        <v>0.55551123213467002</v>
      </c>
      <c r="R1486">
        <v>0.92912816200496595</v>
      </c>
      <c r="S1486" t="s">
        <v>8489</v>
      </c>
      <c r="T1486" t="s">
        <v>14004</v>
      </c>
      <c r="U1486" t="s">
        <v>14004</v>
      </c>
      <c r="V1486" t="s">
        <v>14004</v>
      </c>
      <c r="W1486" t="s">
        <v>15460</v>
      </c>
      <c r="X1486">
        <v>4</v>
      </c>
      <c r="Y1486" t="s">
        <v>22388</v>
      </c>
      <c r="Z1486" t="s">
        <v>29196</v>
      </c>
      <c r="AA1486">
        <v>0.83666420874251146</v>
      </c>
      <c r="AB1486" t="str">
        <f>HYPERLINK("Melting_Curves/meltCurve_O15427_SLC16A3.pdf", "Melting_Curves/meltCurve_O15427_SLC16A3.pdf")</f>
        <v>Melting_Curves/meltCurve_O15427_SLC16A3.pdf</v>
      </c>
    </row>
    <row r="1487" spans="1:28" x14ac:dyDescent="0.25">
      <c r="A1487" t="s">
        <v>1491</v>
      </c>
      <c r="B1487">
        <v>0.99999676499088797</v>
      </c>
      <c r="C1487">
        <v>1.01445258546432</v>
      </c>
      <c r="D1487">
        <v>1.0805526019587699</v>
      </c>
      <c r="E1487">
        <v>0.99273380845263304</v>
      </c>
      <c r="F1487">
        <v>1.06546475269811</v>
      </c>
      <c r="G1487">
        <v>0.58400866628375303</v>
      </c>
      <c r="H1487">
        <v>0.37528060676552399</v>
      </c>
      <c r="I1487">
        <v>0.304148324112612</v>
      </c>
      <c r="J1487">
        <v>0.23408521697689899</v>
      </c>
      <c r="K1487">
        <v>0.225927395412093</v>
      </c>
      <c r="L1487">
        <v>11013.7825060985</v>
      </c>
      <c r="M1487">
        <v>194.23433592826601</v>
      </c>
      <c r="N1487">
        <v>56.950860159334702</v>
      </c>
      <c r="O1487">
        <v>56.697570014300901</v>
      </c>
      <c r="P1487">
        <v>-0.61248119756137398</v>
      </c>
      <c r="Q1487">
        <v>0.28485979263427602</v>
      </c>
      <c r="R1487">
        <v>0.979796627562322</v>
      </c>
      <c r="S1487" t="s">
        <v>8490</v>
      </c>
      <c r="T1487" t="s">
        <v>14004</v>
      </c>
      <c r="U1487" t="s">
        <v>14004</v>
      </c>
      <c r="V1487" t="s">
        <v>14004</v>
      </c>
      <c r="W1487" t="s">
        <v>15461</v>
      </c>
      <c r="X1487">
        <v>2</v>
      </c>
      <c r="Y1487" t="s">
        <v>22389</v>
      </c>
      <c r="Z1487" t="s">
        <v>29197</v>
      </c>
      <c r="AA1487">
        <v>0.68315779914716634</v>
      </c>
      <c r="AB1487" t="str">
        <f>HYPERLINK("Melting_Curves/meltCurve_O15431_SLC31A1.pdf", "Melting_Curves/meltCurve_O15431_SLC31A1.pdf")</f>
        <v>Melting_Curves/meltCurve_O15431_SLC31A1.pdf</v>
      </c>
    </row>
    <row r="1488" spans="1:28" x14ac:dyDescent="0.25">
      <c r="A1488" t="s">
        <v>1492</v>
      </c>
      <c r="B1488">
        <v>0.99999676499088797</v>
      </c>
      <c r="C1488">
        <v>1.0021761820569099</v>
      </c>
      <c r="D1488">
        <v>0.93996523677427701</v>
      </c>
      <c r="E1488">
        <v>0.99241183390993204</v>
      </c>
      <c r="F1488">
        <v>0.89351775733953498</v>
      </c>
      <c r="G1488">
        <v>0.73106563374855005</v>
      </c>
      <c r="H1488">
        <v>0.44362661781970503</v>
      </c>
      <c r="I1488">
        <v>0.17656694962762001</v>
      </c>
      <c r="J1488">
        <v>0.13703373027573501</v>
      </c>
      <c r="K1488">
        <v>7.8589180924573801E-2</v>
      </c>
      <c r="L1488">
        <v>1163.01891080427</v>
      </c>
      <c r="M1488">
        <v>19.522450190094201</v>
      </c>
      <c r="N1488">
        <v>59.7090155504725</v>
      </c>
      <c r="O1488">
        <v>58.958889002710698</v>
      </c>
      <c r="P1488">
        <v>-8.0987775590946498E-2</v>
      </c>
      <c r="Q1488">
        <v>2.1684543315995501E-2</v>
      </c>
      <c r="R1488">
        <v>0.99483546676729595</v>
      </c>
      <c r="S1488" t="s">
        <v>8491</v>
      </c>
      <c r="T1488" t="s">
        <v>14004</v>
      </c>
      <c r="U1488" t="s">
        <v>14004</v>
      </c>
      <c r="V1488" t="s">
        <v>14004</v>
      </c>
      <c r="W1488" t="s">
        <v>15462</v>
      </c>
      <c r="X1488">
        <v>6</v>
      </c>
      <c r="Y1488" t="s">
        <v>22390</v>
      </c>
      <c r="Z1488" t="s">
        <v>29198</v>
      </c>
      <c r="AA1488">
        <v>0.66900929076951821</v>
      </c>
      <c r="AB1488" t="str">
        <f>HYPERLINK("Melting_Curves/meltCurve_O15439_2_ABCC4.pdf", "Melting_Curves/meltCurve_O15439_2_ABCC4.pdf")</f>
        <v>Melting_Curves/meltCurve_O15439_2_ABCC4.pdf</v>
      </c>
    </row>
    <row r="1489" spans="1:28" x14ac:dyDescent="0.25">
      <c r="A1489" t="s">
        <v>1493</v>
      </c>
      <c r="B1489">
        <v>0.99999676499088797</v>
      </c>
      <c r="C1489">
        <v>0.90376916204298297</v>
      </c>
      <c r="D1489">
        <v>0.72869059045048501</v>
      </c>
      <c r="E1489">
        <v>0.90545380815846099</v>
      </c>
      <c r="F1489">
        <v>1.1900047597525301</v>
      </c>
      <c r="G1489">
        <v>1.1263763040186401</v>
      </c>
      <c r="H1489">
        <v>1.1431042890368399</v>
      </c>
      <c r="I1489">
        <v>1.2498471259230599</v>
      </c>
      <c r="J1489">
        <v>1.1924993204049099</v>
      </c>
      <c r="K1489">
        <v>1.6628261295910101</v>
      </c>
      <c r="L1489">
        <v>1040.3374535667599</v>
      </c>
      <c r="M1489">
        <v>16.4618494202393</v>
      </c>
      <c r="O1489">
        <v>62.286376829147798</v>
      </c>
      <c r="P1489">
        <v>3.3038936750485699E-2</v>
      </c>
      <c r="Q1489">
        <v>1.5</v>
      </c>
      <c r="R1489">
        <v>0.62835005866409099</v>
      </c>
      <c r="S1489" t="s">
        <v>8492</v>
      </c>
      <c r="T1489" t="s">
        <v>14004</v>
      </c>
      <c r="U1489" t="s">
        <v>14004</v>
      </c>
      <c r="V1489" t="s">
        <v>14004</v>
      </c>
      <c r="W1489" t="s">
        <v>14487</v>
      </c>
      <c r="X1489">
        <v>12</v>
      </c>
      <c r="Y1489" t="s">
        <v>22391</v>
      </c>
      <c r="Z1489" t="s">
        <v>29199</v>
      </c>
      <c r="AA1489">
        <v>1.116923965827298</v>
      </c>
      <c r="AB1489" t="str">
        <f>HYPERLINK("Melting_Curves/meltCurve_O15446_CD3EAP.pdf", "Melting_Curves/meltCurve_O15446_CD3EAP.pdf")</f>
        <v>Melting_Curves/meltCurve_O15446_CD3EAP.pdf</v>
      </c>
    </row>
    <row r="1490" spans="1:28" x14ac:dyDescent="0.25">
      <c r="A1490" t="s">
        <v>1494</v>
      </c>
      <c r="B1490">
        <v>0.99999676499088797</v>
      </c>
      <c r="C1490">
        <v>1.0185962646747599</v>
      </c>
      <c r="D1490">
        <v>1.1632399964926501</v>
      </c>
      <c r="E1490">
        <v>1.29333610134501</v>
      </c>
      <c r="F1490">
        <v>1.15886133368116</v>
      </c>
      <c r="G1490">
        <v>0.71337528621049795</v>
      </c>
      <c r="H1490">
        <v>0.21337116402415601</v>
      </c>
      <c r="I1490">
        <v>0.13851859975837399</v>
      </c>
      <c r="J1490">
        <v>0.119060430260666</v>
      </c>
      <c r="K1490">
        <v>8.7859363812440694E-2</v>
      </c>
      <c r="L1490">
        <v>3023.7945898852799</v>
      </c>
      <c r="M1490">
        <v>52.409197953570803</v>
      </c>
      <c r="N1490">
        <v>58.007276151964497</v>
      </c>
      <c r="O1490">
        <v>57.612057402302099</v>
      </c>
      <c r="P1490">
        <v>-0.19953719410713999</v>
      </c>
      <c r="Q1490">
        <v>0.122616581562509</v>
      </c>
      <c r="R1490">
        <v>0.93518992939487799</v>
      </c>
      <c r="S1490" t="s">
        <v>8493</v>
      </c>
      <c r="T1490" t="s">
        <v>14004</v>
      </c>
      <c r="U1490" t="s">
        <v>14004</v>
      </c>
      <c r="V1490" t="s">
        <v>14004</v>
      </c>
      <c r="W1490" t="s">
        <v>15463</v>
      </c>
      <c r="X1490">
        <v>10</v>
      </c>
      <c r="Y1490" t="s">
        <v>22392</v>
      </c>
      <c r="Z1490" t="s">
        <v>29200</v>
      </c>
      <c r="AA1490">
        <v>0.64217855492060916</v>
      </c>
      <c r="AB1490" t="str">
        <f>HYPERLINK("Melting_Curves/meltCurve_O15498_YKT6.pdf", "Melting_Curves/meltCurve_O15498_YKT6.pdf")</f>
        <v>Melting_Curves/meltCurve_O15498_YKT6.pdf</v>
      </c>
    </row>
    <row r="1491" spans="1:28" x14ac:dyDescent="0.25">
      <c r="A1491" t="s">
        <v>1495</v>
      </c>
      <c r="B1491">
        <v>0.99999676499088797</v>
      </c>
      <c r="C1491">
        <v>1.0654806573348099</v>
      </c>
      <c r="D1491">
        <v>0.87430822463020696</v>
      </c>
      <c r="E1491">
        <v>0.46812419664643401</v>
      </c>
      <c r="F1491">
        <v>0.36229441061967099</v>
      </c>
      <c r="G1491">
        <v>0.16712875233052699</v>
      </c>
      <c r="H1491">
        <v>9.4618928603503599E-2</v>
      </c>
      <c r="I1491">
        <v>7.4850942056998701E-2</v>
      </c>
      <c r="J1491">
        <v>6.7971863735325599E-2</v>
      </c>
      <c r="K1491">
        <v>6.2595876020420202E-2</v>
      </c>
      <c r="L1491">
        <v>961.55219264180096</v>
      </c>
      <c r="M1491">
        <v>19.288201952988899</v>
      </c>
      <c r="N1491">
        <v>50.258475017175201</v>
      </c>
      <c r="O1491">
        <v>49.3252504075475</v>
      </c>
      <c r="P1491">
        <v>-9.0700832627435501E-2</v>
      </c>
      <c r="Q1491">
        <v>7.2246691897881105E-2</v>
      </c>
      <c r="R1491">
        <v>0.98228508314571505</v>
      </c>
      <c r="S1491" t="s">
        <v>8494</v>
      </c>
      <c r="T1491" t="s">
        <v>14004</v>
      </c>
      <c r="U1491" t="s">
        <v>14004</v>
      </c>
      <c r="V1491" t="s">
        <v>14004</v>
      </c>
      <c r="W1491" t="s">
        <v>15464</v>
      </c>
      <c r="X1491">
        <v>1</v>
      </c>
      <c r="Y1491" t="s">
        <v>22393</v>
      </c>
      <c r="Z1491" t="s">
        <v>29201</v>
      </c>
      <c r="AA1491">
        <v>0.39078790759343363</v>
      </c>
      <c r="AB1491" t="str">
        <f>HYPERLINK("Melting_Curves/meltCurve_O15503_INSIG1.pdf", "Melting_Curves/meltCurve_O15503_INSIG1.pdf")</f>
        <v>Melting_Curves/meltCurve_O15503_INSIG1.pdf</v>
      </c>
    </row>
    <row r="1492" spans="1:28" x14ac:dyDescent="0.25">
      <c r="A1492" t="s">
        <v>1496</v>
      </c>
      <c r="B1492">
        <v>0.99999676499088797</v>
      </c>
      <c r="C1492">
        <v>0.93152030464868396</v>
      </c>
      <c r="D1492">
        <v>1.05369943153019</v>
      </c>
      <c r="E1492">
        <v>1.31142340170155</v>
      </c>
      <c r="F1492">
        <v>1.3390156404401701</v>
      </c>
      <c r="G1492">
        <v>1.0335290635798899</v>
      </c>
      <c r="H1492">
        <v>0.56305732198258995</v>
      </c>
      <c r="I1492">
        <v>0.30550128854569802</v>
      </c>
      <c r="J1492">
        <v>0.190021069527365</v>
      </c>
      <c r="K1492">
        <v>0.18377057426553201</v>
      </c>
      <c r="L1492">
        <v>3169.05650375701</v>
      </c>
      <c r="M1492">
        <v>52.226743666415999</v>
      </c>
      <c r="N1492">
        <v>61.294848502821601</v>
      </c>
      <c r="O1492">
        <v>60.590041921299402</v>
      </c>
      <c r="P1492">
        <v>-0.17149006650218199</v>
      </c>
      <c r="Q1492">
        <v>0.204194490478943</v>
      </c>
      <c r="R1492">
        <v>0.87261284946295103</v>
      </c>
      <c r="S1492" t="s">
        <v>8495</v>
      </c>
      <c r="T1492" t="s">
        <v>14004</v>
      </c>
      <c r="U1492" t="s">
        <v>14004</v>
      </c>
      <c r="V1492" t="s">
        <v>14004</v>
      </c>
      <c r="W1492" t="s">
        <v>15465</v>
      </c>
      <c r="X1492">
        <v>8</v>
      </c>
      <c r="Y1492" t="s">
        <v>22394</v>
      </c>
      <c r="Z1492" t="s">
        <v>29202</v>
      </c>
      <c r="AA1492">
        <v>0.75464848321891764</v>
      </c>
      <c r="AB1492" t="str">
        <f>HYPERLINK("Melting_Curves/meltCurve_O15511_ARPC5.pdf", "Melting_Curves/meltCurve_O15511_ARPC5.pdf")</f>
        <v>Melting_Curves/meltCurve_O15511_ARPC5.pdf</v>
      </c>
    </row>
    <row r="1493" spans="1:28" x14ac:dyDescent="0.25">
      <c r="A1493" t="s">
        <v>1497</v>
      </c>
      <c r="B1493">
        <v>0.99999676499088797</v>
      </c>
      <c r="C1493">
        <v>0.97000948685041499</v>
      </c>
      <c r="D1493">
        <v>0.99555729047677199</v>
      </c>
      <c r="E1493">
        <v>1.30158539066401</v>
      </c>
      <c r="F1493">
        <v>1.56131860409551</v>
      </c>
      <c r="G1493">
        <v>1.23363879616854</v>
      </c>
      <c r="H1493">
        <v>0.89056466308500903</v>
      </c>
      <c r="I1493">
        <v>0.69955278449519898</v>
      </c>
      <c r="J1493">
        <v>0.44181187962596702</v>
      </c>
      <c r="K1493">
        <v>0.33857049154719798</v>
      </c>
      <c r="L1493">
        <v>2452.1045334574401</v>
      </c>
      <c r="M1493">
        <v>38.0964578824873</v>
      </c>
      <c r="N1493">
        <v>66.084927271463002</v>
      </c>
      <c r="O1493">
        <v>64.189096985981294</v>
      </c>
      <c r="P1493">
        <v>-0.1017242698839</v>
      </c>
      <c r="Q1493">
        <v>0.31441682789445102</v>
      </c>
      <c r="R1493">
        <v>0.63628139795860805</v>
      </c>
      <c r="S1493" t="s">
        <v>8496</v>
      </c>
      <c r="T1493" t="s">
        <v>14004</v>
      </c>
      <c r="U1493" t="s">
        <v>14004</v>
      </c>
      <c r="V1493" t="s">
        <v>14004</v>
      </c>
      <c r="W1493" t="s">
        <v>15466</v>
      </c>
      <c r="X1493">
        <v>4</v>
      </c>
      <c r="Y1493" t="s">
        <v>22395</v>
      </c>
      <c r="Z1493" t="s">
        <v>29203</v>
      </c>
      <c r="AA1493">
        <v>0.87239568893378605</v>
      </c>
      <c r="AB1493" t="str">
        <f>HYPERLINK("Melting_Curves/meltCurve_O15514_POLR2D.pdf", "Melting_Curves/meltCurve_O15514_POLR2D.pdf")</f>
        <v>Melting_Curves/meltCurve_O15514_POLR2D.pdf</v>
      </c>
    </row>
    <row r="1494" spans="1:28" x14ac:dyDescent="0.25">
      <c r="A1494" t="s">
        <v>1498</v>
      </c>
      <c r="B1494">
        <v>0.99999676499088797</v>
      </c>
      <c r="C1494">
        <v>1.03257763216661</v>
      </c>
      <c r="D1494">
        <v>1.01217722287571</v>
      </c>
      <c r="E1494">
        <v>0.85666426586470101</v>
      </c>
      <c r="F1494">
        <v>0.26835373087090703</v>
      </c>
      <c r="G1494">
        <v>0.203372548563619</v>
      </c>
      <c r="H1494">
        <v>8.6198509114239902E-2</v>
      </c>
      <c r="I1494">
        <v>8.6715900305594104E-2</v>
      </c>
      <c r="J1494">
        <v>8.6506599959864205E-2</v>
      </c>
      <c r="K1494">
        <v>5.8699479340494701E-2</v>
      </c>
      <c r="L1494">
        <v>2145.0602681842101</v>
      </c>
      <c r="M1494">
        <v>41.648027180231303</v>
      </c>
      <c r="N1494">
        <v>51.7737265651717</v>
      </c>
      <c r="O1494">
        <v>51.386169166163498</v>
      </c>
      <c r="P1494">
        <v>-0.18289527155612501</v>
      </c>
      <c r="Q1494">
        <v>9.73622179418039E-2</v>
      </c>
      <c r="R1494">
        <v>0.99352440706005296</v>
      </c>
      <c r="S1494" t="s">
        <v>8497</v>
      </c>
      <c r="T1494" t="s">
        <v>14004</v>
      </c>
      <c r="U1494" t="s">
        <v>14004</v>
      </c>
      <c r="V1494" t="s">
        <v>14004</v>
      </c>
      <c r="W1494" t="s">
        <v>15467</v>
      </c>
      <c r="X1494">
        <v>13</v>
      </c>
      <c r="Y1494" t="s">
        <v>22396</v>
      </c>
      <c r="Z1494" t="s">
        <v>29204</v>
      </c>
      <c r="AA1494">
        <v>0.44647031213807131</v>
      </c>
      <c r="AB1494" t="str">
        <f>HYPERLINK("Melting_Curves/meltCurve_O15530_PDPK1.pdf", "Melting_Curves/meltCurve_O15530_PDPK1.pdf")</f>
        <v>Melting_Curves/meltCurve_O15530_PDPK1.pdf</v>
      </c>
    </row>
    <row r="1495" spans="1:28" x14ac:dyDescent="0.25">
      <c r="A1495" t="s">
        <v>1499</v>
      </c>
      <c r="B1495">
        <v>0.99999676499088797</v>
      </c>
      <c r="C1495">
        <v>1.0107522442643699</v>
      </c>
      <c r="D1495">
        <v>1.0467049476282899</v>
      </c>
      <c r="E1495">
        <v>1.12560145762668</v>
      </c>
      <c r="F1495">
        <v>0.97847450876638797</v>
      </c>
      <c r="G1495">
        <v>0.80532246349736802</v>
      </c>
      <c r="H1495">
        <v>0.40231594599513099</v>
      </c>
      <c r="I1495">
        <v>0.35363995363960099</v>
      </c>
      <c r="J1495">
        <v>0.33130565651432697</v>
      </c>
      <c r="K1495">
        <v>0.42916639734385698</v>
      </c>
      <c r="L1495">
        <v>3243.0736847630801</v>
      </c>
      <c r="M1495">
        <v>56.2998703469747</v>
      </c>
      <c r="N1495">
        <v>59.022078535149099</v>
      </c>
      <c r="O1495">
        <v>57.531032235186501</v>
      </c>
      <c r="P1495">
        <v>-0.15393925886290899</v>
      </c>
      <c r="Q1495">
        <v>0.37077796477431502</v>
      </c>
      <c r="R1495">
        <v>0.97560072984141899</v>
      </c>
      <c r="S1495" t="s">
        <v>8498</v>
      </c>
      <c r="T1495" t="s">
        <v>14004</v>
      </c>
      <c r="U1495" t="s">
        <v>14004</v>
      </c>
      <c r="V1495" t="s">
        <v>14004</v>
      </c>
      <c r="W1495" t="s">
        <v>15468</v>
      </c>
      <c r="X1495">
        <v>17</v>
      </c>
      <c r="Y1495" t="s">
        <v>22397</v>
      </c>
      <c r="Z1495" t="s">
        <v>29205</v>
      </c>
      <c r="AA1495">
        <v>0.741254462256414</v>
      </c>
      <c r="AB1495" t="str">
        <f>HYPERLINK("Melting_Curves/meltCurve_O15541_RNF113A.pdf", "Melting_Curves/meltCurve_O15541_RNF113A.pdf")</f>
        <v>Melting_Curves/meltCurve_O15541_RNF113A.pdf</v>
      </c>
    </row>
    <row r="1496" spans="1:28" x14ac:dyDescent="0.25">
      <c r="A1496" t="s">
        <v>1500</v>
      </c>
      <c r="B1496">
        <v>0.99999676499088797</v>
      </c>
      <c r="C1496">
        <v>1.0678193723232701</v>
      </c>
      <c r="D1496">
        <v>1.0755685424195001</v>
      </c>
      <c r="E1496">
        <v>1.08437702877981</v>
      </c>
      <c r="F1496">
        <v>0.87707367976180906</v>
      </c>
      <c r="G1496">
        <v>0.50400492285231502</v>
      </c>
      <c r="H1496">
        <v>0.12178109885746199</v>
      </c>
      <c r="I1496">
        <v>9.3942527852666102E-2</v>
      </c>
      <c r="J1496">
        <v>9.37722627101822E-2</v>
      </c>
      <c r="K1496">
        <v>7.6151979971839798E-2</v>
      </c>
      <c r="L1496">
        <v>2016.5485596559699</v>
      </c>
      <c r="M1496">
        <v>35.713505678957098</v>
      </c>
      <c r="N1496">
        <v>56.730043279197901</v>
      </c>
      <c r="O1496">
        <v>56.288435143623801</v>
      </c>
      <c r="P1496">
        <v>-0.146413604898534</v>
      </c>
      <c r="Q1496">
        <v>7.6946907623384297E-2</v>
      </c>
      <c r="R1496">
        <v>0.98948079463912098</v>
      </c>
      <c r="S1496" t="s">
        <v>8499</v>
      </c>
      <c r="T1496" t="s">
        <v>14004</v>
      </c>
      <c r="U1496" t="s">
        <v>14004</v>
      </c>
      <c r="V1496" t="s">
        <v>14004</v>
      </c>
      <c r="W1496" t="s">
        <v>15469</v>
      </c>
      <c r="X1496">
        <v>56</v>
      </c>
      <c r="Y1496" t="s">
        <v>22398</v>
      </c>
      <c r="Z1496" t="s">
        <v>29206</v>
      </c>
      <c r="AA1496">
        <v>0.58798698142785022</v>
      </c>
      <c r="AB1496" t="str">
        <f>HYPERLINK("Melting_Curves/meltCurve_O43143_DHX15.pdf", "Melting_Curves/meltCurve_O43143_DHX15.pdf")</f>
        <v>Melting_Curves/meltCurve_O43143_DHX15.pdf</v>
      </c>
    </row>
    <row r="1497" spans="1:28" x14ac:dyDescent="0.25">
      <c r="A1497" t="s">
        <v>1501</v>
      </c>
      <c r="B1497">
        <v>0.99999676499088797</v>
      </c>
      <c r="C1497">
        <v>1.01064766811983</v>
      </c>
      <c r="D1497">
        <v>1.0929425939780999</v>
      </c>
      <c r="E1497">
        <v>1.26472681555253</v>
      </c>
      <c r="F1497">
        <v>1.08205402745488</v>
      </c>
      <c r="G1497">
        <v>0.794810941621926</v>
      </c>
      <c r="H1497">
        <v>0.23779072424226899</v>
      </c>
      <c r="I1497">
        <v>0.13978293600278199</v>
      </c>
      <c r="J1497">
        <v>0.121812813034995</v>
      </c>
      <c r="K1497">
        <v>0.120261958165955</v>
      </c>
      <c r="L1497">
        <v>2821.0476988605801</v>
      </c>
      <c r="M1497">
        <v>48.4102777449204</v>
      </c>
      <c r="N1497">
        <v>58.622594776984599</v>
      </c>
      <c r="O1497">
        <v>58.174565628686402</v>
      </c>
      <c r="P1497">
        <v>-0.18200311071275799</v>
      </c>
      <c r="Q1497">
        <v>0.12514943371600901</v>
      </c>
      <c r="R1497">
        <v>0.95652660921391996</v>
      </c>
      <c r="S1497" t="s">
        <v>8500</v>
      </c>
      <c r="T1497" t="s">
        <v>14004</v>
      </c>
      <c r="U1497" t="s">
        <v>14004</v>
      </c>
      <c r="V1497" t="s">
        <v>14004</v>
      </c>
      <c r="W1497" t="s">
        <v>15470</v>
      </c>
      <c r="X1497">
        <v>26</v>
      </c>
      <c r="Y1497" t="s">
        <v>22399</v>
      </c>
      <c r="Z1497" t="s">
        <v>29207</v>
      </c>
      <c r="AA1497">
        <v>0.66042611349592029</v>
      </c>
      <c r="AB1497" t="str">
        <f>HYPERLINK("Melting_Curves/meltCurve_O43148_RNMT.pdf", "Melting_Curves/meltCurve_O43148_RNMT.pdf")</f>
        <v>Melting_Curves/meltCurve_O43148_RNMT.pdf</v>
      </c>
    </row>
    <row r="1498" spans="1:28" x14ac:dyDescent="0.25">
      <c r="A1498" t="s">
        <v>1502</v>
      </c>
      <c r="B1498">
        <v>0.99999676499088797</v>
      </c>
      <c r="C1498">
        <v>1.15090134025316</v>
      </c>
      <c r="D1498">
        <v>1.0742731941755199</v>
      </c>
      <c r="E1498">
        <v>0.614568101418695</v>
      </c>
      <c r="F1498">
        <v>0.25551124979826201</v>
      </c>
      <c r="G1498">
        <v>0.213893568133013</v>
      </c>
      <c r="H1498">
        <v>0.119604769346615</v>
      </c>
      <c r="I1498">
        <v>0.51507713233265995</v>
      </c>
      <c r="J1498">
        <v>1.1426849470143501</v>
      </c>
      <c r="K1498">
        <v>0.51965353466806097</v>
      </c>
      <c r="L1498">
        <v>12354.334167481</v>
      </c>
      <c r="M1498">
        <v>250</v>
      </c>
      <c r="N1498">
        <v>49.927171813949499</v>
      </c>
      <c r="O1498">
        <v>49.414186025353303</v>
      </c>
      <c r="P1498">
        <v>-0.68164795348046003</v>
      </c>
      <c r="Q1498">
        <v>0.46107086773415701</v>
      </c>
      <c r="R1498">
        <v>0.50693439143932595</v>
      </c>
      <c r="S1498" t="s">
        <v>8501</v>
      </c>
      <c r="T1498" t="s">
        <v>14004</v>
      </c>
      <c r="U1498" t="s">
        <v>14004</v>
      </c>
      <c r="V1498" t="s">
        <v>14004</v>
      </c>
      <c r="W1498" t="s">
        <v>15471</v>
      </c>
      <c r="X1498">
        <v>11</v>
      </c>
      <c r="Y1498" t="s">
        <v>22400</v>
      </c>
      <c r="Z1498" t="s">
        <v>29208</v>
      </c>
      <c r="AA1498">
        <v>0.630293509915273</v>
      </c>
      <c r="AB1498" t="str">
        <f>HYPERLINK("Melting_Curves/meltCurve_O43149_ZZEF1.pdf", "Melting_Curves/meltCurve_O43149_ZZEF1.pdf")</f>
        <v>Melting_Curves/meltCurve_O43149_ZZEF1.pdf</v>
      </c>
    </row>
    <row r="1499" spans="1:28" x14ac:dyDescent="0.25">
      <c r="A1499" t="s">
        <v>1503</v>
      </c>
      <c r="B1499">
        <v>0.99999676499088797</v>
      </c>
      <c r="C1499">
        <v>1.0905341485689799</v>
      </c>
      <c r="D1499">
        <v>0.95877056382864601</v>
      </c>
      <c r="E1499">
        <v>0.58320973337694604</v>
      </c>
      <c r="F1499">
        <v>0.31445347943165503</v>
      </c>
      <c r="G1499">
        <v>0.23884394163593001</v>
      </c>
      <c r="H1499">
        <v>0.14539721398038899</v>
      </c>
      <c r="I1499">
        <v>0.17073309138016701</v>
      </c>
      <c r="J1499">
        <v>0.117383852463621</v>
      </c>
      <c r="K1499">
        <v>0.117800460326887</v>
      </c>
      <c r="L1499">
        <v>1313.3888723945799</v>
      </c>
      <c r="M1499">
        <v>26.262461194050498</v>
      </c>
      <c r="N1499">
        <v>50.692736009814098</v>
      </c>
      <c r="O1499">
        <v>49.722861111539402</v>
      </c>
      <c r="P1499">
        <v>-0.112379139796862</v>
      </c>
      <c r="Q1499">
        <v>0.148937254354505</v>
      </c>
      <c r="R1499">
        <v>0.98682228740413303</v>
      </c>
      <c r="S1499" t="s">
        <v>8502</v>
      </c>
      <c r="T1499" t="s">
        <v>14004</v>
      </c>
      <c r="U1499" t="s">
        <v>14004</v>
      </c>
      <c r="V1499" t="s">
        <v>14004</v>
      </c>
      <c r="W1499" t="s">
        <v>15472</v>
      </c>
      <c r="X1499">
        <v>1</v>
      </c>
      <c r="Y1499" t="s">
        <v>22401</v>
      </c>
      <c r="Z1499" t="s">
        <v>29209</v>
      </c>
      <c r="AA1499">
        <v>0.43980093819967719</v>
      </c>
      <c r="AB1499" t="str">
        <f>HYPERLINK("Melting_Curves/meltCurve_O43150_2_ASAP2.pdf", "Melting_Curves/meltCurve_O43150_2_ASAP2.pdf")</f>
        <v>Melting_Curves/meltCurve_O43150_2_ASAP2.pdf</v>
      </c>
    </row>
    <row r="1500" spans="1:28" x14ac:dyDescent="0.25">
      <c r="A1500" t="s">
        <v>1504</v>
      </c>
      <c r="B1500">
        <v>0.99999676499088797</v>
      </c>
      <c r="C1500">
        <v>0.96107335255122395</v>
      </c>
      <c r="D1500">
        <v>0.61607730033387498</v>
      </c>
      <c r="E1500">
        <v>0.22038134834574999</v>
      </c>
      <c r="F1500">
        <v>0.136445346588666</v>
      </c>
      <c r="G1500">
        <v>8.7990030581516304E-2</v>
      </c>
      <c r="H1500">
        <v>4.0520841435581101E-2</v>
      </c>
      <c r="I1500">
        <v>4.0259418827996302E-2</v>
      </c>
      <c r="J1500">
        <v>4.2404173904629999E-2</v>
      </c>
      <c r="K1500">
        <v>2.94065411859071E-2</v>
      </c>
      <c r="L1500">
        <v>1249.8158730790799</v>
      </c>
      <c r="M1500">
        <v>26.708365343919802</v>
      </c>
      <c r="N1500">
        <v>46.993217568439299</v>
      </c>
      <c r="O1500">
        <v>46.534948046705701</v>
      </c>
      <c r="P1500">
        <v>-0.13584049555996799</v>
      </c>
      <c r="Q1500">
        <v>5.3290615059403801E-2</v>
      </c>
      <c r="R1500">
        <v>0.99574551811604795</v>
      </c>
      <c r="S1500" t="s">
        <v>8503</v>
      </c>
      <c r="T1500" t="s">
        <v>14004</v>
      </c>
      <c r="U1500" t="s">
        <v>14004</v>
      </c>
      <c r="V1500" t="s">
        <v>14004</v>
      </c>
      <c r="W1500" t="s">
        <v>15473</v>
      </c>
      <c r="X1500">
        <v>7</v>
      </c>
      <c r="Y1500" t="s">
        <v>22402</v>
      </c>
      <c r="Z1500" t="s">
        <v>29210</v>
      </c>
      <c r="AA1500">
        <v>0.2750513780517545</v>
      </c>
      <c r="AB1500" t="str">
        <f>HYPERLINK("Melting_Curves/meltCurve_O43156_TTI1.pdf", "Melting_Curves/meltCurve_O43156_TTI1.pdf")</f>
        <v>Melting_Curves/meltCurve_O43156_TTI1.pdf</v>
      </c>
    </row>
    <row r="1501" spans="1:28" x14ac:dyDescent="0.25">
      <c r="A1501" t="s">
        <v>1505</v>
      </c>
      <c r="B1501">
        <v>0.99999676499088797</v>
      </c>
      <c r="C1501">
        <v>0.916019432776364</v>
      </c>
      <c r="D1501">
        <v>0.86520595539659195</v>
      </c>
      <c r="E1501">
        <v>0.865344977165452</v>
      </c>
      <c r="F1501">
        <v>0.89386622209007405</v>
      </c>
      <c r="G1501">
        <v>0.55348568473606397</v>
      </c>
      <c r="H1501">
        <v>0.418401227330996</v>
      </c>
      <c r="I1501">
        <v>0.42661809237331799</v>
      </c>
      <c r="J1501">
        <v>0.54129292645282201</v>
      </c>
      <c r="K1501">
        <v>0.57095688910178799</v>
      </c>
      <c r="L1501">
        <v>2631.69572028127</v>
      </c>
      <c r="M1501">
        <v>48.241366144859299</v>
      </c>
      <c r="N1501">
        <v>59.180585046059299</v>
      </c>
      <c r="O1501">
        <v>54.459197126278703</v>
      </c>
      <c r="P1501">
        <v>-0.113274595453114</v>
      </c>
      <c r="Q1501">
        <v>0.48850240208759699</v>
      </c>
      <c r="R1501">
        <v>0.86269578919377599</v>
      </c>
      <c r="S1501" t="s">
        <v>8504</v>
      </c>
      <c r="T1501" t="s">
        <v>14004</v>
      </c>
      <c r="U1501" t="s">
        <v>14004</v>
      </c>
      <c r="V1501" t="s">
        <v>14004</v>
      </c>
      <c r="W1501" t="s">
        <v>15474</v>
      </c>
      <c r="X1501">
        <v>3</v>
      </c>
      <c r="Y1501" t="s">
        <v>22403</v>
      </c>
      <c r="Z1501" t="s">
        <v>29211</v>
      </c>
      <c r="AA1501">
        <v>0.73794636856037144</v>
      </c>
      <c r="AB1501" t="str">
        <f>HYPERLINK("Melting_Curves/meltCurve_O43164_2_PJA2.pdf", "Melting_Curves/meltCurve_O43164_2_PJA2.pdf")</f>
        <v>Melting_Curves/meltCurve_O43164_2_PJA2.pdf</v>
      </c>
    </row>
    <row r="1502" spans="1:28" x14ac:dyDescent="0.25">
      <c r="A1502" t="s">
        <v>1506</v>
      </c>
      <c r="B1502">
        <v>0.99999676499088797</v>
      </c>
      <c r="C1502">
        <v>1.08406296346811</v>
      </c>
      <c r="D1502">
        <v>1.05726100420906</v>
      </c>
      <c r="E1502">
        <v>0.71573147387071101</v>
      </c>
      <c r="F1502">
        <v>0.37016774711247102</v>
      </c>
      <c r="G1502">
        <v>0.213155080644575</v>
      </c>
      <c r="H1502">
        <v>9.2885310416078296E-2</v>
      </c>
      <c r="I1502">
        <v>8.3058075027167597E-2</v>
      </c>
      <c r="J1502">
        <v>9.0403197403024202E-2</v>
      </c>
      <c r="K1502">
        <v>7.26979755958886E-2</v>
      </c>
      <c r="L1502">
        <v>1319.72326948151</v>
      </c>
      <c r="M1502">
        <v>25.602314609264401</v>
      </c>
      <c r="N1502">
        <v>51.935665655101197</v>
      </c>
      <c r="O1502">
        <v>51.235643628177002</v>
      </c>
      <c r="P1502">
        <v>-0.11403555569934699</v>
      </c>
      <c r="Q1502">
        <v>8.7174385829976594E-2</v>
      </c>
      <c r="R1502">
        <v>0.98744029264886002</v>
      </c>
      <c r="S1502" t="s">
        <v>8505</v>
      </c>
      <c r="T1502" t="s">
        <v>14004</v>
      </c>
      <c r="U1502" t="s">
        <v>14004</v>
      </c>
      <c r="V1502" t="s">
        <v>14004</v>
      </c>
      <c r="W1502" t="s">
        <v>15475</v>
      </c>
      <c r="X1502">
        <v>19</v>
      </c>
      <c r="Y1502" t="s">
        <v>22404</v>
      </c>
      <c r="Z1502" t="s">
        <v>29212</v>
      </c>
      <c r="AA1502">
        <v>0.44644083344691943</v>
      </c>
      <c r="AB1502" t="str">
        <f>HYPERLINK("Melting_Curves/meltCurve_O43172_2_PRPF4.pdf", "Melting_Curves/meltCurve_O43172_2_PRPF4.pdf")</f>
        <v>Melting_Curves/meltCurve_O43172_2_PRPF4.pdf</v>
      </c>
    </row>
    <row r="1503" spans="1:28" x14ac:dyDescent="0.25">
      <c r="A1503" t="s">
        <v>1507</v>
      </c>
      <c r="B1503">
        <v>0.99999676499088797</v>
      </c>
      <c r="C1503">
        <v>0.94177453558462898</v>
      </c>
      <c r="D1503">
        <v>0.92553668821111401</v>
      </c>
      <c r="E1503">
        <v>0.83769157182750398</v>
      </c>
      <c r="F1503">
        <v>0.81661826782089897</v>
      </c>
      <c r="G1503">
        <v>0.60444499495391402</v>
      </c>
      <c r="H1503">
        <v>0.199914262948724</v>
      </c>
      <c r="I1503">
        <v>5.7876569166053798E-2</v>
      </c>
      <c r="J1503">
        <v>4.1948436529469502E-2</v>
      </c>
      <c r="K1503">
        <v>3.2043227651085603E-2</v>
      </c>
      <c r="L1503">
        <v>1158.1980883211199</v>
      </c>
      <c r="M1503">
        <v>20.2407464958284</v>
      </c>
      <c r="N1503">
        <v>57.221117500485398</v>
      </c>
      <c r="O1503">
        <v>56.671360189265897</v>
      </c>
      <c r="P1503">
        <v>-8.9292789193601604E-2</v>
      </c>
      <c r="Q1503">
        <v>0</v>
      </c>
      <c r="R1503">
        <v>0.98056432312776298</v>
      </c>
      <c r="S1503" t="s">
        <v>8506</v>
      </c>
      <c r="T1503" t="s">
        <v>14004</v>
      </c>
      <c r="U1503" t="s">
        <v>14004</v>
      </c>
      <c r="V1503" t="s">
        <v>14004</v>
      </c>
      <c r="W1503" t="s">
        <v>15476</v>
      </c>
      <c r="X1503">
        <v>34</v>
      </c>
      <c r="Y1503" t="s">
        <v>22405</v>
      </c>
      <c r="Z1503" t="s">
        <v>29213</v>
      </c>
      <c r="AA1503">
        <v>0.58593746452096851</v>
      </c>
      <c r="AB1503" t="str">
        <f>HYPERLINK("Melting_Curves/meltCurve_O43175_PHGDH.pdf", "Melting_Curves/meltCurve_O43175_PHGDH.pdf")</f>
        <v>Melting_Curves/meltCurve_O43175_PHGDH.pdf</v>
      </c>
    </row>
    <row r="1504" spans="1:28" x14ac:dyDescent="0.25">
      <c r="A1504" t="s">
        <v>1508</v>
      </c>
      <c r="B1504">
        <v>0.99999676499088797</v>
      </c>
      <c r="C1504">
        <v>0.98549610180074598</v>
      </c>
      <c r="D1504">
        <v>1.08563968319969</v>
      </c>
      <c r="E1504">
        <v>1.0865641726886199</v>
      </c>
      <c r="F1504">
        <v>0.78915518976550403</v>
      </c>
      <c r="G1504">
        <v>0.60213287127891502</v>
      </c>
      <c r="H1504">
        <v>0.51875895387540805</v>
      </c>
      <c r="I1504">
        <v>0.43380950590924999</v>
      </c>
      <c r="J1504">
        <v>0.46306536866429798</v>
      </c>
      <c r="K1504">
        <v>0.63040643430285503</v>
      </c>
      <c r="L1504">
        <v>2310.7405925637199</v>
      </c>
      <c r="M1504">
        <v>42.972896151614201</v>
      </c>
      <c r="O1504">
        <v>53.6559923111666</v>
      </c>
      <c r="P1504">
        <v>-9.6526141869736404E-2</v>
      </c>
      <c r="Q1504">
        <v>0.51791028091994495</v>
      </c>
      <c r="R1504">
        <v>0.93110436139395103</v>
      </c>
      <c r="S1504" t="s">
        <v>8507</v>
      </c>
      <c r="T1504" t="s">
        <v>14004</v>
      </c>
      <c r="U1504" t="s">
        <v>14004</v>
      </c>
      <c r="V1504" t="s">
        <v>14004</v>
      </c>
      <c r="W1504" t="s">
        <v>15477</v>
      </c>
      <c r="X1504">
        <v>5</v>
      </c>
      <c r="Y1504" t="s">
        <v>22406</v>
      </c>
      <c r="Z1504" t="s">
        <v>29214</v>
      </c>
      <c r="AA1504">
        <v>0.74077176982581183</v>
      </c>
      <c r="AB1504" t="str">
        <f>HYPERLINK("Melting_Curves/meltCurve_O43181_NDUFS4.pdf", "Melting_Curves/meltCurve_O43181_NDUFS4.pdf")</f>
        <v>Melting_Curves/meltCurve_O43181_NDUFS4.pdf</v>
      </c>
    </row>
    <row r="1505" spans="1:28" x14ac:dyDescent="0.25">
      <c r="A1505" t="s">
        <v>1509</v>
      </c>
      <c r="B1505">
        <v>0.99999676499088797</v>
      </c>
      <c r="C1505">
        <v>1.0579191407619799</v>
      </c>
      <c r="D1505">
        <v>1.0225724829677101</v>
      </c>
      <c r="E1505">
        <v>0.89726091573570499</v>
      </c>
      <c r="F1505">
        <v>0.355161682379046</v>
      </c>
      <c r="G1505">
        <v>0.260004249001133</v>
      </c>
      <c r="H1505">
        <v>0.152242634118056</v>
      </c>
      <c r="I1505">
        <v>0.115256030148981</v>
      </c>
      <c r="J1505">
        <v>0.116093960472981</v>
      </c>
      <c r="K1505">
        <v>0.12976610363879401</v>
      </c>
      <c r="L1505">
        <v>2052.9274846216099</v>
      </c>
      <c r="M1505">
        <v>39.564097480803198</v>
      </c>
      <c r="N1505">
        <v>52.341979312034098</v>
      </c>
      <c r="O1505">
        <v>51.756613380069503</v>
      </c>
      <c r="P1505">
        <v>-0.16338525458671399</v>
      </c>
      <c r="Q1505">
        <v>0.14505830823767099</v>
      </c>
      <c r="R1505">
        <v>0.99092293631931205</v>
      </c>
      <c r="S1505" t="s">
        <v>8508</v>
      </c>
      <c r="T1505" t="s">
        <v>14004</v>
      </c>
      <c r="U1505" t="s">
        <v>14004</v>
      </c>
      <c r="V1505" t="s">
        <v>14004</v>
      </c>
      <c r="W1505" t="s">
        <v>15478</v>
      </c>
      <c r="X1505">
        <v>8</v>
      </c>
      <c r="Y1505" t="s">
        <v>22407</v>
      </c>
      <c r="Z1505" t="s">
        <v>29215</v>
      </c>
      <c r="AA1505">
        <v>0.48699505931405518</v>
      </c>
      <c r="AB1505" t="str">
        <f>HYPERLINK("Melting_Curves/meltCurve_O43237_DYNC1LI2.pdf", "Melting_Curves/meltCurve_O43237_DYNC1LI2.pdf")</f>
        <v>Melting_Curves/meltCurve_O43237_DYNC1LI2.pdf</v>
      </c>
    </row>
    <row r="1506" spans="1:28" x14ac:dyDescent="0.25">
      <c r="A1506" t="s">
        <v>1510</v>
      </c>
      <c r="B1506">
        <v>0.99999676499088797</v>
      </c>
      <c r="C1506">
        <v>1.10520179180378</v>
      </c>
      <c r="D1506">
        <v>1.1008770873245</v>
      </c>
      <c r="E1506">
        <v>1.2725589923012199</v>
      </c>
      <c r="F1506">
        <v>1.16303676825502</v>
      </c>
      <c r="G1506">
        <v>0.66302311635682798</v>
      </c>
      <c r="H1506">
        <v>0.153310038933791</v>
      </c>
      <c r="I1506">
        <v>0.11507626866366</v>
      </c>
      <c r="J1506">
        <v>0.109137936236719</v>
      </c>
      <c r="K1506">
        <v>9.72261576053845E-2</v>
      </c>
      <c r="L1506">
        <v>14227.2385367723</v>
      </c>
      <c r="M1506">
        <v>250</v>
      </c>
      <c r="N1506">
        <v>56.970700103935798</v>
      </c>
      <c r="O1506">
        <v>56.905292428310503</v>
      </c>
      <c r="P1506">
        <v>-0.96795930786190898</v>
      </c>
      <c r="Q1506">
        <v>0.118687571224319</v>
      </c>
      <c r="R1506">
        <v>0.94630588702274299</v>
      </c>
      <c r="S1506" t="s">
        <v>8509</v>
      </c>
      <c r="T1506" t="s">
        <v>14004</v>
      </c>
      <c r="U1506" t="s">
        <v>14004</v>
      </c>
      <c r="V1506" t="s">
        <v>14004</v>
      </c>
      <c r="W1506" t="s">
        <v>15479</v>
      </c>
      <c r="X1506">
        <v>32</v>
      </c>
      <c r="Y1506" t="s">
        <v>22408</v>
      </c>
      <c r="Z1506" t="s">
        <v>29216</v>
      </c>
      <c r="AA1506">
        <v>0.61551130662589215</v>
      </c>
      <c r="AB1506" t="str">
        <f>HYPERLINK("Melting_Curves/meltCurve_O43242_PSMD3.pdf", "Melting_Curves/meltCurve_O43242_PSMD3.pdf")</f>
        <v>Melting_Curves/meltCurve_O43242_PSMD3.pdf</v>
      </c>
    </row>
    <row r="1507" spans="1:28" x14ac:dyDescent="0.25">
      <c r="A1507" t="s">
        <v>1511</v>
      </c>
      <c r="B1507">
        <v>0.99999676499088797</v>
      </c>
      <c r="C1507">
        <v>0.96811677393436202</v>
      </c>
      <c r="D1507">
        <v>0.99293817890453795</v>
      </c>
      <c r="E1507">
        <v>1.1147533269198699</v>
      </c>
      <c r="F1507">
        <v>1.0461056244645499</v>
      </c>
      <c r="G1507">
        <v>0.497994848029022</v>
      </c>
      <c r="H1507">
        <v>0.110651555289608</v>
      </c>
      <c r="I1507">
        <v>0.10117885620264599</v>
      </c>
      <c r="J1507">
        <v>9.52113309882269E-2</v>
      </c>
      <c r="K1507">
        <v>7.5643937504848102E-2</v>
      </c>
      <c r="L1507">
        <v>14187.427094610101</v>
      </c>
      <c r="M1507">
        <v>250</v>
      </c>
      <c r="N1507">
        <v>56.7979608710721</v>
      </c>
      <c r="O1507">
        <v>56.746076798554803</v>
      </c>
      <c r="P1507">
        <v>-0.99602546011257898</v>
      </c>
      <c r="Q1507">
        <v>9.5671405413187596E-2</v>
      </c>
      <c r="R1507">
        <v>0.991239161664491</v>
      </c>
      <c r="S1507" t="s">
        <v>8510</v>
      </c>
      <c r="T1507" t="s">
        <v>14004</v>
      </c>
      <c r="U1507" t="s">
        <v>14004</v>
      </c>
      <c r="V1507" t="s">
        <v>14004</v>
      </c>
      <c r="W1507" t="s">
        <v>15480</v>
      </c>
      <c r="X1507">
        <v>33</v>
      </c>
      <c r="Y1507" t="s">
        <v>22409</v>
      </c>
      <c r="Z1507" t="s">
        <v>29217</v>
      </c>
      <c r="AA1507">
        <v>0.60066947980888863</v>
      </c>
      <c r="AB1507" t="str">
        <f>HYPERLINK("Melting_Curves/meltCurve_O43252_PAPSS1.pdf", "Melting_Curves/meltCurve_O43252_PAPSS1.pdf")</f>
        <v>Melting_Curves/meltCurve_O43252_PAPSS1.pdf</v>
      </c>
    </row>
    <row r="1508" spans="1:28" x14ac:dyDescent="0.25">
      <c r="A1508" t="s">
        <v>1512</v>
      </c>
      <c r="B1508">
        <v>0.99999676499088797</v>
      </c>
      <c r="C1508">
        <v>0.93514428065900601</v>
      </c>
      <c r="D1508">
        <v>0.69327312108734396</v>
      </c>
      <c r="E1508">
        <v>0.29412397553196901</v>
      </c>
      <c r="F1508">
        <v>0.14449789982157199</v>
      </c>
      <c r="G1508">
        <v>0.10826546957337101</v>
      </c>
      <c r="H1508">
        <v>5.4550814017050302E-2</v>
      </c>
      <c r="I1508">
        <v>6.27946504826421E-2</v>
      </c>
      <c r="J1508">
        <v>6.9586680956712596E-2</v>
      </c>
      <c r="K1508">
        <v>5.2494391262388099E-2</v>
      </c>
      <c r="L1508">
        <v>1132.1432151164699</v>
      </c>
      <c r="M1508">
        <v>23.896531005732399</v>
      </c>
      <c r="N1508">
        <v>47.658436038732802</v>
      </c>
      <c r="O1508">
        <v>47.0488471428148</v>
      </c>
      <c r="P1508">
        <v>-0.118619988517027</v>
      </c>
      <c r="Q1508">
        <v>6.5831950987568694E-2</v>
      </c>
      <c r="R1508">
        <v>0.99878965701167799</v>
      </c>
      <c r="S1508" t="s">
        <v>8511</v>
      </c>
      <c r="T1508" t="s">
        <v>14004</v>
      </c>
      <c r="U1508" t="s">
        <v>14004</v>
      </c>
      <c r="V1508" t="s">
        <v>14004</v>
      </c>
      <c r="W1508" t="s">
        <v>15481</v>
      </c>
      <c r="X1508">
        <v>13</v>
      </c>
      <c r="Y1508" t="s">
        <v>22410</v>
      </c>
      <c r="Z1508" t="s">
        <v>29218</v>
      </c>
      <c r="AA1508">
        <v>0.30468788114033979</v>
      </c>
      <c r="AB1508" t="str">
        <f>HYPERLINK("Melting_Curves/meltCurve_O43264_ZW10.pdf", "Melting_Curves/meltCurve_O43264_ZW10.pdf")</f>
        <v>Melting_Curves/meltCurve_O43264_ZW10.pdf</v>
      </c>
    </row>
    <row r="1509" spans="1:28" x14ac:dyDescent="0.25">
      <c r="A1509" t="s">
        <v>1513</v>
      </c>
      <c r="B1509">
        <v>0.99999676499088797</v>
      </c>
      <c r="C1509">
        <v>1.0952740712657401</v>
      </c>
      <c r="D1509">
        <v>1.11777626950187</v>
      </c>
      <c r="E1509">
        <v>1.1146439650334801</v>
      </c>
      <c r="F1509">
        <v>0.33897063255457899</v>
      </c>
      <c r="G1509">
        <v>0.105511147965775</v>
      </c>
      <c r="H1509">
        <v>0</v>
      </c>
      <c r="I1509">
        <v>0</v>
      </c>
      <c r="J1509">
        <v>0</v>
      </c>
      <c r="K1509">
        <v>9.9782290231196696E-2</v>
      </c>
      <c r="L1509">
        <v>13257.5995957092</v>
      </c>
      <c r="M1509">
        <v>250</v>
      </c>
      <c r="N1509">
        <v>53.048568650721499</v>
      </c>
      <c r="O1509">
        <v>53.027005704968701</v>
      </c>
      <c r="P1509">
        <v>-1.13025115085744</v>
      </c>
      <c r="Q1509">
        <v>4.1058670089490198E-2</v>
      </c>
      <c r="R1509">
        <v>0.98013273768680798</v>
      </c>
      <c r="S1509" t="s">
        <v>8512</v>
      </c>
      <c r="T1509" t="s">
        <v>14004</v>
      </c>
      <c r="U1509" t="s">
        <v>14004</v>
      </c>
      <c r="V1509" t="s">
        <v>14004</v>
      </c>
      <c r="W1509" t="s">
        <v>15482</v>
      </c>
      <c r="X1509">
        <v>1</v>
      </c>
      <c r="Y1509" t="s">
        <v>22411</v>
      </c>
      <c r="Z1509" t="s">
        <v>29219</v>
      </c>
      <c r="AA1509">
        <v>0.45766083486793552</v>
      </c>
      <c r="AB1509" t="str">
        <f>HYPERLINK("Melting_Curves/meltCurve_O43286_B4GALT5.pdf", "Melting_Curves/meltCurve_O43286_B4GALT5.pdf")</f>
        <v>Melting_Curves/meltCurve_O43286_B4GALT5.pdf</v>
      </c>
    </row>
    <row r="1510" spans="1:28" x14ac:dyDescent="0.25">
      <c r="A1510" t="s">
        <v>1514</v>
      </c>
      <c r="B1510">
        <v>0.99999676499088797</v>
      </c>
      <c r="C1510">
        <v>0.92177541012464903</v>
      </c>
      <c r="D1510">
        <v>0.77634421344676396</v>
      </c>
      <c r="E1510">
        <v>0.56476294192139898</v>
      </c>
      <c r="F1510">
        <v>0.390388314220313</v>
      </c>
      <c r="G1510">
        <v>0.34603097359224999</v>
      </c>
      <c r="H1510">
        <v>0.261234922538711</v>
      </c>
      <c r="I1510">
        <v>0.30701757968598298</v>
      </c>
      <c r="J1510">
        <v>0.35016235352952302</v>
      </c>
      <c r="K1510">
        <v>0.44832856214935801</v>
      </c>
      <c r="L1510">
        <v>983.45977114413404</v>
      </c>
      <c r="M1510">
        <v>20.648203446487098</v>
      </c>
      <c r="N1510">
        <v>50.345490506906202</v>
      </c>
      <c r="O1510">
        <v>47.189329271585102</v>
      </c>
      <c r="P1510">
        <v>-7.2650768738706295E-2</v>
      </c>
      <c r="Q1510">
        <v>0.33587597438550099</v>
      </c>
      <c r="R1510">
        <v>0.966304848419274</v>
      </c>
      <c r="S1510" t="s">
        <v>8513</v>
      </c>
      <c r="T1510" t="s">
        <v>14004</v>
      </c>
      <c r="U1510" t="s">
        <v>14004</v>
      </c>
      <c r="V1510" t="s">
        <v>14004</v>
      </c>
      <c r="W1510" t="s">
        <v>15483</v>
      </c>
      <c r="X1510">
        <v>49</v>
      </c>
      <c r="Y1510" t="s">
        <v>22412</v>
      </c>
      <c r="Z1510" t="s">
        <v>29220</v>
      </c>
      <c r="AA1510">
        <v>0.51365798404524077</v>
      </c>
      <c r="AB1510" t="str">
        <f>HYPERLINK("Melting_Curves/meltCurve_O43290_SART1.pdf", "Melting_Curves/meltCurve_O43290_SART1.pdf")</f>
        <v>Melting_Curves/meltCurve_O43290_SART1.pdf</v>
      </c>
    </row>
    <row r="1511" spans="1:28" x14ac:dyDescent="0.25">
      <c r="A1511" t="s">
        <v>1515</v>
      </c>
      <c r="B1511">
        <v>0.99999676499088797</v>
      </c>
      <c r="C1511">
        <v>0.92147392798629202</v>
      </c>
      <c r="D1511">
        <v>0.92727198817615197</v>
      </c>
      <c r="E1511">
        <v>0.83241259936654599</v>
      </c>
      <c r="F1511">
        <v>0.68525046591134398</v>
      </c>
      <c r="G1511">
        <v>0.52980432046105297</v>
      </c>
      <c r="H1511">
        <v>0.29771091437079999</v>
      </c>
      <c r="I1511">
        <v>0.279489059226536</v>
      </c>
      <c r="J1511">
        <v>0.27476984438901703</v>
      </c>
      <c r="K1511">
        <v>0.23115665717536399</v>
      </c>
      <c r="L1511">
        <v>710.30020999194198</v>
      </c>
      <c r="M1511">
        <v>12.948613847021299</v>
      </c>
      <c r="N1511">
        <v>56.765992011340998</v>
      </c>
      <c r="O1511">
        <v>53.596393965287</v>
      </c>
      <c r="P1511">
        <v>-4.9738910351402099E-2</v>
      </c>
      <c r="Q1511">
        <v>0.17663832106998201</v>
      </c>
      <c r="R1511">
        <v>0.98961956045453303</v>
      </c>
      <c r="S1511" t="s">
        <v>8514</v>
      </c>
      <c r="T1511" t="s">
        <v>14004</v>
      </c>
      <c r="U1511" t="s">
        <v>14004</v>
      </c>
      <c r="V1511" t="s">
        <v>14004</v>
      </c>
      <c r="W1511" t="s">
        <v>15484</v>
      </c>
      <c r="X1511">
        <v>3</v>
      </c>
      <c r="Y1511" t="s">
        <v>22413</v>
      </c>
      <c r="Z1511" t="s">
        <v>29221</v>
      </c>
      <c r="AA1511">
        <v>0.60284859572896565</v>
      </c>
      <c r="AB1511" t="str">
        <f>HYPERLINK("Melting_Curves/meltCurve_O43291_SPINT2.pdf", "Melting_Curves/meltCurve_O43291_SPINT2.pdf")</f>
        <v>Melting_Curves/meltCurve_O43291_SPINT2.pdf</v>
      </c>
    </row>
    <row r="1512" spans="1:28" x14ac:dyDescent="0.25">
      <c r="A1512" t="s">
        <v>1516</v>
      </c>
      <c r="B1512">
        <v>0.99999676499088797</v>
      </c>
      <c r="C1512">
        <v>0.93758193561630399</v>
      </c>
      <c r="D1512">
        <v>0.80209371221556303</v>
      </c>
      <c r="E1512">
        <v>0.50460743141499798</v>
      </c>
      <c r="F1512">
        <v>0.32437244514574398</v>
      </c>
      <c r="G1512">
        <v>0.23720081905741</v>
      </c>
      <c r="H1512">
        <v>0.123960776170569</v>
      </c>
      <c r="I1512">
        <v>0.124703830408482</v>
      </c>
      <c r="J1512">
        <v>0.12503665929088101</v>
      </c>
      <c r="K1512">
        <v>9.0914806989257302E-2</v>
      </c>
      <c r="L1512">
        <v>797.83028595439703</v>
      </c>
      <c r="M1512">
        <v>16.159443054546198</v>
      </c>
      <c r="N1512">
        <v>50.085134136683699</v>
      </c>
      <c r="O1512">
        <v>48.634852380518304</v>
      </c>
      <c r="P1512">
        <v>-7.4538538863799797E-2</v>
      </c>
      <c r="Q1512">
        <v>0.102717286739544</v>
      </c>
      <c r="R1512">
        <v>0.99666422141502897</v>
      </c>
      <c r="S1512" t="s">
        <v>8515</v>
      </c>
      <c r="T1512" t="s">
        <v>14004</v>
      </c>
      <c r="U1512" t="s">
        <v>14004</v>
      </c>
      <c r="V1512" t="s">
        <v>14004</v>
      </c>
      <c r="W1512" t="s">
        <v>15485</v>
      </c>
      <c r="X1512">
        <v>2</v>
      </c>
      <c r="Y1512" t="s">
        <v>22414</v>
      </c>
      <c r="Z1512" t="s">
        <v>29222</v>
      </c>
      <c r="AA1512">
        <v>0.40205185342843708</v>
      </c>
      <c r="AB1512" t="str">
        <f>HYPERLINK("Melting_Curves/meltCurve_O43293_DAPK3.pdf", "Melting_Curves/meltCurve_O43293_DAPK3.pdf")</f>
        <v>Melting_Curves/meltCurve_O43293_DAPK3.pdf</v>
      </c>
    </row>
    <row r="1513" spans="1:28" x14ac:dyDescent="0.25">
      <c r="A1513" t="s">
        <v>1517</v>
      </c>
      <c r="B1513">
        <v>0.99999676499088797</v>
      </c>
      <c r="C1513">
        <v>1.04722756638353</v>
      </c>
      <c r="D1513">
        <v>0.91022577118289205</v>
      </c>
      <c r="E1513">
        <v>0.33619956202204099</v>
      </c>
      <c r="F1513">
        <v>0.19264542220540101</v>
      </c>
      <c r="G1513">
        <v>0.119365768980231</v>
      </c>
      <c r="H1513">
        <v>6.3147968661252704E-2</v>
      </c>
      <c r="I1513">
        <v>7.6131875931969295E-2</v>
      </c>
      <c r="J1513">
        <v>8.2765799230803405E-2</v>
      </c>
      <c r="K1513">
        <v>7.1729016049781005E-2</v>
      </c>
      <c r="L1513">
        <v>1884.9624616031199</v>
      </c>
      <c r="M1513">
        <v>38.910788672753</v>
      </c>
      <c r="N1513">
        <v>48.702787523483302</v>
      </c>
      <c r="O1513">
        <v>48.315757137972597</v>
      </c>
      <c r="P1513">
        <v>-0.18247987147018599</v>
      </c>
      <c r="Q1513">
        <v>9.3656671942820194E-2</v>
      </c>
      <c r="R1513">
        <v>0.99318605059435605</v>
      </c>
      <c r="S1513" t="s">
        <v>8516</v>
      </c>
      <c r="T1513" t="s">
        <v>14004</v>
      </c>
      <c r="U1513" t="s">
        <v>14004</v>
      </c>
      <c r="V1513" t="s">
        <v>14004</v>
      </c>
      <c r="W1513" t="s">
        <v>15486</v>
      </c>
      <c r="X1513">
        <v>3</v>
      </c>
      <c r="Y1513" t="s">
        <v>22415</v>
      </c>
      <c r="Z1513" t="s">
        <v>29223</v>
      </c>
      <c r="AA1513">
        <v>0.3519533260142918</v>
      </c>
      <c r="AB1513" t="str">
        <f>HYPERLINK("Melting_Curves/meltCurve_O43295_SRGAP3.pdf", "Melting_Curves/meltCurve_O43295_SRGAP3.pdf")</f>
        <v>Melting_Curves/meltCurve_O43295_SRGAP3.pdf</v>
      </c>
    </row>
    <row r="1514" spans="1:28" x14ac:dyDescent="0.25">
      <c r="A1514" t="s">
        <v>1518</v>
      </c>
      <c r="B1514">
        <v>0.99999676499088797</v>
      </c>
      <c r="C1514">
        <v>0.90263009089561497</v>
      </c>
      <c r="D1514">
        <v>0.85133850794425803</v>
      </c>
      <c r="E1514">
        <v>0.82932912186265095</v>
      </c>
      <c r="F1514">
        <v>0.48467352409040998</v>
      </c>
      <c r="G1514">
        <v>0.21185261041009101</v>
      </c>
      <c r="H1514">
        <v>0.106815370457084</v>
      </c>
      <c r="I1514">
        <v>9.4292368173422805E-2</v>
      </c>
      <c r="J1514">
        <v>7.5408047107305295E-2</v>
      </c>
      <c r="K1514">
        <v>6.7220736672995204E-2</v>
      </c>
      <c r="L1514">
        <v>983.82882574060898</v>
      </c>
      <c r="M1514">
        <v>18.6845642842556</v>
      </c>
      <c r="N1514">
        <v>52.950286507414297</v>
      </c>
      <c r="O1514">
        <v>52.062596182861199</v>
      </c>
      <c r="P1514">
        <v>-8.5281104812101702E-2</v>
      </c>
      <c r="Q1514">
        <v>4.9532542444654902E-2</v>
      </c>
      <c r="R1514">
        <v>0.98584292816125396</v>
      </c>
      <c r="S1514" t="s">
        <v>8517</v>
      </c>
      <c r="T1514" t="s">
        <v>14004</v>
      </c>
      <c r="U1514" t="s">
        <v>14004</v>
      </c>
      <c r="V1514" t="s">
        <v>14004</v>
      </c>
      <c r="W1514" t="s">
        <v>15487</v>
      </c>
      <c r="X1514">
        <v>3</v>
      </c>
      <c r="Y1514" t="s">
        <v>22416</v>
      </c>
      <c r="Z1514" t="s">
        <v>29224</v>
      </c>
      <c r="AA1514">
        <v>0.46518037060588763</v>
      </c>
      <c r="AB1514" t="str">
        <f>HYPERLINK("Melting_Curves/meltCurve_O43299_AP5Z1.pdf", "Melting_Curves/meltCurve_O43299_AP5Z1.pdf")</f>
        <v>Melting_Curves/meltCurve_O43299_AP5Z1.pdf</v>
      </c>
    </row>
    <row r="1515" spans="1:28" x14ac:dyDescent="0.25">
      <c r="A1515" t="s">
        <v>1519</v>
      </c>
      <c r="B1515">
        <v>0.99999676499088797</v>
      </c>
      <c r="C1515">
        <v>1.00022432258947</v>
      </c>
      <c r="D1515">
        <v>1.0848624463985199</v>
      </c>
      <c r="E1515">
        <v>1.47828625547197</v>
      </c>
      <c r="F1515">
        <v>0.85560349065680996</v>
      </c>
      <c r="G1515">
        <v>0.492943022696958</v>
      </c>
      <c r="H1515">
        <v>0.21949809417454599</v>
      </c>
      <c r="I1515">
        <v>0.226072445611049</v>
      </c>
      <c r="J1515">
        <v>0.14336069195425899</v>
      </c>
      <c r="K1515">
        <v>0.189381122187808</v>
      </c>
      <c r="L1515">
        <v>2248.9977248006799</v>
      </c>
      <c r="M1515">
        <v>40.153933741050103</v>
      </c>
      <c r="N1515">
        <v>56.663653703251398</v>
      </c>
      <c r="O1515">
        <v>55.871026808133898</v>
      </c>
      <c r="P1515">
        <v>-0.14634327781136899</v>
      </c>
      <c r="Q1515">
        <v>0.185501324625165</v>
      </c>
      <c r="R1515">
        <v>0.87765631055456605</v>
      </c>
      <c r="S1515" t="s">
        <v>8518</v>
      </c>
      <c r="T1515" t="s">
        <v>14004</v>
      </c>
      <c r="U1515" t="s">
        <v>14004</v>
      </c>
      <c r="V1515" t="s">
        <v>14004</v>
      </c>
      <c r="W1515" t="s">
        <v>15488</v>
      </c>
      <c r="X1515">
        <v>5</v>
      </c>
      <c r="Y1515" t="s">
        <v>22417</v>
      </c>
      <c r="Z1515" t="s">
        <v>29225</v>
      </c>
      <c r="AA1515">
        <v>0.6232650597083722</v>
      </c>
      <c r="AB1515" t="str">
        <f>HYPERLINK("Melting_Curves/meltCurve_O43310_CTIF.pdf", "Melting_Curves/meltCurve_O43310_CTIF.pdf")</f>
        <v>Melting_Curves/meltCurve_O43310_CTIF.pdf</v>
      </c>
    </row>
    <row r="1516" spans="1:28" x14ac:dyDescent="0.25">
      <c r="A1516" t="s">
        <v>1520</v>
      </c>
      <c r="B1516">
        <v>0.99999676499088797</v>
      </c>
      <c r="C1516">
        <v>0.99084544454168699</v>
      </c>
      <c r="D1516">
        <v>1.0293881751657199</v>
      </c>
      <c r="E1516">
        <v>1.1196927560171099</v>
      </c>
      <c r="F1516">
        <v>0.63045511475778004</v>
      </c>
      <c r="G1516">
        <v>0.29920449475368799</v>
      </c>
      <c r="H1516">
        <v>0</v>
      </c>
      <c r="I1516">
        <v>0</v>
      </c>
      <c r="J1516">
        <v>0</v>
      </c>
      <c r="K1516">
        <v>8.45802105313474E-2</v>
      </c>
      <c r="L1516">
        <v>1754.7678885077801</v>
      </c>
      <c r="M1516">
        <v>32.160193210746797</v>
      </c>
      <c r="N1516">
        <v>54.628454719089198</v>
      </c>
      <c r="O1516">
        <v>54.353680887852597</v>
      </c>
      <c r="P1516">
        <v>-0.145140628209354</v>
      </c>
      <c r="Q1516">
        <v>1.8800875832049101E-2</v>
      </c>
      <c r="R1516">
        <v>0.97968474130193095</v>
      </c>
      <c r="S1516" t="s">
        <v>8519</v>
      </c>
      <c r="T1516" t="s">
        <v>14004</v>
      </c>
      <c r="U1516" t="s">
        <v>14004</v>
      </c>
      <c r="V1516" t="s">
        <v>14004</v>
      </c>
      <c r="W1516" t="s">
        <v>15489</v>
      </c>
      <c r="X1516">
        <v>5</v>
      </c>
      <c r="Y1516" t="s">
        <v>22417</v>
      </c>
      <c r="Z1516" t="s">
        <v>29226</v>
      </c>
      <c r="AA1516">
        <v>0.50079120392585652</v>
      </c>
      <c r="AB1516" t="str">
        <f>HYPERLINK("Melting_Curves/meltCurve_O43310_2_CTIF.pdf", "Melting_Curves/meltCurve_O43310_2_CTIF.pdf")</f>
        <v>Melting_Curves/meltCurve_O43310_2_CTIF.pdf</v>
      </c>
    </row>
    <row r="1517" spans="1:28" x14ac:dyDescent="0.25">
      <c r="A1517" t="s">
        <v>1521</v>
      </c>
      <c r="B1517">
        <v>0.99999676499088797</v>
      </c>
      <c r="C1517">
        <v>1.0272285322544601</v>
      </c>
      <c r="D1517">
        <v>1.0005923143068101</v>
      </c>
      <c r="E1517">
        <v>1.1188451136633899</v>
      </c>
      <c r="F1517">
        <v>0.75799746067277396</v>
      </c>
      <c r="G1517">
        <v>0.33880024817052301</v>
      </c>
      <c r="H1517">
        <v>0.11522689499991</v>
      </c>
      <c r="I1517">
        <v>9.9013096206319595E-2</v>
      </c>
      <c r="J1517">
        <v>9.4706853946380398E-2</v>
      </c>
      <c r="K1517">
        <v>8.1527479784844897E-2</v>
      </c>
      <c r="L1517">
        <v>1934.9219378974101</v>
      </c>
      <c r="M1517">
        <v>35.1484064371448</v>
      </c>
      <c r="N1517">
        <v>55.361841298789201</v>
      </c>
      <c r="O1517">
        <v>54.872776975845397</v>
      </c>
      <c r="P1517">
        <v>-0.14575744527399201</v>
      </c>
      <c r="Q1517">
        <v>8.9792243325625395E-2</v>
      </c>
      <c r="R1517">
        <v>0.98851900496199097</v>
      </c>
      <c r="S1517" t="s">
        <v>8520</v>
      </c>
      <c r="T1517" t="s">
        <v>14004</v>
      </c>
      <c r="U1517" t="s">
        <v>14004</v>
      </c>
      <c r="V1517" t="s">
        <v>14004</v>
      </c>
      <c r="W1517" t="s">
        <v>15490</v>
      </c>
      <c r="X1517">
        <v>30</v>
      </c>
      <c r="Y1517" t="s">
        <v>21874</v>
      </c>
      <c r="Z1517" t="s">
        <v>29227</v>
      </c>
      <c r="AA1517">
        <v>0.55086825547592266</v>
      </c>
      <c r="AB1517" t="str">
        <f>HYPERLINK("Melting_Curves/meltCurve_O43314_2_PPIP5K2.pdf", "Melting_Curves/meltCurve_O43314_2_PPIP5K2.pdf")</f>
        <v>Melting_Curves/meltCurve_O43314_2_PPIP5K2.pdf</v>
      </c>
    </row>
    <row r="1518" spans="1:28" x14ac:dyDescent="0.25">
      <c r="A1518" t="s">
        <v>1522</v>
      </c>
      <c r="B1518">
        <v>0.99999676499088797</v>
      </c>
      <c r="C1518">
        <v>0.90285167107237896</v>
      </c>
      <c r="D1518">
        <v>0.74209100604464495</v>
      </c>
      <c r="E1518">
        <v>0.275031562479297</v>
      </c>
      <c r="F1518">
        <v>0.161100066026202</v>
      </c>
      <c r="G1518">
        <v>0.115686452464213</v>
      </c>
      <c r="H1518">
        <v>6.9813415950394905E-2</v>
      </c>
      <c r="I1518">
        <v>7.0946520549844697E-2</v>
      </c>
      <c r="J1518">
        <v>6.9549366219343198E-2</v>
      </c>
      <c r="K1518">
        <v>6.4059448592705501E-2</v>
      </c>
      <c r="L1518">
        <v>1200.97795112483</v>
      </c>
      <c r="M1518">
        <v>25.3110282008121</v>
      </c>
      <c r="N1518">
        <v>47.759634153170403</v>
      </c>
      <c r="O1518">
        <v>47.155568419656603</v>
      </c>
      <c r="P1518">
        <v>-0.12399993421299101</v>
      </c>
      <c r="Q1518">
        <v>7.5941837957612404E-2</v>
      </c>
      <c r="R1518">
        <v>0.99597101093881302</v>
      </c>
      <c r="S1518" t="s">
        <v>8521</v>
      </c>
      <c r="T1518" t="s">
        <v>14004</v>
      </c>
      <c r="U1518" t="s">
        <v>14004</v>
      </c>
      <c r="V1518" t="s">
        <v>14004</v>
      </c>
      <c r="W1518" t="s">
        <v>15491</v>
      </c>
      <c r="X1518">
        <v>10</v>
      </c>
      <c r="Y1518" t="s">
        <v>22418</v>
      </c>
      <c r="Z1518" t="s">
        <v>29228</v>
      </c>
      <c r="AA1518">
        <v>0.31335812194678908</v>
      </c>
      <c r="AB1518" t="str">
        <f>HYPERLINK("Melting_Curves/meltCurve_O43318_2_MAP3K7.pdf", "Melting_Curves/meltCurve_O43318_2_MAP3K7.pdf")</f>
        <v>Melting_Curves/meltCurve_O43318_2_MAP3K7.pdf</v>
      </c>
    </row>
    <row r="1519" spans="1:28" x14ac:dyDescent="0.25">
      <c r="A1519" t="s">
        <v>1523</v>
      </c>
      <c r="B1519">
        <v>0.99999676499088797</v>
      </c>
      <c r="C1519">
        <v>1.06238233370331</v>
      </c>
      <c r="D1519">
        <v>0.90618156111999804</v>
      </c>
      <c r="E1519">
        <v>0.46462701698349901</v>
      </c>
      <c r="F1519">
        <v>0.40376266826600399</v>
      </c>
      <c r="G1519">
        <v>0.29674808932791602</v>
      </c>
      <c r="H1519">
        <v>0.194952187029892</v>
      </c>
      <c r="I1519">
        <v>0.197972256003769</v>
      </c>
      <c r="J1519">
        <v>0.146894242751477</v>
      </c>
      <c r="K1519">
        <v>9.6641319025366698E-2</v>
      </c>
      <c r="L1519">
        <v>993.095521439295</v>
      </c>
      <c r="M1519">
        <v>20.065731110957799</v>
      </c>
      <c r="N1519">
        <v>50.536370991562201</v>
      </c>
      <c r="O1519">
        <v>49.0084217438433</v>
      </c>
      <c r="P1519">
        <v>-8.4990628960730799E-2</v>
      </c>
      <c r="Q1519">
        <v>0.16970424971699899</v>
      </c>
      <c r="R1519">
        <v>0.96674357860606397</v>
      </c>
      <c r="S1519" t="s">
        <v>8522</v>
      </c>
      <c r="T1519" t="s">
        <v>14004</v>
      </c>
      <c r="U1519" t="s">
        <v>14004</v>
      </c>
      <c r="V1519" t="s">
        <v>14004</v>
      </c>
      <c r="W1519" t="s">
        <v>15492</v>
      </c>
      <c r="X1519">
        <v>2</v>
      </c>
      <c r="Y1519" t="s">
        <v>22419</v>
      </c>
      <c r="Z1519" t="s">
        <v>29229</v>
      </c>
      <c r="AA1519">
        <v>0.44392482978766618</v>
      </c>
      <c r="AB1519" t="str">
        <f>HYPERLINK("Melting_Curves/meltCurve_O43324_EEF1E1.pdf", "Melting_Curves/meltCurve_O43324_EEF1E1.pdf")</f>
        <v>Melting_Curves/meltCurve_O43324_EEF1E1.pdf</v>
      </c>
    </row>
    <row r="1520" spans="1:28" x14ac:dyDescent="0.25">
      <c r="A1520" t="s">
        <v>1524</v>
      </c>
      <c r="B1520">
        <v>0.99999676499088797</v>
      </c>
      <c r="C1520">
        <v>0.98847152746331501</v>
      </c>
      <c r="D1520">
        <v>1.10761184166502</v>
      </c>
      <c r="E1520">
        <v>0.57847150132191005</v>
      </c>
      <c r="F1520">
        <v>0.33213765476146601</v>
      </c>
      <c r="G1520">
        <v>0.23965032990285001</v>
      </c>
      <c r="H1520">
        <v>0.12962126157437301</v>
      </c>
      <c r="I1520">
        <v>0.123345502784283</v>
      </c>
      <c r="J1520">
        <v>0.12770702928255001</v>
      </c>
      <c r="K1520">
        <v>0.106097517722879</v>
      </c>
      <c r="L1520">
        <v>1489.3542895098201</v>
      </c>
      <c r="M1520">
        <v>29.640290308197901</v>
      </c>
      <c r="N1520">
        <v>50.822561478008602</v>
      </c>
      <c r="O1520">
        <v>50.020585089615302</v>
      </c>
      <c r="P1520">
        <v>-0.12704010456103401</v>
      </c>
      <c r="Q1520">
        <v>0.142440867540437</v>
      </c>
      <c r="R1520">
        <v>0.973156381449651</v>
      </c>
      <c r="S1520" t="s">
        <v>8523</v>
      </c>
      <c r="T1520" t="s">
        <v>14004</v>
      </c>
      <c r="U1520" t="s">
        <v>14004</v>
      </c>
      <c r="V1520" t="s">
        <v>14004</v>
      </c>
      <c r="W1520" t="s">
        <v>15493</v>
      </c>
      <c r="X1520">
        <v>16</v>
      </c>
      <c r="Y1520" t="s">
        <v>22420</v>
      </c>
      <c r="Z1520" t="s">
        <v>29230</v>
      </c>
      <c r="AA1520">
        <v>0.44082923562761528</v>
      </c>
      <c r="AB1520" t="str">
        <f>HYPERLINK("Melting_Curves/meltCurve_O43390_HNRNPR.pdf", "Melting_Curves/meltCurve_O43390_HNRNPR.pdf")</f>
        <v>Melting_Curves/meltCurve_O43390_HNRNPR.pdf</v>
      </c>
    </row>
    <row r="1521" spans="1:28" x14ac:dyDescent="0.25">
      <c r="A1521" t="s">
        <v>1525</v>
      </c>
      <c r="B1521">
        <v>0.99999676499088797</v>
      </c>
      <c r="C1521">
        <v>1.0002488346157099</v>
      </c>
      <c r="D1521">
        <v>0.96120924700348498</v>
      </c>
      <c r="E1521">
        <v>0.48879216681028298</v>
      </c>
      <c r="F1521">
        <v>0.290912395026453</v>
      </c>
      <c r="G1521">
        <v>0.22953405076633501</v>
      </c>
      <c r="H1521">
        <v>0.10691670575526301</v>
      </c>
      <c r="I1521">
        <v>0.11712952327220599</v>
      </c>
      <c r="J1521">
        <v>0.117800503504043</v>
      </c>
      <c r="K1521">
        <v>0.12797244613637801</v>
      </c>
      <c r="L1521">
        <v>1366.1416234450001</v>
      </c>
      <c r="M1521">
        <v>27.669782399065902</v>
      </c>
      <c r="N1521">
        <v>49.956746585408602</v>
      </c>
      <c r="O1521">
        <v>49.117329564801203</v>
      </c>
      <c r="P1521">
        <v>-0.121383976023319</v>
      </c>
      <c r="Q1521">
        <v>0.13812078320468599</v>
      </c>
      <c r="R1521">
        <v>0.98825123070310195</v>
      </c>
      <c r="S1521" t="s">
        <v>8524</v>
      </c>
      <c r="T1521" t="s">
        <v>14004</v>
      </c>
      <c r="U1521" t="s">
        <v>14004</v>
      </c>
      <c r="V1521" t="s">
        <v>14004</v>
      </c>
      <c r="W1521" t="s">
        <v>15494</v>
      </c>
      <c r="X1521">
        <v>15</v>
      </c>
      <c r="Y1521" t="s">
        <v>22421</v>
      </c>
      <c r="Z1521" t="s">
        <v>29231</v>
      </c>
      <c r="AA1521">
        <v>0.41362739808285132</v>
      </c>
      <c r="AB1521" t="str">
        <f>HYPERLINK("Melting_Curves/meltCurve_O43395_PRPF3.pdf", "Melting_Curves/meltCurve_O43395_PRPF3.pdf")</f>
        <v>Melting_Curves/meltCurve_O43395_PRPF3.pdf</v>
      </c>
    </row>
    <row r="1522" spans="1:28" x14ac:dyDescent="0.25">
      <c r="A1522" t="s">
        <v>1526</v>
      </c>
      <c r="B1522">
        <v>0.99999676499088797</v>
      </c>
      <c r="C1522">
        <v>0.95743317084367097</v>
      </c>
      <c r="D1522">
        <v>0.91406963408676201</v>
      </c>
      <c r="E1522">
        <v>0.72014090686184695</v>
      </c>
      <c r="F1522">
        <v>0.29159551218430302</v>
      </c>
      <c r="G1522">
        <v>0.19883434182071399</v>
      </c>
      <c r="H1522">
        <v>0.107973188464779</v>
      </c>
      <c r="I1522">
        <v>0.10093927230482</v>
      </c>
      <c r="J1522">
        <v>9.8010986580482906E-2</v>
      </c>
      <c r="K1522">
        <v>9.1355360761139995E-2</v>
      </c>
      <c r="L1522">
        <v>1263.5070018920701</v>
      </c>
      <c r="M1522">
        <v>24.8197875782678</v>
      </c>
      <c r="N1522">
        <v>51.355459752963</v>
      </c>
      <c r="O1522">
        <v>50.580229827136698</v>
      </c>
      <c r="P1522">
        <v>-0.110730538792451</v>
      </c>
      <c r="Q1522">
        <v>9.7381820095886001E-2</v>
      </c>
      <c r="R1522">
        <v>0.99615590445999003</v>
      </c>
      <c r="S1522" t="s">
        <v>8525</v>
      </c>
      <c r="T1522" t="s">
        <v>14004</v>
      </c>
      <c r="U1522" t="s">
        <v>14004</v>
      </c>
      <c r="V1522" t="s">
        <v>14004</v>
      </c>
      <c r="W1522" t="s">
        <v>15495</v>
      </c>
      <c r="X1522">
        <v>17</v>
      </c>
      <c r="Y1522" t="s">
        <v>22422</v>
      </c>
      <c r="Z1522" t="s">
        <v>29232</v>
      </c>
      <c r="AA1522">
        <v>0.433813984776315</v>
      </c>
      <c r="AB1522" t="str">
        <f>HYPERLINK("Melting_Curves/meltCurve_O43396_TXNL1.pdf", "Melting_Curves/meltCurve_O43396_TXNL1.pdf")</f>
        <v>Melting_Curves/meltCurve_O43396_TXNL1.pdf</v>
      </c>
    </row>
    <row r="1523" spans="1:28" x14ac:dyDescent="0.25">
      <c r="A1523" t="s">
        <v>1527</v>
      </c>
      <c r="B1523">
        <v>0.99999676499088797</v>
      </c>
      <c r="C1523">
        <v>0.92830186580757301</v>
      </c>
      <c r="D1523">
        <v>0.96121800187886197</v>
      </c>
      <c r="E1523">
        <v>1.0998776163864701</v>
      </c>
      <c r="F1523">
        <v>1.0556547330427399</v>
      </c>
      <c r="G1523">
        <v>0.96281528039465603</v>
      </c>
      <c r="H1523">
        <v>0.733186916645578</v>
      </c>
      <c r="I1523">
        <v>0.70641583140100594</v>
      </c>
      <c r="J1523">
        <v>0.59892207882836701</v>
      </c>
      <c r="K1523">
        <v>0.88933653439202398</v>
      </c>
      <c r="L1523">
        <v>8540.0958968540708</v>
      </c>
      <c r="M1523">
        <v>148.527656897421</v>
      </c>
      <c r="O1523">
        <v>57.487932255028099</v>
      </c>
      <c r="P1523">
        <v>-0.17313948007674701</v>
      </c>
      <c r="Q1523">
        <v>0.73194404872518604</v>
      </c>
      <c r="R1523">
        <v>0.73633231911693897</v>
      </c>
      <c r="S1523" t="s">
        <v>8526</v>
      </c>
      <c r="T1523" t="s">
        <v>14004</v>
      </c>
      <c r="U1523" t="s">
        <v>14004</v>
      </c>
      <c r="V1523" t="s">
        <v>14004</v>
      </c>
      <c r="W1523" t="s">
        <v>15496</v>
      </c>
      <c r="X1523">
        <v>19</v>
      </c>
      <c r="Y1523" t="s">
        <v>22423</v>
      </c>
      <c r="Z1523" t="s">
        <v>29233</v>
      </c>
      <c r="AA1523">
        <v>0.88837198384571003</v>
      </c>
      <c r="AB1523" t="str">
        <f>HYPERLINK("Melting_Curves/meltCurve_O43399_TPD52L2.pdf", "Melting_Curves/meltCurve_O43399_TPD52L2.pdf")</f>
        <v>Melting_Curves/meltCurve_O43399_TPD52L2.pdf</v>
      </c>
    </row>
    <row r="1524" spans="1:28" x14ac:dyDescent="0.25">
      <c r="A1524" t="s">
        <v>1528</v>
      </c>
      <c r="B1524">
        <v>0.99999676499088797</v>
      </c>
      <c r="C1524">
        <v>0.93661654645341097</v>
      </c>
      <c r="D1524">
        <v>0.96503625353003097</v>
      </c>
      <c r="E1524">
        <v>0.96506005523678395</v>
      </c>
      <c r="F1524">
        <v>0.88738973028032198</v>
      </c>
      <c r="G1524">
        <v>0.22199267803091099</v>
      </c>
      <c r="H1524">
        <v>7.7133496452364406E-2</v>
      </c>
      <c r="I1524">
        <v>6.7878073213787596E-2</v>
      </c>
      <c r="J1524">
        <v>6.0403536296703399E-2</v>
      </c>
      <c r="K1524">
        <v>4.6190892410996998E-2</v>
      </c>
      <c r="L1524">
        <v>2965.5455600319901</v>
      </c>
      <c r="M1524">
        <v>53.772697003643799</v>
      </c>
      <c r="N1524">
        <v>55.283097000490599</v>
      </c>
      <c r="O1524">
        <v>55.073549965917302</v>
      </c>
      <c r="P1524">
        <v>-0.22923857347475901</v>
      </c>
      <c r="Q1524">
        <v>6.0863857508873999E-2</v>
      </c>
      <c r="R1524">
        <v>0.99641436678544104</v>
      </c>
      <c r="S1524" t="s">
        <v>8527</v>
      </c>
      <c r="T1524" t="s">
        <v>14004</v>
      </c>
      <c r="U1524" t="s">
        <v>14004</v>
      </c>
      <c r="V1524" t="s">
        <v>14004</v>
      </c>
      <c r="W1524" t="s">
        <v>15497</v>
      </c>
      <c r="X1524">
        <v>9</v>
      </c>
      <c r="Y1524" t="s">
        <v>22424</v>
      </c>
      <c r="Z1524" t="s">
        <v>29234</v>
      </c>
      <c r="AA1524">
        <v>0.53708990794158562</v>
      </c>
      <c r="AB1524" t="str">
        <f>HYPERLINK("Melting_Curves/meltCurve_O43402_EMC8.pdf", "Melting_Curves/meltCurve_O43402_EMC8.pdf")</f>
        <v>Melting_Curves/meltCurve_O43402_EMC8.pdf</v>
      </c>
    </row>
    <row r="1525" spans="1:28" x14ac:dyDescent="0.25">
      <c r="A1525" t="s">
        <v>1529</v>
      </c>
      <c r="B1525">
        <v>0.99999676499088797</v>
      </c>
      <c r="C1525">
        <v>0.90352769014090994</v>
      </c>
      <c r="D1525">
        <v>0.93243331991012002</v>
      </c>
      <c r="E1525">
        <v>0.52678407464374799</v>
      </c>
      <c r="F1525">
        <v>0.38049460231676002</v>
      </c>
      <c r="G1525">
        <v>0.16876781908058799</v>
      </c>
      <c r="H1525">
        <v>0.100301620918487</v>
      </c>
      <c r="I1525">
        <v>0.149855832032421</v>
      </c>
      <c r="J1525">
        <v>0.15056879736488099</v>
      </c>
      <c r="K1525">
        <v>9.61310165726008E-2</v>
      </c>
      <c r="L1525">
        <v>975.75997036731405</v>
      </c>
      <c r="M1525">
        <v>19.529368132529999</v>
      </c>
      <c r="N1525">
        <v>50.633540090363098</v>
      </c>
      <c r="O1525">
        <v>49.448712417990201</v>
      </c>
      <c r="P1525">
        <v>-8.7498975927833095E-2</v>
      </c>
      <c r="Q1525">
        <v>0.11383606391230799</v>
      </c>
      <c r="R1525">
        <v>0.98374155030602894</v>
      </c>
      <c r="S1525" t="s">
        <v>8528</v>
      </c>
      <c r="T1525" t="s">
        <v>14004</v>
      </c>
      <c r="U1525" t="s">
        <v>14004</v>
      </c>
      <c r="V1525" t="s">
        <v>14004</v>
      </c>
      <c r="W1525" t="s">
        <v>15498</v>
      </c>
      <c r="X1525">
        <v>5</v>
      </c>
      <c r="Y1525" t="s">
        <v>22425</v>
      </c>
      <c r="Z1525" t="s">
        <v>29235</v>
      </c>
      <c r="AA1525">
        <v>0.42107682878342662</v>
      </c>
      <c r="AB1525" t="str">
        <f>HYPERLINK("Melting_Curves/meltCurve_O43422_PRKRIR.pdf", "Melting_Curves/meltCurve_O43422_PRKRIR.pdf")</f>
        <v>Melting_Curves/meltCurve_O43422_PRKRIR.pdf</v>
      </c>
    </row>
    <row r="1526" spans="1:28" x14ac:dyDescent="0.25">
      <c r="A1526" t="s">
        <v>1530</v>
      </c>
      <c r="B1526">
        <v>0.99999676499088797</v>
      </c>
      <c r="C1526">
        <v>1.08504160068764</v>
      </c>
      <c r="D1526">
        <v>0.84707177277205004</v>
      </c>
      <c r="E1526">
        <v>0.641014746349583</v>
      </c>
      <c r="F1526">
        <v>0.28786504518672901</v>
      </c>
      <c r="G1526">
        <v>0.19069659541127201</v>
      </c>
      <c r="H1526">
        <v>7.3390003445438598E-2</v>
      </c>
      <c r="I1526">
        <v>6.0555977017083401E-2</v>
      </c>
      <c r="J1526">
        <v>5.9152376282978598E-2</v>
      </c>
      <c r="K1526">
        <v>5.0031295925680001E-2</v>
      </c>
      <c r="L1526">
        <v>1027.8209977822701</v>
      </c>
      <c r="M1526">
        <v>20.2934505622054</v>
      </c>
      <c r="N1526">
        <v>50.930469696647599</v>
      </c>
      <c r="O1526">
        <v>50.163797485732999</v>
      </c>
      <c r="P1526">
        <v>-9.5754504060748299E-2</v>
      </c>
      <c r="Q1526">
        <v>5.3238987361813699E-2</v>
      </c>
      <c r="R1526">
        <v>0.98952065880463602</v>
      </c>
      <c r="S1526" t="s">
        <v>8529</v>
      </c>
      <c r="T1526" t="s">
        <v>14004</v>
      </c>
      <c r="U1526" t="s">
        <v>14004</v>
      </c>
      <c r="V1526" t="s">
        <v>14004</v>
      </c>
      <c r="W1526" t="s">
        <v>15499</v>
      </c>
      <c r="X1526">
        <v>5</v>
      </c>
      <c r="Y1526" t="s">
        <v>22426</v>
      </c>
      <c r="Z1526" t="s">
        <v>29236</v>
      </c>
      <c r="AA1526">
        <v>0.40206773727365092</v>
      </c>
      <c r="AB1526" t="str">
        <f>HYPERLINK("Melting_Curves/meltCurve_O43427_2_FIBP.pdf", "Melting_Curves/meltCurve_O43427_2_FIBP.pdf")</f>
        <v>Melting_Curves/meltCurve_O43427_2_FIBP.pdf</v>
      </c>
    </row>
    <row r="1527" spans="1:28" x14ac:dyDescent="0.25">
      <c r="A1527" t="s">
        <v>1531</v>
      </c>
      <c r="B1527">
        <v>0.99999676499088797</v>
      </c>
      <c r="C1527">
        <v>0.86746647217776995</v>
      </c>
      <c r="D1527">
        <v>0.47871249570046798</v>
      </c>
      <c r="E1527">
        <v>0.33835277466522901</v>
      </c>
      <c r="F1527">
        <v>0.27103201798138399</v>
      </c>
      <c r="G1527">
        <v>0.20682951907213901</v>
      </c>
      <c r="H1527">
        <v>0.10207670587076099</v>
      </c>
      <c r="I1527">
        <v>9.97025815620462E-2</v>
      </c>
      <c r="J1527">
        <v>9.6530763419677604E-2</v>
      </c>
      <c r="K1527">
        <v>8.5393324338775306E-2</v>
      </c>
      <c r="L1527">
        <v>788.99669882337298</v>
      </c>
      <c r="M1527">
        <v>17.084550646094101</v>
      </c>
      <c r="N1527">
        <v>46.896642090729102</v>
      </c>
      <c r="O1527">
        <v>45.5630827944115</v>
      </c>
      <c r="P1527">
        <v>-8.3001217634877097E-2</v>
      </c>
      <c r="Q1527">
        <v>0.11462414617771</v>
      </c>
      <c r="R1527">
        <v>0.972929071513712</v>
      </c>
      <c r="S1527" t="s">
        <v>8530</v>
      </c>
      <c r="T1527" t="s">
        <v>14004</v>
      </c>
      <c r="U1527" t="s">
        <v>14004</v>
      </c>
      <c r="V1527" t="s">
        <v>14004</v>
      </c>
      <c r="W1527" t="s">
        <v>14128</v>
      </c>
      <c r="X1527">
        <v>24</v>
      </c>
      <c r="Y1527" t="s">
        <v>21064</v>
      </c>
      <c r="Z1527" t="s">
        <v>29237</v>
      </c>
      <c r="AA1527">
        <v>0.31632220278716872</v>
      </c>
      <c r="AB1527" t="str">
        <f>HYPERLINK("Melting_Curves/meltCurve_O43432_EIF4G3.pdf", "Melting_Curves/meltCurve_O43432_EIF4G3.pdf")</f>
        <v>Melting_Curves/meltCurve_O43432_EIF4G3.pdf</v>
      </c>
    </row>
    <row r="1528" spans="1:28" x14ac:dyDescent="0.25">
      <c r="A1528" t="s">
        <v>1532</v>
      </c>
      <c r="B1528">
        <v>0.99999676499088797</v>
      </c>
      <c r="C1528">
        <v>0.96836700585635604</v>
      </c>
      <c r="D1528">
        <v>0.87579586276910104</v>
      </c>
      <c r="E1528">
        <v>0.74496560149541702</v>
      </c>
      <c r="F1528">
        <v>0.33686124451618699</v>
      </c>
      <c r="G1528">
        <v>0.190210801429997</v>
      </c>
      <c r="H1528">
        <v>8.9054699944294699E-2</v>
      </c>
      <c r="I1528">
        <v>8.0937830048708304E-2</v>
      </c>
      <c r="J1528">
        <v>6.5709353746859697E-2</v>
      </c>
      <c r="K1528">
        <v>6.1286772522596102E-2</v>
      </c>
      <c r="L1528">
        <v>1066.8160098711301</v>
      </c>
      <c r="M1528">
        <v>20.751829527264501</v>
      </c>
      <c r="N1528">
        <v>51.720298359649</v>
      </c>
      <c r="O1528">
        <v>50.9380409707098</v>
      </c>
      <c r="P1528">
        <v>-9.5858936923739105E-2</v>
      </c>
      <c r="Q1528">
        <v>5.8833974861029099E-2</v>
      </c>
      <c r="R1528">
        <v>0.99577702232902499</v>
      </c>
      <c r="S1528" t="s">
        <v>8531</v>
      </c>
      <c r="T1528" t="s">
        <v>14004</v>
      </c>
      <c r="U1528" t="s">
        <v>14004</v>
      </c>
      <c r="V1528" t="s">
        <v>14004</v>
      </c>
      <c r="W1528" t="s">
        <v>15500</v>
      </c>
      <c r="X1528">
        <v>12</v>
      </c>
      <c r="Y1528" t="s">
        <v>22427</v>
      </c>
      <c r="Z1528" t="s">
        <v>29238</v>
      </c>
      <c r="AA1528">
        <v>0.4289262022519334</v>
      </c>
      <c r="AB1528" t="str">
        <f>HYPERLINK("Melting_Curves/meltCurve_O43447_PPIH.pdf", "Melting_Curves/meltCurve_O43447_PPIH.pdf")</f>
        <v>Melting_Curves/meltCurve_O43447_PPIH.pdf</v>
      </c>
    </row>
    <row r="1529" spans="1:28" x14ac:dyDescent="0.25">
      <c r="A1529" t="s">
        <v>1533</v>
      </c>
      <c r="B1529">
        <v>0.99999676499088797</v>
      </c>
      <c r="C1529">
        <v>1.1124521404175001</v>
      </c>
      <c r="D1529">
        <v>0.85636271629406602</v>
      </c>
      <c r="E1529">
        <v>0.54320777647305296</v>
      </c>
      <c r="F1529">
        <v>0.53198227314303603</v>
      </c>
      <c r="G1529">
        <v>0.412815632167984</v>
      </c>
      <c r="H1529">
        <v>0.310535836235727</v>
      </c>
      <c r="I1529">
        <v>0.25492392459598401</v>
      </c>
      <c r="J1529">
        <v>0.172213429255965</v>
      </c>
      <c r="K1529">
        <v>0.17271563377935001</v>
      </c>
      <c r="L1529">
        <v>674.72017792059899</v>
      </c>
      <c r="M1529">
        <v>13.162284935516</v>
      </c>
      <c r="N1529">
        <v>53.083429528441002</v>
      </c>
      <c r="O1529">
        <v>50.121711795294999</v>
      </c>
      <c r="P1529">
        <v>-5.3729480004902401E-2</v>
      </c>
      <c r="Q1529">
        <v>0.18173509308288399</v>
      </c>
      <c r="R1529">
        <v>0.94603469700783704</v>
      </c>
      <c r="S1529" t="s">
        <v>8532</v>
      </c>
      <c r="T1529" t="s">
        <v>14004</v>
      </c>
      <c r="U1529" t="s">
        <v>14004</v>
      </c>
      <c r="V1529" t="s">
        <v>14004</v>
      </c>
      <c r="W1529" t="s">
        <v>15501</v>
      </c>
      <c r="X1529">
        <v>2</v>
      </c>
      <c r="Y1529" t="s">
        <v>22428</v>
      </c>
      <c r="Z1529" t="s">
        <v>29239</v>
      </c>
      <c r="AA1529">
        <v>0.51188342426496991</v>
      </c>
      <c r="AB1529" t="str">
        <f>HYPERLINK("Melting_Curves/meltCurve_O43448_KCNAB3.pdf", "Melting_Curves/meltCurve_O43448_KCNAB3.pdf")</f>
        <v>Melting_Curves/meltCurve_O43448_KCNAB3.pdf</v>
      </c>
    </row>
    <row r="1530" spans="1:28" x14ac:dyDescent="0.25">
      <c r="A1530" t="s">
        <v>1534</v>
      </c>
      <c r="B1530">
        <v>0.99999676499088797</v>
      </c>
      <c r="C1530">
        <v>0.99984822194880996</v>
      </c>
      <c r="D1530">
        <v>1.05909031689258</v>
      </c>
      <c r="E1530">
        <v>1.1597970747934501</v>
      </c>
      <c r="F1530">
        <v>1.1615317527372599</v>
      </c>
      <c r="G1530">
        <v>0.872732553354438</v>
      </c>
      <c r="H1530">
        <v>0.52194266038493997</v>
      </c>
      <c r="I1530">
        <v>0.406531833882743</v>
      </c>
      <c r="J1530">
        <v>0.28390490822046599</v>
      </c>
      <c r="K1530">
        <v>0.15994709688845701</v>
      </c>
      <c r="L1530">
        <v>1711.5552050313399</v>
      </c>
      <c r="M1530">
        <v>28.3205106317039</v>
      </c>
      <c r="N1530">
        <v>61.589378992453597</v>
      </c>
      <c r="O1530">
        <v>60.136273216741401</v>
      </c>
      <c r="P1530">
        <v>-9.3492475336155303E-2</v>
      </c>
      <c r="Q1530">
        <v>0.20591237509308799</v>
      </c>
      <c r="R1530">
        <v>0.94420371745418596</v>
      </c>
      <c r="S1530" t="s">
        <v>8533</v>
      </c>
      <c r="T1530" t="s">
        <v>14004</v>
      </c>
      <c r="U1530" t="s">
        <v>14004</v>
      </c>
      <c r="V1530" t="s">
        <v>14004</v>
      </c>
      <c r="W1530" t="s">
        <v>15502</v>
      </c>
      <c r="X1530">
        <v>6</v>
      </c>
      <c r="Y1530" t="s">
        <v>22429</v>
      </c>
      <c r="Z1530" t="s">
        <v>29240</v>
      </c>
      <c r="AA1530">
        <v>0.75179005896181772</v>
      </c>
      <c r="AB1530" t="str">
        <f>HYPERLINK("Melting_Curves/meltCurve_O43464_3_HTRA2.pdf", "Melting_Curves/meltCurve_O43464_3_HTRA2.pdf")</f>
        <v>Melting_Curves/meltCurve_O43464_3_HTRA2.pdf</v>
      </c>
    </row>
    <row r="1531" spans="1:28" x14ac:dyDescent="0.25">
      <c r="A1531" t="s">
        <v>1535</v>
      </c>
      <c r="B1531">
        <v>0.99999676499088797</v>
      </c>
      <c r="C1531">
        <v>1.0566552681944399</v>
      </c>
      <c r="D1531">
        <v>1.0526554265544801</v>
      </c>
      <c r="E1531">
        <v>1.0211915824614599</v>
      </c>
      <c r="F1531">
        <v>0.60503921598585497</v>
      </c>
      <c r="G1531">
        <v>0.25588836000113602</v>
      </c>
      <c r="H1531">
        <v>0.10522667481714799</v>
      </c>
      <c r="I1531">
        <v>0.105722914752721</v>
      </c>
      <c r="J1531">
        <v>0.100530737213004</v>
      </c>
      <c r="K1531">
        <v>5.7890968732121698E-2</v>
      </c>
      <c r="L1531">
        <v>1846.0196110755901</v>
      </c>
      <c r="M1531">
        <v>34.2938418955858</v>
      </c>
      <c r="N1531">
        <v>54.149790687269103</v>
      </c>
      <c r="O1531">
        <v>53.647426698139199</v>
      </c>
      <c r="P1531">
        <v>-0.145140372105137</v>
      </c>
      <c r="Q1531">
        <v>9.1804569330070002E-2</v>
      </c>
      <c r="R1531">
        <v>0.99226866634650701</v>
      </c>
      <c r="S1531" t="s">
        <v>8534</v>
      </c>
      <c r="T1531" t="s">
        <v>14004</v>
      </c>
      <c r="U1531" t="s">
        <v>14004</v>
      </c>
      <c r="V1531" t="s">
        <v>14004</v>
      </c>
      <c r="W1531" t="s">
        <v>15503</v>
      </c>
      <c r="X1531">
        <v>3</v>
      </c>
      <c r="Y1531" t="s">
        <v>22430</v>
      </c>
      <c r="Z1531" t="s">
        <v>29241</v>
      </c>
      <c r="AA1531">
        <v>0.51504897844000375</v>
      </c>
      <c r="AB1531" t="str">
        <f>HYPERLINK("Melting_Curves/meltCurve_O43482_OIP5.pdf", "Melting_Curves/meltCurve_O43482_OIP5.pdf")</f>
        <v>Melting_Curves/meltCurve_O43482_OIP5.pdf</v>
      </c>
    </row>
    <row r="1532" spans="1:28" x14ac:dyDescent="0.25">
      <c r="A1532" t="s">
        <v>1536</v>
      </c>
      <c r="B1532">
        <v>0.99999676499088797</v>
      </c>
      <c r="C1532">
        <v>0.97085748817075201</v>
      </c>
      <c r="D1532">
        <v>0.90760084059534596</v>
      </c>
      <c r="E1532">
        <v>0.71998276218205803</v>
      </c>
      <c r="F1532">
        <v>0.34814990050344502</v>
      </c>
      <c r="G1532">
        <v>9.7874472504489995E-2</v>
      </c>
      <c r="H1532">
        <v>4.0202559101214203E-2</v>
      </c>
      <c r="I1532">
        <v>3.5400934089254203E-2</v>
      </c>
      <c r="J1532">
        <v>3.5482351341212401E-2</v>
      </c>
      <c r="K1532">
        <v>2.9696452129932001E-2</v>
      </c>
      <c r="L1532">
        <v>1169.34472151659</v>
      </c>
      <c r="M1532">
        <v>22.713337624552501</v>
      </c>
      <c r="N1532">
        <v>51.572861702605898</v>
      </c>
      <c r="O1532">
        <v>51.088664530240301</v>
      </c>
      <c r="P1532">
        <v>-0.10898616690339499</v>
      </c>
      <c r="Q1532">
        <v>1.9457876547501699E-2</v>
      </c>
      <c r="R1532">
        <v>0.99849407374064403</v>
      </c>
      <c r="S1532" t="s">
        <v>8535</v>
      </c>
      <c r="T1532" t="s">
        <v>14004</v>
      </c>
      <c r="U1532" t="s">
        <v>14004</v>
      </c>
      <c r="V1532" t="s">
        <v>14004</v>
      </c>
      <c r="W1532" t="s">
        <v>15504</v>
      </c>
      <c r="X1532">
        <v>14</v>
      </c>
      <c r="Y1532" t="s">
        <v>22431</v>
      </c>
      <c r="Z1532" t="s">
        <v>29242</v>
      </c>
      <c r="AA1532">
        <v>0.40548116406100149</v>
      </c>
      <c r="AB1532" t="str">
        <f>HYPERLINK("Melting_Curves/meltCurve_O43488_AKR7A2.pdf", "Melting_Curves/meltCurve_O43488_AKR7A2.pdf")</f>
        <v>Melting_Curves/meltCurve_O43488_AKR7A2.pdf</v>
      </c>
    </row>
    <row r="1533" spans="1:28" x14ac:dyDescent="0.25">
      <c r="A1533" t="s">
        <v>1537</v>
      </c>
      <c r="B1533">
        <v>0.99999676499088797</v>
      </c>
      <c r="C1533">
        <v>0.86740054261438504</v>
      </c>
      <c r="D1533">
        <v>0.88549963925341502</v>
      </c>
      <c r="E1533">
        <v>0.78946146902464698</v>
      </c>
      <c r="F1533">
        <v>0.56535280075126804</v>
      </c>
      <c r="G1533">
        <v>0.245520799363178</v>
      </c>
      <c r="H1533">
        <v>0.105647870790223</v>
      </c>
      <c r="I1533">
        <v>0.14013032221837701</v>
      </c>
      <c r="J1533">
        <v>0.248119083732673</v>
      </c>
      <c r="K1533">
        <v>4.5246288624093599E-2</v>
      </c>
      <c r="L1533">
        <v>923.04916529018794</v>
      </c>
      <c r="M1533">
        <v>17.5185189719151</v>
      </c>
      <c r="N1533">
        <v>53.335905128112302</v>
      </c>
      <c r="O1533">
        <v>52.017732405702802</v>
      </c>
      <c r="P1533">
        <v>-7.6150854157503195E-2</v>
      </c>
      <c r="Q1533">
        <v>9.5591007866966504E-2</v>
      </c>
      <c r="R1533">
        <v>0.96145927022704902</v>
      </c>
      <c r="S1533" t="s">
        <v>8536</v>
      </c>
      <c r="T1533" t="s">
        <v>14004</v>
      </c>
      <c r="U1533" t="s">
        <v>14004</v>
      </c>
      <c r="V1533" t="s">
        <v>14004</v>
      </c>
      <c r="W1533" t="s">
        <v>15505</v>
      </c>
      <c r="X1533">
        <v>6</v>
      </c>
      <c r="Y1533" t="s">
        <v>22432</v>
      </c>
      <c r="Z1533" t="s">
        <v>29243</v>
      </c>
      <c r="AA1533">
        <v>0.4937141855324132</v>
      </c>
      <c r="AB1533" t="str">
        <f>HYPERLINK("Melting_Curves/meltCurve_O43502_RAD51C.pdf", "Melting_Curves/meltCurve_O43502_RAD51C.pdf")</f>
        <v>Melting_Curves/meltCurve_O43502_RAD51C.pdf</v>
      </c>
    </row>
    <row r="1534" spans="1:28" x14ac:dyDescent="0.25">
      <c r="A1534" t="s">
        <v>1538</v>
      </c>
      <c r="B1534">
        <v>0.99999676499088797</v>
      </c>
      <c r="C1534">
        <v>0.98459879748400803</v>
      </c>
      <c r="D1534">
        <v>0.95747712877124702</v>
      </c>
      <c r="E1534">
        <v>0.91428201931194197</v>
      </c>
      <c r="F1534">
        <v>0.86293196021278196</v>
      </c>
      <c r="G1534">
        <v>0.64364147975808605</v>
      </c>
      <c r="H1534">
        <v>0.40623271848383202</v>
      </c>
      <c r="I1534">
        <v>0.34086426162261102</v>
      </c>
      <c r="J1534">
        <v>0.26798340696865802</v>
      </c>
      <c r="K1534">
        <v>0.31494534652858902</v>
      </c>
      <c r="L1534">
        <v>1103.3044314526201</v>
      </c>
      <c r="M1534">
        <v>19.420894968234201</v>
      </c>
      <c r="N1534">
        <v>59.077844209836798</v>
      </c>
      <c r="O1534">
        <v>56.218124402760303</v>
      </c>
      <c r="P1534">
        <v>-6.3674899270460203E-2</v>
      </c>
      <c r="Q1534">
        <v>0.26274199852560598</v>
      </c>
      <c r="R1534">
        <v>0.99267743447130696</v>
      </c>
      <c r="S1534" t="s">
        <v>8537</v>
      </c>
      <c r="T1534" t="s">
        <v>14004</v>
      </c>
      <c r="U1534" t="s">
        <v>14004</v>
      </c>
      <c r="V1534" t="s">
        <v>14004</v>
      </c>
      <c r="W1534" t="s">
        <v>15506</v>
      </c>
      <c r="X1534">
        <v>5</v>
      </c>
      <c r="Y1534" t="s">
        <v>22433</v>
      </c>
      <c r="Z1534" t="s">
        <v>29244</v>
      </c>
      <c r="AA1534">
        <v>0.68531096381162215</v>
      </c>
      <c r="AB1534" t="str">
        <f>HYPERLINK("Melting_Curves/meltCurve_O43504_LAMTOR5.pdf", "Melting_Curves/meltCurve_O43504_LAMTOR5.pdf")</f>
        <v>Melting_Curves/meltCurve_O43504_LAMTOR5.pdf</v>
      </c>
    </row>
    <row r="1535" spans="1:28" x14ac:dyDescent="0.25">
      <c r="A1535" t="s">
        <v>1539</v>
      </c>
      <c r="B1535">
        <v>0.99999676499088797</v>
      </c>
      <c r="C1535">
        <v>0.92914924874937599</v>
      </c>
      <c r="D1535">
        <v>0.96813455842622398</v>
      </c>
      <c r="E1535">
        <v>0.95423728591505896</v>
      </c>
      <c r="F1535">
        <v>0.73330704428605897</v>
      </c>
      <c r="G1535">
        <v>0.32946141525900602</v>
      </c>
      <c r="H1535">
        <v>0.138707134231839</v>
      </c>
      <c r="I1535">
        <v>0.16810448880189099</v>
      </c>
      <c r="J1535">
        <v>0.14180305616237901</v>
      </c>
      <c r="K1535">
        <v>0.13921408669678001</v>
      </c>
      <c r="L1535">
        <v>1738.7640576497399</v>
      </c>
      <c r="M1535">
        <v>31.8947306246415</v>
      </c>
      <c r="N1535">
        <v>55.072477479525503</v>
      </c>
      <c r="O1535">
        <v>54.3027503190565</v>
      </c>
      <c r="P1535">
        <v>-0.12660219506991299</v>
      </c>
      <c r="Q1535">
        <v>0.137812162815237</v>
      </c>
      <c r="R1535">
        <v>0.99476121614609303</v>
      </c>
      <c r="S1535" t="s">
        <v>8538</v>
      </c>
      <c r="T1535" t="s">
        <v>14004</v>
      </c>
      <c r="U1535" t="s">
        <v>14004</v>
      </c>
      <c r="V1535" t="s">
        <v>14004</v>
      </c>
      <c r="W1535" t="s">
        <v>15507</v>
      </c>
      <c r="X1535">
        <v>8</v>
      </c>
      <c r="Y1535" t="s">
        <v>22434</v>
      </c>
      <c r="Z1535" t="s">
        <v>29245</v>
      </c>
      <c r="AA1535">
        <v>0.56004984964467885</v>
      </c>
      <c r="AB1535" t="str">
        <f>HYPERLINK("Melting_Curves/meltCurve_O43505_B3GNT1.pdf", "Melting_Curves/meltCurve_O43505_B3GNT1.pdf")</f>
        <v>Melting_Curves/meltCurve_O43505_B3GNT1.pdf</v>
      </c>
    </row>
    <row r="1536" spans="1:28" x14ac:dyDescent="0.25">
      <c r="A1536" t="s">
        <v>1540</v>
      </c>
      <c r="B1536">
        <v>0.99999676499088797</v>
      </c>
      <c r="C1536">
        <v>1.0441855453145801</v>
      </c>
      <c r="D1536">
        <v>1.0788571994310201</v>
      </c>
      <c r="E1536">
        <v>0.75491024424475395</v>
      </c>
      <c r="F1536">
        <v>0.47578897306418699</v>
      </c>
      <c r="G1536">
        <v>0.38103536653863401</v>
      </c>
      <c r="H1536">
        <v>0.24394703274913099</v>
      </c>
      <c r="I1536">
        <v>0</v>
      </c>
      <c r="J1536">
        <v>0</v>
      </c>
      <c r="K1536">
        <v>0</v>
      </c>
      <c r="L1536">
        <v>851.62975944170898</v>
      </c>
      <c r="M1536">
        <v>15.7761137640091</v>
      </c>
      <c r="N1536">
        <v>53.982227757064599</v>
      </c>
      <c r="O1536">
        <v>53.137187451406497</v>
      </c>
      <c r="P1536">
        <v>-7.4229657129803395E-2</v>
      </c>
      <c r="Q1536">
        <v>0</v>
      </c>
      <c r="R1536">
        <v>0.96905713283513395</v>
      </c>
      <c r="S1536" t="s">
        <v>8539</v>
      </c>
      <c r="T1536" t="s">
        <v>14004</v>
      </c>
      <c r="U1536" t="s">
        <v>14004</v>
      </c>
      <c r="V1536" t="s">
        <v>14004</v>
      </c>
      <c r="W1536" t="s">
        <v>15508</v>
      </c>
      <c r="X1536">
        <v>2</v>
      </c>
      <c r="Y1536" t="s">
        <v>22435</v>
      </c>
      <c r="Z1536" t="s">
        <v>29246</v>
      </c>
      <c r="AA1536">
        <v>0.48532958773963852</v>
      </c>
      <c r="AB1536" t="str">
        <f>HYPERLINK("Melting_Curves/meltCurve_O43513_MED7.pdf", "Melting_Curves/meltCurve_O43513_MED7.pdf")</f>
        <v>Melting_Curves/meltCurve_O43513_MED7.pdf</v>
      </c>
    </row>
    <row r="1537" spans="1:28" x14ac:dyDescent="0.25">
      <c r="A1537" t="s">
        <v>1541</v>
      </c>
      <c r="B1537">
        <v>0.99999676499088797</v>
      </c>
      <c r="C1537">
        <v>1.08965591727887</v>
      </c>
      <c r="D1537">
        <v>1.03029723063195</v>
      </c>
      <c r="E1537">
        <v>0.68681176546183198</v>
      </c>
      <c r="F1537">
        <v>0.67806874917606597</v>
      </c>
      <c r="G1537">
        <v>0.63369435137458696</v>
      </c>
      <c r="H1537">
        <v>0.33382886024081898</v>
      </c>
      <c r="I1537">
        <v>0.385331754321458</v>
      </c>
      <c r="J1537">
        <v>0.391568388794514</v>
      </c>
      <c r="K1537">
        <v>0.36413785552357902</v>
      </c>
      <c r="L1537">
        <v>772.11669704025405</v>
      </c>
      <c r="M1537">
        <v>14.555240438012</v>
      </c>
      <c r="N1537">
        <v>57.569226608800797</v>
      </c>
      <c r="O1537">
        <v>52.076173471530801</v>
      </c>
      <c r="P1537">
        <v>-4.6079765198295403E-2</v>
      </c>
      <c r="Q1537">
        <v>0.34061271480126398</v>
      </c>
      <c r="R1537">
        <v>0.92044770357969397</v>
      </c>
      <c r="S1537" t="s">
        <v>8540</v>
      </c>
      <c r="T1537" t="s">
        <v>14004</v>
      </c>
      <c r="U1537" t="s">
        <v>14004</v>
      </c>
      <c r="V1537" t="s">
        <v>14004</v>
      </c>
      <c r="W1537" t="s">
        <v>15509</v>
      </c>
      <c r="X1537">
        <v>7</v>
      </c>
      <c r="Y1537" t="s">
        <v>22436</v>
      </c>
      <c r="Z1537" t="s">
        <v>29247</v>
      </c>
      <c r="AA1537">
        <v>0.64214294951302564</v>
      </c>
      <c r="AB1537" t="str">
        <f>HYPERLINK("Melting_Curves/meltCurve_O43516_WIPF1.pdf", "Melting_Curves/meltCurve_O43516_WIPF1.pdf")</f>
        <v>Melting_Curves/meltCurve_O43516_WIPF1.pdf</v>
      </c>
    </row>
    <row r="1538" spans="1:28" x14ac:dyDescent="0.25">
      <c r="A1538" t="s">
        <v>1542</v>
      </c>
      <c r="B1538">
        <v>0.99999676499088797</v>
      </c>
      <c r="C1538">
        <v>0.96826936141642606</v>
      </c>
      <c r="D1538">
        <v>0.82583593340999895</v>
      </c>
      <c r="E1538">
        <v>0.55162009816062596</v>
      </c>
      <c r="F1538">
        <v>0.39953464115468301</v>
      </c>
      <c r="G1538">
        <v>0.27644724595571102</v>
      </c>
      <c r="H1538">
        <v>0.232672614363788</v>
      </c>
      <c r="I1538">
        <v>0.26810319995960602</v>
      </c>
      <c r="J1538">
        <v>0.33422212572037002</v>
      </c>
      <c r="K1538">
        <v>0.31142510956881803</v>
      </c>
      <c r="L1538">
        <v>1069.44835179343</v>
      </c>
      <c r="M1538">
        <v>22.0539172185164</v>
      </c>
      <c r="N1538">
        <v>50.380239893764603</v>
      </c>
      <c r="O1538">
        <v>48.099035616618998</v>
      </c>
      <c r="P1538">
        <v>-8.2397927005884705E-2</v>
      </c>
      <c r="Q1538">
        <v>0.281184962596363</v>
      </c>
      <c r="R1538">
        <v>0.98905139262392905</v>
      </c>
      <c r="S1538" t="s">
        <v>8541</v>
      </c>
      <c r="T1538" t="s">
        <v>14004</v>
      </c>
      <c r="U1538" t="s">
        <v>14004</v>
      </c>
      <c r="V1538" t="s">
        <v>14004</v>
      </c>
      <c r="W1538" t="s">
        <v>15510</v>
      </c>
      <c r="X1538">
        <v>4</v>
      </c>
      <c r="Y1538" t="s">
        <v>22437</v>
      </c>
      <c r="Z1538" t="s">
        <v>29248</v>
      </c>
      <c r="AA1538">
        <v>0.49292897194223823</v>
      </c>
      <c r="AB1538" t="str">
        <f>HYPERLINK("Melting_Curves/meltCurve_O43524_FOXO3.pdf", "Melting_Curves/meltCurve_O43524_FOXO3.pdf")</f>
        <v>Melting_Curves/meltCurve_O43524_FOXO3.pdf</v>
      </c>
    </row>
    <row r="1539" spans="1:28" x14ac:dyDescent="0.25">
      <c r="A1539" t="s">
        <v>1543</v>
      </c>
      <c r="B1539">
        <v>0.99999676499088797</v>
      </c>
      <c r="C1539">
        <v>1.1109532794232699</v>
      </c>
      <c r="D1539">
        <v>1.12587528598368</v>
      </c>
      <c r="E1539">
        <v>1.20715458976116</v>
      </c>
      <c r="F1539">
        <v>1.25984113485668</v>
      </c>
      <c r="G1539">
        <v>0.70394590990616701</v>
      </c>
      <c r="H1539">
        <v>0.39672249927660203</v>
      </c>
      <c r="I1539">
        <v>0.428727583537373</v>
      </c>
      <c r="J1539">
        <v>0.38319580411717402</v>
      </c>
      <c r="K1539">
        <v>0.57756665842667698</v>
      </c>
      <c r="L1539">
        <v>14192.051489622099</v>
      </c>
      <c r="M1539">
        <v>250</v>
      </c>
      <c r="N1539">
        <v>57.280519082979303</v>
      </c>
      <c r="O1539">
        <v>56.764573187156699</v>
      </c>
      <c r="P1539">
        <v>-0.60936650953948501</v>
      </c>
      <c r="Q1539">
        <v>0.44655312356062599</v>
      </c>
      <c r="R1539">
        <v>0.85854742433877895</v>
      </c>
      <c r="S1539" t="s">
        <v>8542</v>
      </c>
      <c r="T1539" t="s">
        <v>14004</v>
      </c>
      <c r="U1539" t="s">
        <v>14004</v>
      </c>
      <c r="V1539" t="s">
        <v>14004</v>
      </c>
      <c r="W1539" t="s">
        <v>15511</v>
      </c>
      <c r="X1539">
        <v>5</v>
      </c>
      <c r="Y1539" t="s">
        <v>22438</v>
      </c>
      <c r="Z1539" t="s">
        <v>29249</v>
      </c>
      <c r="AA1539">
        <v>0.75595196902913619</v>
      </c>
      <c r="AB1539" t="str">
        <f>HYPERLINK("Melting_Curves/meltCurve_O43542_XRCC3.pdf", "Melting_Curves/meltCurve_O43542_XRCC3.pdf")</f>
        <v>Melting_Curves/meltCurve_O43542_XRCC3.pdf</v>
      </c>
    </row>
    <row r="1540" spans="1:28" x14ac:dyDescent="0.25">
      <c r="A1540" t="s">
        <v>1544</v>
      </c>
      <c r="B1540">
        <v>0.99999676499088797</v>
      </c>
      <c r="C1540">
        <v>0.78246244333967396</v>
      </c>
      <c r="D1540">
        <v>0.46546739364049</v>
      </c>
      <c r="E1540">
        <v>0.20741400458809001</v>
      </c>
      <c r="F1540">
        <v>0.15237297281535001</v>
      </c>
      <c r="G1540">
        <v>9.5335141621457106E-2</v>
      </c>
      <c r="H1540">
        <v>5.4254954174739002E-2</v>
      </c>
      <c r="I1540">
        <v>4.1337149727953597E-2</v>
      </c>
      <c r="J1540">
        <v>4.04087474956938E-2</v>
      </c>
      <c r="K1540">
        <v>3.7714133147772902E-2</v>
      </c>
      <c r="L1540">
        <v>918.71276229652403</v>
      </c>
      <c r="M1540">
        <v>20.165200141433399</v>
      </c>
      <c r="N1540">
        <v>45.826178375395401</v>
      </c>
      <c r="O1540">
        <v>45.1183789219671</v>
      </c>
      <c r="P1540">
        <v>-0.105548727851834</v>
      </c>
      <c r="Q1540">
        <v>5.5395136587284198E-2</v>
      </c>
      <c r="R1540">
        <v>0.99356465905798397</v>
      </c>
      <c r="S1540" t="s">
        <v>8543</v>
      </c>
      <c r="T1540" t="s">
        <v>14004</v>
      </c>
      <c r="U1540" t="s">
        <v>14004</v>
      </c>
      <c r="V1540" t="s">
        <v>14004</v>
      </c>
      <c r="W1540" t="s">
        <v>15512</v>
      </c>
      <c r="X1540">
        <v>12</v>
      </c>
      <c r="Y1540" t="s">
        <v>21871</v>
      </c>
      <c r="Z1540" t="s">
        <v>29250</v>
      </c>
      <c r="AA1540">
        <v>0.24527513252218219</v>
      </c>
      <c r="AB1540" t="str">
        <f>HYPERLINK("Melting_Curves/meltCurve_O43566_RGS14.pdf", "Melting_Curves/meltCurve_O43566_RGS14.pdf")</f>
        <v>Melting_Curves/meltCurve_O43566_RGS14.pdf</v>
      </c>
    </row>
    <row r="1541" spans="1:28" x14ac:dyDescent="0.25">
      <c r="A1541" t="s">
        <v>1545</v>
      </c>
      <c r="B1541">
        <v>0.99999676499088797</v>
      </c>
      <c r="C1541">
        <v>0.85791292343582004</v>
      </c>
      <c r="D1541">
        <v>0.78867625296903499</v>
      </c>
      <c r="E1541">
        <v>0.71297182672024295</v>
      </c>
      <c r="F1541">
        <v>0.57965223119499498</v>
      </c>
      <c r="G1541">
        <v>0.47770342079009098</v>
      </c>
      <c r="H1541">
        <v>0.28546965414715297</v>
      </c>
      <c r="I1541">
        <v>0.38174077150633801</v>
      </c>
      <c r="J1541">
        <v>0.404392633304339</v>
      </c>
      <c r="K1541">
        <v>0.29608897339474299</v>
      </c>
      <c r="L1541">
        <v>508.97651054734001</v>
      </c>
      <c r="M1541">
        <v>10.017065528814401</v>
      </c>
      <c r="N1541">
        <v>55.251791413639999</v>
      </c>
      <c r="O1541">
        <v>48.910472917871203</v>
      </c>
      <c r="P1541">
        <v>-3.7062724385677502E-2</v>
      </c>
      <c r="Q1541">
        <v>0.276482788959176</v>
      </c>
      <c r="R1541">
        <v>0.95782310836940099</v>
      </c>
      <c r="S1541" t="s">
        <v>8544</v>
      </c>
      <c r="T1541" t="s">
        <v>14004</v>
      </c>
      <c r="U1541" t="s">
        <v>14004</v>
      </c>
      <c r="V1541" t="s">
        <v>14004</v>
      </c>
      <c r="W1541" t="s">
        <v>15513</v>
      </c>
      <c r="X1541">
        <v>3</v>
      </c>
      <c r="Y1541" t="s">
        <v>22439</v>
      </c>
      <c r="Z1541" t="s">
        <v>29251</v>
      </c>
      <c r="AA1541">
        <v>0.56773129765998231</v>
      </c>
      <c r="AB1541" t="str">
        <f>HYPERLINK("Melting_Curves/meltCurve_O43567_RNF13.pdf", "Melting_Curves/meltCurve_O43567_RNF13.pdf")</f>
        <v>Melting_Curves/meltCurve_O43567_RNF13.pdf</v>
      </c>
    </row>
    <row r="1542" spans="1:28" x14ac:dyDescent="0.25">
      <c r="A1542" t="s">
        <v>1546</v>
      </c>
      <c r="B1542">
        <v>0.99999676499088797</v>
      </c>
      <c r="C1542">
        <v>1.0774316091951901</v>
      </c>
      <c r="D1542">
        <v>1.06314626032596</v>
      </c>
      <c r="E1542">
        <v>1.0871773928983</v>
      </c>
      <c r="F1542">
        <v>1.0352330276326001</v>
      </c>
      <c r="G1542">
        <v>0.95292744711419597</v>
      </c>
      <c r="H1542">
        <v>0.43723032149288099</v>
      </c>
      <c r="I1542">
        <v>0.29808225969146301</v>
      </c>
      <c r="J1542">
        <v>0.17913861504271</v>
      </c>
      <c r="K1542">
        <v>0.14507195775259199</v>
      </c>
      <c r="L1542">
        <v>2578.8394019215202</v>
      </c>
      <c r="M1542">
        <v>43.064200853093801</v>
      </c>
      <c r="N1542">
        <v>60.520064850062703</v>
      </c>
      <c r="O1542">
        <v>59.7549009572407</v>
      </c>
      <c r="P1542">
        <v>-0.147360402848255</v>
      </c>
      <c r="Q1542">
        <v>0.182105553865819</v>
      </c>
      <c r="R1542">
        <v>0.98218862211800295</v>
      </c>
      <c r="S1542" t="s">
        <v>8545</v>
      </c>
      <c r="T1542" t="s">
        <v>14004</v>
      </c>
      <c r="U1542" t="s">
        <v>14004</v>
      </c>
      <c r="V1542" t="s">
        <v>14004</v>
      </c>
      <c r="W1542" t="s">
        <v>15514</v>
      </c>
      <c r="X1542">
        <v>16</v>
      </c>
      <c r="Y1542" t="s">
        <v>22440</v>
      </c>
      <c r="Z1542" t="s">
        <v>29252</v>
      </c>
      <c r="AA1542">
        <v>0.72700460962505853</v>
      </c>
      <c r="AB1542" t="str">
        <f>HYPERLINK("Melting_Curves/meltCurve_O43583_DENR.pdf", "Melting_Curves/meltCurve_O43583_DENR.pdf")</f>
        <v>Melting_Curves/meltCurve_O43583_DENR.pdf</v>
      </c>
    </row>
    <row r="1543" spans="1:28" x14ac:dyDescent="0.25">
      <c r="A1543" t="s">
        <v>1547</v>
      </c>
      <c r="B1543">
        <v>0.99999676499088797</v>
      </c>
      <c r="C1543">
        <v>0.97945704457164695</v>
      </c>
      <c r="D1543">
        <v>0.974531743415601</v>
      </c>
      <c r="E1543">
        <v>0.48576885184904001</v>
      </c>
      <c r="F1543">
        <v>0.22203551391288201</v>
      </c>
      <c r="G1543">
        <v>0.20014613893250499</v>
      </c>
      <c r="H1543">
        <v>8.7681461112726899E-2</v>
      </c>
      <c r="I1543">
        <v>9.3416236461875898E-2</v>
      </c>
      <c r="J1543">
        <v>0.21180292642434401</v>
      </c>
      <c r="K1543">
        <v>5.2632306871730102E-2</v>
      </c>
      <c r="L1543">
        <v>1782.4439615198401</v>
      </c>
      <c r="M1543">
        <v>36.214134303808599</v>
      </c>
      <c r="N1543">
        <v>49.640966214535297</v>
      </c>
      <c r="O1543">
        <v>49.070204548095198</v>
      </c>
      <c r="P1543">
        <v>-0.16008767158114201</v>
      </c>
      <c r="Q1543">
        <v>0.132326583346286</v>
      </c>
      <c r="R1543">
        <v>0.98378408764598002</v>
      </c>
      <c r="S1543" t="s">
        <v>8546</v>
      </c>
      <c r="T1543" t="s">
        <v>14004</v>
      </c>
      <c r="U1543" t="s">
        <v>14004</v>
      </c>
      <c r="V1543" t="s">
        <v>14004</v>
      </c>
      <c r="W1543" t="s">
        <v>15515</v>
      </c>
      <c r="X1543">
        <v>14</v>
      </c>
      <c r="Y1543" t="s">
        <v>22441</v>
      </c>
      <c r="Z1543" t="s">
        <v>29253</v>
      </c>
      <c r="AA1543">
        <v>0.4025926287262489</v>
      </c>
      <c r="AB1543" t="str">
        <f>HYPERLINK("Melting_Curves/meltCurve_O43592_XPOT.pdf", "Melting_Curves/meltCurve_O43592_XPOT.pdf")</f>
        <v>Melting_Curves/meltCurve_O43592_XPOT.pdf</v>
      </c>
    </row>
    <row r="1544" spans="1:28" x14ac:dyDescent="0.25">
      <c r="A1544" t="s">
        <v>1548</v>
      </c>
      <c r="B1544">
        <v>0.99999676499088797</v>
      </c>
      <c r="C1544">
        <v>1.0422890594106899</v>
      </c>
      <c r="D1544">
        <v>0.93917481918293599</v>
      </c>
      <c r="E1544">
        <v>0.82410960368139696</v>
      </c>
      <c r="F1544">
        <v>0.725893316534163</v>
      </c>
      <c r="G1544">
        <v>0.596935902821771</v>
      </c>
      <c r="H1544">
        <v>0.35389322775035298</v>
      </c>
      <c r="I1544">
        <v>0.34117313512113301</v>
      </c>
      <c r="J1544">
        <v>0.179357666692391</v>
      </c>
      <c r="K1544">
        <v>0.146539883293131</v>
      </c>
      <c r="L1544">
        <v>601.93285135682402</v>
      </c>
      <c r="M1544">
        <v>10.3227246288124</v>
      </c>
      <c r="N1544">
        <v>58.311428331988402</v>
      </c>
      <c r="O1544">
        <v>56.250312000317301</v>
      </c>
      <c r="P1544">
        <v>-4.5898278924237798E-2</v>
      </c>
      <c r="Q1544">
        <v>0</v>
      </c>
      <c r="R1544">
        <v>0.98837168360156402</v>
      </c>
      <c r="S1544" t="s">
        <v>8547</v>
      </c>
      <c r="T1544" t="s">
        <v>14004</v>
      </c>
      <c r="U1544" t="s">
        <v>14004</v>
      </c>
      <c r="V1544" t="s">
        <v>14004</v>
      </c>
      <c r="W1544" t="s">
        <v>15516</v>
      </c>
      <c r="X1544">
        <v>10</v>
      </c>
      <c r="Y1544" t="s">
        <v>22442</v>
      </c>
      <c r="Z1544" t="s">
        <v>29254</v>
      </c>
      <c r="AA1544">
        <v>0.61906588219607983</v>
      </c>
      <c r="AB1544" t="str">
        <f>HYPERLINK("Melting_Curves/meltCurve_O43598_DNPH1.pdf", "Melting_Curves/meltCurve_O43598_DNPH1.pdf")</f>
        <v>Melting_Curves/meltCurve_O43598_DNPH1.pdf</v>
      </c>
    </row>
    <row r="1545" spans="1:28" x14ac:dyDescent="0.25">
      <c r="A1545" t="s">
        <v>1549</v>
      </c>
      <c r="B1545">
        <v>0.99999676499088797</v>
      </c>
      <c r="C1545">
        <v>0.91407421163131297</v>
      </c>
      <c r="D1545">
        <v>0.88399088101875301</v>
      </c>
      <c r="E1545">
        <v>0.58514226126520297</v>
      </c>
      <c r="F1545">
        <v>0.28442904243125</v>
      </c>
      <c r="G1545">
        <v>0.18270045029113199</v>
      </c>
      <c r="H1545">
        <v>9.3579488386037399E-2</v>
      </c>
      <c r="I1545">
        <v>0.10869259665256301</v>
      </c>
      <c r="J1545">
        <v>0.100448380723487</v>
      </c>
      <c r="K1545">
        <v>9.2215894099637999E-2</v>
      </c>
      <c r="L1545">
        <v>1002.83210638292</v>
      </c>
      <c r="M1545">
        <v>20.058328261787299</v>
      </c>
      <c r="N1545">
        <v>50.493088315945599</v>
      </c>
      <c r="O1545">
        <v>49.5068245133292</v>
      </c>
      <c r="P1545">
        <v>-9.2215050978324595E-2</v>
      </c>
      <c r="Q1545">
        <v>8.9629527615576604E-2</v>
      </c>
      <c r="R1545">
        <v>0.99662515798268803</v>
      </c>
      <c r="S1545" t="s">
        <v>8548</v>
      </c>
      <c r="T1545" t="s">
        <v>14004</v>
      </c>
      <c r="U1545" t="s">
        <v>14004</v>
      </c>
      <c r="V1545" t="s">
        <v>14004</v>
      </c>
      <c r="W1545" t="s">
        <v>15517</v>
      </c>
      <c r="X1545">
        <v>25</v>
      </c>
      <c r="Y1545" t="s">
        <v>22443</v>
      </c>
      <c r="Z1545" t="s">
        <v>29255</v>
      </c>
      <c r="AA1545">
        <v>0.40556073983996888</v>
      </c>
      <c r="AB1545" t="str">
        <f>HYPERLINK("Melting_Curves/meltCurve_O43615_TIMM44.pdf", "Melting_Curves/meltCurve_O43615_TIMM44.pdf")</f>
        <v>Melting_Curves/meltCurve_O43615_TIMM44.pdf</v>
      </c>
    </row>
    <row r="1546" spans="1:28" x14ac:dyDescent="0.25">
      <c r="A1546" t="s">
        <v>1550</v>
      </c>
      <c r="B1546">
        <v>0.99999676499088797</v>
      </c>
      <c r="C1546">
        <v>0.97159236931496595</v>
      </c>
      <c r="D1546">
        <v>1.0181962415997901</v>
      </c>
      <c r="E1546">
        <v>1.1064241827060299</v>
      </c>
      <c r="F1546">
        <v>0.87726492188301897</v>
      </c>
      <c r="G1546">
        <v>0.44416410652737998</v>
      </c>
      <c r="H1546">
        <v>0.16593178764045899</v>
      </c>
      <c r="I1546">
        <v>0.121578832492459</v>
      </c>
      <c r="J1546">
        <v>0.135229157217162</v>
      </c>
      <c r="K1546">
        <v>0.110679153508647</v>
      </c>
      <c r="L1546">
        <v>2128.5463461518798</v>
      </c>
      <c r="M1546">
        <v>38.031704577962202</v>
      </c>
      <c r="N1546">
        <v>56.378362099562104</v>
      </c>
      <c r="O1546">
        <v>55.8136182313417</v>
      </c>
      <c r="P1546">
        <v>-0.149741717630959</v>
      </c>
      <c r="Q1546">
        <v>0.12098545376644999</v>
      </c>
      <c r="R1546">
        <v>0.99147114762183397</v>
      </c>
      <c r="S1546" t="s">
        <v>8549</v>
      </c>
      <c r="T1546" t="s">
        <v>14004</v>
      </c>
      <c r="U1546" t="s">
        <v>14004</v>
      </c>
      <c r="V1546" t="s">
        <v>14004</v>
      </c>
      <c r="W1546" t="s">
        <v>15518</v>
      </c>
      <c r="X1546">
        <v>8</v>
      </c>
      <c r="Y1546" t="s">
        <v>22444</v>
      </c>
      <c r="Z1546" t="s">
        <v>29256</v>
      </c>
      <c r="AA1546">
        <v>0.59257726561506818</v>
      </c>
      <c r="AB1546" t="str">
        <f>HYPERLINK("Melting_Curves/meltCurve_O43617_TRAPPC3.pdf", "Melting_Curves/meltCurve_O43617_TRAPPC3.pdf")</f>
        <v>Melting_Curves/meltCurve_O43617_TRAPPC3.pdf</v>
      </c>
    </row>
    <row r="1547" spans="1:28" x14ac:dyDescent="0.25">
      <c r="A1547" t="s">
        <v>1551</v>
      </c>
      <c r="B1547">
        <v>0.99999676499088797</v>
      </c>
      <c r="C1547">
        <v>1.0082077324754299</v>
      </c>
      <c r="D1547">
        <v>0.87086197429469903</v>
      </c>
      <c r="E1547">
        <v>0.61978979016649305</v>
      </c>
      <c r="F1547">
        <v>0.44737565522700701</v>
      </c>
      <c r="G1547">
        <v>0.29890092614716102</v>
      </c>
      <c r="H1547">
        <v>9.32657783934316E-2</v>
      </c>
      <c r="I1547">
        <v>9.5485758084044206E-2</v>
      </c>
      <c r="J1547">
        <v>8.4213185874398105E-2</v>
      </c>
      <c r="K1547">
        <v>7.2136001676343001E-2</v>
      </c>
      <c r="L1547">
        <v>745.41163960660697</v>
      </c>
      <c r="M1547">
        <v>14.3939895965155</v>
      </c>
      <c r="N1547">
        <v>52.1038286994416</v>
      </c>
      <c r="O1547">
        <v>50.817535622846101</v>
      </c>
      <c r="P1547">
        <v>-6.7846814455828297E-2</v>
      </c>
      <c r="Q1547">
        <v>4.1989387588522997E-2</v>
      </c>
      <c r="R1547">
        <v>0.99223426061253595</v>
      </c>
      <c r="S1547" t="s">
        <v>8550</v>
      </c>
      <c r="T1547" t="s">
        <v>14004</v>
      </c>
      <c r="U1547" t="s">
        <v>14004</v>
      </c>
      <c r="V1547" t="s">
        <v>14004</v>
      </c>
      <c r="W1547" t="s">
        <v>15519</v>
      </c>
      <c r="X1547">
        <v>10</v>
      </c>
      <c r="Y1547" t="s">
        <v>22445</v>
      </c>
      <c r="Z1547" t="s">
        <v>29257</v>
      </c>
      <c r="AA1547">
        <v>0.44135499704177189</v>
      </c>
      <c r="AB1547" t="str">
        <f>HYPERLINK("Melting_Curves/meltCurve_O43633_CHMP2A.pdf", "Melting_Curves/meltCurve_O43633_CHMP2A.pdf")</f>
        <v>Melting_Curves/meltCurve_O43633_CHMP2A.pdf</v>
      </c>
    </row>
    <row r="1548" spans="1:28" x14ac:dyDescent="0.25">
      <c r="A1548" t="s">
        <v>1552</v>
      </c>
      <c r="B1548">
        <v>0.99999676499088797</v>
      </c>
      <c r="C1548">
        <v>0.90739504679441596</v>
      </c>
      <c r="D1548">
        <v>0.72624083936010897</v>
      </c>
      <c r="E1548">
        <v>0.31748821249939801</v>
      </c>
      <c r="F1548">
        <v>0.22967312776059001</v>
      </c>
      <c r="G1548">
        <v>0.151428119279165</v>
      </c>
      <c r="H1548">
        <v>8.0748152451361493E-2</v>
      </c>
      <c r="I1548">
        <v>6.84705242794032E-2</v>
      </c>
      <c r="J1548">
        <v>8.9842318912740596E-2</v>
      </c>
      <c r="K1548">
        <v>6.6841017552877899E-2</v>
      </c>
      <c r="L1548">
        <v>976.33947334622997</v>
      </c>
      <c r="M1548">
        <v>20.492897781867601</v>
      </c>
      <c r="N1548">
        <v>48.076490396479798</v>
      </c>
      <c r="O1548">
        <v>47.196115724325097</v>
      </c>
      <c r="P1548">
        <v>-9.9394459681447694E-2</v>
      </c>
      <c r="Q1548">
        <v>8.4386548528222804E-2</v>
      </c>
      <c r="R1548">
        <v>0.99354402990359503</v>
      </c>
      <c r="S1548" t="s">
        <v>8551</v>
      </c>
      <c r="T1548" t="s">
        <v>14004</v>
      </c>
      <c r="U1548" t="s">
        <v>14004</v>
      </c>
      <c r="V1548" t="s">
        <v>14004</v>
      </c>
      <c r="W1548" t="s">
        <v>15520</v>
      </c>
      <c r="X1548">
        <v>9</v>
      </c>
      <c r="Y1548" t="s">
        <v>22446</v>
      </c>
      <c r="Z1548" t="s">
        <v>29258</v>
      </c>
      <c r="AA1548">
        <v>0.3301002267502765</v>
      </c>
      <c r="AB1548" t="str">
        <f>HYPERLINK("Melting_Curves/meltCurve_O43639_NCK2.pdf", "Melting_Curves/meltCurve_O43639_NCK2.pdf")</f>
        <v>Melting_Curves/meltCurve_O43639_NCK2.pdf</v>
      </c>
    </row>
    <row r="1549" spans="1:28" x14ac:dyDescent="0.25">
      <c r="A1549" t="s">
        <v>1553</v>
      </c>
      <c r="B1549">
        <v>0.99999676499088797</v>
      </c>
      <c r="C1549">
        <v>1.0139298475959899</v>
      </c>
      <c r="D1549">
        <v>0.93748118546881198</v>
      </c>
      <c r="E1549">
        <v>0.76050692748190796</v>
      </c>
      <c r="F1549">
        <v>0.447469974448027</v>
      </c>
      <c r="G1549">
        <v>0.241315778634448</v>
      </c>
      <c r="H1549">
        <v>0.114592850822299</v>
      </c>
      <c r="I1549">
        <v>9.3343048002888701E-2</v>
      </c>
      <c r="J1549">
        <v>9.5069752745142094E-2</v>
      </c>
      <c r="K1549">
        <v>8.9988618978277299E-2</v>
      </c>
      <c r="L1549">
        <v>1054.2804162398199</v>
      </c>
      <c r="M1549">
        <v>20.2056500122697</v>
      </c>
      <c r="N1549">
        <v>52.6251871668685</v>
      </c>
      <c r="O1549">
        <v>51.6745113101559</v>
      </c>
      <c r="P1549">
        <v>-9.0038257669296004E-2</v>
      </c>
      <c r="Q1549">
        <v>7.8963416634691294E-2</v>
      </c>
      <c r="R1549">
        <v>0.99920310042702098</v>
      </c>
      <c r="S1549" t="s">
        <v>8552</v>
      </c>
      <c r="T1549" t="s">
        <v>14004</v>
      </c>
      <c r="U1549" t="s">
        <v>14004</v>
      </c>
      <c r="V1549" t="s">
        <v>14004</v>
      </c>
      <c r="W1549" t="s">
        <v>15521</v>
      </c>
      <c r="X1549">
        <v>9</v>
      </c>
      <c r="Y1549" t="s">
        <v>22447</v>
      </c>
      <c r="Z1549" t="s">
        <v>29259</v>
      </c>
      <c r="AA1549">
        <v>0.46533357591663382</v>
      </c>
      <c r="AB1549" t="str">
        <f>HYPERLINK("Melting_Curves/meltCurve_O43665_2_RGS10.pdf", "Melting_Curves/meltCurve_O43665_2_RGS10.pdf")</f>
        <v>Melting_Curves/meltCurve_O43665_2_RGS10.pdf</v>
      </c>
    </row>
    <row r="1550" spans="1:28" x14ac:dyDescent="0.25">
      <c r="A1550" t="s">
        <v>1554</v>
      </c>
      <c r="B1550">
        <v>0.99999676499088797</v>
      </c>
      <c r="C1550">
        <v>0.90985138460533199</v>
      </c>
      <c r="D1550">
        <v>0.88659438685983005</v>
      </c>
      <c r="E1550">
        <v>0.94965667265390996</v>
      </c>
      <c r="F1550">
        <v>0.79147949808101503</v>
      </c>
      <c r="G1550">
        <v>0.59917986821584701</v>
      </c>
      <c r="H1550">
        <v>0.328943787219314</v>
      </c>
      <c r="I1550">
        <v>0.180284276484422</v>
      </c>
      <c r="J1550">
        <v>0.13266834531628199</v>
      </c>
      <c r="K1550">
        <v>0.109256913814053</v>
      </c>
      <c r="L1550">
        <v>875.86253844964494</v>
      </c>
      <c r="M1550">
        <v>15.1565367679753</v>
      </c>
      <c r="N1550">
        <v>57.987217356271699</v>
      </c>
      <c r="O1550">
        <v>56.809807178019199</v>
      </c>
      <c r="P1550">
        <v>-6.5010949016844205E-2</v>
      </c>
      <c r="Q1550">
        <v>2.53970811774933E-2</v>
      </c>
      <c r="R1550">
        <v>0.98482091349296497</v>
      </c>
      <c r="S1550" t="s">
        <v>8553</v>
      </c>
      <c r="T1550" t="s">
        <v>14004</v>
      </c>
      <c r="U1550" t="s">
        <v>14004</v>
      </c>
      <c r="V1550" t="s">
        <v>14004</v>
      </c>
      <c r="W1550" t="s">
        <v>15522</v>
      </c>
      <c r="X1550">
        <v>5</v>
      </c>
      <c r="Y1550" t="s">
        <v>22448</v>
      </c>
      <c r="Z1550" t="s">
        <v>29260</v>
      </c>
      <c r="AA1550">
        <v>0.61685001637084247</v>
      </c>
      <c r="AB1550" t="str">
        <f>HYPERLINK("Melting_Curves/meltCurve_O43674_NDUFB5.pdf", "Melting_Curves/meltCurve_O43674_NDUFB5.pdf")</f>
        <v>Melting_Curves/meltCurve_O43674_NDUFB5.pdf</v>
      </c>
    </row>
    <row r="1551" spans="1:28" x14ac:dyDescent="0.25">
      <c r="A1551" t="s">
        <v>1555</v>
      </c>
      <c r="B1551">
        <v>0.99999676499088797</v>
      </c>
      <c r="C1551">
        <v>0.96107793199729996</v>
      </c>
      <c r="D1551">
        <v>1.0867693589023499</v>
      </c>
      <c r="E1551">
        <v>1.1744025664603801</v>
      </c>
      <c r="F1551">
        <v>1.1279676501625999</v>
      </c>
      <c r="G1551">
        <v>1.1617634099624301</v>
      </c>
      <c r="H1551">
        <v>0.91242198761177695</v>
      </c>
      <c r="I1551">
        <v>1.04634373178272</v>
      </c>
      <c r="J1551">
        <v>1.00286257149177</v>
      </c>
      <c r="K1551">
        <v>1.08237730366195</v>
      </c>
      <c r="L1551">
        <v>11125.870259757199</v>
      </c>
      <c r="M1551">
        <v>250</v>
      </c>
      <c r="O1551">
        <v>44.500631238345697</v>
      </c>
      <c r="P1551">
        <v>0.10445498013745801</v>
      </c>
      <c r="Q1551">
        <v>1.07437300387904</v>
      </c>
      <c r="R1551">
        <v>0.19684016292067399</v>
      </c>
      <c r="S1551" t="s">
        <v>8554</v>
      </c>
      <c r="T1551" t="s">
        <v>14004</v>
      </c>
      <c r="U1551" t="s">
        <v>14004</v>
      </c>
      <c r="V1551" t="s">
        <v>14004</v>
      </c>
      <c r="W1551" t="s">
        <v>15523</v>
      </c>
      <c r="X1551">
        <v>5</v>
      </c>
      <c r="Y1551" t="s">
        <v>22449</v>
      </c>
      <c r="Z1551" t="s">
        <v>29261</v>
      </c>
      <c r="AA1551">
        <v>1.063202614704359</v>
      </c>
      <c r="AB1551" t="str">
        <f>HYPERLINK("Melting_Curves/meltCurve_O43676_NDUFB3.pdf", "Melting_Curves/meltCurve_O43676_NDUFB3.pdf")</f>
        <v>Melting_Curves/meltCurve_O43676_NDUFB3.pdf</v>
      </c>
    </row>
    <row r="1552" spans="1:28" x14ac:dyDescent="0.25">
      <c r="A1552" t="s">
        <v>1556</v>
      </c>
      <c r="B1552">
        <v>0.99999676499088797</v>
      </c>
      <c r="C1552">
        <v>1.3633415838132601</v>
      </c>
      <c r="D1552">
        <v>1.1708279172774301</v>
      </c>
      <c r="E1552">
        <v>0.97744748432537998</v>
      </c>
      <c r="F1552">
        <v>0.36946798474561798</v>
      </c>
      <c r="G1552">
        <v>0.42107176679417802</v>
      </c>
      <c r="H1552">
        <v>0.194874834134768</v>
      </c>
      <c r="I1552">
        <v>0.205718045216219</v>
      </c>
      <c r="J1552">
        <v>0.190290957512561</v>
      </c>
      <c r="K1552">
        <v>0.20992970102876901</v>
      </c>
      <c r="L1552">
        <v>3346.4692000638402</v>
      </c>
      <c r="M1552">
        <v>64.425767731363294</v>
      </c>
      <c r="N1552">
        <v>52.483031640418197</v>
      </c>
      <c r="O1552">
        <v>51.893047059693203</v>
      </c>
      <c r="P1552">
        <v>-0.23516710351720699</v>
      </c>
      <c r="Q1552">
        <v>0.24231969965488501</v>
      </c>
      <c r="R1552">
        <v>0.89677940629043895</v>
      </c>
      <c r="S1552" t="s">
        <v>8555</v>
      </c>
      <c r="T1552" t="s">
        <v>14004</v>
      </c>
      <c r="U1552" t="s">
        <v>14004</v>
      </c>
      <c r="V1552" t="s">
        <v>14004</v>
      </c>
      <c r="W1552" t="s">
        <v>15524</v>
      </c>
      <c r="X1552">
        <v>4</v>
      </c>
      <c r="Y1552" t="s">
        <v>22450</v>
      </c>
      <c r="Z1552" t="s">
        <v>29262</v>
      </c>
      <c r="AA1552">
        <v>0.54499612262193609</v>
      </c>
      <c r="AB1552" t="str">
        <f>HYPERLINK("Melting_Curves/meltCurve_O43678_NDUFA2.pdf", "Melting_Curves/meltCurve_O43678_NDUFA2.pdf")</f>
        <v>Melting_Curves/meltCurve_O43678_NDUFA2.pdf</v>
      </c>
    </row>
    <row r="1553" spans="1:28" x14ac:dyDescent="0.25">
      <c r="A1553" t="s">
        <v>1557</v>
      </c>
      <c r="B1553">
        <v>0.99999676499088797</v>
      </c>
      <c r="C1553">
        <v>1.0036603164103399</v>
      </c>
      <c r="D1553">
        <v>0.96297287286474598</v>
      </c>
      <c r="E1553">
        <v>1.0492795418551799</v>
      </c>
      <c r="F1553">
        <v>1.04917371942267</v>
      </c>
      <c r="G1553">
        <v>0.95869961488479505</v>
      </c>
      <c r="H1553">
        <v>0.48167302456428102</v>
      </c>
      <c r="I1553">
        <v>0.216319149827538</v>
      </c>
      <c r="J1553">
        <v>0.18951797279076599</v>
      </c>
      <c r="K1553">
        <v>0.12609930874060199</v>
      </c>
      <c r="L1553">
        <v>2812.9811374318301</v>
      </c>
      <c r="M1553">
        <v>46.7094271698451</v>
      </c>
      <c r="N1553">
        <v>60.711874953458597</v>
      </c>
      <c r="O1553">
        <v>60.112912496143601</v>
      </c>
      <c r="P1553">
        <v>-0.16380848621309699</v>
      </c>
      <c r="Q1553">
        <v>0.15674463018025001</v>
      </c>
      <c r="R1553">
        <v>0.99425115616736404</v>
      </c>
      <c r="S1553" t="s">
        <v>8556</v>
      </c>
      <c r="T1553" t="s">
        <v>14004</v>
      </c>
      <c r="U1553" t="s">
        <v>14004</v>
      </c>
      <c r="V1553" t="s">
        <v>14004</v>
      </c>
      <c r="W1553" t="s">
        <v>15525</v>
      </c>
      <c r="X1553">
        <v>12</v>
      </c>
      <c r="Y1553" t="s">
        <v>22451</v>
      </c>
      <c r="Z1553" t="s">
        <v>29263</v>
      </c>
      <c r="AA1553">
        <v>0.72767589347598405</v>
      </c>
      <c r="AB1553" t="str">
        <f>HYPERLINK("Melting_Curves/meltCurve_O43681_ASNA1.pdf", "Melting_Curves/meltCurve_O43681_ASNA1.pdf")</f>
        <v>Melting_Curves/meltCurve_O43681_ASNA1.pdf</v>
      </c>
    </row>
    <row r="1554" spans="1:28" x14ac:dyDescent="0.25">
      <c r="A1554" t="s">
        <v>1558</v>
      </c>
      <c r="B1554">
        <v>0.99999676499088797</v>
      </c>
      <c r="C1554">
        <v>1.0772579448599799</v>
      </c>
      <c r="D1554">
        <v>1.0345945210095</v>
      </c>
      <c r="E1554">
        <v>0.97705225664356898</v>
      </c>
      <c r="F1554">
        <v>0.71706689569732895</v>
      </c>
      <c r="G1554">
        <v>0.52211683391307095</v>
      </c>
      <c r="H1554">
        <v>0.184903299078234</v>
      </c>
      <c r="I1554">
        <v>9.1002540120732903E-2</v>
      </c>
      <c r="J1554">
        <v>8.6180356595983595E-2</v>
      </c>
      <c r="K1554">
        <v>7.06540667084746E-2</v>
      </c>
      <c r="L1554">
        <v>1166.91016484275</v>
      </c>
      <c r="M1554">
        <v>20.751054529980699</v>
      </c>
      <c r="N1554">
        <v>56.473331677425001</v>
      </c>
      <c r="O1554">
        <v>55.719354414328002</v>
      </c>
      <c r="P1554">
        <v>-8.9185161751608205E-2</v>
      </c>
      <c r="Q1554">
        <v>4.2130647931485403E-2</v>
      </c>
      <c r="R1554">
        <v>0.99030288504934205</v>
      </c>
      <c r="S1554" t="s">
        <v>8557</v>
      </c>
      <c r="T1554" t="s">
        <v>14004</v>
      </c>
      <c r="U1554" t="s">
        <v>14004</v>
      </c>
      <c r="V1554" t="s">
        <v>14004</v>
      </c>
      <c r="W1554" t="s">
        <v>15526</v>
      </c>
      <c r="X1554">
        <v>26</v>
      </c>
      <c r="Y1554" t="s">
        <v>22452</v>
      </c>
      <c r="Z1554" t="s">
        <v>29264</v>
      </c>
      <c r="AA1554">
        <v>0.57207999303457224</v>
      </c>
      <c r="AB1554" t="str">
        <f>HYPERLINK("Melting_Curves/meltCurve_O43684_BUB3.pdf", "Melting_Curves/meltCurve_O43684_BUB3.pdf")</f>
        <v>Melting_Curves/meltCurve_O43684_BUB3.pdf</v>
      </c>
    </row>
    <row r="1555" spans="1:28" x14ac:dyDescent="0.25">
      <c r="A1555" t="s">
        <v>1559</v>
      </c>
      <c r="B1555">
        <v>0.99999676499088797</v>
      </c>
      <c r="C1555">
        <v>1.01110245787397</v>
      </c>
      <c r="D1555">
        <v>1.0253130979673899</v>
      </c>
      <c r="E1555">
        <v>0.89728559423384802</v>
      </c>
      <c r="F1555">
        <v>0.85538651170775104</v>
      </c>
      <c r="G1555">
        <v>0.60776937838173695</v>
      </c>
      <c r="H1555">
        <v>0.13272231478652499</v>
      </c>
      <c r="I1555">
        <v>9.8783575878492805E-2</v>
      </c>
      <c r="J1555">
        <v>8.0458250566652706E-2</v>
      </c>
      <c r="K1555">
        <v>6.5802621385372198E-2</v>
      </c>
      <c r="L1555">
        <v>1618.4837843134801</v>
      </c>
      <c r="M1555">
        <v>28.350030245493802</v>
      </c>
      <c r="N1555">
        <v>57.301171120028897</v>
      </c>
      <c r="O1555">
        <v>56.807525031374396</v>
      </c>
      <c r="P1555">
        <v>-0.11855671552365001</v>
      </c>
      <c r="Q1555">
        <v>4.9756413844156501E-2</v>
      </c>
      <c r="R1555">
        <v>0.99003176591155395</v>
      </c>
      <c r="S1555" t="s">
        <v>8558</v>
      </c>
      <c r="T1555" t="s">
        <v>14004</v>
      </c>
      <c r="U1555" t="s">
        <v>14004</v>
      </c>
      <c r="V1555" t="s">
        <v>14004</v>
      </c>
      <c r="W1555" t="s">
        <v>15527</v>
      </c>
      <c r="X1555">
        <v>67</v>
      </c>
      <c r="Y1555" t="s">
        <v>22453</v>
      </c>
      <c r="Z1555" t="s">
        <v>29265</v>
      </c>
      <c r="AA1555">
        <v>0.59802731440702817</v>
      </c>
      <c r="AB1555" t="str">
        <f>HYPERLINK("Melting_Curves/meltCurve_O43707_ACTN4.pdf", "Melting_Curves/meltCurve_O43707_ACTN4.pdf")</f>
        <v>Melting_Curves/meltCurve_O43707_ACTN4.pdf</v>
      </c>
    </row>
    <row r="1556" spans="1:28" x14ac:dyDescent="0.25">
      <c r="A1556" t="s">
        <v>1560</v>
      </c>
      <c r="B1556">
        <v>0.99999676499088797</v>
      </c>
      <c r="C1556">
        <v>1.0284013836797901</v>
      </c>
      <c r="D1556">
        <v>1.23906495042252</v>
      </c>
      <c r="E1556">
        <v>1.48401324597073</v>
      </c>
      <c r="F1556">
        <v>1.0922869897930101</v>
      </c>
      <c r="G1556">
        <v>0.22873872032367301</v>
      </c>
      <c r="H1556">
        <v>5.5123140389110203E-2</v>
      </c>
      <c r="I1556">
        <v>1.9832979740629999E-2</v>
      </c>
      <c r="J1556">
        <v>2.22294907013189E-2</v>
      </c>
      <c r="K1556">
        <v>2.4637100607962099E-2</v>
      </c>
      <c r="L1556">
        <v>14122.8468098666</v>
      </c>
      <c r="M1556">
        <v>250</v>
      </c>
      <c r="N1556">
        <v>56.505586084916501</v>
      </c>
      <c r="O1556">
        <v>56.487772279618</v>
      </c>
      <c r="P1556">
        <v>-1.07273697157736</v>
      </c>
      <c r="Q1556">
        <v>3.0455654834884299E-2</v>
      </c>
      <c r="R1556">
        <v>0.90599991158112503</v>
      </c>
      <c r="S1556" t="s">
        <v>8559</v>
      </c>
      <c r="T1556" t="s">
        <v>14004</v>
      </c>
      <c r="U1556" t="s">
        <v>14004</v>
      </c>
      <c r="V1556" t="s">
        <v>14004</v>
      </c>
      <c r="W1556" t="s">
        <v>14879</v>
      </c>
      <c r="X1556">
        <v>5</v>
      </c>
      <c r="Y1556" t="s">
        <v>21815</v>
      </c>
      <c r="Z1556" t="s">
        <v>29266</v>
      </c>
      <c r="AA1556">
        <v>0.563522818319251</v>
      </c>
      <c r="AB1556" t="str">
        <f>HYPERLINK("Melting_Curves/meltCurve_O43708_GSTZ1.pdf", "Melting_Curves/meltCurve_O43708_GSTZ1.pdf")</f>
        <v>Melting_Curves/meltCurve_O43708_GSTZ1.pdf</v>
      </c>
    </row>
    <row r="1557" spans="1:28" x14ac:dyDescent="0.25">
      <c r="A1557" t="s">
        <v>1561</v>
      </c>
      <c r="B1557">
        <v>0.99999676499088797</v>
      </c>
      <c r="C1557">
        <v>0.97447861912637002</v>
      </c>
      <c r="D1557">
        <v>0.996478375582598</v>
      </c>
      <c r="E1557">
        <v>0.92867831160658698</v>
      </c>
      <c r="F1557">
        <v>0.56577089507340605</v>
      </c>
      <c r="G1557">
        <v>0.394472196196401</v>
      </c>
      <c r="H1557">
        <v>0.109456582237311</v>
      </c>
      <c r="I1557">
        <v>8.7727548159189594E-2</v>
      </c>
      <c r="J1557">
        <v>8.4857505304722095E-2</v>
      </c>
      <c r="K1557">
        <v>6.6549184660306196E-2</v>
      </c>
      <c r="L1557">
        <v>1115.2727515126401</v>
      </c>
      <c r="M1557">
        <v>20.525485970098099</v>
      </c>
      <c r="N1557">
        <v>54.6391781229514</v>
      </c>
      <c r="O1557">
        <v>53.828123144828297</v>
      </c>
      <c r="P1557">
        <v>-9.0200675172854197E-2</v>
      </c>
      <c r="Q1557">
        <v>5.3822121548021497E-2</v>
      </c>
      <c r="R1557">
        <v>0.99188325362598695</v>
      </c>
      <c r="S1557" t="s">
        <v>8560</v>
      </c>
      <c r="T1557" t="s">
        <v>14004</v>
      </c>
      <c r="U1557" t="s">
        <v>14004</v>
      </c>
      <c r="V1557" t="s">
        <v>14004</v>
      </c>
      <c r="W1557" t="s">
        <v>15528</v>
      </c>
      <c r="X1557">
        <v>7</v>
      </c>
      <c r="Y1557" t="s">
        <v>22454</v>
      </c>
      <c r="Z1557" t="s">
        <v>29267</v>
      </c>
      <c r="AA1557">
        <v>0.51823825837064152</v>
      </c>
      <c r="AB1557" t="str">
        <f>HYPERLINK("Melting_Curves/meltCurve_O43709_WBSCR22.pdf", "Melting_Curves/meltCurve_O43709_WBSCR22.pdf")</f>
        <v>Melting_Curves/meltCurve_O43709_WBSCR22.pdf</v>
      </c>
    </row>
    <row r="1558" spans="1:28" x14ac:dyDescent="0.25">
      <c r="A1558" t="s">
        <v>1562</v>
      </c>
      <c r="B1558">
        <v>0.99999676499088797</v>
      </c>
      <c r="C1558">
        <v>0.77690676789817104</v>
      </c>
      <c r="D1558">
        <v>0.82172568581681604</v>
      </c>
      <c r="E1558">
        <v>0.74872860388468698</v>
      </c>
      <c r="F1558">
        <v>0.67968278639525603</v>
      </c>
      <c r="G1558">
        <v>0.67714884064852499</v>
      </c>
      <c r="H1558">
        <v>0.49442502393822801</v>
      </c>
      <c r="I1558">
        <v>0.52558359670995702</v>
      </c>
      <c r="J1558">
        <v>0.487610569505316</v>
      </c>
      <c r="K1558">
        <v>0.62652021462604401</v>
      </c>
      <c r="L1558">
        <v>396.57204659641502</v>
      </c>
      <c r="M1558">
        <v>8.1162437603193993</v>
      </c>
      <c r="O1558">
        <v>46.163656333107397</v>
      </c>
      <c r="P1558">
        <v>-2.2375653164274902E-2</v>
      </c>
      <c r="Q1558">
        <v>0.49147101559629502</v>
      </c>
      <c r="R1558">
        <v>0.83254645432428198</v>
      </c>
      <c r="S1558" t="s">
        <v>8561</v>
      </c>
      <c r="T1558" t="s">
        <v>14004</v>
      </c>
      <c r="U1558" t="s">
        <v>14004</v>
      </c>
      <c r="V1558" t="s">
        <v>14004</v>
      </c>
      <c r="W1558" t="s">
        <v>15529</v>
      </c>
      <c r="X1558">
        <v>9</v>
      </c>
      <c r="Y1558" t="s">
        <v>22455</v>
      </c>
      <c r="Z1558" t="s">
        <v>29268</v>
      </c>
      <c r="AA1558">
        <v>0.6751100596636509</v>
      </c>
      <c r="AB1558" t="str">
        <f>HYPERLINK("Melting_Curves/meltCurve_O43715_TRIAP1.pdf", "Melting_Curves/meltCurve_O43715_TRIAP1.pdf")</f>
        <v>Melting_Curves/meltCurve_O43715_TRIAP1.pdf</v>
      </c>
    </row>
    <row r="1559" spans="1:28" x14ac:dyDescent="0.25">
      <c r="A1559" t="s">
        <v>1563</v>
      </c>
      <c r="B1559">
        <v>0.99999676499088797</v>
      </c>
      <c r="C1559">
        <v>0.79800991407506505</v>
      </c>
      <c r="D1559">
        <v>0.49841257533625</v>
      </c>
      <c r="E1559">
        <v>0.23365070207431399</v>
      </c>
      <c r="F1559">
        <v>0.18881688381793499</v>
      </c>
      <c r="G1559">
        <v>0.137756992394614</v>
      </c>
      <c r="H1559">
        <v>8.0728377178388405E-2</v>
      </c>
      <c r="I1559">
        <v>6.9247421748631896E-2</v>
      </c>
      <c r="J1559">
        <v>6.2662896988098502E-2</v>
      </c>
      <c r="K1559">
        <v>7.0862959990146801E-2</v>
      </c>
      <c r="L1559">
        <v>905.48086632202796</v>
      </c>
      <c r="M1559">
        <v>19.812582196063101</v>
      </c>
      <c r="N1559">
        <v>46.134449872460301</v>
      </c>
      <c r="O1559">
        <v>45.244363769867597</v>
      </c>
      <c r="P1559">
        <v>-0.100207837605721</v>
      </c>
      <c r="Q1559">
        <v>8.4685385617982695E-2</v>
      </c>
      <c r="R1559">
        <v>0.99219897825701997</v>
      </c>
      <c r="S1559" t="s">
        <v>8562</v>
      </c>
      <c r="T1559" t="s">
        <v>14004</v>
      </c>
      <c r="U1559" t="s">
        <v>14004</v>
      </c>
      <c r="V1559" t="s">
        <v>14004</v>
      </c>
      <c r="W1559" t="s">
        <v>15530</v>
      </c>
      <c r="X1559">
        <v>36</v>
      </c>
      <c r="Y1559" t="s">
        <v>22456</v>
      </c>
      <c r="Z1559" t="s">
        <v>29269</v>
      </c>
      <c r="AA1559">
        <v>0.27345794970010462</v>
      </c>
      <c r="AB1559" t="str">
        <f>HYPERLINK("Melting_Curves/meltCurve_O43719_HTATSF1.pdf", "Melting_Curves/meltCurve_O43719_HTATSF1.pdf")</f>
        <v>Melting_Curves/meltCurve_O43719_HTATSF1.pdf</v>
      </c>
    </row>
    <row r="1560" spans="1:28" x14ac:dyDescent="0.25">
      <c r="A1560" t="s">
        <v>1564</v>
      </c>
      <c r="B1560">
        <v>0.99999676499088797</v>
      </c>
      <c r="C1560">
        <v>0.95433642793023898</v>
      </c>
      <c r="D1560">
        <v>0.96023804039053995</v>
      </c>
      <c r="E1560">
        <v>0.951243286232483</v>
      </c>
      <c r="F1560">
        <v>0.76778337594615498</v>
      </c>
      <c r="G1560">
        <v>0.47577923440398201</v>
      </c>
      <c r="H1560">
        <v>0.27565026906062901</v>
      </c>
      <c r="I1560">
        <v>0.242812711365406</v>
      </c>
      <c r="J1560">
        <v>0.232092040288121</v>
      </c>
      <c r="K1560">
        <v>0.1802134232067</v>
      </c>
      <c r="L1560">
        <v>1263.3476633742</v>
      </c>
      <c r="M1560">
        <v>22.8660934812712</v>
      </c>
      <c r="N1560">
        <v>56.488271489518397</v>
      </c>
      <c r="O1560">
        <v>54.832457727879998</v>
      </c>
      <c r="P1560">
        <v>-8.3703963539710602E-2</v>
      </c>
      <c r="Q1560">
        <v>0.19713327563689201</v>
      </c>
      <c r="R1560">
        <v>0.99620123836097696</v>
      </c>
      <c r="S1560" t="s">
        <v>8563</v>
      </c>
      <c r="T1560" t="s">
        <v>14004</v>
      </c>
      <c r="U1560" t="s">
        <v>14004</v>
      </c>
      <c r="V1560" t="s">
        <v>14004</v>
      </c>
      <c r="W1560" t="s">
        <v>15531</v>
      </c>
      <c r="X1560">
        <v>5</v>
      </c>
      <c r="Y1560" t="s">
        <v>22457</v>
      </c>
      <c r="Z1560" t="s">
        <v>29270</v>
      </c>
      <c r="AA1560">
        <v>0.61387524637844804</v>
      </c>
      <c r="AB1560" t="str">
        <f>HYPERLINK("Melting_Curves/meltCurve_O43736_2_ITM2A.pdf", "Melting_Curves/meltCurve_O43736_2_ITM2A.pdf")</f>
        <v>Melting_Curves/meltCurve_O43736_2_ITM2A.pdf</v>
      </c>
    </row>
    <row r="1561" spans="1:28" x14ac:dyDescent="0.25">
      <c r="A1561" t="s">
        <v>1565</v>
      </c>
      <c r="B1561">
        <v>0.99999676499088797</v>
      </c>
      <c r="C1561">
        <v>0.94617098884673201</v>
      </c>
      <c r="D1561">
        <v>0.99873646319182396</v>
      </c>
      <c r="E1561">
        <v>0.975381437132953</v>
      </c>
      <c r="F1561">
        <v>0.63404171681086297</v>
      </c>
      <c r="G1561">
        <v>0.39519447873943098</v>
      </c>
      <c r="H1561">
        <v>0.18325742655836799</v>
      </c>
      <c r="I1561">
        <v>0.16790827503533901</v>
      </c>
      <c r="J1561">
        <v>0.14958363137595801</v>
      </c>
      <c r="K1561">
        <v>0.16063509119229899</v>
      </c>
      <c r="L1561">
        <v>1354.95497443054</v>
      </c>
      <c r="M1561">
        <v>24.983518711124901</v>
      </c>
      <c r="N1561">
        <v>55.015746672749103</v>
      </c>
      <c r="O1561">
        <v>53.8900644686966</v>
      </c>
      <c r="P1561">
        <v>-9.8583651879820405E-2</v>
      </c>
      <c r="Q1561">
        <v>0.149422018182163</v>
      </c>
      <c r="R1561">
        <v>0.993330518353159</v>
      </c>
      <c r="S1561" t="s">
        <v>8564</v>
      </c>
      <c r="T1561" t="s">
        <v>14004</v>
      </c>
      <c r="U1561" t="s">
        <v>14004</v>
      </c>
      <c r="V1561" t="s">
        <v>14004</v>
      </c>
      <c r="W1561" t="s">
        <v>15532</v>
      </c>
      <c r="X1561">
        <v>4</v>
      </c>
      <c r="Y1561" t="s">
        <v>22458</v>
      </c>
      <c r="Z1561" t="s">
        <v>29271</v>
      </c>
      <c r="AA1561">
        <v>0.56087587948571083</v>
      </c>
      <c r="AB1561" t="str">
        <f>HYPERLINK("Melting_Curves/meltCurve_O43752_STX6.pdf", "Melting_Curves/meltCurve_O43752_STX6.pdf")</f>
        <v>Melting_Curves/meltCurve_O43752_STX6.pdf</v>
      </c>
    </row>
    <row r="1562" spans="1:28" x14ac:dyDescent="0.25">
      <c r="A1562" t="s">
        <v>1566</v>
      </c>
      <c r="B1562">
        <v>0.99999676499088797</v>
      </c>
      <c r="C1562">
        <v>0.98260637686452401</v>
      </c>
      <c r="D1562">
        <v>0.99864171172070404</v>
      </c>
      <c r="E1562">
        <v>0.76499164107509099</v>
      </c>
      <c r="F1562">
        <v>0.64491561194957303</v>
      </c>
      <c r="G1562">
        <v>0.64608120080183895</v>
      </c>
      <c r="H1562">
        <v>0.43072444054119202</v>
      </c>
      <c r="I1562">
        <v>0.45955180030153098</v>
      </c>
      <c r="J1562">
        <v>0.40368263845747898</v>
      </c>
      <c r="K1562">
        <v>0.58490711196865897</v>
      </c>
      <c r="L1562">
        <v>915.09874286034005</v>
      </c>
      <c r="M1562">
        <v>17.848021595589199</v>
      </c>
      <c r="N1562">
        <v>61.252657306629899</v>
      </c>
      <c r="O1562">
        <v>50.641043655418102</v>
      </c>
      <c r="P1562">
        <v>-4.6461648967851897E-2</v>
      </c>
      <c r="Q1562">
        <v>0.47271525304933298</v>
      </c>
      <c r="R1562">
        <v>0.92328426469948299</v>
      </c>
      <c r="S1562" t="s">
        <v>8565</v>
      </c>
      <c r="T1562" t="s">
        <v>14004</v>
      </c>
      <c r="U1562" t="s">
        <v>14004</v>
      </c>
      <c r="V1562" t="s">
        <v>14004</v>
      </c>
      <c r="W1562" t="s">
        <v>15533</v>
      </c>
      <c r="X1562">
        <v>7</v>
      </c>
      <c r="Y1562" t="s">
        <v>22459</v>
      </c>
      <c r="Z1562" t="s">
        <v>29272</v>
      </c>
      <c r="AA1562">
        <v>0.67981905143412902</v>
      </c>
      <c r="AB1562" t="str">
        <f>HYPERLINK("Melting_Curves/meltCurve_O43760_SYNGR2.pdf", "Melting_Curves/meltCurve_O43760_SYNGR2.pdf")</f>
        <v>Melting_Curves/meltCurve_O43760_SYNGR2.pdf</v>
      </c>
    </row>
    <row r="1563" spans="1:28" x14ac:dyDescent="0.25">
      <c r="A1563" t="s">
        <v>1567</v>
      </c>
      <c r="B1563">
        <v>0.99999676499088797</v>
      </c>
      <c r="C1563">
        <v>1.04751333207954</v>
      </c>
      <c r="D1563">
        <v>0.93639772586547398</v>
      </c>
      <c r="E1563">
        <v>0.56541220086468502</v>
      </c>
      <c r="F1563">
        <v>0.24998789135399099</v>
      </c>
      <c r="G1563">
        <v>0.17832915397045301</v>
      </c>
      <c r="H1563">
        <v>9.7318353674211794E-2</v>
      </c>
      <c r="I1563">
        <v>8.2076802774880497E-2</v>
      </c>
      <c r="J1563">
        <v>7.09190906306605E-2</v>
      </c>
      <c r="K1563">
        <v>7.6417883467695097E-2</v>
      </c>
      <c r="L1563">
        <v>1300.4825291638399</v>
      </c>
      <c r="M1563">
        <v>26.029875422200199</v>
      </c>
      <c r="N1563">
        <v>50.3440339231854</v>
      </c>
      <c r="O1563">
        <v>49.6690704783556</v>
      </c>
      <c r="P1563">
        <v>-0.119252679213829</v>
      </c>
      <c r="Q1563">
        <v>8.9799428208524101E-2</v>
      </c>
      <c r="R1563">
        <v>0.99490568376015398</v>
      </c>
      <c r="S1563" t="s">
        <v>8566</v>
      </c>
      <c r="T1563" t="s">
        <v>14004</v>
      </c>
      <c r="U1563" t="s">
        <v>14004</v>
      </c>
      <c r="V1563" t="s">
        <v>14004</v>
      </c>
      <c r="W1563" t="s">
        <v>15534</v>
      </c>
      <c r="X1563">
        <v>18</v>
      </c>
      <c r="Y1563" t="s">
        <v>22460</v>
      </c>
      <c r="Z1563" t="s">
        <v>29273</v>
      </c>
      <c r="AA1563">
        <v>0.39951756563310509</v>
      </c>
      <c r="AB1563" t="str">
        <f>HYPERLINK("Melting_Curves/meltCurve_O43765_SGTA.pdf", "Melting_Curves/meltCurve_O43765_SGTA.pdf")</f>
        <v>Melting_Curves/meltCurve_O43765_SGTA.pdf</v>
      </c>
    </row>
    <row r="1564" spans="1:28" x14ac:dyDescent="0.25">
      <c r="A1564" t="s">
        <v>1568</v>
      </c>
      <c r="B1564">
        <v>0.99999676499088797</v>
      </c>
      <c r="C1564">
        <v>0.99879905935145596</v>
      </c>
      <c r="D1564">
        <v>0.85269415931796999</v>
      </c>
      <c r="E1564">
        <v>0.71036137751187001</v>
      </c>
      <c r="F1564">
        <v>0.57443590405118405</v>
      </c>
      <c r="G1564">
        <v>0.47704070733864301</v>
      </c>
      <c r="H1564">
        <v>0.22859153025727399</v>
      </c>
      <c r="I1564">
        <v>0.12593385606777999</v>
      </c>
      <c r="J1564">
        <v>6.9927313780972902E-2</v>
      </c>
      <c r="K1564">
        <v>4.8416856194899799E-2</v>
      </c>
      <c r="L1564">
        <v>621.18392143285701</v>
      </c>
      <c r="M1564">
        <v>11.386086787212999</v>
      </c>
      <c r="N1564">
        <v>54.556401370770502</v>
      </c>
      <c r="O1564">
        <v>52.9548562799745</v>
      </c>
      <c r="P1564">
        <v>-5.3769618338610499E-2</v>
      </c>
      <c r="Q1564">
        <v>0</v>
      </c>
      <c r="R1564">
        <v>0.98700161194258396</v>
      </c>
      <c r="S1564" t="s">
        <v>8567</v>
      </c>
      <c r="T1564" t="s">
        <v>14004</v>
      </c>
      <c r="U1564" t="s">
        <v>14004</v>
      </c>
      <c r="V1564" t="s">
        <v>14004</v>
      </c>
      <c r="W1564" t="s">
        <v>15535</v>
      </c>
      <c r="X1564">
        <v>5</v>
      </c>
      <c r="Y1564" t="s">
        <v>22461</v>
      </c>
      <c r="Z1564" t="s">
        <v>29274</v>
      </c>
      <c r="AA1564">
        <v>0.51089585751413957</v>
      </c>
      <c r="AB1564" t="str">
        <f>HYPERLINK("Melting_Curves/meltCurve_O43766_LIAS.pdf", "Melting_Curves/meltCurve_O43766_LIAS.pdf")</f>
        <v>Melting_Curves/meltCurve_O43766_LIAS.pdf</v>
      </c>
    </row>
    <row r="1565" spans="1:28" x14ac:dyDescent="0.25">
      <c r="A1565" t="s">
        <v>1569</v>
      </c>
      <c r="B1565">
        <v>0.99999676499088797</v>
      </c>
      <c r="C1565">
        <v>1.0370631079445001</v>
      </c>
      <c r="D1565">
        <v>0.99016382604100905</v>
      </c>
      <c r="E1565">
        <v>0.90554257168500796</v>
      </c>
      <c r="F1565">
        <v>0.77548847836261803</v>
      </c>
      <c r="G1565">
        <v>0.74525413650000505</v>
      </c>
      <c r="H1565">
        <v>0.51828415863205102</v>
      </c>
      <c r="I1565">
        <v>0.64835977991706695</v>
      </c>
      <c r="J1565">
        <v>0.67053127488736697</v>
      </c>
      <c r="K1565">
        <v>0.61929166187825901</v>
      </c>
      <c r="L1565">
        <v>1123.3631985161101</v>
      </c>
      <c r="M1565">
        <v>21.366042784894201</v>
      </c>
      <c r="O1565">
        <v>52.122961276472402</v>
      </c>
      <c r="P1565">
        <v>-3.9138748047007801E-2</v>
      </c>
      <c r="Q1565">
        <v>0.61808999048179103</v>
      </c>
      <c r="R1565">
        <v>0.92274510739808102</v>
      </c>
      <c r="S1565" t="s">
        <v>8568</v>
      </c>
      <c r="T1565" t="s">
        <v>14004</v>
      </c>
      <c r="U1565" t="s">
        <v>14004</v>
      </c>
      <c r="V1565" t="s">
        <v>14004</v>
      </c>
      <c r="W1565" t="s">
        <v>15536</v>
      </c>
      <c r="X1565">
        <v>14</v>
      </c>
      <c r="Y1565" t="s">
        <v>22462</v>
      </c>
      <c r="Z1565" t="s">
        <v>29275</v>
      </c>
      <c r="AA1565">
        <v>0.7828872494697604</v>
      </c>
      <c r="AB1565" t="str">
        <f>HYPERLINK("Melting_Curves/meltCurve_O43768_2_ENSA.pdf", "Melting_Curves/meltCurve_O43768_2_ENSA.pdf")</f>
        <v>Melting_Curves/meltCurve_O43768_2_ENSA.pdf</v>
      </c>
    </row>
    <row r="1566" spans="1:28" x14ac:dyDescent="0.25">
      <c r="A1566" t="s">
        <v>1570</v>
      </c>
      <c r="B1566">
        <v>0.99999676499088797</v>
      </c>
      <c r="C1566">
        <v>0.90633360340402502</v>
      </c>
      <c r="D1566">
        <v>1.0557840359869599</v>
      </c>
      <c r="E1566">
        <v>1.1898026432633499</v>
      </c>
      <c r="F1566">
        <v>1.1012389876141699</v>
      </c>
      <c r="G1566">
        <v>0.96096771949632698</v>
      </c>
      <c r="H1566">
        <v>0.47890266822016597</v>
      </c>
      <c r="I1566">
        <v>0.183367164555399</v>
      </c>
      <c r="J1566">
        <v>0.11698674117114299</v>
      </c>
      <c r="K1566">
        <v>9.8855930489402097E-2</v>
      </c>
      <c r="L1566">
        <v>2824.8069820118999</v>
      </c>
      <c r="M1566">
        <v>46.777175982174001</v>
      </c>
      <c r="N1566">
        <v>60.707040834133501</v>
      </c>
      <c r="O1566">
        <v>60.278516203420899</v>
      </c>
      <c r="P1566">
        <v>-0.17289618160177</v>
      </c>
      <c r="Q1566">
        <v>0.108803524196444</v>
      </c>
      <c r="R1566">
        <v>0.96622528975153998</v>
      </c>
      <c r="S1566" t="s">
        <v>8569</v>
      </c>
      <c r="T1566" t="s">
        <v>14004</v>
      </c>
      <c r="U1566" t="s">
        <v>14004</v>
      </c>
      <c r="V1566" t="s">
        <v>14004</v>
      </c>
      <c r="W1566" t="s">
        <v>15537</v>
      </c>
      <c r="X1566">
        <v>8</v>
      </c>
      <c r="Y1566" t="s">
        <v>22463</v>
      </c>
      <c r="Z1566" t="s">
        <v>29276</v>
      </c>
      <c r="AA1566">
        <v>0.717104115642337</v>
      </c>
      <c r="AB1566" t="str">
        <f>HYPERLINK("Melting_Curves/meltCurve_O43772_SLC25A20.pdf", "Melting_Curves/meltCurve_O43772_SLC25A20.pdf")</f>
        <v>Melting_Curves/meltCurve_O43772_SLC25A20.pdf</v>
      </c>
    </row>
    <row r="1567" spans="1:28" x14ac:dyDescent="0.25">
      <c r="A1567" t="s">
        <v>1571</v>
      </c>
      <c r="B1567">
        <v>0.99999676499088797</v>
      </c>
      <c r="C1567">
        <v>1.0336498586163301</v>
      </c>
      <c r="D1567">
        <v>0.98078530154368104</v>
      </c>
      <c r="E1567">
        <v>1.0066878571914699</v>
      </c>
      <c r="F1567">
        <v>0.83834549355589305</v>
      </c>
      <c r="G1567">
        <v>0.73449952341591196</v>
      </c>
      <c r="H1567">
        <v>0.12696881698558499</v>
      </c>
      <c r="I1567">
        <v>0.112449979427917</v>
      </c>
      <c r="J1567">
        <v>0.10205697727307</v>
      </c>
      <c r="K1567">
        <v>8.4530203127263698E-2</v>
      </c>
      <c r="L1567">
        <v>2686.9241294796898</v>
      </c>
      <c r="M1567">
        <v>46.5432528944444</v>
      </c>
      <c r="N1567">
        <v>57.964605377341002</v>
      </c>
      <c r="O1567">
        <v>57.623346166308501</v>
      </c>
      <c r="P1567">
        <v>-0.18456777473542799</v>
      </c>
      <c r="Q1567">
        <v>8.5977015475342006E-2</v>
      </c>
      <c r="R1567">
        <v>0.98530632304000798</v>
      </c>
      <c r="S1567" t="s">
        <v>8570</v>
      </c>
      <c r="T1567" t="s">
        <v>14004</v>
      </c>
      <c r="U1567" t="s">
        <v>14004</v>
      </c>
      <c r="V1567" t="s">
        <v>14004</v>
      </c>
      <c r="W1567" t="s">
        <v>15244</v>
      </c>
      <c r="X1567">
        <v>34</v>
      </c>
      <c r="Y1567" t="s">
        <v>22175</v>
      </c>
      <c r="Z1567" t="s">
        <v>29277</v>
      </c>
      <c r="AA1567">
        <v>0.62882455210049348</v>
      </c>
      <c r="AB1567" t="str">
        <f>HYPERLINK("Melting_Curves/meltCurve_O43776_NARS.pdf", "Melting_Curves/meltCurve_O43776_NARS.pdf")</f>
        <v>Melting_Curves/meltCurve_O43776_NARS.pdf</v>
      </c>
    </row>
    <row r="1568" spans="1:28" x14ac:dyDescent="0.25">
      <c r="A1568" t="s">
        <v>1572</v>
      </c>
      <c r="B1568">
        <v>0.99999676499088797</v>
      </c>
      <c r="C1568">
        <v>1.0418375412265899</v>
      </c>
      <c r="D1568">
        <v>0.94259751951831905</v>
      </c>
      <c r="E1568">
        <v>0.782759048131349</v>
      </c>
      <c r="F1568">
        <v>0.54524036400679399</v>
      </c>
      <c r="G1568">
        <v>0.43136440959431199</v>
      </c>
      <c r="H1568">
        <v>0.25326931204188002</v>
      </c>
      <c r="I1568">
        <v>0.342864611288272</v>
      </c>
      <c r="J1568">
        <v>0.37270874795817099</v>
      </c>
      <c r="K1568">
        <v>0.39484794205158402</v>
      </c>
      <c r="L1568">
        <v>1196.4388059829801</v>
      </c>
      <c r="M1568">
        <v>23.364064254829099</v>
      </c>
      <c r="N1568">
        <v>53.872597122365697</v>
      </c>
      <c r="O1568">
        <v>50.837773297236602</v>
      </c>
      <c r="P1568">
        <v>-7.5541096448144898E-2</v>
      </c>
      <c r="Q1568">
        <v>0.34253310838141399</v>
      </c>
      <c r="R1568">
        <v>0.97787795522307697</v>
      </c>
      <c r="S1568" t="s">
        <v>8571</v>
      </c>
      <c r="T1568" t="s">
        <v>14004</v>
      </c>
      <c r="U1568" t="s">
        <v>14004</v>
      </c>
      <c r="V1568" t="s">
        <v>14004</v>
      </c>
      <c r="W1568" t="s">
        <v>15538</v>
      </c>
      <c r="X1568">
        <v>8</v>
      </c>
      <c r="Y1568" t="s">
        <v>22464</v>
      </c>
      <c r="Z1568" t="s">
        <v>29278</v>
      </c>
      <c r="AA1568">
        <v>0.59496524645409032</v>
      </c>
      <c r="AB1568" t="str">
        <f>HYPERLINK("Melting_Curves/meltCurve_O43805_SSNA1.pdf", "Melting_Curves/meltCurve_O43805_SSNA1.pdf")</f>
        <v>Melting_Curves/meltCurve_O43805_SSNA1.pdf</v>
      </c>
    </row>
    <row r="1569" spans="1:28" x14ac:dyDescent="0.25">
      <c r="A1569" t="s">
        <v>1573</v>
      </c>
      <c r="B1569">
        <v>0.99999676499088797</v>
      </c>
      <c r="C1569">
        <v>0.94882904552400205</v>
      </c>
      <c r="D1569">
        <v>0.98791959831126097</v>
      </c>
      <c r="E1569">
        <v>1.1700181938645899</v>
      </c>
      <c r="F1569">
        <v>1.0142381015782</v>
      </c>
      <c r="G1569">
        <v>0.53287266724349602</v>
      </c>
      <c r="H1569">
        <v>0.102401307874925</v>
      </c>
      <c r="I1569">
        <v>8.9866365006475199E-2</v>
      </c>
      <c r="J1569">
        <v>8.0413229097658398E-2</v>
      </c>
      <c r="K1569">
        <v>5.47107487230322E-2</v>
      </c>
      <c r="L1569">
        <v>4590.05537762723</v>
      </c>
      <c r="M1569">
        <v>80.840419271822995</v>
      </c>
      <c r="N1569">
        <v>56.903026755912599</v>
      </c>
      <c r="O1569">
        <v>56.744495400965903</v>
      </c>
      <c r="P1569">
        <v>-0.327436248378284</v>
      </c>
      <c r="Q1569">
        <v>8.0647897864793802E-2</v>
      </c>
      <c r="R1569">
        <v>0.983536396245138</v>
      </c>
      <c r="S1569" t="s">
        <v>8572</v>
      </c>
      <c r="T1569" t="s">
        <v>14004</v>
      </c>
      <c r="U1569" t="s">
        <v>14004</v>
      </c>
      <c r="V1569" t="s">
        <v>14004</v>
      </c>
      <c r="W1569" t="s">
        <v>15539</v>
      </c>
      <c r="X1569">
        <v>12</v>
      </c>
      <c r="Y1569" t="s">
        <v>22465</v>
      </c>
      <c r="Z1569" t="s">
        <v>29279</v>
      </c>
      <c r="AA1569">
        <v>0.59572584024169362</v>
      </c>
      <c r="AB1569" t="str">
        <f>HYPERLINK("Melting_Curves/meltCurve_O43809_NUDT21.pdf", "Melting_Curves/meltCurve_O43809_NUDT21.pdf")</f>
        <v>Melting_Curves/meltCurve_O43809_NUDT21.pdf</v>
      </c>
    </row>
    <row r="1570" spans="1:28" x14ac:dyDescent="0.25">
      <c r="A1570" t="s">
        <v>1574</v>
      </c>
      <c r="B1570">
        <v>0.99999676499088797</v>
      </c>
      <c r="C1570">
        <v>1.0655515082509599</v>
      </c>
      <c r="D1570">
        <v>1.0222547200648899</v>
      </c>
      <c r="E1570">
        <v>0.92511874640055602</v>
      </c>
      <c r="F1570">
        <v>0.83842793590225495</v>
      </c>
      <c r="G1570">
        <v>0.73025111823909405</v>
      </c>
      <c r="H1570">
        <v>0.38228108131933403</v>
      </c>
      <c r="I1570">
        <v>0.16210462760081501</v>
      </c>
      <c r="J1570">
        <v>9.9688588885037399E-2</v>
      </c>
      <c r="K1570">
        <v>7.1705830915891194E-2</v>
      </c>
      <c r="L1570">
        <v>1090.2146383624899</v>
      </c>
      <c r="M1570">
        <v>18.427012610714801</v>
      </c>
      <c r="N1570">
        <v>59.163938685223897</v>
      </c>
      <c r="O1570">
        <v>58.480360712374001</v>
      </c>
      <c r="P1570">
        <v>-7.8777905972085394E-2</v>
      </c>
      <c r="Q1570">
        <v>0</v>
      </c>
      <c r="R1570">
        <v>0.99082280711776105</v>
      </c>
      <c r="S1570" t="s">
        <v>8573</v>
      </c>
      <c r="T1570" t="s">
        <v>14004</v>
      </c>
      <c r="U1570" t="s">
        <v>14004</v>
      </c>
      <c r="V1570" t="s">
        <v>14004</v>
      </c>
      <c r="W1570" t="s">
        <v>15540</v>
      </c>
      <c r="X1570">
        <v>18</v>
      </c>
      <c r="Y1570" t="s">
        <v>22466</v>
      </c>
      <c r="Z1570" t="s">
        <v>29280</v>
      </c>
      <c r="AA1570">
        <v>0.64898139889688933</v>
      </c>
      <c r="AB1570" t="str">
        <f>HYPERLINK("Melting_Curves/meltCurve_O43813_LANCL1.pdf", "Melting_Curves/meltCurve_O43813_LANCL1.pdf")</f>
        <v>Melting_Curves/meltCurve_O43813_LANCL1.pdf</v>
      </c>
    </row>
    <row r="1571" spans="1:28" x14ac:dyDescent="0.25">
      <c r="A1571" t="s">
        <v>1575</v>
      </c>
      <c r="B1571">
        <v>0.99999676499088797</v>
      </c>
      <c r="C1571">
        <v>1.1303711448667899</v>
      </c>
      <c r="D1571">
        <v>1.2328925321754101</v>
      </c>
      <c r="E1571">
        <v>1.2711574769578899</v>
      </c>
      <c r="F1571">
        <v>1.1384717631847301</v>
      </c>
      <c r="G1571">
        <v>0.48650546149975998</v>
      </c>
      <c r="H1571">
        <v>0.15701009189221601</v>
      </c>
      <c r="I1571">
        <v>0.136661817825805</v>
      </c>
      <c r="J1571">
        <v>0.124393423243801</v>
      </c>
      <c r="K1571">
        <v>0.10906859864205699</v>
      </c>
      <c r="L1571">
        <v>14178.989407042</v>
      </c>
      <c r="M1571">
        <v>250</v>
      </c>
      <c r="N1571">
        <v>56.785470906969401</v>
      </c>
      <c r="O1571">
        <v>56.712332708077803</v>
      </c>
      <c r="P1571">
        <v>-0.95682076772909797</v>
      </c>
      <c r="Q1571">
        <v>0.13178346666246099</v>
      </c>
      <c r="R1571">
        <v>0.93150581492713602</v>
      </c>
      <c r="S1571" t="s">
        <v>8574</v>
      </c>
      <c r="T1571" t="s">
        <v>14004</v>
      </c>
      <c r="U1571" t="s">
        <v>14004</v>
      </c>
      <c r="V1571" t="s">
        <v>14004</v>
      </c>
      <c r="W1571" t="s">
        <v>15541</v>
      </c>
      <c r="X1571">
        <v>14</v>
      </c>
      <c r="Y1571" t="s">
        <v>22467</v>
      </c>
      <c r="Z1571" t="s">
        <v>29281</v>
      </c>
      <c r="AA1571">
        <v>0.61563891124746273</v>
      </c>
      <c r="AB1571" t="str">
        <f>HYPERLINK("Melting_Curves/meltCurve_O43815_STRN.pdf", "Melting_Curves/meltCurve_O43815_STRN.pdf")</f>
        <v>Melting_Curves/meltCurve_O43815_STRN.pdf</v>
      </c>
    </row>
    <row r="1572" spans="1:28" x14ac:dyDescent="0.25">
      <c r="A1572" t="s">
        <v>1576</v>
      </c>
      <c r="B1572">
        <v>0.99999676499088797</v>
      </c>
      <c r="C1572">
        <v>1.0061619417868499</v>
      </c>
      <c r="D1572">
        <v>1.03614009021888</v>
      </c>
      <c r="E1572">
        <v>1.11071497865854</v>
      </c>
      <c r="F1572">
        <v>1.01545435196519</v>
      </c>
      <c r="G1572">
        <v>0.87937966498560105</v>
      </c>
      <c r="H1572">
        <v>0.477415204044699</v>
      </c>
      <c r="I1572">
        <v>0.275114722169568</v>
      </c>
      <c r="J1572">
        <v>0.19537257999037899</v>
      </c>
      <c r="K1572">
        <v>0.148720403091359</v>
      </c>
      <c r="L1572">
        <v>1930.41418320155</v>
      </c>
      <c r="M1572">
        <v>32.195252808485101</v>
      </c>
      <c r="N1572">
        <v>60.685017240417501</v>
      </c>
      <c r="O1572">
        <v>59.729662020489599</v>
      </c>
      <c r="P1572">
        <v>-0.113231102937317</v>
      </c>
      <c r="Q1572">
        <v>0.15972399070506099</v>
      </c>
      <c r="R1572">
        <v>0.98874213939794597</v>
      </c>
      <c r="S1572" t="s">
        <v>8575</v>
      </c>
      <c r="T1572" t="s">
        <v>14004</v>
      </c>
      <c r="U1572" t="s">
        <v>14004</v>
      </c>
      <c r="V1572" t="s">
        <v>14004</v>
      </c>
      <c r="W1572" t="s">
        <v>15542</v>
      </c>
      <c r="X1572">
        <v>15</v>
      </c>
      <c r="Y1572" t="s">
        <v>22468</v>
      </c>
      <c r="Z1572" t="s">
        <v>29282</v>
      </c>
      <c r="AA1572">
        <v>0.72342399709329253</v>
      </c>
      <c r="AB1572" t="str">
        <f>HYPERLINK("Melting_Curves/meltCurve_O43818_RRP9.pdf", "Melting_Curves/meltCurve_O43818_RRP9.pdf")</f>
        <v>Melting_Curves/meltCurve_O43818_RRP9.pdf</v>
      </c>
    </row>
    <row r="1573" spans="1:28" x14ac:dyDescent="0.25">
      <c r="A1573" t="s">
        <v>1577</v>
      </c>
      <c r="B1573">
        <v>0.99999676499088797</v>
      </c>
      <c r="C1573">
        <v>1.02518781675042</v>
      </c>
      <c r="D1573">
        <v>0.87039028704120902</v>
      </c>
      <c r="E1573">
        <v>0.50307280954977796</v>
      </c>
      <c r="F1573">
        <v>0.24080963348229001</v>
      </c>
      <c r="G1573">
        <v>0.19001817687727399</v>
      </c>
      <c r="H1573">
        <v>9.5368770730232297E-2</v>
      </c>
      <c r="I1573">
        <v>9.1585271455122505E-2</v>
      </c>
      <c r="J1573">
        <v>8.8758600947694194E-2</v>
      </c>
      <c r="K1573">
        <v>6.69639262508398E-2</v>
      </c>
      <c r="L1573">
        <v>1152.91847678979</v>
      </c>
      <c r="M1573">
        <v>23.343343815392601</v>
      </c>
      <c r="N1573">
        <v>49.829854775615097</v>
      </c>
      <c r="O1573">
        <v>49.031402086266098</v>
      </c>
      <c r="P1573">
        <v>-0.10793367743221501</v>
      </c>
      <c r="Q1573">
        <v>9.3180703420832303E-2</v>
      </c>
      <c r="R1573">
        <v>0.99506365334154501</v>
      </c>
      <c r="S1573" t="s">
        <v>8576</v>
      </c>
      <c r="T1573" t="s">
        <v>14004</v>
      </c>
      <c r="U1573" t="s">
        <v>14004</v>
      </c>
      <c r="V1573" t="s">
        <v>14004</v>
      </c>
      <c r="W1573" t="s">
        <v>15543</v>
      </c>
      <c r="X1573">
        <v>4</v>
      </c>
      <c r="Y1573" t="s">
        <v>22469</v>
      </c>
      <c r="Z1573" t="s">
        <v>29283</v>
      </c>
      <c r="AA1573">
        <v>0.3862703130516329</v>
      </c>
      <c r="AB1573" t="str">
        <f>HYPERLINK("Melting_Curves/meltCurve_O43819_SCO2.pdf", "Melting_Curves/meltCurve_O43819_SCO2.pdf")</f>
        <v>Melting_Curves/meltCurve_O43819_SCO2.pdf</v>
      </c>
    </row>
    <row r="1574" spans="1:28" x14ac:dyDescent="0.25">
      <c r="A1574" t="s">
        <v>1578</v>
      </c>
      <c r="B1574">
        <v>0.99999676499088797</v>
      </c>
      <c r="C1574">
        <v>0.91358727740283896</v>
      </c>
      <c r="D1574">
        <v>0.91294320337688595</v>
      </c>
      <c r="E1574">
        <v>0.72976400752376103</v>
      </c>
      <c r="F1574">
        <v>0.47481799178752399</v>
      </c>
      <c r="G1574">
        <v>0.45310506888465601</v>
      </c>
      <c r="H1574">
        <v>0.30071629994714699</v>
      </c>
      <c r="I1574">
        <v>0.40302880299612198</v>
      </c>
      <c r="J1574">
        <v>0.41208518979570702</v>
      </c>
      <c r="K1574">
        <v>0.52169576412400498</v>
      </c>
      <c r="L1574">
        <v>1225.90453492496</v>
      </c>
      <c r="M1574">
        <v>24.7255848125174</v>
      </c>
      <c r="N1574">
        <v>53.247575146636699</v>
      </c>
      <c r="O1574">
        <v>49.259503136604998</v>
      </c>
      <c r="P1574">
        <v>-7.4173696622424706E-2</v>
      </c>
      <c r="Q1574">
        <v>0.40891864050297899</v>
      </c>
      <c r="R1574">
        <v>0.94260865415720296</v>
      </c>
      <c r="S1574" t="s">
        <v>8577</v>
      </c>
      <c r="T1574" t="s">
        <v>14004</v>
      </c>
      <c r="U1574" t="s">
        <v>14004</v>
      </c>
      <c r="V1574" t="s">
        <v>14004</v>
      </c>
      <c r="W1574" t="s">
        <v>15544</v>
      </c>
      <c r="X1574">
        <v>10</v>
      </c>
      <c r="Y1574" t="s">
        <v>22470</v>
      </c>
      <c r="Z1574" t="s">
        <v>29284</v>
      </c>
      <c r="AA1574">
        <v>0.60305950779302964</v>
      </c>
      <c r="AB1574" t="str">
        <f>HYPERLINK("Melting_Curves/meltCurve_O43823_AKAP8.pdf", "Melting_Curves/meltCurve_O43823_AKAP8.pdf")</f>
        <v>Melting_Curves/meltCurve_O43823_AKAP8.pdf</v>
      </c>
    </row>
    <row r="1575" spans="1:28" x14ac:dyDescent="0.25">
      <c r="A1575" t="s">
        <v>1579</v>
      </c>
      <c r="B1575">
        <v>0.99999676499088797</v>
      </c>
      <c r="C1575">
        <v>1.0962503398700101</v>
      </c>
      <c r="D1575">
        <v>0.86955190152184103</v>
      </c>
      <c r="E1575">
        <v>0.66909066432039599</v>
      </c>
      <c r="F1575">
        <v>0.38290689949330298</v>
      </c>
      <c r="G1575">
        <v>0.26916915084458198</v>
      </c>
      <c r="H1575">
        <v>0.19620221814921701</v>
      </c>
      <c r="I1575">
        <v>0.17504888832881901</v>
      </c>
      <c r="J1575">
        <v>0.19283380488563701</v>
      </c>
      <c r="K1575">
        <v>0.19859417271056101</v>
      </c>
      <c r="L1575">
        <v>1093.1103722135799</v>
      </c>
      <c r="M1575">
        <v>21.679053945181199</v>
      </c>
      <c r="N1575">
        <v>51.528519983781997</v>
      </c>
      <c r="O1575">
        <v>49.999266382514399</v>
      </c>
      <c r="P1575">
        <v>-8.8232282107429796E-2</v>
      </c>
      <c r="Q1575">
        <v>0.186044745952471</v>
      </c>
      <c r="R1575">
        <v>0.98726352445508903</v>
      </c>
      <c r="S1575" t="s">
        <v>8578</v>
      </c>
      <c r="T1575" t="s">
        <v>14004</v>
      </c>
      <c r="U1575" t="s">
        <v>14004</v>
      </c>
      <c r="V1575" t="s">
        <v>14004</v>
      </c>
      <c r="W1575" t="s">
        <v>15545</v>
      </c>
      <c r="X1575">
        <v>3</v>
      </c>
      <c r="Y1575" t="s">
        <v>22471</v>
      </c>
      <c r="Z1575" t="s">
        <v>29285</v>
      </c>
      <c r="AA1575">
        <v>0.47850543283482577</v>
      </c>
      <c r="AB1575" t="str">
        <f>HYPERLINK("Melting_Curves/meltCurve_O43824_GTPBP6.pdf", "Melting_Curves/meltCurve_O43824_GTPBP6.pdf")</f>
        <v>Melting_Curves/meltCurve_O43824_GTPBP6.pdf</v>
      </c>
    </row>
    <row r="1576" spans="1:28" x14ac:dyDescent="0.25">
      <c r="A1576" t="s">
        <v>1580</v>
      </c>
      <c r="B1576">
        <v>0.99999676499088797</v>
      </c>
      <c r="C1576">
        <v>0.98903205827804397</v>
      </c>
      <c r="D1576">
        <v>0.97655601487465304</v>
      </c>
      <c r="E1576">
        <v>0.81397401530351998</v>
      </c>
      <c r="F1576">
        <v>0.66338988743330696</v>
      </c>
      <c r="G1576">
        <v>0.58171911056900705</v>
      </c>
      <c r="H1576">
        <v>0.35080438564685101</v>
      </c>
      <c r="I1576">
        <v>0.363237892161626</v>
      </c>
      <c r="J1576">
        <v>0.30292759839685601</v>
      </c>
      <c r="K1576">
        <v>0.188830499068247</v>
      </c>
      <c r="L1576">
        <v>624.22778082281002</v>
      </c>
      <c r="M1576">
        <v>11.152226008592599</v>
      </c>
      <c r="N1576">
        <v>57.854181695269403</v>
      </c>
      <c r="O1576">
        <v>54.264093848215097</v>
      </c>
      <c r="P1576">
        <v>-4.35810583288926E-2</v>
      </c>
      <c r="Q1576">
        <v>0.15205084119503001</v>
      </c>
      <c r="R1576">
        <v>0.98485953310502805</v>
      </c>
      <c r="S1576" t="s">
        <v>8579</v>
      </c>
      <c r="T1576" t="s">
        <v>14004</v>
      </c>
      <c r="U1576" t="s">
        <v>14004</v>
      </c>
      <c r="V1576" t="s">
        <v>14004</v>
      </c>
      <c r="W1576" t="s">
        <v>15546</v>
      </c>
      <c r="X1576">
        <v>9</v>
      </c>
      <c r="Y1576" t="s">
        <v>22472</v>
      </c>
      <c r="Z1576" t="s">
        <v>29286</v>
      </c>
      <c r="AA1576">
        <v>0.62130856568171311</v>
      </c>
      <c r="AB1576" t="str">
        <f>HYPERLINK("Melting_Curves/meltCurve_O43829_ZBTB14.pdf", "Melting_Curves/meltCurve_O43829_ZBTB14.pdf")</f>
        <v>Melting_Curves/meltCurve_O43829_ZBTB14.pdf</v>
      </c>
    </row>
    <row r="1577" spans="1:28" x14ac:dyDescent="0.25">
      <c r="A1577" t="s">
        <v>1581</v>
      </c>
      <c r="B1577">
        <v>0.99999676499088797</v>
      </c>
      <c r="C1577">
        <v>0.94219289737963796</v>
      </c>
      <c r="D1577">
        <v>0.89530716092555296</v>
      </c>
      <c r="E1577">
        <v>0.79566804964108295</v>
      </c>
      <c r="F1577">
        <v>0.233997420738426</v>
      </c>
      <c r="G1577">
        <v>0.16388570010218501</v>
      </c>
      <c r="H1577">
        <v>6.9817345080048707E-2</v>
      </c>
      <c r="I1577">
        <v>7.2097507822405399E-2</v>
      </c>
      <c r="J1577">
        <v>6.5378071069390101E-2</v>
      </c>
      <c r="K1577">
        <v>5.5616818689703203E-2</v>
      </c>
      <c r="L1577">
        <v>1779.5216357479201</v>
      </c>
      <c r="M1577">
        <v>34.7869691606777</v>
      </c>
      <c r="N1577">
        <v>51.392319950830696</v>
      </c>
      <c r="O1577">
        <v>50.986676448659203</v>
      </c>
      <c r="P1577">
        <v>-0.15790503070551901</v>
      </c>
      <c r="Q1577">
        <v>7.4248429756544596E-2</v>
      </c>
      <c r="R1577">
        <v>0.98934043062044896</v>
      </c>
      <c r="S1577" t="s">
        <v>8580</v>
      </c>
      <c r="T1577" t="s">
        <v>14004</v>
      </c>
      <c r="U1577" t="s">
        <v>14004</v>
      </c>
      <c r="V1577" t="s">
        <v>14004</v>
      </c>
      <c r="W1577" t="s">
        <v>15547</v>
      </c>
      <c r="X1577">
        <v>21</v>
      </c>
      <c r="Y1577" t="s">
        <v>22473</v>
      </c>
      <c r="Z1577" t="s">
        <v>29287</v>
      </c>
      <c r="AA1577">
        <v>0.42280408783668583</v>
      </c>
      <c r="AB1577" t="str">
        <f>HYPERLINK("Melting_Curves/meltCurve_O43837_IDH3B.pdf", "Melting_Curves/meltCurve_O43837_IDH3B.pdf")</f>
        <v>Melting_Curves/meltCurve_O43837_IDH3B.pdf</v>
      </c>
    </row>
    <row r="1578" spans="1:28" x14ac:dyDescent="0.25">
      <c r="A1578" t="s">
        <v>1582</v>
      </c>
      <c r="B1578">
        <v>0.99999676499088797</v>
      </c>
      <c r="C1578">
        <v>1.05800967020458</v>
      </c>
      <c r="D1578">
        <v>1.0200610964172601</v>
      </c>
      <c r="E1578">
        <v>1.0237890494383699</v>
      </c>
      <c r="F1578">
        <v>0.901273903471836</v>
      </c>
      <c r="G1578">
        <v>0.71120623560131602</v>
      </c>
      <c r="H1578">
        <v>0.555655671074756</v>
      </c>
      <c r="I1578">
        <v>0.58818224529162699</v>
      </c>
      <c r="J1578">
        <v>0.569903590231298</v>
      </c>
      <c r="K1578">
        <v>0.80341561786238203</v>
      </c>
      <c r="L1578">
        <v>2344.5357144095601</v>
      </c>
      <c r="M1578">
        <v>42.914492146678</v>
      </c>
      <c r="O1578">
        <v>54.514496882864201</v>
      </c>
      <c r="P1578">
        <v>-7.2476270056946096E-2</v>
      </c>
      <c r="Q1578">
        <v>0.63173270175830598</v>
      </c>
      <c r="R1578">
        <v>0.875177298952029</v>
      </c>
      <c r="S1578" t="s">
        <v>8581</v>
      </c>
      <c r="T1578" t="s">
        <v>14004</v>
      </c>
      <c r="U1578" t="s">
        <v>14004</v>
      </c>
      <c r="V1578" t="s">
        <v>14004</v>
      </c>
      <c r="W1578" t="s">
        <v>15548</v>
      </c>
      <c r="X1578">
        <v>18</v>
      </c>
      <c r="Y1578" t="s">
        <v>22474</v>
      </c>
      <c r="Z1578" t="s">
        <v>29288</v>
      </c>
      <c r="AA1578">
        <v>0.81256281326623092</v>
      </c>
      <c r="AB1578" t="str">
        <f>HYPERLINK("Melting_Curves/meltCurve_O43852_CALU.pdf", "Melting_Curves/meltCurve_O43852_CALU.pdf")</f>
        <v>Melting_Curves/meltCurve_O43852_CALU.pdf</v>
      </c>
    </row>
    <row r="1579" spans="1:28" x14ac:dyDescent="0.25">
      <c r="A1579" t="s">
        <v>1583</v>
      </c>
      <c r="B1579">
        <v>0.99999676499088797</v>
      </c>
      <c r="C1579">
        <v>1.0420632180699501</v>
      </c>
      <c r="D1579">
        <v>1.0590764128594099</v>
      </c>
      <c r="E1579">
        <v>1.0828121258141801</v>
      </c>
      <c r="F1579">
        <v>1.0370398801951399</v>
      </c>
      <c r="G1579">
        <v>0.69473445518217802</v>
      </c>
      <c r="H1579">
        <v>0.17207604853633901</v>
      </c>
      <c r="I1579">
        <v>0.14386463997231</v>
      </c>
      <c r="J1579">
        <v>0.118336013927339</v>
      </c>
      <c r="K1579">
        <v>8.8228415908927202E-2</v>
      </c>
      <c r="L1579">
        <v>3130.0660275865798</v>
      </c>
      <c r="M1579">
        <v>54.445248067441597</v>
      </c>
      <c r="N1579">
        <v>57.776937145855797</v>
      </c>
      <c r="O1579">
        <v>57.412757599004699</v>
      </c>
      <c r="P1579">
        <v>-0.20900786157930501</v>
      </c>
      <c r="Q1579">
        <v>0.118401643040236</v>
      </c>
      <c r="R1579">
        <v>0.99144102418693103</v>
      </c>
      <c r="S1579" t="s">
        <v>8582</v>
      </c>
      <c r="T1579" t="s">
        <v>14004</v>
      </c>
      <c r="U1579" t="s">
        <v>14004</v>
      </c>
      <c r="V1579" t="s">
        <v>14004</v>
      </c>
      <c r="W1579" t="s">
        <v>15549</v>
      </c>
      <c r="X1579">
        <v>9</v>
      </c>
      <c r="Y1579" t="s">
        <v>22475</v>
      </c>
      <c r="Z1579" t="s">
        <v>29289</v>
      </c>
      <c r="AA1579">
        <v>0.63425915754730033</v>
      </c>
      <c r="AB1579" t="str">
        <f>HYPERLINK("Melting_Curves/meltCurve_O43861_2_ATP9B.pdf", "Melting_Curves/meltCurve_O43861_2_ATP9B.pdf")</f>
        <v>Melting_Curves/meltCurve_O43861_2_ATP9B.pdf</v>
      </c>
    </row>
    <row r="1580" spans="1:28" x14ac:dyDescent="0.25">
      <c r="A1580" t="s">
        <v>1584</v>
      </c>
      <c r="B1580">
        <v>0.99999676499088797</v>
      </c>
      <c r="C1580">
        <v>0.98914287545744894</v>
      </c>
      <c r="D1580">
        <v>0.98172659960286002</v>
      </c>
      <c r="E1580">
        <v>1.0119421846819201</v>
      </c>
      <c r="F1580">
        <v>0.72932783334364004</v>
      </c>
      <c r="G1580">
        <v>0.567514901219627</v>
      </c>
      <c r="H1580">
        <v>0.30998469364333697</v>
      </c>
      <c r="I1580">
        <v>0.22060836551199201</v>
      </c>
      <c r="J1580">
        <v>0.10688167704677599</v>
      </c>
      <c r="K1580">
        <v>8.6738162037917593E-2</v>
      </c>
      <c r="L1580">
        <v>932.162342083368</v>
      </c>
      <c r="M1580">
        <v>16.268703685996101</v>
      </c>
      <c r="N1580">
        <v>57.6237531635525</v>
      </c>
      <c r="O1580">
        <v>56.453135163146001</v>
      </c>
      <c r="P1580">
        <v>-6.8884013407269198E-2</v>
      </c>
      <c r="Q1580">
        <v>4.3947710205384002E-2</v>
      </c>
      <c r="R1580">
        <v>0.99153988259207604</v>
      </c>
      <c r="S1580" t="s">
        <v>8583</v>
      </c>
      <c r="T1580" t="s">
        <v>14004</v>
      </c>
      <c r="U1580" t="s">
        <v>14004</v>
      </c>
      <c r="V1580" t="s">
        <v>14004</v>
      </c>
      <c r="W1580" t="s">
        <v>15550</v>
      </c>
      <c r="X1580">
        <v>27</v>
      </c>
      <c r="Y1580" t="s">
        <v>22476</v>
      </c>
      <c r="Z1580" t="s">
        <v>29290</v>
      </c>
      <c r="AA1580">
        <v>0.60904036543977991</v>
      </c>
      <c r="AB1580" t="str">
        <f>HYPERLINK("Melting_Curves/meltCurve_O43865_AHCYL1.pdf", "Melting_Curves/meltCurve_O43865_AHCYL1.pdf")</f>
        <v>Melting_Curves/meltCurve_O43865_AHCYL1.pdf</v>
      </c>
    </row>
    <row r="1581" spans="1:28" x14ac:dyDescent="0.25">
      <c r="A1581" t="s">
        <v>1585</v>
      </c>
      <c r="B1581">
        <v>0.99999676499088797</v>
      </c>
      <c r="C1581">
        <v>0.87405429890531505</v>
      </c>
      <c r="D1581">
        <v>0.99197584996044097</v>
      </c>
      <c r="E1581">
        <v>0.88004017285935499</v>
      </c>
      <c r="F1581">
        <v>0.36439039510517302</v>
      </c>
      <c r="G1581">
        <v>0.282966772597608</v>
      </c>
      <c r="H1581">
        <v>0.12540973032878999</v>
      </c>
      <c r="I1581">
        <v>0.122648081243416</v>
      </c>
      <c r="J1581">
        <v>0.119909310430518</v>
      </c>
      <c r="K1581">
        <v>0.124661585909599</v>
      </c>
      <c r="L1581">
        <v>1719.5353456902501</v>
      </c>
      <c r="M1581">
        <v>33.111668164152903</v>
      </c>
      <c r="N1581">
        <v>52.442377452266904</v>
      </c>
      <c r="O1581">
        <v>51.743083733229398</v>
      </c>
      <c r="P1581">
        <v>-0.13792317643870999</v>
      </c>
      <c r="Q1581">
        <v>0.13788230560822201</v>
      </c>
      <c r="R1581">
        <v>0.979358604128028</v>
      </c>
      <c r="S1581" t="s">
        <v>8584</v>
      </c>
      <c r="T1581" t="s">
        <v>14004</v>
      </c>
      <c r="U1581" t="s">
        <v>14004</v>
      </c>
      <c r="V1581" t="s">
        <v>14004</v>
      </c>
      <c r="W1581" t="s">
        <v>15551</v>
      </c>
      <c r="X1581">
        <v>2</v>
      </c>
      <c r="Y1581" t="s">
        <v>22477</v>
      </c>
      <c r="Z1581" t="s">
        <v>29291</v>
      </c>
      <c r="AA1581">
        <v>0.48527820441983099</v>
      </c>
      <c r="AB1581" t="str">
        <f>HYPERLINK("Melting_Curves/meltCurve_O43909_EXTL3.pdf", "Melting_Curves/meltCurve_O43909_EXTL3.pdf")</f>
        <v>Melting_Curves/meltCurve_O43909_EXTL3.pdf</v>
      </c>
    </row>
    <row r="1582" spans="1:28" x14ac:dyDescent="0.25">
      <c r="A1582" t="s">
        <v>1586</v>
      </c>
      <c r="B1582">
        <v>0.99999676499088797</v>
      </c>
      <c r="C1582">
        <v>0.90003576383016903</v>
      </c>
      <c r="D1582">
        <v>0.82408940211046899</v>
      </c>
      <c r="E1582">
        <v>0.40685855080872702</v>
      </c>
      <c r="F1582">
        <v>0.204333245779655</v>
      </c>
      <c r="G1582">
        <v>0.120872130587069</v>
      </c>
      <c r="H1582">
        <v>5.7542400603186203E-2</v>
      </c>
      <c r="I1582">
        <v>5.8763237593979598E-2</v>
      </c>
      <c r="J1582">
        <v>5.5131079146249401E-2</v>
      </c>
      <c r="K1582">
        <v>4.2719704113162303E-2</v>
      </c>
      <c r="L1582">
        <v>1010.6158203092</v>
      </c>
      <c r="M1582">
        <v>20.7546263117544</v>
      </c>
      <c r="N1582">
        <v>48.953394306241897</v>
      </c>
      <c r="O1582">
        <v>48.248249040971501</v>
      </c>
      <c r="P1582">
        <v>-0.101934129420939</v>
      </c>
      <c r="Q1582">
        <v>5.2162613116918E-2</v>
      </c>
      <c r="R1582">
        <v>0.995878217827872</v>
      </c>
      <c r="S1582" t="s">
        <v>8585</v>
      </c>
      <c r="T1582" t="s">
        <v>14004</v>
      </c>
      <c r="U1582" t="s">
        <v>14004</v>
      </c>
      <c r="V1582" t="s">
        <v>14004</v>
      </c>
      <c r="W1582" t="s">
        <v>15552</v>
      </c>
      <c r="X1582">
        <v>15</v>
      </c>
      <c r="Y1582" t="s">
        <v>22478</v>
      </c>
      <c r="Z1582" t="s">
        <v>29292</v>
      </c>
      <c r="AA1582">
        <v>0.3391712228924238</v>
      </c>
      <c r="AB1582" t="str">
        <f>HYPERLINK("Melting_Curves/meltCurve_O43913_ORC5.pdf", "Melting_Curves/meltCurve_O43913_ORC5.pdf")</f>
        <v>Melting_Curves/meltCurve_O43913_ORC5.pdf</v>
      </c>
    </row>
    <row r="1583" spans="1:28" x14ac:dyDescent="0.25">
      <c r="A1583" t="s">
        <v>1587</v>
      </c>
      <c r="B1583">
        <v>0.99999676499088797</v>
      </c>
      <c r="C1583">
        <v>0.91580938629601805</v>
      </c>
      <c r="D1583">
        <v>0.94169436972671094</v>
      </c>
      <c r="E1583">
        <v>0.82680803105559597</v>
      </c>
      <c r="F1583">
        <v>0.64194494396782698</v>
      </c>
      <c r="G1583">
        <v>0.55019623978786902</v>
      </c>
      <c r="H1583">
        <v>0.32773585124258198</v>
      </c>
      <c r="I1583">
        <v>0.30362304799094803</v>
      </c>
      <c r="J1583">
        <v>0.27937343671709303</v>
      </c>
      <c r="K1583">
        <v>0.28920718587439997</v>
      </c>
      <c r="L1583">
        <v>698.766283793919</v>
      </c>
      <c r="M1583">
        <v>12.8855957675016</v>
      </c>
      <c r="N1583">
        <v>56.799531807435997</v>
      </c>
      <c r="O1583">
        <v>52.972240948415397</v>
      </c>
      <c r="P1583">
        <v>-4.73841529408488E-2</v>
      </c>
      <c r="Q1583">
        <v>0.22096432188127199</v>
      </c>
      <c r="R1583">
        <v>0.98760959211716504</v>
      </c>
      <c r="S1583" t="s">
        <v>8586</v>
      </c>
      <c r="T1583" t="s">
        <v>14004</v>
      </c>
      <c r="U1583" t="s">
        <v>14004</v>
      </c>
      <c r="V1583" t="s">
        <v>14004</v>
      </c>
      <c r="W1583" t="s">
        <v>15553</v>
      </c>
      <c r="X1583">
        <v>8</v>
      </c>
      <c r="Y1583" t="s">
        <v>22479</v>
      </c>
      <c r="Z1583" t="s">
        <v>29293</v>
      </c>
      <c r="AA1583">
        <v>0.60907344984382938</v>
      </c>
      <c r="AB1583" t="str">
        <f>HYPERLINK("Melting_Curves/meltCurve_O43920_NDUFS5.pdf", "Melting_Curves/meltCurve_O43920_NDUFS5.pdf")</f>
        <v>Melting_Curves/meltCurve_O43920_NDUFS5.pdf</v>
      </c>
    </row>
    <row r="1584" spans="1:28" x14ac:dyDescent="0.25">
      <c r="A1584" t="s">
        <v>1588</v>
      </c>
      <c r="B1584">
        <v>0.99999676499088797</v>
      </c>
      <c r="C1584">
        <v>0.96695107061845398</v>
      </c>
      <c r="D1584">
        <v>1.04071962246164</v>
      </c>
      <c r="E1584">
        <v>1.19145507194908</v>
      </c>
      <c r="F1584">
        <v>1.0243126183358999</v>
      </c>
      <c r="G1584">
        <v>0.56135522797388404</v>
      </c>
      <c r="H1584">
        <v>0.24978930686582401</v>
      </c>
      <c r="I1584">
        <v>0.17486733320845599</v>
      </c>
      <c r="J1584">
        <v>0.143309187434628</v>
      </c>
      <c r="K1584">
        <v>0.147830970607154</v>
      </c>
      <c r="L1584">
        <v>3071.4055495975199</v>
      </c>
      <c r="M1584">
        <v>54.1395538759243</v>
      </c>
      <c r="N1584">
        <v>57.175292403591101</v>
      </c>
      <c r="O1584">
        <v>56.654023820592002</v>
      </c>
      <c r="P1584">
        <v>-0.197902710403418</v>
      </c>
      <c r="Q1584">
        <v>0.171623914408669</v>
      </c>
      <c r="R1584">
        <v>0.972887585321352</v>
      </c>
      <c r="S1584" t="s">
        <v>8587</v>
      </c>
      <c r="T1584" t="s">
        <v>14004</v>
      </c>
      <c r="U1584" t="s">
        <v>14004</v>
      </c>
      <c r="V1584" t="s">
        <v>14004</v>
      </c>
      <c r="W1584" t="s">
        <v>15554</v>
      </c>
      <c r="X1584">
        <v>5</v>
      </c>
      <c r="Y1584" t="s">
        <v>22480</v>
      </c>
      <c r="Z1584" t="s">
        <v>29294</v>
      </c>
      <c r="AA1584">
        <v>0.63538166601999213</v>
      </c>
      <c r="AB1584" t="str">
        <f>HYPERLINK("Melting_Curves/meltCurve_O43924_PDE6D.pdf", "Melting_Curves/meltCurve_O43924_PDE6D.pdf")</f>
        <v>Melting_Curves/meltCurve_O43924_PDE6D.pdf</v>
      </c>
    </row>
    <row r="1585" spans="1:28" x14ac:dyDescent="0.25">
      <c r="A1585" t="s">
        <v>1589</v>
      </c>
      <c r="B1585">
        <v>0.99999676499088797</v>
      </c>
      <c r="C1585">
        <v>0.97508833590115296</v>
      </c>
      <c r="D1585">
        <v>0.97050925665094401</v>
      </c>
      <c r="E1585">
        <v>1.09099006051888</v>
      </c>
      <c r="F1585">
        <v>0.92838728927987102</v>
      </c>
      <c r="G1585">
        <v>0.46577968220938998</v>
      </c>
      <c r="H1585">
        <v>0.16531292809661</v>
      </c>
      <c r="I1585">
        <v>0.12615036128057799</v>
      </c>
      <c r="J1585">
        <v>0.13136126188193301</v>
      </c>
      <c r="K1585">
        <v>0.106041101226982</v>
      </c>
      <c r="L1585">
        <v>2438.5874987637799</v>
      </c>
      <c r="M1585">
        <v>43.366383552851197</v>
      </c>
      <c r="N1585">
        <v>56.5985329743175</v>
      </c>
      <c r="O1585">
        <v>56.113051579874501</v>
      </c>
      <c r="P1585">
        <v>-0.169568016237026</v>
      </c>
      <c r="Q1585">
        <v>0.122365314912701</v>
      </c>
      <c r="R1585">
        <v>0.99362668893292505</v>
      </c>
      <c r="S1585" t="s">
        <v>8588</v>
      </c>
      <c r="T1585" t="s">
        <v>14004</v>
      </c>
      <c r="U1585" t="s">
        <v>14004</v>
      </c>
      <c r="V1585" t="s">
        <v>14004</v>
      </c>
      <c r="W1585" t="s">
        <v>15555</v>
      </c>
      <c r="X1585">
        <v>4</v>
      </c>
      <c r="Y1585" t="s">
        <v>22481</v>
      </c>
      <c r="Z1585" t="s">
        <v>29295</v>
      </c>
      <c r="AA1585">
        <v>0.600117161815237</v>
      </c>
      <c r="AB1585" t="str">
        <f>HYPERLINK("Melting_Curves/meltCurve_O43933_PEX1.pdf", "Melting_Curves/meltCurve_O43933_PEX1.pdf")</f>
        <v>Melting_Curves/meltCurve_O43933_PEX1.pdf</v>
      </c>
    </row>
    <row r="1586" spans="1:28" x14ac:dyDescent="0.25">
      <c r="A1586" t="s">
        <v>1590</v>
      </c>
      <c r="B1586">
        <v>0.99999676499088797</v>
      </c>
      <c r="C1586">
        <v>1.0398730524187001</v>
      </c>
      <c r="D1586">
        <v>0.96969133784285899</v>
      </c>
      <c r="E1586">
        <v>0.96248310318395902</v>
      </c>
      <c r="F1586">
        <v>0.67002928808761897</v>
      </c>
      <c r="G1586">
        <v>0.35623754207626801</v>
      </c>
      <c r="H1586">
        <v>0.16184606122549999</v>
      </c>
      <c r="I1586">
        <v>0.15762027572312001</v>
      </c>
      <c r="J1586">
        <v>0.179584495170382</v>
      </c>
      <c r="K1586">
        <v>0.14515074582257401</v>
      </c>
      <c r="L1586">
        <v>1514.75410855114</v>
      </c>
      <c r="M1586">
        <v>27.942172742999698</v>
      </c>
      <c r="N1586">
        <v>54.912122888603903</v>
      </c>
      <c r="O1586">
        <v>53.934951470921</v>
      </c>
      <c r="P1586">
        <v>-0.110071280127938</v>
      </c>
      <c r="Q1586">
        <v>0.150153931325613</v>
      </c>
      <c r="R1586">
        <v>0.99667262986743799</v>
      </c>
      <c r="S1586" t="s">
        <v>8589</v>
      </c>
      <c r="T1586" t="s">
        <v>14004</v>
      </c>
      <c r="U1586" t="s">
        <v>14004</v>
      </c>
      <c r="V1586" t="s">
        <v>14004</v>
      </c>
      <c r="W1586" t="s">
        <v>15556</v>
      </c>
      <c r="X1586">
        <v>15</v>
      </c>
      <c r="Y1586" t="s">
        <v>22482</v>
      </c>
      <c r="Z1586" t="s">
        <v>29296</v>
      </c>
      <c r="AA1586">
        <v>0.55911258963956945</v>
      </c>
      <c r="AB1586" t="str">
        <f>HYPERLINK("Melting_Curves/meltCurve_O60216_RAD21.pdf", "Melting_Curves/meltCurve_O60216_RAD21.pdf")</f>
        <v>Melting_Curves/meltCurve_O60216_RAD21.pdf</v>
      </c>
    </row>
    <row r="1587" spans="1:28" x14ac:dyDescent="0.25">
      <c r="A1587" t="s">
        <v>1591</v>
      </c>
      <c r="B1587">
        <v>0.99999676499088797</v>
      </c>
      <c r="C1587">
        <v>1.0479967714309599</v>
      </c>
      <c r="D1587">
        <v>1.1334293857977999</v>
      </c>
      <c r="E1587">
        <v>1.06110080398646</v>
      </c>
      <c r="F1587">
        <v>0.96820658341177301</v>
      </c>
      <c r="G1587">
        <v>1.16111376422117</v>
      </c>
      <c r="H1587">
        <v>0.48399616679987101</v>
      </c>
      <c r="I1587">
        <v>0.31829166812144599</v>
      </c>
      <c r="J1587">
        <v>0.11904794071819701</v>
      </c>
      <c r="K1587">
        <v>0.100388964674665</v>
      </c>
      <c r="L1587">
        <v>4369.6855630310201</v>
      </c>
      <c r="M1587">
        <v>72.286309422781301</v>
      </c>
      <c r="N1587">
        <v>60.800729603049</v>
      </c>
      <c r="O1587">
        <v>60.403483008279999</v>
      </c>
      <c r="P1587">
        <v>-0.24814001016144599</v>
      </c>
      <c r="Q1587">
        <v>0.17060268252093</v>
      </c>
      <c r="R1587">
        <v>0.95319314951552403</v>
      </c>
      <c r="S1587" t="s">
        <v>8590</v>
      </c>
      <c r="T1587" t="s">
        <v>14004</v>
      </c>
      <c r="U1587" t="s">
        <v>14004</v>
      </c>
      <c r="V1587" t="s">
        <v>14004</v>
      </c>
      <c r="W1587" t="s">
        <v>15557</v>
      </c>
      <c r="X1587">
        <v>2</v>
      </c>
      <c r="Y1587" t="s">
        <v>22483</v>
      </c>
      <c r="Z1587" t="s">
        <v>29297</v>
      </c>
      <c r="AA1587">
        <v>0.73702017190176783</v>
      </c>
      <c r="AB1587" t="str">
        <f>HYPERLINK("Melting_Curves/meltCurve_O60218_AKR1B10.pdf", "Melting_Curves/meltCurve_O60218_AKR1B10.pdf")</f>
        <v>Melting_Curves/meltCurve_O60218_AKR1B10.pdf</v>
      </c>
    </row>
    <row r="1588" spans="1:28" x14ac:dyDescent="0.25">
      <c r="A1588" t="s">
        <v>1592</v>
      </c>
      <c r="B1588">
        <v>0.99999676499088797</v>
      </c>
      <c r="C1588">
        <v>1.0991247698175199</v>
      </c>
      <c r="D1588">
        <v>1.05176170091633</v>
      </c>
      <c r="E1588">
        <v>1.10245881130223</v>
      </c>
      <c r="F1588">
        <v>1.06414186839105</v>
      </c>
      <c r="G1588">
        <v>0.93810349584467301</v>
      </c>
      <c r="H1588">
        <v>0.63540024273646201</v>
      </c>
      <c r="I1588">
        <v>0.70892607438043298</v>
      </c>
      <c r="J1588">
        <v>0.75123639433509104</v>
      </c>
      <c r="K1588">
        <v>0.73924444501081699</v>
      </c>
      <c r="L1588">
        <v>14274.4085121397</v>
      </c>
      <c r="M1588">
        <v>250</v>
      </c>
      <c r="O1588">
        <v>57.0939805070701</v>
      </c>
      <c r="P1588">
        <v>-0.31888018077690899</v>
      </c>
      <c r="Q1588">
        <v>0.70870178081078805</v>
      </c>
      <c r="R1588">
        <v>0.88086914989487597</v>
      </c>
      <c r="S1588" t="s">
        <v>8591</v>
      </c>
      <c r="T1588" t="s">
        <v>14004</v>
      </c>
      <c r="U1588" t="s">
        <v>14004</v>
      </c>
      <c r="V1588" t="s">
        <v>14004</v>
      </c>
      <c r="W1588" t="s">
        <v>15558</v>
      </c>
      <c r="X1588">
        <v>7</v>
      </c>
      <c r="Y1588" t="s">
        <v>22484</v>
      </c>
      <c r="Z1588" t="s">
        <v>29298</v>
      </c>
      <c r="AA1588">
        <v>0.87474798217238314</v>
      </c>
      <c r="AB1588" t="str">
        <f>HYPERLINK("Melting_Curves/meltCurve_O60220_TIMM8A.pdf", "Melting_Curves/meltCurve_O60220_TIMM8A.pdf")</f>
        <v>Melting_Curves/meltCurve_O60220_TIMM8A.pdf</v>
      </c>
    </row>
    <row r="1589" spans="1:28" x14ac:dyDescent="0.25">
      <c r="A1589" t="s">
        <v>1593</v>
      </c>
      <c r="B1589">
        <v>0.99999676499088797</v>
      </c>
      <c r="C1589">
        <v>1.0645238230153999</v>
      </c>
      <c r="D1589">
        <v>0.93166896581516701</v>
      </c>
      <c r="E1589">
        <v>0.67756996253254997</v>
      </c>
      <c r="F1589">
        <v>0.30584737777670901</v>
      </c>
      <c r="G1589">
        <v>0.16790377740013801</v>
      </c>
      <c r="H1589">
        <v>9.0511425722174604E-2</v>
      </c>
      <c r="I1589">
        <v>0.10445436926068399</v>
      </c>
      <c r="J1589">
        <v>0.111430468042287</v>
      </c>
      <c r="K1589">
        <v>9.8782878948476399E-2</v>
      </c>
      <c r="L1589">
        <v>1320.0672756691199</v>
      </c>
      <c r="M1589">
        <v>26.022945334668801</v>
      </c>
      <c r="N1589">
        <v>51.166124141088403</v>
      </c>
      <c r="O1589">
        <v>50.4303293188986</v>
      </c>
      <c r="P1589">
        <v>-0.11609671312270201</v>
      </c>
      <c r="Q1589">
        <v>0.10006663379307</v>
      </c>
      <c r="R1589">
        <v>0.99604728250420305</v>
      </c>
      <c r="S1589" t="s">
        <v>8592</v>
      </c>
      <c r="T1589" t="s">
        <v>14004</v>
      </c>
      <c r="U1589" t="s">
        <v>14004</v>
      </c>
      <c r="V1589" t="s">
        <v>14004</v>
      </c>
      <c r="W1589" t="s">
        <v>15559</v>
      </c>
      <c r="X1589">
        <v>38</v>
      </c>
      <c r="Y1589" t="s">
        <v>22485</v>
      </c>
      <c r="Z1589" t="s">
        <v>29299</v>
      </c>
      <c r="AA1589">
        <v>0.42934023689058332</v>
      </c>
      <c r="AB1589" t="str">
        <f>HYPERLINK("Melting_Curves/meltCurve_O60231_DHX16.pdf", "Melting_Curves/meltCurve_O60231_DHX16.pdf")</f>
        <v>Melting_Curves/meltCurve_O60231_DHX16.pdf</v>
      </c>
    </row>
    <row r="1590" spans="1:28" x14ac:dyDescent="0.25">
      <c r="A1590" t="s">
        <v>1594</v>
      </c>
      <c r="B1590">
        <v>0.99999676499088797</v>
      </c>
      <c r="C1590">
        <v>0.99968360407597201</v>
      </c>
      <c r="D1590">
        <v>0.87253234655420497</v>
      </c>
      <c r="E1590">
        <v>0.57793115326212796</v>
      </c>
      <c r="F1590">
        <v>0.30899454859533299</v>
      </c>
      <c r="G1590">
        <v>0.19382273551167301</v>
      </c>
      <c r="H1590">
        <v>8.9829726840183297E-2</v>
      </c>
      <c r="I1590">
        <v>8.4148909572454106E-2</v>
      </c>
      <c r="J1590">
        <v>8.0862659584863994E-2</v>
      </c>
      <c r="K1590">
        <v>8.1990476416442096E-2</v>
      </c>
      <c r="L1590">
        <v>980.45056904370597</v>
      </c>
      <c r="M1590">
        <v>19.526463803944001</v>
      </c>
      <c r="N1590">
        <v>50.643445576804702</v>
      </c>
      <c r="O1590">
        <v>49.693644703047298</v>
      </c>
      <c r="P1590">
        <v>-9.0700169729759E-2</v>
      </c>
      <c r="Q1590">
        <v>7.6727803330741098E-2</v>
      </c>
      <c r="R1590">
        <v>0.99819600200555803</v>
      </c>
      <c r="S1590" t="s">
        <v>8593</v>
      </c>
      <c r="T1590" t="s">
        <v>14004</v>
      </c>
      <c r="U1590" t="s">
        <v>14004</v>
      </c>
      <c r="V1590" t="s">
        <v>14004</v>
      </c>
      <c r="W1590" t="s">
        <v>15560</v>
      </c>
      <c r="X1590">
        <v>14</v>
      </c>
      <c r="Y1590" t="s">
        <v>22486</v>
      </c>
      <c r="Z1590" t="s">
        <v>29300</v>
      </c>
      <c r="AA1590">
        <v>0.40444134094559508</v>
      </c>
      <c r="AB1590" t="str">
        <f>HYPERLINK("Melting_Curves/meltCurve_O60234_GMFG.pdf", "Melting_Curves/meltCurve_O60234_GMFG.pdf")</f>
        <v>Melting_Curves/meltCurve_O60234_GMFG.pdf</v>
      </c>
    </row>
    <row r="1591" spans="1:28" x14ac:dyDescent="0.25">
      <c r="A1591" t="s">
        <v>1595</v>
      </c>
      <c r="B1591">
        <v>0.99999676499088797</v>
      </c>
      <c r="C1591">
        <v>0.98427337998713904</v>
      </c>
      <c r="D1591">
        <v>0.868355564464795</v>
      </c>
      <c r="E1591">
        <v>0.77294583397279204</v>
      </c>
      <c r="F1591">
        <v>0.45495977580744101</v>
      </c>
      <c r="G1591">
        <v>0.17568093443646901</v>
      </c>
      <c r="H1591">
        <v>4.8779870938456898E-2</v>
      </c>
      <c r="I1591">
        <v>8.0316359747371099E-2</v>
      </c>
      <c r="J1591">
        <v>2.6457590401837601E-2</v>
      </c>
      <c r="K1591">
        <v>0</v>
      </c>
      <c r="L1591">
        <v>965.10123977437104</v>
      </c>
      <c r="M1591">
        <v>18.382465476930001</v>
      </c>
      <c r="N1591">
        <v>52.512563101460501</v>
      </c>
      <c r="O1591">
        <v>51.891702848798403</v>
      </c>
      <c r="P1591">
        <v>-8.8389861091071803E-2</v>
      </c>
      <c r="Q1591">
        <v>1.9854260767725898E-3</v>
      </c>
      <c r="R1591">
        <v>0.99488564602588803</v>
      </c>
      <c r="S1591" t="s">
        <v>8594</v>
      </c>
      <c r="T1591" t="s">
        <v>14004</v>
      </c>
      <c r="U1591" t="s">
        <v>14004</v>
      </c>
      <c r="V1591" t="s">
        <v>14004</v>
      </c>
      <c r="W1591" t="s">
        <v>15561</v>
      </c>
      <c r="X1591">
        <v>1</v>
      </c>
      <c r="Y1591" t="s">
        <v>22487</v>
      </c>
      <c r="Z1591" t="s">
        <v>29301</v>
      </c>
      <c r="AA1591">
        <v>0.43378202095291429</v>
      </c>
      <c r="AB1591" t="str">
        <f>HYPERLINK("Melting_Curves/meltCurve_O60239_SH3BP5.pdf", "Melting_Curves/meltCurve_O60239_SH3BP5.pdf")</f>
        <v>Melting_Curves/meltCurve_O60239_SH3BP5.pdf</v>
      </c>
    </row>
    <row r="1592" spans="1:28" x14ac:dyDescent="0.25">
      <c r="A1592" t="s">
        <v>1596</v>
      </c>
      <c r="B1592">
        <v>0.99999676499088797</v>
      </c>
      <c r="C1592">
        <v>0.95907108175562605</v>
      </c>
      <c r="D1592">
        <v>0.99207951017801999</v>
      </c>
      <c r="E1592">
        <v>0.79810194278762303</v>
      </c>
      <c r="F1592">
        <v>0.50614022252298696</v>
      </c>
      <c r="G1592">
        <v>0.39689541623637498</v>
      </c>
      <c r="H1592">
        <v>0.196897942125171</v>
      </c>
      <c r="I1592">
        <v>0.176939024812066</v>
      </c>
      <c r="J1592">
        <v>0.145950134882673</v>
      </c>
      <c r="K1592">
        <v>0.12077635123750199</v>
      </c>
      <c r="L1592">
        <v>889.26959899583596</v>
      </c>
      <c r="M1592">
        <v>16.7335446112513</v>
      </c>
      <c r="N1592">
        <v>54.019691866897197</v>
      </c>
      <c r="O1592">
        <v>52.401381597873304</v>
      </c>
      <c r="P1592">
        <v>-7.0344560392193806E-2</v>
      </c>
      <c r="Q1592">
        <v>0.118917357872176</v>
      </c>
      <c r="R1592">
        <v>0.99252390221819198</v>
      </c>
      <c r="S1592" t="s">
        <v>8595</v>
      </c>
      <c r="T1592" t="s">
        <v>14004</v>
      </c>
      <c r="U1592" t="s">
        <v>14004</v>
      </c>
      <c r="V1592" t="s">
        <v>14004</v>
      </c>
      <c r="W1592" t="s">
        <v>15562</v>
      </c>
      <c r="X1592">
        <v>5</v>
      </c>
      <c r="Y1592" t="s">
        <v>22488</v>
      </c>
      <c r="Z1592" t="s">
        <v>29302</v>
      </c>
      <c r="AA1592">
        <v>0.52101993813371306</v>
      </c>
      <c r="AB1592" t="str">
        <f>HYPERLINK("Melting_Curves/meltCurve_O60244_MED14.pdf", "Melting_Curves/meltCurve_O60244_MED14.pdf")</f>
        <v>Melting_Curves/meltCurve_O60244_MED14.pdf</v>
      </c>
    </row>
    <row r="1593" spans="1:28" x14ac:dyDescent="0.25">
      <c r="A1593" t="s">
        <v>1597</v>
      </c>
      <c r="B1593">
        <v>0.99999676499088797</v>
      </c>
      <c r="C1593">
        <v>1.0064426142424601</v>
      </c>
      <c r="D1593">
        <v>1.0018035142973301</v>
      </c>
      <c r="E1593">
        <v>1.0272312118359801</v>
      </c>
      <c r="F1593">
        <v>1.0270627024921299</v>
      </c>
      <c r="G1593">
        <v>0.92489017551559305</v>
      </c>
      <c r="H1593">
        <v>0.50873609639512296</v>
      </c>
      <c r="I1593">
        <v>0.16331100598144099</v>
      </c>
      <c r="J1593">
        <v>8.6411556717320995E-2</v>
      </c>
      <c r="K1593">
        <v>5.9557115999090603E-2</v>
      </c>
      <c r="L1593">
        <v>2312.6303186451</v>
      </c>
      <c r="M1593">
        <v>38.1342948229345</v>
      </c>
      <c r="N1593">
        <v>60.8356050128112</v>
      </c>
      <c r="O1593">
        <v>60.4783228994064</v>
      </c>
      <c r="P1593">
        <v>-0.14873188369549101</v>
      </c>
      <c r="Q1593">
        <v>5.64889299799783E-2</v>
      </c>
      <c r="R1593">
        <v>0.99880766197055104</v>
      </c>
      <c r="S1593" t="s">
        <v>8596</v>
      </c>
      <c r="T1593" t="s">
        <v>14004</v>
      </c>
      <c r="U1593" t="s">
        <v>14004</v>
      </c>
      <c r="V1593" t="s">
        <v>14004</v>
      </c>
      <c r="W1593" t="s">
        <v>15563</v>
      </c>
      <c r="X1593">
        <v>20</v>
      </c>
      <c r="Y1593" t="s">
        <v>22489</v>
      </c>
      <c r="Z1593" t="s">
        <v>29303</v>
      </c>
      <c r="AA1593">
        <v>0.70968519162763399</v>
      </c>
      <c r="AB1593" t="str">
        <f>HYPERLINK("Melting_Curves/meltCurve_O60256_PRPSAP2.pdf", "Melting_Curves/meltCurve_O60256_PRPSAP2.pdf")</f>
        <v>Melting_Curves/meltCurve_O60256_PRPSAP2.pdf</v>
      </c>
    </row>
    <row r="1594" spans="1:28" x14ac:dyDescent="0.25">
      <c r="A1594" t="s">
        <v>1598</v>
      </c>
      <c r="B1594">
        <v>0.99999676499088797</v>
      </c>
      <c r="C1594">
        <v>1.0751792565338001</v>
      </c>
      <c r="D1594">
        <v>1.0460651394898499</v>
      </c>
      <c r="E1594">
        <v>1.0024992354508999</v>
      </c>
      <c r="F1594">
        <v>1.04706379022994</v>
      </c>
      <c r="G1594">
        <v>0.85488679187444705</v>
      </c>
      <c r="H1594">
        <v>0.45400009893636001</v>
      </c>
      <c r="I1594">
        <v>0.43035546867441499</v>
      </c>
      <c r="J1594">
        <v>0.51191856126809898</v>
      </c>
      <c r="K1594">
        <v>0.22727869441412099</v>
      </c>
      <c r="L1594">
        <v>2725.1159385934502</v>
      </c>
      <c r="M1594">
        <v>46.768379677327601</v>
      </c>
      <c r="N1594">
        <v>60.146764947831102</v>
      </c>
      <c r="O1594">
        <v>58.162118053814098</v>
      </c>
      <c r="P1594">
        <v>-0.12384189626131099</v>
      </c>
      <c r="Q1594">
        <v>0.38395149123318201</v>
      </c>
      <c r="R1594">
        <v>0.94359023162387701</v>
      </c>
      <c r="S1594" t="s">
        <v>8597</v>
      </c>
      <c r="T1594" t="s">
        <v>14004</v>
      </c>
      <c r="U1594" t="s">
        <v>14004</v>
      </c>
      <c r="V1594" t="s">
        <v>14004</v>
      </c>
      <c r="W1594" t="s">
        <v>15564</v>
      </c>
      <c r="X1594">
        <v>3</v>
      </c>
      <c r="Y1594" t="s">
        <v>22490</v>
      </c>
      <c r="Z1594" t="s">
        <v>29304</v>
      </c>
      <c r="AA1594">
        <v>0.76088684831565745</v>
      </c>
      <c r="AB1594" t="str">
        <f>HYPERLINK("Melting_Curves/meltCurve_O60262_GNG7.pdf", "Melting_Curves/meltCurve_O60262_GNG7.pdf")</f>
        <v>Melting_Curves/meltCurve_O60262_GNG7.pdf</v>
      </c>
    </row>
    <row r="1595" spans="1:28" x14ac:dyDescent="0.25">
      <c r="A1595" t="s">
        <v>1599</v>
      </c>
      <c r="B1595">
        <v>0.99999676499088797</v>
      </c>
      <c r="C1595">
        <v>0.93183461988609695</v>
      </c>
      <c r="D1595">
        <v>0.59031041494727099</v>
      </c>
      <c r="E1595">
        <v>0.21476946654941401</v>
      </c>
      <c r="F1595">
        <v>0.154537594454879</v>
      </c>
      <c r="G1595">
        <v>0.101878715102475</v>
      </c>
      <c r="H1595">
        <v>5.2407273627113997E-2</v>
      </c>
      <c r="I1595">
        <v>5.7469413333636601E-2</v>
      </c>
      <c r="J1595">
        <v>6.0434413086171403E-2</v>
      </c>
      <c r="K1595">
        <v>4.5044719531257299E-2</v>
      </c>
      <c r="L1595">
        <v>1212.7256698526101</v>
      </c>
      <c r="M1595">
        <v>26.0660913079534</v>
      </c>
      <c r="N1595">
        <v>46.791674872993099</v>
      </c>
      <c r="O1595">
        <v>46.253785351404403</v>
      </c>
      <c r="P1595">
        <v>-0.13116441887557001</v>
      </c>
      <c r="Q1595">
        <v>6.9015497204235901E-2</v>
      </c>
      <c r="R1595">
        <v>0.99576091755776197</v>
      </c>
      <c r="S1595" t="s">
        <v>8598</v>
      </c>
      <c r="T1595" t="s">
        <v>14004</v>
      </c>
      <c r="U1595" t="s">
        <v>14004</v>
      </c>
      <c r="V1595" t="s">
        <v>14004</v>
      </c>
      <c r="W1595" t="s">
        <v>15565</v>
      </c>
      <c r="X1595">
        <v>34</v>
      </c>
      <c r="Y1595" t="s">
        <v>22491</v>
      </c>
      <c r="Z1595" t="s">
        <v>29305</v>
      </c>
      <c r="AA1595">
        <v>0.27916668824875629</v>
      </c>
      <c r="AB1595" t="str">
        <f>HYPERLINK("Melting_Curves/meltCurve_O60264_SMARCA5.pdf", "Melting_Curves/meltCurve_O60264_SMARCA5.pdf")</f>
        <v>Melting_Curves/meltCurve_O60264_SMARCA5.pdf</v>
      </c>
    </row>
    <row r="1596" spans="1:28" x14ac:dyDescent="0.25">
      <c r="A1596" t="s">
        <v>1600</v>
      </c>
      <c r="B1596">
        <v>0.99999676499088797</v>
      </c>
      <c r="C1596">
        <v>1.00865021343683</v>
      </c>
      <c r="D1596">
        <v>1.0115822646463799</v>
      </c>
      <c r="E1596">
        <v>0.57498545594946204</v>
      </c>
      <c r="F1596">
        <v>0.30106823337687399</v>
      </c>
      <c r="G1596">
        <v>0.196590159669293</v>
      </c>
      <c r="H1596">
        <v>0.10271462035903001</v>
      </c>
      <c r="I1596">
        <v>8.5680135125749804E-2</v>
      </c>
      <c r="J1596">
        <v>7.9763605974182999E-2</v>
      </c>
      <c r="K1596">
        <v>8.4554751721993601E-2</v>
      </c>
      <c r="L1596">
        <v>1293.10033315909</v>
      </c>
      <c r="M1596">
        <v>25.710671235533901</v>
      </c>
      <c r="N1596">
        <v>50.725474607519899</v>
      </c>
      <c r="O1596">
        <v>49.993007074357799</v>
      </c>
      <c r="P1596">
        <v>-0.115952989672039</v>
      </c>
      <c r="Q1596">
        <v>9.8153688717307799E-2</v>
      </c>
      <c r="R1596">
        <v>0.99023320090425504</v>
      </c>
      <c r="S1596" t="s">
        <v>8599</v>
      </c>
      <c r="T1596" t="s">
        <v>14004</v>
      </c>
      <c r="U1596" t="s">
        <v>14004</v>
      </c>
      <c r="V1596" t="s">
        <v>14004</v>
      </c>
      <c r="W1596" t="s">
        <v>15566</v>
      </c>
      <c r="X1596">
        <v>29</v>
      </c>
      <c r="Y1596" t="s">
        <v>22492</v>
      </c>
      <c r="Z1596" t="s">
        <v>29306</v>
      </c>
      <c r="AA1596">
        <v>0.41526070145264732</v>
      </c>
      <c r="AB1596" t="str">
        <f>HYPERLINK("Melting_Curves/meltCurve_O60271_4_SPAG9.pdf", "Melting_Curves/meltCurve_O60271_4_SPAG9.pdf")</f>
        <v>Melting_Curves/meltCurve_O60271_4_SPAG9.pdf</v>
      </c>
    </row>
    <row r="1597" spans="1:28" x14ac:dyDescent="0.25">
      <c r="A1597" t="s">
        <v>1601</v>
      </c>
      <c r="B1597">
        <v>0.99999676499088797</v>
      </c>
      <c r="C1597">
        <v>1.11519936591708</v>
      </c>
      <c r="D1597">
        <v>1.1044880913281201</v>
      </c>
      <c r="E1597">
        <v>0.54884342325066404</v>
      </c>
      <c r="F1597">
        <v>0.29726723443077502</v>
      </c>
      <c r="G1597">
        <v>0.25595883620676502</v>
      </c>
      <c r="H1597">
        <v>0.18369335729942099</v>
      </c>
      <c r="I1597">
        <v>0.190238664969863</v>
      </c>
      <c r="J1597">
        <v>0.166026759582796</v>
      </c>
      <c r="K1597">
        <v>9.8583421613940903E-2</v>
      </c>
      <c r="L1597">
        <v>3416.1593544764401</v>
      </c>
      <c r="M1597">
        <v>69.095925555074999</v>
      </c>
      <c r="N1597">
        <v>49.802058907569702</v>
      </c>
      <c r="O1597">
        <v>49.399458698784898</v>
      </c>
      <c r="P1597">
        <v>-0.280761041242514</v>
      </c>
      <c r="Q1597">
        <v>0.19709073573403399</v>
      </c>
      <c r="R1597">
        <v>0.96907997458304396</v>
      </c>
      <c r="S1597" t="s">
        <v>8600</v>
      </c>
      <c r="T1597" t="s">
        <v>14004</v>
      </c>
      <c r="U1597" t="s">
        <v>14004</v>
      </c>
      <c r="V1597" t="s">
        <v>14004</v>
      </c>
      <c r="W1597" t="s">
        <v>15567</v>
      </c>
      <c r="X1597">
        <v>5</v>
      </c>
      <c r="Y1597" t="s">
        <v>22493</v>
      </c>
      <c r="Z1597" t="s">
        <v>29307</v>
      </c>
      <c r="AA1597">
        <v>0.45067598424463978</v>
      </c>
      <c r="AB1597" t="str">
        <f>HYPERLINK("Melting_Curves/meltCurve_O60287_URB1.pdf", "Melting_Curves/meltCurve_O60287_URB1.pdf")</f>
        <v>Melting_Curves/meltCurve_O60287_URB1.pdf</v>
      </c>
    </row>
    <row r="1598" spans="1:28" x14ac:dyDescent="0.25">
      <c r="A1598" t="s">
        <v>1602</v>
      </c>
      <c r="B1598">
        <v>0.99999676499088797</v>
      </c>
      <c r="C1598">
        <v>0.99900974432515699</v>
      </c>
      <c r="D1598">
        <v>0.92210195823248697</v>
      </c>
      <c r="E1598">
        <v>0.46354589883187097</v>
      </c>
      <c r="F1598">
        <v>0.18383316092211999</v>
      </c>
      <c r="G1598">
        <v>9.4457086041117397E-2</v>
      </c>
      <c r="H1598">
        <v>3.1690626874077199E-2</v>
      </c>
      <c r="I1598">
        <v>3.87895524456211E-2</v>
      </c>
      <c r="J1598">
        <v>5.7289676006779901E-2</v>
      </c>
      <c r="K1598">
        <v>3.8338842051051099E-2</v>
      </c>
      <c r="L1598">
        <v>1416.18389953004</v>
      </c>
      <c r="M1598">
        <v>28.706302587804199</v>
      </c>
      <c r="N1598">
        <v>49.514118379835502</v>
      </c>
      <c r="O1598">
        <v>49.096008169954303</v>
      </c>
      <c r="P1598">
        <v>-0.13891124453981199</v>
      </c>
      <c r="Q1598">
        <v>4.96952256360449E-2</v>
      </c>
      <c r="R1598">
        <v>0.99772925278624203</v>
      </c>
      <c r="S1598" t="s">
        <v>8601</v>
      </c>
      <c r="T1598" t="s">
        <v>14004</v>
      </c>
      <c r="U1598" t="s">
        <v>14004</v>
      </c>
      <c r="V1598" t="s">
        <v>14004</v>
      </c>
      <c r="W1598" t="s">
        <v>15568</v>
      </c>
      <c r="X1598">
        <v>6</v>
      </c>
      <c r="Y1598" t="s">
        <v>22494</v>
      </c>
      <c r="Z1598" t="s">
        <v>29308</v>
      </c>
      <c r="AA1598">
        <v>0.35171659388389681</v>
      </c>
      <c r="AB1598" t="str">
        <f>HYPERLINK("Melting_Curves/meltCurve_O60294_LCMT2.pdf", "Melting_Curves/meltCurve_O60294_LCMT2.pdf")</f>
        <v>Melting_Curves/meltCurve_O60294_LCMT2.pdf</v>
      </c>
    </row>
    <row r="1599" spans="1:28" x14ac:dyDescent="0.25">
      <c r="A1599" t="s">
        <v>1603</v>
      </c>
      <c r="B1599">
        <v>0.99999676499088797</v>
      </c>
      <c r="C1599">
        <v>0.93296177220080101</v>
      </c>
      <c r="D1599">
        <v>0.71646871713604698</v>
      </c>
      <c r="E1599">
        <v>0.612936791149158</v>
      </c>
      <c r="F1599">
        <v>0.404931615779758</v>
      </c>
      <c r="G1599">
        <v>0.21619461375118801</v>
      </c>
      <c r="H1599">
        <v>9.7643930946017296E-2</v>
      </c>
      <c r="I1599">
        <v>8.3883828360854798E-2</v>
      </c>
      <c r="J1599">
        <v>7.77287257910559E-2</v>
      </c>
      <c r="K1599">
        <v>6.8625289235582199E-2</v>
      </c>
      <c r="L1599">
        <v>623.05986349723798</v>
      </c>
      <c r="M1599">
        <v>12.2603351240433</v>
      </c>
      <c r="N1599">
        <v>50.968238916390803</v>
      </c>
      <c r="O1599">
        <v>49.523895636937397</v>
      </c>
      <c r="P1599">
        <v>-6.0814450507519997E-2</v>
      </c>
      <c r="Q1599">
        <v>1.7612314961988399E-2</v>
      </c>
      <c r="R1599">
        <v>0.99142639890319495</v>
      </c>
      <c r="S1599" t="s">
        <v>8602</v>
      </c>
      <c r="T1599" t="s">
        <v>14004</v>
      </c>
      <c r="U1599" t="s">
        <v>14004</v>
      </c>
      <c r="V1599" t="s">
        <v>14004</v>
      </c>
      <c r="W1599" t="s">
        <v>15569</v>
      </c>
      <c r="X1599">
        <v>19</v>
      </c>
      <c r="Y1599" t="s">
        <v>22495</v>
      </c>
      <c r="Z1599" t="s">
        <v>29309</v>
      </c>
      <c r="AA1599">
        <v>0.40328818006651362</v>
      </c>
      <c r="AB1599" t="str">
        <f>HYPERLINK("Melting_Curves/meltCurve_O60306_AQR.pdf", "Melting_Curves/meltCurve_O60306_AQR.pdf")</f>
        <v>Melting_Curves/meltCurve_O60306_AQR.pdf</v>
      </c>
    </row>
    <row r="1600" spans="1:28" x14ac:dyDescent="0.25">
      <c r="A1600" t="s">
        <v>1604</v>
      </c>
      <c r="B1600">
        <v>0.99999676499088797</v>
      </c>
      <c r="C1600">
        <v>1.0757241922677301</v>
      </c>
      <c r="D1600">
        <v>0.74098886968702304</v>
      </c>
      <c r="E1600">
        <v>0.39543278395044801</v>
      </c>
      <c r="F1600">
        <v>0.188379152695765</v>
      </c>
      <c r="G1600">
        <v>0.11884526665770501</v>
      </c>
      <c r="H1600">
        <v>5.6159579765998703E-2</v>
      </c>
      <c r="I1600">
        <v>8.7671544041425298E-2</v>
      </c>
      <c r="J1600">
        <v>5.9076961826626001E-2</v>
      </c>
      <c r="K1600">
        <v>5.5912647899130703E-2</v>
      </c>
      <c r="L1600">
        <v>1162.223194854</v>
      </c>
      <c r="M1600">
        <v>24.0598005274896</v>
      </c>
      <c r="N1600">
        <v>48.619534534055298</v>
      </c>
      <c r="O1600">
        <v>47.975587505710699</v>
      </c>
      <c r="P1600">
        <v>-0.11635715377686399</v>
      </c>
      <c r="Q1600">
        <v>7.1942802373180001E-2</v>
      </c>
      <c r="R1600">
        <v>0.98777575244599103</v>
      </c>
      <c r="S1600" t="s">
        <v>8603</v>
      </c>
      <c r="T1600" t="s">
        <v>14004</v>
      </c>
      <c r="U1600" t="s">
        <v>14004</v>
      </c>
      <c r="V1600" t="s">
        <v>14004</v>
      </c>
      <c r="W1600" t="s">
        <v>15570</v>
      </c>
      <c r="X1600">
        <v>3</v>
      </c>
      <c r="Y1600" t="s">
        <v>22496</v>
      </c>
      <c r="Z1600" t="s">
        <v>29310</v>
      </c>
      <c r="AA1600">
        <v>0.33776886811093038</v>
      </c>
      <c r="AB1600" t="str">
        <f>HYPERLINK("Melting_Curves/meltCurve_O60307_MAST3.pdf", "Melting_Curves/meltCurve_O60307_MAST3.pdf")</f>
        <v>Melting_Curves/meltCurve_O60307_MAST3.pdf</v>
      </c>
    </row>
    <row r="1601" spans="1:28" x14ac:dyDescent="0.25">
      <c r="A1601" t="s">
        <v>1605</v>
      </c>
      <c r="B1601">
        <v>0.99999676499088797</v>
      </c>
      <c r="C1601">
        <v>0.97356969904130297</v>
      </c>
      <c r="D1601">
        <v>1.00400743499153</v>
      </c>
      <c r="E1601">
        <v>0.76303704872007605</v>
      </c>
      <c r="F1601">
        <v>0.339980685603608</v>
      </c>
      <c r="G1601">
        <v>0.23104679345922899</v>
      </c>
      <c r="H1601">
        <v>0.11800640024829299</v>
      </c>
      <c r="I1601">
        <v>0.11209845130122501</v>
      </c>
      <c r="J1601">
        <v>9.52806068580664E-2</v>
      </c>
      <c r="K1601">
        <v>9.1145907707961799E-2</v>
      </c>
      <c r="L1601">
        <v>1393.3472467641</v>
      </c>
      <c r="M1601">
        <v>27.086488410996299</v>
      </c>
      <c r="N1601">
        <v>51.908840516165199</v>
      </c>
      <c r="O1601">
        <v>51.162720671465699</v>
      </c>
      <c r="P1601">
        <v>-0.118012323891835</v>
      </c>
      <c r="Q1601">
        <v>0.108370921192329</v>
      </c>
      <c r="R1601">
        <v>0.995577351437402</v>
      </c>
      <c r="S1601" t="s">
        <v>8604</v>
      </c>
      <c r="T1601" t="s">
        <v>14004</v>
      </c>
      <c r="U1601" t="s">
        <v>14004</v>
      </c>
      <c r="V1601" t="s">
        <v>14004</v>
      </c>
      <c r="W1601" t="s">
        <v>15571</v>
      </c>
      <c r="X1601">
        <v>42</v>
      </c>
      <c r="Y1601" t="s">
        <v>22497</v>
      </c>
      <c r="Z1601" t="s">
        <v>29311</v>
      </c>
      <c r="AA1601">
        <v>0.45531450104645371</v>
      </c>
      <c r="AB1601" t="str">
        <f>HYPERLINK("Melting_Curves/meltCurve_O60313_2_OPA1.pdf", "Melting_Curves/meltCurve_O60313_2_OPA1.pdf")</f>
        <v>Melting_Curves/meltCurve_O60313_2_OPA1.pdf</v>
      </c>
    </row>
    <row r="1602" spans="1:28" x14ac:dyDescent="0.25">
      <c r="A1602" t="s">
        <v>1606</v>
      </c>
      <c r="B1602">
        <v>0.99999676499088797</v>
      </c>
      <c r="C1602">
        <v>0.95400193993786597</v>
      </c>
      <c r="D1602">
        <v>0.983945701349899</v>
      </c>
      <c r="E1602">
        <v>0.61539613090114398</v>
      </c>
      <c r="F1602">
        <v>0.30059477393684803</v>
      </c>
      <c r="G1602">
        <v>0.20977352343744499</v>
      </c>
      <c r="H1602">
        <v>5.8170653871273403E-2</v>
      </c>
      <c r="I1602">
        <v>6.9515930165154394E-2</v>
      </c>
      <c r="J1602">
        <v>8.1121434742900095E-2</v>
      </c>
      <c r="K1602">
        <v>6.64124632452429E-2</v>
      </c>
      <c r="L1602">
        <v>1156.36652941086</v>
      </c>
      <c r="M1602">
        <v>22.822373777091901</v>
      </c>
      <c r="N1602">
        <v>51.019218907739003</v>
      </c>
      <c r="O1602">
        <v>50.283906787819902</v>
      </c>
      <c r="P1602">
        <v>-0.10522344458183</v>
      </c>
      <c r="Q1602">
        <v>7.2674244912715194E-2</v>
      </c>
      <c r="R1602">
        <v>0.99203549586641104</v>
      </c>
      <c r="S1602" t="s">
        <v>8605</v>
      </c>
      <c r="T1602" t="s">
        <v>14004</v>
      </c>
      <c r="U1602" t="s">
        <v>14004</v>
      </c>
      <c r="V1602" t="s">
        <v>14004</v>
      </c>
      <c r="W1602" t="s">
        <v>15572</v>
      </c>
      <c r="X1602">
        <v>4</v>
      </c>
      <c r="Y1602" t="s">
        <v>22498</v>
      </c>
      <c r="Z1602" t="s">
        <v>29312</v>
      </c>
      <c r="AA1602">
        <v>0.41242250916204631</v>
      </c>
      <c r="AB1602" t="str">
        <f>HYPERLINK("Melting_Curves/meltCurve_O60331_4_PIP5K1C.pdf", "Melting_Curves/meltCurve_O60331_4_PIP5K1C.pdf")</f>
        <v>Melting_Curves/meltCurve_O60331_4_PIP5K1C.pdf</v>
      </c>
    </row>
    <row r="1603" spans="1:28" x14ac:dyDescent="0.25">
      <c r="A1603" t="s">
        <v>1607</v>
      </c>
      <c r="B1603">
        <v>0.99999676499088797</v>
      </c>
      <c r="C1603">
        <v>0.99489562543997601</v>
      </c>
      <c r="D1603">
        <v>0.86659252258151898</v>
      </c>
      <c r="E1603">
        <v>0.65590963963552396</v>
      </c>
      <c r="F1603">
        <v>0.38353902026703601</v>
      </c>
      <c r="G1603">
        <v>0.21361405320492399</v>
      </c>
      <c r="H1603">
        <v>9.6361569421829593E-2</v>
      </c>
      <c r="I1603">
        <v>9.9692883764448195E-2</v>
      </c>
      <c r="J1603">
        <v>9.5982618900125299E-2</v>
      </c>
      <c r="K1603">
        <v>7.8214282252499504E-2</v>
      </c>
      <c r="L1603">
        <v>898.02762467977004</v>
      </c>
      <c r="M1603">
        <v>17.576134820526999</v>
      </c>
      <c r="N1603">
        <v>51.534383775527402</v>
      </c>
      <c r="O1603">
        <v>50.445935131552503</v>
      </c>
      <c r="P1603">
        <v>-8.1029057113379599E-2</v>
      </c>
      <c r="Q1603">
        <v>6.9792080330140699E-2</v>
      </c>
      <c r="R1603">
        <v>0.99857230923580698</v>
      </c>
      <c r="S1603" t="s">
        <v>8606</v>
      </c>
      <c r="T1603" t="s">
        <v>14004</v>
      </c>
      <c r="U1603" t="s">
        <v>14004</v>
      </c>
      <c r="V1603" t="s">
        <v>14004</v>
      </c>
      <c r="W1603" t="s">
        <v>15573</v>
      </c>
      <c r="X1603">
        <v>12</v>
      </c>
      <c r="Y1603" t="s">
        <v>22499</v>
      </c>
      <c r="Z1603" t="s">
        <v>29313</v>
      </c>
      <c r="AA1603">
        <v>0.43010681402569478</v>
      </c>
      <c r="AB1603" t="str">
        <f>HYPERLINK("Melting_Curves/meltCurve_O60333_2_KIF1B.pdf", "Melting_Curves/meltCurve_O60333_2_KIF1B.pdf")</f>
        <v>Melting_Curves/meltCurve_O60333_2_KIF1B.pdf</v>
      </c>
    </row>
    <row r="1604" spans="1:28" x14ac:dyDescent="0.25">
      <c r="A1604" t="s">
        <v>1608</v>
      </c>
      <c r="B1604">
        <v>0.99999676499088797</v>
      </c>
      <c r="C1604">
        <v>0.87622222842392194</v>
      </c>
      <c r="D1604">
        <v>0.82272161528769805</v>
      </c>
      <c r="E1604">
        <v>0.84904308617410795</v>
      </c>
      <c r="F1604">
        <v>0.67683330521574303</v>
      </c>
      <c r="G1604">
        <v>0.36233237019720499</v>
      </c>
      <c r="H1604">
        <v>0.26087229819105101</v>
      </c>
      <c r="I1604">
        <v>0.20434402898361601</v>
      </c>
      <c r="J1604">
        <v>0.22693713118297501</v>
      </c>
      <c r="K1604">
        <v>0.219720376343985</v>
      </c>
      <c r="L1604">
        <v>735.78816912752802</v>
      </c>
      <c r="M1604">
        <v>13.6994740834845</v>
      </c>
      <c r="N1604">
        <v>55.141460021687799</v>
      </c>
      <c r="O1604">
        <v>52.603562802130703</v>
      </c>
      <c r="P1604">
        <v>-5.5368381251454803E-2</v>
      </c>
      <c r="Q1604">
        <v>0.14970307856034501</v>
      </c>
      <c r="R1604">
        <v>0.96202044323623603</v>
      </c>
      <c r="S1604" t="s">
        <v>8607</v>
      </c>
      <c r="T1604" t="s">
        <v>14004</v>
      </c>
      <c r="U1604" t="s">
        <v>14004</v>
      </c>
      <c r="V1604" t="s">
        <v>14004</v>
      </c>
      <c r="W1604" t="s">
        <v>15574</v>
      </c>
      <c r="X1604">
        <v>1</v>
      </c>
      <c r="Y1604" t="s">
        <v>22500</v>
      </c>
      <c r="Z1604" t="s">
        <v>29314</v>
      </c>
      <c r="AA1604">
        <v>0.55805874455138726</v>
      </c>
      <c r="AB1604" t="str">
        <f>HYPERLINK("Melting_Curves/meltCurve_O60337_5_MARCH6.pdf", "Melting_Curves/meltCurve_O60337_5_MARCH6.pdf")</f>
        <v>Melting_Curves/meltCurve_O60337_5_MARCH6.pdf</v>
      </c>
    </row>
    <row r="1605" spans="1:28" x14ac:dyDescent="0.25">
      <c r="A1605" t="s">
        <v>1609</v>
      </c>
      <c r="B1605">
        <v>0.99999676499088797</v>
      </c>
      <c r="C1605">
        <v>0.87814918025700905</v>
      </c>
      <c r="D1605">
        <v>0.73095240639210401</v>
      </c>
      <c r="E1605">
        <v>0.49028588400002998</v>
      </c>
      <c r="F1605">
        <v>0.21182082286703399</v>
      </c>
      <c r="G1605">
        <v>0.129057442170326</v>
      </c>
      <c r="H1605">
        <v>6.3271700489993907E-2</v>
      </c>
      <c r="I1605">
        <v>5.6290355732275102E-2</v>
      </c>
      <c r="J1605">
        <v>4.9266991885972097E-2</v>
      </c>
      <c r="K1605">
        <v>4.6371973488455502E-2</v>
      </c>
      <c r="L1605">
        <v>778.95420353659597</v>
      </c>
      <c r="M1605">
        <v>15.9400164512847</v>
      </c>
      <c r="N1605">
        <v>49.069861337425998</v>
      </c>
      <c r="O1605">
        <v>48.118142823232603</v>
      </c>
      <c r="P1605">
        <v>-8.0193328177121201E-2</v>
      </c>
      <c r="Q1605">
        <v>3.17588516464785E-2</v>
      </c>
      <c r="R1605">
        <v>0.997328958699506</v>
      </c>
      <c r="S1605" t="s">
        <v>8608</v>
      </c>
      <c r="T1605" t="s">
        <v>14004</v>
      </c>
      <c r="U1605" t="s">
        <v>14004</v>
      </c>
      <c r="V1605" t="s">
        <v>14004</v>
      </c>
      <c r="W1605" t="s">
        <v>15575</v>
      </c>
      <c r="X1605">
        <v>28</v>
      </c>
      <c r="Y1605" t="s">
        <v>22501</v>
      </c>
      <c r="Z1605" t="s">
        <v>29315</v>
      </c>
      <c r="AA1605">
        <v>0.33934045638606403</v>
      </c>
      <c r="AB1605" t="str">
        <f>HYPERLINK("Melting_Curves/meltCurve_O60341_KDM1A.pdf", "Melting_Curves/meltCurve_O60341_KDM1A.pdf")</f>
        <v>Melting_Curves/meltCurve_O60341_KDM1A.pdf</v>
      </c>
    </row>
    <row r="1606" spans="1:28" x14ac:dyDescent="0.25">
      <c r="A1606" t="s">
        <v>1610</v>
      </c>
      <c r="B1606">
        <v>0.99999676499088797</v>
      </c>
      <c r="C1606">
        <v>1.0041707830276501</v>
      </c>
      <c r="D1606">
        <v>0.93285854189180895</v>
      </c>
      <c r="E1606">
        <v>0.70942740119105197</v>
      </c>
      <c r="F1606">
        <v>0.38189264426767999</v>
      </c>
      <c r="G1606">
        <v>0.24974066823051499</v>
      </c>
      <c r="H1606">
        <v>0.16198244871322201</v>
      </c>
      <c r="I1606">
        <v>0.12501263421435799</v>
      </c>
      <c r="J1606">
        <v>9.6478301126377106E-2</v>
      </c>
      <c r="K1606">
        <v>0.12749749959161699</v>
      </c>
      <c r="L1606">
        <v>1060.8268323825801</v>
      </c>
      <c r="M1606">
        <v>20.680572016762699</v>
      </c>
      <c r="N1606">
        <v>51.961724530236303</v>
      </c>
      <c r="O1606">
        <v>50.823406959939497</v>
      </c>
      <c r="P1606">
        <v>-8.9888237899039894E-2</v>
      </c>
      <c r="Q1606">
        <v>0.116408076093883</v>
      </c>
      <c r="R1606">
        <v>0.99810349521574504</v>
      </c>
      <c r="S1606" t="s">
        <v>8609</v>
      </c>
      <c r="T1606" t="s">
        <v>14004</v>
      </c>
      <c r="U1606" t="s">
        <v>14004</v>
      </c>
      <c r="V1606" t="s">
        <v>14004</v>
      </c>
      <c r="W1606" t="s">
        <v>15576</v>
      </c>
      <c r="X1606">
        <v>11</v>
      </c>
      <c r="Y1606" t="s">
        <v>22502</v>
      </c>
      <c r="Z1606" t="s">
        <v>29316</v>
      </c>
      <c r="AA1606">
        <v>0.46062176279192613</v>
      </c>
      <c r="AB1606" t="str">
        <f>HYPERLINK("Melting_Curves/meltCurve_O60343_2_TBC1D4.pdf", "Melting_Curves/meltCurve_O60343_2_TBC1D4.pdf")</f>
        <v>Melting_Curves/meltCurve_O60343_2_TBC1D4.pdf</v>
      </c>
    </row>
    <row r="1607" spans="1:28" x14ac:dyDescent="0.25">
      <c r="A1607" t="s">
        <v>1611</v>
      </c>
      <c r="B1607">
        <v>0.99999676499088797</v>
      </c>
      <c r="C1607">
        <v>0.736276144054402</v>
      </c>
      <c r="D1607">
        <v>0.31837402002399201</v>
      </c>
      <c r="E1607">
        <v>0.19343086657267899</v>
      </c>
      <c r="F1607">
        <v>0.132543611641918</v>
      </c>
      <c r="G1607">
        <v>8.6078680385876294E-2</v>
      </c>
      <c r="H1607">
        <v>4.4882592888208901E-2</v>
      </c>
      <c r="I1607">
        <v>6.0176044757926601E-2</v>
      </c>
      <c r="J1607">
        <v>7.0586283842586695E-2</v>
      </c>
      <c r="K1607">
        <v>4.3615407923772602E-2</v>
      </c>
      <c r="L1607">
        <v>1153.5331526549401</v>
      </c>
      <c r="M1607">
        <v>25.956267423914401</v>
      </c>
      <c r="N1607">
        <v>44.726083497823403</v>
      </c>
      <c r="O1607">
        <v>44.180155281902401</v>
      </c>
      <c r="P1607">
        <v>-0.135696240687186</v>
      </c>
      <c r="Q1607">
        <v>7.6136918183622004E-2</v>
      </c>
      <c r="R1607">
        <v>0.98889321840451605</v>
      </c>
      <c r="S1607" t="s">
        <v>8610</v>
      </c>
      <c r="T1607" t="s">
        <v>14004</v>
      </c>
      <c r="U1607" t="s">
        <v>14004</v>
      </c>
      <c r="V1607" t="s">
        <v>14004</v>
      </c>
      <c r="W1607" t="s">
        <v>15577</v>
      </c>
      <c r="X1607">
        <v>2</v>
      </c>
      <c r="Y1607" t="s">
        <v>22503</v>
      </c>
      <c r="Z1607" t="s">
        <v>29317</v>
      </c>
      <c r="AA1607">
        <v>0.2219072014100342</v>
      </c>
      <c r="AB1607" t="str">
        <f>HYPERLINK("Melting_Curves/meltCurve_O60344_4_ECE2.pdf", "Melting_Curves/meltCurve_O60344_4_ECE2.pdf")</f>
        <v>Melting_Curves/meltCurve_O60344_4_ECE2.pdf</v>
      </c>
    </row>
    <row r="1608" spans="1:28" x14ac:dyDescent="0.25">
      <c r="A1608" t="s">
        <v>1612</v>
      </c>
      <c r="B1608">
        <v>0.99999676499088797</v>
      </c>
      <c r="C1608">
        <v>1.1206374668371499</v>
      </c>
      <c r="D1608">
        <v>1.00091140371668</v>
      </c>
      <c r="E1608">
        <v>0.77849160730998501</v>
      </c>
      <c r="F1608">
        <v>0.66721041254784197</v>
      </c>
      <c r="G1608">
        <v>0.58147532194634199</v>
      </c>
      <c r="H1608">
        <v>0.309293271087413</v>
      </c>
      <c r="I1608">
        <v>0.26911391860779399</v>
      </c>
      <c r="J1608">
        <v>0.29001192036518902</v>
      </c>
      <c r="K1608">
        <v>0.221019433450169</v>
      </c>
      <c r="L1608">
        <v>778.219352115775</v>
      </c>
      <c r="M1608">
        <v>14.1801736081947</v>
      </c>
      <c r="N1608">
        <v>56.875826937317797</v>
      </c>
      <c r="O1608">
        <v>53.823956206338401</v>
      </c>
      <c r="P1608">
        <v>-5.2964797231705898E-2</v>
      </c>
      <c r="Q1608">
        <v>0.19594350954107201</v>
      </c>
      <c r="R1608">
        <v>0.96457383373364103</v>
      </c>
      <c r="S1608" t="s">
        <v>8611</v>
      </c>
      <c r="T1608" t="s">
        <v>14004</v>
      </c>
      <c r="U1608" t="s">
        <v>14004</v>
      </c>
      <c r="V1608" t="s">
        <v>14004</v>
      </c>
      <c r="W1608" t="s">
        <v>15578</v>
      </c>
      <c r="X1608">
        <v>4</v>
      </c>
      <c r="Y1608" t="s">
        <v>22504</v>
      </c>
      <c r="Z1608" t="s">
        <v>29318</v>
      </c>
      <c r="AA1608">
        <v>0.61135286599542182</v>
      </c>
      <c r="AB1608" t="str">
        <f>HYPERLINK("Melting_Curves/meltCurve_O60353_2_FZD6.pdf", "Melting_Curves/meltCurve_O60353_2_FZD6.pdf")</f>
        <v>Melting_Curves/meltCurve_O60353_2_FZD6.pdf</v>
      </c>
    </row>
    <row r="1609" spans="1:28" x14ac:dyDescent="0.25">
      <c r="A1609" t="s">
        <v>1613</v>
      </c>
      <c r="B1609">
        <v>0.99999676499088797</v>
      </c>
      <c r="C1609">
        <v>0.98963866794515598</v>
      </c>
      <c r="D1609">
        <v>0.96986378397419903</v>
      </c>
      <c r="E1609">
        <v>0.90979982860391995</v>
      </c>
      <c r="F1609">
        <v>0.47700208293436902</v>
      </c>
      <c r="G1609">
        <v>0.35479845719458503</v>
      </c>
      <c r="H1609">
        <v>0.19059154893552499</v>
      </c>
      <c r="I1609">
        <v>0.21206008778219601</v>
      </c>
      <c r="J1609">
        <v>0.204353501213619</v>
      </c>
      <c r="K1609">
        <v>0.18515079622337399</v>
      </c>
      <c r="L1609">
        <v>1494.9462750341299</v>
      </c>
      <c r="M1609">
        <v>28.501363846438299</v>
      </c>
      <c r="N1609">
        <v>53.429175380856698</v>
      </c>
      <c r="O1609">
        <v>52.195571394858902</v>
      </c>
      <c r="P1609">
        <v>-0.108779904482465</v>
      </c>
      <c r="Q1609">
        <v>0.203156256671082</v>
      </c>
      <c r="R1609">
        <v>0.99181612862667601</v>
      </c>
      <c r="S1609" t="s">
        <v>8612</v>
      </c>
      <c r="T1609" t="s">
        <v>14004</v>
      </c>
      <c r="U1609" t="s">
        <v>14004</v>
      </c>
      <c r="V1609" t="s">
        <v>14004</v>
      </c>
      <c r="W1609" t="s">
        <v>15579</v>
      </c>
      <c r="X1609">
        <v>6</v>
      </c>
      <c r="Y1609" t="s">
        <v>22505</v>
      </c>
      <c r="Z1609" t="s">
        <v>29319</v>
      </c>
      <c r="AA1609">
        <v>0.53956263975589702</v>
      </c>
      <c r="AB1609" t="str">
        <f>HYPERLINK("Melting_Curves/meltCurve_O60427_FADS1.pdf", "Melting_Curves/meltCurve_O60427_FADS1.pdf")</f>
        <v>Melting_Curves/meltCurve_O60427_FADS1.pdf</v>
      </c>
    </row>
    <row r="1610" spans="1:28" x14ac:dyDescent="0.25">
      <c r="A1610" t="s">
        <v>1614</v>
      </c>
      <c r="B1610">
        <v>0.99999676499088797</v>
      </c>
      <c r="C1610">
        <v>0.95646700952768904</v>
      </c>
      <c r="D1610">
        <v>0.95605364196753795</v>
      </c>
      <c r="E1610">
        <v>0.92841437813164196</v>
      </c>
      <c r="F1610">
        <v>0.48170822692415599</v>
      </c>
      <c r="G1610">
        <v>0.320186179303934</v>
      </c>
      <c r="H1610">
        <v>0.207881782519581</v>
      </c>
      <c r="I1610">
        <v>0.16052528979192099</v>
      </c>
      <c r="J1610">
        <v>0.15738156999017699</v>
      </c>
      <c r="K1610">
        <v>0.129377000965404</v>
      </c>
      <c r="L1610">
        <v>1426.11083773119</v>
      </c>
      <c r="M1610">
        <v>27.031225266229001</v>
      </c>
      <c r="N1610">
        <v>53.529215595016097</v>
      </c>
      <c r="O1610">
        <v>52.471700327500201</v>
      </c>
      <c r="P1610">
        <v>-0.10801670886439201</v>
      </c>
      <c r="Q1610">
        <v>0.161301123344405</v>
      </c>
      <c r="R1610">
        <v>0.99034656240435404</v>
      </c>
      <c r="S1610" t="s">
        <v>8613</v>
      </c>
      <c r="T1610" t="s">
        <v>14004</v>
      </c>
      <c r="U1610" t="s">
        <v>14004</v>
      </c>
      <c r="V1610" t="s">
        <v>14004</v>
      </c>
      <c r="W1610" t="s">
        <v>15580</v>
      </c>
      <c r="X1610">
        <v>3</v>
      </c>
      <c r="Y1610" t="s">
        <v>22506</v>
      </c>
      <c r="Z1610" t="s">
        <v>29320</v>
      </c>
      <c r="AA1610">
        <v>0.5246091729280743</v>
      </c>
      <c r="AB1610" t="str">
        <f>HYPERLINK("Melting_Curves/meltCurve_O60443_DFNA5.pdf", "Melting_Curves/meltCurve_O60443_DFNA5.pdf")</f>
        <v>Melting_Curves/meltCurve_O60443_DFNA5.pdf</v>
      </c>
    </row>
    <row r="1611" spans="1:28" x14ac:dyDescent="0.25">
      <c r="A1611" t="s">
        <v>1615</v>
      </c>
      <c r="B1611">
        <v>0.99999676499088797</v>
      </c>
      <c r="C1611">
        <v>1.0750791683468499</v>
      </c>
      <c r="D1611">
        <v>1.04672361652944</v>
      </c>
      <c r="E1611">
        <v>0.94174843883539205</v>
      </c>
      <c r="F1611">
        <v>0.65194663077223802</v>
      </c>
      <c r="G1611">
        <v>0.30450726160482899</v>
      </c>
      <c r="H1611">
        <v>9.3836623949104303E-2</v>
      </c>
      <c r="I1611">
        <v>9.9819086231797305E-2</v>
      </c>
      <c r="J1611">
        <v>0.13437817303260499</v>
      </c>
      <c r="K1611">
        <v>9.9299130921728804E-2</v>
      </c>
      <c r="L1611">
        <v>1579.9236301435301</v>
      </c>
      <c r="M1611">
        <v>29.182311761446499</v>
      </c>
      <c r="N1611">
        <v>54.549456400550099</v>
      </c>
      <c r="O1611">
        <v>53.887450225214202</v>
      </c>
      <c r="P1611">
        <v>-0.122063392703384</v>
      </c>
      <c r="Q1611">
        <v>9.8407702923812401E-2</v>
      </c>
      <c r="R1611">
        <v>0.993210414024982</v>
      </c>
      <c r="S1611" t="s">
        <v>8614</v>
      </c>
      <c r="T1611" t="s">
        <v>14004</v>
      </c>
      <c r="U1611" t="s">
        <v>14004</v>
      </c>
      <c r="V1611" t="s">
        <v>14004</v>
      </c>
      <c r="W1611" t="s">
        <v>15581</v>
      </c>
      <c r="X1611">
        <v>4</v>
      </c>
      <c r="Y1611" t="s">
        <v>22507</v>
      </c>
      <c r="Z1611" t="s">
        <v>29321</v>
      </c>
      <c r="AA1611">
        <v>0.52960568750690606</v>
      </c>
      <c r="AB1611" t="str">
        <f>HYPERLINK("Melting_Curves/meltCurve_O60476_MAN1A2.pdf", "Melting_Curves/meltCurve_O60476_MAN1A2.pdf")</f>
        <v>Melting_Curves/meltCurve_O60476_MAN1A2.pdf</v>
      </c>
    </row>
    <row r="1612" spans="1:28" x14ac:dyDescent="0.25">
      <c r="A1612" t="s">
        <v>1616</v>
      </c>
      <c r="B1612">
        <v>0.99999676499088797</v>
      </c>
      <c r="C1612">
        <v>0.89517424244531196</v>
      </c>
      <c r="D1612">
        <v>0.66366994999737805</v>
      </c>
      <c r="E1612">
        <v>0.27811511357248803</v>
      </c>
      <c r="F1612">
        <v>0.15927338876063801</v>
      </c>
      <c r="G1612">
        <v>0.102796775255744</v>
      </c>
      <c r="H1612">
        <v>4.3828444090220499E-2</v>
      </c>
      <c r="I1612">
        <v>5.1618951041239598E-2</v>
      </c>
      <c r="J1612">
        <v>5.5837591136900101E-2</v>
      </c>
      <c r="K1612">
        <v>4.2974014207659901E-2</v>
      </c>
      <c r="L1612">
        <v>1008.43434963633</v>
      </c>
      <c r="M1612">
        <v>21.3682258330252</v>
      </c>
      <c r="N1612">
        <v>47.446087301996499</v>
      </c>
      <c r="O1612">
        <v>46.785677997408897</v>
      </c>
      <c r="P1612">
        <v>-0.108037454860412</v>
      </c>
      <c r="Q1612">
        <v>5.3832736008991099E-2</v>
      </c>
      <c r="R1612">
        <v>0.99774774354236695</v>
      </c>
      <c r="S1612" t="s">
        <v>8615</v>
      </c>
      <c r="T1612" t="s">
        <v>14004</v>
      </c>
      <c r="U1612" t="s">
        <v>14004</v>
      </c>
      <c r="V1612" t="s">
        <v>14004</v>
      </c>
      <c r="W1612" t="s">
        <v>15582</v>
      </c>
      <c r="X1612">
        <v>26</v>
      </c>
      <c r="Y1612" t="s">
        <v>22508</v>
      </c>
      <c r="Z1612" t="s">
        <v>29322</v>
      </c>
      <c r="AA1612">
        <v>0.2925861937580499</v>
      </c>
      <c r="AB1612" t="str">
        <f>HYPERLINK("Melting_Curves/meltCurve_O60488_2_ACSL4.pdf", "Melting_Curves/meltCurve_O60488_2_ACSL4.pdf")</f>
        <v>Melting_Curves/meltCurve_O60488_2_ACSL4.pdf</v>
      </c>
    </row>
    <row r="1613" spans="1:28" x14ac:dyDescent="0.25">
      <c r="A1613" t="s">
        <v>1617</v>
      </c>
      <c r="B1613">
        <v>0.99999676499088797</v>
      </c>
      <c r="C1613">
        <v>0.82608416899664905</v>
      </c>
      <c r="D1613">
        <v>0.56728754707742801</v>
      </c>
      <c r="E1613">
        <v>0.239833365646756</v>
      </c>
      <c r="F1613">
        <v>0.16435335808937901</v>
      </c>
      <c r="G1613">
        <v>0.12809307758369701</v>
      </c>
      <c r="H1613">
        <v>5.7366789769641102E-2</v>
      </c>
      <c r="I1613">
        <v>6.6867025840607802E-2</v>
      </c>
      <c r="J1613">
        <v>7.1425326977566803E-2</v>
      </c>
      <c r="K1613">
        <v>6.9685536698160605E-2</v>
      </c>
      <c r="L1613">
        <v>935.98795517922099</v>
      </c>
      <c r="M1613">
        <v>20.246940675175701</v>
      </c>
      <c r="N1613">
        <v>46.598916688458203</v>
      </c>
      <c r="O1613">
        <v>45.784731899817302</v>
      </c>
      <c r="P1613">
        <v>-0.102343033481943</v>
      </c>
      <c r="Q1613">
        <v>7.4308883792030905E-2</v>
      </c>
      <c r="R1613">
        <v>0.99563073187246098</v>
      </c>
      <c r="S1613" t="s">
        <v>8616</v>
      </c>
      <c r="T1613" t="s">
        <v>14004</v>
      </c>
      <c r="U1613" t="s">
        <v>14004</v>
      </c>
      <c r="V1613" t="s">
        <v>14004</v>
      </c>
      <c r="W1613" t="s">
        <v>15583</v>
      </c>
      <c r="X1613">
        <v>12</v>
      </c>
      <c r="Y1613" t="s">
        <v>22509</v>
      </c>
      <c r="Z1613" t="s">
        <v>29323</v>
      </c>
      <c r="AA1613">
        <v>0.28020704457449891</v>
      </c>
      <c r="AB1613" t="str">
        <f>HYPERLINK("Melting_Curves/meltCurve_O60493_SNX3.pdf", "Melting_Curves/meltCurve_O60493_SNX3.pdf")</f>
        <v>Melting_Curves/meltCurve_O60493_SNX3.pdf</v>
      </c>
    </row>
    <row r="1614" spans="1:28" x14ac:dyDescent="0.25">
      <c r="A1614" t="s">
        <v>1618</v>
      </c>
      <c r="B1614">
        <v>0.99999676499088797</v>
      </c>
      <c r="C1614">
        <v>0.81794926495850495</v>
      </c>
      <c r="D1614">
        <v>0.51926096101777297</v>
      </c>
      <c r="E1614">
        <v>0.26046303986896302</v>
      </c>
      <c r="F1614">
        <v>0.18642595009036</v>
      </c>
      <c r="G1614">
        <v>0.116267347538903</v>
      </c>
      <c r="H1614">
        <v>6.1040617252559902E-2</v>
      </c>
      <c r="I1614">
        <v>7.25449293480427E-2</v>
      </c>
      <c r="J1614">
        <v>0.101941908573749</v>
      </c>
      <c r="K1614">
        <v>5.4884417928505999E-2</v>
      </c>
      <c r="L1614">
        <v>890.67754863796199</v>
      </c>
      <c r="M1614">
        <v>19.364491040842399</v>
      </c>
      <c r="N1614">
        <v>46.414884329451603</v>
      </c>
      <c r="O1614">
        <v>45.513291042984498</v>
      </c>
      <c r="P1614">
        <v>-9.7832206203245495E-2</v>
      </c>
      <c r="Q1614">
        <v>8.0274728295869999E-2</v>
      </c>
      <c r="R1614">
        <v>0.993587120567757</v>
      </c>
      <c r="S1614" t="s">
        <v>8617</v>
      </c>
      <c r="T1614" t="s">
        <v>14004</v>
      </c>
      <c r="U1614" t="s">
        <v>14004</v>
      </c>
      <c r="V1614" t="s">
        <v>14004</v>
      </c>
      <c r="W1614" t="s">
        <v>15584</v>
      </c>
      <c r="X1614">
        <v>7</v>
      </c>
      <c r="Y1614" t="s">
        <v>22510</v>
      </c>
      <c r="Z1614" t="s">
        <v>29324</v>
      </c>
      <c r="AA1614">
        <v>0.27939021487723309</v>
      </c>
      <c r="AB1614" t="str">
        <f>HYPERLINK("Melting_Curves/meltCurve_O60496_DOK2.pdf", "Melting_Curves/meltCurve_O60496_DOK2.pdf")</f>
        <v>Melting_Curves/meltCurve_O60496_DOK2.pdf</v>
      </c>
    </row>
    <row r="1615" spans="1:28" x14ac:dyDescent="0.25">
      <c r="A1615" t="s">
        <v>1619</v>
      </c>
      <c r="B1615">
        <v>0.99999676499088797</v>
      </c>
      <c r="C1615">
        <v>0.89180556680451495</v>
      </c>
      <c r="D1615">
        <v>0.90213818739347496</v>
      </c>
      <c r="E1615">
        <v>0.83033948630828802</v>
      </c>
      <c r="F1615">
        <v>0.40348467357054302</v>
      </c>
      <c r="G1615">
        <v>0.228610878764441</v>
      </c>
      <c r="H1615">
        <v>0.11302565216565499</v>
      </c>
      <c r="I1615">
        <v>9.98427661619255E-2</v>
      </c>
      <c r="J1615">
        <v>0.110759541593224</v>
      </c>
      <c r="K1615">
        <v>9.3280024293999494E-2</v>
      </c>
      <c r="L1615">
        <v>1203.0901582813899</v>
      </c>
      <c r="M1615">
        <v>23.1107363654795</v>
      </c>
      <c r="N1615">
        <v>52.525928815139203</v>
      </c>
      <c r="O1615">
        <v>51.672572474008298</v>
      </c>
      <c r="P1615">
        <v>-0.101405493550842</v>
      </c>
      <c r="Q1615">
        <v>9.3099393420585305E-2</v>
      </c>
      <c r="R1615">
        <v>0.98704189782289498</v>
      </c>
      <c r="S1615" t="s">
        <v>8618</v>
      </c>
      <c r="T1615" t="s">
        <v>14004</v>
      </c>
      <c r="U1615" t="s">
        <v>14004</v>
      </c>
      <c r="V1615" t="s">
        <v>14004</v>
      </c>
      <c r="W1615" t="s">
        <v>15585</v>
      </c>
      <c r="X1615">
        <v>10</v>
      </c>
      <c r="Y1615" t="s">
        <v>22511</v>
      </c>
      <c r="Z1615" t="s">
        <v>29325</v>
      </c>
      <c r="AA1615">
        <v>0.46722184576652398</v>
      </c>
      <c r="AB1615" t="str">
        <f>HYPERLINK("Melting_Curves/meltCurve_O60504_2_SORBS3.pdf", "Melting_Curves/meltCurve_O60504_2_SORBS3.pdf")</f>
        <v>Melting_Curves/meltCurve_O60504_2_SORBS3.pdf</v>
      </c>
    </row>
    <row r="1616" spans="1:28" x14ac:dyDescent="0.25">
      <c r="A1616" t="s">
        <v>1620</v>
      </c>
      <c r="B1616">
        <v>0.99999676499088797</v>
      </c>
      <c r="C1616">
        <v>0.99774018516728902</v>
      </c>
      <c r="D1616">
        <v>1.1614941961115699</v>
      </c>
      <c r="E1616">
        <v>0.98747722881842803</v>
      </c>
      <c r="F1616">
        <v>0.36615949571769102</v>
      </c>
      <c r="G1616">
        <v>0.23544703258216301</v>
      </c>
      <c r="H1616">
        <v>8.9998391307798797E-2</v>
      </c>
      <c r="I1616">
        <v>9.4127960220790396E-2</v>
      </c>
      <c r="J1616">
        <v>8.4298648631227005E-2</v>
      </c>
      <c r="K1616">
        <v>7.2783803786861501E-2</v>
      </c>
      <c r="L1616">
        <v>2856.7243532239499</v>
      </c>
      <c r="M1616">
        <v>54.534887565854</v>
      </c>
      <c r="N1616">
        <v>52.625149019839903</v>
      </c>
      <c r="O1616">
        <v>52.313131661038398</v>
      </c>
      <c r="P1616">
        <v>-0.23174378919906</v>
      </c>
      <c r="Q1616">
        <v>0.110790425142396</v>
      </c>
      <c r="R1616">
        <v>0.97814142419619399</v>
      </c>
      <c r="S1616" t="s">
        <v>8619</v>
      </c>
      <c r="T1616" t="s">
        <v>14004</v>
      </c>
      <c r="U1616" t="s">
        <v>14004</v>
      </c>
      <c r="V1616" t="s">
        <v>14004</v>
      </c>
      <c r="W1616" t="s">
        <v>15586</v>
      </c>
      <c r="X1616">
        <v>24</v>
      </c>
      <c r="Y1616" t="s">
        <v>22512</v>
      </c>
      <c r="Z1616" t="s">
        <v>29326</v>
      </c>
      <c r="AA1616">
        <v>0.47956472724701771</v>
      </c>
      <c r="AB1616" t="str">
        <f>HYPERLINK("Melting_Curves/meltCurve_O60506_3_SYNCRIP.pdf", "Melting_Curves/meltCurve_O60506_3_SYNCRIP.pdf")</f>
        <v>Melting_Curves/meltCurve_O60506_3_SYNCRIP.pdf</v>
      </c>
    </row>
    <row r="1617" spans="1:28" x14ac:dyDescent="0.25">
      <c r="A1617" t="s">
        <v>1621</v>
      </c>
      <c r="B1617">
        <v>0.99999676499088797</v>
      </c>
      <c r="C1617">
        <v>1.1001909480078</v>
      </c>
      <c r="D1617">
        <v>1.08938417826617</v>
      </c>
      <c r="E1617">
        <v>1.03972469684778</v>
      </c>
      <c r="F1617">
        <v>0.62176074182108199</v>
      </c>
      <c r="G1617">
        <v>0.29947603040923299</v>
      </c>
      <c r="H1617">
        <v>0.13328263592032899</v>
      </c>
      <c r="I1617">
        <v>0.143261474869568</v>
      </c>
      <c r="J1617">
        <v>0.11188293770421499</v>
      </c>
      <c r="K1617">
        <v>9.2875588629869402E-2</v>
      </c>
      <c r="L1617">
        <v>1805.8425433673899</v>
      </c>
      <c r="M1617">
        <v>33.4680998178208</v>
      </c>
      <c r="N1617">
        <v>54.401665625812797</v>
      </c>
      <c r="O1617">
        <v>53.765579399314902</v>
      </c>
      <c r="P1617">
        <v>-0.13700304931992499</v>
      </c>
      <c r="Q1617">
        <v>0.11963717791475199</v>
      </c>
      <c r="R1617">
        <v>0.98362411579606501</v>
      </c>
      <c r="S1617" t="s">
        <v>8620</v>
      </c>
      <c r="T1617" t="s">
        <v>14004</v>
      </c>
      <c r="U1617" t="s">
        <v>14004</v>
      </c>
      <c r="V1617" t="s">
        <v>14004</v>
      </c>
      <c r="W1617" t="s">
        <v>15587</v>
      </c>
      <c r="X1617">
        <v>11</v>
      </c>
      <c r="Y1617" t="s">
        <v>22513</v>
      </c>
      <c r="Z1617" t="s">
        <v>29327</v>
      </c>
      <c r="AA1617">
        <v>0.53388448050711412</v>
      </c>
      <c r="AB1617" t="str">
        <f>HYPERLINK("Melting_Curves/meltCurve_O60508_CDC40.pdf", "Melting_Curves/meltCurve_O60508_CDC40.pdf")</f>
        <v>Melting_Curves/meltCurve_O60508_CDC40.pdf</v>
      </c>
    </row>
    <row r="1618" spans="1:28" x14ac:dyDescent="0.25">
      <c r="A1618" t="s">
        <v>1622</v>
      </c>
      <c r="B1618">
        <v>0.99999676499088797</v>
      </c>
      <c r="C1618">
        <v>0.93755953506155298</v>
      </c>
      <c r="D1618">
        <v>0.51555643800443796</v>
      </c>
      <c r="E1618">
        <v>0.17533534867099601</v>
      </c>
      <c r="F1618">
        <v>0.134278044277855</v>
      </c>
      <c r="G1618">
        <v>9.8154486366227298E-2</v>
      </c>
      <c r="H1618">
        <v>4.9973673658969202E-2</v>
      </c>
      <c r="I1618">
        <v>3.8506449736792701E-2</v>
      </c>
      <c r="J1618">
        <v>4.3254320717396703E-2</v>
      </c>
      <c r="K1618">
        <v>2.1136046689629699E-2</v>
      </c>
      <c r="L1618">
        <v>1357.39751844327</v>
      </c>
      <c r="M1618">
        <v>29.476075235594099</v>
      </c>
      <c r="N1618">
        <v>46.2549410258911</v>
      </c>
      <c r="O1618">
        <v>45.840425542774298</v>
      </c>
      <c r="P1618">
        <v>-0.15095218144508099</v>
      </c>
      <c r="Q1618">
        <v>6.0978957286938397E-2</v>
      </c>
      <c r="R1618">
        <v>0.99326723225715496</v>
      </c>
      <c r="S1618" t="s">
        <v>8621</v>
      </c>
      <c r="T1618" t="s">
        <v>14004</v>
      </c>
      <c r="U1618" t="s">
        <v>14004</v>
      </c>
      <c r="V1618" t="s">
        <v>14004</v>
      </c>
      <c r="W1618" t="s">
        <v>15588</v>
      </c>
      <c r="X1618">
        <v>5</v>
      </c>
      <c r="Y1618" t="s">
        <v>22514</v>
      </c>
      <c r="Z1618" t="s">
        <v>29328</v>
      </c>
      <c r="AA1618">
        <v>0.25631829138897122</v>
      </c>
      <c r="AB1618" t="str">
        <f>HYPERLINK("Melting_Curves/meltCurve_O60518_RANBP6.pdf", "Melting_Curves/meltCurve_O60518_RANBP6.pdf")</f>
        <v>Melting_Curves/meltCurve_O60518_RANBP6.pdf</v>
      </c>
    </row>
    <row r="1619" spans="1:28" x14ac:dyDescent="0.25">
      <c r="A1619" t="s">
        <v>1623</v>
      </c>
      <c r="B1619">
        <v>0.99999676499088797</v>
      </c>
      <c r="C1619">
        <v>0.96326082344678499</v>
      </c>
      <c r="D1619">
        <v>0.88385894208128502</v>
      </c>
      <c r="E1619">
        <v>0.550733579413754</v>
      </c>
      <c r="F1619">
        <v>0.21184055180175301</v>
      </c>
      <c r="G1619">
        <v>0.15380032627257501</v>
      </c>
      <c r="H1619">
        <v>5.5469799318939597E-2</v>
      </c>
      <c r="I1619">
        <v>5.4006733564933802E-2</v>
      </c>
      <c r="J1619">
        <v>5.6775476075096698E-2</v>
      </c>
      <c r="K1619">
        <v>4.22381609689437E-2</v>
      </c>
      <c r="L1619">
        <v>1127.55469013316</v>
      </c>
      <c r="M1619">
        <v>22.6350472847801</v>
      </c>
      <c r="N1619">
        <v>50.059835028526599</v>
      </c>
      <c r="O1619">
        <v>49.430622018460397</v>
      </c>
      <c r="P1619">
        <v>-0.108472100908851</v>
      </c>
      <c r="Q1619">
        <v>5.2489459499122898E-2</v>
      </c>
      <c r="R1619">
        <v>0.997882696288801</v>
      </c>
      <c r="S1619" t="s">
        <v>8622</v>
      </c>
      <c r="T1619" t="s">
        <v>14004</v>
      </c>
      <c r="U1619" t="s">
        <v>14004</v>
      </c>
      <c r="V1619" t="s">
        <v>14004</v>
      </c>
      <c r="W1619" t="s">
        <v>15589</v>
      </c>
      <c r="X1619">
        <v>17</v>
      </c>
      <c r="Y1619" t="s">
        <v>22515</v>
      </c>
      <c r="Z1619" t="s">
        <v>29329</v>
      </c>
      <c r="AA1619">
        <v>0.37279314544986653</v>
      </c>
      <c r="AB1619" t="str">
        <f>HYPERLINK("Melting_Curves/meltCurve_O60524_4_NEMF.pdf", "Melting_Curves/meltCurve_O60524_4_NEMF.pdf")</f>
        <v>Melting_Curves/meltCurve_O60524_4_NEMF.pdf</v>
      </c>
    </row>
    <row r="1620" spans="1:28" x14ac:dyDescent="0.25">
      <c r="A1620" t="s">
        <v>1624</v>
      </c>
      <c r="B1620">
        <v>0.99999676499088797</v>
      </c>
      <c r="C1620">
        <v>1.0242254985504999</v>
      </c>
      <c r="D1620">
        <v>0.98313307021859098</v>
      </c>
      <c r="E1620">
        <v>1.0562491852087299</v>
      </c>
      <c r="F1620">
        <v>0.67974142682195904</v>
      </c>
      <c r="G1620">
        <v>0.27408573113947499</v>
      </c>
      <c r="H1620">
        <v>8.9867286935423896E-2</v>
      </c>
      <c r="I1620">
        <v>7.6354682994152295E-2</v>
      </c>
      <c r="J1620">
        <v>7.9778511822050299E-2</v>
      </c>
      <c r="K1620">
        <v>5.5768368298587702E-2</v>
      </c>
      <c r="L1620">
        <v>1857.10893730508</v>
      </c>
      <c r="M1620">
        <v>34.118570211108597</v>
      </c>
      <c r="N1620">
        <v>54.674012100765502</v>
      </c>
      <c r="O1620">
        <v>54.245059402701102</v>
      </c>
      <c r="P1620">
        <v>-0.146181757853179</v>
      </c>
      <c r="Q1620">
        <v>7.0347080916556004E-2</v>
      </c>
      <c r="R1620">
        <v>0.99440173154771405</v>
      </c>
      <c r="S1620" t="s">
        <v>8623</v>
      </c>
      <c r="T1620" t="s">
        <v>14004</v>
      </c>
      <c r="U1620" t="s">
        <v>14004</v>
      </c>
      <c r="V1620" t="s">
        <v>14004</v>
      </c>
      <c r="W1620" t="s">
        <v>15590</v>
      </c>
      <c r="X1620">
        <v>16</v>
      </c>
      <c r="Y1620" t="s">
        <v>22516</v>
      </c>
      <c r="Z1620" t="s">
        <v>29330</v>
      </c>
      <c r="AA1620">
        <v>0.52232241985613626</v>
      </c>
      <c r="AB1620" t="str">
        <f>HYPERLINK("Melting_Curves/meltCurve_O60547_GMDS.pdf", "Melting_Curves/meltCurve_O60547_GMDS.pdf")</f>
        <v>Melting_Curves/meltCurve_O60547_GMDS.pdf</v>
      </c>
    </row>
    <row r="1621" spans="1:28" x14ac:dyDescent="0.25">
      <c r="A1621" t="s">
        <v>1625</v>
      </c>
      <c r="B1621">
        <v>0.99999676499088797</v>
      </c>
      <c r="C1621">
        <v>1.03740523872429</v>
      </c>
      <c r="D1621">
        <v>0.91404170056650502</v>
      </c>
      <c r="E1621">
        <v>0.52744890357546903</v>
      </c>
      <c r="F1621">
        <v>0.19183250498608501</v>
      </c>
      <c r="G1621">
        <v>0.15795779568634</v>
      </c>
      <c r="H1621">
        <v>8.1183053034149202E-2</v>
      </c>
      <c r="I1621">
        <v>8.7866347572631703E-2</v>
      </c>
      <c r="J1621">
        <v>8.7165067977453603E-2</v>
      </c>
      <c r="K1621">
        <v>8.7186852554332506E-2</v>
      </c>
      <c r="L1621">
        <v>1469.2840990858101</v>
      </c>
      <c r="M1621">
        <v>29.691607014643498</v>
      </c>
      <c r="N1621">
        <v>49.835327000957001</v>
      </c>
      <c r="O1621">
        <v>49.261987223135499</v>
      </c>
      <c r="P1621">
        <v>-0.136483230047166</v>
      </c>
      <c r="Q1621">
        <v>9.4237033469645501E-2</v>
      </c>
      <c r="R1621">
        <v>0.996995316263526</v>
      </c>
      <c r="S1621" t="s">
        <v>8624</v>
      </c>
      <c r="T1621" t="s">
        <v>14004</v>
      </c>
      <c r="U1621" t="s">
        <v>14004</v>
      </c>
      <c r="V1621" t="s">
        <v>14004</v>
      </c>
      <c r="W1621" t="s">
        <v>15591</v>
      </c>
      <c r="X1621">
        <v>15</v>
      </c>
      <c r="Y1621" t="s">
        <v>22517</v>
      </c>
      <c r="Z1621" t="s">
        <v>29331</v>
      </c>
      <c r="AA1621">
        <v>0.38627874394286338</v>
      </c>
      <c r="AB1621" t="str">
        <f>HYPERLINK("Melting_Curves/meltCurve_O60551_NMT2.pdf", "Melting_Curves/meltCurve_O60551_NMT2.pdf")</f>
        <v>Melting_Curves/meltCurve_O60551_NMT2.pdf</v>
      </c>
    </row>
    <row r="1622" spans="1:28" x14ac:dyDescent="0.25">
      <c r="A1622" t="s">
        <v>1626</v>
      </c>
      <c r="B1622">
        <v>0.99999676499088797</v>
      </c>
      <c r="C1622">
        <v>0.97131786504473905</v>
      </c>
      <c r="D1622">
        <v>0.92325842450357498</v>
      </c>
      <c r="E1622">
        <v>0.71646841455711396</v>
      </c>
      <c r="F1622">
        <v>0.36882591447693802</v>
      </c>
      <c r="G1622">
        <v>0.16954674412030701</v>
      </c>
      <c r="H1622">
        <v>8.0938780851182404E-2</v>
      </c>
      <c r="I1622">
        <v>8.7508995606966206E-2</v>
      </c>
      <c r="J1622">
        <v>0.113232737478275</v>
      </c>
      <c r="K1622">
        <v>9.3568908288087893E-2</v>
      </c>
      <c r="L1622">
        <v>1166.8966691555599</v>
      </c>
      <c r="M1622">
        <v>22.7517529392039</v>
      </c>
      <c r="N1622">
        <v>51.7033198382412</v>
      </c>
      <c r="O1622">
        <v>50.896940437612201</v>
      </c>
      <c r="P1622">
        <v>-0.102427071633254</v>
      </c>
      <c r="Q1622">
        <v>8.3478033925777406E-2</v>
      </c>
      <c r="R1622">
        <v>0.99854034207547204</v>
      </c>
      <c r="S1622" t="s">
        <v>8625</v>
      </c>
      <c r="T1622" t="s">
        <v>14004</v>
      </c>
      <c r="U1622" t="s">
        <v>14004</v>
      </c>
      <c r="V1622" t="s">
        <v>14004</v>
      </c>
      <c r="W1622" t="s">
        <v>15592</v>
      </c>
      <c r="X1622">
        <v>14</v>
      </c>
      <c r="Y1622" t="s">
        <v>22518</v>
      </c>
      <c r="Z1622" t="s">
        <v>29332</v>
      </c>
      <c r="AA1622">
        <v>0.43831094404651277</v>
      </c>
      <c r="AB1622" t="str">
        <f>HYPERLINK("Melting_Curves/meltCurve_O60563_CCNT1.pdf", "Melting_Curves/meltCurve_O60563_CCNT1.pdf")</f>
        <v>Melting_Curves/meltCurve_O60563_CCNT1.pdf</v>
      </c>
    </row>
    <row r="1623" spans="1:28" x14ac:dyDescent="0.25">
      <c r="A1623" t="s">
        <v>1627</v>
      </c>
      <c r="B1623">
        <v>0.99999676499088797</v>
      </c>
      <c r="C1623">
        <v>0.91113777265166496</v>
      </c>
      <c r="D1623">
        <v>0.70494472016819199</v>
      </c>
      <c r="E1623">
        <v>0.30011706393155801</v>
      </c>
      <c r="F1623">
        <v>0.23856465575501801</v>
      </c>
      <c r="G1623">
        <v>0.14802116030343901</v>
      </c>
      <c r="H1623">
        <v>8.2050240060472096E-2</v>
      </c>
      <c r="I1623">
        <v>8.2154932511480899E-2</v>
      </c>
      <c r="J1623">
        <v>9.3549381375087601E-2</v>
      </c>
      <c r="K1623">
        <v>7.3388966518706703E-2</v>
      </c>
      <c r="L1623">
        <v>996.426630086307</v>
      </c>
      <c r="M1623">
        <v>21.016779304481101</v>
      </c>
      <c r="N1623">
        <v>47.877615998082497</v>
      </c>
      <c r="O1623">
        <v>46.988022545809301</v>
      </c>
      <c r="P1623">
        <v>-0.101466898363596</v>
      </c>
      <c r="Q1623">
        <v>9.2610345488396195E-2</v>
      </c>
      <c r="R1623">
        <v>0.99272239895619196</v>
      </c>
      <c r="S1623" t="s">
        <v>8626</v>
      </c>
      <c r="T1623" t="s">
        <v>14004</v>
      </c>
      <c r="U1623" t="s">
        <v>14004</v>
      </c>
      <c r="V1623" t="s">
        <v>14004</v>
      </c>
      <c r="W1623" t="s">
        <v>15593</v>
      </c>
      <c r="X1623">
        <v>10</v>
      </c>
      <c r="Y1623" t="s">
        <v>22519</v>
      </c>
      <c r="Z1623" t="s">
        <v>29333</v>
      </c>
      <c r="AA1623">
        <v>0.32851718645870531</v>
      </c>
      <c r="AB1623" t="str">
        <f>HYPERLINK("Melting_Curves/meltCurve_O60566_BUB1B.pdf", "Melting_Curves/meltCurve_O60566_BUB1B.pdf")</f>
        <v>Melting_Curves/meltCurve_O60566_BUB1B.pdf</v>
      </c>
    </row>
    <row r="1624" spans="1:28" x14ac:dyDescent="0.25">
      <c r="A1624" t="s">
        <v>1628</v>
      </c>
      <c r="B1624">
        <v>0.99999676499088797</v>
      </c>
      <c r="C1624">
        <v>1.0888891716011699</v>
      </c>
      <c r="D1624">
        <v>1.01562698353499</v>
      </c>
      <c r="E1624">
        <v>1.00270505983942</v>
      </c>
      <c r="F1624">
        <v>0.54792397046172003</v>
      </c>
      <c r="G1624">
        <v>0.32436524025484398</v>
      </c>
      <c r="H1624">
        <v>0.161681864943823</v>
      </c>
      <c r="I1624">
        <v>0.13363698049508499</v>
      </c>
      <c r="J1624">
        <v>0.113957246461191</v>
      </c>
      <c r="K1624">
        <v>0.11650025637710899</v>
      </c>
      <c r="L1624">
        <v>1582.9879728742901</v>
      </c>
      <c r="M1624">
        <v>29.568303477754998</v>
      </c>
      <c r="N1624">
        <v>54.090135212433999</v>
      </c>
      <c r="O1624">
        <v>53.2935817325708</v>
      </c>
      <c r="P1624">
        <v>-0.120599396645763</v>
      </c>
      <c r="Q1624">
        <v>0.13053823519270499</v>
      </c>
      <c r="R1624">
        <v>0.986690934725165</v>
      </c>
      <c r="S1624" t="s">
        <v>8627</v>
      </c>
      <c r="T1624" t="s">
        <v>14004</v>
      </c>
      <c r="U1624" t="s">
        <v>14004</v>
      </c>
      <c r="V1624" t="s">
        <v>14004</v>
      </c>
      <c r="W1624" t="s">
        <v>15594</v>
      </c>
      <c r="X1624">
        <v>9</v>
      </c>
      <c r="Y1624" t="s">
        <v>22520</v>
      </c>
      <c r="Z1624" t="s">
        <v>29334</v>
      </c>
      <c r="AA1624">
        <v>0.52869950272445576</v>
      </c>
      <c r="AB1624" t="str">
        <f>HYPERLINK("Melting_Curves/meltCurve_O60568_PLOD3.pdf", "Melting_Curves/meltCurve_O60568_PLOD3.pdf")</f>
        <v>Melting_Curves/meltCurve_O60568_PLOD3.pdf</v>
      </c>
    </row>
    <row r="1625" spans="1:28" x14ac:dyDescent="0.25">
      <c r="A1625" t="s">
        <v>1629</v>
      </c>
      <c r="B1625">
        <v>0.99999676499088797</v>
      </c>
      <c r="C1625">
        <v>1.0502945002602799</v>
      </c>
      <c r="D1625">
        <v>0.94087968492128604</v>
      </c>
      <c r="E1625">
        <v>0.74653495137252202</v>
      </c>
      <c r="F1625">
        <v>0.34461375375509401</v>
      </c>
      <c r="G1625">
        <v>0.319802216151783</v>
      </c>
      <c r="H1625">
        <v>0.17233851362720601</v>
      </c>
      <c r="I1625">
        <v>0.19206076796793101</v>
      </c>
      <c r="J1625">
        <v>0.178887324320224</v>
      </c>
      <c r="K1625">
        <v>0.23354020908619799</v>
      </c>
      <c r="L1625">
        <v>1429.4011009544099</v>
      </c>
      <c r="M1625">
        <v>28.141186126120299</v>
      </c>
      <c r="N1625">
        <v>51.7598406374889</v>
      </c>
      <c r="O1625">
        <v>50.539486357069599</v>
      </c>
      <c r="P1625">
        <v>-0.11076989761466099</v>
      </c>
      <c r="Q1625">
        <v>0.204268364901565</v>
      </c>
      <c r="R1625">
        <v>0.98874661075987702</v>
      </c>
      <c r="S1625" t="s">
        <v>8628</v>
      </c>
      <c r="T1625" t="s">
        <v>14004</v>
      </c>
      <c r="U1625" t="s">
        <v>14004</v>
      </c>
      <c r="V1625" t="s">
        <v>14004</v>
      </c>
      <c r="W1625" t="s">
        <v>15595</v>
      </c>
      <c r="X1625">
        <v>6</v>
      </c>
      <c r="Y1625" t="s">
        <v>22521</v>
      </c>
      <c r="Z1625" t="s">
        <v>29335</v>
      </c>
      <c r="AA1625">
        <v>0.49623838110060592</v>
      </c>
      <c r="AB1625" t="str">
        <f>HYPERLINK("Melting_Curves/meltCurve_O60583_2_CCNT2.pdf", "Melting_Curves/meltCurve_O60583_2_CCNT2.pdf")</f>
        <v>Melting_Curves/meltCurve_O60583_2_CCNT2.pdf</v>
      </c>
    </row>
    <row r="1626" spans="1:28" x14ac:dyDescent="0.25">
      <c r="A1626" t="s">
        <v>1630</v>
      </c>
      <c r="B1626">
        <v>0.99999676499088797</v>
      </c>
      <c r="C1626">
        <v>0.91391481778253503</v>
      </c>
      <c r="D1626">
        <v>0.98904352136299201</v>
      </c>
      <c r="E1626">
        <v>1.1443666838845901</v>
      </c>
      <c r="F1626">
        <v>0.55450468149080301</v>
      </c>
      <c r="G1626">
        <v>0.31455766886293401</v>
      </c>
      <c r="H1626">
        <v>0.15977256786970701</v>
      </c>
      <c r="I1626">
        <v>0.13772017204487499</v>
      </c>
      <c r="J1626">
        <v>0.12362603214098</v>
      </c>
      <c r="K1626">
        <v>0.152389614488007</v>
      </c>
      <c r="L1626">
        <v>2881.2606935009198</v>
      </c>
      <c r="M1626">
        <v>54.177040933327802</v>
      </c>
      <c r="N1626">
        <v>53.591909938769</v>
      </c>
      <c r="O1626">
        <v>53.110007439431598</v>
      </c>
      <c r="P1626">
        <v>-0.21179137963734099</v>
      </c>
      <c r="Q1626">
        <v>0.16952018412047601</v>
      </c>
      <c r="R1626">
        <v>0.96756687794076202</v>
      </c>
      <c r="S1626" t="s">
        <v>8629</v>
      </c>
      <c r="T1626" t="s">
        <v>14004</v>
      </c>
      <c r="U1626" t="s">
        <v>14004</v>
      </c>
      <c r="V1626" t="s">
        <v>14004</v>
      </c>
      <c r="W1626" t="s">
        <v>15596</v>
      </c>
      <c r="X1626">
        <v>5</v>
      </c>
      <c r="Y1626" t="s">
        <v>22522</v>
      </c>
      <c r="Z1626" t="s">
        <v>29336</v>
      </c>
      <c r="AA1626">
        <v>0.53609974729296428</v>
      </c>
      <c r="AB1626" t="str">
        <f>HYPERLINK("Melting_Curves/meltCurve_O60613_SEP15.pdf", "Melting_Curves/meltCurve_O60613_SEP15.pdf")</f>
        <v>Melting_Curves/meltCurve_O60613_SEP15.pdf</v>
      </c>
    </row>
    <row r="1627" spans="1:28" x14ac:dyDescent="0.25">
      <c r="A1627" t="s">
        <v>1631</v>
      </c>
      <c r="B1627">
        <v>0.99999676499088797</v>
      </c>
      <c r="C1627">
        <v>1.02400436729712</v>
      </c>
      <c r="D1627">
        <v>0.89700522111111702</v>
      </c>
      <c r="E1627">
        <v>0.382941958898673</v>
      </c>
      <c r="F1627">
        <v>0.27302500083141201</v>
      </c>
      <c r="G1627">
        <v>0.200275468531806</v>
      </c>
      <c r="H1627">
        <v>0.123475108317824</v>
      </c>
      <c r="I1627">
        <v>0.10203405511402</v>
      </c>
      <c r="J1627">
        <v>0.13328659913815999</v>
      </c>
      <c r="K1627">
        <v>0.101073688498287</v>
      </c>
      <c r="L1627">
        <v>1557.18098886081</v>
      </c>
      <c r="M1627">
        <v>32.117552971345198</v>
      </c>
      <c r="N1627">
        <v>48.991702623636897</v>
      </c>
      <c r="O1627">
        <v>48.297009495558598</v>
      </c>
      <c r="P1627">
        <v>-0.14270941768122</v>
      </c>
      <c r="Q1627">
        <v>0.14160304565054199</v>
      </c>
      <c r="R1627">
        <v>0.987641155836117</v>
      </c>
      <c r="S1627" t="s">
        <v>8630</v>
      </c>
      <c r="T1627" t="s">
        <v>14004</v>
      </c>
      <c r="U1627" t="s">
        <v>14004</v>
      </c>
      <c r="V1627" t="s">
        <v>14004</v>
      </c>
      <c r="W1627" t="s">
        <v>15597</v>
      </c>
      <c r="X1627">
        <v>12</v>
      </c>
      <c r="Y1627" t="s">
        <v>22523</v>
      </c>
      <c r="Z1627" t="s">
        <v>29337</v>
      </c>
      <c r="AA1627">
        <v>0.3888632137476486</v>
      </c>
      <c r="AB1627" t="str">
        <f>HYPERLINK("Melting_Curves/meltCurve_O60645_3_EXOC3.pdf", "Melting_Curves/meltCurve_O60645_3_EXOC3.pdf")</f>
        <v>Melting_Curves/meltCurve_O60645_3_EXOC3.pdf</v>
      </c>
    </row>
    <row r="1628" spans="1:28" x14ac:dyDescent="0.25">
      <c r="A1628" t="s">
        <v>1632</v>
      </c>
      <c r="B1628">
        <v>0.99999676499088797</v>
      </c>
      <c r="C1628">
        <v>1.0623014272721001</v>
      </c>
      <c r="D1628">
        <v>1.06344616304731</v>
      </c>
      <c r="E1628">
        <v>0.96740018020948204</v>
      </c>
      <c r="F1628">
        <v>0.73908866988703903</v>
      </c>
      <c r="G1628">
        <v>0.48651962678586902</v>
      </c>
      <c r="H1628">
        <v>0.241186816266036</v>
      </c>
      <c r="I1628">
        <v>0.248282132391384</v>
      </c>
      <c r="J1628">
        <v>0.24527423345903299</v>
      </c>
      <c r="K1628">
        <v>0.24961079859955901</v>
      </c>
      <c r="L1628">
        <v>1452.4271714004101</v>
      </c>
      <c r="M1628">
        <v>26.483267228806302</v>
      </c>
      <c r="N1628">
        <v>56.162643787741104</v>
      </c>
      <c r="O1628">
        <v>54.5333624281729</v>
      </c>
      <c r="P1628">
        <v>-9.3289775294771199E-2</v>
      </c>
      <c r="Q1628">
        <v>0.23161282818090401</v>
      </c>
      <c r="R1628">
        <v>0.989739538521474</v>
      </c>
      <c r="S1628" t="s">
        <v>8631</v>
      </c>
      <c r="T1628" t="s">
        <v>14004</v>
      </c>
      <c r="U1628" t="s">
        <v>14004</v>
      </c>
      <c r="V1628" t="s">
        <v>14004</v>
      </c>
      <c r="W1628" t="s">
        <v>15598</v>
      </c>
      <c r="X1628">
        <v>22</v>
      </c>
      <c r="Y1628" t="s">
        <v>22524</v>
      </c>
      <c r="Z1628" t="s">
        <v>29338</v>
      </c>
      <c r="AA1628">
        <v>0.61820616016254537</v>
      </c>
      <c r="AB1628" t="str">
        <f>HYPERLINK("Melting_Curves/meltCurve_O60664_PLIN3.pdf", "Melting_Curves/meltCurve_O60664_PLIN3.pdf")</f>
        <v>Melting_Curves/meltCurve_O60664_PLIN3.pdf</v>
      </c>
    </row>
    <row r="1629" spans="1:28" x14ac:dyDescent="0.25">
      <c r="A1629" t="s">
        <v>1633</v>
      </c>
      <c r="B1629">
        <v>0.99999676499088797</v>
      </c>
      <c r="C1629">
        <v>0.91487441876882403</v>
      </c>
      <c r="D1629">
        <v>0.97824978131673801</v>
      </c>
      <c r="E1629">
        <v>0.831178382095074</v>
      </c>
      <c r="F1629">
        <v>0.41887865688555398</v>
      </c>
      <c r="G1629">
        <v>0.40021487784066301</v>
      </c>
      <c r="H1629">
        <v>0.22399232068722699</v>
      </c>
      <c r="I1629">
        <v>0.25963120305600701</v>
      </c>
      <c r="J1629">
        <v>0.35922937056381299</v>
      </c>
      <c r="K1629">
        <v>0.33782034585539999</v>
      </c>
      <c r="L1629">
        <v>1854.89496802082</v>
      </c>
      <c r="M1629">
        <v>36.336849246199002</v>
      </c>
      <c r="N1629">
        <v>52.437438027319097</v>
      </c>
      <c r="O1629">
        <v>50.893348299813397</v>
      </c>
      <c r="P1629">
        <v>-0.123305394393863</v>
      </c>
      <c r="Q1629">
        <v>0.30919656722018601</v>
      </c>
      <c r="R1629">
        <v>0.97063410600262501</v>
      </c>
      <c r="S1629" t="s">
        <v>8632</v>
      </c>
      <c r="T1629" t="s">
        <v>14004</v>
      </c>
      <c r="U1629" t="s">
        <v>14004</v>
      </c>
      <c r="V1629" t="s">
        <v>14004</v>
      </c>
      <c r="W1629" t="s">
        <v>15599</v>
      </c>
      <c r="X1629">
        <v>21</v>
      </c>
      <c r="Y1629" t="s">
        <v>22524</v>
      </c>
      <c r="Z1629" t="s">
        <v>29339</v>
      </c>
      <c r="AA1629">
        <v>0.56653589173949703</v>
      </c>
      <c r="AB1629" t="str">
        <f>HYPERLINK("Melting_Curves/meltCurve_O60664_3_PLIN3.pdf", "Melting_Curves/meltCurve_O60664_3_PLIN3.pdf")</f>
        <v>Melting_Curves/meltCurve_O60664_3_PLIN3.pdf</v>
      </c>
    </row>
    <row r="1630" spans="1:28" x14ac:dyDescent="0.25">
      <c r="A1630" t="s">
        <v>1634</v>
      </c>
      <c r="B1630">
        <v>0.99999676499088797</v>
      </c>
      <c r="C1630">
        <v>0.94362283280986903</v>
      </c>
      <c r="D1630">
        <v>0.98915022996045499</v>
      </c>
      <c r="E1630">
        <v>1.03595126294725</v>
      </c>
      <c r="F1630">
        <v>1.04495876316595</v>
      </c>
      <c r="G1630">
        <v>0.58773008240884195</v>
      </c>
      <c r="H1630">
        <v>0.34605362332842798</v>
      </c>
      <c r="I1630">
        <v>0.198883536566795</v>
      </c>
      <c r="J1630">
        <v>0.222817109383738</v>
      </c>
      <c r="K1630">
        <v>0.152502566572841</v>
      </c>
      <c r="L1630">
        <v>2252.6322517920498</v>
      </c>
      <c r="M1630">
        <v>39.529600535438703</v>
      </c>
      <c r="N1630">
        <v>57.7646818394851</v>
      </c>
      <c r="O1630">
        <v>56.8406910828731</v>
      </c>
      <c r="P1630">
        <v>-0.137950219894099</v>
      </c>
      <c r="Q1630">
        <v>0.206552002420089</v>
      </c>
      <c r="R1630">
        <v>0.98223081898611397</v>
      </c>
      <c r="S1630" t="s">
        <v>8633</v>
      </c>
      <c r="T1630" t="s">
        <v>14004</v>
      </c>
      <c r="U1630" t="s">
        <v>14004</v>
      </c>
      <c r="V1630" t="s">
        <v>14004</v>
      </c>
      <c r="W1630" t="s">
        <v>15600</v>
      </c>
      <c r="X1630">
        <v>3</v>
      </c>
      <c r="Y1630" t="s">
        <v>22525</v>
      </c>
      <c r="Z1630" t="s">
        <v>29340</v>
      </c>
      <c r="AA1630">
        <v>0.65896352975838857</v>
      </c>
      <c r="AB1630" t="str">
        <f>HYPERLINK("Melting_Curves/meltCurve_O60671_RAD1.pdf", "Melting_Curves/meltCurve_O60671_RAD1.pdf")</f>
        <v>Melting_Curves/meltCurve_O60671_RAD1.pdf</v>
      </c>
    </row>
    <row r="1631" spans="1:28" x14ac:dyDescent="0.25">
      <c r="A1631" t="s">
        <v>1635</v>
      </c>
      <c r="B1631">
        <v>0.99999676499088797</v>
      </c>
      <c r="C1631">
        <v>0.82155302943358999</v>
      </c>
      <c r="D1631">
        <v>0.55584192167969404</v>
      </c>
      <c r="E1631">
        <v>0.40117076032723298</v>
      </c>
      <c r="F1631">
        <v>0.179479755236338</v>
      </c>
      <c r="G1631">
        <v>0.32375990042194502</v>
      </c>
      <c r="H1631">
        <v>0.11326069979712</v>
      </c>
      <c r="I1631">
        <v>0.19556090713424501</v>
      </c>
      <c r="J1631">
        <v>0.15495077742077401</v>
      </c>
      <c r="K1631">
        <v>0.26681025781065099</v>
      </c>
      <c r="L1631">
        <v>879.03630124547396</v>
      </c>
      <c r="M1631">
        <v>19.184826990268299</v>
      </c>
      <c r="N1631">
        <v>47.047207114280198</v>
      </c>
      <c r="O1631">
        <v>45.330227682088598</v>
      </c>
      <c r="P1631">
        <v>-8.4971262279890103E-2</v>
      </c>
      <c r="Q1631">
        <v>0.19694478894138201</v>
      </c>
      <c r="R1631">
        <v>0.95458134869365796</v>
      </c>
      <c r="S1631" t="s">
        <v>8634</v>
      </c>
      <c r="T1631" t="s">
        <v>14004</v>
      </c>
      <c r="U1631" t="s">
        <v>14004</v>
      </c>
      <c r="V1631" t="s">
        <v>14004</v>
      </c>
      <c r="W1631" t="s">
        <v>15601</v>
      </c>
      <c r="X1631">
        <v>2</v>
      </c>
      <c r="Y1631" t="s">
        <v>22526</v>
      </c>
      <c r="Z1631" t="s">
        <v>29341</v>
      </c>
      <c r="AA1631">
        <v>0.36656110257736929</v>
      </c>
      <c r="AB1631" t="str">
        <f>HYPERLINK("Melting_Curves/meltCurve_O60675_MAFK.pdf", "Melting_Curves/meltCurve_O60675_MAFK.pdf")</f>
        <v>Melting_Curves/meltCurve_O60675_MAFK.pdf</v>
      </c>
    </row>
    <row r="1632" spans="1:28" x14ac:dyDescent="0.25">
      <c r="A1632" t="s">
        <v>1636</v>
      </c>
      <c r="B1632">
        <v>0.99999676499088797</v>
      </c>
      <c r="C1632">
        <v>0.94815854810625599</v>
      </c>
      <c r="D1632">
        <v>0.94662519072963802</v>
      </c>
      <c r="E1632">
        <v>0.91136371777036096</v>
      </c>
      <c r="F1632">
        <v>0.30450478696612598</v>
      </c>
      <c r="G1632">
        <v>0.24382318089980901</v>
      </c>
      <c r="H1632">
        <v>9.5853269413214606E-2</v>
      </c>
      <c r="I1632">
        <v>5.4465235589909997E-2</v>
      </c>
      <c r="J1632">
        <v>6.2364433188218299E-2</v>
      </c>
      <c r="K1632">
        <v>4.4739529316368598E-2</v>
      </c>
      <c r="L1632">
        <v>2051.77481719256</v>
      </c>
      <c r="M1632">
        <v>39.513925992672398</v>
      </c>
      <c r="N1632">
        <v>52.181393413029099</v>
      </c>
      <c r="O1632">
        <v>51.792883599837303</v>
      </c>
      <c r="P1632">
        <v>-0.17392336693644</v>
      </c>
      <c r="Q1632">
        <v>8.8121425749515994E-2</v>
      </c>
      <c r="R1632">
        <v>0.98365428080720496</v>
      </c>
      <c r="S1632" t="s">
        <v>8635</v>
      </c>
      <c r="T1632" t="s">
        <v>14004</v>
      </c>
      <c r="U1632" t="s">
        <v>14004</v>
      </c>
      <c r="V1632" t="s">
        <v>14004</v>
      </c>
      <c r="W1632" t="s">
        <v>15602</v>
      </c>
      <c r="X1632">
        <v>5</v>
      </c>
      <c r="Y1632" t="s">
        <v>22527</v>
      </c>
      <c r="Z1632" t="s">
        <v>29342</v>
      </c>
      <c r="AA1632">
        <v>0.45395703656615299</v>
      </c>
      <c r="AB1632" t="str">
        <f>HYPERLINK("Melting_Curves/meltCurve_O60678_PRMT3.pdf", "Melting_Curves/meltCurve_O60678_PRMT3.pdf")</f>
        <v>Melting_Curves/meltCurve_O60678_PRMT3.pdf</v>
      </c>
    </row>
    <row r="1633" spans="1:28" x14ac:dyDescent="0.25">
      <c r="A1633" t="s">
        <v>1637</v>
      </c>
      <c r="B1633">
        <v>0.99999676499088797</v>
      </c>
      <c r="C1633">
        <v>0.996975277678814</v>
      </c>
      <c r="D1633">
        <v>0.95794934929942799</v>
      </c>
      <c r="E1633">
        <v>0.890796579662265</v>
      </c>
      <c r="F1633">
        <v>0.53472766617808298</v>
      </c>
      <c r="G1633">
        <v>0.25398965763540199</v>
      </c>
      <c r="H1633">
        <v>9.4069127520357995E-2</v>
      </c>
      <c r="I1633">
        <v>9.0847885686591204E-2</v>
      </c>
      <c r="J1633">
        <v>9.1545890832681998E-2</v>
      </c>
      <c r="K1633">
        <v>8.8485893593993795E-2</v>
      </c>
      <c r="L1633">
        <v>1349.3285481539699</v>
      </c>
      <c r="M1633">
        <v>25.337661985074799</v>
      </c>
      <c r="N1633">
        <v>53.620841467835398</v>
      </c>
      <c r="O1633">
        <v>52.925473228922598</v>
      </c>
      <c r="P1633">
        <v>-0.11015974493431099</v>
      </c>
      <c r="Q1633">
        <v>7.9602167581057801E-2</v>
      </c>
      <c r="R1633">
        <v>0.99879087506500097</v>
      </c>
      <c r="S1633" t="s">
        <v>8636</v>
      </c>
      <c r="T1633" t="s">
        <v>14004</v>
      </c>
      <c r="U1633" t="s">
        <v>14004</v>
      </c>
      <c r="V1633" t="s">
        <v>14004</v>
      </c>
      <c r="W1633" t="s">
        <v>15603</v>
      </c>
      <c r="X1633">
        <v>14</v>
      </c>
      <c r="Y1633" t="s">
        <v>22528</v>
      </c>
      <c r="Z1633" t="s">
        <v>29343</v>
      </c>
      <c r="AA1633">
        <v>0.49450827831726341</v>
      </c>
      <c r="AB1633" t="str">
        <f>HYPERLINK("Melting_Curves/meltCurve_O60701_UGDH.pdf", "Melting_Curves/meltCurve_O60701_UGDH.pdf")</f>
        <v>Melting_Curves/meltCurve_O60701_UGDH.pdf</v>
      </c>
    </row>
    <row r="1634" spans="1:28" x14ac:dyDescent="0.25">
      <c r="A1634" t="s">
        <v>1638</v>
      </c>
      <c r="B1634">
        <v>0.99999676499088797</v>
      </c>
      <c r="C1634">
        <v>0.85831862100948397</v>
      </c>
      <c r="D1634">
        <v>0.80398213917458605</v>
      </c>
      <c r="E1634">
        <v>0.73389986575244603</v>
      </c>
      <c r="F1634">
        <v>0.74505418761677999</v>
      </c>
      <c r="G1634">
        <v>0.491760665576158</v>
      </c>
      <c r="H1634">
        <v>0.27560365309919599</v>
      </c>
      <c r="I1634">
        <v>0.13985589706851501</v>
      </c>
      <c r="J1634">
        <v>0.104216482449843</v>
      </c>
      <c r="K1634">
        <v>0.12931739817683399</v>
      </c>
      <c r="L1634">
        <v>565.02452699816001</v>
      </c>
      <c r="M1634">
        <v>10.1470306528549</v>
      </c>
      <c r="N1634">
        <v>55.683731163816297</v>
      </c>
      <c r="O1634">
        <v>53.6508560851235</v>
      </c>
      <c r="P1634">
        <v>-4.7304457188978702E-2</v>
      </c>
      <c r="Q1634">
        <v>0</v>
      </c>
      <c r="R1634">
        <v>0.956446249113034</v>
      </c>
      <c r="S1634" t="s">
        <v>8637</v>
      </c>
      <c r="T1634" t="s">
        <v>14004</v>
      </c>
      <c r="U1634" t="s">
        <v>14004</v>
      </c>
      <c r="V1634" t="s">
        <v>14004</v>
      </c>
      <c r="W1634" t="s">
        <v>15604</v>
      </c>
      <c r="X1634">
        <v>1</v>
      </c>
      <c r="Y1634" t="s">
        <v>22529</v>
      </c>
      <c r="Z1634" t="s">
        <v>29344</v>
      </c>
      <c r="AA1634">
        <v>0.54540339073076027</v>
      </c>
      <c r="AB1634" t="str">
        <f>HYPERLINK("Melting_Curves/meltCurve_O60704_TPST2.pdf", "Melting_Curves/meltCurve_O60704_TPST2.pdf")</f>
        <v>Melting_Curves/meltCurve_O60704_TPST2.pdf</v>
      </c>
    </row>
    <row r="1635" spans="1:28" x14ac:dyDescent="0.25">
      <c r="A1635" t="s">
        <v>1639</v>
      </c>
      <c r="B1635">
        <v>0.99999676499088797</v>
      </c>
      <c r="C1635">
        <v>1.05956261021136</v>
      </c>
      <c r="D1635">
        <v>0.81934093282070997</v>
      </c>
      <c r="E1635">
        <v>0.38333775987270502</v>
      </c>
      <c r="F1635">
        <v>0.19099192538412099</v>
      </c>
      <c r="G1635">
        <v>0.12764949366190301</v>
      </c>
      <c r="H1635">
        <v>6.2924821474109993E-2</v>
      </c>
      <c r="I1635">
        <v>8.5188296337471506E-2</v>
      </c>
      <c r="J1635">
        <v>0.10069798598287499</v>
      </c>
      <c r="K1635">
        <v>0.107912175712205</v>
      </c>
      <c r="L1635">
        <v>1399.3620799679099</v>
      </c>
      <c r="M1635">
        <v>28.938447022514701</v>
      </c>
      <c r="N1635">
        <v>48.725509623459097</v>
      </c>
      <c r="O1635">
        <v>48.127351936547697</v>
      </c>
      <c r="P1635">
        <v>-0.13553127916663699</v>
      </c>
      <c r="Q1635">
        <v>9.8401899440645493E-2</v>
      </c>
      <c r="R1635">
        <v>0.99321481508651099</v>
      </c>
      <c r="S1635" t="s">
        <v>8638</v>
      </c>
      <c r="T1635" t="s">
        <v>14004</v>
      </c>
      <c r="U1635" t="s">
        <v>14004</v>
      </c>
      <c r="V1635" t="s">
        <v>14004</v>
      </c>
      <c r="W1635" t="s">
        <v>15605</v>
      </c>
      <c r="X1635">
        <v>8</v>
      </c>
      <c r="Y1635" t="s">
        <v>22530</v>
      </c>
      <c r="Z1635" t="s">
        <v>29345</v>
      </c>
      <c r="AA1635">
        <v>0.35541096700416891</v>
      </c>
      <c r="AB1635" t="str">
        <f>HYPERLINK("Melting_Curves/meltCurve_O60711_LPXN.pdf", "Melting_Curves/meltCurve_O60711_LPXN.pdf")</f>
        <v>Melting_Curves/meltCurve_O60711_LPXN.pdf</v>
      </c>
    </row>
    <row r="1636" spans="1:28" x14ac:dyDescent="0.25">
      <c r="A1636" t="s">
        <v>1640</v>
      </c>
      <c r="B1636">
        <v>0.99999676499088797</v>
      </c>
      <c r="C1636">
        <v>1.0689436403941599</v>
      </c>
      <c r="D1636">
        <v>1.0000093864024899</v>
      </c>
      <c r="E1636">
        <v>0.605061256127433</v>
      </c>
      <c r="F1636">
        <v>0.17061874762254001</v>
      </c>
      <c r="G1636">
        <v>0.122474958097035</v>
      </c>
      <c r="H1636">
        <v>6.6254187943904294E-2</v>
      </c>
      <c r="I1636">
        <v>4.87326690912964E-2</v>
      </c>
      <c r="J1636">
        <v>4.0194740677956697E-2</v>
      </c>
      <c r="K1636">
        <v>5.1519372184548502E-2</v>
      </c>
      <c r="L1636">
        <v>1825.12083457124</v>
      </c>
      <c r="M1636">
        <v>36.431894324148701</v>
      </c>
      <c r="N1636">
        <v>50.284160974747103</v>
      </c>
      <c r="O1636">
        <v>49.946566152346499</v>
      </c>
      <c r="P1636">
        <v>-0.170780405746183</v>
      </c>
      <c r="Q1636">
        <v>6.3472359048895796E-2</v>
      </c>
      <c r="R1636">
        <v>0.99476740449198198</v>
      </c>
      <c r="S1636" t="s">
        <v>8639</v>
      </c>
      <c r="T1636" t="s">
        <v>14004</v>
      </c>
      <c r="U1636" t="s">
        <v>14004</v>
      </c>
      <c r="V1636" t="s">
        <v>14004</v>
      </c>
      <c r="W1636" t="s">
        <v>15606</v>
      </c>
      <c r="X1636">
        <v>2</v>
      </c>
      <c r="Y1636" t="s">
        <v>22531</v>
      </c>
      <c r="Z1636" t="s">
        <v>29346</v>
      </c>
      <c r="AA1636">
        <v>0.38258716223279982</v>
      </c>
      <c r="AB1636" t="str">
        <f>HYPERLINK("Melting_Curves/meltCurve_O60725_ICMT.pdf", "Melting_Curves/meltCurve_O60725_ICMT.pdf")</f>
        <v>Melting_Curves/meltCurve_O60725_ICMT.pdf</v>
      </c>
    </row>
    <row r="1637" spans="1:28" x14ac:dyDescent="0.25">
      <c r="A1637" t="s">
        <v>1641</v>
      </c>
      <c r="B1637">
        <v>0.99999676499088797</v>
      </c>
      <c r="C1637">
        <v>1.1434010472198599</v>
      </c>
      <c r="D1637">
        <v>0.96102648260044599</v>
      </c>
      <c r="E1637">
        <v>0.91404989679140602</v>
      </c>
      <c r="F1637">
        <v>0.70372371523257304</v>
      </c>
      <c r="G1637">
        <v>0.55686242698178601</v>
      </c>
      <c r="H1637">
        <v>0.24914961550230799</v>
      </c>
      <c r="I1637">
        <v>0.24032380221086</v>
      </c>
      <c r="J1637">
        <v>0.146776558649718</v>
      </c>
      <c r="K1637">
        <v>0.14097322981371299</v>
      </c>
      <c r="L1637">
        <v>932.64069629812695</v>
      </c>
      <c r="M1637">
        <v>16.628176108276101</v>
      </c>
      <c r="N1637">
        <v>56.897621392662401</v>
      </c>
      <c r="O1637">
        <v>55.295595667222102</v>
      </c>
      <c r="P1637">
        <v>-6.7262613993563203E-2</v>
      </c>
      <c r="Q1637">
        <v>0.105355681169407</v>
      </c>
      <c r="R1637">
        <v>0.97787092252328101</v>
      </c>
      <c r="S1637" t="s">
        <v>8640</v>
      </c>
      <c r="T1637" t="s">
        <v>14004</v>
      </c>
      <c r="U1637" t="s">
        <v>14004</v>
      </c>
      <c r="V1637" t="s">
        <v>14004</v>
      </c>
      <c r="W1637" t="s">
        <v>15607</v>
      </c>
      <c r="X1637">
        <v>9</v>
      </c>
      <c r="Y1637" t="s">
        <v>22532</v>
      </c>
      <c r="Z1637" t="s">
        <v>29347</v>
      </c>
      <c r="AA1637">
        <v>0.59942542045552927</v>
      </c>
      <c r="AB1637" t="str">
        <f>HYPERLINK("Melting_Curves/meltCurve_O60739_EIF1B.pdf", "Melting_Curves/meltCurve_O60739_EIF1B.pdf")</f>
        <v>Melting_Curves/meltCurve_O60739_EIF1B.pdf</v>
      </c>
    </row>
    <row r="1638" spans="1:28" x14ac:dyDescent="0.25">
      <c r="A1638" t="s">
        <v>1642</v>
      </c>
      <c r="B1638">
        <v>0.99999676499088797</v>
      </c>
      <c r="C1638">
        <v>0.96467916076953897</v>
      </c>
      <c r="D1638">
        <v>0.90636117002271499</v>
      </c>
      <c r="E1638">
        <v>0.61381094134971703</v>
      </c>
      <c r="F1638">
        <v>0.20012869564449301</v>
      </c>
      <c r="G1638">
        <v>0.14140898525742401</v>
      </c>
      <c r="H1638">
        <v>7.4392716777325604E-2</v>
      </c>
      <c r="I1638">
        <v>7.0846901213239402E-2</v>
      </c>
      <c r="J1638">
        <v>6.6652870864666702E-2</v>
      </c>
      <c r="K1638">
        <v>6.3680500270013096E-2</v>
      </c>
      <c r="L1638">
        <v>1339.7432282546599</v>
      </c>
      <c r="M1638">
        <v>26.746982341972998</v>
      </c>
      <c r="N1638">
        <v>50.3704612404659</v>
      </c>
      <c r="O1638">
        <v>49.812026049006597</v>
      </c>
      <c r="P1638">
        <v>-0.124938638657682</v>
      </c>
      <c r="Q1638">
        <v>6.9295688111456602E-2</v>
      </c>
      <c r="R1638">
        <v>0.99782712594724698</v>
      </c>
      <c r="S1638" t="s">
        <v>8641</v>
      </c>
      <c r="T1638" t="s">
        <v>14004</v>
      </c>
      <c r="U1638" t="s">
        <v>14004</v>
      </c>
      <c r="V1638" t="s">
        <v>14004</v>
      </c>
      <c r="W1638" t="s">
        <v>15608</v>
      </c>
      <c r="X1638">
        <v>22</v>
      </c>
      <c r="Y1638" t="s">
        <v>22533</v>
      </c>
      <c r="Z1638" t="s">
        <v>29348</v>
      </c>
      <c r="AA1638">
        <v>0.38957570968137151</v>
      </c>
      <c r="AB1638" t="str">
        <f>HYPERLINK("Melting_Curves/meltCurve_O60749_SNX2.pdf", "Melting_Curves/meltCurve_O60749_SNX2.pdf")</f>
        <v>Melting_Curves/meltCurve_O60749_SNX2.pdf</v>
      </c>
    </row>
    <row r="1639" spans="1:28" x14ac:dyDescent="0.25">
      <c r="A1639" t="s">
        <v>1643</v>
      </c>
      <c r="B1639">
        <v>0.99999676499088797</v>
      </c>
      <c r="C1639">
        <v>1.00284205898671</v>
      </c>
      <c r="D1639">
        <v>1.0164586791639101</v>
      </c>
      <c r="E1639">
        <v>0.64708372596939701</v>
      </c>
      <c r="F1639">
        <v>0.209214842604456</v>
      </c>
      <c r="G1639">
        <v>0.159599084533289</v>
      </c>
      <c r="H1639">
        <v>7.5141195016297305E-2</v>
      </c>
      <c r="I1639">
        <v>6.3889861913340507E-2</v>
      </c>
      <c r="J1639">
        <v>5.94128796075514E-2</v>
      </c>
      <c r="K1639">
        <v>6.1255338935684002E-2</v>
      </c>
      <c r="L1639">
        <v>1706.7895336736401</v>
      </c>
      <c r="M1639">
        <v>33.872956514021801</v>
      </c>
      <c r="N1639">
        <v>50.642251460761599</v>
      </c>
      <c r="O1639">
        <v>50.213342219576198</v>
      </c>
      <c r="P1639">
        <v>-0.15545759642683701</v>
      </c>
      <c r="Q1639">
        <v>7.8201412432296502E-2</v>
      </c>
      <c r="R1639">
        <v>0.99554616149481001</v>
      </c>
      <c r="S1639" t="s">
        <v>8642</v>
      </c>
      <c r="T1639" t="s">
        <v>14004</v>
      </c>
      <c r="U1639" t="s">
        <v>14004</v>
      </c>
      <c r="V1639" t="s">
        <v>14004</v>
      </c>
      <c r="W1639" t="s">
        <v>15609</v>
      </c>
      <c r="X1639">
        <v>33</v>
      </c>
      <c r="Y1639" t="s">
        <v>22534</v>
      </c>
      <c r="Z1639" t="s">
        <v>29349</v>
      </c>
      <c r="AA1639">
        <v>0.40187978702676991</v>
      </c>
      <c r="AB1639" t="str">
        <f>HYPERLINK("Melting_Curves/meltCurve_O60763_USO1.pdf", "Melting_Curves/meltCurve_O60763_USO1.pdf")</f>
        <v>Melting_Curves/meltCurve_O60763_USO1.pdf</v>
      </c>
    </row>
    <row r="1640" spans="1:28" x14ac:dyDescent="0.25">
      <c r="A1640" t="s">
        <v>1644</v>
      </c>
      <c r="B1640">
        <v>0.99999676499088797</v>
      </c>
      <c r="C1640">
        <v>0.90140132922018701</v>
      </c>
      <c r="D1640">
        <v>0.82427654993752997</v>
      </c>
      <c r="E1640">
        <v>0.54148639429992795</v>
      </c>
      <c r="F1640">
        <v>0.29295076924699998</v>
      </c>
      <c r="G1640">
        <v>0.21237737227168399</v>
      </c>
      <c r="H1640">
        <v>0.10596375947148499</v>
      </c>
      <c r="I1640">
        <v>0.144182651588324</v>
      </c>
      <c r="J1640">
        <v>0.193516948087885</v>
      </c>
      <c r="K1640">
        <v>8.8904362221207303E-2</v>
      </c>
      <c r="L1640">
        <v>883.75330405014597</v>
      </c>
      <c r="M1640">
        <v>17.934830039536301</v>
      </c>
      <c r="N1640">
        <v>50.055442277623598</v>
      </c>
      <c r="O1640">
        <v>48.675444284533803</v>
      </c>
      <c r="P1640">
        <v>-8.0893463861807E-2</v>
      </c>
      <c r="Q1640">
        <v>0.121858827585761</v>
      </c>
      <c r="R1640">
        <v>0.99107863530645002</v>
      </c>
      <c r="S1640" t="s">
        <v>8643</v>
      </c>
      <c r="T1640" t="s">
        <v>14004</v>
      </c>
      <c r="U1640" t="s">
        <v>14004</v>
      </c>
      <c r="V1640" t="s">
        <v>14004</v>
      </c>
      <c r="W1640" t="s">
        <v>15610</v>
      </c>
      <c r="X1640">
        <v>2</v>
      </c>
      <c r="Y1640" t="s">
        <v>22535</v>
      </c>
      <c r="Z1640" t="s">
        <v>29350</v>
      </c>
      <c r="AA1640">
        <v>0.40861866454239149</v>
      </c>
      <c r="AB1640" t="str">
        <f>HYPERLINK("Melting_Curves/meltCurve_O60783_MRPS14.pdf", "Melting_Curves/meltCurve_O60783_MRPS14.pdf")</f>
        <v>Melting_Curves/meltCurve_O60783_MRPS14.pdf</v>
      </c>
    </row>
    <row r="1641" spans="1:28" x14ac:dyDescent="0.25">
      <c r="A1641" t="s">
        <v>1645</v>
      </c>
      <c r="B1641">
        <v>0.99999676499088797</v>
      </c>
      <c r="C1641">
        <v>0.93467964231532097</v>
      </c>
      <c r="D1641">
        <v>0.86551470787416596</v>
      </c>
      <c r="E1641">
        <v>0.583250973156616</v>
      </c>
      <c r="F1641">
        <v>0.226490055265086</v>
      </c>
      <c r="G1641">
        <v>0.14861165690536901</v>
      </c>
      <c r="H1641">
        <v>6.5676899643723696E-2</v>
      </c>
      <c r="I1641">
        <v>6.1805773901669699E-2</v>
      </c>
      <c r="J1641">
        <v>6.1915849636790803E-2</v>
      </c>
      <c r="K1641">
        <v>4.7652319757692102E-2</v>
      </c>
      <c r="L1641">
        <v>1048.2142559592901</v>
      </c>
      <c r="M1641">
        <v>20.976730798392399</v>
      </c>
      <c r="N1641">
        <v>50.230977218</v>
      </c>
      <c r="O1641">
        <v>49.5228471282364</v>
      </c>
      <c r="P1641">
        <v>-0.10043641522687199</v>
      </c>
      <c r="Q1641">
        <v>5.1565621549609503E-2</v>
      </c>
      <c r="R1641">
        <v>0.99748171259557805</v>
      </c>
      <c r="S1641" t="s">
        <v>8644</v>
      </c>
      <c r="T1641" t="s">
        <v>14004</v>
      </c>
      <c r="U1641" t="s">
        <v>14004</v>
      </c>
      <c r="V1641" t="s">
        <v>14004</v>
      </c>
      <c r="W1641" t="s">
        <v>15611</v>
      </c>
      <c r="X1641">
        <v>21</v>
      </c>
      <c r="Y1641" t="s">
        <v>22536</v>
      </c>
      <c r="Z1641" t="s">
        <v>29351</v>
      </c>
      <c r="AA1641">
        <v>0.37879802837482118</v>
      </c>
      <c r="AB1641" t="str">
        <f>HYPERLINK("Melting_Curves/meltCurve_O60826_CCDC22.pdf", "Melting_Curves/meltCurve_O60826_CCDC22.pdf")</f>
        <v>Melting_Curves/meltCurve_O60826_CCDC22.pdf</v>
      </c>
    </row>
    <row r="1642" spans="1:28" x14ac:dyDescent="0.25">
      <c r="A1642" t="s">
        <v>1646</v>
      </c>
      <c r="B1642">
        <v>0.99999676499088797</v>
      </c>
      <c r="C1642">
        <v>1.00954885661774</v>
      </c>
      <c r="D1642">
        <v>0.990144009937867</v>
      </c>
      <c r="E1642">
        <v>0.99418805279044298</v>
      </c>
      <c r="F1642">
        <v>0.781172107592638</v>
      </c>
      <c r="G1642">
        <v>0.73134332882159203</v>
      </c>
      <c r="H1642">
        <v>0.50880376859682197</v>
      </c>
      <c r="I1642">
        <v>0.60374200891676699</v>
      </c>
      <c r="J1642">
        <v>0.56757251551124099</v>
      </c>
      <c r="K1642">
        <v>0.66529575631073101</v>
      </c>
      <c r="L1642">
        <v>1484.7584252377901</v>
      </c>
      <c r="M1642">
        <v>27.690044250234301</v>
      </c>
      <c r="O1642">
        <v>53.343348084102203</v>
      </c>
      <c r="P1642">
        <v>-5.28961159786503E-2</v>
      </c>
      <c r="Q1642">
        <v>0.59239792426278004</v>
      </c>
      <c r="R1642">
        <v>0.93579774684155803</v>
      </c>
      <c r="S1642" t="s">
        <v>8645</v>
      </c>
      <c r="T1642" t="s">
        <v>14004</v>
      </c>
      <c r="U1642" t="s">
        <v>14004</v>
      </c>
      <c r="V1642" t="s">
        <v>14004</v>
      </c>
      <c r="W1642" t="s">
        <v>15612</v>
      </c>
      <c r="X1642">
        <v>9</v>
      </c>
      <c r="Y1642" t="s">
        <v>22537</v>
      </c>
      <c r="Z1642" t="s">
        <v>29352</v>
      </c>
      <c r="AA1642">
        <v>0.78056767190006704</v>
      </c>
      <c r="AB1642" t="str">
        <f>HYPERLINK("Melting_Curves/meltCurve_O60828_PQBP1.pdf", "Melting_Curves/meltCurve_O60828_PQBP1.pdf")</f>
        <v>Melting_Curves/meltCurve_O60828_PQBP1.pdf</v>
      </c>
    </row>
    <row r="1643" spans="1:28" x14ac:dyDescent="0.25">
      <c r="A1643" t="s">
        <v>1647</v>
      </c>
      <c r="B1643">
        <v>0.99999676499088797</v>
      </c>
      <c r="C1643">
        <v>0.920555506313534</v>
      </c>
      <c r="D1643">
        <v>0.91374541341110604</v>
      </c>
      <c r="E1643">
        <v>0.93111628854518302</v>
      </c>
      <c r="F1643">
        <v>1.0220191307661699</v>
      </c>
      <c r="G1643">
        <v>0.93717187412762704</v>
      </c>
      <c r="H1643">
        <v>0.71461141981321796</v>
      </c>
      <c r="I1643">
        <v>0.54460523683751705</v>
      </c>
      <c r="J1643">
        <v>0.32274047437843001</v>
      </c>
      <c r="K1643">
        <v>0.177607481636161</v>
      </c>
      <c r="L1643">
        <v>1182.30097488349</v>
      </c>
      <c r="M1643">
        <v>18.371131185464399</v>
      </c>
      <c r="N1643">
        <v>64.3564606149897</v>
      </c>
      <c r="O1643">
        <v>63.608435547973897</v>
      </c>
      <c r="P1643">
        <v>-7.2207265018926603E-2</v>
      </c>
      <c r="Q1643">
        <v>0</v>
      </c>
      <c r="R1643">
        <v>0.973819826322325</v>
      </c>
      <c r="S1643" t="s">
        <v>8646</v>
      </c>
      <c r="T1643" t="s">
        <v>14004</v>
      </c>
      <c r="U1643" t="s">
        <v>14004</v>
      </c>
      <c r="V1643" t="s">
        <v>14004</v>
      </c>
      <c r="W1643" t="s">
        <v>15613</v>
      </c>
      <c r="X1643">
        <v>4</v>
      </c>
      <c r="Y1643" t="s">
        <v>22538</v>
      </c>
      <c r="Z1643" t="s">
        <v>29353</v>
      </c>
      <c r="AA1643">
        <v>0.80104213719447415</v>
      </c>
      <c r="AB1643" t="str">
        <f>HYPERLINK("Melting_Curves/meltCurve_O60830_TIMM17B.pdf", "Melting_Curves/meltCurve_O60830_TIMM17B.pdf")</f>
        <v>Melting_Curves/meltCurve_O60830_TIMM17B.pdf</v>
      </c>
    </row>
    <row r="1644" spans="1:28" x14ac:dyDescent="0.25">
      <c r="A1644" t="s">
        <v>1648</v>
      </c>
      <c r="B1644">
        <v>0.99999676499088797</v>
      </c>
      <c r="C1644">
        <v>1.0309701362164201</v>
      </c>
      <c r="D1644">
        <v>1.3431241299384999</v>
      </c>
      <c r="E1644">
        <v>1.38415188712091</v>
      </c>
      <c r="F1644">
        <v>1.72067279649043</v>
      </c>
      <c r="G1644">
        <v>1.0004275144941901</v>
      </c>
      <c r="H1644">
        <v>0.63921976033171601</v>
      </c>
      <c r="I1644">
        <v>0.35976261943434501</v>
      </c>
      <c r="J1644">
        <v>0.22290379404614799</v>
      </c>
      <c r="K1644">
        <v>0.34472051971849099</v>
      </c>
      <c r="L1644">
        <v>3500.0737505225102</v>
      </c>
      <c r="M1644">
        <v>57.577505706998501</v>
      </c>
      <c r="N1644">
        <v>61.741296654374302</v>
      </c>
      <c r="O1644">
        <v>60.715709717789899</v>
      </c>
      <c r="P1644">
        <v>-0.16730773213907299</v>
      </c>
      <c r="Q1644">
        <v>0.29429365470291502</v>
      </c>
      <c r="R1644">
        <v>0.64947827578212403</v>
      </c>
      <c r="S1644" t="s">
        <v>8647</v>
      </c>
      <c r="T1644" t="s">
        <v>14004</v>
      </c>
      <c r="U1644" t="s">
        <v>14004</v>
      </c>
      <c r="V1644" t="s">
        <v>14004</v>
      </c>
      <c r="W1644" t="s">
        <v>15614</v>
      </c>
      <c r="X1644">
        <v>4</v>
      </c>
      <c r="Y1644" t="s">
        <v>22539</v>
      </c>
      <c r="Z1644" t="s">
        <v>29354</v>
      </c>
      <c r="AA1644">
        <v>0.78472992617196102</v>
      </c>
      <c r="AB1644" t="str">
        <f>HYPERLINK("Melting_Curves/meltCurve_O60831_PRAF2.pdf", "Melting_Curves/meltCurve_O60831_PRAF2.pdf")</f>
        <v>Melting_Curves/meltCurve_O60831_PRAF2.pdf</v>
      </c>
    </row>
    <row r="1645" spans="1:28" x14ac:dyDescent="0.25">
      <c r="A1645" t="s">
        <v>1649</v>
      </c>
      <c r="B1645">
        <v>0.99999676499088797</v>
      </c>
      <c r="C1645">
        <v>1.0573202809122499</v>
      </c>
      <c r="D1645">
        <v>1.0405803434298799</v>
      </c>
      <c r="E1645">
        <v>1.0358645334173699</v>
      </c>
      <c r="F1645">
        <v>0.78722454506033301</v>
      </c>
      <c r="G1645">
        <v>1.0766708651547601</v>
      </c>
      <c r="H1645">
        <v>0.77904900322736204</v>
      </c>
      <c r="I1645">
        <v>0.406899225449248</v>
      </c>
      <c r="J1645">
        <v>0.20962100392451799</v>
      </c>
      <c r="K1645">
        <v>0.16814016741011301</v>
      </c>
      <c r="L1645">
        <v>2511.39050709414</v>
      </c>
      <c r="M1645">
        <v>40.1684629660299</v>
      </c>
      <c r="N1645">
        <v>63.1261427488094</v>
      </c>
      <c r="O1645">
        <v>62.3670861619688</v>
      </c>
      <c r="P1645">
        <v>-0.13530235656838699</v>
      </c>
      <c r="Q1645">
        <v>0.15969926870606199</v>
      </c>
      <c r="R1645">
        <v>0.94926826758860305</v>
      </c>
      <c r="S1645" t="s">
        <v>8648</v>
      </c>
      <c r="T1645" t="s">
        <v>14004</v>
      </c>
      <c r="U1645" t="s">
        <v>14004</v>
      </c>
      <c r="V1645" t="s">
        <v>14004</v>
      </c>
      <c r="W1645" t="s">
        <v>15615</v>
      </c>
      <c r="X1645">
        <v>19</v>
      </c>
      <c r="Y1645" t="s">
        <v>22540</v>
      </c>
      <c r="Z1645" t="s">
        <v>29355</v>
      </c>
      <c r="AA1645">
        <v>0.79333916503169244</v>
      </c>
      <c r="AB1645" t="str">
        <f>HYPERLINK("Melting_Curves/meltCurve_O60832_DKC1.pdf", "Melting_Curves/meltCurve_O60832_DKC1.pdf")</f>
        <v>Melting_Curves/meltCurve_O60832_DKC1.pdf</v>
      </c>
    </row>
    <row r="1646" spans="1:28" x14ac:dyDescent="0.25">
      <c r="A1646" t="s">
        <v>1650</v>
      </c>
      <c r="B1646">
        <v>0.99999676499088797</v>
      </c>
      <c r="C1646">
        <v>1.0164470935916201</v>
      </c>
      <c r="D1646">
        <v>1.02786370914923</v>
      </c>
      <c r="E1646">
        <v>0.98403190398818496</v>
      </c>
      <c r="F1646">
        <v>0.43594347574428499</v>
      </c>
      <c r="G1646">
        <v>0.22963992214204601</v>
      </c>
      <c r="H1646">
        <v>0.121164997041475</v>
      </c>
      <c r="I1646">
        <v>0.11980371320631</v>
      </c>
      <c r="J1646">
        <v>0.11472360311982301</v>
      </c>
      <c r="K1646">
        <v>0.104233616353498</v>
      </c>
      <c r="L1646">
        <v>2446.2460078865201</v>
      </c>
      <c r="M1646">
        <v>46.508487285280701</v>
      </c>
      <c r="N1646">
        <v>52.940351575068902</v>
      </c>
      <c r="O1646">
        <v>52.5008733969253</v>
      </c>
      <c r="P1646">
        <v>-0.19269229183844799</v>
      </c>
      <c r="Q1646">
        <v>0.12992207326971</v>
      </c>
      <c r="R1646">
        <v>0.99475094017620203</v>
      </c>
      <c r="S1646" t="s">
        <v>8649</v>
      </c>
      <c r="T1646" t="s">
        <v>14004</v>
      </c>
      <c r="U1646" t="s">
        <v>14004</v>
      </c>
      <c r="V1646" t="s">
        <v>14004</v>
      </c>
      <c r="W1646" t="s">
        <v>15616</v>
      </c>
      <c r="X1646">
        <v>67</v>
      </c>
      <c r="Y1646" t="s">
        <v>22541</v>
      </c>
      <c r="Z1646" t="s">
        <v>29356</v>
      </c>
      <c r="AA1646">
        <v>0.49762680487683247</v>
      </c>
      <c r="AB1646" t="str">
        <f>HYPERLINK("Melting_Curves/meltCurve_O60841_EIF5B.pdf", "Melting_Curves/meltCurve_O60841_EIF5B.pdf")</f>
        <v>Melting_Curves/meltCurve_O60841_EIF5B.pdf</v>
      </c>
    </row>
    <row r="1647" spans="1:28" x14ac:dyDescent="0.25">
      <c r="A1647" t="s">
        <v>1651</v>
      </c>
      <c r="B1647">
        <v>0.99999676499088797</v>
      </c>
      <c r="C1647">
        <v>1.062221370988</v>
      </c>
      <c r="D1647">
        <v>0.327284270423426</v>
      </c>
      <c r="E1647">
        <v>0.181333853150488</v>
      </c>
      <c r="F1647">
        <v>0.143747763848594</v>
      </c>
      <c r="G1647">
        <v>8.6370647324801902E-2</v>
      </c>
      <c r="H1647">
        <v>5.5910572643212302E-2</v>
      </c>
      <c r="I1647">
        <v>8.0694953174099193E-2</v>
      </c>
      <c r="J1647">
        <v>8.4759030404412294E-2</v>
      </c>
      <c r="K1647">
        <v>5.45950069898644E-2</v>
      </c>
      <c r="L1647">
        <v>11450.4469516848</v>
      </c>
      <c r="M1647">
        <v>250</v>
      </c>
      <c r="N1647">
        <v>45.841858274036298</v>
      </c>
      <c r="O1647">
        <v>45.798856568831297</v>
      </c>
      <c r="P1647">
        <v>-1.2306506871390701</v>
      </c>
      <c r="Q1647">
        <v>9.8201687675470897E-2</v>
      </c>
      <c r="R1647">
        <v>0.98745945791163803</v>
      </c>
      <c r="S1647" t="s">
        <v>8650</v>
      </c>
      <c r="T1647" t="s">
        <v>14004</v>
      </c>
      <c r="U1647" t="s">
        <v>14004</v>
      </c>
      <c r="V1647" t="s">
        <v>14004</v>
      </c>
      <c r="W1647" t="s">
        <v>15617</v>
      </c>
      <c r="X1647">
        <v>7</v>
      </c>
      <c r="Y1647" t="s">
        <v>22542</v>
      </c>
      <c r="Z1647" t="s">
        <v>29357</v>
      </c>
      <c r="AA1647">
        <v>0.27267559059474988</v>
      </c>
      <c r="AB1647" t="str">
        <f>HYPERLINK("Melting_Curves/meltCurve_O60861_GAS7.pdf", "Melting_Curves/meltCurve_O60861_GAS7.pdf")</f>
        <v>Melting_Curves/meltCurve_O60861_GAS7.pdf</v>
      </c>
    </row>
    <row r="1648" spans="1:28" x14ac:dyDescent="0.25">
      <c r="A1648" t="s">
        <v>1652</v>
      </c>
      <c r="B1648">
        <v>0.99999676499088797</v>
      </c>
      <c r="C1648">
        <v>0.99666221076786699</v>
      </c>
      <c r="D1648">
        <v>0.98998769320500202</v>
      </c>
      <c r="E1648">
        <v>0.80730007675528104</v>
      </c>
      <c r="F1648">
        <v>0.65407881835333304</v>
      </c>
      <c r="G1648">
        <v>0.67387878593844297</v>
      </c>
      <c r="H1648">
        <v>0.42862120504121398</v>
      </c>
      <c r="I1648">
        <v>0.54016582975929595</v>
      </c>
      <c r="J1648">
        <v>0.52673233538124598</v>
      </c>
      <c r="K1648">
        <v>0.43494138650333802</v>
      </c>
      <c r="L1648">
        <v>834.26414520619801</v>
      </c>
      <c r="M1648">
        <v>16.029809379972999</v>
      </c>
      <c r="N1648">
        <v>63.515063086229198</v>
      </c>
      <c r="O1648">
        <v>51.254782285361102</v>
      </c>
      <c r="P1648">
        <v>-4.1258690659527697E-2</v>
      </c>
      <c r="Q1648">
        <v>0.47234791959254702</v>
      </c>
      <c r="R1648">
        <v>0.94329058772174201</v>
      </c>
      <c r="S1648" t="s">
        <v>8651</v>
      </c>
      <c r="T1648" t="s">
        <v>14004</v>
      </c>
      <c r="U1648" t="s">
        <v>14004</v>
      </c>
      <c r="V1648" t="s">
        <v>14004</v>
      </c>
      <c r="W1648" t="s">
        <v>15618</v>
      </c>
      <c r="X1648">
        <v>16</v>
      </c>
      <c r="Y1648" t="s">
        <v>22543</v>
      </c>
      <c r="Z1648" t="s">
        <v>29358</v>
      </c>
      <c r="AA1648">
        <v>0.69481361477207315</v>
      </c>
      <c r="AB1648" t="str">
        <f>HYPERLINK("Melting_Curves/meltCurve_O60869_EDF1.pdf", "Melting_Curves/meltCurve_O60869_EDF1.pdf")</f>
        <v>Melting_Curves/meltCurve_O60869_EDF1.pdf</v>
      </c>
    </row>
    <row r="1649" spans="1:28" x14ac:dyDescent="0.25">
      <c r="A1649" t="s">
        <v>1653</v>
      </c>
      <c r="B1649">
        <v>0.99999676499088797</v>
      </c>
      <c r="C1649">
        <v>0.93991462582056795</v>
      </c>
      <c r="D1649">
        <v>0.76733278457203102</v>
      </c>
      <c r="E1649">
        <v>0.29035632561218999</v>
      </c>
      <c r="F1649">
        <v>0.199598774485608</v>
      </c>
      <c r="G1649">
        <v>0.11732589013896701</v>
      </c>
      <c r="H1649">
        <v>5.1191254800721002E-2</v>
      </c>
      <c r="I1649">
        <v>5.9154411170079399E-2</v>
      </c>
      <c r="J1649">
        <v>6.45185772455628E-2</v>
      </c>
      <c r="K1649">
        <v>5.7671714088859002E-2</v>
      </c>
      <c r="L1649">
        <v>1200.9206032556599</v>
      </c>
      <c r="M1649">
        <v>25.144752310519099</v>
      </c>
      <c r="N1649">
        <v>48.056165218418897</v>
      </c>
      <c r="O1649">
        <v>47.461279431341197</v>
      </c>
      <c r="P1649">
        <v>-0.122951814056368</v>
      </c>
      <c r="Q1649">
        <v>7.1715074071797502E-2</v>
      </c>
      <c r="R1649">
        <v>0.99388175024553904</v>
      </c>
      <c r="S1649" t="s">
        <v>8652</v>
      </c>
      <c r="T1649" t="s">
        <v>14004</v>
      </c>
      <c r="U1649" t="s">
        <v>14004</v>
      </c>
      <c r="V1649" t="s">
        <v>14004</v>
      </c>
      <c r="W1649" t="s">
        <v>15619</v>
      </c>
      <c r="X1649">
        <v>9</v>
      </c>
      <c r="Y1649" t="s">
        <v>22544</v>
      </c>
      <c r="Z1649" t="s">
        <v>29359</v>
      </c>
      <c r="AA1649">
        <v>0.31995184016804568</v>
      </c>
      <c r="AB1649" t="str">
        <f>HYPERLINK("Melting_Curves/meltCurve_O60870_KIN.pdf", "Melting_Curves/meltCurve_O60870_KIN.pdf")</f>
        <v>Melting_Curves/meltCurve_O60870_KIN.pdf</v>
      </c>
    </row>
    <row r="1650" spans="1:28" x14ac:dyDescent="0.25">
      <c r="A1650" t="s">
        <v>1654</v>
      </c>
      <c r="B1650">
        <v>0.99999676499088797</v>
      </c>
      <c r="C1650">
        <v>0.98203669093312096</v>
      </c>
      <c r="D1650">
        <v>1.0040281684874699</v>
      </c>
      <c r="E1650">
        <v>0.62036255567766896</v>
      </c>
      <c r="F1650">
        <v>0.197596003712286</v>
      </c>
      <c r="G1650">
        <v>0.13796429930103199</v>
      </c>
      <c r="H1650">
        <v>5.8277569171846198E-2</v>
      </c>
      <c r="I1650">
        <v>4.87134944630511E-2</v>
      </c>
      <c r="J1650">
        <v>3.4588883402231402E-2</v>
      </c>
      <c r="K1650">
        <v>4.2632824694957903E-2</v>
      </c>
      <c r="L1650">
        <v>1611.70856478723</v>
      </c>
      <c r="M1650">
        <v>32.036565277985801</v>
      </c>
      <c r="N1650">
        <v>50.501483767033399</v>
      </c>
      <c r="O1650">
        <v>50.113589952103297</v>
      </c>
      <c r="P1650">
        <v>-0.15060870373867799</v>
      </c>
      <c r="Q1650">
        <v>5.7638451703745999E-2</v>
      </c>
      <c r="R1650">
        <v>0.99600286481343403</v>
      </c>
      <c r="S1650" t="s">
        <v>8653</v>
      </c>
      <c r="T1650" t="s">
        <v>14004</v>
      </c>
      <c r="U1650" t="s">
        <v>14004</v>
      </c>
      <c r="V1650" t="s">
        <v>14004</v>
      </c>
      <c r="W1650" t="s">
        <v>15620</v>
      </c>
      <c r="X1650">
        <v>5</v>
      </c>
      <c r="Y1650" t="s">
        <v>22545</v>
      </c>
      <c r="Z1650" t="s">
        <v>29360</v>
      </c>
      <c r="AA1650">
        <v>0.38657748016954863</v>
      </c>
      <c r="AB1650" t="str">
        <f>HYPERLINK("Melting_Curves/meltCurve_O60880_SH2D1A.pdf", "Melting_Curves/meltCurve_O60880_SH2D1A.pdf")</f>
        <v>Melting_Curves/meltCurve_O60880_SH2D1A.pdf</v>
      </c>
    </row>
    <row r="1651" spans="1:28" x14ac:dyDescent="0.25">
      <c r="A1651" t="s">
        <v>1655</v>
      </c>
      <c r="B1651">
        <v>0.99999676499088797</v>
      </c>
      <c r="C1651">
        <v>0.98004356906409995</v>
      </c>
      <c r="D1651">
        <v>0.80960822437337698</v>
      </c>
      <c r="E1651">
        <v>0.38544583377939301</v>
      </c>
      <c r="F1651">
        <v>0.14876843736567899</v>
      </c>
      <c r="G1651">
        <v>0.10414680996064</v>
      </c>
      <c r="H1651">
        <v>4.6953155827902902E-2</v>
      </c>
      <c r="I1651">
        <v>2.9642242597143501E-2</v>
      </c>
      <c r="J1651">
        <v>2.3415087176075999E-2</v>
      </c>
      <c r="K1651">
        <v>2.56081452064865E-2</v>
      </c>
      <c r="L1651">
        <v>1184.61742331095</v>
      </c>
      <c r="M1651">
        <v>24.389854009921201</v>
      </c>
      <c r="N1651">
        <v>48.727979549377601</v>
      </c>
      <c r="O1651">
        <v>48.2471284557014</v>
      </c>
      <c r="P1651">
        <v>-0.121580122815887</v>
      </c>
      <c r="Q1651">
        <v>3.7993030261603999E-2</v>
      </c>
      <c r="R1651">
        <v>0.99827108195815994</v>
      </c>
      <c r="S1651" t="s">
        <v>8654</v>
      </c>
      <c r="T1651" t="s">
        <v>14004</v>
      </c>
      <c r="U1651" t="s">
        <v>14004</v>
      </c>
      <c r="V1651" t="s">
        <v>14004</v>
      </c>
      <c r="W1651" t="s">
        <v>15621</v>
      </c>
      <c r="X1651">
        <v>5</v>
      </c>
      <c r="Y1651" t="s">
        <v>22545</v>
      </c>
      <c r="Z1651" t="s">
        <v>29361</v>
      </c>
      <c r="AA1651">
        <v>0.32176570945730498</v>
      </c>
      <c r="AB1651" t="str">
        <f>HYPERLINK("Melting_Curves/meltCurve_O60880_4_SH2D1A.pdf", "Melting_Curves/meltCurve_O60880_4_SH2D1A.pdf")</f>
        <v>Melting_Curves/meltCurve_O60880_4_SH2D1A.pdf</v>
      </c>
    </row>
    <row r="1652" spans="1:28" x14ac:dyDescent="0.25">
      <c r="A1652" t="s">
        <v>1656</v>
      </c>
      <c r="B1652">
        <v>0.99999676499088797</v>
      </c>
      <c r="C1652">
        <v>1.06801162072231</v>
      </c>
      <c r="D1652">
        <v>0.99157100811431698</v>
      </c>
      <c r="E1652">
        <v>0.85723010831755098</v>
      </c>
      <c r="F1652">
        <v>0.56105859163784799</v>
      </c>
      <c r="G1652">
        <v>0.37626196916770799</v>
      </c>
      <c r="H1652">
        <v>0.11145932559552101</v>
      </c>
      <c r="I1652">
        <v>0.101936518476178</v>
      </c>
      <c r="J1652">
        <v>0.10106505960542</v>
      </c>
      <c r="K1652">
        <v>7.5322962353582407E-2</v>
      </c>
      <c r="L1652">
        <v>1050.5089903190301</v>
      </c>
      <c r="M1652">
        <v>19.470613394461999</v>
      </c>
      <c r="N1652">
        <v>54.333285757844301</v>
      </c>
      <c r="O1652">
        <v>53.394103164487902</v>
      </c>
      <c r="P1652">
        <v>-8.5368763237230305E-2</v>
      </c>
      <c r="Q1652">
        <v>6.3609656127094696E-2</v>
      </c>
      <c r="R1652">
        <v>0.99198135152879197</v>
      </c>
      <c r="S1652" t="s">
        <v>8655</v>
      </c>
      <c r="T1652" t="s">
        <v>14004</v>
      </c>
      <c r="U1652" t="s">
        <v>14004</v>
      </c>
      <c r="V1652" t="s">
        <v>14004</v>
      </c>
      <c r="W1652" t="s">
        <v>15622</v>
      </c>
      <c r="X1652">
        <v>19</v>
      </c>
      <c r="Y1652" t="s">
        <v>22546</v>
      </c>
      <c r="Z1652" t="s">
        <v>29362</v>
      </c>
      <c r="AA1652">
        <v>0.5124369346609986</v>
      </c>
      <c r="AB1652" t="str">
        <f>HYPERLINK("Melting_Curves/meltCurve_O60884_DNAJA2.pdf", "Melting_Curves/meltCurve_O60884_DNAJA2.pdf")</f>
        <v>Melting_Curves/meltCurve_O60884_DNAJA2.pdf</v>
      </c>
    </row>
    <row r="1653" spans="1:28" x14ac:dyDescent="0.25">
      <c r="A1653" t="s">
        <v>1657</v>
      </c>
      <c r="B1653">
        <v>0.99999676499088797</v>
      </c>
      <c r="C1653">
        <v>0.75926970699042395</v>
      </c>
      <c r="D1653">
        <v>0.464834192719974</v>
      </c>
      <c r="E1653">
        <v>0.27058231001989602</v>
      </c>
      <c r="F1653">
        <v>0.213278694142713</v>
      </c>
      <c r="G1653">
        <v>0.182746906065308</v>
      </c>
      <c r="H1653">
        <v>0.109902481495377</v>
      </c>
      <c r="I1653">
        <v>0.119258289400797</v>
      </c>
      <c r="J1653">
        <v>0.136409260077163</v>
      </c>
      <c r="K1653">
        <v>0.152248916853857</v>
      </c>
      <c r="L1653">
        <v>935.30726706388896</v>
      </c>
      <c r="M1653">
        <v>20.765888262531401</v>
      </c>
      <c r="N1653">
        <v>45.789230141769998</v>
      </c>
      <c r="O1653">
        <v>44.629114851154199</v>
      </c>
      <c r="P1653">
        <v>-9.9582959911667296E-2</v>
      </c>
      <c r="Q1653">
        <v>0.14394714195665101</v>
      </c>
      <c r="R1653">
        <v>0.99007020593357498</v>
      </c>
      <c r="S1653" t="s">
        <v>8656</v>
      </c>
      <c r="T1653" t="s">
        <v>14004</v>
      </c>
      <c r="U1653" t="s">
        <v>14004</v>
      </c>
      <c r="V1653" t="s">
        <v>14004</v>
      </c>
      <c r="W1653" t="s">
        <v>15623</v>
      </c>
      <c r="X1653">
        <v>18</v>
      </c>
      <c r="Y1653" t="s">
        <v>22547</v>
      </c>
      <c r="Z1653" t="s">
        <v>29363</v>
      </c>
      <c r="AA1653">
        <v>0.30099171925469198</v>
      </c>
      <c r="AB1653" t="str">
        <f>HYPERLINK("Melting_Curves/meltCurve_O60885_BRD4.pdf", "Melting_Curves/meltCurve_O60885_BRD4.pdf")</f>
        <v>Melting_Curves/meltCurve_O60885_BRD4.pdf</v>
      </c>
    </row>
    <row r="1654" spans="1:28" x14ac:dyDescent="0.25">
      <c r="A1654" t="s">
        <v>1658</v>
      </c>
      <c r="B1654">
        <v>0.99999676499088797</v>
      </c>
      <c r="C1654">
        <v>0.81570251330085997</v>
      </c>
      <c r="D1654">
        <v>0.89634090721891502</v>
      </c>
      <c r="E1654">
        <v>0.76048472145096202</v>
      </c>
      <c r="F1654">
        <v>0.49713468794215399</v>
      </c>
      <c r="G1654">
        <v>0.420349257002127</v>
      </c>
      <c r="H1654">
        <v>0.22079113982826601</v>
      </c>
      <c r="I1654">
        <v>0.172151534656029</v>
      </c>
      <c r="J1654">
        <v>0.180073694075677</v>
      </c>
      <c r="K1654">
        <v>0.25609193769468402</v>
      </c>
      <c r="L1654">
        <v>657.75604710411199</v>
      </c>
      <c r="M1654">
        <v>12.578096774166299</v>
      </c>
      <c r="N1654">
        <v>53.757304411987</v>
      </c>
      <c r="O1654">
        <v>51.024759854710297</v>
      </c>
      <c r="P1654">
        <v>-5.2703199820790102E-2</v>
      </c>
      <c r="Q1654">
        <v>0.14498094368009001</v>
      </c>
      <c r="R1654">
        <v>0.96201751542929803</v>
      </c>
      <c r="S1654" t="s">
        <v>8657</v>
      </c>
      <c r="T1654" t="s">
        <v>14004</v>
      </c>
      <c r="U1654" t="s">
        <v>14004</v>
      </c>
      <c r="V1654" t="s">
        <v>14004</v>
      </c>
      <c r="W1654" t="s">
        <v>15624</v>
      </c>
      <c r="X1654">
        <v>4</v>
      </c>
      <c r="Y1654" t="s">
        <v>22548</v>
      </c>
      <c r="Z1654" t="s">
        <v>29364</v>
      </c>
      <c r="AA1654">
        <v>0.51952620596409893</v>
      </c>
      <c r="AB1654" t="str">
        <f>HYPERLINK("Melting_Curves/meltCurve_O60888_3_CUTA.pdf", "Melting_Curves/meltCurve_O60888_3_CUTA.pdf")</f>
        <v>Melting_Curves/meltCurve_O60888_3_CUTA.pdf</v>
      </c>
    </row>
    <row r="1655" spans="1:28" x14ac:dyDescent="0.25">
      <c r="A1655" t="s">
        <v>1659</v>
      </c>
      <c r="B1655">
        <v>0.99999676499088797</v>
      </c>
      <c r="C1655">
        <v>0.98753879530417299</v>
      </c>
      <c r="D1655">
        <v>0.88664172412025999</v>
      </c>
      <c r="E1655">
        <v>0.68080168465282198</v>
      </c>
      <c r="F1655">
        <v>0.50977413477577005</v>
      </c>
      <c r="G1655">
        <v>0.38979498263444901</v>
      </c>
      <c r="H1655">
        <v>0.24711484810043</v>
      </c>
      <c r="I1655">
        <v>0.189136945903602</v>
      </c>
      <c r="J1655">
        <v>0.11976351969709299</v>
      </c>
      <c r="K1655">
        <v>8.0612415750760003E-2</v>
      </c>
      <c r="L1655">
        <v>605.22572130762001</v>
      </c>
      <c r="M1655">
        <v>11.3302620062665</v>
      </c>
      <c r="N1655">
        <v>53.827396611249597</v>
      </c>
      <c r="O1655">
        <v>51.8339198034218</v>
      </c>
      <c r="P1655">
        <v>-5.2400077265820397E-2</v>
      </c>
      <c r="Q1655">
        <v>4.1404671501746898E-2</v>
      </c>
      <c r="R1655">
        <v>0.99459697214023302</v>
      </c>
      <c r="S1655" t="s">
        <v>8658</v>
      </c>
      <c r="T1655" t="s">
        <v>14004</v>
      </c>
      <c r="U1655" t="s">
        <v>14004</v>
      </c>
      <c r="V1655" t="s">
        <v>14004</v>
      </c>
      <c r="W1655" t="s">
        <v>15625</v>
      </c>
      <c r="X1655">
        <v>4</v>
      </c>
      <c r="Y1655" t="s">
        <v>22549</v>
      </c>
      <c r="Z1655" t="s">
        <v>29365</v>
      </c>
      <c r="AA1655">
        <v>0.49805972133532073</v>
      </c>
      <c r="AB1655" t="str">
        <f>HYPERLINK("Melting_Curves/meltCurve_O60906_SMPD2.pdf", "Melting_Curves/meltCurve_O60906_SMPD2.pdf")</f>
        <v>Melting_Curves/meltCurve_O60906_SMPD2.pdf</v>
      </c>
    </row>
    <row r="1656" spans="1:28" x14ac:dyDescent="0.25">
      <c r="A1656" t="s">
        <v>1660</v>
      </c>
      <c r="B1656">
        <v>0.99999676499088797</v>
      </c>
      <c r="C1656">
        <v>0.98290693051933198</v>
      </c>
      <c r="D1656">
        <v>0.91255501349088597</v>
      </c>
      <c r="E1656">
        <v>0.589310446430788</v>
      </c>
      <c r="F1656">
        <v>0.47574533780645101</v>
      </c>
      <c r="G1656">
        <v>0.506012863124357</v>
      </c>
      <c r="H1656">
        <v>0.20086474997481299</v>
      </c>
      <c r="I1656">
        <v>0.208015312315184</v>
      </c>
      <c r="J1656">
        <v>0.21049676307868501</v>
      </c>
      <c r="K1656">
        <v>0.13631008777039599</v>
      </c>
      <c r="L1656">
        <v>611.77520427063598</v>
      </c>
      <c r="M1656">
        <v>11.7240059326655</v>
      </c>
      <c r="N1656">
        <v>53.468962459166796</v>
      </c>
      <c r="O1656">
        <v>50.732649924298798</v>
      </c>
      <c r="P1656">
        <v>-5.06816982452368E-2</v>
      </c>
      <c r="Q1656">
        <v>0.122982781255549</v>
      </c>
      <c r="R1656">
        <v>0.95868946155088597</v>
      </c>
      <c r="S1656" t="s">
        <v>8659</v>
      </c>
      <c r="T1656" t="s">
        <v>14004</v>
      </c>
      <c r="U1656" t="s">
        <v>14004</v>
      </c>
      <c r="V1656" t="s">
        <v>14004</v>
      </c>
      <c r="W1656" t="s">
        <v>15626</v>
      </c>
      <c r="X1656">
        <v>11</v>
      </c>
      <c r="Y1656" t="s">
        <v>22550</v>
      </c>
      <c r="Z1656" t="s">
        <v>29366</v>
      </c>
      <c r="AA1656">
        <v>0.50638127865579952</v>
      </c>
      <c r="AB1656" t="str">
        <f>HYPERLINK("Melting_Curves/meltCurve_O60925_PFDN1.pdf", "Melting_Curves/meltCurve_O60925_PFDN1.pdf")</f>
        <v>Melting_Curves/meltCurve_O60925_PFDN1.pdf</v>
      </c>
    </row>
    <row r="1657" spans="1:28" x14ac:dyDescent="0.25">
      <c r="A1657" t="s">
        <v>1661</v>
      </c>
      <c r="B1657">
        <v>0.99999676499088797</v>
      </c>
      <c r="C1657">
        <v>1.1421782382707699</v>
      </c>
      <c r="D1657">
        <v>1.08366850793271</v>
      </c>
      <c r="E1657">
        <v>0.845229367846695</v>
      </c>
      <c r="F1657">
        <v>0.82131507276356097</v>
      </c>
      <c r="G1657">
        <v>0.71397135369977904</v>
      </c>
      <c r="H1657">
        <v>0.40318572755374898</v>
      </c>
      <c r="I1657">
        <v>0.53393092907839201</v>
      </c>
      <c r="J1657">
        <v>0.52845627528504302</v>
      </c>
      <c r="K1657">
        <v>0.51490298528039502</v>
      </c>
      <c r="L1657">
        <v>1137.4849825272599</v>
      </c>
      <c r="M1657">
        <v>20.8652399069823</v>
      </c>
      <c r="N1657">
        <v>66.144801744389497</v>
      </c>
      <c r="O1657">
        <v>54.0224466977552</v>
      </c>
      <c r="P1657">
        <v>-4.9512479261934403E-2</v>
      </c>
      <c r="Q1657">
        <v>0.48724070473703002</v>
      </c>
      <c r="R1657">
        <v>0.89354602317473197</v>
      </c>
      <c r="S1657" t="s">
        <v>8660</v>
      </c>
      <c r="T1657" t="s">
        <v>14004</v>
      </c>
      <c r="U1657" t="s">
        <v>14004</v>
      </c>
      <c r="V1657" t="s">
        <v>14004</v>
      </c>
      <c r="W1657" t="s">
        <v>15627</v>
      </c>
      <c r="X1657">
        <v>4</v>
      </c>
      <c r="Y1657" t="s">
        <v>22551</v>
      </c>
      <c r="Z1657" t="s">
        <v>29367</v>
      </c>
      <c r="AA1657">
        <v>0.74180181628506359</v>
      </c>
      <c r="AB1657" t="str">
        <f>HYPERLINK("Melting_Curves/meltCurve_O60927_PPP1R11.pdf", "Melting_Curves/meltCurve_O60927_PPP1R11.pdf")</f>
        <v>Melting_Curves/meltCurve_O60927_PPP1R11.pdf</v>
      </c>
    </row>
    <row r="1658" spans="1:28" x14ac:dyDescent="0.25">
      <c r="A1658" t="s">
        <v>1662</v>
      </c>
      <c r="B1658">
        <v>0.99999676499088797</v>
      </c>
      <c r="C1658">
        <v>0.63565588783508797</v>
      </c>
      <c r="D1658">
        <v>0.38878307683114599</v>
      </c>
      <c r="E1658">
        <v>0.30663848123458198</v>
      </c>
      <c r="F1658">
        <v>0.11858246247418699</v>
      </c>
      <c r="G1658">
        <v>0.11818056300666401</v>
      </c>
      <c r="H1658">
        <v>4.3646442597475299E-2</v>
      </c>
      <c r="I1658">
        <v>7.4222676005625002E-2</v>
      </c>
      <c r="J1658">
        <v>7.3270675753445397E-2</v>
      </c>
      <c r="K1658">
        <v>5.30119921694115E-2</v>
      </c>
      <c r="L1658">
        <v>755.51215502001298</v>
      </c>
      <c r="M1658">
        <v>16.885711962784001</v>
      </c>
      <c r="N1658">
        <v>45.142887682851601</v>
      </c>
      <c r="O1658">
        <v>44.129317319853897</v>
      </c>
      <c r="P1658">
        <v>-8.9016196633629793E-2</v>
      </c>
      <c r="Q1658">
        <v>6.9515672236149406E-2</v>
      </c>
      <c r="R1658">
        <v>0.96938478471099598</v>
      </c>
      <c r="S1658" t="s">
        <v>8661</v>
      </c>
      <c r="T1658" t="s">
        <v>14004</v>
      </c>
      <c r="U1658" t="s">
        <v>14004</v>
      </c>
      <c r="V1658" t="s">
        <v>14004</v>
      </c>
      <c r="W1658" t="s">
        <v>15628</v>
      </c>
      <c r="X1658">
        <v>1</v>
      </c>
      <c r="Y1658" t="s">
        <v>22552</v>
      </c>
      <c r="Z1658" t="s">
        <v>29368</v>
      </c>
      <c r="AA1658">
        <v>0.24046867973036351</v>
      </c>
      <c r="AB1658" t="str">
        <f>HYPERLINK("Melting_Curves/meltCurve_O60930_RNASEH1.pdf", "Melting_Curves/meltCurve_O60930_RNASEH1.pdf")</f>
        <v>Melting_Curves/meltCurve_O60930_RNASEH1.pdf</v>
      </c>
    </row>
    <row r="1659" spans="1:28" x14ac:dyDescent="0.25">
      <c r="A1659" t="s">
        <v>1663</v>
      </c>
      <c r="B1659">
        <v>0.99999676499088797</v>
      </c>
      <c r="C1659">
        <v>0.93247267636360198</v>
      </c>
      <c r="D1659">
        <v>0.83380297042352403</v>
      </c>
      <c r="E1659">
        <v>0.43078628982285999</v>
      </c>
      <c r="F1659">
        <v>0.23619643731638901</v>
      </c>
      <c r="G1659">
        <v>0.14977697998999101</v>
      </c>
      <c r="H1659">
        <v>9.1819058852644103E-2</v>
      </c>
      <c r="I1659">
        <v>8.7812943635996399E-2</v>
      </c>
      <c r="J1659">
        <v>8.6103695695481194E-2</v>
      </c>
      <c r="K1659">
        <v>8.3527680485561695E-2</v>
      </c>
      <c r="L1659">
        <v>1057.28428162968</v>
      </c>
      <c r="M1659">
        <v>21.688260660623701</v>
      </c>
      <c r="N1659">
        <v>49.1904362226283</v>
      </c>
      <c r="O1659">
        <v>48.3403820917517</v>
      </c>
      <c r="P1659">
        <v>-0.10225100837341</v>
      </c>
      <c r="Q1659">
        <v>8.8403443221609701E-2</v>
      </c>
      <c r="R1659">
        <v>0.99745623545320306</v>
      </c>
      <c r="S1659" t="s">
        <v>8662</v>
      </c>
      <c r="T1659" t="s">
        <v>14004</v>
      </c>
      <c r="U1659" t="s">
        <v>14004</v>
      </c>
      <c r="V1659" t="s">
        <v>14004</v>
      </c>
      <c r="W1659" t="s">
        <v>15629</v>
      </c>
      <c r="X1659">
        <v>18</v>
      </c>
      <c r="Y1659" t="s">
        <v>22553</v>
      </c>
      <c r="Z1659" t="s">
        <v>29369</v>
      </c>
      <c r="AA1659">
        <v>0.36509182619157821</v>
      </c>
      <c r="AB1659" t="str">
        <f>HYPERLINK("Melting_Curves/meltCurve_O60934_NBN.pdf", "Melting_Curves/meltCurve_O60934_NBN.pdf")</f>
        <v>Melting_Curves/meltCurve_O60934_NBN.pdf</v>
      </c>
    </row>
    <row r="1660" spans="1:28" x14ac:dyDescent="0.25">
      <c r="A1660" t="s">
        <v>1664</v>
      </c>
      <c r="B1660">
        <v>0.99999676499088797</v>
      </c>
      <c r="C1660">
        <v>0.90737338672163204</v>
      </c>
      <c r="D1660">
        <v>0.81365193572763905</v>
      </c>
      <c r="E1660">
        <v>0.39848967081085002</v>
      </c>
      <c r="F1660">
        <v>0.24472081016782299</v>
      </c>
      <c r="G1660">
        <v>0.15666541744972001</v>
      </c>
      <c r="H1660">
        <v>7.4824113768957007E-2</v>
      </c>
      <c r="I1660">
        <v>6.9211982043945103E-2</v>
      </c>
      <c r="J1660">
        <v>6.6926521220679894E-2</v>
      </c>
      <c r="K1660">
        <v>5.4080912639426902E-2</v>
      </c>
      <c r="L1660">
        <v>937.20843513934199</v>
      </c>
      <c r="M1660">
        <v>19.261942120571401</v>
      </c>
      <c r="N1660">
        <v>49.017859581076003</v>
      </c>
      <c r="O1660">
        <v>48.140638126528202</v>
      </c>
      <c r="P1660">
        <v>-9.3403132088136998E-2</v>
      </c>
      <c r="Q1660">
        <v>6.6279638742025998E-2</v>
      </c>
      <c r="R1660">
        <v>0.99405686866782905</v>
      </c>
      <c r="S1660" t="s">
        <v>8663</v>
      </c>
      <c r="T1660" t="s">
        <v>14004</v>
      </c>
      <c r="U1660" t="s">
        <v>14004</v>
      </c>
      <c r="V1660" t="s">
        <v>14004</v>
      </c>
      <c r="W1660" t="s">
        <v>15630</v>
      </c>
      <c r="X1660">
        <v>12</v>
      </c>
      <c r="Y1660" t="s">
        <v>22554</v>
      </c>
      <c r="Z1660" t="s">
        <v>29370</v>
      </c>
      <c r="AA1660">
        <v>0.34987217930071168</v>
      </c>
      <c r="AB1660" t="str">
        <f>HYPERLINK("Melting_Curves/meltCurve_O60942_RNGTT.pdf", "Melting_Curves/meltCurve_O60942_RNGTT.pdf")</f>
        <v>Melting_Curves/meltCurve_O60942_RNGTT.pdf</v>
      </c>
    </row>
    <row r="1661" spans="1:28" x14ac:dyDescent="0.25">
      <c r="A1661" t="s">
        <v>1665</v>
      </c>
      <c r="B1661">
        <v>0.99999676499088797</v>
      </c>
      <c r="C1661">
        <v>0.97039326069545995</v>
      </c>
      <c r="D1661">
        <v>1.0094257098833901</v>
      </c>
      <c r="E1661">
        <v>1.0909849342784901</v>
      </c>
      <c r="F1661">
        <v>0.64825715172312204</v>
      </c>
      <c r="G1661">
        <v>0.26260745722682399</v>
      </c>
      <c r="H1661">
        <v>0.10159849649349401</v>
      </c>
      <c r="I1661">
        <v>8.1367241925990402E-2</v>
      </c>
      <c r="J1661">
        <v>7.0693356000948601E-2</v>
      </c>
      <c r="K1661">
        <v>6.0194703157354798E-2</v>
      </c>
      <c r="L1661">
        <v>1932.7818188769199</v>
      </c>
      <c r="M1661">
        <v>35.6568477361756</v>
      </c>
      <c r="N1661">
        <v>54.461357692069399</v>
      </c>
      <c r="O1661">
        <v>54.035423558849303</v>
      </c>
      <c r="P1661">
        <v>-0.152228152587016</v>
      </c>
      <c r="Q1661">
        <v>7.7239201975493693E-2</v>
      </c>
      <c r="R1661">
        <v>0.98957804164419105</v>
      </c>
      <c r="S1661" t="s">
        <v>8664</v>
      </c>
      <c r="T1661" t="s">
        <v>14004</v>
      </c>
      <c r="U1661" t="s">
        <v>14004</v>
      </c>
      <c r="V1661" t="s">
        <v>14004</v>
      </c>
      <c r="W1661" t="s">
        <v>15631</v>
      </c>
      <c r="X1661">
        <v>13</v>
      </c>
      <c r="Y1661" t="s">
        <v>22555</v>
      </c>
      <c r="Z1661" t="s">
        <v>29371</v>
      </c>
      <c r="AA1661">
        <v>0.51850384103019875</v>
      </c>
      <c r="AB1661" t="str">
        <f>HYPERLINK("Melting_Curves/meltCurve_O75027_ABCB7.pdf", "Melting_Curves/meltCurve_O75027_ABCB7.pdf")</f>
        <v>Melting_Curves/meltCurve_O75027_ABCB7.pdf</v>
      </c>
    </row>
    <row r="1662" spans="1:28" x14ac:dyDescent="0.25">
      <c r="A1662" t="s">
        <v>1666</v>
      </c>
      <c r="B1662">
        <v>0.99999676499088797</v>
      </c>
      <c r="C1662">
        <v>1.0029070005587599</v>
      </c>
      <c r="D1662">
        <v>0.68441590473329506</v>
      </c>
      <c r="E1662">
        <v>0.53663425492841299</v>
      </c>
      <c r="F1662">
        <v>0.32489100014605099</v>
      </c>
      <c r="G1662">
        <v>0.19628475890538799</v>
      </c>
      <c r="H1662">
        <v>0.119454292157571</v>
      </c>
      <c r="I1662">
        <v>0.13315108834893</v>
      </c>
      <c r="J1662">
        <v>0.122982197646092</v>
      </c>
      <c r="K1662">
        <v>0.11560736016319199</v>
      </c>
      <c r="L1662">
        <v>777.955656371185</v>
      </c>
      <c r="M1662">
        <v>15.864473663733101</v>
      </c>
      <c r="N1662">
        <v>49.785408623105901</v>
      </c>
      <c r="O1662">
        <v>48.278269986985599</v>
      </c>
      <c r="P1662">
        <v>-7.3447897264675197E-2</v>
      </c>
      <c r="Q1662">
        <v>0.10601510912842201</v>
      </c>
      <c r="R1662">
        <v>0.98575087960112595</v>
      </c>
      <c r="S1662" t="s">
        <v>8665</v>
      </c>
      <c r="T1662" t="s">
        <v>14004</v>
      </c>
      <c r="U1662" t="s">
        <v>14004</v>
      </c>
      <c r="V1662" t="s">
        <v>14004</v>
      </c>
      <c r="W1662" t="s">
        <v>15632</v>
      </c>
      <c r="X1662">
        <v>10</v>
      </c>
      <c r="Y1662" t="s">
        <v>22556</v>
      </c>
      <c r="Z1662" t="s">
        <v>29372</v>
      </c>
      <c r="AA1662">
        <v>0.39514141682304937</v>
      </c>
      <c r="AB1662" t="str">
        <f>HYPERLINK("Melting_Curves/meltCurve_O75044_SRGAP2.pdf", "Melting_Curves/meltCurve_O75044_SRGAP2.pdf")</f>
        <v>Melting_Curves/meltCurve_O75044_SRGAP2.pdf</v>
      </c>
    </row>
    <row r="1663" spans="1:28" x14ac:dyDescent="0.25">
      <c r="A1663" t="s">
        <v>1667</v>
      </c>
      <c r="B1663">
        <v>0.99999676499088797</v>
      </c>
      <c r="C1663">
        <v>0.99645441169114402</v>
      </c>
      <c r="D1663">
        <v>1.0222649437190801</v>
      </c>
      <c r="E1663">
        <v>0.81687981718396596</v>
      </c>
      <c r="F1663">
        <v>0.61706677218589701</v>
      </c>
      <c r="G1663">
        <v>0.461152810055308</v>
      </c>
      <c r="H1663">
        <v>0.25917339960497998</v>
      </c>
      <c r="I1663">
        <v>0.25298099006034702</v>
      </c>
      <c r="J1663">
        <v>0.184205130968043</v>
      </c>
      <c r="K1663">
        <v>0.17144230719151801</v>
      </c>
      <c r="L1663">
        <v>870.979491501913</v>
      </c>
      <c r="M1663">
        <v>16.0868256005155</v>
      </c>
      <c r="N1663">
        <v>55.461063475168402</v>
      </c>
      <c r="O1663">
        <v>53.326478827256402</v>
      </c>
      <c r="P1663">
        <v>-6.3436527330275105E-2</v>
      </c>
      <c r="Q1663">
        <v>0.15891747513169899</v>
      </c>
      <c r="R1663">
        <v>0.99254723903059905</v>
      </c>
      <c r="S1663" t="s">
        <v>8666</v>
      </c>
      <c r="T1663" t="s">
        <v>14004</v>
      </c>
      <c r="U1663" t="s">
        <v>14004</v>
      </c>
      <c r="V1663" t="s">
        <v>14004</v>
      </c>
      <c r="W1663" t="s">
        <v>15633</v>
      </c>
      <c r="X1663">
        <v>6</v>
      </c>
      <c r="Y1663" t="s">
        <v>22557</v>
      </c>
      <c r="Z1663" t="s">
        <v>29373</v>
      </c>
      <c r="AA1663">
        <v>0.57108670115987814</v>
      </c>
      <c r="AB1663" t="str">
        <f>HYPERLINK("Melting_Curves/meltCurve_O75054_IGSF3.pdf", "Melting_Curves/meltCurve_O75054_IGSF3.pdf")</f>
        <v>Melting_Curves/meltCurve_O75054_IGSF3.pdf</v>
      </c>
    </row>
    <row r="1664" spans="1:28" x14ac:dyDescent="0.25">
      <c r="A1664" t="s">
        <v>1668</v>
      </c>
      <c r="B1664">
        <v>0.99999676499088797</v>
      </c>
      <c r="C1664">
        <v>0.98909275603888402</v>
      </c>
      <c r="D1664">
        <v>0.99395137091733599</v>
      </c>
      <c r="E1664">
        <v>0.73606529066185999</v>
      </c>
      <c r="F1664">
        <v>0.28523679664512203</v>
      </c>
      <c r="G1664">
        <v>0.19728102928272001</v>
      </c>
      <c r="H1664">
        <v>6.2696814378782495E-2</v>
      </c>
      <c r="I1664">
        <v>0.112024151747422</v>
      </c>
      <c r="J1664">
        <v>7.4412681152981594E-2</v>
      </c>
      <c r="K1664">
        <v>5.4463145186569001E-2</v>
      </c>
      <c r="L1664">
        <v>1483.37702997308</v>
      </c>
      <c r="M1664">
        <v>29.009568317540499</v>
      </c>
      <c r="N1664">
        <v>51.460902110755001</v>
      </c>
      <c r="O1664">
        <v>50.892923784563799</v>
      </c>
      <c r="P1664">
        <v>-0.13051445490470401</v>
      </c>
      <c r="Q1664">
        <v>8.4134917407210699E-2</v>
      </c>
      <c r="R1664">
        <v>0.99493638291900999</v>
      </c>
      <c r="S1664" t="s">
        <v>8667</v>
      </c>
      <c r="T1664" t="s">
        <v>14004</v>
      </c>
      <c r="U1664" t="s">
        <v>14004</v>
      </c>
      <c r="V1664" t="s">
        <v>14004</v>
      </c>
      <c r="W1664" t="s">
        <v>15634</v>
      </c>
      <c r="X1664">
        <v>3</v>
      </c>
      <c r="Y1664" t="s">
        <v>22558</v>
      </c>
      <c r="Z1664" t="s">
        <v>29374</v>
      </c>
      <c r="AA1664">
        <v>0.43021632811583221</v>
      </c>
      <c r="AB1664" t="str">
        <f>HYPERLINK("Melting_Curves/meltCurve_O75061_3_DNAJC6.pdf", "Melting_Curves/meltCurve_O75061_3_DNAJC6.pdf")</f>
        <v>Melting_Curves/meltCurve_O75061_3_DNAJC6.pdf</v>
      </c>
    </row>
    <row r="1665" spans="1:28" x14ac:dyDescent="0.25">
      <c r="A1665" t="s">
        <v>1669</v>
      </c>
      <c r="B1665">
        <v>0.99999676499088797</v>
      </c>
      <c r="C1665">
        <v>0.95834184990012194</v>
      </c>
      <c r="D1665">
        <v>1.08115258504572</v>
      </c>
      <c r="E1665">
        <v>0.97734718606906101</v>
      </c>
      <c r="F1665">
        <v>0.35831862293071298</v>
      </c>
      <c r="G1665">
        <v>0.139448512088647</v>
      </c>
      <c r="H1665">
        <v>9.4880024452239101E-2</v>
      </c>
      <c r="I1665">
        <v>7.3463723188768995E-2</v>
      </c>
      <c r="J1665">
        <v>8.9246442258059805E-2</v>
      </c>
      <c r="K1665">
        <v>0.13288891678721099</v>
      </c>
      <c r="L1665">
        <v>3180.6772602495398</v>
      </c>
      <c r="M1665">
        <v>60.7012565842318</v>
      </c>
      <c r="N1665">
        <v>52.600994723122199</v>
      </c>
      <c r="O1665">
        <v>52.342091847153696</v>
      </c>
      <c r="P1665">
        <v>-0.259767109524361</v>
      </c>
      <c r="Q1665">
        <v>0.10402198031029</v>
      </c>
      <c r="R1665">
        <v>0.993854804485238</v>
      </c>
      <c r="S1665" t="s">
        <v>8668</v>
      </c>
      <c r="T1665" t="s">
        <v>14004</v>
      </c>
      <c r="U1665" t="s">
        <v>14004</v>
      </c>
      <c r="V1665" t="s">
        <v>14004</v>
      </c>
      <c r="W1665" t="s">
        <v>15635</v>
      </c>
      <c r="X1665">
        <v>5</v>
      </c>
      <c r="Y1665" t="s">
        <v>22559</v>
      </c>
      <c r="Z1665" t="s">
        <v>29375</v>
      </c>
      <c r="AA1665">
        <v>0.47572836332031881</v>
      </c>
      <c r="AB1665" t="str">
        <f>HYPERLINK("Melting_Curves/meltCurve_O75063_FAM20B.pdf", "Melting_Curves/meltCurve_O75063_FAM20B.pdf")</f>
        <v>Melting_Curves/meltCurve_O75063_FAM20B.pdf</v>
      </c>
    </row>
    <row r="1666" spans="1:28" x14ac:dyDescent="0.25">
      <c r="A1666" t="s">
        <v>1670</v>
      </c>
      <c r="B1666">
        <v>0.99999676499088797</v>
      </c>
      <c r="C1666">
        <v>0.85861143284188102</v>
      </c>
      <c r="D1666">
        <v>0.81556478171003</v>
      </c>
      <c r="E1666">
        <v>0.67553268517207998</v>
      </c>
      <c r="F1666">
        <v>0.519783458949587</v>
      </c>
      <c r="G1666">
        <v>0.43494376644082799</v>
      </c>
      <c r="H1666">
        <v>0.16588133018457701</v>
      </c>
      <c r="I1666">
        <v>0.200809100582585</v>
      </c>
      <c r="J1666">
        <v>0.29599314320703601</v>
      </c>
      <c r="K1666">
        <v>0.253348411479978</v>
      </c>
      <c r="L1666">
        <v>586.31070806607795</v>
      </c>
      <c r="M1666">
        <v>11.468044405140301</v>
      </c>
      <c r="N1666">
        <v>53.177189138421902</v>
      </c>
      <c r="O1666">
        <v>49.645136620987799</v>
      </c>
      <c r="P1666">
        <v>-4.7440022774940999E-2</v>
      </c>
      <c r="Q1666">
        <v>0.178765021543383</v>
      </c>
      <c r="R1666">
        <v>0.95880962427721605</v>
      </c>
      <c r="S1666" t="s">
        <v>8669</v>
      </c>
      <c r="T1666" t="s">
        <v>14004</v>
      </c>
      <c r="U1666" t="s">
        <v>14004</v>
      </c>
      <c r="V1666" t="s">
        <v>14004</v>
      </c>
      <c r="W1666" t="s">
        <v>15636</v>
      </c>
      <c r="X1666">
        <v>1</v>
      </c>
      <c r="Y1666" t="s">
        <v>22560</v>
      </c>
      <c r="Z1666" t="s">
        <v>29376</v>
      </c>
      <c r="AA1666">
        <v>0.5116301624514461</v>
      </c>
      <c r="AB1666" t="str">
        <f>HYPERLINK("Melting_Curves/meltCurve_O75071_EFCAB14.pdf", "Melting_Curves/meltCurve_O75071_EFCAB14.pdf")</f>
        <v>Melting_Curves/meltCurve_O75071_EFCAB14.pdf</v>
      </c>
    </row>
    <row r="1667" spans="1:28" x14ac:dyDescent="0.25">
      <c r="A1667" t="s">
        <v>1671</v>
      </c>
      <c r="B1667">
        <v>0.99999676499088797</v>
      </c>
      <c r="C1667">
        <v>1.0071704333149101</v>
      </c>
      <c r="D1667">
        <v>0.92612616594045605</v>
      </c>
      <c r="E1667">
        <v>0.826266714321927</v>
      </c>
      <c r="F1667">
        <v>0.36736247192321397</v>
      </c>
      <c r="G1667">
        <v>0.172016968221887</v>
      </c>
      <c r="H1667">
        <v>8.1577415633380002E-2</v>
      </c>
      <c r="I1667">
        <v>7.3699857502196098E-2</v>
      </c>
      <c r="J1667">
        <v>6.7351140469245799E-2</v>
      </c>
      <c r="K1667">
        <v>5.7062796250863697E-2</v>
      </c>
      <c r="L1667">
        <v>1425.9053200651999</v>
      </c>
      <c r="M1667">
        <v>27.443035172662601</v>
      </c>
      <c r="N1667">
        <v>52.230583625452198</v>
      </c>
      <c r="O1667">
        <v>51.6851751282747</v>
      </c>
      <c r="P1667">
        <v>-0.123908407439719</v>
      </c>
      <c r="Q1667">
        <v>6.6550836720388307E-2</v>
      </c>
      <c r="R1667">
        <v>0.99746754853626995</v>
      </c>
      <c r="S1667" t="s">
        <v>8670</v>
      </c>
      <c r="T1667" t="s">
        <v>14004</v>
      </c>
      <c r="U1667" t="s">
        <v>14004</v>
      </c>
      <c r="V1667" t="s">
        <v>14004</v>
      </c>
      <c r="W1667" t="s">
        <v>15637</v>
      </c>
      <c r="X1667">
        <v>40</v>
      </c>
      <c r="Y1667" t="s">
        <v>22561</v>
      </c>
      <c r="Z1667" t="s">
        <v>29377</v>
      </c>
      <c r="AA1667">
        <v>0.44575198873131611</v>
      </c>
      <c r="AB1667" t="str">
        <f>HYPERLINK("Melting_Curves/meltCurve_O75083_WDR1.pdf", "Melting_Curves/meltCurve_O75083_WDR1.pdf")</f>
        <v>Melting_Curves/meltCurve_O75083_WDR1.pdf</v>
      </c>
    </row>
    <row r="1668" spans="1:28" x14ac:dyDescent="0.25">
      <c r="A1668" t="s">
        <v>1672</v>
      </c>
      <c r="B1668">
        <v>0.99999676499088797</v>
      </c>
      <c r="C1668">
        <v>0.86458159463277495</v>
      </c>
      <c r="D1668">
        <v>0.74802861341387905</v>
      </c>
      <c r="E1668">
        <v>0.31130512742778199</v>
      </c>
      <c r="F1668">
        <v>0.18860048050503</v>
      </c>
      <c r="G1668">
        <v>0.13056657628247501</v>
      </c>
      <c r="H1668">
        <v>7.4161618983075397E-2</v>
      </c>
      <c r="I1668">
        <v>7.7106737449968696E-2</v>
      </c>
      <c r="J1668">
        <v>6.8622664286628096E-2</v>
      </c>
      <c r="K1668">
        <v>7.2965253493635904E-2</v>
      </c>
      <c r="L1668">
        <v>1003.3419002221</v>
      </c>
      <c r="M1668">
        <v>21.0728960035228</v>
      </c>
      <c r="N1668">
        <v>47.985617964909103</v>
      </c>
      <c r="O1668">
        <v>47.190370614344502</v>
      </c>
      <c r="P1668">
        <v>-0.103212906959952</v>
      </c>
      <c r="Q1668">
        <v>7.5490112257688993E-2</v>
      </c>
      <c r="R1668">
        <v>0.993217928399168</v>
      </c>
      <c r="S1668" t="s">
        <v>8671</v>
      </c>
      <c r="T1668" t="s">
        <v>14004</v>
      </c>
      <c r="U1668" t="s">
        <v>14004</v>
      </c>
      <c r="V1668" t="s">
        <v>14004</v>
      </c>
      <c r="W1668" t="s">
        <v>15638</v>
      </c>
      <c r="X1668">
        <v>11</v>
      </c>
      <c r="Y1668" t="s">
        <v>22562</v>
      </c>
      <c r="Z1668" t="s">
        <v>29378</v>
      </c>
      <c r="AA1668">
        <v>0.32194228731897101</v>
      </c>
      <c r="AB1668" t="str">
        <f>HYPERLINK("Melting_Curves/meltCurve_O75113_N4BP1.pdf", "Melting_Curves/meltCurve_O75113_N4BP1.pdf")</f>
        <v>Melting_Curves/meltCurve_O75113_N4BP1.pdf</v>
      </c>
    </row>
    <row r="1669" spans="1:28" x14ac:dyDescent="0.25">
      <c r="A1669" t="s">
        <v>1673</v>
      </c>
      <c r="B1669">
        <v>0.99999676499088797</v>
      </c>
      <c r="C1669">
        <v>0.98231572168408399</v>
      </c>
      <c r="D1669">
        <v>0.97197187027625098</v>
      </c>
      <c r="E1669">
        <v>0.33370496367998698</v>
      </c>
      <c r="F1669">
        <v>0.23054669364321001</v>
      </c>
      <c r="G1669">
        <v>0.14735096625249999</v>
      </c>
      <c r="H1669">
        <v>6.9351375320555797E-2</v>
      </c>
      <c r="I1669">
        <v>6.9221907841730296E-2</v>
      </c>
      <c r="J1669">
        <v>7.3062905553270996E-2</v>
      </c>
      <c r="K1669">
        <v>5.1230012389776501E-2</v>
      </c>
      <c r="L1669">
        <v>2320.7287763946601</v>
      </c>
      <c r="M1669">
        <v>47.747350063942299</v>
      </c>
      <c r="N1669">
        <v>48.8380820907105</v>
      </c>
      <c r="O1669">
        <v>48.519302087524501</v>
      </c>
      <c r="P1669">
        <v>-0.220892684605314</v>
      </c>
      <c r="Q1669">
        <v>0.10214481973256</v>
      </c>
      <c r="R1669">
        <v>0.98601929281936895</v>
      </c>
      <c r="S1669" t="s">
        <v>8672</v>
      </c>
      <c r="T1669" t="s">
        <v>14004</v>
      </c>
      <c r="U1669" t="s">
        <v>14004</v>
      </c>
      <c r="V1669" t="s">
        <v>14004</v>
      </c>
      <c r="W1669" t="s">
        <v>15639</v>
      </c>
      <c r="X1669">
        <v>42</v>
      </c>
      <c r="Y1669" t="s">
        <v>22563</v>
      </c>
      <c r="Z1669" t="s">
        <v>29379</v>
      </c>
      <c r="AA1669">
        <v>0.36177276902439698</v>
      </c>
      <c r="AB1669" t="str">
        <f>HYPERLINK("Melting_Curves/meltCurve_O75116_ROCK2.pdf", "Melting_Curves/meltCurve_O75116_ROCK2.pdf")</f>
        <v>Melting_Curves/meltCurve_O75116_ROCK2.pdf</v>
      </c>
    </row>
    <row r="1670" spans="1:28" x14ac:dyDescent="0.25">
      <c r="A1670" t="s">
        <v>1674</v>
      </c>
      <c r="B1670">
        <v>0.99999676499088797</v>
      </c>
      <c r="C1670">
        <v>1.00544060120964</v>
      </c>
      <c r="D1670">
        <v>1.00603009077101</v>
      </c>
      <c r="E1670">
        <v>0.89854957923843903</v>
      </c>
      <c r="F1670">
        <v>0.26635524161406299</v>
      </c>
      <c r="G1670">
        <v>0.16864554695898601</v>
      </c>
      <c r="H1670">
        <v>7.9379418250117004E-2</v>
      </c>
      <c r="I1670">
        <v>7.3322138369019699E-2</v>
      </c>
      <c r="J1670">
        <v>7.3375446670445807E-2</v>
      </c>
      <c r="K1670">
        <v>6.5358610673853207E-2</v>
      </c>
      <c r="L1670">
        <v>2450.8796230149601</v>
      </c>
      <c r="M1670">
        <v>47.411021230579998</v>
      </c>
      <c r="N1670">
        <v>51.905316789497597</v>
      </c>
      <c r="O1670">
        <v>51.602585647171701</v>
      </c>
      <c r="P1670">
        <v>-0.209560240881704</v>
      </c>
      <c r="Q1670">
        <v>8.7651942822621107E-2</v>
      </c>
      <c r="R1670">
        <v>0.99671414646420697</v>
      </c>
      <c r="S1670" t="s">
        <v>8673</v>
      </c>
      <c r="T1670" t="s">
        <v>14004</v>
      </c>
      <c r="U1670" t="s">
        <v>14004</v>
      </c>
      <c r="V1670" t="s">
        <v>14004</v>
      </c>
      <c r="W1670" t="s">
        <v>15640</v>
      </c>
      <c r="X1670">
        <v>18</v>
      </c>
      <c r="Y1670" t="s">
        <v>22564</v>
      </c>
      <c r="Z1670" t="s">
        <v>29380</v>
      </c>
      <c r="AA1670">
        <v>0.44560940186359282</v>
      </c>
      <c r="AB1670" t="str">
        <f>HYPERLINK("Melting_Curves/meltCurve_O75131_CPNE3.pdf", "Melting_Curves/meltCurve_O75131_CPNE3.pdf")</f>
        <v>Melting_Curves/meltCurve_O75131_CPNE3.pdf</v>
      </c>
    </row>
    <row r="1671" spans="1:28" x14ac:dyDescent="0.25">
      <c r="A1671" t="s">
        <v>1675</v>
      </c>
      <c r="B1671">
        <v>0.99999676499088797</v>
      </c>
      <c r="C1671">
        <v>0.93708047162166697</v>
      </c>
      <c r="D1671">
        <v>0.83883938143773296</v>
      </c>
      <c r="E1671">
        <v>0.65833170724404999</v>
      </c>
      <c r="F1671">
        <v>0.59503680052638896</v>
      </c>
      <c r="G1671">
        <v>0.458025428156002</v>
      </c>
      <c r="H1671">
        <v>0.33492941239650598</v>
      </c>
      <c r="I1671">
        <v>0.35449211922580198</v>
      </c>
      <c r="J1671">
        <v>0.315037139610859</v>
      </c>
      <c r="K1671">
        <v>0.27820716519435401</v>
      </c>
      <c r="L1671">
        <v>568.09169350059801</v>
      </c>
      <c r="M1671">
        <v>11.051671558401701</v>
      </c>
      <c r="N1671">
        <v>54.947213860755099</v>
      </c>
      <c r="O1671">
        <v>49.806280967456203</v>
      </c>
      <c r="P1671">
        <v>-4.1348645807896899E-2</v>
      </c>
      <c r="Q1671">
        <v>0.254867440356568</v>
      </c>
      <c r="R1671">
        <v>0.99044704246262605</v>
      </c>
      <c r="S1671" t="s">
        <v>8674</v>
      </c>
      <c r="T1671" t="s">
        <v>14004</v>
      </c>
      <c r="U1671" t="s">
        <v>14004</v>
      </c>
      <c r="V1671" t="s">
        <v>14004</v>
      </c>
      <c r="W1671" t="s">
        <v>15641</v>
      </c>
      <c r="X1671">
        <v>7</v>
      </c>
      <c r="Y1671" t="s">
        <v>22565</v>
      </c>
      <c r="Z1671" t="s">
        <v>29381</v>
      </c>
      <c r="AA1671">
        <v>0.56454295567537416</v>
      </c>
      <c r="AB1671" t="str">
        <f>HYPERLINK("Melting_Curves/meltCurve_O75143_2_ATG13.pdf", "Melting_Curves/meltCurve_O75143_2_ATG13.pdf")</f>
        <v>Melting_Curves/meltCurve_O75143_2_ATG13.pdf</v>
      </c>
    </row>
    <row r="1672" spans="1:28" x14ac:dyDescent="0.25">
      <c r="A1672" t="s">
        <v>1676</v>
      </c>
      <c r="B1672">
        <v>0.99999676499088797</v>
      </c>
      <c r="C1672">
        <v>1.1217851680642099</v>
      </c>
      <c r="D1672">
        <v>0.82991962613249504</v>
      </c>
      <c r="E1672">
        <v>0.28202737001572398</v>
      </c>
      <c r="F1672">
        <v>0.219437660946359</v>
      </c>
      <c r="G1672">
        <v>0.15377707362924301</v>
      </c>
      <c r="H1672">
        <v>7.8159500254789599E-2</v>
      </c>
      <c r="I1672">
        <v>8.6217093014384502E-2</v>
      </c>
      <c r="J1672">
        <v>8.9442734641897004E-2</v>
      </c>
      <c r="K1672">
        <v>5.60498731432372E-2</v>
      </c>
      <c r="L1672">
        <v>1799.12993711025</v>
      </c>
      <c r="M1672">
        <v>37.591837595628299</v>
      </c>
      <c r="N1672">
        <v>48.170856527232601</v>
      </c>
      <c r="O1672">
        <v>47.724756326029897</v>
      </c>
      <c r="P1672">
        <v>-0.17568729635293401</v>
      </c>
      <c r="Q1672">
        <v>0.10782641516395</v>
      </c>
      <c r="R1672">
        <v>0.97941573329348597</v>
      </c>
      <c r="S1672" t="s">
        <v>8675</v>
      </c>
      <c r="T1672" t="s">
        <v>14004</v>
      </c>
      <c r="U1672" t="s">
        <v>14004</v>
      </c>
      <c r="V1672" t="s">
        <v>14004</v>
      </c>
      <c r="W1672" t="s">
        <v>15642</v>
      </c>
      <c r="X1672">
        <v>9</v>
      </c>
      <c r="Y1672" t="s">
        <v>22566</v>
      </c>
      <c r="Z1672" t="s">
        <v>29382</v>
      </c>
      <c r="AA1672">
        <v>0.34492545349442821</v>
      </c>
      <c r="AB1672" t="str">
        <f>HYPERLINK("Melting_Curves/meltCurve_O75145_2_PPFIA3.pdf", "Melting_Curves/meltCurve_O75145_2_PPFIA3.pdf")</f>
        <v>Melting_Curves/meltCurve_O75145_2_PPFIA3.pdf</v>
      </c>
    </row>
    <row r="1673" spans="1:28" x14ac:dyDescent="0.25">
      <c r="A1673" t="s">
        <v>1677</v>
      </c>
      <c r="B1673">
        <v>0.99999676499088797</v>
      </c>
      <c r="C1673">
        <v>1.0766314591166899</v>
      </c>
      <c r="D1673">
        <v>1.0155680632589701</v>
      </c>
      <c r="E1673">
        <v>0.65239273839145095</v>
      </c>
      <c r="F1673">
        <v>0.20645523327816401</v>
      </c>
      <c r="G1673">
        <v>0.147688009418386</v>
      </c>
      <c r="H1673">
        <v>6.6585369905793904E-2</v>
      </c>
      <c r="I1673">
        <v>6.3097297516869405E-2</v>
      </c>
      <c r="J1673">
        <v>5.8454530289992097E-2</v>
      </c>
      <c r="K1673">
        <v>4.57832681781992E-2</v>
      </c>
      <c r="L1673">
        <v>1733.0843026819</v>
      </c>
      <c r="M1673">
        <v>34.362990450690802</v>
      </c>
      <c r="N1673">
        <v>50.661187216921498</v>
      </c>
      <c r="O1673">
        <v>50.2647300602736</v>
      </c>
      <c r="P1673">
        <v>-0.15873740885759699</v>
      </c>
      <c r="Q1673">
        <v>7.1226039966771404E-2</v>
      </c>
      <c r="R1673">
        <v>0.99287507294344801</v>
      </c>
      <c r="S1673" t="s">
        <v>8676</v>
      </c>
      <c r="T1673" t="s">
        <v>14004</v>
      </c>
      <c r="U1673" t="s">
        <v>14004</v>
      </c>
      <c r="V1673" t="s">
        <v>14004</v>
      </c>
      <c r="W1673" t="s">
        <v>15643</v>
      </c>
      <c r="X1673">
        <v>26</v>
      </c>
      <c r="Y1673" t="s">
        <v>22567</v>
      </c>
      <c r="Z1673" t="s">
        <v>29383</v>
      </c>
      <c r="AA1673">
        <v>0.39867238199836441</v>
      </c>
      <c r="AB1673" t="str">
        <f>HYPERLINK("Melting_Curves/meltCurve_O75146_HIP1R.pdf", "Melting_Curves/meltCurve_O75146_HIP1R.pdf")</f>
        <v>Melting_Curves/meltCurve_O75146_HIP1R.pdf</v>
      </c>
    </row>
    <row r="1674" spans="1:28" x14ac:dyDescent="0.25">
      <c r="A1674" t="s">
        <v>1678</v>
      </c>
      <c r="B1674">
        <v>0.99999676499088797</v>
      </c>
      <c r="C1674">
        <v>0.924096864568419</v>
      </c>
      <c r="D1674">
        <v>0.59393976700404005</v>
      </c>
      <c r="E1674">
        <v>0.26651323678393102</v>
      </c>
      <c r="F1674">
        <v>0.20456250278698701</v>
      </c>
      <c r="G1674">
        <v>0.15273179794911401</v>
      </c>
      <c r="H1674">
        <v>7.8876745356006597E-2</v>
      </c>
      <c r="I1674">
        <v>9.0174524031207001E-2</v>
      </c>
      <c r="J1674">
        <v>9.1080713649482906E-2</v>
      </c>
      <c r="K1674">
        <v>8.45437215216817E-2</v>
      </c>
      <c r="L1674">
        <v>1084.61498667858</v>
      </c>
      <c r="M1674">
        <v>23.292824703741601</v>
      </c>
      <c r="N1674">
        <v>47.031070631007303</v>
      </c>
      <c r="O1674">
        <v>46.225180592458599</v>
      </c>
      <c r="P1674">
        <v>-0.11297741551568299</v>
      </c>
      <c r="Q1674">
        <v>0.10318976423986299</v>
      </c>
      <c r="R1674">
        <v>0.99325363950757795</v>
      </c>
      <c r="S1674" t="s">
        <v>8677</v>
      </c>
      <c r="T1674" t="s">
        <v>14004</v>
      </c>
      <c r="U1674" t="s">
        <v>14004</v>
      </c>
      <c r="V1674" t="s">
        <v>14004</v>
      </c>
      <c r="W1674" t="s">
        <v>15644</v>
      </c>
      <c r="X1674">
        <v>37</v>
      </c>
      <c r="Y1674" t="s">
        <v>22568</v>
      </c>
      <c r="Z1674" t="s">
        <v>29384</v>
      </c>
      <c r="AA1674">
        <v>0.30891708271279322</v>
      </c>
      <c r="AB1674" t="str">
        <f>HYPERLINK("Melting_Curves/meltCurve_O75150_RNF40.pdf", "Melting_Curves/meltCurve_O75150_RNF40.pdf")</f>
        <v>Melting_Curves/meltCurve_O75150_RNF40.pdf</v>
      </c>
    </row>
    <row r="1675" spans="1:28" x14ac:dyDescent="0.25">
      <c r="A1675" t="s">
        <v>1679</v>
      </c>
      <c r="B1675">
        <v>0.99999676499088797</v>
      </c>
      <c r="C1675">
        <v>0.74563995691810603</v>
      </c>
      <c r="D1675">
        <v>0.35159510347835599</v>
      </c>
      <c r="E1675">
        <v>0.228604580809629</v>
      </c>
      <c r="F1675">
        <v>0.17196566863187199</v>
      </c>
      <c r="G1675">
        <v>0.15349559778194899</v>
      </c>
      <c r="H1675">
        <v>0.106045916067666</v>
      </c>
      <c r="I1675">
        <v>0.17498450683042499</v>
      </c>
      <c r="J1675">
        <v>0.22716305355041599</v>
      </c>
      <c r="K1675">
        <v>0.19203411578527699</v>
      </c>
      <c r="L1675">
        <v>1370.77842880563</v>
      </c>
      <c r="M1675">
        <v>31.0910792769279</v>
      </c>
      <c r="N1675">
        <v>44.7060578202315</v>
      </c>
      <c r="O1675">
        <v>43.907932644980598</v>
      </c>
      <c r="P1675">
        <v>-0.14614469875153799</v>
      </c>
      <c r="Q1675">
        <v>0.17444162895460399</v>
      </c>
      <c r="R1675">
        <v>0.98698397396735005</v>
      </c>
      <c r="S1675" t="s">
        <v>8678</v>
      </c>
      <c r="T1675" t="s">
        <v>14004</v>
      </c>
      <c r="U1675" t="s">
        <v>14004</v>
      </c>
      <c r="V1675" t="s">
        <v>14004</v>
      </c>
      <c r="W1675" t="s">
        <v>15645</v>
      </c>
      <c r="X1675">
        <v>4</v>
      </c>
      <c r="Y1675" t="s">
        <v>22569</v>
      </c>
      <c r="Z1675" t="s">
        <v>29385</v>
      </c>
      <c r="AA1675">
        <v>0.29239737679981348</v>
      </c>
      <c r="AB1675" t="str">
        <f>HYPERLINK("Melting_Curves/meltCurve_O75151_PHF2.pdf", "Melting_Curves/meltCurve_O75151_PHF2.pdf")</f>
        <v>Melting_Curves/meltCurve_O75151_PHF2.pdf</v>
      </c>
    </row>
    <row r="1676" spans="1:28" x14ac:dyDescent="0.25">
      <c r="A1676" t="s">
        <v>1680</v>
      </c>
      <c r="B1676">
        <v>0.99999676499088797</v>
      </c>
      <c r="C1676">
        <v>0.78780107585422798</v>
      </c>
      <c r="D1676">
        <v>0.44199246081839999</v>
      </c>
      <c r="E1676">
        <v>0.19411863558607501</v>
      </c>
      <c r="F1676">
        <v>0.13300581560963801</v>
      </c>
      <c r="G1676">
        <v>0.10037449792535399</v>
      </c>
      <c r="H1676">
        <v>5.6488978819141999E-2</v>
      </c>
      <c r="I1676">
        <v>6.2396503678099499E-2</v>
      </c>
      <c r="J1676">
        <v>5.93603371903604E-2</v>
      </c>
      <c r="K1676">
        <v>7.5634559584676103E-2</v>
      </c>
      <c r="L1676">
        <v>1034.3383767594601</v>
      </c>
      <c r="M1676">
        <v>22.852689398544999</v>
      </c>
      <c r="N1676">
        <v>45.581635115259097</v>
      </c>
      <c r="O1676">
        <v>44.918839405737003</v>
      </c>
      <c r="P1676">
        <v>-0.11775035722531101</v>
      </c>
      <c r="Q1676">
        <v>7.4226187968362806E-2</v>
      </c>
      <c r="R1676">
        <v>0.99605143139011298</v>
      </c>
      <c r="S1676" t="s">
        <v>8679</v>
      </c>
      <c r="T1676" t="s">
        <v>14004</v>
      </c>
      <c r="U1676" t="s">
        <v>14004</v>
      </c>
      <c r="V1676" t="s">
        <v>14004</v>
      </c>
      <c r="W1676" t="s">
        <v>15646</v>
      </c>
      <c r="X1676">
        <v>18</v>
      </c>
      <c r="Y1676" t="s">
        <v>22570</v>
      </c>
      <c r="Z1676" t="s">
        <v>29386</v>
      </c>
      <c r="AA1676">
        <v>0.2477177207256315</v>
      </c>
      <c r="AB1676" t="str">
        <f>HYPERLINK("Melting_Curves/meltCurve_O75152_ZC3H11A.pdf", "Melting_Curves/meltCurve_O75152_ZC3H11A.pdf")</f>
        <v>Melting_Curves/meltCurve_O75152_ZC3H11A.pdf</v>
      </c>
    </row>
    <row r="1677" spans="1:28" x14ac:dyDescent="0.25">
      <c r="A1677" t="s">
        <v>1681</v>
      </c>
      <c r="B1677">
        <v>0.99999676499088797</v>
      </c>
      <c r="C1677">
        <v>0.99309910405593205</v>
      </c>
      <c r="D1677">
        <v>0.68885986197224203</v>
      </c>
      <c r="E1677">
        <v>0.326581672567401</v>
      </c>
      <c r="F1677">
        <v>0.26873700756336</v>
      </c>
      <c r="G1677">
        <v>0.17979432280851701</v>
      </c>
      <c r="H1677">
        <v>5.51488660253866E-2</v>
      </c>
      <c r="I1677">
        <v>4.34961516866266E-2</v>
      </c>
      <c r="J1677">
        <v>4.3258109690833602E-2</v>
      </c>
      <c r="K1677">
        <v>2.82653936936649E-2</v>
      </c>
      <c r="L1677">
        <v>889.91757445639303</v>
      </c>
      <c r="M1677">
        <v>18.5264205937019</v>
      </c>
      <c r="N1677">
        <v>48.351088260306298</v>
      </c>
      <c r="O1677">
        <v>47.4858845901866</v>
      </c>
      <c r="P1677">
        <v>-9.1978274892842105E-2</v>
      </c>
      <c r="Q1677">
        <v>5.7027258124991598E-2</v>
      </c>
      <c r="R1677">
        <v>0.98061188731147497</v>
      </c>
      <c r="S1677" t="s">
        <v>8680</v>
      </c>
      <c r="T1677" t="s">
        <v>14004</v>
      </c>
      <c r="U1677" t="s">
        <v>14004</v>
      </c>
      <c r="V1677" t="s">
        <v>14004</v>
      </c>
      <c r="W1677" t="s">
        <v>15647</v>
      </c>
      <c r="X1677">
        <v>10</v>
      </c>
      <c r="Y1677" t="s">
        <v>22571</v>
      </c>
      <c r="Z1677" t="s">
        <v>29387</v>
      </c>
      <c r="AA1677">
        <v>0.32532397213645098</v>
      </c>
      <c r="AB1677" t="str">
        <f>HYPERLINK("Melting_Curves/meltCurve_O75155_CAND2.pdf", "Melting_Curves/meltCurve_O75155_CAND2.pdf")</f>
        <v>Melting_Curves/meltCurve_O75155_CAND2.pdf</v>
      </c>
    </row>
    <row r="1678" spans="1:28" x14ac:dyDescent="0.25">
      <c r="A1678" t="s">
        <v>1682</v>
      </c>
      <c r="B1678">
        <v>0.99999676499088797</v>
      </c>
      <c r="C1678">
        <v>0.98441972698278801</v>
      </c>
      <c r="D1678">
        <v>0.915541041058345</v>
      </c>
      <c r="E1678">
        <v>0.73084380260684501</v>
      </c>
      <c r="F1678">
        <v>0.43247159630382598</v>
      </c>
      <c r="G1678">
        <v>0.33751768082887501</v>
      </c>
      <c r="H1678">
        <v>0.24716626032871999</v>
      </c>
      <c r="I1678">
        <v>0.24918564467204601</v>
      </c>
      <c r="J1678">
        <v>0.244656585257857</v>
      </c>
      <c r="K1678">
        <v>0.28126719370211001</v>
      </c>
      <c r="L1678">
        <v>1121.1215995872799</v>
      </c>
      <c r="M1678">
        <v>22.102731842347399</v>
      </c>
      <c r="N1678">
        <v>52.375126610843303</v>
      </c>
      <c r="O1678">
        <v>50.313502093313602</v>
      </c>
      <c r="P1678">
        <v>-8.2261807226015005E-2</v>
      </c>
      <c r="Q1678">
        <v>0.25099082730258399</v>
      </c>
      <c r="R1678">
        <v>0.99725569832432004</v>
      </c>
      <c r="S1678" t="s">
        <v>8681</v>
      </c>
      <c r="T1678" t="s">
        <v>14004</v>
      </c>
      <c r="U1678" t="s">
        <v>14004</v>
      </c>
      <c r="V1678" t="s">
        <v>14004</v>
      </c>
      <c r="W1678" t="s">
        <v>15648</v>
      </c>
      <c r="X1678">
        <v>8</v>
      </c>
      <c r="Y1678" t="s">
        <v>22572</v>
      </c>
      <c r="Z1678" t="s">
        <v>29388</v>
      </c>
      <c r="AA1678">
        <v>0.52730631397618455</v>
      </c>
      <c r="AB1678" t="str">
        <f>HYPERLINK("Melting_Curves/meltCurve_O75157_2_TSC22D2.pdf", "Melting_Curves/meltCurve_O75157_2_TSC22D2.pdf")</f>
        <v>Melting_Curves/meltCurve_O75157_2_TSC22D2.pdf</v>
      </c>
    </row>
    <row r="1679" spans="1:28" x14ac:dyDescent="0.25">
      <c r="A1679" t="s">
        <v>1683</v>
      </c>
      <c r="B1679">
        <v>0.99999676499088797</v>
      </c>
      <c r="C1679">
        <v>0.98441415145670397</v>
      </c>
      <c r="D1679">
        <v>0.61518244508562403</v>
      </c>
      <c r="E1679">
        <v>0.36329731556964701</v>
      </c>
      <c r="F1679">
        <v>0.268412600634027</v>
      </c>
      <c r="G1679">
        <v>0.19151205314862299</v>
      </c>
      <c r="H1679">
        <v>0.13106477239929101</v>
      </c>
      <c r="I1679">
        <v>0.14582923373371001</v>
      </c>
      <c r="J1679">
        <v>0.158767852422489</v>
      </c>
      <c r="K1679">
        <v>0.13984817833015001</v>
      </c>
      <c r="L1679">
        <v>1042.96713483383</v>
      </c>
      <c r="M1679">
        <v>22.225183902495299</v>
      </c>
      <c r="N1679">
        <v>47.7380645263205</v>
      </c>
      <c r="O1679">
        <v>46.5523081656304</v>
      </c>
      <c r="P1679">
        <v>-0.100594875211104</v>
      </c>
      <c r="Q1679">
        <v>0.15720415435655399</v>
      </c>
      <c r="R1679">
        <v>0.98667727511585501</v>
      </c>
      <c r="S1679" t="s">
        <v>8682</v>
      </c>
      <c r="T1679" t="s">
        <v>14004</v>
      </c>
      <c r="U1679" t="s">
        <v>14004</v>
      </c>
      <c r="V1679" t="s">
        <v>14004</v>
      </c>
      <c r="W1679" t="s">
        <v>15649</v>
      </c>
      <c r="X1679">
        <v>5</v>
      </c>
      <c r="Y1679" t="s">
        <v>22573</v>
      </c>
      <c r="Z1679" t="s">
        <v>29389</v>
      </c>
      <c r="AA1679">
        <v>0.36160045666881119</v>
      </c>
      <c r="AB1679" t="str">
        <f>HYPERLINK("Melting_Curves/meltCurve_O75164_KDM4A.pdf", "Melting_Curves/meltCurve_O75164_KDM4A.pdf")</f>
        <v>Melting_Curves/meltCurve_O75164_KDM4A.pdf</v>
      </c>
    </row>
    <row r="1680" spans="1:28" x14ac:dyDescent="0.25">
      <c r="A1680" t="s">
        <v>1684</v>
      </c>
      <c r="B1680">
        <v>0.99999676499088797</v>
      </c>
      <c r="C1680">
        <v>1.0266886848404899</v>
      </c>
      <c r="D1680">
        <v>1.04288416956549</v>
      </c>
      <c r="E1680">
        <v>0.89468862625875401</v>
      </c>
      <c r="F1680">
        <v>0.45079922218708501</v>
      </c>
      <c r="G1680">
        <v>0.35222390331609299</v>
      </c>
      <c r="H1680">
        <v>0.143862156210112</v>
      </c>
      <c r="I1680">
        <v>0.13399347588063601</v>
      </c>
      <c r="J1680">
        <v>0.115951809748654</v>
      </c>
      <c r="K1680">
        <v>9.7021136829121099E-2</v>
      </c>
      <c r="L1680">
        <v>1284.4322801865201</v>
      </c>
      <c r="M1680">
        <v>24.287804248901701</v>
      </c>
      <c r="N1680">
        <v>53.489773528432899</v>
      </c>
      <c r="O1680">
        <v>52.529240743236699</v>
      </c>
      <c r="P1680">
        <v>-0.101691886404182</v>
      </c>
      <c r="Q1680">
        <v>0.12026349186942201</v>
      </c>
      <c r="R1680">
        <v>0.98564147456193796</v>
      </c>
      <c r="S1680" t="s">
        <v>8683</v>
      </c>
      <c r="T1680" t="s">
        <v>14004</v>
      </c>
      <c r="U1680" t="s">
        <v>14004</v>
      </c>
      <c r="V1680" t="s">
        <v>14004</v>
      </c>
      <c r="W1680" t="s">
        <v>15650</v>
      </c>
      <c r="X1680">
        <v>24</v>
      </c>
      <c r="Y1680" t="s">
        <v>22574</v>
      </c>
      <c r="Z1680" t="s">
        <v>29390</v>
      </c>
      <c r="AA1680">
        <v>0.50661994136112665</v>
      </c>
      <c r="AB1680" t="str">
        <f>HYPERLINK("Melting_Curves/meltCurve_O75165_DNAJC13.pdf", "Melting_Curves/meltCurve_O75165_DNAJC13.pdf")</f>
        <v>Melting_Curves/meltCurve_O75165_DNAJC13.pdf</v>
      </c>
    </row>
    <row r="1681" spans="1:28" x14ac:dyDescent="0.25">
      <c r="A1681" t="s">
        <v>1685</v>
      </c>
      <c r="B1681">
        <v>0.99999676499088797</v>
      </c>
      <c r="C1681">
        <v>1.1419802276256901</v>
      </c>
      <c r="D1681">
        <v>1.15745528307361</v>
      </c>
      <c r="E1681">
        <v>1.2143739087929899</v>
      </c>
      <c r="F1681">
        <v>0.81248065602294905</v>
      </c>
      <c r="G1681">
        <v>0.29526254554976999</v>
      </c>
      <c r="H1681">
        <v>0.135360051381921</v>
      </c>
      <c r="I1681">
        <v>0.14579607940205699</v>
      </c>
      <c r="J1681">
        <v>0.16875181109105</v>
      </c>
      <c r="K1681">
        <v>0.15889041349183999</v>
      </c>
      <c r="L1681">
        <v>2648.4552164890601</v>
      </c>
      <c r="M1681">
        <v>48.375090251925997</v>
      </c>
      <c r="N1681">
        <v>55.165383009235804</v>
      </c>
      <c r="O1681">
        <v>54.655010919892597</v>
      </c>
      <c r="P1681">
        <v>-0.18738625910813</v>
      </c>
      <c r="Q1681">
        <v>0.153151917572352</v>
      </c>
      <c r="R1681">
        <v>0.95426865816385598</v>
      </c>
      <c r="S1681" t="s">
        <v>8684</v>
      </c>
      <c r="T1681" t="s">
        <v>14004</v>
      </c>
      <c r="U1681" t="s">
        <v>14004</v>
      </c>
      <c r="V1681" t="s">
        <v>14004</v>
      </c>
      <c r="W1681" t="s">
        <v>15651</v>
      </c>
      <c r="X1681">
        <v>8</v>
      </c>
      <c r="Y1681" t="s">
        <v>22575</v>
      </c>
      <c r="Z1681" t="s">
        <v>29391</v>
      </c>
      <c r="AA1681">
        <v>0.57165583447414436</v>
      </c>
      <c r="AB1681" t="str">
        <f>HYPERLINK("Melting_Curves/meltCurve_O75170_4_PPP6R2.pdf", "Melting_Curves/meltCurve_O75170_4_PPP6R2.pdf")</f>
        <v>Melting_Curves/meltCurve_O75170_4_PPP6R2.pdf</v>
      </c>
    </row>
    <row r="1682" spans="1:28" x14ac:dyDescent="0.25">
      <c r="A1682" t="s">
        <v>1686</v>
      </c>
      <c r="B1682">
        <v>0.99999676499088797</v>
      </c>
      <c r="C1682">
        <v>0.99284265943745798</v>
      </c>
      <c r="D1682">
        <v>0.95583397775312096</v>
      </c>
      <c r="E1682">
        <v>0.69190332355166695</v>
      </c>
      <c r="F1682">
        <v>0.37062742808490201</v>
      </c>
      <c r="G1682">
        <v>0.25324841243114898</v>
      </c>
      <c r="H1682">
        <v>0.10974404828211599</v>
      </c>
      <c r="I1682">
        <v>9.4829921139420903E-2</v>
      </c>
      <c r="J1682">
        <v>9.8629975121016303E-2</v>
      </c>
      <c r="K1682">
        <v>9.8314532442525707E-2</v>
      </c>
      <c r="L1682">
        <v>1058.1368882823199</v>
      </c>
      <c r="M1682">
        <v>20.6071942703554</v>
      </c>
      <c r="N1682">
        <v>51.863961746577701</v>
      </c>
      <c r="O1682">
        <v>50.871725327287898</v>
      </c>
      <c r="P1682">
        <v>-9.1886011213502497E-2</v>
      </c>
      <c r="Q1682">
        <v>9.2692586825860096E-2</v>
      </c>
      <c r="R1682">
        <v>0.99677681551319297</v>
      </c>
      <c r="S1682" t="s">
        <v>8685</v>
      </c>
      <c r="T1682" t="s">
        <v>14004</v>
      </c>
      <c r="U1682" t="s">
        <v>14004</v>
      </c>
      <c r="V1682" t="s">
        <v>14004</v>
      </c>
      <c r="W1682" t="s">
        <v>15652</v>
      </c>
      <c r="X1682">
        <v>16</v>
      </c>
      <c r="Y1682" t="s">
        <v>22576</v>
      </c>
      <c r="Z1682" t="s">
        <v>29392</v>
      </c>
      <c r="AA1682">
        <v>0.44779970255261942</v>
      </c>
      <c r="AB1682" t="str">
        <f>HYPERLINK("Melting_Curves/meltCurve_O75175_CNOT3.pdf", "Melting_Curves/meltCurve_O75175_CNOT3.pdf")</f>
        <v>Melting_Curves/meltCurve_O75175_CNOT3.pdf</v>
      </c>
    </row>
    <row r="1683" spans="1:28" x14ac:dyDescent="0.25">
      <c r="A1683" t="s">
        <v>1687</v>
      </c>
      <c r="B1683">
        <v>0.99999676499088797</v>
      </c>
      <c r="C1683">
        <v>0.96853934370604999</v>
      </c>
      <c r="D1683">
        <v>0.60656260477365898</v>
      </c>
      <c r="E1683">
        <v>0.37114757923880098</v>
      </c>
      <c r="F1683">
        <v>0.244591473470155</v>
      </c>
      <c r="G1683">
        <v>0.34001689870485302</v>
      </c>
      <c r="H1683">
        <v>0.27287398604095198</v>
      </c>
      <c r="I1683">
        <v>0.37356700351458499</v>
      </c>
      <c r="J1683">
        <v>0.33803872109249</v>
      </c>
      <c r="K1683">
        <v>0.27891535767501502</v>
      </c>
      <c r="L1683">
        <v>1856.2138833993999</v>
      </c>
      <c r="M1683">
        <v>40.599190732826898</v>
      </c>
      <c r="N1683">
        <v>46.849877756542298</v>
      </c>
      <c r="O1683">
        <v>45.609977739110398</v>
      </c>
      <c r="P1683">
        <v>-0.153080699756897</v>
      </c>
      <c r="Q1683">
        <v>0.31210541110242701</v>
      </c>
      <c r="R1683">
        <v>0.98080916980843302</v>
      </c>
      <c r="S1683" t="s">
        <v>8686</v>
      </c>
      <c r="T1683" t="s">
        <v>14004</v>
      </c>
      <c r="U1683" t="s">
        <v>14004</v>
      </c>
      <c r="V1683" t="s">
        <v>14004</v>
      </c>
      <c r="W1683" t="s">
        <v>15653</v>
      </c>
      <c r="X1683">
        <v>2</v>
      </c>
      <c r="Y1683" t="s">
        <v>22577</v>
      </c>
      <c r="Z1683" t="s">
        <v>29393</v>
      </c>
      <c r="AA1683">
        <v>0.4454419026418156</v>
      </c>
      <c r="AB1683" t="str">
        <f>HYPERLINK("Melting_Curves/meltCurve_O75177_SS18L1.pdf", "Melting_Curves/meltCurve_O75177_SS18L1.pdf")</f>
        <v>Melting_Curves/meltCurve_O75177_SS18L1.pdf</v>
      </c>
    </row>
    <row r="1684" spans="1:28" x14ac:dyDescent="0.25">
      <c r="A1684" t="s">
        <v>1688</v>
      </c>
      <c r="B1684">
        <v>0.99999676499088797</v>
      </c>
      <c r="C1684">
        <v>0.94689117331622197</v>
      </c>
      <c r="D1684">
        <v>0.75988687586832104</v>
      </c>
      <c r="E1684">
        <v>0.35160367954190003</v>
      </c>
      <c r="F1684">
        <v>0.25517737297471699</v>
      </c>
      <c r="G1684">
        <v>0.27560903954464</v>
      </c>
      <c r="H1684">
        <v>0.117547540248216</v>
      </c>
      <c r="I1684">
        <v>0.178775849268175</v>
      </c>
      <c r="J1684">
        <v>0.15369312694114601</v>
      </c>
      <c r="K1684">
        <v>0.146298360787607</v>
      </c>
      <c r="L1684">
        <v>1191.7961104301501</v>
      </c>
      <c r="M1684">
        <v>25.0970987858705</v>
      </c>
      <c r="N1684">
        <v>48.300124582031899</v>
      </c>
      <c r="O1684">
        <v>47.188987777683302</v>
      </c>
      <c r="P1684">
        <v>-0.110062382091819</v>
      </c>
      <c r="Q1684">
        <v>0.17222885739688701</v>
      </c>
      <c r="R1684">
        <v>0.98626599208066801</v>
      </c>
      <c r="S1684" t="s">
        <v>8687</v>
      </c>
      <c r="T1684" t="s">
        <v>14004</v>
      </c>
      <c r="U1684" t="s">
        <v>14004</v>
      </c>
      <c r="V1684" t="s">
        <v>14004</v>
      </c>
      <c r="W1684" t="s">
        <v>15654</v>
      </c>
      <c r="X1684">
        <v>17</v>
      </c>
      <c r="Y1684" t="s">
        <v>22578</v>
      </c>
      <c r="Z1684" t="s">
        <v>29394</v>
      </c>
      <c r="AA1684">
        <v>0.38610128271017607</v>
      </c>
      <c r="AB1684" t="str">
        <f>HYPERLINK("Melting_Curves/meltCurve_O75179_2_ANKRD17.pdf", "Melting_Curves/meltCurve_O75179_2_ANKRD17.pdf")</f>
        <v>Melting_Curves/meltCurve_O75179_2_ANKRD17.pdf</v>
      </c>
    </row>
    <row r="1685" spans="1:28" x14ac:dyDescent="0.25">
      <c r="A1685" t="s">
        <v>1689</v>
      </c>
      <c r="B1685">
        <v>0.99999676499088797</v>
      </c>
      <c r="C1685">
        <v>0.93588638039408101</v>
      </c>
      <c r="D1685">
        <v>1.0059795821475701</v>
      </c>
      <c r="E1685">
        <v>0.95706715511381701</v>
      </c>
      <c r="F1685">
        <v>0.729370370350794</v>
      </c>
      <c r="G1685">
        <v>0.64241763269009899</v>
      </c>
      <c r="H1685">
        <v>0.71847891830761701</v>
      </c>
      <c r="I1685">
        <v>1.4134952575484501</v>
      </c>
      <c r="J1685">
        <v>1.9482586651588201</v>
      </c>
      <c r="K1685">
        <v>2.45713428955789</v>
      </c>
      <c r="L1685">
        <v>15000</v>
      </c>
      <c r="M1685">
        <v>235.93905152349001</v>
      </c>
      <c r="O1685">
        <v>63.571173167342998</v>
      </c>
      <c r="P1685">
        <v>0.46392696615003898</v>
      </c>
      <c r="Q1685">
        <v>1.5</v>
      </c>
      <c r="R1685">
        <v>0.55487860774357101</v>
      </c>
      <c r="S1685" t="s">
        <v>8688</v>
      </c>
      <c r="T1685" t="s">
        <v>14004</v>
      </c>
      <c r="U1685" t="s">
        <v>14004</v>
      </c>
      <c r="V1685" t="s">
        <v>14004</v>
      </c>
      <c r="W1685" t="s">
        <v>15655</v>
      </c>
      <c r="X1685">
        <v>5</v>
      </c>
      <c r="Y1685" t="s">
        <v>22579</v>
      </c>
      <c r="Z1685" t="s">
        <v>29395</v>
      </c>
      <c r="AA1685">
        <v>1.1070083491467699</v>
      </c>
      <c r="AB1685" t="str">
        <f>HYPERLINK("Melting_Curves/meltCurve_O75190_DNAJB6.pdf", "Melting_Curves/meltCurve_O75190_DNAJB6.pdf")</f>
        <v>Melting_Curves/meltCurve_O75190_DNAJB6.pdf</v>
      </c>
    </row>
    <row r="1686" spans="1:28" x14ac:dyDescent="0.25">
      <c r="A1686" t="s">
        <v>1690</v>
      </c>
      <c r="B1686">
        <v>0.99999676499088797</v>
      </c>
      <c r="C1686">
        <v>0.99886500232708797</v>
      </c>
      <c r="D1686">
        <v>0.92459636231269504</v>
      </c>
      <c r="E1686">
        <v>0.40546505256298199</v>
      </c>
      <c r="F1686">
        <v>0.28357660091433401</v>
      </c>
      <c r="G1686">
        <v>0.172509149356397</v>
      </c>
      <c r="H1686">
        <v>8.0567273546142099E-2</v>
      </c>
      <c r="I1686">
        <v>6.8134454440988895E-2</v>
      </c>
      <c r="J1686">
        <v>7.2715221740050795E-2</v>
      </c>
      <c r="K1686">
        <v>5.4522910654439198E-2</v>
      </c>
      <c r="L1686">
        <v>1240.5265135478101</v>
      </c>
      <c r="M1686">
        <v>25.273619117223902</v>
      </c>
      <c r="N1686">
        <v>49.467440446967103</v>
      </c>
      <c r="O1686">
        <v>48.779657336636298</v>
      </c>
      <c r="P1686">
        <v>-0.11800475862094099</v>
      </c>
      <c r="Q1686">
        <v>8.8985807805479405E-2</v>
      </c>
      <c r="R1686">
        <v>0.98452923887536703</v>
      </c>
      <c r="S1686" t="s">
        <v>8689</v>
      </c>
      <c r="T1686" t="s">
        <v>14004</v>
      </c>
      <c r="U1686" t="s">
        <v>14004</v>
      </c>
      <c r="V1686" t="s">
        <v>14004</v>
      </c>
      <c r="W1686" t="s">
        <v>15656</v>
      </c>
      <c r="X1686">
        <v>12</v>
      </c>
      <c r="Y1686" t="s">
        <v>22580</v>
      </c>
      <c r="Z1686" t="s">
        <v>29396</v>
      </c>
      <c r="AA1686">
        <v>0.37273493582897199</v>
      </c>
      <c r="AB1686" t="str">
        <f>HYPERLINK("Melting_Curves/meltCurve_O75191_XYLB.pdf", "Melting_Curves/meltCurve_O75191_XYLB.pdf")</f>
        <v>Melting_Curves/meltCurve_O75191_XYLB.pdf</v>
      </c>
    </row>
    <row r="1687" spans="1:28" x14ac:dyDescent="0.25">
      <c r="A1687" t="s">
        <v>1691</v>
      </c>
      <c r="B1687">
        <v>0.99999676499088797</v>
      </c>
      <c r="C1687">
        <v>1.0301580194482001</v>
      </c>
      <c r="D1687">
        <v>1.0424261693260799</v>
      </c>
      <c r="E1687">
        <v>0.98126082681842297</v>
      </c>
      <c r="F1687">
        <v>0.55785470700205597</v>
      </c>
      <c r="G1687">
        <v>0.37815602755943001</v>
      </c>
      <c r="H1687">
        <v>0.14742971809088601</v>
      </c>
      <c r="I1687">
        <v>0.11627197902971</v>
      </c>
      <c r="J1687">
        <v>9.8474587182797405E-2</v>
      </c>
      <c r="K1687">
        <v>6.3881508906272796E-2</v>
      </c>
      <c r="L1687">
        <v>1259.7584498978699</v>
      </c>
      <c r="M1687">
        <v>23.253506612552801</v>
      </c>
      <c r="N1687">
        <v>54.614021202901199</v>
      </c>
      <c r="O1687">
        <v>53.779101056911699</v>
      </c>
      <c r="P1687">
        <v>-9.8883955211705302E-2</v>
      </c>
      <c r="Q1687">
        <v>8.5248493107361198E-2</v>
      </c>
      <c r="R1687">
        <v>0.987441587990049</v>
      </c>
      <c r="S1687" t="s">
        <v>8690</v>
      </c>
      <c r="T1687" t="s">
        <v>14004</v>
      </c>
      <c r="U1687" t="s">
        <v>14004</v>
      </c>
      <c r="V1687" t="s">
        <v>14004</v>
      </c>
      <c r="W1687" t="s">
        <v>15657</v>
      </c>
      <c r="X1687">
        <v>5</v>
      </c>
      <c r="Y1687" t="s">
        <v>22581</v>
      </c>
      <c r="Z1687" t="s">
        <v>29397</v>
      </c>
      <c r="AA1687">
        <v>0.52710163165295854</v>
      </c>
      <c r="AB1687" t="str">
        <f>HYPERLINK("Melting_Curves/meltCurve_O75208_COQ9.pdf", "Melting_Curves/meltCurve_O75208_COQ9.pdf")</f>
        <v>Melting_Curves/meltCurve_O75208_COQ9.pdf</v>
      </c>
    </row>
    <row r="1688" spans="1:28" x14ac:dyDescent="0.25">
      <c r="A1688" t="s">
        <v>1692</v>
      </c>
      <c r="B1688">
        <v>0.99999676499088797</v>
      </c>
      <c r="C1688">
        <v>0.89747433087810902</v>
      </c>
      <c r="D1688">
        <v>1.01297695609933</v>
      </c>
      <c r="E1688">
        <v>1.10713754752678</v>
      </c>
      <c r="F1688">
        <v>0.91929622450909898</v>
      </c>
      <c r="G1688">
        <v>0.46792283312204402</v>
      </c>
      <c r="H1688">
        <v>0.13165638730972701</v>
      </c>
      <c r="I1688">
        <v>7.49758694188533E-2</v>
      </c>
      <c r="J1688">
        <v>7.1160804965528596E-2</v>
      </c>
      <c r="K1688">
        <v>5.98569905453082E-2</v>
      </c>
      <c r="L1688">
        <v>2260.5269128217701</v>
      </c>
      <c r="M1688">
        <v>40.072657634494099</v>
      </c>
      <c r="N1688">
        <v>56.620902949490002</v>
      </c>
      <c r="O1688">
        <v>56.270770922492403</v>
      </c>
      <c r="P1688">
        <v>-0.16573055239312201</v>
      </c>
      <c r="Q1688">
        <v>6.9114222323239799E-2</v>
      </c>
      <c r="R1688">
        <v>0.98744220269758498</v>
      </c>
      <c r="S1688" t="s">
        <v>8691</v>
      </c>
      <c r="T1688" t="s">
        <v>14004</v>
      </c>
      <c r="U1688" t="s">
        <v>14004</v>
      </c>
      <c r="V1688" t="s">
        <v>14004</v>
      </c>
      <c r="W1688" t="s">
        <v>15658</v>
      </c>
      <c r="X1688">
        <v>17</v>
      </c>
      <c r="Y1688" t="s">
        <v>22582</v>
      </c>
      <c r="Z1688" t="s">
        <v>29398</v>
      </c>
      <c r="AA1688">
        <v>0.5819181503204478</v>
      </c>
      <c r="AB1688" t="str">
        <f>HYPERLINK("Melting_Curves/meltCurve_O75223_GGCT.pdf", "Melting_Curves/meltCurve_O75223_GGCT.pdf")</f>
        <v>Melting_Curves/meltCurve_O75223_GGCT.pdf</v>
      </c>
    </row>
    <row r="1689" spans="1:28" x14ac:dyDescent="0.25">
      <c r="A1689" t="s">
        <v>1693</v>
      </c>
      <c r="B1689">
        <v>0.99999676499088797</v>
      </c>
      <c r="C1689">
        <v>0.88024693194082504</v>
      </c>
      <c r="D1689">
        <v>0.89082490383191404</v>
      </c>
      <c r="E1689">
        <v>0.804977325178998</v>
      </c>
      <c r="F1689">
        <v>0.644290211532626</v>
      </c>
      <c r="G1689">
        <v>0.62569512205779099</v>
      </c>
      <c r="H1689">
        <v>0.383760223965109</v>
      </c>
      <c r="I1689">
        <v>0.51778813719508998</v>
      </c>
      <c r="J1689">
        <v>0.55885947333828301</v>
      </c>
      <c r="K1689">
        <v>0.50502622896661897</v>
      </c>
      <c r="L1689">
        <v>653.39557494952999</v>
      </c>
      <c r="M1689">
        <v>12.9329003652906</v>
      </c>
      <c r="N1689">
        <v>65.771252609175903</v>
      </c>
      <c r="O1689">
        <v>49.359791296982003</v>
      </c>
      <c r="P1689">
        <v>-3.4390805462105503E-2</v>
      </c>
      <c r="Q1689">
        <v>0.47506994521743201</v>
      </c>
      <c r="R1689">
        <v>0.90579204107692601</v>
      </c>
      <c r="S1689" t="s">
        <v>8692</v>
      </c>
      <c r="T1689" t="s">
        <v>14004</v>
      </c>
      <c r="U1689" t="s">
        <v>14004</v>
      </c>
      <c r="V1689" t="s">
        <v>14004</v>
      </c>
      <c r="W1689" t="s">
        <v>15659</v>
      </c>
      <c r="X1689">
        <v>3</v>
      </c>
      <c r="Y1689" t="s">
        <v>22583</v>
      </c>
      <c r="Z1689" t="s">
        <v>29399</v>
      </c>
      <c r="AA1689">
        <v>0.67488783129025876</v>
      </c>
      <c r="AB1689" t="str">
        <f>HYPERLINK("Melting_Curves/meltCurve_O75264_C19orf77.pdf", "Melting_Curves/meltCurve_O75264_C19orf77.pdf")</f>
        <v>Melting_Curves/meltCurve_O75264_C19orf77.pdf</v>
      </c>
    </row>
    <row r="1690" spans="1:28" x14ac:dyDescent="0.25">
      <c r="A1690" t="s">
        <v>1694</v>
      </c>
      <c r="B1690">
        <v>0.99999676499088797</v>
      </c>
      <c r="C1690">
        <v>0.98965739421388299</v>
      </c>
      <c r="D1690">
        <v>1.00731531351574</v>
      </c>
      <c r="E1690">
        <v>1.0940745428422201</v>
      </c>
      <c r="F1690">
        <v>0.64453993623781702</v>
      </c>
      <c r="G1690">
        <v>0.42735176947618397</v>
      </c>
      <c r="H1690">
        <v>0.15828807086609301</v>
      </c>
      <c r="I1690">
        <v>0.10209576035809199</v>
      </c>
      <c r="J1690">
        <v>7.6213803916953898E-2</v>
      </c>
      <c r="K1690">
        <v>5.6491581098710802E-2</v>
      </c>
      <c r="L1690">
        <v>1337.07480603468</v>
      </c>
      <c r="M1690">
        <v>24.202629588843799</v>
      </c>
      <c r="N1690">
        <v>55.567025227772298</v>
      </c>
      <c r="O1690">
        <v>54.872009160161397</v>
      </c>
      <c r="P1690">
        <v>-0.103055271820626</v>
      </c>
      <c r="Q1690">
        <v>6.5429890647690697E-2</v>
      </c>
      <c r="R1690">
        <v>0.98095408074941604</v>
      </c>
      <c r="S1690" t="s">
        <v>8693</v>
      </c>
      <c r="T1690" t="s">
        <v>14004</v>
      </c>
      <c r="U1690" t="s">
        <v>14004</v>
      </c>
      <c r="V1690" t="s">
        <v>14004</v>
      </c>
      <c r="W1690" t="s">
        <v>15660</v>
      </c>
      <c r="X1690">
        <v>13</v>
      </c>
      <c r="Y1690" t="s">
        <v>22584</v>
      </c>
      <c r="Z1690" t="s">
        <v>29400</v>
      </c>
      <c r="AA1690">
        <v>0.54947852304004718</v>
      </c>
      <c r="AB1690" t="str">
        <f>HYPERLINK("Melting_Curves/meltCurve_O75306_NDUFS2.pdf", "Melting_Curves/meltCurve_O75306_NDUFS2.pdf")</f>
        <v>Melting_Curves/meltCurve_O75306_NDUFS2.pdf</v>
      </c>
    </row>
    <row r="1691" spans="1:28" x14ac:dyDescent="0.25">
      <c r="A1691" t="s">
        <v>1695</v>
      </c>
      <c r="B1691">
        <v>0.99999676499088797</v>
      </c>
      <c r="C1691">
        <v>0.98247679045981695</v>
      </c>
      <c r="D1691">
        <v>0.94985275104475797</v>
      </c>
      <c r="E1691">
        <v>0.80344246831201205</v>
      </c>
      <c r="F1691">
        <v>0.469000100473003</v>
      </c>
      <c r="G1691">
        <v>0.25587558527697701</v>
      </c>
      <c r="H1691">
        <v>0.13480959257105499</v>
      </c>
      <c r="I1691">
        <v>0.13324602306404801</v>
      </c>
      <c r="J1691">
        <v>0.140736392512023</v>
      </c>
      <c r="K1691">
        <v>0.121437174878326</v>
      </c>
      <c r="L1691">
        <v>1171.80339645244</v>
      </c>
      <c r="M1691">
        <v>22.421443131233499</v>
      </c>
      <c r="N1691">
        <v>52.907735507237</v>
      </c>
      <c r="O1691">
        <v>51.852221114262299</v>
      </c>
      <c r="P1691">
        <v>-9.5175191361183506E-2</v>
      </c>
      <c r="Q1691">
        <v>0.119603088788878</v>
      </c>
      <c r="R1691">
        <v>0.99921889322399504</v>
      </c>
      <c r="S1691" t="s">
        <v>8694</v>
      </c>
      <c r="T1691" t="s">
        <v>14004</v>
      </c>
      <c r="U1691" t="s">
        <v>14004</v>
      </c>
      <c r="V1691" t="s">
        <v>14004</v>
      </c>
      <c r="W1691" t="s">
        <v>15661</v>
      </c>
      <c r="X1691">
        <v>23</v>
      </c>
      <c r="Y1691" t="s">
        <v>22585</v>
      </c>
      <c r="Z1691" t="s">
        <v>29401</v>
      </c>
      <c r="AA1691">
        <v>0.4893603873551296</v>
      </c>
      <c r="AB1691" t="str">
        <f>HYPERLINK("Melting_Curves/meltCurve_O75312_ZNF259.pdf", "Melting_Curves/meltCurve_O75312_ZNF259.pdf")</f>
        <v>Melting_Curves/meltCurve_O75312_ZNF259.pdf</v>
      </c>
    </row>
    <row r="1692" spans="1:28" x14ac:dyDescent="0.25">
      <c r="A1692" t="s">
        <v>1696</v>
      </c>
      <c r="B1692">
        <v>0.99999676499088797</v>
      </c>
      <c r="C1692">
        <v>0.98800942615326104</v>
      </c>
      <c r="D1692">
        <v>0.94585311657164295</v>
      </c>
      <c r="E1692">
        <v>0.80889694232215104</v>
      </c>
      <c r="F1692">
        <v>0.62489027214975101</v>
      </c>
      <c r="G1692">
        <v>0.36844085502985302</v>
      </c>
      <c r="H1692">
        <v>0.162471985481592</v>
      </c>
      <c r="I1692">
        <v>0.124617513644227</v>
      </c>
      <c r="J1692">
        <v>0.168603144861462</v>
      </c>
      <c r="K1692">
        <v>0.106182621656847</v>
      </c>
      <c r="L1692">
        <v>931.40418371804697</v>
      </c>
      <c r="M1692">
        <v>17.2753093756778</v>
      </c>
      <c r="N1692">
        <v>54.553101872844699</v>
      </c>
      <c r="O1692">
        <v>53.2084367320913</v>
      </c>
      <c r="P1692">
        <v>-7.3750673869922401E-2</v>
      </c>
      <c r="Q1692">
        <v>9.1436071252620099E-2</v>
      </c>
      <c r="R1692">
        <v>0.99539665825803703</v>
      </c>
      <c r="S1692" t="s">
        <v>8695</v>
      </c>
      <c r="T1692" t="s">
        <v>14004</v>
      </c>
      <c r="U1692" t="s">
        <v>14004</v>
      </c>
      <c r="V1692" t="s">
        <v>14004</v>
      </c>
      <c r="W1692" t="s">
        <v>15662</v>
      </c>
      <c r="X1692">
        <v>1</v>
      </c>
      <c r="Y1692" t="s">
        <v>22586</v>
      </c>
      <c r="Z1692" t="s">
        <v>29402</v>
      </c>
      <c r="AA1692">
        <v>0.52834575942329942</v>
      </c>
      <c r="AB1692" t="str">
        <f>HYPERLINK("Melting_Curves/meltCurve_O75317_USP12.pdf", "Melting_Curves/meltCurve_O75317_USP12.pdf")</f>
        <v>Melting_Curves/meltCurve_O75317_USP12.pdf</v>
      </c>
    </row>
    <row r="1693" spans="1:28" x14ac:dyDescent="0.25">
      <c r="A1693" t="s">
        <v>1697</v>
      </c>
      <c r="B1693">
        <v>0.99999676499088797</v>
      </c>
      <c r="C1693">
        <v>1.0638058426413699</v>
      </c>
      <c r="D1693">
        <v>0.98897867010231</v>
      </c>
      <c r="E1693">
        <v>0.93382853851907899</v>
      </c>
      <c r="F1693">
        <v>0.79373824370775803</v>
      </c>
      <c r="G1693">
        <v>0.58767657609831103</v>
      </c>
      <c r="H1693">
        <v>0.166312164418043</v>
      </c>
      <c r="I1693">
        <v>0.10232916179061401</v>
      </c>
      <c r="J1693">
        <v>8.9955166362004901E-2</v>
      </c>
      <c r="K1693">
        <v>8.2620276399269596E-2</v>
      </c>
      <c r="L1693">
        <v>1293.32239009769</v>
      </c>
      <c r="M1693">
        <v>22.7607094384229</v>
      </c>
      <c r="N1693">
        <v>57.0716967486008</v>
      </c>
      <c r="O1693">
        <v>56.3894091127273</v>
      </c>
      <c r="P1693">
        <v>-9.6138927990449E-2</v>
      </c>
      <c r="Q1693">
        <v>4.7286022893050499E-2</v>
      </c>
      <c r="R1693">
        <v>0.99100033891883299</v>
      </c>
      <c r="S1693" t="s">
        <v>8696</v>
      </c>
      <c r="T1693" t="s">
        <v>14004</v>
      </c>
      <c r="U1693" t="s">
        <v>14004</v>
      </c>
      <c r="V1693" t="s">
        <v>14004</v>
      </c>
      <c r="W1693" t="s">
        <v>15663</v>
      </c>
      <c r="X1693">
        <v>13</v>
      </c>
      <c r="Y1693" t="s">
        <v>22587</v>
      </c>
      <c r="Z1693" t="s">
        <v>29403</v>
      </c>
      <c r="AA1693">
        <v>0.59144856822930369</v>
      </c>
      <c r="AB1693" t="str">
        <f>HYPERLINK("Melting_Curves/meltCurve_O75323_GBAS.pdf", "Melting_Curves/meltCurve_O75323_GBAS.pdf")</f>
        <v>Melting_Curves/meltCurve_O75323_GBAS.pdf</v>
      </c>
    </row>
    <row r="1694" spans="1:28" x14ac:dyDescent="0.25">
      <c r="A1694" t="s">
        <v>1698</v>
      </c>
      <c r="B1694">
        <v>0.99999676499088797</v>
      </c>
      <c r="C1694">
        <v>1.0491701367974799</v>
      </c>
      <c r="D1694">
        <v>0.988113469589877</v>
      </c>
      <c r="E1694">
        <v>0.85426344645034502</v>
      </c>
      <c r="F1694">
        <v>0.77458889516905804</v>
      </c>
      <c r="G1694">
        <v>0.59314152777138696</v>
      </c>
      <c r="H1694">
        <v>0.32086594312226102</v>
      </c>
      <c r="I1694">
        <v>0.241866705835561</v>
      </c>
      <c r="J1694">
        <v>0.22229310298345301</v>
      </c>
      <c r="K1694">
        <v>0.236914490546763</v>
      </c>
      <c r="L1694">
        <v>924.40872149343602</v>
      </c>
      <c r="M1694">
        <v>16.4527271929141</v>
      </c>
      <c r="N1694">
        <v>57.658183690817097</v>
      </c>
      <c r="O1694">
        <v>55.375368069200398</v>
      </c>
      <c r="P1694">
        <v>-6.1541653073600502E-2</v>
      </c>
      <c r="Q1694">
        <v>0.17152879977624699</v>
      </c>
      <c r="R1694">
        <v>0.98878614557373601</v>
      </c>
      <c r="S1694" t="s">
        <v>8697</v>
      </c>
      <c r="T1694" t="s">
        <v>14004</v>
      </c>
      <c r="U1694" t="s">
        <v>14004</v>
      </c>
      <c r="V1694" t="s">
        <v>14004</v>
      </c>
      <c r="W1694" t="s">
        <v>15664</v>
      </c>
      <c r="X1694">
        <v>4</v>
      </c>
      <c r="Y1694" t="s">
        <v>22588</v>
      </c>
      <c r="Z1694" t="s">
        <v>29404</v>
      </c>
      <c r="AA1694">
        <v>0.63179375252610392</v>
      </c>
      <c r="AB1694" t="str">
        <f>HYPERLINK("Melting_Curves/meltCurve_O75326_SEMA7A.pdf", "Melting_Curves/meltCurve_O75326_SEMA7A.pdf")</f>
        <v>Melting_Curves/meltCurve_O75326_SEMA7A.pdf</v>
      </c>
    </row>
    <row r="1695" spans="1:28" x14ac:dyDescent="0.25">
      <c r="A1695" t="s">
        <v>1699</v>
      </c>
      <c r="B1695">
        <v>0.99999676499088797</v>
      </c>
      <c r="C1695">
        <v>0.85083137082085003</v>
      </c>
      <c r="D1695">
        <v>0.43695026782193103</v>
      </c>
      <c r="E1695">
        <v>0.19486662563168</v>
      </c>
      <c r="F1695">
        <v>0.176689528922685</v>
      </c>
      <c r="G1695">
        <v>0.13992009245972301</v>
      </c>
      <c r="H1695">
        <v>8.3287514223774395E-2</v>
      </c>
      <c r="I1695">
        <v>8.7519757174322504E-2</v>
      </c>
      <c r="J1695">
        <v>8.7092855392229607E-2</v>
      </c>
      <c r="K1695">
        <v>7.0596724522158399E-2</v>
      </c>
      <c r="L1695">
        <v>1240.65888288822</v>
      </c>
      <c r="M1695">
        <v>27.407272683888699</v>
      </c>
      <c r="N1695">
        <v>45.659877841625701</v>
      </c>
      <c r="O1695">
        <v>45.028563253082901</v>
      </c>
      <c r="P1695">
        <v>-0.13620198933852801</v>
      </c>
      <c r="Q1695">
        <v>0.10492027730775701</v>
      </c>
      <c r="R1695">
        <v>0.99251273525367301</v>
      </c>
      <c r="S1695" t="s">
        <v>8698</v>
      </c>
      <c r="T1695" t="s">
        <v>14004</v>
      </c>
      <c r="U1695" t="s">
        <v>14004</v>
      </c>
      <c r="V1695" t="s">
        <v>14004</v>
      </c>
      <c r="W1695" t="s">
        <v>15665</v>
      </c>
      <c r="X1695">
        <v>12</v>
      </c>
      <c r="Y1695" t="s">
        <v>22589</v>
      </c>
      <c r="Z1695" t="s">
        <v>29405</v>
      </c>
      <c r="AA1695">
        <v>0.26906907083845188</v>
      </c>
      <c r="AB1695" t="str">
        <f>HYPERLINK("Melting_Curves/meltCurve_O75330_2_HMMR.pdf", "Melting_Curves/meltCurve_O75330_2_HMMR.pdf")</f>
        <v>Melting_Curves/meltCurve_O75330_2_HMMR.pdf</v>
      </c>
    </row>
    <row r="1696" spans="1:28" x14ac:dyDescent="0.25">
      <c r="A1696" t="s">
        <v>1700</v>
      </c>
      <c r="B1696">
        <v>0.99999676499088797</v>
      </c>
      <c r="C1696">
        <v>0.88670331087287302</v>
      </c>
      <c r="D1696">
        <v>0.90640848718256795</v>
      </c>
      <c r="E1696">
        <v>0.89221942534126797</v>
      </c>
      <c r="F1696">
        <v>0.35051057469159902</v>
      </c>
      <c r="G1696">
        <v>0.19565127159823101</v>
      </c>
      <c r="H1696">
        <v>9.0216284023097698E-2</v>
      </c>
      <c r="I1696">
        <v>7.6323987746186803E-2</v>
      </c>
      <c r="J1696">
        <v>7.7564483937938203E-2</v>
      </c>
      <c r="K1696">
        <v>6.5207536131313595E-2</v>
      </c>
      <c r="L1696">
        <v>1756.31004957958</v>
      </c>
      <c r="M1696">
        <v>33.741713148844397</v>
      </c>
      <c r="N1696">
        <v>52.3398743577212</v>
      </c>
      <c r="O1696">
        <v>51.869784745775199</v>
      </c>
      <c r="P1696">
        <v>-0.14883720635017</v>
      </c>
      <c r="Q1696">
        <v>8.4797846814185104E-2</v>
      </c>
      <c r="R1696">
        <v>0.98292186912285395</v>
      </c>
      <c r="S1696" t="s">
        <v>8699</v>
      </c>
      <c r="T1696" t="s">
        <v>14004</v>
      </c>
      <c r="U1696" t="s">
        <v>14004</v>
      </c>
      <c r="V1696" t="s">
        <v>14004</v>
      </c>
      <c r="W1696" t="s">
        <v>15666</v>
      </c>
      <c r="X1696">
        <v>11</v>
      </c>
      <c r="Y1696" t="s">
        <v>22590</v>
      </c>
      <c r="Z1696" t="s">
        <v>29406</v>
      </c>
      <c r="AA1696">
        <v>0.45708337894446682</v>
      </c>
      <c r="AB1696" t="str">
        <f>HYPERLINK("Melting_Curves/meltCurve_O75340_PDCD6.pdf", "Melting_Curves/meltCurve_O75340_PDCD6.pdf")</f>
        <v>Melting_Curves/meltCurve_O75340_PDCD6.pdf</v>
      </c>
    </row>
    <row r="1697" spans="1:28" x14ac:dyDescent="0.25">
      <c r="A1697" t="s">
        <v>1701</v>
      </c>
      <c r="B1697">
        <v>0.99999676499088797</v>
      </c>
      <c r="C1697">
        <v>0.94295887156805702</v>
      </c>
      <c r="D1697">
        <v>0.94626861454954303</v>
      </c>
      <c r="E1697">
        <v>0.90102227554578496</v>
      </c>
      <c r="F1697">
        <v>0.78599024750961499</v>
      </c>
      <c r="G1697">
        <v>0.72405872744224697</v>
      </c>
      <c r="H1697">
        <v>0.419964482279089</v>
      </c>
      <c r="I1697">
        <v>0.365944968749773</v>
      </c>
      <c r="J1697">
        <v>0.32900033991549099</v>
      </c>
      <c r="K1697">
        <v>0.37779089473461702</v>
      </c>
      <c r="L1697">
        <v>832.73602261777603</v>
      </c>
      <c r="M1697">
        <v>14.671088711656299</v>
      </c>
      <c r="N1697">
        <v>60.146652235788103</v>
      </c>
      <c r="O1697">
        <v>55.737067025530898</v>
      </c>
      <c r="P1697">
        <v>-4.7312326288170101E-2</v>
      </c>
      <c r="Q1697">
        <v>0.28110046672461397</v>
      </c>
      <c r="R1697">
        <v>0.97185103387759297</v>
      </c>
      <c r="S1697" t="s">
        <v>8700</v>
      </c>
      <c r="T1697" t="s">
        <v>14004</v>
      </c>
      <c r="U1697" t="s">
        <v>14004</v>
      </c>
      <c r="V1697" t="s">
        <v>14004</v>
      </c>
      <c r="W1697" t="s">
        <v>15667</v>
      </c>
      <c r="X1697">
        <v>19</v>
      </c>
      <c r="Y1697" t="s">
        <v>22591</v>
      </c>
      <c r="Z1697" t="s">
        <v>29407</v>
      </c>
      <c r="AA1697">
        <v>0.69462813008045254</v>
      </c>
      <c r="AB1697" t="str">
        <f>HYPERLINK("Melting_Curves/meltCurve_O75347_TBCA.pdf", "Melting_Curves/meltCurve_O75347_TBCA.pdf")</f>
        <v>Melting_Curves/meltCurve_O75347_TBCA.pdf</v>
      </c>
    </row>
    <row r="1698" spans="1:28" x14ac:dyDescent="0.25">
      <c r="A1698" t="s">
        <v>1702</v>
      </c>
      <c r="B1698">
        <v>0.99999676499088797</v>
      </c>
      <c r="C1698">
        <v>0.98906630172159204</v>
      </c>
      <c r="D1698">
        <v>0.98745118393326603</v>
      </c>
      <c r="E1698">
        <v>0.88398333168605403</v>
      </c>
      <c r="F1698">
        <v>0.68679610106601097</v>
      </c>
      <c r="G1698">
        <v>0.47613067330564901</v>
      </c>
      <c r="H1698">
        <v>0.25586950638234701</v>
      </c>
      <c r="I1698">
        <v>0.25615034744487702</v>
      </c>
      <c r="J1698">
        <v>0.26879032581906698</v>
      </c>
      <c r="K1698">
        <v>0.292068955458891</v>
      </c>
      <c r="L1698">
        <v>1157.61624559713</v>
      </c>
      <c r="M1698">
        <v>21.429744296413698</v>
      </c>
      <c r="N1698">
        <v>55.809583562189403</v>
      </c>
      <c r="O1698">
        <v>53.5553375442312</v>
      </c>
      <c r="P1698">
        <v>-7.5170235085320405E-2</v>
      </c>
      <c r="Q1698">
        <v>0.24858317289367399</v>
      </c>
      <c r="R1698">
        <v>0.99356160990889197</v>
      </c>
      <c r="S1698" t="s">
        <v>8701</v>
      </c>
      <c r="T1698" t="s">
        <v>14004</v>
      </c>
      <c r="U1698" t="s">
        <v>14004</v>
      </c>
      <c r="V1698" t="s">
        <v>14004</v>
      </c>
      <c r="W1698" t="s">
        <v>15668</v>
      </c>
      <c r="X1698">
        <v>9</v>
      </c>
      <c r="Y1698" t="s">
        <v>22592</v>
      </c>
      <c r="Z1698" t="s">
        <v>29408</v>
      </c>
      <c r="AA1698">
        <v>0.60883644217037047</v>
      </c>
      <c r="AB1698" t="str">
        <f>HYPERLINK("Melting_Curves/meltCurve_O75348_ATP6V1G1.pdf", "Melting_Curves/meltCurve_O75348_ATP6V1G1.pdf")</f>
        <v>Melting_Curves/meltCurve_O75348_ATP6V1G1.pdf</v>
      </c>
    </row>
    <row r="1699" spans="1:28" x14ac:dyDescent="0.25">
      <c r="A1699" t="s">
        <v>1703</v>
      </c>
      <c r="B1699">
        <v>0.99999676499088797</v>
      </c>
      <c r="C1699">
        <v>0.98570722680432998</v>
      </c>
      <c r="D1699">
        <v>0.982810415524767</v>
      </c>
      <c r="E1699">
        <v>0.955912061561905</v>
      </c>
      <c r="F1699">
        <v>0.24532024691155399</v>
      </c>
      <c r="G1699">
        <v>0.167009729191439</v>
      </c>
      <c r="H1699">
        <v>6.9366890635322406E-2</v>
      </c>
      <c r="I1699">
        <v>6.8155822136063596E-2</v>
      </c>
      <c r="J1699">
        <v>5.9824974398409697E-2</v>
      </c>
      <c r="K1699">
        <v>5.02854088735094E-2</v>
      </c>
      <c r="L1699">
        <v>3163.1714191677402</v>
      </c>
      <c r="M1699">
        <v>60.944725355519601</v>
      </c>
      <c r="N1699">
        <v>52.053431142941797</v>
      </c>
      <c r="O1699">
        <v>51.846504959933498</v>
      </c>
      <c r="P1699">
        <v>-0.27004191893991603</v>
      </c>
      <c r="Q1699">
        <v>8.1087053518079405E-2</v>
      </c>
      <c r="R1699">
        <v>0.995219288063797</v>
      </c>
      <c r="S1699" t="s">
        <v>8702</v>
      </c>
      <c r="T1699" t="s">
        <v>14004</v>
      </c>
      <c r="U1699" t="s">
        <v>14004</v>
      </c>
      <c r="V1699" t="s">
        <v>14004</v>
      </c>
      <c r="W1699" t="s">
        <v>15669</v>
      </c>
      <c r="X1699">
        <v>19</v>
      </c>
      <c r="Y1699" t="s">
        <v>22593</v>
      </c>
      <c r="Z1699" t="s">
        <v>29409</v>
      </c>
      <c r="AA1699">
        <v>0.44707305575215978</v>
      </c>
      <c r="AB1699" t="str">
        <f>HYPERLINK("Melting_Curves/meltCurve_O75351_VPS4B.pdf", "Melting_Curves/meltCurve_O75351_VPS4B.pdf")</f>
        <v>Melting_Curves/meltCurve_O75351_VPS4B.pdf</v>
      </c>
    </row>
    <row r="1700" spans="1:28" x14ac:dyDescent="0.25">
      <c r="A1700" t="s">
        <v>1704</v>
      </c>
      <c r="B1700">
        <v>0.99999676499088797</v>
      </c>
      <c r="C1700">
        <v>0.92329880963911504</v>
      </c>
      <c r="D1700">
        <v>0.99899097867637798</v>
      </c>
      <c r="E1700">
        <v>1.0837662129598</v>
      </c>
      <c r="F1700">
        <v>0.81772458827730798</v>
      </c>
      <c r="G1700">
        <v>0.25641430325714798</v>
      </c>
      <c r="H1700">
        <v>0.15986828252857199</v>
      </c>
      <c r="I1700">
        <v>0.13163870079315201</v>
      </c>
      <c r="J1700">
        <v>0.12512255339171899</v>
      </c>
      <c r="K1700">
        <v>0.120189050064823</v>
      </c>
      <c r="L1700">
        <v>2683.1211848366402</v>
      </c>
      <c r="M1700">
        <v>49.063122675539397</v>
      </c>
      <c r="N1700">
        <v>55.033681145731798</v>
      </c>
      <c r="O1700">
        <v>54.596505852389498</v>
      </c>
      <c r="P1700">
        <v>-0.19480629718985901</v>
      </c>
      <c r="Q1700">
        <v>0.132893914101441</v>
      </c>
      <c r="R1700">
        <v>0.99130231647398204</v>
      </c>
      <c r="S1700" t="s">
        <v>8703</v>
      </c>
      <c r="T1700" t="s">
        <v>14004</v>
      </c>
      <c r="U1700" t="s">
        <v>14004</v>
      </c>
      <c r="V1700" t="s">
        <v>14004</v>
      </c>
      <c r="W1700" t="s">
        <v>15670</v>
      </c>
      <c r="X1700">
        <v>2</v>
      </c>
      <c r="Y1700" t="s">
        <v>22594</v>
      </c>
      <c r="Z1700" t="s">
        <v>29410</v>
      </c>
      <c r="AA1700">
        <v>0.55957539878678775</v>
      </c>
      <c r="AB1700" t="str">
        <f>HYPERLINK("Melting_Curves/meltCurve_O75356_ENTPD5.pdf", "Melting_Curves/meltCurve_O75356_ENTPD5.pdf")</f>
        <v>Melting_Curves/meltCurve_O75356_ENTPD5.pdf</v>
      </c>
    </row>
    <row r="1701" spans="1:28" x14ac:dyDescent="0.25">
      <c r="A1701" t="s">
        <v>1705</v>
      </c>
      <c r="B1701">
        <v>0.99999676499088797</v>
      </c>
      <c r="C1701">
        <v>1.0891152072369701</v>
      </c>
      <c r="D1701">
        <v>0.91285718365104196</v>
      </c>
      <c r="E1701">
        <v>0.79957048266808295</v>
      </c>
      <c r="F1701">
        <v>0.34509697464843497</v>
      </c>
      <c r="G1701">
        <v>0.22813594072281199</v>
      </c>
      <c r="H1701">
        <v>0.142973035164249</v>
      </c>
      <c r="I1701">
        <v>0.160128600169295</v>
      </c>
      <c r="J1701">
        <v>0.192879464931036</v>
      </c>
      <c r="K1701">
        <v>0.21590107493293101</v>
      </c>
      <c r="L1701">
        <v>1693.5968821148799</v>
      </c>
      <c r="M1701">
        <v>33.118406886722298</v>
      </c>
      <c r="N1701">
        <v>51.833905530854899</v>
      </c>
      <c r="O1701">
        <v>50.952265925013997</v>
      </c>
      <c r="P1701">
        <v>-0.13332181993230299</v>
      </c>
      <c r="Q1701">
        <v>0.179547641731544</v>
      </c>
      <c r="R1701">
        <v>0.98755309215929998</v>
      </c>
      <c r="S1701" t="s">
        <v>8704</v>
      </c>
      <c r="T1701" t="s">
        <v>14004</v>
      </c>
      <c r="U1701" t="s">
        <v>14004</v>
      </c>
      <c r="V1701" t="s">
        <v>14004</v>
      </c>
      <c r="W1701" t="s">
        <v>15671</v>
      </c>
      <c r="X1701">
        <v>15</v>
      </c>
      <c r="Y1701" t="s">
        <v>22595</v>
      </c>
      <c r="Z1701" t="s">
        <v>29411</v>
      </c>
      <c r="AA1701">
        <v>0.48838432290327383</v>
      </c>
      <c r="AB1701" t="str">
        <f>HYPERLINK("Melting_Curves/meltCurve_O75362_ZNF217.pdf", "Melting_Curves/meltCurve_O75362_ZNF217.pdf")</f>
        <v>Melting_Curves/meltCurve_O75362_ZNF217.pdf</v>
      </c>
    </row>
    <row r="1702" spans="1:28" x14ac:dyDescent="0.25">
      <c r="A1702" t="s">
        <v>1706</v>
      </c>
      <c r="B1702">
        <v>0.99999676499088797</v>
      </c>
      <c r="C1702">
        <v>0.98991099542474903</v>
      </c>
      <c r="D1702">
        <v>1.1218618370848601</v>
      </c>
      <c r="E1702">
        <v>0.70951760076451797</v>
      </c>
      <c r="F1702">
        <v>0.60049455181609002</v>
      </c>
      <c r="G1702">
        <v>0.75531766505951703</v>
      </c>
      <c r="H1702">
        <v>0.36145470207271002</v>
      </c>
      <c r="I1702">
        <v>0.137468005560026</v>
      </c>
      <c r="J1702">
        <v>0.13446102009465999</v>
      </c>
      <c r="K1702">
        <v>0.157393370761477</v>
      </c>
      <c r="L1702">
        <v>654.86686225266999</v>
      </c>
      <c r="M1702">
        <v>11.3590684344626</v>
      </c>
      <c r="N1702">
        <v>57.651453460845502</v>
      </c>
      <c r="O1702">
        <v>55.951366411676901</v>
      </c>
      <c r="P1702">
        <v>-5.0769315944009401E-2</v>
      </c>
      <c r="Q1702">
        <v>0</v>
      </c>
      <c r="R1702">
        <v>0.90142763603041298</v>
      </c>
      <c r="S1702" t="s">
        <v>8705</v>
      </c>
      <c r="T1702" t="s">
        <v>14004</v>
      </c>
      <c r="U1702" t="s">
        <v>14004</v>
      </c>
      <c r="V1702" t="s">
        <v>14004</v>
      </c>
      <c r="W1702" t="s">
        <v>15672</v>
      </c>
      <c r="X1702">
        <v>6</v>
      </c>
      <c r="Y1702" t="s">
        <v>22596</v>
      </c>
      <c r="Z1702" t="s">
        <v>29412</v>
      </c>
      <c r="AA1702">
        <v>0.60215452780508238</v>
      </c>
      <c r="AB1702" t="str">
        <f>HYPERLINK("Melting_Curves/meltCurve_O75367_2_H2AFY.pdf", "Melting_Curves/meltCurve_O75367_2_H2AFY.pdf")</f>
        <v>Melting_Curves/meltCurve_O75367_2_H2AFY.pdf</v>
      </c>
    </row>
    <row r="1703" spans="1:28" x14ac:dyDescent="0.25">
      <c r="A1703" t="s">
        <v>1707</v>
      </c>
      <c r="B1703">
        <v>0.99999676499088797</v>
      </c>
      <c r="C1703">
        <v>1.03559349648551</v>
      </c>
      <c r="D1703">
        <v>1.1626642314159299</v>
      </c>
      <c r="E1703">
        <v>1.2763355416700299</v>
      </c>
      <c r="F1703">
        <v>0.94149202923794695</v>
      </c>
      <c r="G1703">
        <v>0.63875488343291198</v>
      </c>
      <c r="H1703">
        <v>0.32772161417451701</v>
      </c>
      <c r="I1703">
        <v>0.315711967743664</v>
      </c>
      <c r="J1703">
        <v>0.30681512615538098</v>
      </c>
      <c r="K1703">
        <v>0.43230187279751497</v>
      </c>
      <c r="L1703">
        <v>2971.28998781573</v>
      </c>
      <c r="M1703">
        <v>52.554245718219804</v>
      </c>
      <c r="N1703">
        <v>57.805934924918198</v>
      </c>
      <c r="O1703">
        <v>56.455898595207003</v>
      </c>
      <c r="P1703">
        <v>-0.15309080504839501</v>
      </c>
      <c r="Q1703">
        <v>0.342175093546156</v>
      </c>
      <c r="R1703">
        <v>0.91052848694474697</v>
      </c>
      <c r="S1703" t="s">
        <v>8706</v>
      </c>
      <c r="T1703" t="s">
        <v>14004</v>
      </c>
      <c r="U1703" t="s">
        <v>14004</v>
      </c>
      <c r="V1703" t="s">
        <v>14004</v>
      </c>
      <c r="W1703" t="s">
        <v>15673</v>
      </c>
      <c r="X1703">
        <v>15</v>
      </c>
      <c r="Y1703" t="s">
        <v>22597</v>
      </c>
      <c r="Z1703" t="s">
        <v>29413</v>
      </c>
      <c r="AA1703">
        <v>0.70628548853493911</v>
      </c>
      <c r="AB1703" t="str">
        <f>HYPERLINK("Melting_Curves/meltCurve_O75368_SH3BGRL.pdf", "Melting_Curves/meltCurve_O75368_SH3BGRL.pdf")</f>
        <v>Melting_Curves/meltCurve_O75368_SH3BGRL.pdf</v>
      </c>
    </row>
    <row r="1704" spans="1:28" x14ac:dyDescent="0.25">
      <c r="A1704" t="s">
        <v>1708</v>
      </c>
      <c r="B1704">
        <v>0.99999676499088797</v>
      </c>
      <c r="C1704">
        <v>0.95778453846520795</v>
      </c>
      <c r="D1704">
        <v>0.93487549938038506</v>
      </c>
      <c r="E1704">
        <v>0.64303175614397501</v>
      </c>
      <c r="F1704">
        <v>0.281039551970656</v>
      </c>
      <c r="G1704">
        <v>0.16068311922006001</v>
      </c>
      <c r="H1704">
        <v>8.3904004174202698E-2</v>
      </c>
      <c r="I1704">
        <v>8.0447904154453007E-2</v>
      </c>
      <c r="J1704">
        <v>7.9332430583984107E-2</v>
      </c>
      <c r="K1704">
        <v>7.4618514221518606E-2</v>
      </c>
      <c r="L1704">
        <v>1213.2519276384401</v>
      </c>
      <c r="M1704">
        <v>23.998858423559899</v>
      </c>
      <c r="N1704">
        <v>50.9076137195173</v>
      </c>
      <c r="O1704">
        <v>50.2074722897827</v>
      </c>
      <c r="P1704">
        <v>-0.11033943001027099</v>
      </c>
      <c r="Q1704">
        <v>7.6660037617449397E-2</v>
      </c>
      <c r="R1704">
        <v>0.99881682064919397</v>
      </c>
      <c r="S1704" t="s">
        <v>8707</v>
      </c>
      <c r="T1704" t="s">
        <v>14004</v>
      </c>
      <c r="U1704" t="s">
        <v>14004</v>
      </c>
      <c r="V1704" t="s">
        <v>14004</v>
      </c>
      <c r="W1704" t="s">
        <v>15674</v>
      </c>
      <c r="X1704">
        <v>132</v>
      </c>
      <c r="Y1704" t="s">
        <v>22598</v>
      </c>
      <c r="Z1704" t="s">
        <v>29414</v>
      </c>
      <c r="AA1704">
        <v>0.41050975296665992</v>
      </c>
      <c r="AB1704" t="str">
        <f>HYPERLINK("Melting_Curves/meltCurve_O75369_8_FLNB.pdf", "Melting_Curves/meltCurve_O75369_8_FLNB.pdf")</f>
        <v>Melting_Curves/meltCurve_O75369_8_FLNB.pdf</v>
      </c>
    </row>
    <row r="1705" spans="1:28" x14ac:dyDescent="0.25">
      <c r="A1705" t="s">
        <v>1709</v>
      </c>
      <c r="B1705">
        <v>0.99999676499088797</v>
      </c>
      <c r="C1705">
        <v>0.913817020556421</v>
      </c>
      <c r="D1705">
        <v>0.73225341423048396</v>
      </c>
      <c r="E1705">
        <v>0.53022155411688798</v>
      </c>
      <c r="F1705">
        <v>0.43575125243134599</v>
      </c>
      <c r="G1705">
        <v>0.42151500746915399</v>
      </c>
      <c r="H1705">
        <v>0.37786546591615</v>
      </c>
      <c r="I1705">
        <v>0.62359719557564897</v>
      </c>
      <c r="J1705">
        <v>0.81508239443271102</v>
      </c>
      <c r="K1705">
        <v>0.72462111233931803</v>
      </c>
      <c r="L1705">
        <v>1615.31249016176</v>
      </c>
      <c r="M1705">
        <v>35.801383702076002</v>
      </c>
      <c r="O1705">
        <v>44.978651270105701</v>
      </c>
      <c r="P1705">
        <v>-8.7417507625341506E-2</v>
      </c>
      <c r="Q1705">
        <v>0.56069765644151504</v>
      </c>
      <c r="R1705">
        <v>0.59826259525528402</v>
      </c>
      <c r="S1705" t="s">
        <v>8708</v>
      </c>
      <c r="T1705" t="s">
        <v>14004</v>
      </c>
      <c r="U1705" t="s">
        <v>14004</v>
      </c>
      <c r="V1705" t="s">
        <v>14004</v>
      </c>
      <c r="W1705" t="s">
        <v>15675</v>
      </c>
      <c r="X1705">
        <v>15</v>
      </c>
      <c r="Y1705" t="s">
        <v>22599</v>
      </c>
      <c r="Z1705" t="s">
        <v>29415</v>
      </c>
      <c r="AA1705">
        <v>0.63750848240397517</v>
      </c>
      <c r="AB1705" t="str">
        <f>HYPERLINK("Melting_Curves/meltCurve_O75376_NCOR1.pdf", "Melting_Curves/meltCurve_O75376_NCOR1.pdf")</f>
        <v>Melting_Curves/meltCurve_O75376_NCOR1.pdf</v>
      </c>
    </row>
    <row r="1706" spans="1:28" x14ac:dyDescent="0.25">
      <c r="A1706" t="s">
        <v>1710</v>
      </c>
      <c r="B1706">
        <v>0.99999676499088797</v>
      </c>
      <c r="C1706">
        <v>0.98242684171239802</v>
      </c>
      <c r="D1706">
        <v>0.99736916448511004</v>
      </c>
      <c r="E1706">
        <v>0.892199223665886</v>
      </c>
      <c r="F1706">
        <v>0.87433600347609397</v>
      </c>
      <c r="G1706">
        <v>0.65012422652998103</v>
      </c>
      <c r="H1706">
        <v>0.55906460621282394</v>
      </c>
      <c r="I1706">
        <v>0.58161436326788796</v>
      </c>
      <c r="J1706">
        <v>0.62052201328966805</v>
      </c>
      <c r="K1706">
        <v>0.77180301683983898</v>
      </c>
      <c r="L1706">
        <v>1877.7864328241201</v>
      </c>
      <c r="M1706">
        <v>35.0234055871679</v>
      </c>
      <c r="O1706">
        <v>53.441297168934497</v>
      </c>
      <c r="P1706">
        <v>-6.0804022234373797E-2</v>
      </c>
      <c r="Q1706">
        <v>0.62888426092621896</v>
      </c>
      <c r="R1706">
        <v>0.86665725026138596</v>
      </c>
      <c r="S1706" t="s">
        <v>8709</v>
      </c>
      <c r="T1706" t="s">
        <v>14004</v>
      </c>
      <c r="U1706" t="s">
        <v>14004</v>
      </c>
      <c r="V1706" t="s">
        <v>14004</v>
      </c>
      <c r="W1706" t="s">
        <v>15676</v>
      </c>
      <c r="X1706">
        <v>6</v>
      </c>
      <c r="Y1706" t="s">
        <v>22600</v>
      </c>
      <c r="Z1706" t="s">
        <v>29416</v>
      </c>
      <c r="AA1706">
        <v>0.7991011147426671</v>
      </c>
      <c r="AB1706" t="str">
        <f>HYPERLINK("Melting_Curves/meltCurve_O75379_2_VAMP4.pdf", "Melting_Curves/meltCurve_O75379_2_VAMP4.pdf")</f>
        <v>Melting_Curves/meltCurve_O75379_2_VAMP4.pdf</v>
      </c>
    </row>
    <row r="1707" spans="1:28" x14ac:dyDescent="0.25">
      <c r="A1707" t="s">
        <v>1711</v>
      </c>
      <c r="B1707">
        <v>0.99999676499088797</v>
      </c>
      <c r="C1707">
        <v>0.98666144155148106</v>
      </c>
      <c r="D1707">
        <v>0.97374186636244098</v>
      </c>
      <c r="E1707">
        <v>0.87676256776525796</v>
      </c>
      <c r="F1707">
        <v>0.59788958161135297</v>
      </c>
      <c r="G1707">
        <v>0.591374366405365</v>
      </c>
      <c r="H1707">
        <v>0.40617691118913801</v>
      </c>
      <c r="I1707">
        <v>0.479560456276519</v>
      </c>
      <c r="J1707">
        <v>0.47110949014402498</v>
      </c>
      <c r="K1707">
        <v>0.48435870031397399</v>
      </c>
      <c r="L1707">
        <v>1323.5190718920901</v>
      </c>
      <c r="M1707">
        <v>25.666888696555201</v>
      </c>
      <c r="N1707">
        <v>57.825851067779901</v>
      </c>
      <c r="O1707">
        <v>51.255284985143902</v>
      </c>
      <c r="P1707">
        <v>-6.6484278607245997E-2</v>
      </c>
      <c r="Q1707">
        <v>0.46894559513995099</v>
      </c>
      <c r="R1707">
        <v>0.97492779203327895</v>
      </c>
      <c r="S1707" t="s">
        <v>8710</v>
      </c>
      <c r="T1707" t="s">
        <v>14004</v>
      </c>
      <c r="U1707" t="s">
        <v>14004</v>
      </c>
      <c r="V1707" t="s">
        <v>14004</v>
      </c>
      <c r="W1707" t="s">
        <v>15677</v>
      </c>
      <c r="X1707">
        <v>7</v>
      </c>
      <c r="Y1707" t="s">
        <v>22601</v>
      </c>
      <c r="Z1707" t="s">
        <v>29417</v>
      </c>
      <c r="AA1707">
        <v>0.6782565436777358</v>
      </c>
      <c r="AB1707" t="str">
        <f>HYPERLINK("Melting_Curves/meltCurve_O75380_NDUFS6.pdf", "Melting_Curves/meltCurve_O75380_NDUFS6.pdf")</f>
        <v>Melting_Curves/meltCurve_O75380_NDUFS6.pdf</v>
      </c>
    </row>
    <row r="1708" spans="1:28" x14ac:dyDescent="0.25">
      <c r="A1708" t="s">
        <v>1712</v>
      </c>
      <c r="B1708">
        <v>0.99999676499088797</v>
      </c>
      <c r="C1708">
        <v>0.88951324949082899</v>
      </c>
      <c r="D1708">
        <v>0.77280558500405006</v>
      </c>
      <c r="E1708">
        <v>0.82326800778703602</v>
      </c>
      <c r="F1708">
        <v>0.87703955632082298</v>
      </c>
      <c r="G1708">
        <v>0.583973970261491</v>
      </c>
      <c r="H1708">
        <v>0.43764347511139801</v>
      </c>
      <c r="I1708">
        <v>0.33533640201790399</v>
      </c>
      <c r="J1708">
        <v>0.28270870600781101</v>
      </c>
      <c r="K1708">
        <v>0.28808505589266398</v>
      </c>
      <c r="L1708">
        <v>446.98038913170598</v>
      </c>
      <c r="M1708">
        <v>7.4776532180644901</v>
      </c>
      <c r="N1708">
        <v>59.7754681165462</v>
      </c>
      <c r="O1708">
        <v>55.948081531882899</v>
      </c>
      <c r="P1708">
        <v>-3.3461934963926097E-2</v>
      </c>
      <c r="Q1708">
        <v>0</v>
      </c>
      <c r="R1708">
        <v>0.92382981051070201</v>
      </c>
      <c r="S1708" t="s">
        <v>8711</v>
      </c>
      <c r="T1708" t="s">
        <v>14004</v>
      </c>
      <c r="U1708" t="s">
        <v>14004</v>
      </c>
      <c r="V1708" t="s">
        <v>14004</v>
      </c>
      <c r="W1708" t="s">
        <v>15678</v>
      </c>
      <c r="X1708">
        <v>9</v>
      </c>
      <c r="Y1708" t="s">
        <v>22602</v>
      </c>
      <c r="Z1708" t="s">
        <v>29418</v>
      </c>
      <c r="AA1708">
        <v>0.64244284679198915</v>
      </c>
      <c r="AB1708" t="str">
        <f>HYPERLINK("Melting_Curves/meltCurve_O75381_2_PEX14.pdf", "Melting_Curves/meltCurve_O75381_2_PEX14.pdf")</f>
        <v>Melting_Curves/meltCurve_O75381_2_PEX14.pdf</v>
      </c>
    </row>
    <row r="1709" spans="1:28" x14ac:dyDescent="0.25">
      <c r="A1709" t="s">
        <v>1713</v>
      </c>
      <c r="B1709">
        <v>0.99999676499088797</v>
      </c>
      <c r="C1709">
        <v>0.99246559584663396</v>
      </c>
      <c r="D1709">
        <v>0.85850096276938903</v>
      </c>
      <c r="E1709">
        <v>0.58312667413518304</v>
      </c>
      <c r="F1709">
        <v>0.16116915691785499</v>
      </c>
      <c r="G1709">
        <v>0.145745960037033</v>
      </c>
      <c r="H1709">
        <v>9.2504193425358094E-2</v>
      </c>
      <c r="I1709">
        <v>0.11069644817673099</v>
      </c>
      <c r="J1709">
        <v>0.12088111643484201</v>
      </c>
      <c r="K1709">
        <v>0.146221596960979</v>
      </c>
      <c r="L1709">
        <v>1429.5104109710501</v>
      </c>
      <c r="M1709">
        <v>28.880854434432202</v>
      </c>
      <c r="N1709">
        <v>49.931645277140802</v>
      </c>
      <c r="O1709">
        <v>49.261333015024697</v>
      </c>
      <c r="P1709">
        <v>-0.13027370387500301</v>
      </c>
      <c r="Q1709">
        <v>0.11118866609991</v>
      </c>
      <c r="R1709">
        <v>0.99320579964824995</v>
      </c>
      <c r="S1709" t="s">
        <v>8712</v>
      </c>
      <c r="T1709" t="s">
        <v>14004</v>
      </c>
      <c r="U1709" t="s">
        <v>14004</v>
      </c>
      <c r="V1709" t="s">
        <v>14004</v>
      </c>
      <c r="W1709" t="s">
        <v>15679</v>
      </c>
      <c r="X1709">
        <v>1</v>
      </c>
      <c r="Y1709" t="s">
        <v>22603</v>
      </c>
      <c r="Z1709" t="s">
        <v>29419</v>
      </c>
      <c r="AA1709">
        <v>0.39844399876974917</v>
      </c>
      <c r="AB1709" t="str">
        <f>HYPERLINK("Melting_Curves/meltCurve_O75382_2_TRIM3.pdf", "Melting_Curves/meltCurve_O75382_2_TRIM3.pdf")</f>
        <v>Melting_Curves/meltCurve_O75382_2_TRIM3.pdf</v>
      </c>
    </row>
    <row r="1710" spans="1:28" x14ac:dyDescent="0.25">
      <c r="A1710" t="s">
        <v>1714</v>
      </c>
      <c r="B1710">
        <v>0.99999676499088797</v>
      </c>
      <c r="C1710">
        <v>1.0408553156614</v>
      </c>
      <c r="D1710">
        <v>0.92205966132758999</v>
      </c>
      <c r="E1710">
        <v>0.55489055564080003</v>
      </c>
      <c r="F1710">
        <v>0.232282911607229</v>
      </c>
      <c r="G1710">
        <v>0.27449619409335202</v>
      </c>
      <c r="H1710">
        <v>8.7907249348067401E-2</v>
      </c>
      <c r="I1710">
        <v>7.5838818566582394E-2</v>
      </c>
      <c r="J1710">
        <v>6.6240511108443506E-2</v>
      </c>
      <c r="K1710">
        <v>4.77445488123244E-2</v>
      </c>
      <c r="L1710">
        <v>1152.3328901781999</v>
      </c>
      <c r="M1710">
        <v>23.068708956645899</v>
      </c>
      <c r="N1710">
        <v>50.3681319404037</v>
      </c>
      <c r="O1710">
        <v>49.581380503070399</v>
      </c>
      <c r="P1710">
        <v>-0.106231800091572</v>
      </c>
      <c r="Q1710">
        <v>8.6724504532122507E-2</v>
      </c>
      <c r="R1710">
        <v>0.98227296336402004</v>
      </c>
      <c r="S1710" t="s">
        <v>8713</v>
      </c>
      <c r="T1710" t="s">
        <v>14004</v>
      </c>
      <c r="U1710" t="s">
        <v>14004</v>
      </c>
      <c r="V1710" t="s">
        <v>14004</v>
      </c>
      <c r="W1710" t="s">
        <v>15680</v>
      </c>
      <c r="X1710">
        <v>2</v>
      </c>
      <c r="Y1710" t="s">
        <v>22604</v>
      </c>
      <c r="Z1710" t="s">
        <v>29420</v>
      </c>
      <c r="AA1710">
        <v>0.39928165808052102</v>
      </c>
      <c r="AB1710" t="str">
        <f>HYPERLINK("Melting_Curves/meltCurve_O75386_TULP3.pdf", "Melting_Curves/meltCurve_O75386_TULP3.pdf")</f>
        <v>Melting_Curves/meltCurve_O75386_TULP3.pdf</v>
      </c>
    </row>
    <row r="1711" spans="1:28" x14ac:dyDescent="0.25">
      <c r="A1711" t="s">
        <v>1715</v>
      </c>
      <c r="B1711">
        <v>0.99999676499088797</v>
      </c>
      <c r="C1711">
        <v>1.31092639193476</v>
      </c>
      <c r="D1711">
        <v>0.88410946899230503</v>
      </c>
      <c r="E1711">
        <v>0.69531312070237905</v>
      </c>
      <c r="F1711">
        <v>0.56805204796099795</v>
      </c>
      <c r="G1711">
        <v>0.54206620474201905</v>
      </c>
      <c r="H1711">
        <v>0.31098375424285002</v>
      </c>
      <c r="I1711">
        <v>0.22716557869975201</v>
      </c>
      <c r="J1711">
        <v>0.17372569537311</v>
      </c>
      <c r="K1711">
        <v>0.106105800227249</v>
      </c>
      <c r="L1711">
        <v>640.401965326496</v>
      </c>
      <c r="M1711">
        <v>11.6289360110771</v>
      </c>
      <c r="N1711">
        <v>55.767868657974198</v>
      </c>
      <c r="O1711">
        <v>53.5168031343621</v>
      </c>
      <c r="P1711">
        <v>-5.0657537883063403E-2</v>
      </c>
      <c r="Q1711">
        <v>6.77421712807902E-2</v>
      </c>
      <c r="R1711">
        <v>0.89828413875439295</v>
      </c>
      <c r="S1711" t="s">
        <v>8714</v>
      </c>
      <c r="T1711" t="s">
        <v>14004</v>
      </c>
      <c r="U1711" t="s">
        <v>14004</v>
      </c>
      <c r="V1711" t="s">
        <v>14004</v>
      </c>
      <c r="W1711" t="s">
        <v>15681</v>
      </c>
      <c r="X1711">
        <v>1</v>
      </c>
      <c r="Y1711" t="s">
        <v>22605</v>
      </c>
      <c r="Z1711" t="s">
        <v>29421</v>
      </c>
      <c r="AA1711">
        <v>0.55815682760027996</v>
      </c>
      <c r="AB1711" t="str">
        <f>HYPERLINK("Melting_Curves/meltCurve_O75387_SLC43A1.pdf", "Melting_Curves/meltCurve_O75387_SLC43A1.pdf")</f>
        <v>Melting_Curves/meltCurve_O75387_SLC43A1.pdf</v>
      </c>
    </row>
    <row r="1712" spans="1:28" x14ac:dyDescent="0.25">
      <c r="A1712" t="s">
        <v>1716</v>
      </c>
      <c r="B1712">
        <v>0.99999676499088797</v>
      </c>
      <c r="C1712">
        <v>0.88694954838061402</v>
      </c>
      <c r="D1712">
        <v>0.96588935952732002</v>
      </c>
      <c r="E1712">
        <v>1.0396698564031099</v>
      </c>
      <c r="F1712">
        <v>0.87342207155007301</v>
      </c>
      <c r="G1712">
        <v>0.55154587642098596</v>
      </c>
      <c r="H1712">
        <v>0.30995578785875499</v>
      </c>
      <c r="I1712">
        <v>0.30272222609021698</v>
      </c>
      <c r="J1712">
        <v>0.27871473930837598</v>
      </c>
      <c r="K1712">
        <v>0.39446791743002102</v>
      </c>
      <c r="L1712">
        <v>2052.2691709261098</v>
      </c>
      <c r="M1712">
        <v>36.882931422564397</v>
      </c>
      <c r="N1712">
        <v>57.185342015037399</v>
      </c>
      <c r="O1712">
        <v>55.479973340348003</v>
      </c>
      <c r="P1712">
        <v>-0.11382719093501199</v>
      </c>
      <c r="Q1712">
        <v>0.31511827385477997</v>
      </c>
      <c r="R1712">
        <v>0.97201572488616195</v>
      </c>
      <c r="S1712" t="s">
        <v>8715</v>
      </c>
      <c r="T1712" t="s">
        <v>14004</v>
      </c>
      <c r="U1712" t="s">
        <v>14004</v>
      </c>
      <c r="V1712" t="s">
        <v>14004</v>
      </c>
      <c r="W1712" t="s">
        <v>15097</v>
      </c>
      <c r="X1712">
        <v>18</v>
      </c>
      <c r="Y1712" t="s">
        <v>22029</v>
      </c>
      <c r="Z1712" t="s">
        <v>29422</v>
      </c>
      <c r="AA1712">
        <v>0.67530724216010996</v>
      </c>
      <c r="AB1712" t="str">
        <f>HYPERLINK("Melting_Curves/meltCurve_O75391_SPAG7.pdf", "Melting_Curves/meltCurve_O75391_SPAG7.pdf")</f>
        <v>Melting_Curves/meltCurve_O75391_SPAG7.pdf</v>
      </c>
    </row>
    <row r="1713" spans="1:28" x14ac:dyDescent="0.25">
      <c r="A1713" t="s">
        <v>1717</v>
      </c>
      <c r="B1713">
        <v>0.99999676499088797</v>
      </c>
      <c r="C1713">
        <v>0.69245764694799505</v>
      </c>
      <c r="D1713">
        <v>0.60563210640839404</v>
      </c>
      <c r="E1713">
        <v>0.45002883671661198</v>
      </c>
      <c r="F1713">
        <v>0.28479925215282498</v>
      </c>
      <c r="G1713">
        <v>0.16316374590188601</v>
      </c>
      <c r="H1713">
        <v>2.9854807099400599E-2</v>
      </c>
      <c r="I1713">
        <v>5.67252225586398E-2</v>
      </c>
      <c r="J1713">
        <v>0</v>
      </c>
      <c r="K1713">
        <v>2.7863673470107701E-2</v>
      </c>
      <c r="L1713">
        <v>533.71457864636102</v>
      </c>
      <c r="M1713">
        <v>11.1186031508173</v>
      </c>
      <c r="N1713">
        <v>48.001945621474803</v>
      </c>
      <c r="O1713">
        <v>46.527655487629197</v>
      </c>
      <c r="P1713">
        <v>-5.9761245488510001E-2</v>
      </c>
      <c r="Q1713">
        <v>0</v>
      </c>
      <c r="R1713">
        <v>0.97483252980224999</v>
      </c>
      <c r="S1713" t="s">
        <v>8716</v>
      </c>
      <c r="T1713" t="s">
        <v>14004</v>
      </c>
      <c r="U1713" t="s">
        <v>14004</v>
      </c>
      <c r="V1713" t="s">
        <v>14004</v>
      </c>
      <c r="W1713" t="s">
        <v>15682</v>
      </c>
      <c r="X1713">
        <v>1</v>
      </c>
      <c r="Y1713" t="s">
        <v>22606</v>
      </c>
      <c r="Z1713" t="s">
        <v>29423</v>
      </c>
      <c r="AA1713">
        <v>0.31135355796719688</v>
      </c>
      <c r="AB1713" t="str">
        <f>HYPERLINK("Melting_Curves/meltCurve_O75394_MRPL33.pdf", "Melting_Curves/meltCurve_O75394_MRPL33.pdf")</f>
        <v>Melting_Curves/meltCurve_O75394_MRPL33.pdf</v>
      </c>
    </row>
    <row r="1714" spans="1:28" x14ac:dyDescent="0.25">
      <c r="A1714" t="s">
        <v>1718</v>
      </c>
      <c r="B1714">
        <v>0.99999676499088797</v>
      </c>
      <c r="C1714">
        <v>0.90813754482041797</v>
      </c>
      <c r="D1714">
        <v>0.94189497387389398</v>
      </c>
      <c r="E1714">
        <v>0.81314117929093099</v>
      </c>
      <c r="F1714">
        <v>0.42373931190129899</v>
      </c>
      <c r="G1714">
        <v>0.17607651942000199</v>
      </c>
      <c r="H1714">
        <v>7.1606021671638695E-2</v>
      </c>
      <c r="I1714">
        <v>5.6851354075966101E-2</v>
      </c>
      <c r="J1714">
        <v>4.4996339326024801E-2</v>
      </c>
      <c r="K1714">
        <v>3.9246859263987403E-2</v>
      </c>
      <c r="L1714">
        <v>1209.4720199265601</v>
      </c>
      <c r="M1714">
        <v>23.093178239408601</v>
      </c>
      <c r="N1714">
        <v>52.552077788366901</v>
      </c>
      <c r="O1714">
        <v>51.985573808725498</v>
      </c>
      <c r="P1714">
        <v>-0.106868258737863</v>
      </c>
      <c r="Q1714">
        <v>3.7723546326526601E-2</v>
      </c>
      <c r="R1714">
        <v>0.99473559900649799</v>
      </c>
      <c r="S1714" t="s">
        <v>8717</v>
      </c>
      <c r="T1714" t="s">
        <v>14004</v>
      </c>
      <c r="U1714" t="s">
        <v>14004</v>
      </c>
      <c r="V1714" t="s">
        <v>14004</v>
      </c>
      <c r="W1714" t="s">
        <v>15683</v>
      </c>
      <c r="X1714">
        <v>12</v>
      </c>
      <c r="Y1714" t="s">
        <v>22607</v>
      </c>
      <c r="Z1714" t="s">
        <v>29424</v>
      </c>
      <c r="AA1714">
        <v>0.44485537743336168</v>
      </c>
      <c r="AB1714" t="str">
        <f>HYPERLINK("Melting_Curves/meltCurve_O75396_SEC22B.pdf", "Melting_Curves/meltCurve_O75396_SEC22B.pdf")</f>
        <v>Melting_Curves/meltCurve_O75396_SEC22B.pdf</v>
      </c>
    </row>
    <row r="1715" spans="1:28" x14ac:dyDescent="0.25">
      <c r="A1715" t="s">
        <v>1719</v>
      </c>
      <c r="B1715">
        <v>0.99999676499088797</v>
      </c>
      <c r="C1715">
        <v>0.812561680274973</v>
      </c>
      <c r="D1715">
        <v>0.64326662303614801</v>
      </c>
      <c r="E1715">
        <v>0.21137522623500499</v>
      </c>
      <c r="F1715">
        <v>0.12018174155964</v>
      </c>
      <c r="G1715">
        <v>8.8351926902241806E-2</v>
      </c>
      <c r="H1715">
        <v>4.8339789296681597E-2</v>
      </c>
      <c r="I1715">
        <v>5.5989275403916398E-2</v>
      </c>
      <c r="J1715">
        <v>5.9560412988561399E-2</v>
      </c>
      <c r="K1715">
        <v>6.2191243004593597E-2</v>
      </c>
      <c r="L1715">
        <v>1014.41492750125</v>
      </c>
      <c r="M1715">
        <v>21.778908264498799</v>
      </c>
      <c r="N1715">
        <v>46.827250069902199</v>
      </c>
      <c r="O1715">
        <v>46.190504385872799</v>
      </c>
      <c r="P1715">
        <v>-0.111423506205544</v>
      </c>
      <c r="Q1715">
        <v>5.4757494556168601E-2</v>
      </c>
      <c r="R1715">
        <v>0.99224757798682195</v>
      </c>
      <c r="S1715" t="s">
        <v>8718</v>
      </c>
      <c r="T1715" t="s">
        <v>14004</v>
      </c>
      <c r="U1715" t="s">
        <v>14004</v>
      </c>
      <c r="V1715" t="s">
        <v>14004</v>
      </c>
      <c r="W1715" t="s">
        <v>15684</v>
      </c>
      <c r="X1715">
        <v>25</v>
      </c>
      <c r="Y1715" t="s">
        <v>22608</v>
      </c>
      <c r="Z1715" t="s">
        <v>29425</v>
      </c>
      <c r="AA1715">
        <v>0.2736557401256276</v>
      </c>
      <c r="AB1715" t="str">
        <f>HYPERLINK("Melting_Curves/meltCurve_O75400_PRPF40A.pdf", "Melting_Curves/meltCurve_O75400_PRPF40A.pdf")</f>
        <v>Melting_Curves/meltCurve_O75400_PRPF40A.pdf</v>
      </c>
    </row>
    <row r="1716" spans="1:28" x14ac:dyDescent="0.25">
      <c r="A1716" t="s">
        <v>1720</v>
      </c>
      <c r="B1716">
        <v>0.99999676499088797</v>
      </c>
      <c r="C1716">
        <v>0.93676184613915203</v>
      </c>
      <c r="D1716">
        <v>0.67940842037464</v>
      </c>
      <c r="E1716">
        <v>0.43077240856893301</v>
      </c>
      <c r="F1716">
        <v>0.40791003961085198</v>
      </c>
      <c r="G1716">
        <v>0.29540466748953098</v>
      </c>
      <c r="H1716">
        <v>0.16871855483755299</v>
      </c>
      <c r="I1716">
        <v>0.14469037626183001</v>
      </c>
      <c r="J1716">
        <v>0.13678898729199501</v>
      </c>
      <c r="K1716">
        <v>0.10059871799207799</v>
      </c>
      <c r="L1716">
        <v>622.81312039357204</v>
      </c>
      <c r="M1716">
        <v>12.763422301087701</v>
      </c>
      <c r="N1716">
        <v>49.800704759993302</v>
      </c>
      <c r="O1716">
        <v>47.645386146633001</v>
      </c>
      <c r="P1716">
        <v>-5.9385250320328598E-2</v>
      </c>
      <c r="Q1716">
        <v>0.11343639849748099</v>
      </c>
      <c r="R1716">
        <v>0.97626710410503703</v>
      </c>
      <c r="S1716" t="s">
        <v>8719</v>
      </c>
      <c r="T1716" t="s">
        <v>14004</v>
      </c>
      <c r="U1716" t="s">
        <v>14004</v>
      </c>
      <c r="V1716" t="s">
        <v>14004</v>
      </c>
      <c r="W1716" t="s">
        <v>15685</v>
      </c>
      <c r="X1716">
        <v>4</v>
      </c>
      <c r="Y1716" t="s">
        <v>22609</v>
      </c>
      <c r="Z1716" t="s">
        <v>29426</v>
      </c>
      <c r="AA1716">
        <v>0.40304437947909633</v>
      </c>
      <c r="AB1716" t="str">
        <f>HYPERLINK("Melting_Curves/meltCurve_O75419_2_CDC45.pdf", "Melting_Curves/meltCurve_O75419_2_CDC45.pdf")</f>
        <v>Melting_Curves/meltCurve_O75419_2_CDC45.pdf</v>
      </c>
    </row>
    <row r="1717" spans="1:28" x14ac:dyDescent="0.25">
      <c r="A1717" t="s">
        <v>1721</v>
      </c>
      <c r="B1717">
        <v>0.99999676499088797</v>
      </c>
      <c r="C1717">
        <v>0.88525733179096</v>
      </c>
      <c r="D1717">
        <v>0.72974261345952296</v>
      </c>
      <c r="E1717">
        <v>0.44355327091810598</v>
      </c>
      <c r="F1717">
        <v>0.35673626136856501</v>
      </c>
      <c r="G1717">
        <v>0.20985747187824499</v>
      </c>
      <c r="H1717">
        <v>0.13011893469351399</v>
      </c>
      <c r="I1717">
        <v>0.232848497602095</v>
      </c>
      <c r="J1717">
        <v>0.19882962441408999</v>
      </c>
      <c r="K1717">
        <v>0.19290502237698701</v>
      </c>
      <c r="L1717">
        <v>819.20496347466701</v>
      </c>
      <c r="M1717">
        <v>17.139601886804002</v>
      </c>
      <c r="N1717">
        <v>49.087627692966599</v>
      </c>
      <c r="O1717">
        <v>47.159629855044301</v>
      </c>
      <c r="P1717">
        <v>-7.4373217429935606E-2</v>
      </c>
      <c r="Q1717">
        <v>0.181497229044598</v>
      </c>
      <c r="R1717">
        <v>0.98697308790604099</v>
      </c>
      <c r="S1717" t="s">
        <v>8720</v>
      </c>
      <c r="T1717" t="s">
        <v>14004</v>
      </c>
      <c r="U1717" t="s">
        <v>14004</v>
      </c>
      <c r="V1717" t="s">
        <v>14004</v>
      </c>
      <c r="W1717" t="s">
        <v>15686</v>
      </c>
      <c r="X1717">
        <v>4</v>
      </c>
      <c r="Y1717" t="s">
        <v>22610</v>
      </c>
      <c r="Z1717" t="s">
        <v>29427</v>
      </c>
      <c r="AA1717">
        <v>0.41039743549958257</v>
      </c>
      <c r="AB1717" t="str">
        <f>HYPERLINK("Melting_Curves/meltCurve_O75420_GIGYF1.pdf", "Melting_Curves/meltCurve_O75420_GIGYF1.pdf")</f>
        <v>Melting_Curves/meltCurve_O75420_GIGYF1.pdf</v>
      </c>
    </row>
    <row r="1718" spans="1:28" x14ac:dyDescent="0.25">
      <c r="A1718" t="s">
        <v>1722</v>
      </c>
      <c r="B1718">
        <v>0.99999676499088797</v>
      </c>
      <c r="C1718">
        <v>0.78903070544072196</v>
      </c>
      <c r="D1718">
        <v>0.454513630494224</v>
      </c>
      <c r="E1718">
        <v>0.28071903755257999</v>
      </c>
      <c r="F1718">
        <v>0.16050774174224999</v>
      </c>
      <c r="G1718">
        <v>0.11122142019322399</v>
      </c>
      <c r="H1718">
        <v>5.4172190802012597E-2</v>
      </c>
      <c r="I1718">
        <v>6.4481559722770407E-2</v>
      </c>
      <c r="J1718">
        <v>4.1442011022832702E-2</v>
      </c>
      <c r="K1718">
        <v>3.5447411811243397E-2</v>
      </c>
      <c r="L1718">
        <v>818.07228917125997</v>
      </c>
      <c r="M1718">
        <v>17.869374432278999</v>
      </c>
      <c r="N1718">
        <v>46.096890200703399</v>
      </c>
      <c r="O1718">
        <v>45.218895393865402</v>
      </c>
      <c r="P1718">
        <v>-9.3100003029453496E-2</v>
      </c>
      <c r="Q1718">
        <v>5.7680379068198701E-2</v>
      </c>
      <c r="R1718">
        <v>0.9894184839072</v>
      </c>
      <c r="S1718" t="s">
        <v>8721</v>
      </c>
      <c r="T1718" t="s">
        <v>14004</v>
      </c>
      <c r="U1718" t="s">
        <v>14004</v>
      </c>
      <c r="V1718" t="s">
        <v>14004</v>
      </c>
      <c r="W1718" t="s">
        <v>15687</v>
      </c>
      <c r="X1718">
        <v>5</v>
      </c>
      <c r="Y1718" t="s">
        <v>22611</v>
      </c>
      <c r="Z1718" t="s">
        <v>29428</v>
      </c>
      <c r="AA1718">
        <v>0.25839476675780892</v>
      </c>
      <c r="AB1718" t="str">
        <f>HYPERLINK("Melting_Curves/meltCurve_O75427_LRCH4.pdf", "Melting_Curves/meltCurve_O75427_LRCH4.pdf")</f>
        <v>Melting_Curves/meltCurve_O75427_LRCH4.pdf</v>
      </c>
    </row>
    <row r="1719" spans="1:28" x14ac:dyDescent="0.25">
      <c r="A1719" t="s">
        <v>1723</v>
      </c>
      <c r="B1719">
        <v>0.99999676499088797</v>
      </c>
      <c r="C1719">
        <v>0.99540464477660295</v>
      </c>
      <c r="D1719">
        <v>1.0266206316242501</v>
      </c>
      <c r="E1719">
        <v>1.23779921853328</v>
      </c>
      <c r="F1719">
        <v>0.97438663240706003</v>
      </c>
      <c r="G1719">
        <v>0.54045818292483006</v>
      </c>
      <c r="H1719">
        <v>0.17403210570389299</v>
      </c>
      <c r="I1719">
        <v>0.155293395772541</v>
      </c>
      <c r="J1719">
        <v>0.12891770676046299</v>
      </c>
      <c r="K1719">
        <v>0.118731536367471</v>
      </c>
      <c r="L1719">
        <v>2943.9484731334501</v>
      </c>
      <c r="M1719">
        <v>51.949152168368698</v>
      </c>
      <c r="N1719">
        <v>57.021566123852402</v>
      </c>
      <c r="O1719">
        <v>56.5860196874482</v>
      </c>
      <c r="P1719">
        <v>-0.198049086531566</v>
      </c>
      <c r="Q1719">
        <v>0.13709457559115801</v>
      </c>
      <c r="R1719">
        <v>0.96877968434352302</v>
      </c>
      <c r="S1719" t="s">
        <v>8722</v>
      </c>
      <c r="T1719" t="s">
        <v>14004</v>
      </c>
      <c r="U1719" t="s">
        <v>14004</v>
      </c>
      <c r="V1719" t="s">
        <v>14004</v>
      </c>
      <c r="W1719" t="s">
        <v>15688</v>
      </c>
      <c r="X1719">
        <v>12</v>
      </c>
      <c r="Y1719" t="s">
        <v>22612</v>
      </c>
      <c r="Z1719" t="s">
        <v>29429</v>
      </c>
      <c r="AA1719">
        <v>0.61857166044799572</v>
      </c>
      <c r="AB1719" t="str">
        <f>HYPERLINK("Melting_Curves/meltCurve_O75436_VPS26A.pdf", "Melting_Curves/meltCurve_O75436_VPS26A.pdf")</f>
        <v>Melting_Curves/meltCurve_O75436_VPS26A.pdf</v>
      </c>
    </row>
    <row r="1720" spans="1:28" x14ac:dyDescent="0.25">
      <c r="A1720" t="s">
        <v>1724</v>
      </c>
      <c r="B1720">
        <v>0.99999676499088797</v>
      </c>
      <c r="C1720">
        <v>1.03528286195704</v>
      </c>
      <c r="D1720">
        <v>1.08421433838311</v>
      </c>
      <c r="E1720">
        <v>0.945564806139637</v>
      </c>
      <c r="F1720">
        <v>0.98324051069577301</v>
      </c>
      <c r="G1720">
        <v>0.65871330067196698</v>
      </c>
      <c r="H1720">
        <v>0.46433964556094998</v>
      </c>
      <c r="I1720">
        <v>0.44444834031442099</v>
      </c>
      <c r="J1720">
        <v>0.307373089924521</v>
      </c>
      <c r="K1720">
        <v>0.287962012630961</v>
      </c>
      <c r="L1720">
        <v>1364.70669329006</v>
      </c>
      <c r="M1720">
        <v>23.719984792790001</v>
      </c>
      <c r="N1720">
        <v>59.999712604907899</v>
      </c>
      <c r="O1720">
        <v>57.129796342735197</v>
      </c>
      <c r="P1720">
        <v>-7.1481015323775196E-2</v>
      </c>
      <c r="Q1720">
        <v>0.31136073790625102</v>
      </c>
      <c r="R1720">
        <v>0.973055954050977</v>
      </c>
      <c r="S1720" t="s">
        <v>8723</v>
      </c>
      <c r="T1720" t="s">
        <v>14004</v>
      </c>
      <c r="U1720" t="s">
        <v>14004</v>
      </c>
      <c r="V1720" t="s">
        <v>14004</v>
      </c>
      <c r="W1720" t="s">
        <v>15689</v>
      </c>
      <c r="X1720">
        <v>4</v>
      </c>
      <c r="Y1720" t="s">
        <v>22613</v>
      </c>
      <c r="Z1720" t="s">
        <v>29430</v>
      </c>
      <c r="AA1720">
        <v>0.7204276010722066</v>
      </c>
      <c r="AB1720" t="str">
        <f>HYPERLINK("Melting_Curves/meltCurve_O75438_NDUFB1.pdf", "Melting_Curves/meltCurve_O75438_NDUFB1.pdf")</f>
        <v>Melting_Curves/meltCurve_O75438_NDUFB1.pdf</v>
      </c>
    </row>
    <row r="1721" spans="1:28" x14ac:dyDescent="0.25">
      <c r="A1721" t="s">
        <v>1725</v>
      </c>
      <c r="B1721">
        <v>0.99999676499088797</v>
      </c>
      <c r="C1721">
        <v>1.03242158858404</v>
      </c>
      <c r="D1721">
        <v>0.98394132702773096</v>
      </c>
      <c r="E1721">
        <v>0.98097752978033903</v>
      </c>
      <c r="F1721">
        <v>0.42423782372680202</v>
      </c>
      <c r="G1721">
        <v>0.20785726867083201</v>
      </c>
      <c r="H1721">
        <v>0.10309812235974</v>
      </c>
      <c r="I1721">
        <v>0.11032417388280701</v>
      </c>
      <c r="J1721">
        <v>0.105014338632962</v>
      </c>
      <c r="K1721">
        <v>9.1223044181893795E-2</v>
      </c>
      <c r="L1721">
        <v>2470.61576537985</v>
      </c>
      <c r="M1721">
        <v>46.991251386374003</v>
      </c>
      <c r="N1721">
        <v>52.873086153259699</v>
      </c>
      <c r="O1721">
        <v>52.481127543374299</v>
      </c>
      <c r="P1721">
        <v>-0.19788209776987201</v>
      </c>
      <c r="Q1721">
        <v>0.116000199192974</v>
      </c>
      <c r="R1721">
        <v>0.99549807416691405</v>
      </c>
      <c r="S1721" t="s">
        <v>8724</v>
      </c>
      <c r="T1721" t="s">
        <v>14004</v>
      </c>
      <c r="U1721" t="s">
        <v>14004</v>
      </c>
      <c r="V1721" t="s">
        <v>14004</v>
      </c>
      <c r="W1721" t="s">
        <v>15690</v>
      </c>
      <c r="X1721">
        <v>18</v>
      </c>
      <c r="Y1721" t="s">
        <v>22614</v>
      </c>
      <c r="Z1721" t="s">
        <v>29431</v>
      </c>
      <c r="AA1721">
        <v>0.48889754708475852</v>
      </c>
      <c r="AB1721" t="str">
        <f>HYPERLINK("Melting_Curves/meltCurve_O75439_PMPCB.pdf", "Melting_Curves/meltCurve_O75439_PMPCB.pdf")</f>
        <v>Melting_Curves/meltCurve_O75439_PMPCB.pdf</v>
      </c>
    </row>
    <row r="1722" spans="1:28" x14ac:dyDescent="0.25">
      <c r="A1722" t="s">
        <v>1726</v>
      </c>
      <c r="B1722">
        <v>0.99999676499088797</v>
      </c>
      <c r="C1722">
        <v>0.90445125890794598</v>
      </c>
      <c r="D1722">
        <v>0.83666405284341405</v>
      </c>
      <c r="E1722">
        <v>0.60673539877801397</v>
      </c>
      <c r="F1722">
        <v>0.35417283027061502</v>
      </c>
      <c r="G1722">
        <v>0.377652192894948</v>
      </c>
      <c r="H1722">
        <v>0.16986345307690301</v>
      </c>
      <c r="I1722">
        <v>0.207513702882171</v>
      </c>
      <c r="J1722">
        <v>0.20697399849064799</v>
      </c>
      <c r="K1722">
        <v>0.212900720913584</v>
      </c>
      <c r="L1722">
        <v>771.11285319030003</v>
      </c>
      <c r="M1722">
        <v>15.520727119707001</v>
      </c>
      <c r="N1722">
        <v>51.247104143431599</v>
      </c>
      <c r="O1722">
        <v>48.879929283427401</v>
      </c>
      <c r="P1722">
        <v>-6.4410264557410404E-2</v>
      </c>
      <c r="Q1722">
        <v>0.18867436387200101</v>
      </c>
      <c r="R1722">
        <v>0.98283852330232502</v>
      </c>
      <c r="S1722" t="s">
        <v>8725</v>
      </c>
      <c r="T1722" t="s">
        <v>14004</v>
      </c>
      <c r="U1722" t="s">
        <v>14004</v>
      </c>
      <c r="V1722" t="s">
        <v>14004</v>
      </c>
      <c r="W1722" t="s">
        <v>15691</v>
      </c>
      <c r="X1722">
        <v>2</v>
      </c>
      <c r="Y1722" t="s">
        <v>22615</v>
      </c>
      <c r="Z1722" t="s">
        <v>29432</v>
      </c>
      <c r="AA1722">
        <v>0.46890905148442402</v>
      </c>
      <c r="AB1722" t="str">
        <f>HYPERLINK("Melting_Curves/meltCurve_O75446_SAP30.pdf", "Melting_Curves/meltCurve_O75446_SAP30.pdf")</f>
        <v>Melting_Curves/meltCurve_O75446_SAP30.pdf</v>
      </c>
    </row>
    <row r="1723" spans="1:28" x14ac:dyDescent="0.25">
      <c r="A1723" t="s">
        <v>1727</v>
      </c>
      <c r="B1723">
        <v>0.99999676499088797</v>
      </c>
      <c r="C1723">
        <v>0.98674489166539603</v>
      </c>
      <c r="D1723">
        <v>0.96952806038884198</v>
      </c>
      <c r="E1723">
        <v>0.92188180431030697</v>
      </c>
      <c r="F1723">
        <v>0.38743570589774401</v>
      </c>
      <c r="G1723">
        <v>0.226008438003545</v>
      </c>
      <c r="H1723">
        <v>7.9746128999896596E-2</v>
      </c>
      <c r="I1723">
        <v>8.0261163463436494E-2</v>
      </c>
      <c r="J1723">
        <v>6.6640569550983603E-2</v>
      </c>
      <c r="K1723">
        <v>5.4391372667536998E-2</v>
      </c>
      <c r="L1723">
        <v>1749.0127778519</v>
      </c>
      <c r="M1723">
        <v>33.3711965778337</v>
      </c>
      <c r="N1723">
        <v>52.689249941811603</v>
      </c>
      <c r="O1723">
        <v>52.223708956349597</v>
      </c>
      <c r="P1723">
        <v>-0.14683948413582801</v>
      </c>
      <c r="Q1723">
        <v>8.0827550452767793E-2</v>
      </c>
      <c r="R1723">
        <v>0.99317396310393002</v>
      </c>
      <c r="S1723" t="s">
        <v>8726</v>
      </c>
      <c r="T1723" t="s">
        <v>14004</v>
      </c>
      <c r="U1723" t="s">
        <v>14004</v>
      </c>
      <c r="V1723" t="s">
        <v>14004</v>
      </c>
      <c r="W1723" t="s">
        <v>15692</v>
      </c>
      <c r="X1723">
        <v>10</v>
      </c>
      <c r="Y1723" t="s">
        <v>22616</v>
      </c>
      <c r="Z1723" t="s">
        <v>29433</v>
      </c>
      <c r="AA1723">
        <v>0.46586853271567352</v>
      </c>
      <c r="AB1723" t="str">
        <f>HYPERLINK("Melting_Curves/meltCurve_O75449_KATNA1.pdf", "Melting_Curves/meltCurve_O75449_KATNA1.pdf")</f>
        <v>Melting_Curves/meltCurve_O75449_KATNA1.pdf</v>
      </c>
    </row>
    <row r="1724" spans="1:28" x14ac:dyDescent="0.25">
      <c r="A1724" t="s">
        <v>1728</v>
      </c>
      <c r="B1724">
        <v>0.99999676499088797</v>
      </c>
      <c r="C1724">
        <v>0.90542083591571398</v>
      </c>
      <c r="D1724">
        <v>0.923633507128091</v>
      </c>
      <c r="E1724">
        <v>0.741186362593514</v>
      </c>
      <c r="F1724">
        <v>0.34321122876369797</v>
      </c>
      <c r="G1724">
        <v>0.28575995408086302</v>
      </c>
      <c r="H1724">
        <v>0.192960344217527</v>
      </c>
      <c r="I1724">
        <v>0.20714890994405699</v>
      </c>
      <c r="J1724">
        <v>0.203609990797539</v>
      </c>
      <c r="K1724">
        <v>0.22082621956274201</v>
      </c>
      <c r="L1724">
        <v>1347.0972830959799</v>
      </c>
      <c r="M1724">
        <v>26.598659140116599</v>
      </c>
      <c r="N1724">
        <v>51.6804561512932</v>
      </c>
      <c r="O1724">
        <v>50.361627858243097</v>
      </c>
      <c r="P1724">
        <v>-0.104772220481784</v>
      </c>
      <c r="Q1724">
        <v>0.20650958900177099</v>
      </c>
      <c r="R1724">
        <v>0.98808237280654798</v>
      </c>
      <c r="S1724" t="s">
        <v>8727</v>
      </c>
      <c r="T1724" t="s">
        <v>14004</v>
      </c>
      <c r="U1724" t="s">
        <v>14004</v>
      </c>
      <c r="V1724" t="s">
        <v>14004</v>
      </c>
      <c r="W1724" t="s">
        <v>15693</v>
      </c>
      <c r="X1724">
        <v>31</v>
      </c>
      <c r="Y1724" t="s">
        <v>22617</v>
      </c>
      <c r="Z1724" t="s">
        <v>29434</v>
      </c>
      <c r="AA1724">
        <v>0.49438691295270948</v>
      </c>
      <c r="AB1724" t="str">
        <f>HYPERLINK("Melting_Curves/meltCurve_O75475_PSIP1.pdf", "Melting_Curves/meltCurve_O75475_PSIP1.pdf")</f>
        <v>Melting_Curves/meltCurve_O75475_PSIP1.pdf</v>
      </c>
    </row>
    <row r="1725" spans="1:28" x14ac:dyDescent="0.25">
      <c r="A1725" t="s">
        <v>1729</v>
      </c>
      <c r="B1725">
        <v>0.99999676499088797</v>
      </c>
      <c r="C1725">
        <v>0.92583635557245303</v>
      </c>
      <c r="D1725">
        <v>0.91002468924853797</v>
      </c>
      <c r="E1725">
        <v>0.66106458748161501</v>
      </c>
      <c r="F1725">
        <v>0.29676936217480998</v>
      </c>
      <c r="G1725">
        <v>0.224019365616764</v>
      </c>
      <c r="H1725">
        <v>0.120280439856216</v>
      </c>
      <c r="I1725">
        <v>0.123458877919614</v>
      </c>
      <c r="J1725">
        <v>0.12985728439643601</v>
      </c>
      <c r="K1725">
        <v>0.117651788590352</v>
      </c>
      <c r="L1725">
        <v>1119.88903739174</v>
      </c>
      <c r="M1725">
        <v>22.201721747553002</v>
      </c>
      <c r="N1725">
        <v>51.065169496436397</v>
      </c>
      <c r="O1725">
        <v>50.037662475486997</v>
      </c>
      <c r="P1725">
        <v>-9.7755696328005598E-2</v>
      </c>
      <c r="Q1725">
        <v>0.118742043350478</v>
      </c>
      <c r="R1725">
        <v>0.99490232780971899</v>
      </c>
      <c r="S1725" t="s">
        <v>8728</v>
      </c>
      <c r="T1725" t="s">
        <v>14004</v>
      </c>
      <c r="U1725" t="s">
        <v>14004</v>
      </c>
      <c r="V1725" t="s">
        <v>14004</v>
      </c>
      <c r="W1725" t="s">
        <v>15694</v>
      </c>
      <c r="X1725">
        <v>7</v>
      </c>
      <c r="Y1725" t="s">
        <v>22618</v>
      </c>
      <c r="Z1725" t="s">
        <v>29435</v>
      </c>
      <c r="AA1725">
        <v>0.43547044833439708</v>
      </c>
      <c r="AB1725" t="str">
        <f>HYPERLINK("Melting_Curves/meltCurve_O75477_ERLIN1.pdf", "Melting_Curves/meltCurve_O75477_ERLIN1.pdf")</f>
        <v>Melting_Curves/meltCurve_O75477_ERLIN1.pdf</v>
      </c>
    </row>
    <row r="1726" spans="1:28" x14ac:dyDescent="0.25">
      <c r="A1726" t="s">
        <v>1730</v>
      </c>
      <c r="B1726">
        <v>0.99999676499088797</v>
      </c>
      <c r="C1726">
        <v>1.1244499702933699</v>
      </c>
      <c r="D1726">
        <v>1.1323281864794099</v>
      </c>
      <c r="E1726">
        <v>1.1519507267303599</v>
      </c>
      <c r="F1726">
        <v>0.69144982214200201</v>
      </c>
      <c r="G1726">
        <v>0.44569210357960798</v>
      </c>
      <c r="H1726">
        <v>0.181177297325819</v>
      </c>
      <c r="I1726">
        <v>9.0814010954623201E-2</v>
      </c>
      <c r="J1726">
        <v>7.3263249693957103E-2</v>
      </c>
      <c r="K1726">
        <v>4.9664074291951202E-2</v>
      </c>
      <c r="L1726">
        <v>1439.19944116947</v>
      </c>
      <c r="M1726">
        <v>25.841368775501099</v>
      </c>
      <c r="N1726">
        <v>55.988209633072202</v>
      </c>
      <c r="O1726">
        <v>55.363329839600901</v>
      </c>
      <c r="P1726">
        <v>-0.109273937363002</v>
      </c>
      <c r="Q1726">
        <v>6.3564245291719307E-2</v>
      </c>
      <c r="R1726">
        <v>0.96107236747045399</v>
      </c>
      <c r="S1726" t="s">
        <v>8729</v>
      </c>
      <c r="T1726" t="s">
        <v>14004</v>
      </c>
      <c r="U1726" t="s">
        <v>14004</v>
      </c>
      <c r="V1726" t="s">
        <v>14004</v>
      </c>
      <c r="W1726" t="s">
        <v>15695</v>
      </c>
      <c r="X1726">
        <v>10</v>
      </c>
      <c r="Y1726" t="s">
        <v>22619</v>
      </c>
      <c r="Z1726" t="s">
        <v>29436</v>
      </c>
      <c r="AA1726">
        <v>0.56158422120816698</v>
      </c>
      <c r="AB1726" t="str">
        <f>HYPERLINK("Melting_Curves/meltCurve_O75489_NDUFS3.pdf", "Melting_Curves/meltCurve_O75489_NDUFS3.pdf")</f>
        <v>Melting_Curves/meltCurve_O75489_NDUFS3.pdf</v>
      </c>
    </row>
    <row r="1727" spans="1:28" x14ac:dyDescent="0.25">
      <c r="A1727" t="s">
        <v>1731</v>
      </c>
      <c r="B1727">
        <v>0.99999676499088797</v>
      </c>
      <c r="C1727">
        <v>0.83045214724065097</v>
      </c>
      <c r="D1727">
        <v>0.82439339552381397</v>
      </c>
      <c r="E1727">
        <v>0.80542395427549596</v>
      </c>
      <c r="F1727">
        <v>0.485142442509018</v>
      </c>
      <c r="G1727">
        <v>0.41183864903195</v>
      </c>
      <c r="H1727">
        <v>0.22798850293118</v>
      </c>
      <c r="I1727">
        <v>0.22202218861674</v>
      </c>
      <c r="J1727">
        <v>0.23513034144176401</v>
      </c>
      <c r="K1727">
        <v>0.20827843819245601</v>
      </c>
      <c r="L1727">
        <v>589.98433630351201</v>
      </c>
      <c r="M1727">
        <v>11.271379627364199</v>
      </c>
      <c r="N1727">
        <v>53.904461903092603</v>
      </c>
      <c r="O1727">
        <v>50.777102423771701</v>
      </c>
      <c r="P1727">
        <v>-4.77823523524901E-2</v>
      </c>
      <c r="Q1727">
        <v>0.139234224510803</v>
      </c>
      <c r="R1727">
        <v>0.96444800912909601</v>
      </c>
      <c r="S1727" t="s">
        <v>8730</v>
      </c>
      <c r="T1727" t="s">
        <v>14004</v>
      </c>
      <c r="U1727" t="s">
        <v>14004</v>
      </c>
      <c r="V1727" t="s">
        <v>14004</v>
      </c>
      <c r="W1727" t="s">
        <v>15696</v>
      </c>
      <c r="X1727">
        <v>5</v>
      </c>
      <c r="Y1727" t="s">
        <v>22620</v>
      </c>
      <c r="Z1727" t="s">
        <v>29437</v>
      </c>
      <c r="AA1727">
        <v>0.5211225785728304</v>
      </c>
      <c r="AB1727" t="str">
        <f>HYPERLINK("Melting_Curves/meltCurve_O75503_CLN5.pdf", "Melting_Curves/meltCurve_O75503_CLN5.pdf")</f>
        <v>Melting_Curves/meltCurve_O75503_CLN5.pdf</v>
      </c>
    </row>
    <row r="1728" spans="1:28" x14ac:dyDescent="0.25">
      <c r="A1728" t="s">
        <v>1732</v>
      </c>
      <c r="B1728">
        <v>0.99999676499088797</v>
      </c>
      <c r="C1728">
        <v>0.89434934495001694</v>
      </c>
      <c r="D1728">
        <v>1.0421617636034199</v>
      </c>
      <c r="E1728">
        <v>1.44102133000507</v>
      </c>
      <c r="F1728">
        <v>1.7284641927940401</v>
      </c>
      <c r="G1728">
        <v>1.3970691594371301</v>
      </c>
      <c r="H1728">
        <v>1.1111507120051201</v>
      </c>
      <c r="I1728">
        <v>0.86067884957013496</v>
      </c>
      <c r="J1728">
        <v>0.74463901067244997</v>
      </c>
      <c r="K1728">
        <v>1.3623708166278099</v>
      </c>
      <c r="L1728">
        <v>15000</v>
      </c>
      <c r="M1728">
        <v>215.250625163975</v>
      </c>
      <c r="O1728">
        <v>69.680193483279595</v>
      </c>
      <c r="P1728">
        <v>0.386140262653206</v>
      </c>
      <c r="Q1728">
        <v>1.5</v>
      </c>
      <c r="R1728">
        <v>-0.13617688747659801</v>
      </c>
      <c r="S1728" t="s">
        <v>8731</v>
      </c>
      <c r="T1728" t="s">
        <v>14004</v>
      </c>
      <c r="U1728" t="s">
        <v>14004</v>
      </c>
      <c r="V1728" t="s">
        <v>14004</v>
      </c>
      <c r="W1728" t="s">
        <v>15697</v>
      </c>
      <c r="X1728">
        <v>3</v>
      </c>
      <c r="Y1728" t="s">
        <v>22621</v>
      </c>
      <c r="Z1728" t="s">
        <v>29438</v>
      </c>
      <c r="AA1728">
        <v>1.0069229785307341</v>
      </c>
      <c r="AB1728" t="str">
        <f>HYPERLINK("Melting_Curves/meltCurve_O75506_HSBP1.pdf", "Melting_Curves/meltCurve_O75506_HSBP1.pdf")</f>
        <v>Melting_Curves/meltCurve_O75506_HSBP1.pdf</v>
      </c>
    </row>
    <row r="1729" spans="1:28" x14ac:dyDescent="0.25">
      <c r="A1729" t="s">
        <v>1733</v>
      </c>
      <c r="B1729">
        <v>0.99999676499088797</v>
      </c>
      <c r="C1729">
        <v>0.979954360522309</v>
      </c>
      <c r="D1729">
        <v>1.0049931180185401</v>
      </c>
      <c r="E1729">
        <v>1.0016697672344601</v>
      </c>
      <c r="F1729">
        <v>0.64176391625754803</v>
      </c>
      <c r="G1729">
        <v>0.40596535937100298</v>
      </c>
      <c r="H1729">
        <v>0.14997621725113899</v>
      </c>
      <c r="I1729">
        <v>9.6600862535491203E-2</v>
      </c>
      <c r="J1729">
        <v>8.5839271496538805E-2</v>
      </c>
      <c r="K1729">
        <v>6.0048110326697803E-2</v>
      </c>
      <c r="L1729">
        <v>1248.32290448515</v>
      </c>
      <c r="M1729">
        <v>22.7030069885624</v>
      </c>
      <c r="N1729">
        <v>55.310989274614599</v>
      </c>
      <c r="O1729">
        <v>54.563634065633003</v>
      </c>
      <c r="P1729">
        <v>-9.7507318700481793E-2</v>
      </c>
      <c r="Q1729">
        <v>6.2635305472410793E-2</v>
      </c>
      <c r="R1729">
        <v>0.993034802604012</v>
      </c>
      <c r="S1729" t="s">
        <v>8732</v>
      </c>
      <c r="T1729" t="s">
        <v>14004</v>
      </c>
      <c r="U1729" t="s">
        <v>14004</v>
      </c>
      <c r="V1729" t="s">
        <v>14004</v>
      </c>
      <c r="W1729" t="s">
        <v>15698</v>
      </c>
      <c r="X1729">
        <v>17</v>
      </c>
      <c r="Y1729" t="s">
        <v>22622</v>
      </c>
      <c r="Z1729" t="s">
        <v>29439</v>
      </c>
      <c r="AA1729">
        <v>0.54106745206513851</v>
      </c>
      <c r="AB1729" t="str">
        <f>HYPERLINK("Melting_Curves/meltCurve_O75521_2_ECI2.pdf", "Melting_Curves/meltCurve_O75521_2_ECI2.pdf")</f>
        <v>Melting_Curves/meltCurve_O75521_2_ECI2.pdf</v>
      </c>
    </row>
    <row r="1730" spans="1:28" x14ac:dyDescent="0.25">
      <c r="A1730" t="s">
        <v>1734</v>
      </c>
      <c r="B1730">
        <v>0.99999676499088797</v>
      </c>
      <c r="C1730">
        <v>1.0004464361277099</v>
      </c>
      <c r="D1730">
        <v>1.0533555231341301</v>
      </c>
      <c r="E1730">
        <v>0.89110220095405002</v>
      </c>
      <c r="F1730">
        <v>0.493657517739854</v>
      </c>
      <c r="G1730">
        <v>0.474516999429551</v>
      </c>
      <c r="H1730">
        <v>0.417079092535518</v>
      </c>
      <c r="I1730">
        <v>0.58372670823819195</v>
      </c>
      <c r="J1730">
        <v>0.64766275714326504</v>
      </c>
      <c r="K1730">
        <v>0.84311357946352194</v>
      </c>
      <c r="L1730">
        <v>12452.600683344999</v>
      </c>
      <c r="M1730">
        <v>250</v>
      </c>
      <c r="O1730">
        <v>49.807215154070903</v>
      </c>
      <c r="P1730">
        <v>-0.53126576962269501</v>
      </c>
      <c r="Q1730">
        <v>0.57662610425746896</v>
      </c>
      <c r="R1730">
        <v>0.77267966164776603</v>
      </c>
      <c r="S1730" t="s">
        <v>8733</v>
      </c>
      <c r="T1730" t="s">
        <v>14004</v>
      </c>
      <c r="U1730" t="s">
        <v>14004</v>
      </c>
      <c r="V1730" t="s">
        <v>14004</v>
      </c>
      <c r="W1730" t="s">
        <v>15699</v>
      </c>
      <c r="X1730">
        <v>5</v>
      </c>
      <c r="Y1730" t="s">
        <v>22623</v>
      </c>
      <c r="Z1730" t="s">
        <v>29440</v>
      </c>
      <c r="AA1730">
        <v>0.71511206158161644</v>
      </c>
      <c r="AB1730" t="str">
        <f>HYPERLINK("Melting_Curves/meltCurve_O75525_KHDRBS3.pdf", "Melting_Curves/meltCurve_O75525_KHDRBS3.pdf")</f>
        <v>Melting_Curves/meltCurve_O75525_KHDRBS3.pdf</v>
      </c>
    </row>
    <row r="1731" spans="1:28" x14ac:dyDescent="0.25">
      <c r="A1731" t="s">
        <v>1735</v>
      </c>
      <c r="B1731">
        <v>0.99999676499088797</v>
      </c>
      <c r="C1731">
        <v>0.90243495339891799</v>
      </c>
      <c r="D1731">
        <v>0.81745754623917499</v>
      </c>
      <c r="E1731">
        <v>0.72587981540354496</v>
      </c>
      <c r="F1731">
        <v>0.36974758363388099</v>
      </c>
      <c r="G1731">
        <v>0.22370492101221501</v>
      </c>
      <c r="H1731">
        <v>0.157041028014578</v>
      </c>
      <c r="I1731">
        <v>0.21754506969452</v>
      </c>
      <c r="J1731">
        <v>0.24794040659271899</v>
      </c>
      <c r="K1731">
        <v>0.219727735166031</v>
      </c>
      <c r="L1731">
        <v>968.78893929717901</v>
      </c>
      <c r="M1731">
        <v>19.2904072403818</v>
      </c>
      <c r="N1731">
        <v>51.495653037663097</v>
      </c>
      <c r="O1731">
        <v>49.6909226509121</v>
      </c>
      <c r="P1731">
        <v>-7.8634686117994207E-2</v>
      </c>
      <c r="Q1731">
        <v>0.18979774005254599</v>
      </c>
      <c r="R1731">
        <v>0.97434721524460699</v>
      </c>
      <c r="S1731" t="s">
        <v>8734</v>
      </c>
      <c r="T1731" t="s">
        <v>14004</v>
      </c>
      <c r="U1731" t="s">
        <v>14004</v>
      </c>
      <c r="V1731" t="s">
        <v>14004</v>
      </c>
      <c r="W1731" t="s">
        <v>15700</v>
      </c>
      <c r="X1731">
        <v>6</v>
      </c>
      <c r="Y1731" t="s">
        <v>22624</v>
      </c>
      <c r="Z1731" t="s">
        <v>29441</v>
      </c>
      <c r="AA1731">
        <v>0.47792298496485403</v>
      </c>
      <c r="AB1731" t="str">
        <f>HYPERLINK("Melting_Curves/meltCurve_O75528_TADA3.pdf", "Melting_Curves/meltCurve_O75528_TADA3.pdf")</f>
        <v>Melting_Curves/meltCurve_O75528_TADA3.pdf</v>
      </c>
    </row>
    <row r="1732" spans="1:28" x14ac:dyDescent="0.25">
      <c r="A1732" t="s">
        <v>1736</v>
      </c>
      <c r="B1732">
        <v>0.99999676499088797</v>
      </c>
      <c r="C1732">
        <v>0.93566587096367104</v>
      </c>
      <c r="D1732">
        <v>0.92415110099441999</v>
      </c>
      <c r="E1732">
        <v>1.0250289296320001</v>
      </c>
      <c r="F1732">
        <v>0.361400976853475</v>
      </c>
      <c r="G1732">
        <v>0.26943480034102801</v>
      </c>
      <c r="H1732">
        <v>0.13339767622868401</v>
      </c>
      <c r="I1732">
        <v>0.15571966171082599</v>
      </c>
      <c r="J1732">
        <v>0.120746330992693</v>
      </c>
      <c r="K1732">
        <v>0.11125962558910001</v>
      </c>
      <c r="L1732">
        <v>5623.3703153772103</v>
      </c>
      <c r="M1732">
        <v>106.843544702722</v>
      </c>
      <c r="N1732">
        <v>52.819544915488898</v>
      </c>
      <c r="O1732">
        <v>52.6134114827003</v>
      </c>
      <c r="P1732">
        <v>-0.427480376397535</v>
      </c>
      <c r="Q1732">
        <v>0.15797661985549299</v>
      </c>
      <c r="R1732">
        <v>0.98211223963898597</v>
      </c>
      <c r="S1732" t="s">
        <v>8735</v>
      </c>
      <c r="T1732" t="s">
        <v>14004</v>
      </c>
      <c r="U1732" t="s">
        <v>14004</v>
      </c>
      <c r="V1732" t="s">
        <v>14004</v>
      </c>
      <c r="W1732" t="s">
        <v>15701</v>
      </c>
      <c r="X1732">
        <v>13</v>
      </c>
      <c r="Y1732" t="s">
        <v>22625</v>
      </c>
      <c r="Z1732" t="s">
        <v>29442</v>
      </c>
      <c r="AA1732">
        <v>0.51294581824765306</v>
      </c>
      <c r="AB1732" t="str">
        <f>HYPERLINK("Melting_Curves/meltCurve_O75530_EED.pdf", "Melting_Curves/meltCurve_O75530_EED.pdf")</f>
        <v>Melting_Curves/meltCurve_O75530_EED.pdf</v>
      </c>
    </row>
    <row r="1733" spans="1:28" x14ac:dyDescent="0.25">
      <c r="A1733" t="s">
        <v>1737</v>
      </c>
      <c r="B1733">
        <v>0.99999676499088797</v>
      </c>
      <c r="C1733">
        <v>1.30924910289052</v>
      </c>
      <c r="D1733">
        <v>2.2946763378478301</v>
      </c>
      <c r="E1733">
        <v>2.1843797069578099</v>
      </c>
      <c r="F1733">
        <v>1.18501433228436</v>
      </c>
      <c r="G1733">
        <v>0.69836312464541805</v>
      </c>
      <c r="H1733">
        <v>0.31935747827679101</v>
      </c>
      <c r="I1733">
        <v>0.31598694881905498</v>
      </c>
      <c r="J1733">
        <v>0.35468343368715699</v>
      </c>
      <c r="K1733">
        <v>0.23538070196628999</v>
      </c>
      <c r="L1733">
        <v>14214.8853601134</v>
      </c>
      <c r="M1733">
        <v>250</v>
      </c>
      <c r="N1733">
        <v>57.076103065186302</v>
      </c>
      <c r="O1733">
        <v>56.855902824179402</v>
      </c>
      <c r="P1733">
        <v>-0.76250644659550604</v>
      </c>
      <c r="Q1733">
        <v>0.30635212213623197</v>
      </c>
      <c r="R1733">
        <v>0.38511403838952502</v>
      </c>
      <c r="S1733" t="s">
        <v>8736</v>
      </c>
      <c r="T1733" t="s">
        <v>14004</v>
      </c>
      <c r="U1733" t="s">
        <v>14004</v>
      </c>
      <c r="V1733" t="s">
        <v>14004</v>
      </c>
      <c r="W1733" t="s">
        <v>15702</v>
      </c>
      <c r="X1733">
        <v>11</v>
      </c>
      <c r="Y1733" t="s">
        <v>22626</v>
      </c>
      <c r="Z1733" t="s">
        <v>29443</v>
      </c>
      <c r="AA1733">
        <v>0.69624084433124867</v>
      </c>
      <c r="AB1733" t="str">
        <f>HYPERLINK("Melting_Curves/meltCurve_O75531_BANF1.pdf", "Melting_Curves/meltCurve_O75531_BANF1.pdf")</f>
        <v>Melting_Curves/meltCurve_O75531_BANF1.pdf</v>
      </c>
    </row>
    <row r="1734" spans="1:28" x14ac:dyDescent="0.25">
      <c r="A1734" t="s">
        <v>1738</v>
      </c>
      <c r="B1734">
        <v>0.99999676499088797</v>
      </c>
      <c r="C1734">
        <v>0.90150031969983901</v>
      </c>
      <c r="D1734">
        <v>0.76794884152671306</v>
      </c>
      <c r="E1734">
        <v>0.49572558082353801</v>
      </c>
      <c r="F1734">
        <v>0.22105506137572301</v>
      </c>
      <c r="G1734">
        <v>0.15670682712380199</v>
      </c>
      <c r="H1734">
        <v>8.9152765757258501E-2</v>
      </c>
      <c r="I1734">
        <v>0.11740283327699499</v>
      </c>
      <c r="J1734">
        <v>0.13307453578334499</v>
      </c>
      <c r="K1734">
        <v>0.11575151794567499</v>
      </c>
      <c r="L1734">
        <v>920.49821631509496</v>
      </c>
      <c r="M1734">
        <v>18.9372106826116</v>
      </c>
      <c r="N1734">
        <v>49.203074193275597</v>
      </c>
      <c r="O1734">
        <v>48.075605233845899</v>
      </c>
      <c r="P1734">
        <v>-8.8399533705226394E-2</v>
      </c>
      <c r="Q1734">
        <v>0.102362065485366</v>
      </c>
      <c r="R1734">
        <v>0.99598332775918197</v>
      </c>
      <c r="S1734" t="s">
        <v>8737</v>
      </c>
      <c r="T1734" t="s">
        <v>14004</v>
      </c>
      <c r="U1734" t="s">
        <v>14004</v>
      </c>
      <c r="V1734" t="s">
        <v>14004</v>
      </c>
      <c r="W1734" t="s">
        <v>15703</v>
      </c>
      <c r="X1734">
        <v>64</v>
      </c>
      <c r="Y1734" t="s">
        <v>22627</v>
      </c>
      <c r="Z1734" t="s">
        <v>29444</v>
      </c>
      <c r="AA1734">
        <v>0.37405298285080069</v>
      </c>
      <c r="AB1734" t="str">
        <f>HYPERLINK("Melting_Curves/meltCurve_O75533_SF3B1.pdf", "Melting_Curves/meltCurve_O75533_SF3B1.pdf")</f>
        <v>Melting_Curves/meltCurve_O75533_SF3B1.pdf</v>
      </c>
    </row>
    <row r="1735" spans="1:28" x14ac:dyDescent="0.25">
      <c r="A1735" t="s">
        <v>1739</v>
      </c>
      <c r="B1735">
        <v>0.99999676499088797</v>
      </c>
      <c r="C1735">
        <v>0.89976866999295402</v>
      </c>
      <c r="D1735">
        <v>0.46112024030965898</v>
      </c>
      <c r="E1735">
        <v>0.18737845348299401</v>
      </c>
      <c r="F1735">
        <v>0.15038600117455</v>
      </c>
      <c r="G1735">
        <v>0.10558758898144199</v>
      </c>
      <c r="H1735">
        <v>5.2988940926707001E-2</v>
      </c>
      <c r="I1735">
        <v>4.9659339092554801E-2</v>
      </c>
      <c r="J1735">
        <v>4.3854898261451003E-2</v>
      </c>
      <c r="K1735">
        <v>3.9350539768529598E-2</v>
      </c>
      <c r="L1735">
        <v>1267.7750788384899</v>
      </c>
      <c r="M1735">
        <v>27.7507594341299</v>
      </c>
      <c r="N1735">
        <v>45.937749598030202</v>
      </c>
      <c r="O1735">
        <v>45.449083347452699</v>
      </c>
      <c r="P1735">
        <v>-0.14181517523867601</v>
      </c>
      <c r="Q1735">
        <v>7.0971379890407998E-2</v>
      </c>
      <c r="R1735">
        <v>0.99169552189499099</v>
      </c>
      <c r="S1735" t="s">
        <v>8738</v>
      </c>
      <c r="T1735" t="s">
        <v>14004</v>
      </c>
      <c r="U1735" t="s">
        <v>14004</v>
      </c>
      <c r="V1735" t="s">
        <v>14004</v>
      </c>
      <c r="W1735" t="s">
        <v>15704</v>
      </c>
      <c r="X1735">
        <v>42</v>
      </c>
      <c r="Y1735" t="s">
        <v>22628</v>
      </c>
      <c r="Z1735" t="s">
        <v>29445</v>
      </c>
      <c r="AA1735">
        <v>0.25385644675170438</v>
      </c>
      <c r="AB1735" t="str">
        <f>HYPERLINK("Melting_Curves/meltCurve_O75534_CSDE1.pdf", "Melting_Curves/meltCurve_O75534_CSDE1.pdf")</f>
        <v>Melting_Curves/meltCurve_O75534_CSDE1.pdf</v>
      </c>
    </row>
    <row r="1736" spans="1:28" x14ac:dyDescent="0.25">
      <c r="A1736" t="s">
        <v>1740</v>
      </c>
      <c r="B1736">
        <v>0.99999676499088797</v>
      </c>
      <c r="C1736">
        <v>0.91648828458331699</v>
      </c>
      <c r="D1736">
        <v>0.88344926320698802</v>
      </c>
      <c r="E1736">
        <v>0.84580057900629002</v>
      </c>
      <c r="F1736">
        <v>0.69843642375036297</v>
      </c>
      <c r="G1736">
        <v>0.56928227774315898</v>
      </c>
      <c r="H1736">
        <v>0.332210380404101</v>
      </c>
      <c r="I1736">
        <v>0.361858814056087</v>
      </c>
      <c r="J1736">
        <v>0.34346014356459798</v>
      </c>
      <c r="K1736">
        <v>0.36426486709305</v>
      </c>
      <c r="L1736">
        <v>685.153684482622</v>
      </c>
      <c r="M1736">
        <v>12.694650977774099</v>
      </c>
      <c r="N1736">
        <v>57.782975478134603</v>
      </c>
      <c r="O1736">
        <v>52.68511344945</v>
      </c>
      <c r="P1736">
        <v>-4.3165586079160601E-2</v>
      </c>
      <c r="Q1736">
        <v>0.28355865570847999</v>
      </c>
      <c r="R1736">
        <v>0.97244309337463297</v>
      </c>
      <c r="S1736" t="s">
        <v>8739</v>
      </c>
      <c r="T1736" t="s">
        <v>14004</v>
      </c>
      <c r="U1736" t="s">
        <v>14004</v>
      </c>
      <c r="V1736" t="s">
        <v>14004</v>
      </c>
      <c r="W1736" t="s">
        <v>15705</v>
      </c>
      <c r="X1736">
        <v>7</v>
      </c>
      <c r="Y1736" t="s">
        <v>22629</v>
      </c>
      <c r="Z1736" t="s">
        <v>29446</v>
      </c>
      <c r="AA1736">
        <v>0.63499195137412856</v>
      </c>
      <c r="AB1736" t="str">
        <f>HYPERLINK("Melting_Curves/meltCurve_O75554_WBP4.pdf", "Melting_Curves/meltCurve_O75554_WBP4.pdf")</f>
        <v>Melting_Curves/meltCurve_O75554_WBP4.pdf</v>
      </c>
    </row>
    <row r="1737" spans="1:28" x14ac:dyDescent="0.25">
      <c r="A1737" t="s">
        <v>1741</v>
      </c>
      <c r="B1737">
        <v>0.99999676499088797</v>
      </c>
      <c r="C1737">
        <v>0.95217251430645899</v>
      </c>
      <c r="D1737">
        <v>0.79179910004892795</v>
      </c>
      <c r="E1737">
        <v>0.53779686528064197</v>
      </c>
      <c r="F1737">
        <v>0.31625288138999003</v>
      </c>
      <c r="G1737">
        <v>0.30279345439703498</v>
      </c>
      <c r="H1737">
        <v>0.19095576247224799</v>
      </c>
      <c r="I1737">
        <v>0.20802534637564099</v>
      </c>
      <c r="J1737">
        <v>0.210027010398561</v>
      </c>
      <c r="K1737">
        <v>0.25240253085007502</v>
      </c>
      <c r="L1737">
        <v>951.11237942051196</v>
      </c>
      <c r="M1737">
        <v>19.590430847819299</v>
      </c>
      <c r="N1737">
        <v>49.993238688863102</v>
      </c>
      <c r="O1737">
        <v>48.0524482591373</v>
      </c>
      <c r="P1737">
        <v>-7.9910435978079702E-2</v>
      </c>
      <c r="Q1737">
        <v>0.21599340978666401</v>
      </c>
      <c r="R1737">
        <v>0.99380858883887502</v>
      </c>
      <c r="S1737" t="s">
        <v>8740</v>
      </c>
      <c r="T1737" t="s">
        <v>14004</v>
      </c>
      <c r="U1737" t="s">
        <v>14004</v>
      </c>
      <c r="V1737" t="s">
        <v>14004</v>
      </c>
      <c r="W1737" t="s">
        <v>15706</v>
      </c>
      <c r="X1737">
        <v>2</v>
      </c>
      <c r="Y1737" t="s">
        <v>22630</v>
      </c>
      <c r="Z1737" t="s">
        <v>29447</v>
      </c>
      <c r="AA1737">
        <v>0.45095251709048978</v>
      </c>
      <c r="AB1737" t="str">
        <f>HYPERLINK("Melting_Curves/meltCurve_O75570_MTRF1.pdf", "Melting_Curves/meltCurve_O75570_MTRF1.pdf")</f>
        <v>Melting_Curves/meltCurve_O75570_MTRF1.pdf</v>
      </c>
    </row>
    <row r="1738" spans="1:28" x14ac:dyDescent="0.25">
      <c r="A1738" t="s">
        <v>1742</v>
      </c>
      <c r="B1738">
        <v>0.99999676499088797</v>
      </c>
      <c r="C1738">
        <v>0.96243177408256197</v>
      </c>
      <c r="D1738">
        <v>0.78273757106866004</v>
      </c>
      <c r="E1738">
        <v>0.44663637301891301</v>
      </c>
      <c r="F1738">
        <v>0.232634054164265</v>
      </c>
      <c r="G1738">
        <v>0.16991713824931201</v>
      </c>
      <c r="H1738">
        <v>8.7646276121466707E-2</v>
      </c>
      <c r="I1738">
        <v>7.6696551244048894E-2</v>
      </c>
      <c r="J1738">
        <v>6.4517536434720302E-2</v>
      </c>
      <c r="K1738">
        <v>5.6298410729849799E-2</v>
      </c>
      <c r="L1738">
        <v>937.01724964518803</v>
      </c>
      <c r="M1738">
        <v>19.191252331017999</v>
      </c>
      <c r="N1738">
        <v>49.211596195733499</v>
      </c>
      <c r="O1738">
        <v>48.304363666496599</v>
      </c>
      <c r="P1738">
        <v>-9.2381816326108604E-2</v>
      </c>
      <c r="Q1738">
        <v>6.9935958952184199E-2</v>
      </c>
      <c r="R1738">
        <v>0.99760019418814005</v>
      </c>
      <c r="S1738" t="s">
        <v>8741</v>
      </c>
      <c r="T1738" t="s">
        <v>14004</v>
      </c>
      <c r="U1738" t="s">
        <v>14004</v>
      </c>
      <c r="V1738" t="s">
        <v>14004</v>
      </c>
      <c r="W1738" t="s">
        <v>15707</v>
      </c>
      <c r="X1738">
        <v>7</v>
      </c>
      <c r="Y1738" t="s">
        <v>22631</v>
      </c>
      <c r="Z1738" t="s">
        <v>29448</v>
      </c>
      <c r="AA1738">
        <v>0.35773556145795299</v>
      </c>
      <c r="AB1738" t="str">
        <f>HYPERLINK("Melting_Curves/meltCurve_O75582_RPS6KA5.pdf", "Melting_Curves/meltCurve_O75582_RPS6KA5.pdf")</f>
        <v>Melting_Curves/meltCurve_O75582_RPS6KA5.pdf</v>
      </c>
    </row>
    <row r="1739" spans="1:28" x14ac:dyDescent="0.25">
      <c r="A1739" t="s">
        <v>1743</v>
      </c>
      <c r="B1739">
        <v>0.99999676499088797</v>
      </c>
      <c r="C1739">
        <v>1.0857801537743501</v>
      </c>
      <c r="D1739">
        <v>0.93798209126839105</v>
      </c>
      <c r="E1739">
        <v>0.74548198968379498</v>
      </c>
      <c r="F1739">
        <v>0.30245207223149201</v>
      </c>
      <c r="G1739">
        <v>0.19916127087671401</v>
      </c>
      <c r="H1739">
        <v>9.1303492750980306E-2</v>
      </c>
      <c r="I1739">
        <v>0.103939448140591</v>
      </c>
      <c r="J1739">
        <v>0.101159595809844</v>
      </c>
      <c r="K1739">
        <v>8.0842161505316507E-2</v>
      </c>
      <c r="L1739">
        <v>1426.15311475879</v>
      </c>
      <c r="M1739">
        <v>27.888250290904899</v>
      </c>
      <c r="N1739">
        <v>51.541932640405001</v>
      </c>
      <c r="O1739">
        <v>50.877363962226099</v>
      </c>
      <c r="P1739">
        <v>-0.123589924817228</v>
      </c>
      <c r="Q1739">
        <v>9.8132767257036596E-2</v>
      </c>
      <c r="R1739">
        <v>0.99236429391153702</v>
      </c>
      <c r="S1739" t="s">
        <v>8742</v>
      </c>
      <c r="T1739" t="s">
        <v>14004</v>
      </c>
      <c r="U1739" t="s">
        <v>14004</v>
      </c>
      <c r="V1739" t="s">
        <v>14004</v>
      </c>
      <c r="W1739" t="s">
        <v>15708</v>
      </c>
      <c r="X1739">
        <v>2</v>
      </c>
      <c r="Y1739" t="s">
        <v>22632</v>
      </c>
      <c r="Z1739" t="s">
        <v>29449</v>
      </c>
      <c r="AA1739">
        <v>0.43954417180035033</v>
      </c>
      <c r="AB1739" t="str">
        <f>HYPERLINK("Melting_Curves/meltCurve_O75600_GCAT.pdf", "Melting_Curves/meltCurve_O75600_GCAT.pdf")</f>
        <v>Melting_Curves/meltCurve_O75600_GCAT.pdf</v>
      </c>
    </row>
    <row r="1740" spans="1:28" x14ac:dyDescent="0.25">
      <c r="A1740" t="s">
        <v>1744</v>
      </c>
      <c r="B1740">
        <v>0.99999676499088797</v>
      </c>
      <c r="C1740">
        <v>0.93515063556086897</v>
      </c>
      <c r="D1740">
        <v>1.01098643631562</v>
      </c>
      <c r="E1740">
        <v>0.84910831044735302</v>
      </c>
      <c r="F1740">
        <v>0.309098135752922</v>
      </c>
      <c r="G1740">
        <v>0.61162822130417405</v>
      </c>
      <c r="H1740">
        <v>0.18068173865341999</v>
      </c>
      <c r="I1740">
        <v>0.15276842499691101</v>
      </c>
      <c r="J1740">
        <v>0</v>
      </c>
      <c r="K1740">
        <v>0</v>
      </c>
      <c r="L1740">
        <v>708.27339594881903</v>
      </c>
      <c r="M1740">
        <v>13.007116834438101</v>
      </c>
      <c r="N1740">
        <v>54.452758760164201</v>
      </c>
      <c r="O1740">
        <v>53.2138796669025</v>
      </c>
      <c r="P1740">
        <v>-6.1118499360791098E-2</v>
      </c>
      <c r="Q1740">
        <v>0</v>
      </c>
      <c r="R1740">
        <v>0.90238133860375203</v>
      </c>
      <c r="S1740" t="s">
        <v>8743</v>
      </c>
      <c r="T1740" t="s">
        <v>14004</v>
      </c>
      <c r="U1740" t="s">
        <v>14004</v>
      </c>
      <c r="V1740" t="s">
        <v>14004</v>
      </c>
      <c r="W1740" t="s">
        <v>15709</v>
      </c>
      <c r="X1740">
        <v>4</v>
      </c>
      <c r="Y1740" t="s">
        <v>22633</v>
      </c>
      <c r="Z1740" t="s">
        <v>29450</v>
      </c>
      <c r="AA1740">
        <v>0.50499525360488839</v>
      </c>
      <c r="AB1740" t="str">
        <f>HYPERLINK("Melting_Curves/meltCurve_O75607_NPM3.pdf", "Melting_Curves/meltCurve_O75607_NPM3.pdf")</f>
        <v>Melting_Curves/meltCurve_O75607_NPM3.pdf</v>
      </c>
    </row>
    <row r="1741" spans="1:28" x14ac:dyDescent="0.25">
      <c r="A1741" t="s">
        <v>1745</v>
      </c>
      <c r="B1741">
        <v>0.99999676499088797</v>
      </c>
      <c r="C1741">
        <v>1.05010585023839</v>
      </c>
      <c r="D1741">
        <v>1.0292626638161799</v>
      </c>
      <c r="E1741">
        <v>0.91197532052525399</v>
      </c>
      <c r="F1741">
        <v>0.71278645831745102</v>
      </c>
      <c r="G1741">
        <v>0.30556542664953301</v>
      </c>
      <c r="H1741">
        <v>9.8746443694804897E-2</v>
      </c>
      <c r="I1741">
        <v>9.0935046995808594E-2</v>
      </c>
      <c r="J1741">
        <v>8.1280248315082501E-2</v>
      </c>
      <c r="K1741">
        <v>7.0655656909280995E-2</v>
      </c>
      <c r="L1741">
        <v>1526.85692403646</v>
      </c>
      <c r="M1741">
        <v>27.9510408968648</v>
      </c>
      <c r="N1741">
        <v>54.911580362580601</v>
      </c>
      <c r="O1741">
        <v>54.348802527403599</v>
      </c>
      <c r="P1741">
        <v>-0.119879685461633</v>
      </c>
      <c r="Q1741">
        <v>6.7618118062102897E-2</v>
      </c>
      <c r="R1741">
        <v>0.99674453902100402</v>
      </c>
      <c r="S1741" t="s">
        <v>8744</v>
      </c>
      <c r="T1741" t="s">
        <v>14004</v>
      </c>
      <c r="U1741" t="s">
        <v>14004</v>
      </c>
      <c r="V1741" t="s">
        <v>14004</v>
      </c>
      <c r="W1741" t="s">
        <v>15710</v>
      </c>
      <c r="X1741">
        <v>8</v>
      </c>
      <c r="Y1741" t="s">
        <v>22634</v>
      </c>
      <c r="Z1741" t="s">
        <v>29451</v>
      </c>
      <c r="AA1741">
        <v>0.52923326003900961</v>
      </c>
      <c r="AB1741" t="str">
        <f>HYPERLINK("Melting_Curves/meltCurve_O75608_2_LYPLA1.pdf", "Melting_Curves/meltCurve_O75608_2_LYPLA1.pdf")</f>
        <v>Melting_Curves/meltCurve_O75608_2_LYPLA1.pdf</v>
      </c>
    </row>
    <row r="1742" spans="1:28" x14ac:dyDescent="0.25">
      <c r="A1742" t="s">
        <v>1746</v>
      </c>
      <c r="B1742">
        <v>0.99999676499088797</v>
      </c>
      <c r="C1742">
        <v>1.0199305343949301</v>
      </c>
      <c r="D1742">
        <v>0.73114821280450804</v>
      </c>
      <c r="E1742">
        <v>0.35866842200214899</v>
      </c>
      <c r="F1742">
        <v>0.196360174506747</v>
      </c>
      <c r="G1742">
        <v>0.14154664761100999</v>
      </c>
      <c r="H1742">
        <v>7.7053250050565805E-2</v>
      </c>
      <c r="I1742">
        <v>6.4024709447140601E-2</v>
      </c>
      <c r="J1742">
        <v>4.8314359009366599E-2</v>
      </c>
      <c r="K1742">
        <v>2.8143470194741699E-2</v>
      </c>
      <c r="L1742">
        <v>1084.6946246358</v>
      </c>
      <c r="M1742">
        <v>22.553116985503198</v>
      </c>
      <c r="N1742">
        <v>48.399580163687403</v>
      </c>
      <c r="O1742">
        <v>47.721769200390803</v>
      </c>
      <c r="P1742">
        <v>-0.11033680179296</v>
      </c>
      <c r="Q1742">
        <v>6.6140445283852795E-2</v>
      </c>
      <c r="R1742">
        <v>0.99145337681425205</v>
      </c>
      <c r="S1742" t="s">
        <v>8745</v>
      </c>
      <c r="T1742" t="s">
        <v>14004</v>
      </c>
      <c r="U1742" t="s">
        <v>14004</v>
      </c>
      <c r="V1742" t="s">
        <v>14004</v>
      </c>
      <c r="W1742" t="s">
        <v>15711</v>
      </c>
      <c r="X1742">
        <v>4</v>
      </c>
      <c r="Y1742" t="s">
        <v>22635</v>
      </c>
      <c r="Z1742" t="s">
        <v>29452</v>
      </c>
      <c r="AA1742">
        <v>0.328398305446503</v>
      </c>
      <c r="AB1742" t="str">
        <f>HYPERLINK("Melting_Curves/meltCurve_O75616_ERAL1.pdf", "Melting_Curves/meltCurve_O75616_ERAL1.pdf")</f>
        <v>Melting_Curves/meltCurve_O75616_ERAL1.pdf</v>
      </c>
    </row>
    <row r="1743" spans="1:28" x14ac:dyDescent="0.25">
      <c r="A1743" t="s">
        <v>1747</v>
      </c>
      <c r="B1743">
        <v>0.99999676499088797</v>
      </c>
      <c r="C1743">
        <v>1.0804737672809901</v>
      </c>
      <c r="D1743">
        <v>1.1862523775062599</v>
      </c>
      <c r="E1743">
        <v>1.36483652050962</v>
      </c>
      <c r="F1743">
        <v>0.51071272462735795</v>
      </c>
      <c r="G1743">
        <v>0.23612218207709601</v>
      </c>
      <c r="H1743">
        <v>0.10829712849366099</v>
      </c>
      <c r="I1743">
        <v>0.103962922640049</v>
      </c>
      <c r="J1743">
        <v>0.10155946746408601</v>
      </c>
      <c r="K1743">
        <v>8.1715967050302304E-2</v>
      </c>
      <c r="L1743">
        <v>10580.262597618599</v>
      </c>
      <c r="M1743">
        <v>199.11841928763201</v>
      </c>
      <c r="N1743">
        <v>53.2133710763934</v>
      </c>
      <c r="O1743">
        <v>53.1301800952658</v>
      </c>
      <c r="P1743">
        <v>-0.818572696611505</v>
      </c>
      <c r="Q1743">
        <v>0.12633083126983499</v>
      </c>
      <c r="R1743">
        <v>0.922853428716369</v>
      </c>
      <c r="S1743" t="s">
        <v>8746</v>
      </c>
      <c r="T1743" t="s">
        <v>14004</v>
      </c>
      <c r="U1743" t="s">
        <v>14004</v>
      </c>
      <c r="V1743" t="s">
        <v>14004</v>
      </c>
      <c r="W1743" t="s">
        <v>15712</v>
      </c>
      <c r="X1743">
        <v>68</v>
      </c>
      <c r="Y1743" t="s">
        <v>22636</v>
      </c>
      <c r="Z1743" t="s">
        <v>29453</v>
      </c>
      <c r="AA1743">
        <v>0.50899617459327928</v>
      </c>
      <c r="AB1743" t="str">
        <f>HYPERLINK("Melting_Curves/meltCurve_O75643_SNRNP200.pdf", "Melting_Curves/meltCurve_O75643_SNRNP200.pdf")</f>
        <v>Melting_Curves/meltCurve_O75643_SNRNP200.pdf</v>
      </c>
    </row>
    <row r="1744" spans="1:28" x14ac:dyDescent="0.25">
      <c r="A1744" t="s">
        <v>1748</v>
      </c>
      <c r="B1744">
        <v>0.99999676499088797</v>
      </c>
      <c r="C1744">
        <v>0.95369225979545902</v>
      </c>
      <c r="D1744">
        <v>0.89469689416294995</v>
      </c>
      <c r="E1744">
        <v>0.91329686088788697</v>
      </c>
      <c r="F1744">
        <v>0.52293870029288703</v>
      </c>
      <c r="G1744">
        <v>0.36572479788148798</v>
      </c>
      <c r="H1744">
        <v>0.198335720426951</v>
      </c>
      <c r="I1744">
        <v>0.16293095113686601</v>
      </c>
      <c r="J1744">
        <v>0.12809464593379599</v>
      </c>
      <c r="K1744">
        <v>0.122556863618124</v>
      </c>
      <c r="L1744">
        <v>1008.24105794795</v>
      </c>
      <c r="M1744">
        <v>18.856643086973701</v>
      </c>
      <c r="N1744">
        <v>54.237027077245003</v>
      </c>
      <c r="O1744">
        <v>52.878290855557999</v>
      </c>
      <c r="P1744">
        <v>-7.8705409262898901E-2</v>
      </c>
      <c r="Q1744">
        <v>0.117205196025539</v>
      </c>
      <c r="R1744">
        <v>0.987422968344147</v>
      </c>
      <c r="S1744" t="s">
        <v>8747</v>
      </c>
      <c r="T1744" t="s">
        <v>14004</v>
      </c>
      <c r="U1744" t="s">
        <v>14004</v>
      </c>
      <c r="V1744" t="s">
        <v>14004</v>
      </c>
      <c r="W1744" t="s">
        <v>15713</v>
      </c>
      <c r="X1744">
        <v>3</v>
      </c>
      <c r="Y1744" t="s">
        <v>22637</v>
      </c>
      <c r="Z1744" t="s">
        <v>29454</v>
      </c>
      <c r="AA1744">
        <v>0.52684703335049776</v>
      </c>
      <c r="AB1744" t="str">
        <f>HYPERLINK("Melting_Curves/meltCurve_O75648_TRMU.pdf", "Melting_Curves/meltCurve_O75648_TRMU.pdf")</f>
        <v>Melting_Curves/meltCurve_O75648_TRMU.pdf</v>
      </c>
    </row>
    <row r="1745" spans="1:28" x14ac:dyDescent="0.25">
      <c r="A1745" t="s">
        <v>1749</v>
      </c>
      <c r="B1745">
        <v>0.99999676499088797</v>
      </c>
      <c r="C1745">
        <v>1.02457036125603</v>
      </c>
      <c r="D1745">
        <v>0.91125883085992099</v>
      </c>
      <c r="E1745">
        <v>0.61482906698624895</v>
      </c>
      <c r="F1745">
        <v>0.22284206640101101</v>
      </c>
      <c r="G1745">
        <v>0.154312845286319</v>
      </c>
      <c r="H1745">
        <v>6.9370821178025496E-2</v>
      </c>
      <c r="I1745">
        <v>7.2969829594461799E-2</v>
      </c>
      <c r="J1745">
        <v>5.9093264353232401E-2</v>
      </c>
      <c r="K1745">
        <v>5.1926275818802999E-2</v>
      </c>
      <c r="L1745">
        <v>1297.32605217534</v>
      </c>
      <c r="M1745">
        <v>25.8318051255692</v>
      </c>
      <c r="N1745">
        <v>50.499155098824403</v>
      </c>
      <c r="O1745">
        <v>49.923951894088802</v>
      </c>
      <c r="P1745">
        <v>-0.12080919997476899</v>
      </c>
      <c r="Q1745">
        <v>6.6081087536386293E-2</v>
      </c>
      <c r="R1745">
        <v>0.99743023827052602</v>
      </c>
      <c r="S1745" t="s">
        <v>8748</v>
      </c>
      <c r="T1745" t="s">
        <v>14004</v>
      </c>
      <c r="U1745" t="s">
        <v>14004</v>
      </c>
      <c r="V1745" t="s">
        <v>14004</v>
      </c>
      <c r="W1745" t="s">
        <v>15714</v>
      </c>
      <c r="X1745">
        <v>16</v>
      </c>
      <c r="Y1745" t="s">
        <v>22638</v>
      </c>
      <c r="Z1745" t="s">
        <v>29455</v>
      </c>
      <c r="AA1745">
        <v>0.39213501441647508</v>
      </c>
      <c r="AB1745" t="str">
        <f>HYPERLINK("Melting_Curves/meltCurve_O75663_TIPRL.pdf", "Melting_Curves/meltCurve_O75663_TIPRL.pdf")</f>
        <v>Melting_Curves/meltCurve_O75663_TIPRL.pdf</v>
      </c>
    </row>
    <row r="1746" spans="1:28" x14ac:dyDescent="0.25">
      <c r="A1746" t="s">
        <v>1750</v>
      </c>
      <c r="B1746">
        <v>0.99999676499088797</v>
      </c>
      <c r="C1746">
        <v>0.99534798481312903</v>
      </c>
      <c r="D1746">
        <v>1.0132459075539499</v>
      </c>
      <c r="E1746">
        <v>1.0077748652493901</v>
      </c>
      <c r="F1746">
        <v>0.36197999296967498</v>
      </c>
      <c r="G1746">
        <v>0.22289989428481699</v>
      </c>
      <c r="H1746">
        <v>0.13233064442731801</v>
      </c>
      <c r="I1746">
        <v>0.108777408051432</v>
      </c>
      <c r="J1746">
        <v>0.10658366889292201</v>
      </c>
      <c r="K1746">
        <v>0.111348485603882</v>
      </c>
      <c r="L1746">
        <v>3907.1040294335999</v>
      </c>
      <c r="M1746">
        <v>74.460472941057802</v>
      </c>
      <c r="N1746">
        <v>52.695638182585903</v>
      </c>
      <c r="O1746">
        <v>52.434378628116399</v>
      </c>
      <c r="P1746">
        <v>-0.306956881580983</v>
      </c>
      <c r="Q1746">
        <v>0.135375326973392</v>
      </c>
      <c r="R1746">
        <v>0.99422741307808604</v>
      </c>
      <c r="S1746" t="s">
        <v>8749</v>
      </c>
      <c r="T1746" t="s">
        <v>14004</v>
      </c>
      <c r="U1746" t="s">
        <v>14004</v>
      </c>
      <c r="V1746" t="s">
        <v>14004</v>
      </c>
      <c r="W1746" t="s">
        <v>15715</v>
      </c>
      <c r="X1746">
        <v>18</v>
      </c>
      <c r="Y1746" t="s">
        <v>22639</v>
      </c>
      <c r="Z1746" t="s">
        <v>29456</v>
      </c>
      <c r="AA1746">
        <v>0.49573367934540008</v>
      </c>
      <c r="AB1746" t="str">
        <f>HYPERLINK("Melting_Curves/meltCurve_O75688_PPM1B.pdf", "Melting_Curves/meltCurve_O75688_PPM1B.pdf")</f>
        <v>Melting_Curves/meltCurve_O75688_PPM1B.pdf</v>
      </c>
    </row>
    <row r="1747" spans="1:28" x14ac:dyDescent="0.25">
      <c r="A1747" t="s">
        <v>1751</v>
      </c>
      <c r="B1747">
        <v>0.99999676499088797</v>
      </c>
      <c r="C1747">
        <v>0.987721876261347</v>
      </c>
      <c r="D1747">
        <v>0.61039000962803702</v>
      </c>
      <c r="E1747">
        <v>0.29838871069201101</v>
      </c>
      <c r="F1747">
        <v>0.19028543768794801</v>
      </c>
      <c r="G1747">
        <v>0.104229387096897</v>
      </c>
      <c r="H1747">
        <v>5.03900720449851E-2</v>
      </c>
      <c r="I1747">
        <v>4.41348354708666E-2</v>
      </c>
      <c r="J1747">
        <v>4.74238669122381E-2</v>
      </c>
      <c r="K1747">
        <v>3.73734752523062E-2</v>
      </c>
      <c r="L1747">
        <v>1033.1368395909201</v>
      </c>
      <c r="M1747">
        <v>21.883310216451299</v>
      </c>
      <c r="N1747">
        <v>47.478579008746998</v>
      </c>
      <c r="O1747">
        <v>46.8222333890619</v>
      </c>
      <c r="P1747">
        <v>-0.11007053766548799</v>
      </c>
      <c r="Q1747">
        <v>5.7979645846157397E-2</v>
      </c>
      <c r="R1747">
        <v>0.98921042408742299</v>
      </c>
      <c r="S1747" t="s">
        <v>8750</v>
      </c>
      <c r="T1747" t="s">
        <v>14004</v>
      </c>
      <c r="U1747" t="s">
        <v>14004</v>
      </c>
      <c r="V1747" t="s">
        <v>14004</v>
      </c>
      <c r="W1747" t="s">
        <v>15716</v>
      </c>
      <c r="X1747">
        <v>15</v>
      </c>
      <c r="Y1747" t="s">
        <v>22640</v>
      </c>
      <c r="Z1747" t="s">
        <v>29457</v>
      </c>
      <c r="AA1747">
        <v>0.29564170734774581</v>
      </c>
      <c r="AB1747" t="str">
        <f>HYPERLINK("Melting_Curves/meltCurve_O75691_UTP20.pdf", "Melting_Curves/meltCurve_O75691_UTP20.pdf")</f>
        <v>Melting_Curves/meltCurve_O75691_UTP20.pdf</v>
      </c>
    </row>
    <row r="1748" spans="1:28" x14ac:dyDescent="0.25">
      <c r="A1748" t="s">
        <v>1752</v>
      </c>
      <c r="B1748">
        <v>0.99999676499088797</v>
      </c>
      <c r="C1748">
        <v>1.0226958952896199</v>
      </c>
      <c r="D1748">
        <v>0.95513401161687905</v>
      </c>
      <c r="E1748">
        <v>0.85628783618450599</v>
      </c>
      <c r="F1748">
        <v>0.25811041909460802</v>
      </c>
      <c r="G1748">
        <v>0.169172898746452</v>
      </c>
      <c r="H1748">
        <v>7.8793899813760795E-2</v>
      </c>
      <c r="I1748">
        <v>7.5383545420506806E-2</v>
      </c>
      <c r="J1748">
        <v>7.2329749712334093E-2</v>
      </c>
      <c r="K1748">
        <v>5.9267945119461603E-2</v>
      </c>
      <c r="L1748">
        <v>2146.0504179148602</v>
      </c>
      <c r="M1748">
        <v>41.679864312086899</v>
      </c>
      <c r="N1748">
        <v>51.718551421327298</v>
      </c>
      <c r="O1748">
        <v>51.370799047704203</v>
      </c>
      <c r="P1748">
        <v>-0.18570332436935599</v>
      </c>
      <c r="Q1748">
        <v>8.4477694604864206E-2</v>
      </c>
      <c r="R1748">
        <v>0.995539422635626</v>
      </c>
      <c r="S1748" t="s">
        <v>8751</v>
      </c>
      <c r="T1748" t="s">
        <v>14004</v>
      </c>
      <c r="U1748" t="s">
        <v>14004</v>
      </c>
      <c r="V1748" t="s">
        <v>14004</v>
      </c>
      <c r="W1748" t="s">
        <v>15717</v>
      </c>
      <c r="X1748">
        <v>27</v>
      </c>
      <c r="Y1748" t="s">
        <v>22641</v>
      </c>
      <c r="Z1748" t="s">
        <v>29458</v>
      </c>
      <c r="AA1748">
        <v>0.43808791909109512</v>
      </c>
      <c r="AB1748" t="str">
        <f>HYPERLINK("Melting_Curves/meltCurve_O75694_2_NUP155.pdf", "Melting_Curves/meltCurve_O75694_2_NUP155.pdf")</f>
        <v>Melting_Curves/meltCurve_O75694_2_NUP155.pdf</v>
      </c>
    </row>
    <row r="1749" spans="1:28" x14ac:dyDescent="0.25">
      <c r="A1749" t="s">
        <v>1753</v>
      </c>
      <c r="B1749">
        <v>0.99999676499088797</v>
      </c>
      <c r="C1749">
        <v>0.94692918345341104</v>
      </c>
      <c r="D1749">
        <v>0.66668592336596899</v>
      </c>
      <c r="E1749">
        <v>0.246582769514401</v>
      </c>
      <c r="F1749">
        <v>0.19062500753057801</v>
      </c>
      <c r="G1749">
        <v>0.112423989942744</v>
      </c>
      <c r="H1749">
        <v>5.1440695684163103E-2</v>
      </c>
      <c r="I1749">
        <v>5.8211920613161099E-2</v>
      </c>
      <c r="J1749">
        <v>5.64288359538637E-2</v>
      </c>
      <c r="K1749">
        <v>4.5206982483868299E-2</v>
      </c>
      <c r="L1749">
        <v>1160.82018188135</v>
      </c>
      <c r="M1749">
        <v>24.643857441363298</v>
      </c>
      <c r="N1749">
        <v>47.390482696519399</v>
      </c>
      <c r="O1749">
        <v>46.796972801199097</v>
      </c>
      <c r="P1749">
        <v>-0.122538904662887</v>
      </c>
      <c r="Q1749">
        <v>6.9242108181885906E-2</v>
      </c>
      <c r="R1749">
        <v>0.99341178248276696</v>
      </c>
      <c r="S1749" t="s">
        <v>8752</v>
      </c>
      <c r="T1749" t="s">
        <v>14004</v>
      </c>
      <c r="U1749" t="s">
        <v>14004</v>
      </c>
      <c r="V1749" t="s">
        <v>14004</v>
      </c>
      <c r="W1749" t="s">
        <v>15718</v>
      </c>
      <c r="X1749">
        <v>9</v>
      </c>
      <c r="Y1749" t="s">
        <v>22642</v>
      </c>
      <c r="Z1749" t="s">
        <v>29459</v>
      </c>
      <c r="AA1749">
        <v>0.29820030878990511</v>
      </c>
      <c r="AB1749" t="str">
        <f>HYPERLINK("Melting_Curves/meltCurve_O75695_RP2.pdf", "Melting_Curves/meltCurve_O75695_RP2.pdf")</f>
        <v>Melting_Curves/meltCurve_O75695_RP2.pdf</v>
      </c>
    </row>
    <row r="1750" spans="1:28" x14ac:dyDescent="0.25">
      <c r="A1750" t="s">
        <v>1754</v>
      </c>
      <c r="B1750">
        <v>0.99999676499088797</v>
      </c>
      <c r="C1750">
        <v>1.02960394098881</v>
      </c>
      <c r="D1750">
        <v>0.83357906007684501</v>
      </c>
      <c r="E1750">
        <v>0.316818359202098</v>
      </c>
      <c r="F1750">
        <v>0.24336784250014101</v>
      </c>
      <c r="G1750">
        <v>0.145341713946747</v>
      </c>
      <c r="H1750">
        <v>7.8687378321789098E-2</v>
      </c>
      <c r="I1750">
        <v>8.4767253072719997E-2</v>
      </c>
      <c r="J1750">
        <v>7.9596516580461296E-2</v>
      </c>
      <c r="K1750">
        <v>6.78365918616924E-2</v>
      </c>
      <c r="L1750">
        <v>1474.59209281116</v>
      </c>
      <c r="M1750">
        <v>30.6625881720806</v>
      </c>
      <c r="N1750">
        <v>48.453475077196998</v>
      </c>
      <c r="O1750">
        <v>47.887760700709599</v>
      </c>
      <c r="P1750">
        <v>-0.143667440701399</v>
      </c>
      <c r="Q1750">
        <v>0.10250618812276099</v>
      </c>
      <c r="R1750">
        <v>0.98803158693263804</v>
      </c>
      <c r="S1750" t="s">
        <v>8753</v>
      </c>
      <c r="T1750" t="s">
        <v>14004</v>
      </c>
      <c r="U1750" t="s">
        <v>14004</v>
      </c>
      <c r="V1750" t="s">
        <v>14004</v>
      </c>
      <c r="W1750" t="s">
        <v>15719</v>
      </c>
      <c r="X1750">
        <v>46</v>
      </c>
      <c r="Y1750" t="s">
        <v>22643</v>
      </c>
      <c r="Z1750" t="s">
        <v>29460</v>
      </c>
      <c r="AA1750">
        <v>0.34972359679684722</v>
      </c>
      <c r="AB1750" t="str">
        <f>HYPERLINK("Melting_Curves/meltCurve_O75717_WDHD1.pdf", "Melting_Curves/meltCurve_O75717_WDHD1.pdf")</f>
        <v>Melting_Curves/meltCurve_O75717_WDHD1.pdf</v>
      </c>
    </row>
    <row r="1751" spans="1:28" x14ac:dyDescent="0.25">
      <c r="A1751" t="s">
        <v>1755</v>
      </c>
      <c r="B1751">
        <v>0.99999676499088797</v>
      </c>
      <c r="C1751">
        <v>1.03982004565351</v>
      </c>
      <c r="D1751">
        <v>1.0871105319844101</v>
      </c>
      <c r="E1751">
        <v>1.3383700731475801</v>
      </c>
      <c r="F1751">
        <v>1.2429919574978801</v>
      </c>
      <c r="G1751">
        <v>1.30420599434076</v>
      </c>
      <c r="H1751">
        <v>0.75912535176368801</v>
      </c>
      <c r="I1751">
        <v>0.38197699651210798</v>
      </c>
      <c r="J1751">
        <v>0.21248066778479799</v>
      </c>
      <c r="K1751">
        <v>0.14752062083887801</v>
      </c>
      <c r="L1751">
        <v>2914.0607567074699</v>
      </c>
      <c r="M1751">
        <v>46.758197607952603</v>
      </c>
      <c r="N1751">
        <v>62.876352945368097</v>
      </c>
      <c r="O1751">
        <v>62.208247645712802</v>
      </c>
      <c r="P1751">
        <v>-0.156164929672436</v>
      </c>
      <c r="Q1751">
        <v>0.168938383596417</v>
      </c>
      <c r="R1751">
        <v>0.84562586138042095</v>
      </c>
      <c r="S1751" t="s">
        <v>8754</v>
      </c>
      <c r="T1751" t="s">
        <v>14004</v>
      </c>
      <c r="U1751" t="s">
        <v>14004</v>
      </c>
      <c r="V1751" t="s">
        <v>14004</v>
      </c>
      <c r="W1751" t="s">
        <v>15720</v>
      </c>
      <c r="X1751">
        <v>20</v>
      </c>
      <c r="Y1751" t="s">
        <v>22644</v>
      </c>
      <c r="Z1751" t="s">
        <v>29461</v>
      </c>
      <c r="AA1751">
        <v>0.78962657135891179</v>
      </c>
      <c r="AB1751" t="str">
        <f>HYPERLINK("Melting_Curves/meltCurve_O75746_SLC25A12.pdf", "Melting_Curves/meltCurve_O75746_SLC25A12.pdf")</f>
        <v>Melting_Curves/meltCurve_O75746_SLC25A12.pdf</v>
      </c>
    </row>
    <row r="1752" spans="1:28" x14ac:dyDescent="0.25">
      <c r="A1752" t="s">
        <v>1756</v>
      </c>
      <c r="B1752">
        <v>0.99999676499088797</v>
      </c>
      <c r="C1752">
        <v>1.1194995657412401</v>
      </c>
      <c r="D1752">
        <v>1.03212804131001</v>
      </c>
      <c r="E1752">
        <v>0.96079928934658598</v>
      </c>
      <c r="F1752">
        <v>0.66932813204126596</v>
      </c>
      <c r="G1752">
        <v>0.635075370311035</v>
      </c>
      <c r="H1752">
        <v>0.42997125338197101</v>
      </c>
      <c r="I1752">
        <v>0.47425312464271502</v>
      </c>
      <c r="J1752">
        <v>0.40776463851411798</v>
      </c>
      <c r="K1752">
        <v>0.49597840712839902</v>
      </c>
      <c r="L1752">
        <v>1319.4843618335401</v>
      </c>
      <c r="M1752">
        <v>24.76953587065</v>
      </c>
      <c r="N1752">
        <v>58.9710602037892</v>
      </c>
      <c r="O1752">
        <v>52.926879591304598</v>
      </c>
      <c r="P1752">
        <v>-6.3836977293753996E-2</v>
      </c>
      <c r="Q1752">
        <v>0.45438710704781898</v>
      </c>
      <c r="R1752">
        <v>0.94918378032403905</v>
      </c>
      <c r="S1752" t="s">
        <v>8755</v>
      </c>
      <c r="T1752" t="s">
        <v>14004</v>
      </c>
      <c r="U1752" t="s">
        <v>14004</v>
      </c>
      <c r="V1752" t="s">
        <v>14004</v>
      </c>
      <c r="W1752" t="s">
        <v>15721</v>
      </c>
      <c r="X1752">
        <v>9</v>
      </c>
      <c r="Y1752" t="s">
        <v>22645</v>
      </c>
      <c r="Z1752" t="s">
        <v>29462</v>
      </c>
      <c r="AA1752">
        <v>0.70085803356367604</v>
      </c>
      <c r="AB1752" t="str">
        <f>HYPERLINK("Melting_Curves/meltCurve_O75781_PALM.pdf", "Melting_Curves/meltCurve_O75781_PALM.pdf")</f>
        <v>Melting_Curves/meltCurve_O75781_PALM.pdf</v>
      </c>
    </row>
    <row r="1753" spans="1:28" x14ac:dyDescent="0.25">
      <c r="A1753" t="s">
        <v>1757</v>
      </c>
      <c r="B1753">
        <v>0.99999676499088797</v>
      </c>
      <c r="C1753">
        <v>0.92718001747648604</v>
      </c>
      <c r="D1753">
        <v>0.66839034178884205</v>
      </c>
      <c r="E1753">
        <v>0.32767190694174497</v>
      </c>
      <c r="F1753">
        <v>0.21627372063108299</v>
      </c>
      <c r="G1753">
        <v>0.14215680173747799</v>
      </c>
      <c r="H1753">
        <v>8.1103118735613905E-2</v>
      </c>
      <c r="I1753">
        <v>8.9023680428633095E-2</v>
      </c>
      <c r="J1753">
        <v>9.3222426774210096E-2</v>
      </c>
      <c r="K1753">
        <v>8.6999954903369495E-2</v>
      </c>
      <c r="L1753">
        <v>982.32730221032602</v>
      </c>
      <c r="M1753">
        <v>20.756005110788902</v>
      </c>
      <c r="N1753">
        <v>47.806551089262797</v>
      </c>
      <c r="O1753">
        <v>46.894633974194903</v>
      </c>
      <c r="P1753">
        <v>-0.10026346188346399</v>
      </c>
      <c r="Q1753">
        <v>9.3913079365281399E-2</v>
      </c>
      <c r="R1753">
        <v>0.99669803482779395</v>
      </c>
      <c r="S1753" t="s">
        <v>8756</v>
      </c>
      <c r="T1753" t="s">
        <v>14004</v>
      </c>
      <c r="U1753" t="s">
        <v>14004</v>
      </c>
      <c r="V1753" t="s">
        <v>14004</v>
      </c>
      <c r="W1753" t="s">
        <v>15722</v>
      </c>
      <c r="X1753">
        <v>19</v>
      </c>
      <c r="Y1753" t="s">
        <v>22646</v>
      </c>
      <c r="Z1753" t="s">
        <v>29463</v>
      </c>
      <c r="AA1753">
        <v>0.32730805159644027</v>
      </c>
      <c r="AB1753" t="str">
        <f>HYPERLINK("Melting_Curves/meltCurve_O75791_GRAP2.pdf", "Melting_Curves/meltCurve_O75791_GRAP2.pdf")</f>
        <v>Melting_Curves/meltCurve_O75791_GRAP2.pdf</v>
      </c>
    </row>
    <row r="1754" spans="1:28" x14ac:dyDescent="0.25">
      <c r="A1754" t="s">
        <v>1758</v>
      </c>
      <c r="B1754">
        <v>0.99999676499088797</v>
      </c>
      <c r="C1754">
        <v>1.02586208751057</v>
      </c>
      <c r="D1754">
        <v>0.84533401253642704</v>
      </c>
      <c r="E1754">
        <v>0.57259213341646198</v>
      </c>
      <c r="F1754">
        <v>0.219691214085729</v>
      </c>
      <c r="G1754">
        <v>0.140441232065913</v>
      </c>
      <c r="H1754">
        <v>6.2674435414328905E-2</v>
      </c>
      <c r="I1754">
        <v>6.2233827972192401E-2</v>
      </c>
      <c r="J1754">
        <v>6.7728849777681704E-2</v>
      </c>
      <c r="K1754">
        <v>5.5420904941847503E-2</v>
      </c>
      <c r="L1754">
        <v>1125.1972552279799</v>
      </c>
      <c r="M1754">
        <v>22.575789943903398</v>
      </c>
      <c r="N1754">
        <v>50.117921048299898</v>
      </c>
      <c r="O1754">
        <v>49.454756803019698</v>
      </c>
      <c r="P1754">
        <v>-0.107431084361537</v>
      </c>
      <c r="Q1754">
        <v>5.8660434320896501E-2</v>
      </c>
      <c r="R1754">
        <v>0.99670378174858698</v>
      </c>
      <c r="S1754" t="s">
        <v>8757</v>
      </c>
      <c r="T1754" t="s">
        <v>14004</v>
      </c>
      <c r="U1754" t="s">
        <v>14004</v>
      </c>
      <c r="V1754" t="s">
        <v>14004</v>
      </c>
      <c r="W1754" t="s">
        <v>15723</v>
      </c>
      <c r="X1754">
        <v>21</v>
      </c>
      <c r="Y1754" t="s">
        <v>22647</v>
      </c>
      <c r="Z1754" t="s">
        <v>29464</v>
      </c>
      <c r="AA1754">
        <v>0.37775937700672041</v>
      </c>
      <c r="AB1754" t="str">
        <f>HYPERLINK("Melting_Curves/meltCurve_O75792_RNASEH2A.pdf", "Melting_Curves/meltCurve_O75792_RNASEH2A.pdf")</f>
        <v>Melting_Curves/meltCurve_O75792_RNASEH2A.pdf</v>
      </c>
    </row>
    <row r="1755" spans="1:28" x14ac:dyDescent="0.25">
      <c r="A1755" t="s">
        <v>1759</v>
      </c>
      <c r="B1755">
        <v>0.99999676499088797</v>
      </c>
      <c r="C1755">
        <v>0.98251429842628601</v>
      </c>
      <c r="D1755">
        <v>0.958554782386146</v>
      </c>
      <c r="E1755">
        <v>0.83747338159205098</v>
      </c>
      <c r="F1755">
        <v>0.36242458495167401</v>
      </c>
      <c r="G1755">
        <v>0.199333053945148</v>
      </c>
      <c r="H1755">
        <v>8.9011831536806696E-2</v>
      </c>
      <c r="I1755">
        <v>7.1119716498585395E-2</v>
      </c>
      <c r="J1755">
        <v>7.6210071151216793E-2</v>
      </c>
      <c r="K1755">
        <v>6.0554269401844898E-2</v>
      </c>
      <c r="L1755">
        <v>1476.41556314944</v>
      </c>
      <c r="M1755">
        <v>28.3977580355469</v>
      </c>
      <c r="N1755">
        <v>52.2928497155103</v>
      </c>
      <c r="O1755">
        <v>51.734809668702397</v>
      </c>
      <c r="P1755">
        <v>-0.12684156874670399</v>
      </c>
      <c r="Q1755">
        <v>7.5691816191718803E-2</v>
      </c>
      <c r="R1755">
        <v>0.99708698150839703</v>
      </c>
      <c r="S1755" t="s">
        <v>8758</v>
      </c>
      <c r="T1755" t="s">
        <v>14004</v>
      </c>
      <c r="U1755" t="s">
        <v>14004</v>
      </c>
      <c r="V1755" t="s">
        <v>14004</v>
      </c>
      <c r="W1755" t="s">
        <v>15724</v>
      </c>
      <c r="X1755">
        <v>11</v>
      </c>
      <c r="Y1755" t="s">
        <v>22648</v>
      </c>
      <c r="Z1755" t="s">
        <v>29465</v>
      </c>
      <c r="AA1755">
        <v>0.4517059664188029</v>
      </c>
      <c r="AB1755" t="str">
        <f>HYPERLINK("Melting_Curves/meltCurve_O75794_CDC123.pdf", "Melting_Curves/meltCurve_O75794_CDC123.pdf")</f>
        <v>Melting_Curves/meltCurve_O75794_CDC123.pdf</v>
      </c>
    </row>
    <row r="1756" spans="1:28" x14ac:dyDescent="0.25">
      <c r="A1756" t="s">
        <v>1760</v>
      </c>
      <c r="B1756">
        <v>0.99999676499088797</v>
      </c>
      <c r="C1756">
        <v>1.43576470432242</v>
      </c>
      <c r="D1756">
        <v>1.1523018728914101</v>
      </c>
      <c r="E1756">
        <v>0.71154087578098302</v>
      </c>
      <c r="F1756">
        <v>0.34666889599817202</v>
      </c>
      <c r="G1756">
        <v>0.481758480917099</v>
      </c>
      <c r="H1756">
        <v>0.18670379903572201</v>
      </c>
      <c r="I1756">
        <v>0.79643902365343799</v>
      </c>
      <c r="J1756">
        <v>1.1151005539561001</v>
      </c>
      <c r="K1756">
        <v>0.37472405564516598</v>
      </c>
      <c r="L1756">
        <v>12371.170721291401</v>
      </c>
      <c r="M1756">
        <v>250</v>
      </c>
      <c r="O1756">
        <v>49.481512869667803</v>
      </c>
      <c r="P1756">
        <v>-0.568100431812122</v>
      </c>
      <c r="Q1756">
        <v>0.55023246903366696</v>
      </c>
      <c r="R1756">
        <v>0.47359989225584398</v>
      </c>
      <c r="S1756" t="s">
        <v>8759</v>
      </c>
      <c r="T1756" t="s">
        <v>14004</v>
      </c>
      <c r="U1756" t="s">
        <v>14004</v>
      </c>
      <c r="V1756" t="s">
        <v>14004</v>
      </c>
      <c r="W1756" t="s">
        <v>15725</v>
      </c>
      <c r="X1756">
        <v>2</v>
      </c>
      <c r="Y1756" t="s">
        <v>22649</v>
      </c>
      <c r="Z1756" t="s">
        <v>29466</v>
      </c>
      <c r="AA1756">
        <v>0.692468275801989</v>
      </c>
      <c r="AB1756" t="str">
        <f>HYPERLINK("Melting_Curves/meltCurve_O75808_SOLH.pdf", "Melting_Curves/meltCurve_O75808_SOLH.pdf")</f>
        <v>Melting_Curves/meltCurve_O75808_SOLH.pdf</v>
      </c>
    </row>
    <row r="1757" spans="1:28" x14ac:dyDescent="0.25">
      <c r="A1757" t="s">
        <v>1761</v>
      </c>
      <c r="B1757">
        <v>0.99999676499088797</v>
      </c>
      <c r="C1757">
        <v>1.0190094644721801</v>
      </c>
      <c r="D1757">
        <v>0.98441424082385898</v>
      </c>
      <c r="E1757">
        <v>1.23202275753975</v>
      </c>
      <c r="F1757">
        <v>1.0229894075385999</v>
      </c>
      <c r="G1757">
        <v>1.0860116942092599</v>
      </c>
      <c r="H1757">
        <v>0.60495377798809002</v>
      </c>
      <c r="I1757">
        <v>0.28200752702506798</v>
      </c>
      <c r="J1757">
        <v>0.15162881354738</v>
      </c>
      <c r="K1757">
        <v>0.10652361103551</v>
      </c>
      <c r="L1757">
        <v>2776.7983756077701</v>
      </c>
      <c r="M1757">
        <v>45.347955515258597</v>
      </c>
      <c r="N1757">
        <v>61.653699710881902</v>
      </c>
      <c r="O1757">
        <v>61.114435915259797</v>
      </c>
      <c r="P1757">
        <v>-0.16082724622421199</v>
      </c>
      <c r="Q1757">
        <v>0.133027834706645</v>
      </c>
      <c r="R1757">
        <v>0.95633079091720896</v>
      </c>
      <c r="S1757" t="s">
        <v>8760</v>
      </c>
      <c r="T1757" t="s">
        <v>14004</v>
      </c>
      <c r="U1757" t="s">
        <v>14004</v>
      </c>
      <c r="V1757" t="s">
        <v>14004</v>
      </c>
      <c r="W1757" t="s">
        <v>15726</v>
      </c>
      <c r="X1757">
        <v>4</v>
      </c>
      <c r="Y1757" t="s">
        <v>22650</v>
      </c>
      <c r="Z1757" t="s">
        <v>29467</v>
      </c>
      <c r="AA1757">
        <v>0.74931318365810573</v>
      </c>
      <c r="AB1757" t="str">
        <f>HYPERLINK("Melting_Curves/meltCurve_O75818_RPP40.pdf", "Melting_Curves/meltCurve_O75818_RPP40.pdf")</f>
        <v>Melting_Curves/meltCurve_O75818_RPP40.pdf</v>
      </c>
    </row>
    <row r="1758" spans="1:28" x14ac:dyDescent="0.25">
      <c r="A1758" t="s">
        <v>1762</v>
      </c>
      <c r="B1758">
        <v>0.99999676499088797</v>
      </c>
      <c r="C1758">
        <v>0.94233455613958494</v>
      </c>
      <c r="D1758">
        <v>0.96800699759951403</v>
      </c>
      <c r="E1758">
        <v>0.60682319873728097</v>
      </c>
      <c r="F1758">
        <v>0.38560354624078003</v>
      </c>
      <c r="G1758">
        <v>0.24325758225256</v>
      </c>
      <c r="H1758">
        <v>0.16128494082467201</v>
      </c>
      <c r="I1758">
        <v>0.13948698067680601</v>
      </c>
      <c r="J1758">
        <v>0.13272777343761799</v>
      </c>
      <c r="K1758">
        <v>0.137630415452514</v>
      </c>
      <c r="L1758">
        <v>1026.83669486959</v>
      </c>
      <c r="M1758">
        <v>20.299158238344202</v>
      </c>
      <c r="N1758">
        <v>51.388660890026799</v>
      </c>
      <c r="O1758">
        <v>50.101933726772103</v>
      </c>
      <c r="P1758">
        <v>-8.7519505228418004E-2</v>
      </c>
      <c r="Q1758">
        <v>0.135971686729114</v>
      </c>
      <c r="R1758">
        <v>0.99268374793327896</v>
      </c>
      <c r="S1758" t="s">
        <v>8761</v>
      </c>
      <c r="T1758" t="s">
        <v>14004</v>
      </c>
      <c r="U1758" t="s">
        <v>14004</v>
      </c>
      <c r="V1758" t="s">
        <v>14004</v>
      </c>
      <c r="W1758" t="s">
        <v>15727</v>
      </c>
      <c r="X1758">
        <v>13</v>
      </c>
      <c r="Y1758" t="s">
        <v>22651</v>
      </c>
      <c r="Z1758" t="s">
        <v>29468</v>
      </c>
      <c r="AA1758">
        <v>0.4525061217211509</v>
      </c>
      <c r="AB1758" t="str">
        <f>HYPERLINK("Melting_Curves/meltCurve_O75821_EIF3G.pdf", "Melting_Curves/meltCurve_O75821_EIF3G.pdf")</f>
        <v>Melting_Curves/meltCurve_O75821_EIF3G.pdf</v>
      </c>
    </row>
    <row r="1759" spans="1:28" x14ac:dyDescent="0.25">
      <c r="A1759" t="s">
        <v>1763</v>
      </c>
      <c r="B1759">
        <v>0.99999676499088797</v>
      </c>
      <c r="C1759">
        <v>0.95495572815222696</v>
      </c>
      <c r="D1759">
        <v>1.0351509702760999</v>
      </c>
      <c r="E1759">
        <v>1.2359940781805401</v>
      </c>
      <c r="F1759">
        <v>0.60054663483400905</v>
      </c>
      <c r="G1759">
        <v>0.30978911301489198</v>
      </c>
      <c r="H1759">
        <v>0.151488738907047</v>
      </c>
      <c r="I1759">
        <v>0.13424686646998499</v>
      </c>
      <c r="J1759">
        <v>0.119883174156677</v>
      </c>
      <c r="K1759">
        <v>0.13651386621571099</v>
      </c>
      <c r="L1759">
        <v>2689.93738264269</v>
      </c>
      <c r="M1759">
        <v>50.264937509362902</v>
      </c>
      <c r="N1759">
        <v>53.921230417479997</v>
      </c>
      <c r="O1759">
        <v>53.430683328604601</v>
      </c>
      <c r="P1759">
        <v>-0.19813151224082101</v>
      </c>
      <c r="Q1759">
        <v>0.15756042173461299</v>
      </c>
      <c r="R1759">
        <v>0.95459120820256604</v>
      </c>
      <c r="S1759" t="s">
        <v>8762</v>
      </c>
      <c r="T1759" t="s">
        <v>14004</v>
      </c>
      <c r="U1759" t="s">
        <v>14004</v>
      </c>
      <c r="V1759" t="s">
        <v>14004</v>
      </c>
      <c r="W1759" t="s">
        <v>15728</v>
      </c>
      <c r="X1759">
        <v>15</v>
      </c>
      <c r="Y1759" t="s">
        <v>22652</v>
      </c>
      <c r="Z1759" t="s">
        <v>29469</v>
      </c>
      <c r="AA1759">
        <v>0.53905185031275449</v>
      </c>
      <c r="AB1759" t="str">
        <f>HYPERLINK("Melting_Curves/meltCurve_O75822_EIF3J.pdf", "Melting_Curves/meltCurve_O75822_EIF3J.pdf")</f>
        <v>Melting_Curves/meltCurve_O75822_EIF3J.pdf</v>
      </c>
    </row>
    <row r="1760" spans="1:28" x14ac:dyDescent="0.25">
      <c r="A1760" t="s">
        <v>1764</v>
      </c>
      <c r="B1760">
        <v>0.99999676499088797</v>
      </c>
      <c r="C1760">
        <v>0.95532577640680805</v>
      </c>
      <c r="D1760">
        <v>0.95466586479895899</v>
      </c>
      <c r="E1760">
        <v>0.82927352466479998</v>
      </c>
      <c r="F1760">
        <v>0.36068153299241801</v>
      </c>
      <c r="G1760">
        <v>0.17630452514043399</v>
      </c>
      <c r="H1760">
        <v>9.2138094138394896E-2</v>
      </c>
      <c r="I1760">
        <v>8.2793791075027601E-2</v>
      </c>
      <c r="J1760">
        <v>8.4629732531506505E-2</v>
      </c>
      <c r="K1760">
        <v>5.3934398780628202E-2</v>
      </c>
      <c r="L1760">
        <v>1505.48687969051</v>
      </c>
      <c r="M1760">
        <v>29.008006384139101</v>
      </c>
      <c r="N1760">
        <v>52.2029384835798</v>
      </c>
      <c r="O1760">
        <v>51.654236100415801</v>
      </c>
      <c r="P1760">
        <v>-0.129486961339671</v>
      </c>
      <c r="Q1760">
        <v>7.7702779208624201E-2</v>
      </c>
      <c r="R1760">
        <v>0.99706782735847899</v>
      </c>
      <c r="S1760" t="s">
        <v>8763</v>
      </c>
      <c r="T1760" t="s">
        <v>14004</v>
      </c>
      <c r="U1760" t="s">
        <v>14004</v>
      </c>
      <c r="V1760" t="s">
        <v>14004</v>
      </c>
      <c r="W1760" t="s">
        <v>15729</v>
      </c>
      <c r="X1760">
        <v>6</v>
      </c>
      <c r="Y1760" t="s">
        <v>22653</v>
      </c>
      <c r="Z1760" t="s">
        <v>29470</v>
      </c>
      <c r="AA1760">
        <v>0.44980583791297651</v>
      </c>
      <c r="AB1760" t="str">
        <f>HYPERLINK("Melting_Curves/meltCurve_O75828_CBR3.pdf", "Melting_Curves/meltCurve_O75828_CBR3.pdf")</f>
        <v>Melting_Curves/meltCurve_O75828_CBR3.pdf</v>
      </c>
    </row>
    <row r="1761" spans="1:28" x14ac:dyDescent="0.25">
      <c r="A1761" t="s">
        <v>1765</v>
      </c>
      <c r="B1761">
        <v>0.99999676499088797</v>
      </c>
      <c r="C1761">
        <v>0.799755048592111</v>
      </c>
      <c r="D1761">
        <v>0.61288111608347196</v>
      </c>
      <c r="E1761">
        <v>0.38445873895990201</v>
      </c>
      <c r="F1761">
        <v>0.33070313343410201</v>
      </c>
      <c r="G1761">
        <v>0.240173527830116</v>
      </c>
      <c r="H1761">
        <v>0.159713759650528</v>
      </c>
      <c r="I1761">
        <v>0.118083288057885</v>
      </c>
      <c r="J1761">
        <v>0.11398941778601</v>
      </c>
      <c r="K1761">
        <v>0.13105588547737701</v>
      </c>
      <c r="L1761">
        <v>624.88131841581605</v>
      </c>
      <c r="M1761">
        <v>13.246207359842799</v>
      </c>
      <c r="N1761">
        <v>48.155711977904303</v>
      </c>
      <c r="O1761">
        <v>46.138077931942398</v>
      </c>
      <c r="P1761">
        <v>-6.3295108994238999E-2</v>
      </c>
      <c r="Q1761">
        <v>0.118287950096165</v>
      </c>
      <c r="R1761">
        <v>0.98555462229125101</v>
      </c>
      <c r="S1761" t="s">
        <v>8764</v>
      </c>
      <c r="T1761" t="s">
        <v>14004</v>
      </c>
      <c r="U1761" t="s">
        <v>14004</v>
      </c>
      <c r="V1761" t="s">
        <v>14004</v>
      </c>
      <c r="W1761" t="s">
        <v>15730</v>
      </c>
      <c r="X1761">
        <v>3</v>
      </c>
      <c r="Y1761" t="s">
        <v>22654</v>
      </c>
      <c r="Z1761" t="s">
        <v>29471</v>
      </c>
      <c r="AA1761">
        <v>0.35950230152182028</v>
      </c>
      <c r="AB1761" t="str">
        <f>HYPERLINK("Melting_Curves/meltCurve_O75843_AP1G2.pdf", "Melting_Curves/meltCurve_O75843_AP1G2.pdf")</f>
        <v>Melting_Curves/meltCurve_O75843_AP1G2.pdf</v>
      </c>
    </row>
    <row r="1762" spans="1:28" x14ac:dyDescent="0.25">
      <c r="A1762" t="s">
        <v>1766</v>
      </c>
      <c r="B1762">
        <v>0.99999676499088797</v>
      </c>
      <c r="C1762">
        <v>0.951206149318372</v>
      </c>
      <c r="D1762">
        <v>0.91837501419908696</v>
      </c>
      <c r="E1762">
        <v>0.87050061395156098</v>
      </c>
      <c r="F1762">
        <v>0.76179832696901995</v>
      </c>
      <c r="G1762">
        <v>0.54092468674443295</v>
      </c>
      <c r="H1762">
        <v>0.293554656560573</v>
      </c>
      <c r="I1762">
        <v>0.18879806100360899</v>
      </c>
      <c r="J1762">
        <v>0.12324708418561101</v>
      </c>
      <c r="K1762">
        <v>0.108363828497307</v>
      </c>
      <c r="L1762">
        <v>761.02982958334303</v>
      </c>
      <c r="M1762">
        <v>13.307651802540001</v>
      </c>
      <c r="N1762">
        <v>57.248658378138003</v>
      </c>
      <c r="O1762">
        <v>55.942310913843897</v>
      </c>
      <c r="P1762">
        <v>-5.9059276110822199E-2</v>
      </c>
      <c r="Q1762">
        <v>7.07365815907847E-3</v>
      </c>
      <c r="R1762">
        <v>0.99520940951690995</v>
      </c>
      <c r="S1762" t="s">
        <v>8765</v>
      </c>
      <c r="T1762" t="s">
        <v>14004</v>
      </c>
      <c r="U1762" t="s">
        <v>14004</v>
      </c>
      <c r="V1762" t="s">
        <v>14004</v>
      </c>
      <c r="W1762" t="s">
        <v>15731</v>
      </c>
      <c r="X1762">
        <v>11</v>
      </c>
      <c r="Y1762" t="s">
        <v>22655</v>
      </c>
      <c r="Z1762" t="s">
        <v>29472</v>
      </c>
      <c r="AA1762">
        <v>0.59188548107563443</v>
      </c>
      <c r="AB1762" t="str">
        <f>HYPERLINK("Melting_Curves/meltCurve_O75844_ZMPSTE24.pdf", "Melting_Curves/meltCurve_O75844_ZMPSTE24.pdf")</f>
        <v>Melting_Curves/meltCurve_O75844_ZMPSTE24.pdf</v>
      </c>
    </row>
    <row r="1763" spans="1:28" x14ac:dyDescent="0.25">
      <c r="A1763" t="s">
        <v>1767</v>
      </c>
      <c r="B1763">
        <v>0.99999676499088797</v>
      </c>
      <c r="C1763">
        <v>0.89995360971850802</v>
      </c>
      <c r="D1763">
        <v>0.90489574539210305</v>
      </c>
      <c r="E1763">
        <v>0.83285184457974704</v>
      </c>
      <c r="F1763">
        <v>0.49782703797245398</v>
      </c>
      <c r="G1763">
        <v>0.325563822666328</v>
      </c>
      <c r="H1763">
        <v>0.16705872796919199</v>
      </c>
      <c r="I1763">
        <v>0.17293335021019099</v>
      </c>
      <c r="J1763">
        <v>0.12659529288064</v>
      </c>
      <c r="K1763">
        <v>5.8224616459394397E-2</v>
      </c>
      <c r="L1763">
        <v>833.014876343781</v>
      </c>
      <c r="M1763">
        <v>15.670339535348001</v>
      </c>
      <c r="N1763">
        <v>53.698179918333302</v>
      </c>
      <c r="O1763">
        <v>52.315567582679101</v>
      </c>
      <c r="P1763">
        <v>-6.9435640257278497E-2</v>
      </c>
      <c r="Q1763">
        <v>7.2832731266379402E-2</v>
      </c>
      <c r="R1763">
        <v>0.988078584361753</v>
      </c>
      <c r="S1763" t="s">
        <v>8766</v>
      </c>
      <c r="T1763" t="s">
        <v>14004</v>
      </c>
      <c r="U1763" t="s">
        <v>14004</v>
      </c>
      <c r="V1763" t="s">
        <v>14004</v>
      </c>
      <c r="W1763" t="s">
        <v>15732</v>
      </c>
      <c r="X1763">
        <v>3</v>
      </c>
      <c r="Y1763" t="s">
        <v>22656</v>
      </c>
      <c r="Z1763" t="s">
        <v>29473</v>
      </c>
      <c r="AA1763">
        <v>0.49815276462026831</v>
      </c>
      <c r="AB1763" t="str">
        <f>HYPERLINK("Melting_Curves/meltCurve_O75865_TRAPPC6A.pdf", "Melting_Curves/meltCurve_O75865_TRAPPC6A.pdf")</f>
        <v>Melting_Curves/meltCurve_O75865_TRAPPC6A.pdf</v>
      </c>
    </row>
    <row r="1764" spans="1:28" x14ac:dyDescent="0.25">
      <c r="A1764" t="s">
        <v>1768</v>
      </c>
      <c r="B1764">
        <v>0.99999676499088797</v>
      </c>
      <c r="C1764">
        <v>0.99047101139814397</v>
      </c>
      <c r="D1764">
        <v>1.0255873297344</v>
      </c>
      <c r="E1764">
        <v>1.16700636649598</v>
      </c>
      <c r="F1764">
        <v>1.0491015056134201</v>
      </c>
      <c r="G1764">
        <v>0.59014813969813695</v>
      </c>
      <c r="H1764">
        <v>0.151589102627356</v>
      </c>
      <c r="I1764">
        <v>0.127033549648495</v>
      </c>
      <c r="J1764">
        <v>0.112011105955205</v>
      </c>
      <c r="K1764">
        <v>9.4215070777993501E-2</v>
      </c>
      <c r="L1764">
        <v>7395.5044222385204</v>
      </c>
      <c r="M1764">
        <v>130.06751926459799</v>
      </c>
      <c r="N1764">
        <v>56.980531762716801</v>
      </c>
      <c r="O1764">
        <v>56.8455357176313</v>
      </c>
      <c r="P1764">
        <v>-0.50271672936249201</v>
      </c>
      <c r="Q1764">
        <v>0.121158106024003</v>
      </c>
      <c r="R1764">
        <v>0.98296228391945795</v>
      </c>
      <c r="S1764" t="s">
        <v>8767</v>
      </c>
      <c r="T1764" t="s">
        <v>14004</v>
      </c>
      <c r="U1764" t="s">
        <v>14004</v>
      </c>
      <c r="V1764" t="s">
        <v>14004</v>
      </c>
      <c r="W1764" t="s">
        <v>15733</v>
      </c>
      <c r="X1764">
        <v>31</v>
      </c>
      <c r="Y1764" t="s">
        <v>22657</v>
      </c>
      <c r="Z1764" t="s">
        <v>29474</v>
      </c>
      <c r="AA1764">
        <v>0.61536108580704663</v>
      </c>
      <c r="AB1764" t="str">
        <f>HYPERLINK("Melting_Curves/meltCurve_O75874_IDH1.pdf", "Melting_Curves/meltCurve_O75874_IDH1.pdf")</f>
        <v>Melting_Curves/meltCurve_O75874_IDH1.pdf</v>
      </c>
    </row>
    <row r="1765" spans="1:28" x14ac:dyDescent="0.25">
      <c r="A1765" t="s">
        <v>1769</v>
      </c>
      <c r="B1765">
        <v>0.99999676499088797</v>
      </c>
      <c r="C1765">
        <v>1.0204502152703601</v>
      </c>
      <c r="D1765">
        <v>1.0319178948768</v>
      </c>
      <c r="E1765">
        <v>1.1081917462011099</v>
      </c>
      <c r="F1765">
        <v>0.95677734525741598</v>
      </c>
      <c r="G1765">
        <v>0.77248772532631804</v>
      </c>
      <c r="H1765">
        <v>0.56437191442777901</v>
      </c>
      <c r="I1765">
        <v>0.43085019680422199</v>
      </c>
      <c r="J1765">
        <v>0.33542472964979603</v>
      </c>
      <c r="K1765">
        <v>0.28695333834627501</v>
      </c>
      <c r="L1765">
        <v>1241.3361964808801</v>
      </c>
      <c r="M1765">
        <v>20.8391955231425</v>
      </c>
      <c r="N1765">
        <v>61.881869535369702</v>
      </c>
      <c r="O1765">
        <v>59.026982776025498</v>
      </c>
      <c r="P1765">
        <v>-6.4373990248726101E-2</v>
      </c>
      <c r="Q1765">
        <v>0.27066327499882198</v>
      </c>
      <c r="R1765">
        <v>0.980538267381597</v>
      </c>
      <c r="S1765" t="s">
        <v>8768</v>
      </c>
      <c r="T1765" t="s">
        <v>14004</v>
      </c>
      <c r="U1765" t="s">
        <v>14004</v>
      </c>
      <c r="V1765" t="s">
        <v>14004</v>
      </c>
      <c r="W1765" t="s">
        <v>15734</v>
      </c>
      <c r="X1765">
        <v>12</v>
      </c>
      <c r="Y1765" t="s">
        <v>22658</v>
      </c>
      <c r="Z1765" t="s">
        <v>29475</v>
      </c>
      <c r="AA1765">
        <v>0.75292794988392586</v>
      </c>
      <c r="AB1765" t="str">
        <f>HYPERLINK("Melting_Curves/meltCurve_O75882_ATRN.pdf", "Melting_Curves/meltCurve_O75882_ATRN.pdf")</f>
        <v>Melting_Curves/meltCurve_O75882_ATRN.pdf</v>
      </c>
    </row>
    <row r="1766" spans="1:28" x14ac:dyDescent="0.25">
      <c r="A1766" t="s">
        <v>1770</v>
      </c>
      <c r="B1766">
        <v>0.99999676499088797</v>
      </c>
      <c r="C1766">
        <v>0.94200295930288602</v>
      </c>
      <c r="D1766">
        <v>0.93217395896695099</v>
      </c>
      <c r="E1766">
        <v>1.0671113013256499</v>
      </c>
      <c r="F1766">
        <v>0.511898286984378</v>
      </c>
      <c r="G1766">
        <v>0.30358386526936298</v>
      </c>
      <c r="H1766">
        <v>0.13429693122324099</v>
      </c>
      <c r="I1766">
        <v>0.102581419004627</v>
      </c>
      <c r="J1766">
        <v>9.5590164957012003E-2</v>
      </c>
      <c r="K1766">
        <v>5.4197614913185199E-2</v>
      </c>
      <c r="L1766">
        <v>1718.3329845552501</v>
      </c>
      <c r="M1766">
        <v>32.137483939636603</v>
      </c>
      <c r="N1766">
        <v>53.851636373267297</v>
      </c>
      <c r="O1766">
        <v>53.262436298689003</v>
      </c>
      <c r="P1766">
        <v>-0.135418728575459</v>
      </c>
      <c r="Q1766">
        <v>0.10227002267567201</v>
      </c>
      <c r="R1766">
        <v>0.97525822387508798</v>
      </c>
      <c r="S1766" t="s">
        <v>8769</v>
      </c>
      <c r="T1766" t="s">
        <v>14004</v>
      </c>
      <c r="U1766" t="s">
        <v>14004</v>
      </c>
      <c r="V1766" t="s">
        <v>14004</v>
      </c>
      <c r="W1766" t="s">
        <v>15735</v>
      </c>
      <c r="X1766">
        <v>7</v>
      </c>
      <c r="Y1766" t="s">
        <v>22659</v>
      </c>
      <c r="Z1766" t="s">
        <v>29476</v>
      </c>
      <c r="AA1766">
        <v>0.51041678503455445</v>
      </c>
      <c r="AB1766" t="str">
        <f>HYPERLINK("Melting_Curves/meltCurve_O75884_RBBP9.pdf", "Melting_Curves/meltCurve_O75884_RBBP9.pdf")</f>
        <v>Melting_Curves/meltCurve_O75884_RBBP9.pdf</v>
      </c>
    </row>
    <row r="1767" spans="1:28" x14ac:dyDescent="0.25">
      <c r="A1767" t="s">
        <v>1771</v>
      </c>
      <c r="B1767">
        <v>0.99999676499088797</v>
      </c>
      <c r="C1767">
        <v>0.89874166430101798</v>
      </c>
      <c r="D1767">
        <v>0.88981350004370297</v>
      </c>
      <c r="E1767">
        <v>0.394265953364344</v>
      </c>
      <c r="F1767">
        <v>0.21144977369804599</v>
      </c>
      <c r="G1767">
        <v>0.123220470495171</v>
      </c>
      <c r="H1767">
        <v>6.42393678948915E-2</v>
      </c>
      <c r="I1767">
        <v>5.3779269244683001E-2</v>
      </c>
      <c r="J1767">
        <v>4.6911966502126597E-2</v>
      </c>
      <c r="K1767">
        <v>4.6262231087600601E-2</v>
      </c>
      <c r="L1767">
        <v>1183.9322090020601</v>
      </c>
      <c r="M1767">
        <v>24.2430211105364</v>
      </c>
      <c r="N1767">
        <v>49.097899185028503</v>
      </c>
      <c r="O1767">
        <v>48.507361256601897</v>
      </c>
      <c r="P1767">
        <v>-0.117368679527009</v>
      </c>
      <c r="Q1767">
        <v>6.0652217637212E-2</v>
      </c>
      <c r="R1767">
        <v>0.990141694453048</v>
      </c>
      <c r="S1767" t="s">
        <v>8770</v>
      </c>
      <c r="T1767" t="s">
        <v>14004</v>
      </c>
      <c r="U1767" t="s">
        <v>14004</v>
      </c>
      <c r="V1767" t="s">
        <v>14004</v>
      </c>
      <c r="W1767" t="s">
        <v>15736</v>
      </c>
      <c r="X1767">
        <v>7</v>
      </c>
      <c r="Y1767" t="s">
        <v>22660</v>
      </c>
      <c r="Z1767" t="s">
        <v>29477</v>
      </c>
      <c r="AA1767">
        <v>0.34618389275937189</v>
      </c>
      <c r="AB1767" t="str">
        <f>HYPERLINK("Melting_Curves/meltCurve_O75886_STAM2.pdf", "Melting_Curves/meltCurve_O75886_STAM2.pdf")</f>
        <v>Melting_Curves/meltCurve_O75886_STAM2.pdf</v>
      </c>
    </row>
    <row r="1768" spans="1:28" x14ac:dyDescent="0.25">
      <c r="A1768" t="s">
        <v>1772</v>
      </c>
      <c r="B1768">
        <v>0.99999676499088797</v>
      </c>
      <c r="C1768">
        <v>1.1277851830574499</v>
      </c>
      <c r="D1768">
        <v>0.89508471057500905</v>
      </c>
      <c r="E1768">
        <v>0.863796434509573</v>
      </c>
      <c r="F1768">
        <v>0.63735339461655605</v>
      </c>
      <c r="G1768">
        <v>0.31285000812784503</v>
      </c>
      <c r="H1768">
        <v>0.148381636772666</v>
      </c>
      <c r="I1768">
        <v>0.12898490143550001</v>
      </c>
      <c r="J1768">
        <v>0.178179079867513</v>
      </c>
      <c r="K1768">
        <v>0.18308409220722199</v>
      </c>
      <c r="L1768">
        <v>1264.98017196055</v>
      </c>
      <c r="M1768">
        <v>23.613141010715001</v>
      </c>
      <c r="N1768">
        <v>54.340177786140003</v>
      </c>
      <c r="O1768">
        <v>53.191247220931302</v>
      </c>
      <c r="P1768">
        <v>-9.5218289647991103E-2</v>
      </c>
      <c r="Q1768">
        <v>0.14205498310918899</v>
      </c>
      <c r="R1768">
        <v>0.97814955720378705</v>
      </c>
      <c r="S1768" t="s">
        <v>8771</v>
      </c>
      <c r="T1768" t="s">
        <v>14004</v>
      </c>
      <c r="U1768" t="s">
        <v>14004</v>
      </c>
      <c r="V1768" t="s">
        <v>14004</v>
      </c>
      <c r="W1768" t="s">
        <v>15737</v>
      </c>
      <c r="X1768">
        <v>2</v>
      </c>
      <c r="Y1768" t="s">
        <v>22661</v>
      </c>
      <c r="Z1768" t="s">
        <v>29478</v>
      </c>
      <c r="AA1768">
        <v>0.53895846374995393</v>
      </c>
      <c r="AB1768" t="str">
        <f>HYPERLINK("Melting_Curves/meltCurve_O75896_TUSC2.pdf", "Melting_Curves/meltCurve_O75896_TUSC2.pdf")</f>
        <v>Melting_Curves/meltCurve_O75896_TUSC2.pdf</v>
      </c>
    </row>
    <row r="1769" spans="1:28" x14ac:dyDescent="0.25">
      <c r="A1769" t="s">
        <v>1773</v>
      </c>
      <c r="B1769">
        <v>0.99999676499088797</v>
      </c>
      <c r="C1769">
        <v>1.0335431661354599</v>
      </c>
      <c r="D1769">
        <v>1.0127769547144301</v>
      </c>
      <c r="E1769">
        <v>0.94151813556568298</v>
      </c>
      <c r="F1769">
        <v>0.63712726662800401</v>
      </c>
      <c r="G1769">
        <v>0.31825234542988601</v>
      </c>
      <c r="H1769">
        <v>0.13551148678962899</v>
      </c>
      <c r="I1769">
        <v>0.122504616809976</v>
      </c>
      <c r="J1769">
        <v>0.107257733512602</v>
      </c>
      <c r="K1769">
        <v>8.77398141888521E-2</v>
      </c>
      <c r="L1769">
        <v>1417.81401944923</v>
      </c>
      <c r="M1769">
        <v>26.178830114079101</v>
      </c>
      <c r="N1769">
        <v>54.608115500833499</v>
      </c>
      <c r="O1769">
        <v>53.845730883860703</v>
      </c>
      <c r="P1769">
        <v>-0.109770145351509</v>
      </c>
      <c r="Q1769">
        <v>9.6890388909590897E-2</v>
      </c>
      <c r="R1769">
        <v>0.99831318153914494</v>
      </c>
      <c r="S1769" t="s">
        <v>8772</v>
      </c>
      <c r="T1769" t="s">
        <v>14004</v>
      </c>
      <c r="U1769" t="s">
        <v>14004</v>
      </c>
      <c r="V1769" t="s">
        <v>14004</v>
      </c>
      <c r="W1769" t="s">
        <v>15738</v>
      </c>
      <c r="X1769">
        <v>8</v>
      </c>
      <c r="Y1769" t="s">
        <v>22662</v>
      </c>
      <c r="Z1769" t="s">
        <v>29479</v>
      </c>
      <c r="AA1769">
        <v>0.53080679823179344</v>
      </c>
      <c r="AB1769" t="str">
        <f>HYPERLINK("Melting_Curves/meltCurve_O75909_CCNK.pdf", "Melting_Curves/meltCurve_O75909_CCNK.pdf")</f>
        <v>Melting_Curves/meltCurve_O75909_CCNK.pdf</v>
      </c>
    </row>
    <row r="1770" spans="1:28" x14ac:dyDescent="0.25">
      <c r="A1770" t="s">
        <v>1774</v>
      </c>
      <c r="B1770">
        <v>0.99999676499088797</v>
      </c>
      <c r="C1770">
        <v>0.98735010500409803</v>
      </c>
      <c r="D1770">
        <v>0.93300930794510095</v>
      </c>
      <c r="E1770">
        <v>0.85966924108035903</v>
      </c>
      <c r="F1770">
        <v>0.86869211180924399</v>
      </c>
      <c r="G1770">
        <v>0.73987021602104497</v>
      </c>
      <c r="H1770">
        <v>0.43075698839043902</v>
      </c>
      <c r="I1770">
        <v>0.36156913376725802</v>
      </c>
      <c r="J1770">
        <v>0.29268055735349302</v>
      </c>
      <c r="K1770">
        <v>0.33660138340511297</v>
      </c>
      <c r="L1770">
        <v>924.74956907188403</v>
      </c>
      <c r="M1770">
        <v>15.998850297668101</v>
      </c>
      <c r="N1770">
        <v>60.333939359654302</v>
      </c>
      <c r="O1770">
        <v>56.920568816649002</v>
      </c>
      <c r="P1770">
        <v>-5.3086889439074997E-2</v>
      </c>
      <c r="Q1770">
        <v>0.244570938101346</v>
      </c>
      <c r="R1770">
        <v>0.97179222015693001</v>
      </c>
      <c r="S1770" t="s">
        <v>8773</v>
      </c>
      <c r="T1770" t="s">
        <v>14004</v>
      </c>
      <c r="U1770" t="s">
        <v>14004</v>
      </c>
      <c r="V1770" t="s">
        <v>14004</v>
      </c>
      <c r="W1770" t="s">
        <v>15739</v>
      </c>
      <c r="X1770">
        <v>10</v>
      </c>
      <c r="Y1770" t="s">
        <v>22663</v>
      </c>
      <c r="Z1770" t="s">
        <v>29480</v>
      </c>
      <c r="AA1770">
        <v>0.70310953102301632</v>
      </c>
      <c r="AB1770" t="str">
        <f>HYPERLINK("Melting_Curves/meltCurve_O75915_ARL6IP5.pdf", "Melting_Curves/meltCurve_O75915_ARL6IP5.pdf")</f>
        <v>Melting_Curves/meltCurve_O75915_ARL6IP5.pdf</v>
      </c>
    </row>
    <row r="1771" spans="1:28" x14ac:dyDescent="0.25">
      <c r="A1771" t="s">
        <v>1775</v>
      </c>
      <c r="B1771">
        <v>0.99999676499088797</v>
      </c>
      <c r="C1771">
        <v>0.65392717584294302</v>
      </c>
      <c r="D1771">
        <v>0.42051258026357202</v>
      </c>
      <c r="E1771">
        <v>0.24491304705401701</v>
      </c>
      <c r="F1771">
        <v>0.18990894709853701</v>
      </c>
      <c r="G1771">
        <v>0.121619113633657</v>
      </c>
      <c r="H1771">
        <v>4.1118315944584899E-2</v>
      </c>
      <c r="I1771">
        <v>5.6038133380271901E-2</v>
      </c>
      <c r="J1771">
        <v>2.8995804021097801E-2</v>
      </c>
      <c r="K1771">
        <v>3.8554291131471803E-2</v>
      </c>
      <c r="L1771">
        <v>730.634503180303</v>
      </c>
      <c r="M1771">
        <v>16.2232678827142</v>
      </c>
      <c r="N1771">
        <v>45.362881337444598</v>
      </c>
      <c r="O1771">
        <v>44.3686013861631</v>
      </c>
      <c r="P1771">
        <v>-8.6378637356340396E-2</v>
      </c>
      <c r="Q1771">
        <v>5.5131257203469099E-2</v>
      </c>
      <c r="R1771">
        <v>0.97552088597682796</v>
      </c>
      <c r="S1771" t="s">
        <v>8774</v>
      </c>
      <c r="T1771" t="s">
        <v>14004</v>
      </c>
      <c r="U1771" t="s">
        <v>14004</v>
      </c>
      <c r="V1771" t="s">
        <v>14004</v>
      </c>
      <c r="W1771" t="s">
        <v>15740</v>
      </c>
      <c r="X1771">
        <v>5</v>
      </c>
      <c r="Y1771" t="s">
        <v>22664</v>
      </c>
      <c r="Z1771" t="s">
        <v>29481</v>
      </c>
      <c r="AA1771">
        <v>0.23931462208487289</v>
      </c>
      <c r="AB1771" t="str">
        <f>HYPERLINK("Melting_Curves/meltCurve_O75925_PIAS1.pdf", "Melting_Curves/meltCurve_O75925_PIAS1.pdf")</f>
        <v>Melting_Curves/meltCurve_O75925_PIAS1.pdf</v>
      </c>
    </row>
    <row r="1772" spans="1:28" x14ac:dyDescent="0.25">
      <c r="A1772" t="s">
        <v>1776</v>
      </c>
      <c r="B1772">
        <v>0.99999676499088797</v>
      </c>
      <c r="C1772">
        <v>0.84437329137932304</v>
      </c>
      <c r="D1772">
        <v>0.58818224477272596</v>
      </c>
      <c r="E1772">
        <v>0.30885340573085301</v>
      </c>
      <c r="F1772">
        <v>0.168496260360224</v>
      </c>
      <c r="G1772">
        <v>0.114870753840478</v>
      </c>
      <c r="H1772">
        <v>5.38655151171284E-2</v>
      </c>
      <c r="I1772">
        <v>6.08272640738141E-2</v>
      </c>
      <c r="J1772">
        <v>5.3256405004761302E-2</v>
      </c>
      <c r="K1772">
        <v>5.5369577945564102E-2</v>
      </c>
      <c r="L1772">
        <v>839.10485596404203</v>
      </c>
      <c r="M1772">
        <v>17.922926625306399</v>
      </c>
      <c r="N1772">
        <v>47.127617162378598</v>
      </c>
      <c r="O1772">
        <v>46.246228661108603</v>
      </c>
      <c r="P1772">
        <v>-9.1502101163532495E-2</v>
      </c>
      <c r="Q1772">
        <v>5.5641693187731302E-2</v>
      </c>
      <c r="R1772">
        <v>0.99742060151105105</v>
      </c>
      <c r="S1772" t="s">
        <v>8775</v>
      </c>
      <c r="T1772" t="s">
        <v>14004</v>
      </c>
      <c r="U1772" t="s">
        <v>14004</v>
      </c>
      <c r="V1772" t="s">
        <v>14004</v>
      </c>
      <c r="W1772" t="s">
        <v>15741</v>
      </c>
      <c r="X1772">
        <v>3</v>
      </c>
      <c r="Y1772" t="s">
        <v>22665</v>
      </c>
      <c r="Z1772" t="s">
        <v>29482</v>
      </c>
      <c r="AA1772">
        <v>0.28799695328176828</v>
      </c>
      <c r="AB1772" t="str">
        <f>HYPERLINK("Melting_Curves/meltCurve_O75928_2_PIAS2.pdf", "Melting_Curves/meltCurve_O75928_2_PIAS2.pdf")</f>
        <v>Melting_Curves/meltCurve_O75928_2_PIAS2.pdf</v>
      </c>
    </row>
    <row r="1773" spans="1:28" x14ac:dyDescent="0.25">
      <c r="A1773" t="s">
        <v>1777</v>
      </c>
      <c r="B1773">
        <v>0.99999676499088797</v>
      </c>
      <c r="C1773">
        <v>1.15434222903001</v>
      </c>
      <c r="D1773">
        <v>0.92460789864245996</v>
      </c>
      <c r="E1773">
        <v>0.64268948011400995</v>
      </c>
      <c r="F1773">
        <v>0.37270155469139399</v>
      </c>
      <c r="G1773">
        <v>0.27925360871285998</v>
      </c>
      <c r="H1773">
        <v>0.13001960159602299</v>
      </c>
      <c r="I1773">
        <v>0.187410647394401</v>
      </c>
      <c r="J1773">
        <v>0.21288998364834499</v>
      </c>
      <c r="K1773">
        <v>0.20463183282691799</v>
      </c>
      <c r="L1773">
        <v>1261.2824620008601</v>
      </c>
      <c r="M1773">
        <v>25.074808024793199</v>
      </c>
      <c r="N1773">
        <v>51.289352240639097</v>
      </c>
      <c r="O1773">
        <v>49.9841299402961</v>
      </c>
      <c r="P1773">
        <v>-0.10138241290358201</v>
      </c>
      <c r="Q1773">
        <v>0.19162784972299399</v>
      </c>
      <c r="R1773">
        <v>0.97339601989855096</v>
      </c>
      <c r="S1773" t="s">
        <v>8776</v>
      </c>
      <c r="T1773" t="s">
        <v>14004</v>
      </c>
      <c r="U1773" t="s">
        <v>14004</v>
      </c>
      <c r="V1773" t="s">
        <v>14004</v>
      </c>
      <c r="W1773" t="s">
        <v>15742</v>
      </c>
      <c r="X1773">
        <v>13</v>
      </c>
      <c r="Y1773" t="s">
        <v>22666</v>
      </c>
      <c r="Z1773" t="s">
        <v>29483</v>
      </c>
      <c r="AA1773">
        <v>0.47639454017875221</v>
      </c>
      <c r="AB1773" t="str">
        <f>HYPERLINK("Melting_Curves/meltCurve_O75934_BCAS2.pdf", "Melting_Curves/meltCurve_O75934_BCAS2.pdf")</f>
        <v>Melting_Curves/meltCurve_O75934_BCAS2.pdf</v>
      </c>
    </row>
    <row r="1774" spans="1:28" x14ac:dyDescent="0.25">
      <c r="A1774" t="s">
        <v>1778</v>
      </c>
      <c r="B1774">
        <v>0.99999676499088797</v>
      </c>
      <c r="C1774">
        <v>0.89417738771152799</v>
      </c>
      <c r="D1774">
        <v>0.99940365856497704</v>
      </c>
      <c r="E1774">
        <v>1.0357099370496201</v>
      </c>
      <c r="F1774">
        <v>0.22956422228027801</v>
      </c>
      <c r="G1774">
        <v>0.16499967971304899</v>
      </c>
      <c r="H1774">
        <v>7.6049672075388902E-2</v>
      </c>
      <c r="I1774">
        <v>9.6937043913751395E-2</v>
      </c>
      <c r="J1774">
        <v>9.9950467697618603E-2</v>
      </c>
      <c r="K1774">
        <v>6.2261100708469103E-2</v>
      </c>
      <c r="L1774">
        <v>13205.1398885337</v>
      </c>
      <c r="M1774">
        <v>250</v>
      </c>
      <c r="N1774">
        <v>52.867792088267002</v>
      </c>
      <c r="O1774">
        <v>52.8171591912309</v>
      </c>
      <c r="P1774">
        <v>-1.0649475555466299</v>
      </c>
      <c r="Q1774">
        <v>0.100039581702851</v>
      </c>
      <c r="R1774">
        <v>0.98966137098479001</v>
      </c>
      <c r="S1774" t="s">
        <v>8777</v>
      </c>
      <c r="T1774" t="s">
        <v>14004</v>
      </c>
      <c r="U1774" t="s">
        <v>14004</v>
      </c>
      <c r="V1774" t="s">
        <v>14004</v>
      </c>
      <c r="W1774" t="s">
        <v>15743</v>
      </c>
      <c r="X1774">
        <v>9</v>
      </c>
      <c r="Y1774" t="s">
        <v>22667</v>
      </c>
      <c r="Z1774" t="s">
        <v>29484</v>
      </c>
      <c r="AA1774">
        <v>0.48472287867236508</v>
      </c>
      <c r="AB1774" t="str">
        <f>HYPERLINK("Melting_Curves/meltCurve_O75935_DCTN3.pdf", "Melting_Curves/meltCurve_O75935_DCTN3.pdf")</f>
        <v>Melting_Curves/meltCurve_O75935_DCTN3.pdf</v>
      </c>
    </row>
    <row r="1775" spans="1:28" x14ac:dyDescent="0.25">
      <c r="A1775" t="s">
        <v>1779</v>
      </c>
      <c r="B1775">
        <v>0.99999676499088797</v>
      </c>
      <c r="C1775">
        <v>0.84692306032907805</v>
      </c>
      <c r="D1775">
        <v>0.83667815600537299</v>
      </c>
      <c r="E1775">
        <v>0.579868019760304</v>
      </c>
      <c r="F1775">
        <v>0.30889590410138501</v>
      </c>
      <c r="G1775">
        <v>0.201261319135739</v>
      </c>
      <c r="H1775">
        <v>0.130067941521879</v>
      </c>
      <c r="I1775">
        <v>0.13839486156653399</v>
      </c>
      <c r="J1775">
        <v>0.13228927305185101</v>
      </c>
      <c r="K1775">
        <v>0.12896557629383901</v>
      </c>
      <c r="L1775">
        <v>808.89280151826904</v>
      </c>
      <c r="M1775">
        <v>16.301496445247501</v>
      </c>
      <c r="N1775">
        <v>50.376160641760897</v>
      </c>
      <c r="O1775">
        <v>48.892071937955599</v>
      </c>
      <c r="P1775">
        <v>-7.4321889295593996E-2</v>
      </c>
      <c r="Q1775">
        <v>0.108428765970774</v>
      </c>
      <c r="R1775">
        <v>0.99004575292707497</v>
      </c>
      <c r="S1775" t="s">
        <v>8778</v>
      </c>
      <c r="T1775" t="s">
        <v>14004</v>
      </c>
      <c r="U1775" t="s">
        <v>14004</v>
      </c>
      <c r="V1775" t="s">
        <v>14004</v>
      </c>
      <c r="W1775" t="s">
        <v>15744</v>
      </c>
      <c r="X1775">
        <v>25</v>
      </c>
      <c r="Y1775" t="s">
        <v>22668</v>
      </c>
      <c r="Z1775" t="s">
        <v>29485</v>
      </c>
      <c r="AA1775">
        <v>0.41281202142169088</v>
      </c>
      <c r="AB1775" t="str">
        <f>HYPERLINK("Melting_Curves/meltCurve_O75937_DNAJC8.pdf", "Melting_Curves/meltCurve_O75937_DNAJC8.pdf")</f>
        <v>Melting_Curves/meltCurve_O75937_DNAJC8.pdf</v>
      </c>
    </row>
    <row r="1776" spans="1:28" x14ac:dyDescent="0.25">
      <c r="A1776" t="s">
        <v>1780</v>
      </c>
      <c r="B1776">
        <v>0.99999676499088797</v>
      </c>
      <c r="C1776">
        <v>0.96567832079146299</v>
      </c>
      <c r="D1776">
        <v>1.1021584952926</v>
      </c>
      <c r="E1776">
        <v>1.3177574502891001</v>
      </c>
      <c r="F1776">
        <v>1.1855022961272501</v>
      </c>
      <c r="G1776">
        <v>1.0592677402198101</v>
      </c>
      <c r="H1776">
        <v>0.75790463397310104</v>
      </c>
      <c r="I1776">
        <v>0.69686552397213497</v>
      </c>
      <c r="J1776">
        <v>0.59011144161437501</v>
      </c>
      <c r="K1776">
        <v>1.0074996862229699</v>
      </c>
      <c r="L1776">
        <v>9619.1427090663801</v>
      </c>
      <c r="M1776">
        <v>162.695769725785</v>
      </c>
      <c r="O1776">
        <v>59.114563934166398</v>
      </c>
      <c r="P1776">
        <v>-0.16343162559892599</v>
      </c>
      <c r="Q1776">
        <v>0.76247227028749198</v>
      </c>
      <c r="R1776">
        <v>0.467008918754726</v>
      </c>
      <c r="S1776" t="s">
        <v>8779</v>
      </c>
      <c r="T1776" t="s">
        <v>14004</v>
      </c>
      <c r="U1776" t="s">
        <v>14004</v>
      </c>
      <c r="V1776" t="s">
        <v>14004</v>
      </c>
      <c r="W1776" t="s">
        <v>15745</v>
      </c>
      <c r="X1776">
        <v>12</v>
      </c>
      <c r="Y1776" t="s">
        <v>22669</v>
      </c>
      <c r="Z1776" t="s">
        <v>29486</v>
      </c>
      <c r="AA1776">
        <v>0.91394250195394522</v>
      </c>
      <c r="AB1776" t="str">
        <f>HYPERLINK("Melting_Curves/meltCurve_O75940_SMNDC1.pdf", "Melting_Curves/meltCurve_O75940_SMNDC1.pdf")</f>
        <v>Melting_Curves/meltCurve_O75940_SMNDC1.pdf</v>
      </c>
    </row>
    <row r="1777" spans="1:28" x14ac:dyDescent="0.25">
      <c r="A1777" t="s">
        <v>1781</v>
      </c>
      <c r="B1777">
        <v>0.99999676499088797</v>
      </c>
      <c r="C1777">
        <v>0.95807183204909896</v>
      </c>
      <c r="D1777">
        <v>0.59988118235328303</v>
      </c>
      <c r="E1777">
        <v>0.27973708115810297</v>
      </c>
      <c r="F1777">
        <v>0.23104675860342899</v>
      </c>
      <c r="G1777">
        <v>0.15113257822755999</v>
      </c>
      <c r="H1777">
        <v>0.108360290545944</v>
      </c>
      <c r="I1777">
        <v>5.7784283479127702E-2</v>
      </c>
      <c r="J1777">
        <v>7.2308255012782693E-2</v>
      </c>
      <c r="K1777">
        <v>5.8320856716845899E-2</v>
      </c>
      <c r="L1777">
        <v>1039.7688713889199</v>
      </c>
      <c r="M1777">
        <v>22.198897779684099</v>
      </c>
      <c r="N1777">
        <v>47.282691269427701</v>
      </c>
      <c r="O1777">
        <v>46.463637319660499</v>
      </c>
      <c r="P1777">
        <v>-0.108208990136493</v>
      </c>
      <c r="Q1777">
        <v>9.4067703029869595E-2</v>
      </c>
      <c r="R1777">
        <v>0.98607502851695406</v>
      </c>
      <c r="S1777" t="s">
        <v>8780</v>
      </c>
      <c r="T1777" t="s">
        <v>14004</v>
      </c>
      <c r="U1777" t="s">
        <v>14004</v>
      </c>
      <c r="V1777" t="s">
        <v>14004</v>
      </c>
      <c r="W1777" t="s">
        <v>15746</v>
      </c>
      <c r="X1777">
        <v>4</v>
      </c>
      <c r="Y1777" t="s">
        <v>22670</v>
      </c>
      <c r="Z1777" t="s">
        <v>29487</v>
      </c>
      <c r="AA1777">
        <v>0.31116266555437011</v>
      </c>
      <c r="AB1777" t="str">
        <f>HYPERLINK("Melting_Curves/meltCurve_O75943_4_RAD17.pdf", "Melting_Curves/meltCurve_O75943_4_RAD17.pdf")</f>
        <v>Melting_Curves/meltCurve_O75943_4_RAD17.pdf</v>
      </c>
    </row>
    <row r="1778" spans="1:28" x14ac:dyDescent="0.25">
      <c r="A1778" t="s">
        <v>1782</v>
      </c>
      <c r="B1778">
        <v>0.99999676499088797</v>
      </c>
      <c r="C1778">
        <v>0.99836047314393495</v>
      </c>
      <c r="D1778">
        <v>0.94996479704449999</v>
      </c>
      <c r="E1778">
        <v>0.80768957136110298</v>
      </c>
      <c r="F1778">
        <v>0.79251192839219997</v>
      </c>
      <c r="G1778">
        <v>0.82231578925336901</v>
      </c>
      <c r="H1778">
        <v>0.491682997435401</v>
      </c>
      <c r="I1778">
        <v>0.28268780894864898</v>
      </c>
      <c r="J1778">
        <v>0.169318238213363</v>
      </c>
      <c r="K1778">
        <v>0.14880365865178299</v>
      </c>
      <c r="L1778">
        <v>792.204873344264</v>
      </c>
      <c r="M1778">
        <v>13.119780548680399</v>
      </c>
      <c r="N1778">
        <v>60.382479097991897</v>
      </c>
      <c r="O1778">
        <v>59.031317734716197</v>
      </c>
      <c r="P1778">
        <v>-5.5572269844203701E-2</v>
      </c>
      <c r="Q1778">
        <v>0</v>
      </c>
      <c r="R1778">
        <v>0.95846387483987205</v>
      </c>
      <c r="S1778" t="s">
        <v>8781</v>
      </c>
      <c r="T1778" t="s">
        <v>14004</v>
      </c>
      <c r="U1778" t="s">
        <v>14004</v>
      </c>
      <c r="V1778" t="s">
        <v>14004</v>
      </c>
      <c r="W1778" t="s">
        <v>15747</v>
      </c>
      <c r="X1778">
        <v>14</v>
      </c>
      <c r="Y1778" t="s">
        <v>22671</v>
      </c>
      <c r="Z1778" t="s">
        <v>29488</v>
      </c>
      <c r="AA1778">
        <v>0.68197561148061991</v>
      </c>
      <c r="AB1778" t="str">
        <f>HYPERLINK("Melting_Curves/meltCurve_O75947_ATP5H.pdf", "Melting_Curves/meltCurve_O75947_ATP5H.pdf")</f>
        <v>Melting_Curves/meltCurve_O75947_ATP5H.pdf</v>
      </c>
    </row>
    <row r="1779" spans="1:28" x14ac:dyDescent="0.25">
      <c r="A1779" t="s">
        <v>1783</v>
      </c>
      <c r="B1779">
        <v>0.99999676499088797</v>
      </c>
      <c r="C1779">
        <v>0.806745373935286</v>
      </c>
      <c r="D1779">
        <v>0.86249503733680999</v>
      </c>
      <c r="E1779">
        <v>0.78548290156372003</v>
      </c>
      <c r="F1779">
        <v>0.851064604620136</v>
      </c>
      <c r="G1779">
        <v>0.44136902508154102</v>
      </c>
      <c r="H1779">
        <v>0.158648693694278</v>
      </c>
      <c r="I1779">
        <v>0.155185736034163</v>
      </c>
      <c r="J1779">
        <v>0.141645937157754</v>
      </c>
      <c r="K1779">
        <v>0.11526778979295201</v>
      </c>
      <c r="L1779">
        <v>871.85218463595402</v>
      </c>
      <c r="M1779">
        <v>15.6247603389434</v>
      </c>
      <c r="N1779">
        <v>56.155169498498999</v>
      </c>
      <c r="O1779">
        <v>54.909367524828397</v>
      </c>
      <c r="P1779">
        <v>-6.7792307779102196E-2</v>
      </c>
      <c r="Q1779">
        <v>4.7124830754760601E-2</v>
      </c>
      <c r="R1779">
        <v>0.92481211223887205</v>
      </c>
      <c r="S1779" t="s">
        <v>8782</v>
      </c>
      <c r="T1779" t="s">
        <v>14004</v>
      </c>
      <c r="U1779" t="s">
        <v>14004</v>
      </c>
      <c r="V1779" t="s">
        <v>14004</v>
      </c>
      <c r="W1779" t="s">
        <v>15748</v>
      </c>
      <c r="X1779">
        <v>10</v>
      </c>
      <c r="Y1779" t="s">
        <v>22672</v>
      </c>
      <c r="Z1779" t="s">
        <v>29489</v>
      </c>
      <c r="AA1779">
        <v>0.56553672209898831</v>
      </c>
      <c r="AB1779" t="str">
        <f>HYPERLINK("Melting_Curves/meltCurve_O75955_FLOT1.pdf", "Melting_Curves/meltCurve_O75955_FLOT1.pdf")</f>
        <v>Melting_Curves/meltCurve_O75955_FLOT1.pdf</v>
      </c>
    </row>
    <row r="1780" spans="1:28" x14ac:dyDescent="0.25">
      <c r="A1780" t="s">
        <v>1784</v>
      </c>
      <c r="B1780">
        <v>0.99999676499088797</v>
      </c>
      <c r="C1780">
        <v>1.0051400509130599</v>
      </c>
      <c r="D1780">
        <v>0.93559147933858899</v>
      </c>
      <c r="E1780">
        <v>0.73824819124076402</v>
      </c>
      <c r="F1780">
        <v>0.49072286081570698</v>
      </c>
      <c r="G1780">
        <v>0.61750650107257998</v>
      </c>
      <c r="H1780">
        <v>0.22969563043659599</v>
      </c>
      <c r="I1780">
        <v>0.16976634579393499</v>
      </c>
      <c r="J1780">
        <v>0.17106221841445499</v>
      </c>
      <c r="K1780">
        <v>9.9207490189381103E-2</v>
      </c>
      <c r="L1780">
        <v>572.23036629064802</v>
      </c>
      <c r="M1780">
        <v>10.307559459861301</v>
      </c>
      <c r="N1780">
        <v>55.515601776936698</v>
      </c>
      <c r="O1780">
        <v>53.547873567808203</v>
      </c>
      <c r="P1780">
        <v>-4.8143954445601399E-2</v>
      </c>
      <c r="Q1780">
        <v>0</v>
      </c>
      <c r="R1780">
        <v>0.95271168582944998</v>
      </c>
      <c r="S1780" t="s">
        <v>8783</v>
      </c>
      <c r="T1780" t="s">
        <v>14004</v>
      </c>
      <c r="U1780" t="s">
        <v>14004</v>
      </c>
      <c r="V1780" t="s">
        <v>14004</v>
      </c>
      <c r="W1780" t="s">
        <v>15749</v>
      </c>
      <c r="X1780">
        <v>4</v>
      </c>
      <c r="Y1780" t="s">
        <v>22673</v>
      </c>
      <c r="Z1780" t="s">
        <v>29490</v>
      </c>
      <c r="AA1780">
        <v>0.54049433323818008</v>
      </c>
      <c r="AB1780" t="str">
        <f>HYPERLINK("Melting_Curves/meltCurve_O75962_2_TRIO.pdf", "Melting_Curves/meltCurve_O75962_2_TRIO.pdf")</f>
        <v>Melting_Curves/meltCurve_O75962_2_TRIO.pdf</v>
      </c>
    </row>
    <row r="1781" spans="1:28" x14ac:dyDescent="0.25">
      <c r="A1781" t="s">
        <v>1785</v>
      </c>
      <c r="B1781">
        <v>0.99999676499088797</v>
      </c>
      <c r="C1781">
        <v>0.95185108890985903</v>
      </c>
      <c r="D1781">
        <v>0.998544310270427</v>
      </c>
      <c r="E1781">
        <v>1.0549288586760199</v>
      </c>
      <c r="F1781">
        <v>0.90915958336648095</v>
      </c>
      <c r="G1781">
        <v>0.84763083102356696</v>
      </c>
      <c r="H1781">
        <v>0.566763154386832</v>
      </c>
      <c r="I1781">
        <v>0.305436544127764</v>
      </c>
      <c r="J1781">
        <v>0.17272953546959999</v>
      </c>
      <c r="K1781">
        <v>0.14940410399611201</v>
      </c>
      <c r="L1781">
        <v>1331.0904579420001</v>
      </c>
      <c r="M1781">
        <v>21.853569001861601</v>
      </c>
      <c r="N1781">
        <v>61.4065435114153</v>
      </c>
      <c r="O1781">
        <v>60.406363243648102</v>
      </c>
      <c r="P1781">
        <v>-8.3114494236146405E-2</v>
      </c>
      <c r="Q1781">
        <v>8.1059845388391505E-2</v>
      </c>
      <c r="R1781">
        <v>0.99159374672199996</v>
      </c>
      <c r="S1781" t="s">
        <v>8784</v>
      </c>
      <c r="T1781" t="s">
        <v>14004</v>
      </c>
      <c r="U1781" t="s">
        <v>14004</v>
      </c>
      <c r="V1781" t="s">
        <v>14004</v>
      </c>
      <c r="W1781" t="s">
        <v>15750</v>
      </c>
      <c r="X1781">
        <v>6</v>
      </c>
      <c r="Y1781" t="s">
        <v>22674</v>
      </c>
      <c r="Z1781" t="s">
        <v>29491</v>
      </c>
      <c r="AA1781">
        <v>0.72755844346044229</v>
      </c>
      <c r="AB1781" t="str">
        <f>HYPERLINK("Melting_Curves/meltCurve_O75964_ATP5L.pdf", "Melting_Curves/meltCurve_O75964_ATP5L.pdf")</f>
        <v>Melting_Curves/meltCurve_O75964_ATP5L.pdf</v>
      </c>
    </row>
    <row r="1782" spans="1:28" x14ac:dyDescent="0.25">
      <c r="A1782" t="s">
        <v>1786</v>
      </c>
      <c r="B1782">
        <v>0.99999676499088797</v>
      </c>
      <c r="C1782">
        <v>1.0035623185926601</v>
      </c>
      <c r="D1782">
        <v>1.1817186177257699</v>
      </c>
      <c r="E1782">
        <v>1.0665623942129301</v>
      </c>
      <c r="F1782">
        <v>0.95132900441878998</v>
      </c>
      <c r="G1782">
        <v>0.85397653430952603</v>
      </c>
      <c r="H1782">
        <v>0.55549171604709502</v>
      </c>
      <c r="I1782">
        <v>0.83999848689293299</v>
      </c>
      <c r="J1782">
        <v>1.3897265017503899</v>
      </c>
      <c r="K1782">
        <v>0.88468701157177299</v>
      </c>
      <c r="L1782">
        <v>13297.632936210401</v>
      </c>
      <c r="M1782">
        <v>250</v>
      </c>
      <c r="O1782">
        <v>53.1871096001843</v>
      </c>
      <c r="P1782">
        <v>-0.11189731478301899</v>
      </c>
      <c r="Q1782">
        <v>0.90477605124022298</v>
      </c>
      <c r="R1782">
        <v>9.1062280394672596E-2</v>
      </c>
      <c r="S1782" t="s">
        <v>8785</v>
      </c>
      <c r="T1782" t="s">
        <v>14004</v>
      </c>
      <c r="U1782" t="s">
        <v>14004</v>
      </c>
      <c r="V1782" t="s">
        <v>14004</v>
      </c>
      <c r="W1782" t="s">
        <v>15751</v>
      </c>
      <c r="X1782">
        <v>1</v>
      </c>
      <c r="Y1782" t="s">
        <v>22675</v>
      </c>
      <c r="Z1782" t="s">
        <v>29492</v>
      </c>
      <c r="AA1782">
        <v>0.94665342422444476</v>
      </c>
      <c r="AB1782" t="str">
        <f>HYPERLINK("Melting_Curves/meltCurve_O75973_C1QL1.pdf", "Melting_Curves/meltCurve_O75973_C1QL1.pdf")</f>
        <v>Melting_Curves/meltCurve_O75973_C1QL1.pdf</v>
      </c>
    </row>
    <row r="1783" spans="1:28" x14ac:dyDescent="0.25">
      <c r="A1783" t="s">
        <v>1787</v>
      </c>
      <c r="B1783">
        <v>0.99999676499088797</v>
      </c>
      <c r="C1783">
        <v>0.95789723329587695</v>
      </c>
      <c r="D1783">
        <v>0.93410331627867005</v>
      </c>
      <c r="E1783">
        <v>0.81723314027599403</v>
      </c>
      <c r="F1783">
        <v>0.438180925215235</v>
      </c>
      <c r="G1783">
        <v>0.28399587958165101</v>
      </c>
      <c r="H1783">
        <v>0.12935278491715399</v>
      </c>
      <c r="I1783">
        <v>0.111126641068701</v>
      </c>
      <c r="J1783">
        <v>9.9828847610495902E-2</v>
      </c>
      <c r="K1783">
        <v>9.1690312243028996E-2</v>
      </c>
      <c r="L1783">
        <v>1065.38022460819</v>
      </c>
      <c r="M1783">
        <v>20.3198661881286</v>
      </c>
      <c r="N1783">
        <v>52.942084560001199</v>
      </c>
      <c r="O1783">
        <v>51.930600585109801</v>
      </c>
      <c r="P1783">
        <v>-8.9104817065181294E-2</v>
      </c>
      <c r="Q1783">
        <v>8.9142629030209905E-2</v>
      </c>
      <c r="R1783">
        <v>0.996023296938778</v>
      </c>
      <c r="S1783" t="s">
        <v>8786</v>
      </c>
      <c r="T1783" t="s">
        <v>14004</v>
      </c>
      <c r="U1783" t="s">
        <v>14004</v>
      </c>
      <c r="V1783" t="s">
        <v>14004</v>
      </c>
      <c r="W1783" t="s">
        <v>15752</v>
      </c>
      <c r="X1783">
        <v>18</v>
      </c>
      <c r="Y1783" t="s">
        <v>22676</v>
      </c>
      <c r="Z1783" t="s">
        <v>29493</v>
      </c>
      <c r="AA1783">
        <v>0.47878709132116748</v>
      </c>
      <c r="AB1783" t="str">
        <f>HYPERLINK("Melting_Curves/meltCurve_O75976_CPD.pdf", "Melting_Curves/meltCurve_O75976_CPD.pdf")</f>
        <v>Melting_Curves/meltCurve_O75976_CPD.pdf</v>
      </c>
    </row>
    <row r="1784" spans="1:28" x14ac:dyDescent="0.25">
      <c r="A1784" t="s">
        <v>1788</v>
      </c>
      <c r="B1784">
        <v>0.99999676499088797</v>
      </c>
      <c r="C1784">
        <v>0.93682063932960202</v>
      </c>
      <c r="D1784">
        <v>0.89974830246703297</v>
      </c>
      <c r="E1784">
        <v>0.79512623458232301</v>
      </c>
      <c r="F1784">
        <v>0.64293278368106999</v>
      </c>
      <c r="G1784">
        <v>0.38415405191183899</v>
      </c>
      <c r="H1784">
        <v>0.21198255947691599</v>
      </c>
      <c r="I1784">
        <v>0.23853748579325401</v>
      </c>
      <c r="J1784">
        <v>0.211385979320797</v>
      </c>
      <c r="K1784">
        <v>0.178831009888722</v>
      </c>
      <c r="L1784">
        <v>799.05467738463699</v>
      </c>
      <c r="M1784">
        <v>14.9351039211301</v>
      </c>
      <c r="N1784">
        <v>54.813189276020097</v>
      </c>
      <c r="O1784">
        <v>52.570064919917897</v>
      </c>
      <c r="P1784">
        <v>-6.0361144412943199E-2</v>
      </c>
      <c r="Q1784">
        <v>0.15022645473585899</v>
      </c>
      <c r="R1784">
        <v>0.99020682967168705</v>
      </c>
      <c r="S1784" t="s">
        <v>8787</v>
      </c>
      <c r="T1784" t="s">
        <v>14004</v>
      </c>
      <c r="U1784" t="s">
        <v>14004</v>
      </c>
      <c r="V1784" t="s">
        <v>14004</v>
      </c>
      <c r="W1784" t="s">
        <v>15753</v>
      </c>
      <c r="X1784">
        <v>8</v>
      </c>
      <c r="Y1784" t="s">
        <v>22677</v>
      </c>
      <c r="Z1784" t="s">
        <v>29494</v>
      </c>
      <c r="AA1784">
        <v>0.5506575217291716</v>
      </c>
      <c r="AB1784" t="str">
        <f>HYPERLINK("Melting_Curves/meltCurve_O75995_SASH3.pdf", "Melting_Curves/meltCurve_O75995_SASH3.pdf")</f>
        <v>Melting_Curves/meltCurve_O75995_SASH3.pdf</v>
      </c>
    </row>
    <row r="1785" spans="1:28" x14ac:dyDescent="0.25">
      <c r="A1785" t="s">
        <v>1789</v>
      </c>
      <c r="B1785">
        <v>0.99999676499088797</v>
      </c>
      <c r="C1785">
        <v>0.83264572120784897</v>
      </c>
      <c r="D1785">
        <v>0.85273111981073901</v>
      </c>
      <c r="E1785">
        <v>0.56358540700633097</v>
      </c>
      <c r="F1785">
        <v>0.25738970374505798</v>
      </c>
      <c r="G1785">
        <v>0.158433246161197</v>
      </c>
      <c r="H1785">
        <v>8.3309723124866897E-2</v>
      </c>
      <c r="I1785">
        <v>6.7900390467330596E-2</v>
      </c>
      <c r="J1785">
        <v>5.5333797087552199E-2</v>
      </c>
      <c r="K1785">
        <v>5.3078407458993199E-2</v>
      </c>
      <c r="L1785">
        <v>821.46411997842097</v>
      </c>
      <c r="M1785">
        <v>16.466663352859999</v>
      </c>
      <c r="N1785">
        <v>50.133924459119299</v>
      </c>
      <c r="O1785">
        <v>49.168182822311998</v>
      </c>
      <c r="P1785">
        <v>-8.04642743808337E-2</v>
      </c>
      <c r="Q1785">
        <v>3.90271896529404E-2</v>
      </c>
      <c r="R1785">
        <v>0.98837498746566099</v>
      </c>
      <c r="S1785" t="s">
        <v>8788</v>
      </c>
      <c r="T1785" t="s">
        <v>14004</v>
      </c>
      <c r="U1785" t="s">
        <v>14004</v>
      </c>
      <c r="V1785" t="s">
        <v>14004</v>
      </c>
      <c r="W1785" t="s">
        <v>15754</v>
      </c>
      <c r="X1785">
        <v>18</v>
      </c>
      <c r="Y1785" t="s">
        <v>22678</v>
      </c>
      <c r="Z1785" t="s">
        <v>29495</v>
      </c>
      <c r="AA1785">
        <v>0.37512388846919842</v>
      </c>
      <c r="AB1785" t="str">
        <f>HYPERLINK("Melting_Curves/meltCurve_O76003_GLRX3.pdf", "Melting_Curves/meltCurve_O76003_GLRX3.pdf")</f>
        <v>Melting_Curves/meltCurve_O76003_GLRX3.pdf</v>
      </c>
    </row>
    <row r="1786" spans="1:28" x14ac:dyDescent="0.25">
      <c r="A1786" t="s">
        <v>1790</v>
      </c>
      <c r="B1786">
        <v>0.99999676499088797</v>
      </c>
      <c r="C1786">
        <v>1.1913668070626899</v>
      </c>
      <c r="D1786">
        <v>1.14179132154665</v>
      </c>
      <c r="E1786">
        <v>0.54633189763811296</v>
      </c>
      <c r="F1786">
        <v>0.23458050726563001</v>
      </c>
      <c r="G1786">
        <v>0.20715063756322699</v>
      </c>
      <c r="H1786">
        <v>0.20498403680930199</v>
      </c>
      <c r="I1786">
        <v>0.28283969106755402</v>
      </c>
      <c r="J1786">
        <v>0.30508809169213602</v>
      </c>
      <c r="K1786">
        <v>0.177361215219346</v>
      </c>
      <c r="L1786">
        <v>12381.272042389301</v>
      </c>
      <c r="M1786">
        <v>250</v>
      </c>
      <c r="N1786">
        <v>49.6514290962348</v>
      </c>
      <c r="O1786">
        <v>49.521933914110903</v>
      </c>
      <c r="P1786">
        <v>-0.96506000780713497</v>
      </c>
      <c r="Q1786">
        <v>0.235334024871314</v>
      </c>
      <c r="R1786">
        <v>0.95598692560893805</v>
      </c>
      <c r="S1786" t="s">
        <v>8789</v>
      </c>
      <c r="T1786" t="s">
        <v>14004</v>
      </c>
      <c r="U1786" t="s">
        <v>14004</v>
      </c>
      <c r="V1786" t="s">
        <v>14004</v>
      </c>
      <c r="W1786" t="s">
        <v>15755</v>
      </c>
      <c r="X1786">
        <v>2</v>
      </c>
      <c r="Y1786" t="s">
        <v>22679</v>
      </c>
      <c r="Z1786" t="s">
        <v>29496</v>
      </c>
      <c r="AA1786">
        <v>0.47818418084026321</v>
      </c>
      <c r="AB1786" t="str">
        <f>HYPERLINK("Melting_Curves/meltCurve_O76024_WFS1.pdf", "Melting_Curves/meltCurve_O76024_WFS1.pdf")</f>
        <v>Melting_Curves/meltCurve_O76024_WFS1.pdf</v>
      </c>
    </row>
    <row r="1787" spans="1:28" x14ac:dyDescent="0.25">
      <c r="A1787" t="s">
        <v>1791</v>
      </c>
      <c r="B1787">
        <v>0.99999676499088797</v>
      </c>
      <c r="C1787">
        <v>1.04224586391531</v>
      </c>
      <c r="D1787">
        <v>0.99711996173481299</v>
      </c>
      <c r="E1787">
        <v>1.0570122833057101</v>
      </c>
      <c r="F1787">
        <v>0.89063331071827301</v>
      </c>
      <c r="G1787">
        <v>0.65552926120123101</v>
      </c>
      <c r="H1787">
        <v>0.157931016654144</v>
      </c>
      <c r="I1787">
        <v>0.101088553771184</v>
      </c>
      <c r="J1787">
        <v>8.2079010862338694E-2</v>
      </c>
      <c r="K1787">
        <v>8.9261059705278006E-2</v>
      </c>
      <c r="L1787">
        <v>2082.9590324986202</v>
      </c>
      <c r="M1787">
        <v>36.257673444572802</v>
      </c>
      <c r="N1787">
        <v>57.708453124115699</v>
      </c>
      <c r="O1787">
        <v>57.274860645259601</v>
      </c>
      <c r="P1787">
        <v>-0.14635002067576799</v>
      </c>
      <c r="Q1787">
        <v>7.5268720180215201E-2</v>
      </c>
      <c r="R1787">
        <v>0.99405295149075701</v>
      </c>
      <c r="S1787" t="s">
        <v>8790</v>
      </c>
      <c r="T1787" t="s">
        <v>14004</v>
      </c>
      <c r="U1787" t="s">
        <v>14004</v>
      </c>
      <c r="V1787" t="s">
        <v>14004</v>
      </c>
      <c r="W1787" t="s">
        <v>15756</v>
      </c>
      <c r="X1787">
        <v>22</v>
      </c>
      <c r="Y1787" t="s">
        <v>22680</v>
      </c>
      <c r="Z1787" t="s">
        <v>29497</v>
      </c>
      <c r="AA1787">
        <v>0.61747869419236956</v>
      </c>
      <c r="AB1787" t="str">
        <f>HYPERLINK("Melting_Curves/meltCurve_O76031_CLPX.pdf", "Melting_Curves/meltCurve_O76031_CLPX.pdf")</f>
        <v>Melting_Curves/meltCurve_O76031_CLPX.pdf</v>
      </c>
    </row>
    <row r="1788" spans="1:28" x14ac:dyDescent="0.25">
      <c r="A1788" t="s">
        <v>1792</v>
      </c>
      <c r="B1788">
        <v>0.99999676499088797</v>
      </c>
      <c r="C1788">
        <v>0.86999177549446804</v>
      </c>
      <c r="D1788">
        <v>0.828291659122806</v>
      </c>
      <c r="E1788">
        <v>0.85630306531251998</v>
      </c>
      <c r="F1788">
        <v>0.63055648892572602</v>
      </c>
      <c r="G1788">
        <v>0.39987822999685801</v>
      </c>
      <c r="H1788">
        <v>0.21185518749650301</v>
      </c>
      <c r="I1788">
        <v>0.22097543081429</v>
      </c>
      <c r="J1788">
        <v>0.22852350098458199</v>
      </c>
      <c r="K1788">
        <v>0.20296048853158399</v>
      </c>
      <c r="L1788">
        <v>725.59449976744202</v>
      </c>
      <c r="M1788">
        <v>13.5333497266253</v>
      </c>
      <c r="N1788">
        <v>54.976119220195201</v>
      </c>
      <c r="O1788">
        <v>52.485254497402501</v>
      </c>
      <c r="P1788">
        <v>-5.5296146206809699E-2</v>
      </c>
      <c r="Q1788">
        <v>0.14232793950294101</v>
      </c>
      <c r="R1788">
        <v>0.96587201633540198</v>
      </c>
      <c r="S1788" t="s">
        <v>8791</v>
      </c>
      <c r="T1788" t="s">
        <v>14004</v>
      </c>
      <c r="U1788" t="s">
        <v>14004</v>
      </c>
      <c r="V1788" t="s">
        <v>14004</v>
      </c>
      <c r="W1788" t="s">
        <v>15757</v>
      </c>
      <c r="X1788">
        <v>3</v>
      </c>
      <c r="Y1788" t="s">
        <v>22681</v>
      </c>
      <c r="Z1788" t="s">
        <v>29498</v>
      </c>
      <c r="AA1788">
        <v>0.5519499127361549</v>
      </c>
      <c r="AB1788" t="str">
        <f>HYPERLINK("Melting_Curves/meltCurve_O76054_4_SEC14L2.pdf", "Melting_Curves/meltCurve_O76054_4_SEC14L2.pdf")</f>
        <v>Melting_Curves/meltCurve_O76054_4_SEC14L2.pdf</v>
      </c>
    </row>
    <row r="1789" spans="1:28" x14ac:dyDescent="0.25">
      <c r="A1789" t="s">
        <v>1793</v>
      </c>
      <c r="B1789">
        <v>0.99999676499088797</v>
      </c>
      <c r="C1789">
        <v>1.0447807307222601</v>
      </c>
      <c r="D1789">
        <v>1.0218745384975101</v>
      </c>
      <c r="E1789">
        <v>0.90950192161717003</v>
      </c>
      <c r="F1789">
        <v>0.76179553991537297</v>
      </c>
      <c r="G1789">
        <v>0.45061154037618401</v>
      </c>
      <c r="H1789">
        <v>0.19858796115126601</v>
      </c>
      <c r="I1789">
        <v>0.112831580667327</v>
      </c>
      <c r="J1789">
        <v>9.1998430721943997E-2</v>
      </c>
      <c r="K1789">
        <v>0.10103815528677999</v>
      </c>
      <c r="L1789">
        <v>1206.18883548183</v>
      </c>
      <c r="M1789">
        <v>21.6413145122152</v>
      </c>
      <c r="N1789">
        <v>56.143371358495799</v>
      </c>
      <c r="O1789">
        <v>55.266119642223003</v>
      </c>
      <c r="P1789">
        <v>-9.0776406634291498E-2</v>
      </c>
      <c r="Q1789">
        <v>7.2747631496885096E-2</v>
      </c>
      <c r="R1789">
        <v>0.99704329548274195</v>
      </c>
      <c r="S1789" t="s">
        <v>8792</v>
      </c>
      <c r="T1789" t="s">
        <v>14004</v>
      </c>
      <c r="U1789" t="s">
        <v>14004</v>
      </c>
      <c r="V1789" t="s">
        <v>14004</v>
      </c>
      <c r="W1789" t="s">
        <v>15758</v>
      </c>
      <c r="X1789">
        <v>8</v>
      </c>
      <c r="Y1789" t="s">
        <v>22682</v>
      </c>
      <c r="Z1789" t="s">
        <v>29499</v>
      </c>
      <c r="AA1789">
        <v>0.56986429709158704</v>
      </c>
      <c r="AB1789" t="str">
        <f>HYPERLINK("Melting_Curves/meltCurve_O76071_CIAO1.pdf", "Melting_Curves/meltCurve_O76071_CIAO1.pdf")</f>
        <v>Melting_Curves/meltCurve_O76071_CIAO1.pdf</v>
      </c>
    </row>
    <row r="1790" spans="1:28" x14ac:dyDescent="0.25">
      <c r="A1790" t="s">
        <v>1794</v>
      </c>
      <c r="B1790">
        <v>0.99999676499088797</v>
      </c>
      <c r="C1790">
        <v>0.95833914499231498</v>
      </c>
      <c r="D1790">
        <v>0.979532408069969</v>
      </c>
      <c r="E1790">
        <v>0.95530101334862005</v>
      </c>
      <c r="F1790">
        <v>0.83427728095259002</v>
      </c>
      <c r="G1790">
        <v>0.79893339697588195</v>
      </c>
      <c r="H1790">
        <v>0.63408741592926399</v>
      </c>
      <c r="I1790">
        <v>0.57347975643264804</v>
      </c>
      <c r="J1790">
        <v>0.49338231350904399</v>
      </c>
      <c r="K1790">
        <v>0.63921392937655297</v>
      </c>
      <c r="L1790">
        <v>898.11175891106802</v>
      </c>
      <c r="M1790">
        <v>15.9806211920853</v>
      </c>
      <c r="O1790">
        <v>55.34208198868</v>
      </c>
      <c r="P1790">
        <v>-3.3400514640066097E-2</v>
      </c>
      <c r="Q1790">
        <v>0.53736237681811005</v>
      </c>
      <c r="R1790">
        <v>0.94281736460092302</v>
      </c>
      <c r="S1790" t="s">
        <v>8793</v>
      </c>
      <c r="T1790" t="s">
        <v>14004</v>
      </c>
      <c r="U1790" t="s">
        <v>14004</v>
      </c>
      <c r="V1790" t="s">
        <v>14004</v>
      </c>
      <c r="W1790" t="s">
        <v>15759</v>
      </c>
      <c r="X1790">
        <v>10</v>
      </c>
      <c r="Y1790" t="s">
        <v>22683</v>
      </c>
      <c r="Z1790" t="s">
        <v>29500</v>
      </c>
      <c r="AA1790">
        <v>0.79480560434439895</v>
      </c>
      <c r="AB1790" t="str">
        <f>HYPERLINK("Melting_Curves/meltCurve_O76080_ZFAND5.pdf", "Melting_Curves/meltCurve_O76080_ZFAND5.pdf")</f>
        <v>Melting_Curves/meltCurve_O76080_ZFAND5.pdf</v>
      </c>
    </row>
    <row r="1791" spans="1:28" x14ac:dyDescent="0.25">
      <c r="A1791" t="s">
        <v>1795</v>
      </c>
      <c r="B1791">
        <v>0.99999676499088797</v>
      </c>
      <c r="C1791">
        <v>1.06197453978747</v>
      </c>
      <c r="D1791">
        <v>1.0645589978639201</v>
      </c>
      <c r="E1791">
        <v>0.44369572595996098</v>
      </c>
      <c r="F1791">
        <v>0.24727916480068099</v>
      </c>
      <c r="G1791">
        <v>0.17060247993945399</v>
      </c>
      <c r="H1791">
        <v>8.2325567895305596E-2</v>
      </c>
      <c r="I1791">
        <v>7.55370246016802E-2</v>
      </c>
      <c r="J1791">
        <v>7.1757675951609395E-2</v>
      </c>
      <c r="K1791">
        <v>6.3616404376045099E-2</v>
      </c>
      <c r="L1791">
        <v>2967.3322899486202</v>
      </c>
      <c r="M1791">
        <v>60.304057327894903</v>
      </c>
      <c r="N1791">
        <v>49.422092512913103</v>
      </c>
      <c r="O1791">
        <v>49.152155860076597</v>
      </c>
      <c r="P1791">
        <v>-0.271202277699577</v>
      </c>
      <c r="Q1791">
        <v>0.11580270446749499</v>
      </c>
      <c r="R1791">
        <v>0.97970523291323597</v>
      </c>
      <c r="S1791" t="s">
        <v>8794</v>
      </c>
      <c r="T1791" t="s">
        <v>14004</v>
      </c>
      <c r="U1791" t="s">
        <v>14004</v>
      </c>
      <c r="V1791" t="s">
        <v>14004</v>
      </c>
      <c r="W1791" t="s">
        <v>15760</v>
      </c>
      <c r="X1791">
        <v>27</v>
      </c>
      <c r="Y1791" t="s">
        <v>22684</v>
      </c>
      <c r="Z1791" t="s">
        <v>29501</v>
      </c>
      <c r="AA1791">
        <v>0.38845572135367812</v>
      </c>
      <c r="AB1791" t="str">
        <f>HYPERLINK("Melting_Curves/meltCurve_O76094_SRP72.pdf", "Melting_Curves/meltCurve_O76094_SRP72.pdf")</f>
        <v>Melting_Curves/meltCurve_O76094_SRP72.pdf</v>
      </c>
    </row>
    <row r="1792" spans="1:28" x14ac:dyDescent="0.25">
      <c r="A1792" t="s">
        <v>1796</v>
      </c>
      <c r="B1792">
        <v>0.99999676499088797</v>
      </c>
      <c r="C1792">
        <v>0.97354353662786597</v>
      </c>
      <c r="D1792">
        <v>1.0229762527003201</v>
      </c>
      <c r="E1792">
        <v>1.0125615843979401</v>
      </c>
      <c r="F1792">
        <v>0.78782568648314899</v>
      </c>
      <c r="G1792">
        <v>0.87985621016183202</v>
      </c>
      <c r="H1792">
        <v>0.59247893279243102</v>
      </c>
      <c r="I1792">
        <v>0.63987584382146601</v>
      </c>
      <c r="J1792">
        <v>0.47761375299148401</v>
      </c>
      <c r="K1792">
        <v>0.394254730941064</v>
      </c>
      <c r="L1792">
        <v>602.92176963893598</v>
      </c>
      <c r="M1792">
        <v>9.3989339064347295</v>
      </c>
      <c r="N1792">
        <v>66.407770780193403</v>
      </c>
      <c r="O1792">
        <v>61.445053946015598</v>
      </c>
      <c r="P1792">
        <v>-3.3027442376076202E-2</v>
      </c>
      <c r="Q1792">
        <v>0.136870808583375</v>
      </c>
      <c r="R1792">
        <v>0.93084810781631599</v>
      </c>
      <c r="S1792" t="s">
        <v>8795</v>
      </c>
      <c r="T1792" t="s">
        <v>14004</v>
      </c>
      <c r="U1792" t="s">
        <v>14004</v>
      </c>
      <c r="V1792" t="s">
        <v>14004</v>
      </c>
      <c r="W1792" t="s">
        <v>15761</v>
      </c>
      <c r="X1792">
        <v>2</v>
      </c>
      <c r="Y1792" t="s">
        <v>22685</v>
      </c>
      <c r="Z1792" t="s">
        <v>29502</v>
      </c>
      <c r="AA1792">
        <v>0.78924472609253971</v>
      </c>
      <c r="AB1792" t="str">
        <f>HYPERLINK("Melting_Curves/meltCurve_O76095_2_JTB.pdf", "Melting_Curves/meltCurve_O76095_2_JTB.pdf")</f>
        <v>Melting_Curves/meltCurve_O76095_2_JTB.pdf</v>
      </c>
    </row>
    <row r="1793" spans="1:28" x14ac:dyDescent="0.25">
      <c r="A1793" t="s">
        <v>1797</v>
      </c>
      <c r="B1793">
        <v>0.99999676499088797</v>
      </c>
      <c r="C1793">
        <v>1.03825952961454</v>
      </c>
      <c r="D1793">
        <v>0.97254781452328098</v>
      </c>
      <c r="E1793">
        <v>0.916652211434829</v>
      </c>
      <c r="F1793">
        <v>0.83129400150119404</v>
      </c>
      <c r="G1793">
        <v>0.79034386632665099</v>
      </c>
      <c r="H1793">
        <v>0.47721969277006798</v>
      </c>
      <c r="I1793">
        <v>0.57448039944163998</v>
      </c>
      <c r="J1793">
        <v>0.55806911962887695</v>
      </c>
      <c r="K1793">
        <v>0.57249540609248795</v>
      </c>
      <c r="L1793">
        <v>1063.0206758153499</v>
      </c>
      <c r="M1793">
        <v>19.255122040260702</v>
      </c>
      <c r="O1793">
        <v>54.622041889649203</v>
      </c>
      <c r="P1793">
        <v>-4.1380562541354499E-2</v>
      </c>
      <c r="Q1793">
        <v>0.53047184460637298</v>
      </c>
      <c r="R1793">
        <v>0.93174841535524799</v>
      </c>
      <c r="S1793" t="s">
        <v>8796</v>
      </c>
      <c r="T1793" t="s">
        <v>14004</v>
      </c>
      <c r="U1793" t="s">
        <v>14004</v>
      </c>
      <c r="V1793" t="s">
        <v>14004</v>
      </c>
      <c r="W1793" t="s">
        <v>15762</v>
      </c>
      <c r="X1793">
        <v>3</v>
      </c>
      <c r="Y1793" t="s">
        <v>22686</v>
      </c>
      <c r="Z1793" t="s">
        <v>29503</v>
      </c>
      <c r="AA1793">
        <v>0.77504468920262493</v>
      </c>
      <c r="AB1793" t="str">
        <f>HYPERLINK("Melting_Curves/meltCurve_O76096_CST7.pdf", "Melting_Curves/meltCurve_O76096_CST7.pdf")</f>
        <v>Melting_Curves/meltCurve_O76096_CST7.pdf</v>
      </c>
    </row>
    <row r="1794" spans="1:28" x14ac:dyDescent="0.25">
      <c r="A1794" t="s">
        <v>1798</v>
      </c>
      <c r="B1794">
        <v>0.99999676499088797</v>
      </c>
      <c r="C1794">
        <v>1.1274505686147001</v>
      </c>
      <c r="D1794">
        <v>0.914674240599188</v>
      </c>
      <c r="E1794">
        <v>0.54423267712743095</v>
      </c>
      <c r="F1794">
        <v>0.26787921833532402</v>
      </c>
      <c r="G1794">
        <v>0.23527464815294999</v>
      </c>
      <c r="H1794">
        <v>0.10079279719324299</v>
      </c>
      <c r="I1794">
        <v>0.106500861424305</v>
      </c>
      <c r="J1794">
        <v>8.7023594051102798E-2</v>
      </c>
      <c r="K1794">
        <v>6.4356108067207304E-2</v>
      </c>
      <c r="L1794">
        <v>1233.2593440596399</v>
      </c>
      <c r="M1794">
        <v>24.744014856460801</v>
      </c>
      <c r="N1794">
        <v>50.321818120271303</v>
      </c>
      <c r="O1794">
        <v>49.518602898945197</v>
      </c>
      <c r="P1794">
        <v>-0.111766171831506</v>
      </c>
      <c r="Q1794">
        <v>0.105330826001241</v>
      </c>
      <c r="R1794">
        <v>0.97958916429236598</v>
      </c>
      <c r="S1794" t="s">
        <v>8797</v>
      </c>
      <c r="T1794" t="s">
        <v>14004</v>
      </c>
      <c r="U1794" t="s">
        <v>14004</v>
      </c>
      <c r="V1794" t="s">
        <v>14004</v>
      </c>
      <c r="W1794" t="s">
        <v>15763</v>
      </c>
      <c r="X1794">
        <v>3</v>
      </c>
      <c r="Y1794" t="s">
        <v>22687</v>
      </c>
      <c r="Z1794" t="s">
        <v>29504</v>
      </c>
      <c r="AA1794">
        <v>0.40695474614252708</v>
      </c>
      <c r="AB1794" t="str">
        <f>HYPERLINK("Melting_Curves/meltCurve_O94762_RECQL5.pdf", "Melting_Curves/meltCurve_O94762_RECQL5.pdf")</f>
        <v>Melting_Curves/meltCurve_O94762_RECQL5.pdf</v>
      </c>
    </row>
    <row r="1795" spans="1:28" x14ac:dyDescent="0.25">
      <c r="A1795" t="s">
        <v>1799</v>
      </c>
      <c r="B1795">
        <v>0.99999676499088797</v>
      </c>
      <c r="C1795">
        <v>0.99462131251895403</v>
      </c>
      <c r="D1795">
        <v>1.02233928840745</v>
      </c>
      <c r="E1795">
        <v>1.2221932648435301</v>
      </c>
      <c r="F1795">
        <v>1.3253966590117701</v>
      </c>
      <c r="G1795">
        <v>1.0057403637189399</v>
      </c>
      <c r="H1795">
        <v>0.42158380434488901</v>
      </c>
      <c r="I1795">
        <v>0.48321160314115902</v>
      </c>
      <c r="J1795">
        <v>0.47581766804875503</v>
      </c>
      <c r="K1795">
        <v>0.60145554043479599</v>
      </c>
      <c r="L1795">
        <v>14611.704530023</v>
      </c>
      <c r="M1795">
        <v>250</v>
      </c>
      <c r="N1795">
        <v>59.569830699026703</v>
      </c>
      <c r="O1795">
        <v>58.443077921411202</v>
      </c>
      <c r="P1795">
        <v>-0.53950841714360098</v>
      </c>
      <c r="Q1795">
        <v>0.49551148127964201</v>
      </c>
      <c r="R1795">
        <v>0.82368458318245497</v>
      </c>
      <c r="S1795" t="s">
        <v>8798</v>
      </c>
      <c r="T1795" t="s">
        <v>14004</v>
      </c>
      <c r="U1795" t="s">
        <v>14004</v>
      </c>
      <c r="V1795" t="s">
        <v>14004</v>
      </c>
      <c r="W1795" t="s">
        <v>15764</v>
      </c>
      <c r="X1795">
        <v>11</v>
      </c>
      <c r="Y1795" t="s">
        <v>22688</v>
      </c>
      <c r="Z1795" t="s">
        <v>29505</v>
      </c>
      <c r="AA1795">
        <v>0.80577015992667489</v>
      </c>
      <c r="AB1795" t="str">
        <f>HYPERLINK("Melting_Curves/meltCurve_O94763_URI1.pdf", "Melting_Curves/meltCurve_O94763_URI1.pdf")</f>
        <v>Melting_Curves/meltCurve_O94763_URI1.pdf</v>
      </c>
    </row>
    <row r="1796" spans="1:28" x14ac:dyDescent="0.25">
      <c r="A1796" t="s">
        <v>1800</v>
      </c>
      <c r="B1796">
        <v>0.99999676499088797</v>
      </c>
      <c r="C1796">
        <v>1.0709467529319801</v>
      </c>
      <c r="D1796">
        <v>1.04187917766421</v>
      </c>
      <c r="E1796">
        <v>0.93603197654320802</v>
      </c>
      <c r="F1796">
        <v>0.33616632911817002</v>
      </c>
      <c r="G1796">
        <v>0.19540060483490701</v>
      </c>
      <c r="H1796">
        <v>6.2160391641320499E-2</v>
      </c>
      <c r="I1796">
        <v>7.7738247417852901E-2</v>
      </c>
      <c r="J1796">
        <v>8.5741701611292603E-2</v>
      </c>
      <c r="K1796">
        <v>4.9728846522101702E-2</v>
      </c>
      <c r="L1796">
        <v>2345.3107721321499</v>
      </c>
      <c r="M1796">
        <v>44.969267543060703</v>
      </c>
      <c r="N1796">
        <v>52.375582897091697</v>
      </c>
      <c r="O1796">
        <v>52.050790231929</v>
      </c>
      <c r="P1796">
        <v>-0.19725004755884601</v>
      </c>
      <c r="Q1796">
        <v>8.6753003932192999E-2</v>
      </c>
      <c r="R1796">
        <v>0.99105902311837701</v>
      </c>
      <c r="S1796" t="s">
        <v>8799</v>
      </c>
      <c r="T1796" t="s">
        <v>14004</v>
      </c>
      <c r="U1796" t="s">
        <v>14004</v>
      </c>
      <c r="V1796" t="s">
        <v>14004</v>
      </c>
      <c r="W1796" t="s">
        <v>15765</v>
      </c>
      <c r="X1796">
        <v>7</v>
      </c>
      <c r="Y1796" t="s">
        <v>22689</v>
      </c>
      <c r="Z1796" t="s">
        <v>29506</v>
      </c>
      <c r="AA1796">
        <v>0.45932878296979041</v>
      </c>
      <c r="AB1796" t="str">
        <f>HYPERLINK("Melting_Curves/meltCurve_O94766_B3GAT3.pdf", "Melting_Curves/meltCurve_O94766_B3GAT3.pdf")</f>
        <v>Melting_Curves/meltCurve_O94766_B3GAT3.pdf</v>
      </c>
    </row>
    <row r="1797" spans="1:28" x14ac:dyDescent="0.25">
      <c r="A1797" t="s">
        <v>1801</v>
      </c>
      <c r="B1797">
        <v>0.99999676499088797</v>
      </c>
      <c r="C1797">
        <v>0.92705297373791495</v>
      </c>
      <c r="D1797">
        <v>0.77252457046535306</v>
      </c>
      <c r="E1797">
        <v>0.42092712380700797</v>
      </c>
      <c r="F1797">
        <v>0.208354079485912</v>
      </c>
      <c r="G1797">
        <v>0.16904154753489201</v>
      </c>
      <c r="H1797">
        <v>9.70553693207796E-2</v>
      </c>
      <c r="I1797">
        <v>6.39703520836781E-2</v>
      </c>
      <c r="J1797">
        <v>8.0009046184992799E-2</v>
      </c>
      <c r="K1797">
        <v>3.6539118449182402E-2</v>
      </c>
      <c r="L1797">
        <v>925.15992246663404</v>
      </c>
      <c r="M1797">
        <v>19.0629904160043</v>
      </c>
      <c r="N1797">
        <v>48.906496109311902</v>
      </c>
      <c r="O1797">
        <v>48.007128045910498</v>
      </c>
      <c r="P1797">
        <v>-9.2529332357367405E-2</v>
      </c>
      <c r="Q1797">
        <v>6.7954669041976806E-2</v>
      </c>
      <c r="R1797">
        <v>0.996550639620567</v>
      </c>
      <c r="S1797" t="s">
        <v>8800</v>
      </c>
      <c r="T1797" t="s">
        <v>14004</v>
      </c>
      <c r="U1797" t="s">
        <v>14004</v>
      </c>
      <c r="V1797" t="s">
        <v>14004</v>
      </c>
      <c r="W1797" t="s">
        <v>15766</v>
      </c>
      <c r="X1797">
        <v>2</v>
      </c>
      <c r="Y1797" t="s">
        <v>22690</v>
      </c>
      <c r="Z1797" t="s">
        <v>29507</v>
      </c>
      <c r="AA1797">
        <v>0.34751459046950861</v>
      </c>
      <c r="AB1797" t="str">
        <f>HYPERLINK("Melting_Curves/meltCurve_O94768_STK17B.pdf", "Melting_Curves/meltCurve_O94768_STK17B.pdf")</f>
        <v>Melting_Curves/meltCurve_O94768_STK17B.pdf</v>
      </c>
    </row>
    <row r="1798" spans="1:28" x14ac:dyDescent="0.25">
      <c r="A1798" t="s">
        <v>1802</v>
      </c>
      <c r="B1798">
        <v>0.99999676499088797</v>
      </c>
      <c r="C1798">
        <v>1.0342887289959899</v>
      </c>
      <c r="D1798">
        <v>0.908072673552067</v>
      </c>
      <c r="E1798">
        <v>0.60816981750037702</v>
      </c>
      <c r="F1798">
        <v>0.34269011712977898</v>
      </c>
      <c r="G1798">
        <v>0.18447642068678599</v>
      </c>
      <c r="H1798">
        <v>8.9816484793364695E-2</v>
      </c>
      <c r="I1798">
        <v>7.4916778674320506E-2</v>
      </c>
      <c r="J1798">
        <v>6.8319095962882506E-2</v>
      </c>
      <c r="K1798">
        <v>5.7956832895780901E-2</v>
      </c>
      <c r="L1798">
        <v>1007.48632600155</v>
      </c>
      <c r="M1798">
        <v>19.849225067493201</v>
      </c>
      <c r="N1798">
        <v>51.0998071380683</v>
      </c>
      <c r="O1798">
        <v>50.250189968347101</v>
      </c>
      <c r="P1798">
        <v>-9.259876508296E-2</v>
      </c>
      <c r="Q1798">
        <v>6.2341085454584E-2</v>
      </c>
      <c r="R1798">
        <v>0.996587389955224</v>
      </c>
      <c r="S1798" t="s">
        <v>8801</v>
      </c>
      <c r="T1798" t="s">
        <v>14004</v>
      </c>
      <c r="U1798" t="s">
        <v>14004</v>
      </c>
      <c r="V1798" t="s">
        <v>14004</v>
      </c>
      <c r="W1798" t="s">
        <v>15767</v>
      </c>
      <c r="X1798">
        <v>27</v>
      </c>
      <c r="Y1798" t="s">
        <v>22691</v>
      </c>
      <c r="Z1798" t="s">
        <v>29508</v>
      </c>
      <c r="AA1798">
        <v>0.41176450306824092</v>
      </c>
      <c r="AB1798" t="str">
        <f>HYPERLINK("Melting_Curves/meltCurve_O94776_MTA2.pdf", "Melting_Curves/meltCurve_O94776_MTA2.pdf")</f>
        <v>Melting_Curves/meltCurve_O94776_MTA2.pdf</v>
      </c>
    </row>
    <row r="1799" spans="1:28" x14ac:dyDescent="0.25">
      <c r="A1799" t="s">
        <v>1803</v>
      </c>
      <c r="B1799">
        <v>0.99999676499088797</v>
      </c>
      <c r="C1799">
        <v>0.94556801028281601</v>
      </c>
      <c r="D1799">
        <v>0.72455817310342296</v>
      </c>
      <c r="E1799">
        <v>0.31301072790853901</v>
      </c>
      <c r="F1799">
        <v>0.182741221449855</v>
      </c>
      <c r="G1799">
        <v>0.14056050991275801</v>
      </c>
      <c r="H1799">
        <v>9.3703240241599303E-2</v>
      </c>
      <c r="I1799">
        <v>9.0700738758342905E-2</v>
      </c>
      <c r="J1799">
        <v>7.1115762980309902E-2</v>
      </c>
      <c r="K1799">
        <v>0.103338625474964</v>
      </c>
      <c r="L1799">
        <v>1175.74952432553</v>
      </c>
      <c r="M1799">
        <v>24.762014765591601</v>
      </c>
      <c r="N1799">
        <v>47.904319496425202</v>
      </c>
      <c r="O1799">
        <v>47.175553639391801</v>
      </c>
      <c r="P1799">
        <v>-0.118357099660742</v>
      </c>
      <c r="Q1799">
        <v>9.8056636366296204E-2</v>
      </c>
      <c r="R1799">
        <v>0.99779593182906501</v>
      </c>
      <c r="S1799" t="s">
        <v>8802</v>
      </c>
      <c r="T1799" t="s">
        <v>14004</v>
      </c>
      <c r="U1799" t="s">
        <v>14004</v>
      </c>
      <c r="V1799" t="s">
        <v>14004</v>
      </c>
      <c r="W1799" t="s">
        <v>15768</v>
      </c>
      <c r="X1799">
        <v>8</v>
      </c>
      <c r="Y1799" t="s">
        <v>22692</v>
      </c>
      <c r="Z1799" t="s">
        <v>29509</v>
      </c>
      <c r="AA1799">
        <v>0.33116443934244549</v>
      </c>
      <c r="AB1799" t="str">
        <f>HYPERLINK("Melting_Curves/meltCurve_O94782_USP1.pdf", "Melting_Curves/meltCurve_O94782_USP1.pdf")</f>
        <v>Melting_Curves/meltCurve_O94782_USP1.pdf</v>
      </c>
    </row>
    <row r="1800" spans="1:28" x14ac:dyDescent="0.25">
      <c r="A1800" t="s">
        <v>1804</v>
      </c>
      <c r="B1800">
        <v>0.99999676499088797</v>
      </c>
      <c r="C1800">
        <v>1.0371945602599399</v>
      </c>
      <c r="D1800">
        <v>0.55586307855113704</v>
      </c>
      <c r="E1800">
        <v>0.23140223483282399</v>
      </c>
      <c r="F1800">
        <v>0.169113341180297</v>
      </c>
      <c r="G1800">
        <v>0.13510582580152</v>
      </c>
      <c r="H1800">
        <v>6.1379245648421399E-2</v>
      </c>
      <c r="I1800">
        <v>8.4410389525733001E-2</v>
      </c>
      <c r="J1800">
        <v>7.8843701112294898E-2</v>
      </c>
      <c r="K1800">
        <v>6.6462719763345293E-2</v>
      </c>
      <c r="L1800">
        <v>1623.73559763034</v>
      </c>
      <c r="M1800">
        <v>35.101985150253498</v>
      </c>
      <c r="N1800">
        <v>46.563954592652401</v>
      </c>
      <c r="O1800">
        <v>46.108294071192503</v>
      </c>
      <c r="P1800">
        <v>-0.170703585399684</v>
      </c>
      <c r="Q1800">
        <v>0.103090730965611</v>
      </c>
      <c r="R1800">
        <v>0.98447581499576298</v>
      </c>
      <c r="S1800" t="s">
        <v>8803</v>
      </c>
      <c r="T1800" t="s">
        <v>14004</v>
      </c>
      <c r="U1800" t="s">
        <v>14004</v>
      </c>
      <c r="V1800" t="s">
        <v>14004</v>
      </c>
      <c r="W1800" t="s">
        <v>15769</v>
      </c>
      <c r="X1800">
        <v>20</v>
      </c>
      <c r="Y1800" t="s">
        <v>22693</v>
      </c>
      <c r="Z1800" t="s">
        <v>29510</v>
      </c>
      <c r="AA1800">
        <v>0.2940257560380532</v>
      </c>
      <c r="AB1800" t="str">
        <f>HYPERLINK("Melting_Curves/meltCurve_O94804_STK10.pdf", "Melting_Curves/meltCurve_O94804_STK10.pdf")</f>
        <v>Melting_Curves/meltCurve_O94804_STK10.pdf</v>
      </c>
    </row>
    <row r="1801" spans="1:28" x14ac:dyDescent="0.25">
      <c r="A1801" t="s">
        <v>1805</v>
      </c>
      <c r="B1801">
        <v>0.99999676499088797</v>
      </c>
      <c r="C1801">
        <v>1.01309813571555</v>
      </c>
      <c r="D1801">
        <v>0.87275396294127705</v>
      </c>
      <c r="E1801">
        <v>0.65802709737262699</v>
      </c>
      <c r="F1801">
        <v>0.35841614588633902</v>
      </c>
      <c r="G1801">
        <v>0.20623258478061801</v>
      </c>
      <c r="H1801">
        <v>7.8065445649965301E-2</v>
      </c>
      <c r="I1801">
        <v>8.4976253519819106E-2</v>
      </c>
      <c r="J1801">
        <v>8.3387825916196603E-2</v>
      </c>
      <c r="K1801">
        <v>7.0016532237295995E-2</v>
      </c>
      <c r="L1801">
        <v>949.26128078024203</v>
      </c>
      <c r="M1801">
        <v>18.595593141087701</v>
      </c>
      <c r="N1801">
        <v>51.415127850766702</v>
      </c>
      <c r="O1801">
        <v>50.468290731628102</v>
      </c>
      <c r="P1801">
        <v>-8.6386535513075305E-2</v>
      </c>
      <c r="Q1801">
        <v>6.2231241784712003E-2</v>
      </c>
      <c r="R1801">
        <v>0.99767416656567398</v>
      </c>
      <c r="S1801" t="s">
        <v>8804</v>
      </c>
      <c r="T1801" t="s">
        <v>14004</v>
      </c>
      <c r="U1801" t="s">
        <v>14004</v>
      </c>
      <c r="V1801" t="s">
        <v>14004</v>
      </c>
      <c r="W1801" t="s">
        <v>15770</v>
      </c>
      <c r="X1801">
        <v>17</v>
      </c>
      <c r="Y1801" t="s">
        <v>22694</v>
      </c>
      <c r="Z1801" t="s">
        <v>29511</v>
      </c>
      <c r="AA1801">
        <v>0.42245732716589968</v>
      </c>
      <c r="AB1801" t="str">
        <f>HYPERLINK("Melting_Curves/meltCurve_O94819_KBTBD11.pdf", "Melting_Curves/meltCurve_O94819_KBTBD11.pdf")</f>
        <v>Melting_Curves/meltCurve_O94819_KBTBD11.pdf</v>
      </c>
    </row>
    <row r="1802" spans="1:28" x14ac:dyDescent="0.25">
      <c r="A1802" t="s">
        <v>1806</v>
      </c>
      <c r="B1802">
        <v>0.99999676499088797</v>
      </c>
      <c r="C1802">
        <v>0.91680264987987203</v>
      </c>
      <c r="D1802">
        <v>0.93949070346194297</v>
      </c>
      <c r="E1802">
        <v>0.71061357580224505</v>
      </c>
      <c r="F1802">
        <v>0.19314594370070601</v>
      </c>
      <c r="G1802">
        <v>0.13251226205487901</v>
      </c>
      <c r="H1802">
        <v>6.4665675515089505E-2</v>
      </c>
      <c r="I1802">
        <v>6.5422078996593802E-2</v>
      </c>
      <c r="J1802">
        <v>5.6202577144123703E-2</v>
      </c>
      <c r="K1802">
        <v>4.8846283148637502E-2</v>
      </c>
      <c r="L1802">
        <v>1720.806086953</v>
      </c>
      <c r="M1802">
        <v>33.969591194950098</v>
      </c>
      <c r="N1802">
        <v>50.863718692899702</v>
      </c>
      <c r="O1802">
        <v>50.482669305005302</v>
      </c>
      <c r="P1802">
        <v>-0.15739117229277799</v>
      </c>
      <c r="Q1802">
        <v>6.4399289283927602E-2</v>
      </c>
      <c r="R1802">
        <v>0.99320526679196397</v>
      </c>
      <c r="S1802" t="s">
        <v>8805</v>
      </c>
      <c r="T1802" t="s">
        <v>14004</v>
      </c>
      <c r="U1802" t="s">
        <v>14004</v>
      </c>
      <c r="V1802" t="s">
        <v>14004</v>
      </c>
      <c r="W1802" t="s">
        <v>15771</v>
      </c>
      <c r="X1802">
        <v>28</v>
      </c>
      <c r="Y1802" t="s">
        <v>22695</v>
      </c>
      <c r="Z1802" t="s">
        <v>29512</v>
      </c>
      <c r="AA1802">
        <v>0.40131834947032857</v>
      </c>
      <c r="AB1802" t="str">
        <f>HYPERLINK("Melting_Curves/meltCurve_O94826_TOMM70A.pdf", "Melting_Curves/meltCurve_O94826_TOMM70A.pdf")</f>
        <v>Melting_Curves/meltCurve_O94826_TOMM70A.pdf</v>
      </c>
    </row>
    <row r="1803" spans="1:28" x14ac:dyDescent="0.25">
      <c r="A1803" t="s">
        <v>1807</v>
      </c>
      <c r="B1803">
        <v>0.99999676499088797</v>
      </c>
      <c r="C1803">
        <v>1.20901650587047</v>
      </c>
      <c r="D1803">
        <v>0.85695007174215398</v>
      </c>
      <c r="E1803">
        <v>0.40311782983426198</v>
      </c>
      <c r="F1803">
        <v>0.210267418970989</v>
      </c>
      <c r="G1803">
        <v>0.246824130842971</v>
      </c>
      <c r="H1803">
        <v>8.9980572096036299E-2</v>
      </c>
      <c r="I1803">
        <v>9.2974995034664595E-2</v>
      </c>
      <c r="J1803">
        <v>8.1891755278712897E-2</v>
      </c>
      <c r="K1803">
        <v>6.8589459622512797E-2</v>
      </c>
      <c r="L1803">
        <v>1569.2318327880901</v>
      </c>
      <c r="M1803">
        <v>32.295066731643402</v>
      </c>
      <c r="N1803">
        <v>49.003992785114598</v>
      </c>
      <c r="O1803">
        <v>48.405279544582498</v>
      </c>
      <c r="P1803">
        <v>-0.14690099530997</v>
      </c>
      <c r="Q1803">
        <v>0.11927736272860601</v>
      </c>
      <c r="R1803">
        <v>0.95765257887926702</v>
      </c>
      <c r="S1803" t="s">
        <v>8806</v>
      </c>
      <c r="T1803" t="s">
        <v>14004</v>
      </c>
      <c r="U1803" t="s">
        <v>14004</v>
      </c>
      <c r="V1803" t="s">
        <v>14004</v>
      </c>
      <c r="W1803" t="s">
        <v>15772</v>
      </c>
      <c r="X1803">
        <v>3</v>
      </c>
      <c r="Y1803" t="s">
        <v>22696</v>
      </c>
      <c r="Z1803" t="s">
        <v>29513</v>
      </c>
      <c r="AA1803">
        <v>0.37605446168543077</v>
      </c>
      <c r="AB1803" t="str">
        <f>HYPERLINK("Melting_Curves/meltCurve_O94829_IPO13.pdf", "Melting_Curves/meltCurve_O94829_IPO13.pdf")</f>
        <v>Melting_Curves/meltCurve_O94829_IPO13.pdf</v>
      </c>
    </row>
    <row r="1804" spans="1:28" x14ac:dyDescent="0.25">
      <c r="A1804" t="s">
        <v>1808</v>
      </c>
      <c r="B1804">
        <v>0.99999676499088797</v>
      </c>
      <c r="C1804">
        <v>1.0028858922922399</v>
      </c>
      <c r="D1804">
        <v>0.92037048136013799</v>
      </c>
      <c r="E1804">
        <v>0.76629550650111999</v>
      </c>
      <c r="F1804">
        <v>0.609931066916646</v>
      </c>
      <c r="G1804">
        <v>0.47252308423428102</v>
      </c>
      <c r="H1804">
        <v>0.20811262345054199</v>
      </c>
      <c r="I1804">
        <v>0.211464154249182</v>
      </c>
      <c r="J1804">
        <v>0.16209531040730399</v>
      </c>
      <c r="K1804">
        <v>0.122212111801631</v>
      </c>
      <c r="L1804">
        <v>687.71431158083703</v>
      </c>
      <c r="M1804">
        <v>12.5983347407736</v>
      </c>
      <c r="N1804">
        <v>55.240117787912901</v>
      </c>
      <c r="O1804">
        <v>53.267135215023004</v>
      </c>
      <c r="P1804">
        <v>-5.50518441942194E-2</v>
      </c>
      <c r="Q1804">
        <v>6.9125129236635302E-2</v>
      </c>
      <c r="R1804">
        <v>0.99249745727267202</v>
      </c>
      <c r="S1804" t="s">
        <v>8807</v>
      </c>
      <c r="T1804" t="s">
        <v>14004</v>
      </c>
      <c r="U1804" t="s">
        <v>14004</v>
      </c>
      <c r="V1804" t="s">
        <v>14004</v>
      </c>
      <c r="W1804" t="s">
        <v>15773</v>
      </c>
      <c r="X1804">
        <v>9</v>
      </c>
      <c r="Y1804" t="s">
        <v>22697</v>
      </c>
      <c r="Z1804" t="s">
        <v>29514</v>
      </c>
      <c r="AA1804">
        <v>0.54375751262763083</v>
      </c>
      <c r="AB1804" t="str">
        <f>HYPERLINK("Melting_Curves/meltCurve_O94830_DDHD2.pdf", "Melting_Curves/meltCurve_O94830_DDHD2.pdf")</f>
        <v>Melting_Curves/meltCurve_O94830_DDHD2.pdf</v>
      </c>
    </row>
    <row r="1805" spans="1:28" x14ac:dyDescent="0.25">
      <c r="A1805" t="s">
        <v>1809</v>
      </c>
      <c r="B1805">
        <v>0.99999676499088797</v>
      </c>
      <c r="C1805">
        <v>1.36424855045294</v>
      </c>
      <c r="D1805">
        <v>0.97658029437296301</v>
      </c>
      <c r="E1805">
        <v>0.52591057971886102</v>
      </c>
      <c r="F1805">
        <v>0.46652526551892298</v>
      </c>
      <c r="G1805">
        <v>0.154774275534733</v>
      </c>
      <c r="H1805">
        <v>0.10278204727937799</v>
      </c>
      <c r="I1805">
        <v>9.6699019860558205E-2</v>
      </c>
      <c r="J1805">
        <v>0.108719155333332</v>
      </c>
      <c r="K1805">
        <v>5.1189932996952299E-2</v>
      </c>
      <c r="L1805">
        <v>1098.7592910127401</v>
      </c>
      <c r="M1805">
        <v>21.568907862256399</v>
      </c>
      <c r="N1805">
        <v>51.387351340322802</v>
      </c>
      <c r="O1805">
        <v>50.509984652381199</v>
      </c>
      <c r="P1805">
        <v>-9.7653823028984704E-2</v>
      </c>
      <c r="Q1805">
        <v>8.5280708512045902E-2</v>
      </c>
      <c r="R1805">
        <v>0.907901755756368</v>
      </c>
      <c r="S1805" t="s">
        <v>8808</v>
      </c>
      <c r="T1805" t="s">
        <v>14004</v>
      </c>
      <c r="U1805" t="s">
        <v>14004</v>
      </c>
      <c r="V1805" t="s">
        <v>14004</v>
      </c>
      <c r="W1805" t="s">
        <v>15774</v>
      </c>
      <c r="X1805">
        <v>5</v>
      </c>
      <c r="Y1805" t="s">
        <v>22698</v>
      </c>
      <c r="Z1805" t="s">
        <v>29515</v>
      </c>
      <c r="AA1805">
        <v>0.42990853563020259</v>
      </c>
      <c r="AB1805" t="str">
        <f>HYPERLINK("Melting_Curves/meltCurve_O94832_MYO1D.pdf", "Melting_Curves/meltCurve_O94832_MYO1D.pdf")</f>
        <v>Melting_Curves/meltCurve_O94832_MYO1D.pdf</v>
      </c>
    </row>
    <row r="1806" spans="1:28" x14ac:dyDescent="0.25">
      <c r="A1806" t="s">
        <v>1810</v>
      </c>
      <c r="B1806">
        <v>0.99999676499088797</v>
      </c>
      <c r="C1806">
        <v>1.01682948426342</v>
      </c>
      <c r="D1806">
        <v>0.95783270635359696</v>
      </c>
      <c r="E1806">
        <v>0.86680537997871698</v>
      </c>
      <c r="F1806">
        <v>0.38446696484860898</v>
      </c>
      <c r="G1806">
        <v>0.24619259735158699</v>
      </c>
      <c r="H1806">
        <v>0.132930590605949</v>
      </c>
      <c r="I1806">
        <v>0.11551430748859599</v>
      </c>
      <c r="J1806">
        <v>9.6485262635827601E-2</v>
      </c>
      <c r="K1806">
        <v>7.7238856576037906E-2</v>
      </c>
      <c r="L1806">
        <v>1506.1434709236601</v>
      </c>
      <c r="M1806">
        <v>28.902718635821898</v>
      </c>
      <c r="N1806">
        <v>52.559529009014398</v>
      </c>
      <c r="O1806">
        <v>51.863241626530296</v>
      </c>
      <c r="P1806">
        <v>-0.124089632686398</v>
      </c>
      <c r="Q1806">
        <v>0.109337529942793</v>
      </c>
      <c r="R1806">
        <v>0.99421825183670998</v>
      </c>
      <c r="S1806" t="s">
        <v>8809</v>
      </c>
      <c r="T1806" t="s">
        <v>14004</v>
      </c>
      <c r="U1806" t="s">
        <v>14004</v>
      </c>
      <c r="V1806" t="s">
        <v>14004</v>
      </c>
      <c r="W1806" t="s">
        <v>15775</v>
      </c>
      <c r="X1806">
        <v>17</v>
      </c>
      <c r="Y1806" t="s">
        <v>22699</v>
      </c>
      <c r="Z1806" t="s">
        <v>29516</v>
      </c>
      <c r="AA1806">
        <v>0.47502777626385562</v>
      </c>
      <c r="AB1806" t="str">
        <f>HYPERLINK("Melting_Curves/meltCurve_O94855_SEC24D.pdf", "Melting_Curves/meltCurve_O94855_SEC24D.pdf")</f>
        <v>Melting_Curves/meltCurve_O94855_SEC24D.pdf</v>
      </c>
    </row>
    <row r="1807" spans="1:28" x14ac:dyDescent="0.25">
      <c r="A1807" t="s">
        <v>1811</v>
      </c>
      <c r="B1807">
        <v>0.99999676499088797</v>
      </c>
      <c r="C1807">
        <v>0.75913278569760101</v>
      </c>
      <c r="D1807">
        <v>0.62814294974487095</v>
      </c>
      <c r="E1807">
        <v>0.36827726278421502</v>
      </c>
      <c r="F1807">
        <v>0.33756273556143401</v>
      </c>
      <c r="G1807">
        <v>0.319630193737789</v>
      </c>
      <c r="H1807">
        <v>0.14265592476937899</v>
      </c>
      <c r="I1807">
        <v>0.17037258468563601</v>
      </c>
      <c r="J1807">
        <v>0.12296549582735999</v>
      </c>
      <c r="K1807">
        <v>0.117267078410398</v>
      </c>
      <c r="L1807">
        <v>572.91208081085301</v>
      </c>
      <c r="M1807">
        <v>12.163416622545601</v>
      </c>
      <c r="N1807">
        <v>48.256849831867598</v>
      </c>
      <c r="O1807">
        <v>45.882369987823303</v>
      </c>
      <c r="P1807">
        <v>-5.7914711674509498E-2</v>
      </c>
      <c r="Q1807">
        <v>0.12634553318907399</v>
      </c>
      <c r="R1807">
        <v>0.96716379273003705</v>
      </c>
      <c r="S1807" t="s">
        <v>8810</v>
      </c>
      <c r="T1807" t="s">
        <v>14004</v>
      </c>
      <c r="U1807" t="s">
        <v>14004</v>
      </c>
      <c r="V1807" t="s">
        <v>14004</v>
      </c>
      <c r="W1807" t="s">
        <v>15776</v>
      </c>
      <c r="X1807">
        <v>3</v>
      </c>
      <c r="Y1807" t="s">
        <v>22700</v>
      </c>
      <c r="Z1807" t="s">
        <v>29517</v>
      </c>
      <c r="AA1807">
        <v>0.36865763020309739</v>
      </c>
      <c r="AB1807" t="str">
        <f>HYPERLINK("Melting_Curves/meltCurve_O94864_2_SUPT7L.pdf", "Melting_Curves/meltCurve_O94864_2_SUPT7L.pdf")</f>
        <v>Melting_Curves/meltCurve_O94864_2_SUPT7L.pdf</v>
      </c>
    </row>
    <row r="1808" spans="1:28" x14ac:dyDescent="0.25">
      <c r="A1808" t="s">
        <v>1812</v>
      </c>
      <c r="B1808">
        <v>0.99999676499088797</v>
      </c>
      <c r="C1808">
        <v>0.92285743740730397</v>
      </c>
      <c r="D1808">
        <v>0.91984936493758596</v>
      </c>
      <c r="E1808">
        <v>0.42670320134526102</v>
      </c>
      <c r="F1808">
        <v>0.20589042062447799</v>
      </c>
      <c r="G1808">
        <v>0.14246177930342999</v>
      </c>
      <c r="H1808">
        <v>6.80526146081607E-2</v>
      </c>
      <c r="I1808">
        <v>5.6559852944656E-2</v>
      </c>
      <c r="J1808">
        <v>5.6490141312582801E-2</v>
      </c>
      <c r="K1808">
        <v>4.3690565979472497E-2</v>
      </c>
      <c r="L1808">
        <v>1302.0698992928501</v>
      </c>
      <c r="M1808">
        <v>26.539061859221601</v>
      </c>
      <c r="N1808">
        <v>49.338397659368901</v>
      </c>
      <c r="O1808">
        <v>48.786366382953602</v>
      </c>
      <c r="P1808">
        <v>-0.12661619504466301</v>
      </c>
      <c r="Q1808">
        <v>6.8983132308571393E-2</v>
      </c>
      <c r="R1808">
        <v>0.99149423593164598</v>
      </c>
      <c r="S1808" t="s">
        <v>8811</v>
      </c>
      <c r="T1808" t="s">
        <v>14004</v>
      </c>
      <c r="U1808" t="s">
        <v>14004</v>
      </c>
      <c r="V1808" t="s">
        <v>14004</v>
      </c>
      <c r="W1808" t="s">
        <v>15777</v>
      </c>
      <c r="X1808">
        <v>27</v>
      </c>
      <c r="Y1808" t="s">
        <v>22701</v>
      </c>
      <c r="Z1808" t="s">
        <v>29518</v>
      </c>
      <c r="AA1808">
        <v>0.35752367028260978</v>
      </c>
      <c r="AB1808" t="str">
        <f>HYPERLINK("Melting_Curves/meltCurve_O94874_UFL1.pdf", "Melting_Curves/meltCurve_O94874_UFL1.pdf")</f>
        <v>Melting_Curves/meltCurve_O94874_UFL1.pdf</v>
      </c>
    </row>
    <row r="1809" spans="1:28" x14ac:dyDescent="0.25">
      <c r="A1809" t="s">
        <v>1813</v>
      </c>
      <c r="B1809">
        <v>0.99999676499088797</v>
      </c>
      <c r="C1809">
        <v>0.89859482166827997</v>
      </c>
      <c r="D1809">
        <v>0.69517055877130496</v>
      </c>
      <c r="E1809">
        <v>0.56362148169962101</v>
      </c>
      <c r="F1809">
        <v>0.49960710453922902</v>
      </c>
      <c r="G1809">
        <v>0.420254784405102</v>
      </c>
      <c r="H1809">
        <v>0.302282555300463</v>
      </c>
      <c r="I1809">
        <v>0.28617294201606103</v>
      </c>
      <c r="J1809">
        <v>0.28965898286397701</v>
      </c>
      <c r="K1809">
        <v>0.35736046773803098</v>
      </c>
      <c r="L1809">
        <v>617.06935146443402</v>
      </c>
      <c r="M1809">
        <v>12.846788013727</v>
      </c>
      <c r="N1809">
        <v>51.654152771687201</v>
      </c>
      <c r="O1809">
        <v>46.913730428845902</v>
      </c>
      <c r="P1809">
        <v>-4.8146936870741001E-2</v>
      </c>
      <c r="Q1809">
        <v>0.296840344333548</v>
      </c>
      <c r="R1809">
        <v>0.97448724068640302</v>
      </c>
      <c r="S1809" t="s">
        <v>8812</v>
      </c>
      <c r="T1809" t="s">
        <v>14004</v>
      </c>
      <c r="U1809" t="s">
        <v>14004</v>
      </c>
      <c r="V1809" t="s">
        <v>14004</v>
      </c>
      <c r="W1809" t="s">
        <v>15778</v>
      </c>
      <c r="X1809">
        <v>4</v>
      </c>
      <c r="Y1809" t="s">
        <v>22702</v>
      </c>
      <c r="Z1809" t="s">
        <v>29519</v>
      </c>
      <c r="AA1809">
        <v>0.50940793854376298</v>
      </c>
      <c r="AB1809" t="str">
        <f>HYPERLINK("Melting_Curves/meltCurve_O94880_PHF14.pdf", "Melting_Curves/meltCurve_O94880_PHF14.pdf")</f>
        <v>Melting_Curves/meltCurve_O94880_PHF14.pdf</v>
      </c>
    </row>
    <row r="1810" spans="1:28" x14ac:dyDescent="0.25">
      <c r="A1810" t="s">
        <v>1814</v>
      </c>
      <c r="B1810">
        <v>0.99999676499088797</v>
      </c>
      <c r="C1810">
        <v>1.0379534989511801</v>
      </c>
      <c r="D1810">
        <v>0.99827739450029596</v>
      </c>
      <c r="E1810">
        <v>0.96763849546733305</v>
      </c>
      <c r="F1810">
        <v>0.86851739763806102</v>
      </c>
      <c r="G1810">
        <v>0.67829634952220896</v>
      </c>
      <c r="H1810">
        <v>0.39219135605560501</v>
      </c>
      <c r="I1810">
        <v>0.34877197308137298</v>
      </c>
      <c r="J1810">
        <v>0.30604990571919</v>
      </c>
      <c r="K1810">
        <v>0.32662702088216899</v>
      </c>
      <c r="L1810">
        <v>1379.3413192887799</v>
      </c>
      <c r="M1810">
        <v>24.272360198023399</v>
      </c>
      <c r="N1810">
        <v>59.061988073850998</v>
      </c>
      <c r="O1810">
        <v>56.446122924629698</v>
      </c>
      <c r="P1810">
        <v>-7.5211086062654794E-2</v>
      </c>
      <c r="Q1810">
        <v>0.30038761313807999</v>
      </c>
      <c r="R1810">
        <v>0.99568117049775595</v>
      </c>
      <c r="S1810" t="s">
        <v>8813</v>
      </c>
      <c r="T1810" t="s">
        <v>14004</v>
      </c>
      <c r="U1810" t="s">
        <v>14004</v>
      </c>
      <c r="V1810" t="s">
        <v>14004</v>
      </c>
      <c r="W1810" t="s">
        <v>15779</v>
      </c>
      <c r="X1810">
        <v>4</v>
      </c>
      <c r="Y1810" t="s">
        <v>22703</v>
      </c>
      <c r="Z1810" t="s">
        <v>29520</v>
      </c>
      <c r="AA1810">
        <v>0.69944065976813252</v>
      </c>
      <c r="AB1810" t="str">
        <f>HYPERLINK("Melting_Curves/meltCurve_O94886_TMEM63A.pdf", "Melting_Curves/meltCurve_O94886_TMEM63A.pdf")</f>
        <v>Melting_Curves/meltCurve_O94886_TMEM63A.pdf</v>
      </c>
    </row>
    <row r="1811" spans="1:28" x14ac:dyDescent="0.25">
      <c r="A1811" t="s">
        <v>1815</v>
      </c>
      <c r="B1811">
        <v>0.99999676499088797</v>
      </c>
      <c r="C1811">
        <v>0.88526521061513397</v>
      </c>
      <c r="D1811">
        <v>0.886796249335563</v>
      </c>
      <c r="E1811">
        <v>0.86797864407053305</v>
      </c>
      <c r="F1811">
        <v>0.44251916723562801</v>
      </c>
      <c r="G1811">
        <v>0.20154285261579299</v>
      </c>
      <c r="H1811">
        <v>0.101705032987011</v>
      </c>
      <c r="I1811">
        <v>8.984097175354E-2</v>
      </c>
      <c r="J1811">
        <v>8.3987797764617803E-2</v>
      </c>
      <c r="K1811">
        <v>7.9368421059604996E-2</v>
      </c>
      <c r="L1811">
        <v>1304.2493148675001</v>
      </c>
      <c r="M1811">
        <v>24.856144261211199</v>
      </c>
      <c r="N1811">
        <v>52.8267269786216</v>
      </c>
      <c r="O1811">
        <v>52.135796664340802</v>
      </c>
      <c r="P1811">
        <v>-0.11002775346577801</v>
      </c>
      <c r="Q1811">
        <v>7.6879006589416099E-2</v>
      </c>
      <c r="R1811">
        <v>0.98460497309663197</v>
      </c>
      <c r="S1811" t="s">
        <v>8814</v>
      </c>
      <c r="T1811" t="s">
        <v>14004</v>
      </c>
      <c r="U1811" t="s">
        <v>14004</v>
      </c>
      <c r="V1811" t="s">
        <v>14004</v>
      </c>
      <c r="W1811" t="s">
        <v>15780</v>
      </c>
      <c r="X1811">
        <v>19</v>
      </c>
      <c r="Y1811" t="s">
        <v>22704</v>
      </c>
      <c r="Z1811" t="s">
        <v>29521</v>
      </c>
      <c r="AA1811">
        <v>0.46920574842143198</v>
      </c>
      <c r="AB1811" t="str">
        <f>HYPERLINK("Melting_Curves/meltCurve_O94888_UBXN7.pdf", "Melting_Curves/meltCurve_O94888_UBXN7.pdf")</f>
        <v>Melting_Curves/meltCurve_O94888_UBXN7.pdf</v>
      </c>
    </row>
    <row r="1812" spans="1:28" x14ac:dyDescent="0.25">
      <c r="A1812" t="s">
        <v>1816</v>
      </c>
      <c r="B1812">
        <v>0.99999676499088797</v>
      </c>
      <c r="C1812">
        <v>1.0155706898583701</v>
      </c>
      <c r="D1812">
        <v>0.87102183958240298</v>
      </c>
      <c r="E1812">
        <v>0.72312833798465104</v>
      </c>
      <c r="F1812">
        <v>0.39170288526295199</v>
      </c>
      <c r="G1812">
        <v>0.36618705810858698</v>
      </c>
      <c r="H1812">
        <v>0.16696466220647899</v>
      </c>
      <c r="I1812">
        <v>0.21973355350019</v>
      </c>
      <c r="J1812">
        <v>0.17879482936869301</v>
      </c>
      <c r="K1812">
        <v>0.114644163591507</v>
      </c>
      <c r="L1812">
        <v>856.22871155395205</v>
      </c>
      <c r="M1812">
        <v>16.676080170428801</v>
      </c>
      <c r="N1812">
        <v>52.458482535128503</v>
      </c>
      <c r="O1812">
        <v>50.6234418951897</v>
      </c>
      <c r="P1812">
        <v>-7.0080850261597494E-2</v>
      </c>
      <c r="Q1812">
        <v>0.14908155520604699</v>
      </c>
      <c r="R1812">
        <v>0.98438745728417898</v>
      </c>
      <c r="S1812" t="s">
        <v>8815</v>
      </c>
      <c r="T1812" t="s">
        <v>14004</v>
      </c>
      <c r="U1812" t="s">
        <v>14004</v>
      </c>
      <c r="V1812" t="s">
        <v>14004</v>
      </c>
      <c r="W1812" t="s">
        <v>15781</v>
      </c>
      <c r="X1812">
        <v>2</v>
      </c>
      <c r="Y1812" t="s">
        <v>22705</v>
      </c>
      <c r="Z1812" t="s">
        <v>29522</v>
      </c>
      <c r="AA1812">
        <v>0.48717159153134659</v>
      </c>
      <c r="AB1812" t="str">
        <f>HYPERLINK("Melting_Curves/meltCurve_O94889_KLHL18.pdf", "Melting_Curves/meltCurve_O94889_KLHL18.pdf")</f>
        <v>Melting_Curves/meltCurve_O94889_KLHL18.pdf</v>
      </c>
    </row>
    <row r="1813" spans="1:28" x14ac:dyDescent="0.25">
      <c r="A1813" t="s">
        <v>1817</v>
      </c>
      <c r="B1813">
        <v>0.99999676499088797</v>
      </c>
      <c r="C1813">
        <v>0.98040973769849504</v>
      </c>
      <c r="D1813">
        <v>1.00882279839911</v>
      </c>
      <c r="E1813">
        <v>1.1050429930576899</v>
      </c>
      <c r="F1813">
        <v>0.754753466926257</v>
      </c>
      <c r="G1813">
        <v>0.61454471501091301</v>
      </c>
      <c r="H1813">
        <v>0.44635126035175199</v>
      </c>
      <c r="I1813">
        <v>0.42507317907640901</v>
      </c>
      <c r="J1813">
        <v>0.40192270408188902</v>
      </c>
      <c r="K1813">
        <v>0.69827631391757405</v>
      </c>
      <c r="L1813">
        <v>2313.3085722623</v>
      </c>
      <c r="M1813">
        <v>43.193564721881103</v>
      </c>
      <c r="O1813">
        <v>53.4423941019976</v>
      </c>
      <c r="P1813">
        <v>-9.9882182253477697E-2</v>
      </c>
      <c r="Q1813">
        <v>0.50567335081669296</v>
      </c>
      <c r="R1813">
        <v>0.87765386852862504</v>
      </c>
      <c r="S1813" t="s">
        <v>8816</v>
      </c>
      <c r="T1813" t="s">
        <v>14004</v>
      </c>
      <c r="U1813" t="s">
        <v>14004</v>
      </c>
      <c r="V1813" t="s">
        <v>14004</v>
      </c>
      <c r="W1813" t="s">
        <v>15782</v>
      </c>
      <c r="X1813">
        <v>6</v>
      </c>
      <c r="Y1813" t="s">
        <v>22706</v>
      </c>
      <c r="Z1813" t="s">
        <v>29523</v>
      </c>
      <c r="AA1813">
        <v>0.73062246895737104</v>
      </c>
      <c r="AB1813" t="str">
        <f>HYPERLINK("Melting_Curves/meltCurve_O94900_TOX.pdf", "Melting_Curves/meltCurve_O94900_TOX.pdf")</f>
        <v>Melting_Curves/meltCurve_O94900_TOX.pdf</v>
      </c>
    </row>
    <row r="1814" spans="1:28" x14ac:dyDescent="0.25">
      <c r="A1814" t="s">
        <v>1818</v>
      </c>
      <c r="B1814">
        <v>0.99999676499088797</v>
      </c>
      <c r="C1814">
        <v>1.01650548099814</v>
      </c>
      <c r="D1814">
        <v>0.81412834252879795</v>
      </c>
      <c r="E1814">
        <v>0.42047386650363</v>
      </c>
      <c r="F1814">
        <v>0.25848069227422699</v>
      </c>
      <c r="G1814">
        <v>0.167224937951402</v>
      </c>
      <c r="H1814">
        <v>8.1941354147912496E-2</v>
      </c>
      <c r="I1814">
        <v>6.7862273843791093E-2</v>
      </c>
      <c r="J1814">
        <v>6.6439225890579101E-2</v>
      </c>
      <c r="K1814">
        <v>6.1536834785250398E-2</v>
      </c>
      <c r="L1814">
        <v>1041.24602415145</v>
      </c>
      <c r="M1814">
        <v>21.307168006582799</v>
      </c>
      <c r="N1814">
        <v>49.258425441651703</v>
      </c>
      <c r="O1814">
        <v>48.444007689462403</v>
      </c>
      <c r="P1814">
        <v>-0.101423980194196</v>
      </c>
      <c r="Q1814">
        <v>7.7632702831817904E-2</v>
      </c>
      <c r="R1814">
        <v>0.99244610525593102</v>
      </c>
      <c r="S1814" t="s">
        <v>8817</v>
      </c>
      <c r="T1814" t="s">
        <v>14004</v>
      </c>
      <c r="U1814" t="s">
        <v>14004</v>
      </c>
      <c r="V1814" t="s">
        <v>14004</v>
      </c>
      <c r="W1814" t="s">
        <v>15783</v>
      </c>
      <c r="X1814">
        <v>15</v>
      </c>
      <c r="Y1814" t="s">
        <v>21362</v>
      </c>
      <c r="Z1814" t="s">
        <v>29524</v>
      </c>
      <c r="AA1814">
        <v>0.36165643145815679</v>
      </c>
      <c r="AB1814" t="str">
        <f>HYPERLINK("Melting_Curves/meltCurve_O94903_PROSC.pdf", "Melting_Curves/meltCurve_O94903_PROSC.pdf")</f>
        <v>Melting_Curves/meltCurve_O94903_PROSC.pdf</v>
      </c>
    </row>
    <row r="1815" spans="1:28" x14ac:dyDescent="0.25">
      <c r="A1815" t="s">
        <v>1819</v>
      </c>
      <c r="B1815">
        <v>0.99999676499088797</v>
      </c>
      <c r="C1815">
        <v>1.0093824152403399</v>
      </c>
      <c r="D1815">
        <v>0.92571837183676597</v>
      </c>
      <c r="E1815">
        <v>0.78308467694245198</v>
      </c>
      <c r="F1815">
        <v>0.44026733671563401</v>
      </c>
      <c r="G1815">
        <v>0.34036210123726701</v>
      </c>
      <c r="H1815">
        <v>0.18579241965047399</v>
      </c>
      <c r="I1815">
        <v>0.142879347283941</v>
      </c>
      <c r="J1815">
        <v>0.121149040732612</v>
      </c>
      <c r="K1815">
        <v>0.122636891469183</v>
      </c>
      <c r="L1815">
        <v>932.983974911671</v>
      </c>
      <c r="M1815">
        <v>17.832894127750301</v>
      </c>
      <c r="N1815">
        <v>53.101983087221001</v>
      </c>
      <c r="O1815">
        <v>51.673552603623101</v>
      </c>
      <c r="P1815">
        <v>-7.6296951915448594E-2</v>
      </c>
      <c r="Q1815">
        <v>0.115716667438757</v>
      </c>
      <c r="R1815">
        <v>0.99474645152833796</v>
      </c>
      <c r="S1815" t="s">
        <v>8818</v>
      </c>
      <c r="T1815" t="s">
        <v>14004</v>
      </c>
      <c r="U1815" t="s">
        <v>14004</v>
      </c>
      <c r="V1815" t="s">
        <v>14004</v>
      </c>
      <c r="W1815" t="s">
        <v>15784</v>
      </c>
      <c r="X1815">
        <v>8</v>
      </c>
      <c r="Y1815" t="s">
        <v>22707</v>
      </c>
      <c r="Z1815" t="s">
        <v>29525</v>
      </c>
      <c r="AA1815">
        <v>0.49368538659525429</v>
      </c>
      <c r="AB1815" t="str">
        <f>HYPERLINK("Melting_Curves/meltCurve_O94905_ERLIN2.pdf", "Melting_Curves/meltCurve_O94905_ERLIN2.pdf")</f>
        <v>Melting_Curves/meltCurve_O94905_ERLIN2.pdf</v>
      </c>
    </row>
    <row r="1816" spans="1:28" x14ac:dyDescent="0.25">
      <c r="A1816" t="s">
        <v>1820</v>
      </c>
      <c r="B1816">
        <v>0.99999676499088797</v>
      </c>
      <c r="C1816">
        <v>0.62897538235792905</v>
      </c>
      <c r="D1816">
        <v>0.277979031541218</v>
      </c>
      <c r="E1816">
        <v>0.206530656904546</v>
      </c>
      <c r="F1816">
        <v>0.13881768378974699</v>
      </c>
      <c r="G1816">
        <v>0.11348188253083299</v>
      </c>
      <c r="H1816">
        <v>6.7423883090311901E-2</v>
      </c>
      <c r="I1816">
        <v>7.2395518588852195E-2</v>
      </c>
      <c r="J1816">
        <v>8.6701249186789994E-2</v>
      </c>
      <c r="K1816">
        <v>7.7464630976709997E-2</v>
      </c>
      <c r="L1816">
        <v>1189.48437439028</v>
      </c>
      <c r="M1816">
        <v>27.237425992754901</v>
      </c>
      <c r="N1816">
        <v>44.036479319330603</v>
      </c>
      <c r="O1816">
        <v>43.4375899505661</v>
      </c>
      <c r="P1816">
        <v>-0.140902856691941</v>
      </c>
      <c r="Q1816">
        <v>0.101174766448513</v>
      </c>
      <c r="R1816">
        <v>0.98303016801769305</v>
      </c>
      <c r="S1816" t="s">
        <v>8819</v>
      </c>
      <c r="T1816" t="s">
        <v>14004</v>
      </c>
      <c r="U1816" t="s">
        <v>14004</v>
      </c>
      <c r="V1816" t="s">
        <v>14004</v>
      </c>
      <c r="W1816" t="s">
        <v>15785</v>
      </c>
      <c r="X1816">
        <v>14</v>
      </c>
      <c r="Y1816" t="s">
        <v>22708</v>
      </c>
      <c r="Z1816" t="s">
        <v>29526</v>
      </c>
      <c r="AA1816">
        <v>0.22005161851028401</v>
      </c>
      <c r="AB1816" t="str">
        <f>HYPERLINK("Melting_Curves/meltCurve_O94906_PRPF6.pdf", "Melting_Curves/meltCurve_O94906_PRPF6.pdf")</f>
        <v>Melting_Curves/meltCurve_O94906_PRPF6.pdf</v>
      </c>
    </row>
    <row r="1817" spans="1:28" x14ac:dyDescent="0.25">
      <c r="A1817" t="s">
        <v>1821</v>
      </c>
      <c r="B1817">
        <v>0.99999676499088797</v>
      </c>
      <c r="C1817">
        <v>0.75205388592202305</v>
      </c>
      <c r="D1817">
        <v>0.37155709795561997</v>
      </c>
      <c r="E1817">
        <v>0.23383914062453001</v>
      </c>
      <c r="F1817">
        <v>0.183648935742243</v>
      </c>
      <c r="G1817">
        <v>0.118780566204245</v>
      </c>
      <c r="H1817">
        <v>5.6423215977211297E-2</v>
      </c>
      <c r="I1817">
        <v>6.4802405593196402E-2</v>
      </c>
      <c r="J1817">
        <v>8.1242845938236094E-2</v>
      </c>
      <c r="K1817">
        <v>7.1223368908336304E-2</v>
      </c>
      <c r="L1817">
        <v>997.70168262968696</v>
      </c>
      <c r="M1817">
        <v>22.282818334163</v>
      </c>
      <c r="N1817">
        <v>45.1893114577449</v>
      </c>
      <c r="O1817">
        <v>44.418561156448703</v>
      </c>
      <c r="P1817">
        <v>-0.113816525034331</v>
      </c>
      <c r="Q1817">
        <v>9.2492237472404495E-2</v>
      </c>
      <c r="R1817">
        <v>0.98415451969797696</v>
      </c>
      <c r="S1817" t="s">
        <v>8820</v>
      </c>
      <c r="T1817" t="s">
        <v>14004</v>
      </c>
      <c r="U1817" t="s">
        <v>14004</v>
      </c>
      <c r="V1817" t="s">
        <v>14004</v>
      </c>
      <c r="W1817" t="s">
        <v>15786</v>
      </c>
      <c r="X1817">
        <v>15</v>
      </c>
      <c r="Y1817" t="s">
        <v>22709</v>
      </c>
      <c r="Z1817" t="s">
        <v>29527</v>
      </c>
      <c r="AA1817">
        <v>0.2491476094518047</v>
      </c>
      <c r="AB1817" t="str">
        <f>HYPERLINK("Melting_Curves/meltCurve_O94913_PCF11.pdf", "Melting_Curves/meltCurve_O94913_PCF11.pdf")</f>
        <v>Melting_Curves/meltCurve_O94913_PCF11.pdf</v>
      </c>
    </row>
    <row r="1818" spans="1:28" x14ac:dyDescent="0.25">
      <c r="A1818" t="s">
        <v>1822</v>
      </c>
      <c r="B1818">
        <v>0.99999676499088797</v>
      </c>
      <c r="C1818">
        <v>1.0216448449317199</v>
      </c>
      <c r="D1818">
        <v>0.92297114612196896</v>
      </c>
      <c r="E1818">
        <v>0.73921272240580604</v>
      </c>
      <c r="F1818">
        <v>0.66485208118931505</v>
      </c>
      <c r="G1818">
        <v>0.60845412985296898</v>
      </c>
      <c r="H1818">
        <v>0.31690530292854302</v>
      </c>
      <c r="I1818">
        <v>0.16989383366142</v>
      </c>
      <c r="J1818">
        <v>0.12828111409017201</v>
      </c>
      <c r="K1818">
        <v>9.0483139283988406E-2</v>
      </c>
      <c r="L1818">
        <v>633.44394823124901</v>
      </c>
      <c r="M1818">
        <v>11.170111490785001</v>
      </c>
      <c r="N1818">
        <v>56.708807819688303</v>
      </c>
      <c r="O1818">
        <v>54.982356136482203</v>
      </c>
      <c r="P1818">
        <v>-5.0805685029637199E-2</v>
      </c>
      <c r="Q1818">
        <v>0</v>
      </c>
      <c r="R1818">
        <v>0.97737144397388298</v>
      </c>
      <c r="S1818" t="s">
        <v>8821</v>
      </c>
      <c r="T1818" t="s">
        <v>14004</v>
      </c>
      <c r="U1818" t="s">
        <v>14004</v>
      </c>
      <c r="V1818" t="s">
        <v>14004</v>
      </c>
      <c r="W1818" t="s">
        <v>15787</v>
      </c>
      <c r="X1818">
        <v>9</v>
      </c>
      <c r="Y1818" t="s">
        <v>22710</v>
      </c>
      <c r="Z1818" t="s">
        <v>29528</v>
      </c>
      <c r="AA1818">
        <v>0.574888680893057</v>
      </c>
      <c r="AB1818" t="str">
        <f>HYPERLINK("Melting_Curves/meltCurve_O94919_ENDOD1.pdf", "Melting_Curves/meltCurve_O94919_ENDOD1.pdf")</f>
        <v>Melting_Curves/meltCurve_O94919_ENDOD1.pdf</v>
      </c>
    </row>
    <row r="1819" spans="1:28" x14ac:dyDescent="0.25">
      <c r="A1819" t="s">
        <v>1823</v>
      </c>
      <c r="B1819">
        <v>0.99999676499088797</v>
      </c>
      <c r="C1819">
        <v>0.958202741889839</v>
      </c>
      <c r="D1819">
        <v>0.98454258197536404</v>
      </c>
      <c r="E1819">
        <v>0.70590974410901297</v>
      </c>
      <c r="F1819">
        <v>0.19130507799673599</v>
      </c>
      <c r="G1819">
        <v>0.14200080328439599</v>
      </c>
      <c r="H1819">
        <v>6.2157410311332997E-2</v>
      </c>
      <c r="I1819">
        <v>6.1012615397396497E-2</v>
      </c>
      <c r="J1819">
        <v>6.1987404299225501E-2</v>
      </c>
      <c r="K1819">
        <v>5.3706660100564498E-2</v>
      </c>
      <c r="L1819">
        <v>1854.2662668575001</v>
      </c>
      <c r="M1819">
        <v>36.627141010928497</v>
      </c>
      <c r="N1819">
        <v>50.834536058607398</v>
      </c>
      <c r="O1819">
        <v>50.475271399613</v>
      </c>
      <c r="P1819">
        <v>-0.16872870712749699</v>
      </c>
      <c r="Q1819">
        <v>6.9913531571485901E-2</v>
      </c>
      <c r="R1819">
        <v>0.996756257178117</v>
      </c>
      <c r="S1819" t="s">
        <v>8822</v>
      </c>
      <c r="T1819" t="s">
        <v>14004</v>
      </c>
      <c r="U1819" t="s">
        <v>14004</v>
      </c>
      <c r="V1819" t="s">
        <v>14004</v>
      </c>
      <c r="W1819" t="s">
        <v>15788</v>
      </c>
      <c r="X1819">
        <v>27</v>
      </c>
      <c r="Y1819" t="s">
        <v>22711</v>
      </c>
      <c r="Z1819" t="s">
        <v>29529</v>
      </c>
      <c r="AA1819">
        <v>0.40322133704892421</v>
      </c>
      <c r="AB1819" t="str">
        <f>HYPERLINK("Melting_Curves/meltCurve_O94925_GLS.pdf", "Melting_Curves/meltCurve_O94925_GLS.pdf")</f>
        <v>Melting_Curves/meltCurve_O94925_GLS.pdf</v>
      </c>
    </row>
    <row r="1820" spans="1:28" x14ac:dyDescent="0.25">
      <c r="A1820" t="s">
        <v>1824</v>
      </c>
      <c r="B1820">
        <v>0.99999676499088797</v>
      </c>
      <c r="C1820">
        <v>0.98129502150744796</v>
      </c>
      <c r="D1820">
        <v>0.99398455795802099</v>
      </c>
      <c r="E1820">
        <v>0.53696821764867897</v>
      </c>
      <c r="F1820">
        <v>0.19957789724539299</v>
      </c>
      <c r="G1820">
        <v>0.137762428376864</v>
      </c>
      <c r="H1820">
        <v>6.8586164167598301E-2</v>
      </c>
      <c r="I1820">
        <v>6.6864104768367794E-2</v>
      </c>
      <c r="J1820">
        <v>5.47174774676151E-2</v>
      </c>
      <c r="K1820">
        <v>4.1517913115847703E-2</v>
      </c>
      <c r="L1820">
        <v>1595.7955170687601</v>
      </c>
      <c r="M1820">
        <v>32.0549001774583</v>
      </c>
      <c r="N1820">
        <v>50.0249918104033</v>
      </c>
      <c r="O1820">
        <v>49.590624336553397</v>
      </c>
      <c r="P1820">
        <v>-0.15000180095386101</v>
      </c>
      <c r="Q1820">
        <v>7.1761348091838595E-2</v>
      </c>
      <c r="R1820">
        <v>0.995030862141289</v>
      </c>
      <c r="S1820" t="s">
        <v>8823</v>
      </c>
      <c r="T1820" t="s">
        <v>14004</v>
      </c>
      <c r="U1820" t="s">
        <v>14004</v>
      </c>
      <c r="V1820" t="s">
        <v>14004</v>
      </c>
      <c r="W1820" t="s">
        <v>15789</v>
      </c>
      <c r="X1820">
        <v>28</v>
      </c>
      <c r="Y1820" t="s">
        <v>22711</v>
      </c>
      <c r="Z1820" t="s">
        <v>29530</v>
      </c>
      <c r="AA1820">
        <v>0.37946814732769901</v>
      </c>
      <c r="AB1820" t="str">
        <f>HYPERLINK("Melting_Curves/meltCurve_O94925_3_GLS.pdf", "Melting_Curves/meltCurve_O94925_3_GLS.pdf")</f>
        <v>Melting_Curves/meltCurve_O94925_3_GLS.pdf</v>
      </c>
    </row>
    <row r="1821" spans="1:28" x14ac:dyDescent="0.25">
      <c r="A1821" t="s">
        <v>1825</v>
      </c>
      <c r="B1821">
        <v>0.99999676499088797</v>
      </c>
      <c r="C1821">
        <v>0.90389025191628503</v>
      </c>
      <c r="D1821">
        <v>0.50438526930941796</v>
      </c>
      <c r="E1821">
        <v>0.2163411423113</v>
      </c>
      <c r="F1821">
        <v>0.16153915423397799</v>
      </c>
      <c r="G1821">
        <v>0.12097574022970101</v>
      </c>
      <c r="H1821">
        <v>5.7050692021108303E-2</v>
      </c>
      <c r="I1821">
        <v>5.2950375938395501E-2</v>
      </c>
      <c r="J1821">
        <v>8.0110939705070397E-2</v>
      </c>
      <c r="K1821">
        <v>4.8978668225791902E-2</v>
      </c>
      <c r="L1821">
        <v>1170.2799441254799</v>
      </c>
      <c r="M1821">
        <v>25.4642063410619</v>
      </c>
      <c r="N1821">
        <v>46.276741792384001</v>
      </c>
      <c r="O1821">
        <v>45.677217538880498</v>
      </c>
      <c r="P1821">
        <v>-0.12815655840200499</v>
      </c>
      <c r="Q1821">
        <v>8.0472134146101507E-2</v>
      </c>
      <c r="R1821">
        <v>0.99242974497814795</v>
      </c>
      <c r="S1821" t="s">
        <v>8824</v>
      </c>
      <c r="T1821" t="s">
        <v>14004</v>
      </c>
      <c r="U1821" t="s">
        <v>14004</v>
      </c>
      <c r="V1821" t="s">
        <v>14004</v>
      </c>
      <c r="W1821" t="s">
        <v>15790</v>
      </c>
      <c r="X1821">
        <v>2</v>
      </c>
      <c r="Y1821" t="s">
        <v>22712</v>
      </c>
      <c r="Z1821" t="s">
        <v>29531</v>
      </c>
      <c r="AA1821">
        <v>0.27124478444580791</v>
      </c>
      <c r="AB1821" t="str">
        <f>HYPERLINK("Melting_Curves/meltCurve_O94927_HAUS5.pdf", "Melting_Curves/meltCurve_O94927_HAUS5.pdf")</f>
        <v>Melting_Curves/meltCurve_O94927_HAUS5.pdf</v>
      </c>
    </row>
    <row r="1822" spans="1:28" x14ac:dyDescent="0.25">
      <c r="A1822" t="s">
        <v>1826</v>
      </c>
      <c r="B1822">
        <v>0.99999676499088797</v>
      </c>
      <c r="C1822">
        <v>1.01505398783135</v>
      </c>
      <c r="D1822">
        <v>0.91581090927787001</v>
      </c>
      <c r="E1822">
        <v>0.89338763875725702</v>
      </c>
      <c r="F1822">
        <v>0.60383796366871301</v>
      </c>
      <c r="G1822">
        <v>0.55383355971993597</v>
      </c>
      <c r="H1822">
        <v>0.25549067092154798</v>
      </c>
      <c r="I1822">
        <v>0.117717148785808</v>
      </c>
      <c r="J1822">
        <v>0.20808595642528799</v>
      </c>
      <c r="K1822">
        <v>0.102875161013528</v>
      </c>
      <c r="L1822">
        <v>767.15487730043105</v>
      </c>
      <c r="M1822">
        <v>13.7709658732304</v>
      </c>
      <c r="N1822">
        <v>56.199687217925501</v>
      </c>
      <c r="O1822">
        <v>54.572810974490402</v>
      </c>
      <c r="P1822">
        <v>-5.9514348849903399E-2</v>
      </c>
      <c r="Q1822">
        <v>5.6738072715620702E-2</v>
      </c>
      <c r="R1822">
        <v>0.97802608137775304</v>
      </c>
      <c r="S1822" t="s">
        <v>8825</v>
      </c>
      <c r="T1822" t="s">
        <v>14004</v>
      </c>
      <c r="U1822" t="s">
        <v>14004</v>
      </c>
      <c r="V1822" t="s">
        <v>14004</v>
      </c>
      <c r="W1822" t="s">
        <v>15791</v>
      </c>
      <c r="X1822">
        <v>2</v>
      </c>
      <c r="Y1822" t="s">
        <v>22713</v>
      </c>
      <c r="Z1822" t="s">
        <v>29532</v>
      </c>
      <c r="AA1822">
        <v>0.56910133346489433</v>
      </c>
      <c r="AB1822" t="str">
        <f>HYPERLINK("Melting_Curves/meltCurve_O94952_1_FBXO21.pdf", "Melting_Curves/meltCurve_O94952_1_FBXO21.pdf")</f>
        <v>Melting_Curves/meltCurve_O94952_1_FBXO21.pdf</v>
      </c>
    </row>
    <row r="1823" spans="1:28" x14ac:dyDescent="0.25">
      <c r="A1823" t="s">
        <v>1827</v>
      </c>
      <c r="B1823">
        <v>0.99999676499088797</v>
      </c>
      <c r="C1823">
        <v>1.01480879950606</v>
      </c>
      <c r="D1823">
        <v>0.94629242390689094</v>
      </c>
      <c r="E1823">
        <v>0.73156622515163405</v>
      </c>
      <c r="F1823">
        <v>0.26188795320819303</v>
      </c>
      <c r="G1823">
        <v>0.17628726088672</v>
      </c>
      <c r="H1823">
        <v>6.2153886036060202E-2</v>
      </c>
      <c r="I1823">
        <v>6.4563538480914895E-2</v>
      </c>
      <c r="J1823">
        <v>6.3965468377793197E-2</v>
      </c>
      <c r="K1823">
        <v>4.7502118876199297E-2</v>
      </c>
      <c r="L1823">
        <v>1437.1056343023099</v>
      </c>
      <c r="M1823">
        <v>28.144471046195999</v>
      </c>
      <c r="N1823">
        <v>51.316140187966901</v>
      </c>
      <c r="O1823">
        <v>50.806037022384103</v>
      </c>
      <c r="P1823">
        <v>-0.129473088908544</v>
      </c>
      <c r="Q1823">
        <v>6.5115235358661497E-2</v>
      </c>
      <c r="R1823">
        <v>0.99648678462678297</v>
      </c>
      <c r="S1823" t="s">
        <v>8826</v>
      </c>
      <c r="T1823" t="s">
        <v>14004</v>
      </c>
      <c r="U1823" t="s">
        <v>14004</v>
      </c>
      <c r="V1823" t="s">
        <v>14004</v>
      </c>
      <c r="W1823" t="s">
        <v>15792</v>
      </c>
      <c r="X1823">
        <v>21</v>
      </c>
      <c r="Y1823" t="s">
        <v>22714</v>
      </c>
      <c r="Z1823" t="s">
        <v>29533</v>
      </c>
      <c r="AA1823">
        <v>0.41651456508716261</v>
      </c>
      <c r="AB1823" t="str">
        <f>HYPERLINK("Melting_Curves/meltCurve_O94966_7_USP19.pdf", "Melting_Curves/meltCurve_O94966_7_USP19.pdf")</f>
        <v>Melting_Curves/meltCurve_O94966_7_USP19.pdf</v>
      </c>
    </row>
    <row r="1824" spans="1:28" x14ac:dyDescent="0.25">
      <c r="A1824" t="s">
        <v>1828</v>
      </c>
      <c r="B1824">
        <v>0.99999676499088797</v>
      </c>
      <c r="C1824">
        <v>1.06457563931126</v>
      </c>
      <c r="D1824">
        <v>1.0106422118730001</v>
      </c>
      <c r="E1824">
        <v>1.11848586133857</v>
      </c>
      <c r="F1824">
        <v>0.83686231718281301</v>
      </c>
      <c r="G1824">
        <v>0.38611821423235398</v>
      </c>
      <c r="H1824">
        <v>9.6480864262670704E-2</v>
      </c>
      <c r="I1824">
        <v>7.2462438487642694E-2</v>
      </c>
      <c r="J1824">
        <v>7.9755760032048095E-2</v>
      </c>
      <c r="K1824">
        <v>8.5982363665906905E-2</v>
      </c>
      <c r="L1824">
        <v>2090.1714228753499</v>
      </c>
      <c r="M1824">
        <v>37.534186171353603</v>
      </c>
      <c r="N1824">
        <v>55.924230292094002</v>
      </c>
      <c r="O1824">
        <v>55.529772530550098</v>
      </c>
      <c r="P1824">
        <v>-0.15655327458356999</v>
      </c>
      <c r="Q1824">
        <v>7.3554502017106602E-2</v>
      </c>
      <c r="R1824">
        <v>0.98891639711091395</v>
      </c>
      <c r="S1824" t="s">
        <v>8827</v>
      </c>
      <c r="T1824" t="s">
        <v>14004</v>
      </c>
      <c r="U1824" t="s">
        <v>14004</v>
      </c>
      <c r="V1824" t="s">
        <v>14004</v>
      </c>
      <c r="W1824" t="s">
        <v>15793</v>
      </c>
      <c r="X1824">
        <v>4</v>
      </c>
      <c r="Y1824" t="s">
        <v>22715</v>
      </c>
      <c r="Z1824" t="s">
        <v>29534</v>
      </c>
      <c r="AA1824">
        <v>0.56201715706706767</v>
      </c>
      <c r="AB1824" t="str">
        <f>HYPERLINK("Melting_Curves/meltCurve_O94967_2_WDR47.pdf", "Melting_Curves/meltCurve_O94967_2_WDR47.pdf")</f>
        <v>Melting_Curves/meltCurve_O94967_2_WDR47.pdf</v>
      </c>
    </row>
    <row r="1825" spans="1:28" x14ac:dyDescent="0.25">
      <c r="A1825" t="s">
        <v>1829</v>
      </c>
      <c r="B1825">
        <v>0.99999676499088797</v>
      </c>
      <c r="C1825">
        <v>1.06833363257133</v>
      </c>
      <c r="D1825">
        <v>1.1843813558215199</v>
      </c>
      <c r="E1825">
        <v>1.0083721075068499</v>
      </c>
      <c r="F1825">
        <v>0.40340139959533899</v>
      </c>
      <c r="G1825">
        <v>0.347620370899555</v>
      </c>
      <c r="H1825">
        <v>0.18436654389607701</v>
      </c>
      <c r="I1825">
        <v>0.168361794537952</v>
      </c>
      <c r="J1825">
        <v>0.13104198545248599</v>
      </c>
      <c r="K1825">
        <v>8.7563501081019596E-2</v>
      </c>
      <c r="L1825">
        <v>3052.5924458224299</v>
      </c>
      <c r="M1825">
        <v>58.270801997751398</v>
      </c>
      <c r="N1825">
        <v>52.7900882181372</v>
      </c>
      <c r="O1825">
        <v>52.324722444635803</v>
      </c>
      <c r="P1825">
        <v>-0.22834881479101701</v>
      </c>
      <c r="Q1825">
        <v>0.179809990423661</v>
      </c>
      <c r="R1825">
        <v>0.95767572891549602</v>
      </c>
      <c r="S1825" t="s">
        <v>8828</v>
      </c>
      <c r="T1825" t="s">
        <v>14004</v>
      </c>
      <c r="U1825" t="s">
        <v>14004</v>
      </c>
      <c r="V1825" t="s">
        <v>14004</v>
      </c>
      <c r="W1825" t="s">
        <v>15794</v>
      </c>
      <c r="X1825">
        <v>29</v>
      </c>
      <c r="Y1825" t="s">
        <v>22716</v>
      </c>
      <c r="Z1825" t="s">
        <v>29535</v>
      </c>
      <c r="AA1825">
        <v>0.51984100516949716</v>
      </c>
      <c r="AB1825" t="str">
        <f>HYPERLINK("Melting_Curves/meltCurve_O94973_AP2A2.pdf", "Melting_Curves/meltCurve_O94973_AP2A2.pdf")</f>
        <v>Melting_Curves/meltCurve_O94973_AP2A2.pdf</v>
      </c>
    </row>
    <row r="1826" spans="1:28" x14ac:dyDescent="0.25">
      <c r="A1826" t="s">
        <v>1830</v>
      </c>
      <c r="B1826">
        <v>0.99999676499088797</v>
      </c>
      <c r="C1826">
        <v>1.0798634025412399</v>
      </c>
      <c r="D1826">
        <v>1.09929006121533</v>
      </c>
      <c r="E1826">
        <v>1.18946702500792</v>
      </c>
      <c r="F1826">
        <v>0.58340952874422103</v>
      </c>
      <c r="G1826">
        <v>0.24037474342908099</v>
      </c>
      <c r="H1826">
        <v>9.8178567717955995E-2</v>
      </c>
      <c r="I1826">
        <v>8.9855815891031601E-2</v>
      </c>
      <c r="J1826">
        <v>7.8999116272082295E-2</v>
      </c>
      <c r="K1826">
        <v>7.3943608796258706E-2</v>
      </c>
      <c r="L1826">
        <v>2692.5769271033</v>
      </c>
      <c r="M1826">
        <v>50.319781647302896</v>
      </c>
      <c r="N1826">
        <v>53.7572326403875</v>
      </c>
      <c r="O1826">
        <v>53.425004672841503</v>
      </c>
      <c r="P1826">
        <v>-0.211085756529094</v>
      </c>
      <c r="Q1826">
        <v>0.103553494258193</v>
      </c>
      <c r="R1826">
        <v>0.96758196752125802</v>
      </c>
      <c r="S1826" t="s">
        <v>8829</v>
      </c>
      <c r="T1826" t="s">
        <v>14004</v>
      </c>
      <c r="U1826" t="s">
        <v>14004</v>
      </c>
      <c r="V1826" t="s">
        <v>14004</v>
      </c>
      <c r="W1826" t="s">
        <v>15795</v>
      </c>
      <c r="X1826">
        <v>29</v>
      </c>
      <c r="Y1826" t="s">
        <v>22716</v>
      </c>
      <c r="Z1826" t="s">
        <v>29536</v>
      </c>
      <c r="AA1826">
        <v>0.5093212332999475</v>
      </c>
      <c r="AB1826" t="str">
        <f>HYPERLINK("Melting_Curves/meltCurve_O94973_2_AP2A2.pdf", "Melting_Curves/meltCurve_O94973_2_AP2A2.pdf")</f>
        <v>Melting_Curves/meltCurve_O94973_2_AP2A2.pdf</v>
      </c>
    </row>
    <row r="1827" spans="1:28" x14ac:dyDescent="0.25">
      <c r="A1827" t="s">
        <v>1831</v>
      </c>
      <c r="B1827">
        <v>0.99999676499088797</v>
      </c>
      <c r="C1827">
        <v>0.95240904582666297</v>
      </c>
      <c r="D1827">
        <v>0.92471158694004796</v>
      </c>
      <c r="E1827">
        <v>0.89495541220100605</v>
      </c>
      <c r="F1827">
        <v>0.72703141063354704</v>
      </c>
      <c r="G1827">
        <v>0.59678232954660804</v>
      </c>
      <c r="H1827">
        <v>0.337821868946935</v>
      </c>
      <c r="I1827">
        <v>0.331972212767359</v>
      </c>
      <c r="J1827">
        <v>0.31365987682809499</v>
      </c>
      <c r="K1827">
        <v>0.37687260439653297</v>
      </c>
      <c r="L1827">
        <v>925.70079642244798</v>
      </c>
      <c r="M1827">
        <v>16.9334117212832</v>
      </c>
      <c r="N1827">
        <v>57.7777554729415</v>
      </c>
      <c r="O1827">
        <v>53.921784799477599</v>
      </c>
      <c r="P1827">
        <v>-5.5032716212138399E-2</v>
      </c>
      <c r="Q1827">
        <v>0.29907189532651102</v>
      </c>
      <c r="R1827">
        <v>0.97833608270850103</v>
      </c>
      <c r="S1827" t="s">
        <v>8830</v>
      </c>
      <c r="T1827" t="s">
        <v>14004</v>
      </c>
      <c r="U1827" t="s">
        <v>14004</v>
      </c>
      <c r="V1827" t="s">
        <v>14004</v>
      </c>
      <c r="W1827" t="s">
        <v>15796</v>
      </c>
      <c r="X1827">
        <v>16</v>
      </c>
      <c r="Y1827" t="s">
        <v>22717</v>
      </c>
      <c r="Z1827" t="s">
        <v>29537</v>
      </c>
      <c r="AA1827">
        <v>0.65368578886219375</v>
      </c>
      <c r="AB1827" t="str">
        <f>HYPERLINK("Melting_Curves/meltCurve_O94992_HEXIM1.pdf", "Melting_Curves/meltCurve_O94992_HEXIM1.pdf")</f>
        <v>Melting_Curves/meltCurve_O94992_HEXIM1.pdf</v>
      </c>
    </row>
    <row r="1828" spans="1:28" x14ac:dyDescent="0.25">
      <c r="A1828" t="s">
        <v>1832</v>
      </c>
      <c r="B1828">
        <v>0.99999676499088797</v>
      </c>
      <c r="C1828">
        <v>0.95539943781465497</v>
      </c>
      <c r="D1828">
        <v>1.08148996079718</v>
      </c>
      <c r="E1828">
        <v>1.5262406330720799</v>
      </c>
      <c r="F1828">
        <v>1.7000178335304701</v>
      </c>
      <c r="G1828">
        <v>1.4213474768877301</v>
      </c>
      <c r="H1828">
        <v>0.88252221509954998</v>
      </c>
      <c r="I1828">
        <v>0.29388915169420499</v>
      </c>
      <c r="J1828">
        <v>9.1904178043283602E-2</v>
      </c>
      <c r="K1828">
        <v>0.12087929480102</v>
      </c>
      <c r="L1828">
        <v>4116.5935644378096</v>
      </c>
      <c r="M1828">
        <v>65.675636637881894</v>
      </c>
      <c r="N1828">
        <v>62.900433238945602</v>
      </c>
      <c r="O1828">
        <v>62.622640972806899</v>
      </c>
      <c r="P1828">
        <v>-0.23531013224277</v>
      </c>
      <c r="Q1828">
        <v>0.10251419576965499</v>
      </c>
      <c r="R1828">
        <v>0.67922681740076096</v>
      </c>
      <c r="S1828" t="s">
        <v>8831</v>
      </c>
      <c r="T1828" t="s">
        <v>14004</v>
      </c>
      <c r="U1828" t="s">
        <v>14004</v>
      </c>
      <c r="V1828" t="s">
        <v>14004</v>
      </c>
      <c r="W1828" t="s">
        <v>15797</v>
      </c>
      <c r="X1828">
        <v>3</v>
      </c>
      <c r="Y1828" t="s">
        <v>22718</v>
      </c>
      <c r="Z1828" t="s">
        <v>29538</v>
      </c>
      <c r="AA1828">
        <v>0.78243027021815625</v>
      </c>
      <c r="AB1828" t="str">
        <f>HYPERLINK("Melting_Curves/meltCurve_O95059_RPP14.pdf", "Melting_Curves/meltCurve_O95059_RPP14.pdf")</f>
        <v>Melting_Curves/meltCurve_O95059_RPP14.pdf</v>
      </c>
    </row>
    <row r="1829" spans="1:28" x14ac:dyDescent="0.25">
      <c r="A1829" t="s">
        <v>1833</v>
      </c>
      <c r="B1829">
        <v>0.99999676499088797</v>
      </c>
      <c r="C1829">
        <v>0.91978327700086004</v>
      </c>
      <c r="D1829">
        <v>0.78616949845574602</v>
      </c>
      <c r="E1829">
        <v>0.72715320951547502</v>
      </c>
      <c r="F1829">
        <v>0.44546741399323497</v>
      </c>
      <c r="G1829">
        <v>0.32536081263598499</v>
      </c>
      <c r="H1829">
        <v>0.119896888603634</v>
      </c>
      <c r="I1829">
        <v>9.0488504278085802E-2</v>
      </c>
      <c r="J1829">
        <v>9.1925064782810498E-2</v>
      </c>
      <c r="K1829">
        <v>9.1897066033079594E-2</v>
      </c>
      <c r="L1829">
        <v>630.24811646212095</v>
      </c>
      <c r="M1829">
        <v>12.0252225171958</v>
      </c>
      <c r="N1829">
        <v>52.534836251848397</v>
      </c>
      <c r="O1829">
        <v>51.024243617214204</v>
      </c>
      <c r="P1829">
        <v>-5.81063955077077E-2</v>
      </c>
      <c r="Q1829">
        <v>1.4030296353213101E-2</v>
      </c>
      <c r="R1829">
        <v>0.98905492277717499</v>
      </c>
      <c r="S1829" t="s">
        <v>8832</v>
      </c>
      <c r="T1829" t="s">
        <v>14004</v>
      </c>
      <c r="U1829" t="s">
        <v>14004</v>
      </c>
      <c r="V1829" t="s">
        <v>14004</v>
      </c>
      <c r="W1829" t="s">
        <v>15798</v>
      </c>
      <c r="X1829">
        <v>8</v>
      </c>
      <c r="Y1829" t="s">
        <v>22719</v>
      </c>
      <c r="Z1829" t="s">
        <v>29539</v>
      </c>
      <c r="AA1829">
        <v>0.45116626563274992</v>
      </c>
      <c r="AB1829" t="str">
        <f>HYPERLINK("Melting_Curves/meltCurve_O95067_CCNB2.pdf", "Melting_Curves/meltCurve_O95067_CCNB2.pdf")</f>
        <v>Melting_Curves/meltCurve_O95067_CCNB2.pdf</v>
      </c>
    </row>
    <row r="1830" spans="1:28" x14ac:dyDescent="0.25">
      <c r="A1830" t="s">
        <v>1834</v>
      </c>
      <c r="B1830">
        <v>0.99999676499088797</v>
      </c>
      <c r="C1830">
        <v>0.81769288956217501</v>
      </c>
      <c r="D1830">
        <v>0.40537534894036897</v>
      </c>
      <c r="E1830">
        <v>0.187912620142037</v>
      </c>
      <c r="F1830">
        <v>9.7672114358326803E-2</v>
      </c>
      <c r="G1830">
        <v>7.8125325302952103E-2</v>
      </c>
      <c r="H1830">
        <v>6.8619633511129E-2</v>
      </c>
      <c r="I1830">
        <v>5.68037363043098E-2</v>
      </c>
      <c r="J1830">
        <v>0</v>
      </c>
      <c r="K1830">
        <v>2.97128772216812E-2</v>
      </c>
      <c r="L1830">
        <v>1108.82508583597</v>
      </c>
      <c r="M1830">
        <v>24.491718365064902</v>
      </c>
      <c r="N1830">
        <v>45.478895080630103</v>
      </c>
      <c r="O1830">
        <v>44.9748835210059</v>
      </c>
      <c r="P1830">
        <v>-0.12901433551823799</v>
      </c>
      <c r="Q1830">
        <v>5.2362148026744201E-2</v>
      </c>
      <c r="R1830">
        <v>0.99301930422064599</v>
      </c>
      <c r="S1830" t="s">
        <v>8833</v>
      </c>
      <c r="T1830" t="s">
        <v>14004</v>
      </c>
      <c r="U1830" t="s">
        <v>14004</v>
      </c>
      <c r="V1830" t="s">
        <v>14004</v>
      </c>
      <c r="W1830" t="s">
        <v>15799</v>
      </c>
      <c r="X1830">
        <v>4</v>
      </c>
      <c r="Y1830" t="s">
        <v>22720</v>
      </c>
      <c r="Z1830" t="s">
        <v>29540</v>
      </c>
      <c r="AA1830">
        <v>0.2285999280398551</v>
      </c>
      <c r="AB1830" t="str">
        <f>HYPERLINK("Melting_Curves/meltCurve_O95081_AGFG2.pdf", "Melting_Curves/meltCurve_O95081_AGFG2.pdf")</f>
        <v>Melting_Curves/meltCurve_O95081_AGFG2.pdf</v>
      </c>
    </row>
    <row r="1831" spans="1:28" x14ac:dyDescent="0.25">
      <c r="A1831" t="s">
        <v>1835</v>
      </c>
      <c r="B1831">
        <v>0.99999676499088797</v>
      </c>
      <c r="C1831">
        <v>0.87911220956448599</v>
      </c>
      <c r="D1831">
        <v>0.688081305154157</v>
      </c>
      <c r="E1831">
        <v>0.28314499165951301</v>
      </c>
      <c r="F1831">
        <v>0.229558095672493</v>
      </c>
      <c r="G1831">
        <v>0.19490144490462599</v>
      </c>
      <c r="H1831">
        <v>0.21837645136522399</v>
      </c>
      <c r="I1831">
        <v>0.25356944160186401</v>
      </c>
      <c r="J1831">
        <v>0.26557499824565201</v>
      </c>
      <c r="K1831">
        <v>0.37074497371648601</v>
      </c>
      <c r="L1831">
        <v>1522.9671138368501</v>
      </c>
      <c r="M1831">
        <v>32.948062036889397</v>
      </c>
      <c r="N1831">
        <v>47.2139206856573</v>
      </c>
      <c r="O1831">
        <v>46.053988627036198</v>
      </c>
      <c r="P1831">
        <v>-0.13422467118701001</v>
      </c>
      <c r="Q1831">
        <v>0.249539621253482</v>
      </c>
      <c r="R1831">
        <v>0.96684555775206305</v>
      </c>
      <c r="S1831" t="s">
        <v>8834</v>
      </c>
      <c r="T1831" t="s">
        <v>14004</v>
      </c>
      <c r="U1831" t="s">
        <v>14004</v>
      </c>
      <c r="V1831" t="s">
        <v>14004</v>
      </c>
      <c r="W1831" t="s">
        <v>15800</v>
      </c>
      <c r="X1831">
        <v>10</v>
      </c>
      <c r="Y1831" t="s">
        <v>22721</v>
      </c>
      <c r="Z1831" t="s">
        <v>29541</v>
      </c>
      <c r="AA1831">
        <v>0.40891376924551381</v>
      </c>
      <c r="AB1831" t="str">
        <f>HYPERLINK("Melting_Curves/meltCurve_O95104_SCAF4.pdf", "Melting_Curves/meltCurve_O95104_SCAF4.pdf")</f>
        <v>Melting_Curves/meltCurve_O95104_SCAF4.pdf</v>
      </c>
    </row>
    <row r="1832" spans="1:28" x14ac:dyDescent="0.25">
      <c r="A1832" t="s">
        <v>1836</v>
      </c>
      <c r="B1832">
        <v>0.99999676499088797</v>
      </c>
      <c r="C1832">
        <v>0.94628138854209898</v>
      </c>
      <c r="D1832">
        <v>0.94132007488270997</v>
      </c>
      <c r="E1832">
        <v>0.92268354869343105</v>
      </c>
      <c r="F1832">
        <v>0.82257823009630604</v>
      </c>
      <c r="G1832">
        <v>0.69391261025559903</v>
      </c>
      <c r="H1832">
        <v>0.50325302473769096</v>
      </c>
      <c r="I1832">
        <v>0.47121538050106598</v>
      </c>
      <c r="J1832">
        <v>0.43464299339016998</v>
      </c>
      <c r="K1832">
        <v>0.51127413018439405</v>
      </c>
      <c r="L1832">
        <v>949.24793769735402</v>
      </c>
      <c r="M1832">
        <v>17.128267834667</v>
      </c>
      <c r="N1832">
        <v>63.118354616891303</v>
      </c>
      <c r="O1832">
        <v>54.6810814960239</v>
      </c>
      <c r="P1832">
        <v>-4.4004888275477001E-2</v>
      </c>
      <c r="Q1832">
        <v>0.43810067789643697</v>
      </c>
      <c r="R1832">
        <v>0.97542079633295697</v>
      </c>
      <c r="S1832" t="s">
        <v>8835</v>
      </c>
      <c r="T1832" t="s">
        <v>14004</v>
      </c>
      <c r="U1832" t="s">
        <v>14004</v>
      </c>
      <c r="V1832" t="s">
        <v>14004</v>
      </c>
      <c r="W1832" t="s">
        <v>15801</v>
      </c>
      <c r="X1832">
        <v>6</v>
      </c>
      <c r="Y1832" t="s">
        <v>22722</v>
      </c>
      <c r="Z1832" t="s">
        <v>29542</v>
      </c>
      <c r="AA1832">
        <v>0.73599450878430639</v>
      </c>
      <c r="AB1832" t="str">
        <f>HYPERLINK("Melting_Curves/meltCurve_O95139_NDUFB6.pdf", "Melting_Curves/meltCurve_O95139_NDUFB6.pdf")</f>
        <v>Melting_Curves/meltCurve_O95139_NDUFB6.pdf</v>
      </c>
    </row>
    <row r="1833" spans="1:28" x14ac:dyDescent="0.25">
      <c r="A1833" t="s">
        <v>1837</v>
      </c>
      <c r="B1833">
        <v>0.99999676499088797</v>
      </c>
      <c r="C1833">
        <v>1.04274253640222</v>
      </c>
      <c r="D1833">
        <v>0.89806565342858702</v>
      </c>
      <c r="E1833">
        <v>0.534846353441358</v>
      </c>
      <c r="F1833">
        <v>0.26447296916903901</v>
      </c>
      <c r="G1833">
        <v>0.17563658000417101</v>
      </c>
      <c r="H1833">
        <v>6.9756526995792004E-2</v>
      </c>
      <c r="I1833">
        <v>6.12876554481925E-2</v>
      </c>
      <c r="J1833">
        <v>7.7725014284174596E-2</v>
      </c>
      <c r="K1833">
        <v>3.9580148760940001E-2</v>
      </c>
      <c r="L1833">
        <v>1117.1500049639401</v>
      </c>
      <c r="M1833">
        <v>22.377934447938301</v>
      </c>
      <c r="N1833">
        <v>50.2420356788205</v>
      </c>
      <c r="O1833">
        <v>49.528406070236002</v>
      </c>
      <c r="P1833">
        <v>-0.105452935689422</v>
      </c>
      <c r="Q1833">
        <v>6.6436162181844893E-2</v>
      </c>
      <c r="R1833">
        <v>0.99381679495696695</v>
      </c>
      <c r="S1833" t="s">
        <v>8836</v>
      </c>
      <c r="T1833" t="s">
        <v>14004</v>
      </c>
      <c r="U1833" t="s">
        <v>14004</v>
      </c>
      <c r="V1833" t="s">
        <v>14004</v>
      </c>
      <c r="W1833" t="s">
        <v>15802</v>
      </c>
      <c r="X1833">
        <v>5</v>
      </c>
      <c r="Y1833" t="s">
        <v>22723</v>
      </c>
      <c r="Z1833" t="s">
        <v>29543</v>
      </c>
      <c r="AA1833">
        <v>0.3856067028035472</v>
      </c>
      <c r="AB1833" t="str">
        <f>HYPERLINK("Melting_Curves/meltCurve_O95140_MFN2.pdf", "Melting_Curves/meltCurve_O95140_MFN2.pdf")</f>
        <v>Melting_Curves/meltCurve_O95140_MFN2.pdf</v>
      </c>
    </row>
    <row r="1834" spans="1:28" x14ac:dyDescent="0.25">
      <c r="A1834" t="s">
        <v>1838</v>
      </c>
      <c r="B1834">
        <v>0.99999676499088797</v>
      </c>
      <c r="C1834">
        <v>0.987068686410152</v>
      </c>
      <c r="D1834">
        <v>0.97552915563527898</v>
      </c>
      <c r="E1834">
        <v>0.71841852081215196</v>
      </c>
      <c r="F1834">
        <v>0.281213167820351</v>
      </c>
      <c r="G1834">
        <v>0.172777846287828</v>
      </c>
      <c r="H1834">
        <v>8.8714703190823502E-2</v>
      </c>
      <c r="I1834">
        <v>7.4523235809042201E-2</v>
      </c>
      <c r="J1834">
        <v>6.9004577373851295E-2</v>
      </c>
      <c r="K1834">
        <v>6.0666007662465202E-2</v>
      </c>
      <c r="L1834">
        <v>1428.5170667828199</v>
      </c>
      <c r="M1834">
        <v>27.990980520890801</v>
      </c>
      <c r="N1834">
        <v>51.340912845007097</v>
      </c>
      <c r="O1834">
        <v>50.776552298017101</v>
      </c>
      <c r="P1834">
        <v>-0.12722741434395099</v>
      </c>
      <c r="Q1834">
        <v>7.6829204402629706E-2</v>
      </c>
      <c r="R1834">
        <v>0.99804335372247399</v>
      </c>
      <c r="S1834" t="s">
        <v>8837</v>
      </c>
      <c r="T1834" t="s">
        <v>14004</v>
      </c>
      <c r="U1834" t="s">
        <v>14004</v>
      </c>
      <c r="V1834" t="s">
        <v>14004</v>
      </c>
      <c r="W1834" t="s">
        <v>15803</v>
      </c>
      <c r="X1834">
        <v>16</v>
      </c>
      <c r="Y1834" t="s">
        <v>22724</v>
      </c>
      <c r="Z1834" t="s">
        <v>29544</v>
      </c>
      <c r="AA1834">
        <v>0.42306949632600382</v>
      </c>
      <c r="AB1834" t="str">
        <f>HYPERLINK("Melting_Curves/meltCurve_O95155_2_UBE4B.pdf", "Melting_Curves/meltCurve_O95155_2_UBE4B.pdf")</f>
        <v>Melting_Curves/meltCurve_O95155_2_UBE4B.pdf</v>
      </c>
    </row>
    <row r="1835" spans="1:28" x14ac:dyDescent="0.25">
      <c r="A1835" t="s">
        <v>1839</v>
      </c>
      <c r="B1835">
        <v>0.99999676499088797</v>
      </c>
      <c r="C1835">
        <v>0.944292607472073</v>
      </c>
      <c r="D1835">
        <v>1.00314984097714</v>
      </c>
      <c r="E1835">
        <v>1.04841679908356</v>
      </c>
      <c r="F1835">
        <v>0.58845595661179495</v>
      </c>
      <c r="G1835">
        <v>0.359546469353273</v>
      </c>
      <c r="H1835">
        <v>0.20116584297878001</v>
      </c>
      <c r="I1835">
        <v>0.22237005185547701</v>
      </c>
      <c r="J1835">
        <v>0.18984464218841901</v>
      </c>
      <c r="K1835">
        <v>0.232474615584673</v>
      </c>
      <c r="L1835">
        <v>2065.3384726385402</v>
      </c>
      <c r="M1835">
        <v>38.739145173902799</v>
      </c>
      <c r="N1835">
        <v>54.135801360037902</v>
      </c>
      <c r="O1835">
        <v>53.172517860283797</v>
      </c>
      <c r="P1835">
        <v>-0.14164929827585199</v>
      </c>
      <c r="Q1835">
        <v>0.22230270621647599</v>
      </c>
      <c r="R1835">
        <v>0.98496856940629696</v>
      </c>
      <c r="S1835" t="s">
        <v>8838</v>
      </c>
      <c r="T1835" t="s">
        <v>14004</v>
      </c>
      <c r="U1835" t="s">
        <v>14004</v>
      </c>
      <c r="V1835" t="s">
        <v>14004</v>
      </c>
      <c r="W1835" t="s">
        <v>15804</v>
      </c>
      <c r="X1835">
        <v>3</v>
      </c>
      <c r="Y1835" t="s">
        <v>22725</v>
      </c>
      <c r="Z1835" t="s">
        <v>29545</v>
      </c>
      <c r="AA1835">
        <v>0.5704964091403949</v>
      </c>
      <c r="AB1835" t="str">
        <f>HYPERLINK("Melting_Curves/meltCurve_O95159_ZFPL1.pdf", "Melting_Curves/meltCurve_O95159_ZFPL1.pdf")</f>
        <v>Melting_Curves/meltCurve_O95159_ZFPL1.pdf</v>
      </c>
    </row>
    <row r="1836" spans="1:28" x14ac:dyDescent="0.25">
      <c r="A1836" t="s">
        <v>1840</v>
      </c>
      <c r="B1836">
        <v>0.99999676499088797</v>
      </c>
      <c r="C1836">
        <v>0.99289906208544798</v>
      </c>
      <c r="D1836">
        <v>0.96028283556951799</v>
      </c>
      <c r="E1836">
        <v>1.12887976483048</v>
      </c>
      <c r="F1836">
        <v>0.94104794416388404</v>
      </c>
      <c r="G1836">
        <v>0.43985811102574002</v>
      </c>
      <c r="H1836">
        <v>0.16023425405074801</v>
      </c>
      <c r="I1836">
        <v>0.134096718981664</v>
      </c>
      <c r="J1836">
        <v>0.111401497638925</v>
      </c>
      <c r="K1836">
        <v>9.3322400939004999E-2</v>
      </c>
      <c r="L1836">
        <v>2660.2708924397398</v>
      </c>
      <c r="M1836">
        <v>47.371988635150799</v>
      </c>
      <c r="N1836">
        <v>56.476767424677398</v>
      </c>
      <c r="O1836">
        <v>56.057224226165602</v>
      </c>
      <c r="P1836">
        <v>-0.18641979110465101</v>
      </c>
      <c r="Q1836">
        <v>0.11760776394023401</v>
      </c>
      <c r="R1836">
        <v>0.98877066995584195</v>
      </c>
      <c r="S1836" t="s">
        <v>8839</v>
      </c>
      <c r="T1836" t="s">
        <v>14004</v>
      </c>
      <c r="U1836" t="s">
        <v>14004</v>
      </c>
      <c r="V1836" t="s">
        <v>14004</v>
      </c>
      <c r="W1836" t="s">
        <v>15805</v>
      </c>
      <c r="X1836">
        <v>23</v>
      </c>
      <c r="Y1836" t="s">
        <v>22726</v>
      </c>
      <c r="Z1836" t="s">
        <v>29546</v>
      </c>
      <c r="AA1836">
        <v>0.59526783506776515</v>
      </c>
      <c r="AB1836" t="str">
        <f>HYPERLINK("Melting_Curves/meltCurve_O95163_IKBKAP.pdf", "Melting_Curves/meltCurve_O95163_IKBKAP.pdf")</f>
        <v>Melting_Curves/meltCurve_O95163_IKBKAP.pdf</v>
      </c>
    </row>
    <row r="1837" spans="1:28" x14ac:dyDescent="0.25">
      <c r="A1837" t="s">
        <v>1841</v>
      </c>
      <c r="B1837">
        <v>0.99999676499088797</v>
      </c>
      <c r="C1837">
        <v>0.97370906894878095</v>
      </c>
      <c r="D1837">
        <v>1.01959478372653</v>
      </c>
      <c r="E1837">
        <v>0.91583468129185297</v>
      </c>
      <c r="F1837">
        <v>0.79021994645230698</v>
      </c>
      <c r="G1837">
        <v>0.76370389201063404</v>
      </c>
      <c r="H1837">
        <v>0.67452621065615503</v>
      </c>
      <c r="I1837">
        <v>0.63336461153897405</v>
      </c>
      <c r="J1837">
        <v>0.50461073181328897</v>
      </c>
      <c r="K1837">
        <v>0.44063304087735</v>
      </c>
      <c r="L1837">
        <v>439.87063491968502</v>
      </c>
      <c r="M1837">
        <v>6.6008561313185696</v>
      </c>
      <c r="N1837">
        <v>67.782747500498004</v>
      </c>
      <c r="O1837">
        <v>61.317843531369597</v>
      </c>
      <c r="P1837">
        <v>-2.5552020725167199E-2</v>
      </c>
      <c r="Q1837">
        <v>5.2726281955935803E-2</v>
      </c>
      <c r="R1837">
        <v>0.97345005512705696</v>
      </c>
      <c r="S1837" t="s">
        <v>8840</v>
      </c>
      <c r="T1837" t="s">
        <v>14004</v>
      </c>
      <c r="U1837" t="s">
        <v>14004</v>
      </c>
      <c r="V1837" t="s">
        <v>14004</v>
      </c>
      <c r="W1837" t="s">
        <v>15806</v>
      </c>
      <c r="X1837">
        <v>2</v>
      </c>
      <c r="Y1837" t="s">
        <v>22727</v>
      </c>
      <c r="Z1837" t="s">
        <v>29547</v>
      </c>
      <c r="AA1837">
        <v>0.77742515782102217</v>
      </c>
      <c r="AB1837" t="str">
        <f>HYPERLINK("Melting_Curves/meltCurve_O95167_NDUFA3.pdf", "Melting_Curves/meltCurve_O95167_NDUFA3.pdf")</f>
        <v>Melting_Curves/meltCurve_O95167_NDUFA3.pdf</v>
      </c>
    </row>
    <row r="1838" spans="1:28" x14ac:dyDescent="0.25">
      <c r="A1838" t="s">
        <v>1842</v>
      </c>
      <c r="B1838">
        <v>0.99999676499088797</v>
      </c>
      <c r="C1838">
        <v>0.98780227813405297</v>
      </c>
      <c r="D1838">
        <v>1.04478591327496</v>
      </c>
      <c r="E1838">
        <v>0.86828589837083003</v>
      </c>
      <c r="F1838">
        <v>0.54907906120074201</v>
      </c>
      <c r="G1838">
        <v>0.23864968246332899</v>
      </c>
      <c r="H1838">
        <v>7.8065583307400294E-2</v>
      </c>
      <c r="I1838">
        <v>8.9221068354222902E-2</v>
      </c>
      <c r="J1838">
        <v>9.9418730405843203E-2</v>
      </c>
      <c r="K1838">
        <v>9.1259524301485997E-2</v>
      </c>
      <c r="L1838">
        <v>1425.4899204354001</v>
      </c>
      <c r="M1838">
        <v>26.7683967135257</v>
      </c>
      <c r="N1838">
        <v>53.604527749533901</v>
      </c>
      <c r="O1838">
        <v>52.9581824002722</v>
      </c>
      <c r="P1838">
        <v>-0.116187198346483</v>
      </c>
      <c r="Q1838">
        <v>8.0557602792580896E-2</v>
      </c>
      <c r="R1838">
        <v>0.99667395013867799</v>
      </c>
      <c r="S1838" t="s">
        <v>8841</v>
      </c>
      <c r="T1838" t="s">
        <v>14004</v>
      </c>
      <c r="U1838" t="s">
        <v>14004</v>
      </c>
      <c r="V1838" t="s">
        <v>14004</v>
      </c>
      <c r="W1838" t="s">
        <v>15807</v>
      </c>
      <c r="X1838">
        <v>5</v>
      </c>
      <c r="Y1838" t="s">
        <v>22728</v>
      </c>
      <c r="Z1838" t="s">
        <v>29548</v>
      </c>
      <c r="AA1838">
        <v>0.49418289971577217</v>
      </c>
      <c r="AB1838" t="str">
        <f>HYPERLINK("Melting_Curves/meltCurve_O95168_NDUFB4.pdf", "Melting_Curves/meltCurve_O95168_NDUFB4.pdf")</f>
        <v>Melting_Curves/meltCurve_O95168_NDUFB4.pdf</v>
      </c>
    </row>
    <row r="1839" spans="1:28" x14ac:dyDescent="0.25">
      <c r="A1839" t="s">
        <v>1843</v>
      </c>
      <c r="B1839">
        <v>0.99999676499088797</v>
      </c>
      <c r="C1839">
        <v>0.91883028955670898</v>
      </c>
      <c r="D1839">
        <v>0.93972629149638698</v>
      </c>
      <c r="E1839">
        <v>0.67320458629361501</v>
      </c>
      <c r="F1839">
        <v>0.36521649078494101</v>
      </c>
      <c r="G1839">
        <v>0.30576154660560001</v>
      </c>
      <c r="H1839">
        <v>0.27108921125021002</v>
      </c>
      <c r="I1839">
        <v>0.33080279101249499</v>
      </c>
      <c r="J1839">
        <v>0.33532500365090401</v>
      </c>
      <c r="K1839">
        <v>0.32322268253974201</v>
      </c>
      <c r="L1839">
        <v>1621.6104015119799</v>
      </c>
      <c r="M1839">
        <v>32.651842445091603</v>
      </c>
      <c r="N1839">
        <v>51.170579511617198</v>
      </c>
      <c r="O1839">
        <v>49.478499823544503</v>
      </c>
      <c r="P1839">
        <v>-0.11402620960035401</v>
      </c>
      <c r="Q1839">
        <v>0.30885132181755898</v>
      </c>
      <c r="R1839">
        <v>0.98835357276501801</v>
      </c>
      <c r="S1839" t="s">
        <v>8842</v>
      </c>
      <c r="T1839" t="s">
        <v>14004</v>
      </c>
      <c r="U1839" t="s">
        <v>14004</v>
      </c>
      <c r="V1839" t="s">
        <v>14004</v>
      </c>
      <c r="W1839" t="s">
        <v>15808</v>
      </c>
      <c r="X1839">
        <v>3</v>
      </c>
      <c r="Y1839" t="s">
        <v>22729</v>
      </c>
      <c r="Z1839" t="s">
        <v>29549</v>
      </c>
      <c r="AA1839">
        <v>0.53506592310592849</v>
      </c>
      <c r="AB1839" t="str">
        <f>HYPERLINK("Melting_Curves/meltCurve_O95182_NDUFA7.pdf", "Melting_Curves/meltCurve_O95182_NDUFA7.pdf")</f>
        <v>Melting_Curves/meltCurve_O95182_NDUFA7.pdf</v>
      </c>
    </row>
    <row r="1840" spans="1:28" x14ac:dyDescent="0.25">
      <c r="A1840" t="s">
        <v>1844</v>
      </c>
      <c r="B1840">
        <v>0.99999676499088797</v>
      </c>
      <c r="C1840">
        <v>0.95707977511819697</v>
      </c>
      <c r="D1840">
        <v>1.0275926961445101</v>
      </c>
      <c r="E1840">
        <v>1.1720966463876901</v>
      </c>
      <c r="F1840">
        <v>1.1270870684393499</v>
      </c>
      <c r="G1840">
        <v>0.87225522643347597</v>
      </c>
      <c r="H1840">
        <v>0.76686437241703298</v>
      </c>
      <c r="I1840">
        <v>0.68163421274649405</v>
      </c>
      <c r="J1840">
        <v>0.63727878630281598</v>
      </c>
      <c r="K1840">
        <v>0.91340842003529599</v>
      </c>
      <c r="L1840">
        <v>14197.5996717333</v>
      </c>
      <c r="M1840">
        <v>250</v>
      </c>
      <c r="O1840">
        <v>56.786787795158197</v>
      </c>
      <c r="P1840">
        <v>-0.27537618225923999</v>
      </c>
      <c r="Q1840">
        <v>0.74979644115734501</v>
      </c>
      <c r="R1840">
        <v>0.67811638402601904</v>
      </c>
      <c r="S1840" t="s">
        <v>8843</v>
      </c>
      <c r="T1840" t="s">
        <v>14004</v>
      </c>
      <c r="U1840" t="s">
        <v>14004</v>
      </c>
      <c r="V1840" t="s">
        <v>14004</v>
      </c>
      <c r="W1840" t="s">
        <v>15809</v>
      </c>
      <c r="X1840">
        <v>4</v>
      </c>
      <c r="Y1840" t="s">
        <v>22730</v>
      </c>
      <c r="Z1840" t="s">
        <v>29550</v>
      </c>
      <c r="AA1840">
        <v>0.88985529487367943</v>
      </c>
      <c r="AB1840" t="str">
        <f>HYPERLINK("Melting_Curves/meltCurve_O95183_VAMP5.pdf", "Melting_Curves/meltCurve_O95183_VAMP5.pdf")</f>
        <v>Melting_Curves/meltCurve_O95183_VAMP5.pdf</v>
      </c>
    </row>
    <row r="1841" spans="1:28" x14ac:dyDescent="0.25">
      <c r="A1841" t="s">
        <v>1845</v>
      </c>
      <c r="B1841">
        <v>0.99999676499088797</v>
      </c>
      <c r="C1841">
        <v>0.73113466568460295</v>
      </c>
      <c r="D1841">
        <v>0.82615827876801395</v>
      </c>
      <c r="E1841">
        <v>0.84822749401230602</v>
      </c>
      <c r="F1841">
        <v>0.59833610033512297</v>
      </c>
      <c r="G1841">
        <v>0.57808128223769795</v>
      </c>
      <c r="H1841">
        <v>0.31010691501489301</v>
      </c>
      <c r="I1841">
        <v>0.17978160736623799</v>
      </c>
      <c r="J1841">
        <v>0.40010503322091401</v>
      </c>
      <c r="K1841">
        <v>0.22135390261653601</v>
      </c>
      <c r="L1841">
        <v>382.88958340398898</v>
      </c>
      <c r="M1841">
        <v>6.72683729186988</v>
      </c>
      <c r="N1841">
        <v>56.919703388931801</v>
      </c>
      <c r="O1841">
        <v>52.522868238282499</v>
      </c>
      <c r="P1841">
        <v>-3.2087271666236698E-2</v>
      </c>
      <c r="Q1841">
        <v>0</v>
      </c>
      <c r="R1841">
        <v>0.86603131688221402</v>
      </c>
      <c r="S1841" t="s">
        <v>8844</v>
      </c>
      <c r="T1841" t="s">
        <v>14004</v>
      </c>
      <c r="U1841" t="s">
        <v>14004</v>
      </c>
      <c r="V1841" t="s">
        <v>14004</v>
      </c>
      <c r="W1841" t="s">
        <v>15810</v>
      </c>
      <c r="X1841">
        <v>6</v>
      </c>
      <c r="Y1841" t="s">
        <v>22731</v>
      </c>
      <c r="Z1841" t="s">
        <v>29551</v>
      </c>
      <c r="AA1841">
        <v>0.57203359769188189</v>
      </c>
      <c r="AB1841" t="str">
        <f>HYPERLINK("Melting_Curves/meltCurve_O95197_2_RTN3.pdf", "Melting_Curves/meltCurve_O95197_2_RTN3.pdf")</f>
        <v>Melting_Curves/meltCurve_O95197_2_RTN3.pdf</v>
      </c>
    </row>
    <row r="1842" spans="1:28" x14ac:dyDescent="0.25">
      <c r="A1842" t="s">
        <v>1846</v>
      </c>
      <c r="B1842">
        <v>0.99999676499088797</v>
      </c>
      <c r="C1842">
        <v>0.96258343072251795</v>
      </c>
      <c r="D1842">
        <v>0.99234591176072595</v>
      </c>
      <c r="E1842">
        <v>0.88763727422887295</v>
      </c>
      <c r="F1842">
        <v>0.317479981684266</v>
      </c>
      <c r="G1842">
        <v>0.18951278853578099</v>
      </c>
      <c r="H1842">
        <v>8.5577533015005994E-2</v>
      </c>
      <c r="I1842">
        <v>7.29267158143629E-2</v>
      </c>
      <c r="J1842">
        <v>6.7003412603423101E-2</v>
      </c>
      <c r="K1842">
        <v>5.2040111981249602E-2</v>
      </c>
      <c r="L1842">
        <v>2005.71204301629</v>
      </c>
      <c r="M1842">
        <v>38.640970328675003</v>
      </c>
      <c r="N1842">
        <v>52.151136647035798</v>
      </c>
      <c r="O1842">
        <v>51.767921690611601</v>
      </c>
      <c r="P1842">
        <v>-0.17113085145538101</v>
      </c>
      <c r="Q1842">
        <v>8.2935304755548306E-2</v>
      </c>
      <c r="R1842">
        <v>0.99464867880938901</v>
      </c>
      <c r="S1842" t="s">
        <v>8845</v>
      </c>
      <c r="T1842" t="s">
        <v>14004</v>
      </c>
      <c r="U1842" t="s">
        <v>14004</v>
      </c>
      <c r="V1842" t="s">
        <v>14004</v>
      </c>
      <c r="W1842" t="s">
        <v>15811</v>
      </c>
      <c r="X1842">
        <v>31</v>
      </c>
      <c r="Y1842" t="s">
        <v>22732</v>
      </c>
      <c r="Z1842" t="s">
        <v>29552</v>
      </c>
      <c r="AA1842">
        <v>0.45042433652019659</v>
      </c>
      <c r="AB1842" t="str">
        <f>HYPERLINK("Melting_Curves/meltCurve_O95202_LETM1.pdf", "Melting_Curves/meltCurve_O95202_LETM1.pdf")</f>
        <v>Melting_Curves/meltCurve_O95202_LETM1.pdf</v>
      </c>
    </row>
    <row r="1843" spans="1:28" x14ac:dyDescent="0.25">
      <c r="A1843" t="s">
        <v>1847</v>
      </c>
      <c r="B1843">
        <v>0.99999676499088797</v>
      </c>
      <c r="C1843">
        <v>1.1129525787341501</v>
      </c>
      <c r="D1843">
        <v>1.03021740781268</v>
      </c>
      <c r="E1843">
        <v>0.88014880629330505</v>
      </c>
      <c r="F1843">
        <v>0.89511949917230305</v>
      </c>
      <c r="G1843">
        <v>0.79739288068548397</v>
      </c>
      <c r="H1843">
        <v>0.59188304195456598</v>
      </c>
      <c r="I1843">
        <v>0.63377525311845095</v>
      </c>
      <c r="J1843">
        <v>0.58331525524574301</v>
      </c>
      <c r="K1843">
        <v>0.706482204007707</v>
      </c>
      <c r="L1843">
        <v>1151.22964102527</v>
      </c>
      <c r="M1843">
        <v>20.894228424376301</v>
      </c>
      <c r="O1843">
        <v>54.600722882679797</v>
      </c>
      <c r="P1843">
        <v>-3.6508362231609998E-2</v>
      </c>
      <c r="Q1843">
        <v>0.61839636997035496</v>
      </c>
      <c r="R1843">
        <v>0.88269483755452205</v>
      </c>
      <c r="S1843" t="s">
        <v>8846</v>
      </c>
      <c r="T1843" t="s">
        <v>14004</v>
      </c>
      <c r="U1843" t="s">
        <v>14004</v>
      </c>
      <c r="V1843" t="s">
        <v>14004</v>
      </c>
      <c r="W1843" t="s">
        <v>15812</v>
      </c>
      <c r="X1843">
        <v>17</v>
      </c>
      <c r="Y1843" t="s">
        <v>22733</v>
      </c>
      <c r="Z1843" t="s">
        <v>29553</v>
      </c>
      <c r="AA1843">
        <v>0.81518738411777059</v>
      </c>
      <c r="AB1843" t="str">
        <f>HYPERLINK("Melting_Curves/meltCurve_O95218_2_ZRANB2.pdf", "Melting_Curves/meltCurve_O95218_2_ZRANB2.pdf")</f>
        <v>Melting_Curves/meltCurve_O95218_2_ZRANB2.pdf</v>
      </c>
    </row>
    <row r="1844" spans="1:28" x14ac:dyDescent="0.25">
      <c r="A1844" t="s">
        <v>1848</v>
      </c>
      <c r="B1844">
        <v>0.99999676499088797</v>
      </c>
      <c r="C1844">
        <v>0.90760058986821202</v>
      </c>
      <c r="D1844">
        <v>0.72800574152615205</v>
      </c>
      <c r="E1844">
        <v>0.38061913331499297</v>
      </c>
      <c r="F1844">
        <v>0.222021783355626</v>
      </c>
      <c r="G1844">
        <v>0.21580657422829799</v>
      </c>
      <c r="H1844">
        <v>0.116366836286572</v>
      </c>
      <c r="I1844">
        <v>0.110857038662988</v>
      </c>
      <c r="J1844">
        <v>9.1190351069456804E-2</v>
      </c>
      <c r="K1844">
        <v>7.47809140327899E-2</v>
      </c>
      <c r="L1844">
        <v>897.76880026490403</v>
      </c>
      <c r="M1844">
        <v>18.757233874289</v>
      </c>
      <c r="N1844">
        <v>48.460752970909802</v>
      </c>
      <c r="O1844">
        <v>47.3284842196772</v>
      </c>
      <c r="P1844">
        <v>-8.8844157781387198E-2</v>
      </c>
      <c r="Q1844">
        <v>0.103347008508422</v>
      </c>
      <c r="R1844">
        <v>0.99363130224051299</v>
      </c>
      <c r="S1844" t="s">
        <v>8847</v>
      </c>
      <c r="T1844" t="s">
        <v>14004</v>
      </c>
      <c r="U1844" t="s">
        <v>14004</v>
      </c>
      <c r="V1844" t="s">
        <v>14004</v>
      </c>
      <c r="W1844" t="s">
        <v>15813</v>
      </c>
      <c r="X1844">
        <v>4</v>
      </c>
      <c r="Y1844" t="s">
        <v>22734</v>
      </c>
      <c r="Z1844" t="s">
        <v>29554</v>
      </c>
      <c r="AA1844">
        <v>0.35299366417374872</v>
      </c>
      <c r="AB1844" t="str">
        <f>HYPERLINK("Melting_Curves/meltCurve_O95219_SNX4.pdf", "Melting_Curves/meltCurve_O95219_SNX4.pdf")</f>
        <v>Melting_Curves/meltCurve_O95219_SNX4.pdf</v>
      </c>
    </row>
    <row r="1845" spans="1:28" x14ac:dyDescent="0.25">
      <c r="A1845" t="s">
        <v>1849</v>
      </c>
      <c r="B1845">
        <v>0.99999676499088797</v>
      </c>
      <c r="C1845">
        <v>0.88082601358601598</v>
      </c>
      <c r="D1845">
        <v>0.69871450643570399</v>
      </c>
      <c r="E1845">
        <v>0.44771451303910098</v>
      </c>
      <c r="F1845">
        <v>0.29689311642885802</v>
      </c>
      <c r="G1845">
        <v>0.201106177332845</v>
      </c>
      <c r="H1845">
        <v>0.121964608136636</v>
      </c>
      <c r="I1845">
        <v>0.147842084721971</v>
      </c>
      <c r="J1845">
        <v>0.14509908751022299</v>
      </c>
      <c r="K1845">
        <v>0.18983002999478199</v>
      </c>
      <c r="L1845">
        <v>795.92244370917297</v>
      </c>
      <c r="M1845">
        <v>16.647306567331398</v>
      </c>
      <c r="N1845">
        <v>48.8007324086145</v>
      </c>
      <c r="O1845">
        <v>47.136953504633901</v>
      </c>
      <c r="P1845">
        <v>-7.5646509364530795E-2</v>
      </c>
      <c r="Q1845">
        <v>0.143283130058838</v>
      </c>
      <c r="R1845">
        <v>0.99443916626616002</v>
      </c>
      <c r="S1845" t="s">
        <v>8848</v>
      </c>
      <c r="T1845" t="s">
        <v>14004</v>
      </c>
      <c r="U1845" t="s">
        <v>14004</v>
      </c>
      <c r="V1845" t="s">
        <v>14004</v>
      </c>
      <c r="W1845" t="s">
        <v>15814</v>
      </c>
      <c r="X1845">
        <v>4</v>
      </c>
      <c r="Y1845" t="s">
        <v>22735</v>
      </c>
      <c r="Z1845" t="s">
        <v>29555</v>
      </c>
      <c r="AA1845">
        <v>0.38434121879025079</v>
      </c>
      <c r="AB1845" t="str">
        <f>HYPERLINK("Melting_Curves/meltCurve_O95229_ZWINT.pdf", "Melting_Curves/meltCurve_O95229_ZWINT.pdf")</f>
        <v>Melting_Curves/meltCurve_O95229_ZWINT.pdf</v>
      </c>
    </row>
    <row r="1846" spans="1:28" x14ac:dyDescent="0.25">
      <c r="A1846" t="s">
        <v>1850</v>
      </c>
      <c r="B1846">
        <v>0.99999676499088797</v>
      </c>
      <c r="C1846">
        <v>0.26050154882851601</v>
      </c>
      <c r="D1846">
        <v>0.26984706307088002</v>
      </c>
      <c r="E1846">
        <v>6.04895446164131E-2</v>
      </c>
      <c r="F1846">
        <v>4.0513846819498697E-2</v>
      </c>
      <c r="G1846">
        <v>7.3798205729221304E-3</v>
      </c>
      <c r="H1846">
        <v>0</v>
      </c>
      <c r="I1846">
        <v>0</v>
      </c>
      <c r="J1846">
        <v>0</v>
      </c>
      <c r="K1846">
        <v>0</v>
      </c>
      <c r="L1846">
        <v>2764.1265641361801</v>
      </c>
      <c r="M1846">
        <v>65.613519648357695</v>
      </c>
      <c r="N1846">
        <v>42.189296378788299</v>
      </c>
      <c r="O1846">
        <v>42.088312598138302</v>
      </c>
      <c r="P1846">
        <v>-0.371849542156094</v>
      </c>
      <c r="Q1846">
        <v>4.5896923245612099E-2</v>
      </c>
      <c r="R1846">
        <v>0.93218634057445104</v>
      </c>
      <c r="S1846" t="s">
        <v>8849</v>
      </c>
      <c r="T1846" t="s">
        <v>14004</v>
      </c>
      <c r="U1846" t="s">
        <v>14004</v>
      </c>
      <c r="V1846" t="s">
        <v>14004</v>
      </c>
      <c r="W1846" t="s">
        <v>15815</v>
      </c>
      <c r="X1846">
        <v>1</v>
      </c>
      <c r="Y1846" t="s">
        <v>22736</v>
      </c>
      <c r="Z1846" t="s">
        <v>29556</v>
      </c>
      <c r="AA1846">
        <v>0.1151203234904747</v>
      </c>
      <c r="AB1846" t="str">
        <f>HYPERLINK("Melting_Curves/meltCurve_O95231_VENTX.pdf", "Melting_Curves/meltCurve_O95231_VENTX.pdf")</f>
        <v>Melting_Curves/meltCurve_O95231_VENTX.pdf</v>
      </c>
    </row>
    <row r="1847" spans="1:28" x14ac:dyDescent="0.25">
      <c r="A1847" t="s">
        <v>1851</v>
      </c>
      <c r="B1847">
        <v>0.99999676499088797</v>
      </c>
      <c r="C1847">
        <v>0.972541134598501</v>
      </c>
      <c r="D1847">
        <v>1.0594313344081101</v>
      </c>
      <c r="E1847">
        <v>1.0761670275319399</v>
      </c>
      <c r="F1847">
        <v>0.59978508241454598</v>
      </c>
      <c r="G1847">
        <v>0.28345318273435299</v>
      </c>
      <c r="H1847">
        <v>0.13714177207724501</v>
      </c>
      <c r="I1847">
        <v>0.11041402048377801</v>
      </c>
      <c r="J1847">
        <v>0.111103671894346</v>
      </c>
      <c r="K1847">
        <v>0.107454083633646</v>
      </c>
      <c r="L1847">
        <v>1975.31211544589</v>
      </c>
      <c r="M1847">
        <v>36.743331095903699</v>
      </c>
      <c r="N1847">
        <v>54.169452638364298</v>
      </c>
      <c r="O1847">
        <v>53.601248512494898</v>
      </c>
      <c r="P1847">
        <v>-0.15058347554085499</v>
      </c>
      <c r="Q1847">
        <v>0.121316606918564</v>
      </c>
      <c r="R1847">
        <v>0.98673957804353196</v>
      </c>
      <c r="S1847" t="s">
        <v>8850</v>
      </c>
      <c r="T1847" t="s">
        <v>14004</v>
      </c>
      <c r="U1847" t="s">
        <v>14004</v>
      </c>
      <c r="V1847" t="s">
        <v>14004</v>
      </c>
      <c r="W1847" t="s">
        <v>15816</v>
      </c>
      <c r="X1847">
        <v>18</v>
      </c>
      <c r="Y1847" t="s">
        <v>22737</v>
      </c>
      <c r="Z1847" t="s">
        <v>29557</v>
      </c>
      <c r="AA1847">
        <v>0.52819362800152525</v>
      </c>
      <c r="AB1847" t="str">
        <f>HYPERLINK("Melting_Curves/meltCurve_O95232_LUC7L3.pdf", "Melting_Curves/meltCurve_O95232_LUC7L3.pdf")</f>
        <v>Melting_Curves/meltCurve_O95232_LUC7L3.pdf</v>
      </c>
    </row>
    <row r="1848" spans="1:28" x14ac:dyDescent="0.25">
      <c r="A1848" t="s">
        <v>1852</v>
      </c>
      <c r="B1848">
        <v>0.99999676499088797</v>
      </c>
      <c r="C1848">
        <v>0.83791488341554599</v>
      </c>
      <c r="D1848">
        <v>0.60523471836500697</v>
      </c>
      <c r="E1848">
        <v>0.30366220581747999</v>
      </c>
      <c r="F1848">
        <v>0.28668412291089101</v>
      </c>
      <c r="G1848">
        <v>0.27754089167325602</v>
      </c>
      <c r="H1848">
        <v>0.12530731545180401</v>
      </c>
      <c r="I1848">
        <v>8.6861462229222197E-2</v>
      </c>
      <c r="J1848">
        <v>5.31929042117373E-2</v>
      </c>
      <c r="K1848">
        <v>4.0842876008104899E-2</v>
      </c>
      <c r="L1848">
        <v>659.78528169869401</v>
      </c>
      <c r="M1848">
        <v>13.9809126852372</v>
      </c>
      <c r="N1848">
        <v>47.783125657655901</v>
      </c>
      <c r="O1848">
        <v>46.257827058965297</v>
      </c>
      <c r="P1848">
        <v>-6.9567208130702496E-2</v>
      </c>
      <c r="Q1848">
        <v>7.9430711599114495E-2</v>
      </c>
      <c r="R1848">
        <v>0.96758138935312299</v>
      </c>
      <c r="S1848" t="s">
        <v>8851</v>
      </c>
      <c r="T1848" t="s">
        <v>14004</v>
      </c>
      <c r="U1848" t="s">
        <v>14004</v>
      </c>
      <c r="V1848" t="s">
        <v>14004</v>
      </c>
      <c r="W1848" t="s">
        <v>15817</v>
      </c>
      <c r="X1848">
        <v>3</v>
      </c>
      <c r="Y1848" t="s">
        <v>22738</v>
      </c>
      <c r="Z1848" t="s">
        <v>29558</v>
      </c>
      <c r="AA1848">
        <v>0.32860327401514439</v>
      </c>
      <c r="AB1848" t="str">
        <f>HYPERLINK("Melting_Curves/meltCurve_O95235_KIF20A.pdf", "Melting_Curves/meltCurve_O95235_KIF20A.pdf")</f>
        <v>Melting_Curves/meltCurve_O95235_KIF20A.pdf</v>
      </c>
    </row>
    <row r="1849" spans="1:28" x14ac:dyDescent="0.25">
      <c r="A1849" t="s">
        <v>1853</v>
      </c>
      <c r="B1849">
        <v>0.99999676499088797</v>
      </c>
      <c r="C1849">
        <v>0.97508107929959897</v>
      </c>
      <c r="D1849">
        <v>0.38551259599834697</v>
      </c>
      <c r="E1849">
        <v>0.20523286590494799</v>
      </c>
      <c r="F1849">
        <v>0.160195458196673</v>
      </c>
      <c r="G1849">
        <v>0.11505593928878501</v>
      </c>
      <c r="H1849">
        <v>6.2542474625328498E-2</v>
      </c>
      <c r="I1849">
        <v>6.7043220390332697E-2</v>
      </c>
      <c r="J1849">
        <v>6.12037366231621E-2</v>
      </c>
      <c r="K1849">
        <v>5.0174012639874602E-2</v>
      </c>
      <c r="L1849">
        <v>2242.9126077353999</v>
      </c>
      <c r="M1849">
        <v>49.463538598463302</v>
      </c>
      <c r="N1849">
        <v>45.550244752090798</v>
      </c>
      <c r="O1849">
        <v>45.270837176719503</v>
      </c>
      <c r="P1849">
        <v>-0.245838619164505</v>
      </c>
      <c r="Q1849">
        <v>9.9998928444570298E-2</v>
      </c>
      <c r="R1849">
        <v>0.98424076486063306</v>
      </c>
      <c r="S1849" t="s">
        <v>8852</v>
      </c>
      <c r="T1849" t="s">
        <v>14004</v>
      </c>
      <c r="U1849" t="s">
        <v>14004</v>
      </c>
      <c r="V1849" t="s">
        <v>14004</v>
      </c>
      <c r="W1849" t="s">
        <v>15818</v>
      </c>
      <c r="X1849">
        <v>35</v>
      </c>
      <c r="Y1849" t="s">
        <v>22739</v>
      </c>
      <c r="Z1849" t="s">
        <v>29559</v>
      </c>
      <c r="AA1849">
        <v>0.26220960787785702</v>
      </c>
      <c r="AB1849" t="str">
        <f>HYPERLINK("Melting_Curves/meltCurve_O95239_KIF4A.pdf", "Melting_Curves/meltCurve_O95239_KIF4A.pdf")</f>
        <v>Melting_Curves/meltCurve_O95239_KIF4A.pdf</v>
      </c>
    </row>
    <row r="1850" spans="1:28" x14ac:dyDescent="0.25">
      <c r="A1850" t="s">
        <v>1854</v>
      </c>
      <c r="B1850">
        <v>0.99999676499088797</v>
      </c>
      <c r="C1850">
        <v>0.886761335267374</v>
      </c>
      <c r="D1850">
        <v>0.61361744067207902</v>
      </c>
      <c r="E1850">
        <v>0.25731861448520199</v>
      </c>
      <c r="F1850">
        <v>0.207547088199416</v>
      </c>
      <c r="G1850">
        <v>0.15622796893952801</v>
      </c>
      <c r="H1850">
        <v>8.5667006850645697E-2</v>
      </c>
      <c r="I1850">
        <v>7.9809263702248903E-2</v>
      </c>
      <c r="J1850">
        <v>7.8662453497030604E-2</v>
      </c>
      <c r="K1850">
        <v>7.7367485953896295E-2</v>
      </c>
      <c r="L1850">
        <v>1006.02062881855</v>
      </c>
      <c r="M1850">
        <v>21.576367667111398</v>
      </c>
      <c r="N1850">
        <v>47.085514045579302</v>
      </c>
      <c r="O1850">
        <v>46.231073519085797</v>
      </c>
      <c r="P1850">
        <v>-0.105603283776375</v>
      </c>
      <c r="Q1850">
        <v>9.49292600283142E-2</v>
      </c>
      <c r="R1850">
        <v>0.99330630289730804</v>
      </c>
      <c r="S1850" t="s">
        <v>8853</v>
      </c>
      <c r="T1850" t="s">
        <v>14004</v>
      </c>
      <c r="U1850" t="s">
        <v>14004</v>
      </c>
      <c r="V1850" t="s">
        <v>14004</v>
      </c>
      <c r="W1850" t="s">
        <v>15819</v>
      </c>
      <c r="X1850">
        <v>7</v>
      </c>
      <c r="Y1850" t="s">
        <v>22740</v>
      </c>
      <c r="Z1850" t="s">
        <v>29560</v>
      </c>
      <c r="AA1850">
        <v>0.30619163055756649</v>
      </c>
      <c r="AB1850" t="str">
        <f>HYPERLINK("Melting_Curves/meltCurve_O95251_4_KAT7.pdf", "Melting_Curves/meltCurve_O95251_4_KAT7.pdf")</f>
        <v>Melting_Curves/meltCurve_O95251_4_KAT7.pdf</v>
      </c>
    </row>
    <row r="1851" spans="1:28" x14ac:dyDescent="0.25">
      <c r="A1851" t="s">
        <v>1855</v>
      </c>
      <c r="B1851">
        <v>0.99999676499088797</v>
      </c>
      <c r="C1851">
        <v>0.923725547123454</v>
      </c>
      <c r="D1851">
        <v>0.94787101031000998</v>
      </c>
      <c r="E1851">
        <v>0.84990667557719002</v>
      </c>
      <c r="F1851">
        <v>0.56878119014865902</v>
      </c>
      <c r="G1851">
        <v>0.25462344313005097</v>
      </c>
      <c r="H1851">
        <v>0.112383779106817</v>
      </c>
      <c r="I1851">
        <v>0.141654950361877</v>
      </c>
      <c r="J1851">
        <v>0.14278786098965601</v>
      </c>
      <c r="K1851">
        <v>0.16212307590490499</v>
      </c>
      <c r="L1851">
        <v>1310.1772049900101</v>
      </c>
      <c r="M1851">
        <v>24.717216276806401</v>
      </c>
      <c r="N1851">
        <v>53.639113419029798</v>
      </c>
      <c r="O1851">
        <v>52.663355963989197</v>
      </c>
      <c r="P1851">
        <v>-0.102505710810606</v>
      </c>
      <c r="Q1851">
        <v>0.12640344126193701</v>
      </c>
      <c r="R1851">
        <v>0.99163231375224303</v>
      </c>
      <c r="S1851" t="s">
        <v>8854</v>
      </c>
      <c r="T1851" t="s">
        <v>14004</v>
      </c>
      <c r="U1851" t="s">
        <v>14004</v>
      </c>
      <c r="V1851" t="s">
        <v>14004</v>
      </c>
      <c r="W1851" t="s">
        <v>15820</v>
      </c>
      <c r="X1851">
        <v>13</v>
      </c>
      <c r="Y1851" t="s">
        <v>22741</v>
      </c>
      <c r="Z1851" t="s">
        <v>29561</v>
      </c>
      <c r="AA1851">
        <v>0.51337308160312234</v>
      </c>
      <c r="AB1851" t="str">
        <f>HYPERLINK("Melting_Curves/meltCurve_O95292_VAPB.pdf", "Melting_Curves/meltCurve_O95292_VAPB.pdf")</f>
        <v>Melting_Curves/meltCurve_O95292_VAPB.pdf</v>
      </c>
    </row>
    <row r="1852" spans="1:28" x14ac:dyDescent="0.25">
      <c r="A1852" t="s">
        <v>1856</v>
      </c>
      <c r="B1852">
        <v>0.99999676499088797</v>
      </c>
      <c r="C1852">
        <v>0.99997374178224097</v>
      </c>
      <c r="D1852">
        <v>0.98374766196045305</v>
      </c>
      <c r="E1852">
        <v>0.90087413723576504</v>
      </c>
      <c r="F1852">
        <v>0.92646160424607804</v>
      </c>
      <c r="G1852">
        <v>0.66407121884399301</v>
      </c>
      <c r="H1852">
        <v>0.331258290917753</v>
      </c>
      <c r="I1852">
        <v>0.27589533441657699</v>
      </c>
      <c r="J1852">
        <v>0.254271486611157</v>
      </c>
      <c r="K1852">
        <v>0.28194350622326098</v>
      </c>
      <c r="L1852">
        <v>1791.2087532466101</v>
      </c>
      <c r="M1852">
        <v>31.410814602241601</v>
      </c>
      <c r="N1852">
        <v>58.361415560252503</v>
      </c>
      <c r="O1852">
        <v>56.795585074514001</v>
      </c>
      <c r="P1852">
        <v>-0.102810123303183</v>
      </c>
      <c r="Q1852">
        <v>0.256417961087607</v>
      </c>
      <c r="R1852">
        <v>0.99035066400183802</v>
      </c>
      <c r="S1852" t="s">
        <v>8855</v>
      </c>
      <c r="T1852" t="s">
        <v>14004</v>
      </c>
      <c r="U1852" t="s">
        <v>14004</v>
      </c>
      <c r="V1852" t="s">
        <v>14004</v>
      </c>
      <c r="W1852" t="s">
        <v>15821</v>
      </c>
      <c r="X1852">
        <v>8</v>
      </c>
      <c r="Y1852" t="s">
        <v>22742</v>
      </c>
      <c r="Z1852" t="s">
        <v>29562</v>
      </c>
      <c r="AA1852">
        <v>0.68296918194404077</v>
      </c>
      <c r="AB1852" t="str">
        <f>HYPERLINK("Melting_Curves/meltCurve_O95295_SNAPIN.pdf", "Melting_Curves/meltCurve_O95295_SNAPIN.pdf")</f>
        <v>Melting_Curves/meltCurve_O95295_SNAPIN.pdf</v>
      </c>
    </row>
    <row r="1853" spans="1:28" x14ac:dyDescent="0.25">
      <c r="A1853" t="s">
        <v>1857</v>
      </c>
      <c r="B1853">
        <v>0.99999676499088797</v>
      </c>
      <c r="C1853">
        <v>0.86178523320663702</v>
      </c>
      <c r="D1853">
        <v>0.91589569299755003</v>
      </c>
      <c r="E1853">
        <v>0.89901611478034804</v>
      </c>
      <c r="F1853">
        <v>0.71927913567597901</v>
      </c>
      <c r="G1853">
        <v>0.754390747264025</v>
      </c>
      <c r="H1853">
        <v>0.50534621665889101</v>
      </c>
      <c r="I1853">
        <v>0.395861201968359</v>
      </c>
      <c r="J1853">
        <v>0.30101208812059499</v>
      </c>
      <c r="K1853">
        <v>0.48775559926595802</v>
      </c>
      <c r="L1853">
        <v>539.48369490283699</v>
      </c>
      <c r="M1853">
        <v>9.3945749043797004</v>
      </c>
      <c r="N1853">
        <v>62.0171686974614</v>
      </c>
      <c r="O1853">
        <v>55.003363045250097</v>
      </c>
      <c r="P1853">
        <v>-3.2018237309056702E-2</v>
      </c>
      <c r="Q1853">
        <v>0.25062089632780798</v>
      </c>
      <c r="R1853">
        <v>0.89450894019057203</v>
      </c>
      <c r="S1853" t="s">
        <v>8856</v>
      </c>
      <c r="T1853" t="s">
        <v>14004</v>
      </c>
      <c r="U1853" t="s">
        <v>14004</v>
      </c>
      <c r="V1853" t="s">
        <v>14004</v>
      </c>
      <c r="W1853" t="s">
        <v>15822</v>
      </c>
      <c r="X1853">
        <v>5</v>
      </c>
      <c r="Y1853" t="s">
        <v>22743</v>
      </c>
      <c r="Z1853" t="s">
        <v>29563</v>
      </c>
      <c r="AA1853">
        <v>0.69511100740441256</v>
      </c>
      <c r="AB1853" t="str">
        <f>HYPERLINK("Melting_Curves/meltCurve_O95297_2_MPZL1.pdf", "Melting_Curves/meltCurve_O95297_2_MPZL1.pdf")</f>
        <v>Melting_Curves/meltCurve_O95297_2_MPZL1.pdf</v>
      </c>
    </row>
    <row r="1854" spans="1:28" x14ac:dyDescent="0.25">
      <c r="A1854" t="s">
        <v>1858</v>
      </c>
      <c r="B1854">
        <v>0.99999676499088797</v>
      </c>
      <c r="C1854">
        <v>0.86509449492524604</v>
      </c>
      <c r="D1854">
        <v>0.93599101696923104</v>
      </c>
      <c r="E1854">
        <v>0.76954560455700705</v>
      </c>
      <c r="F1854">
        <v>0.63020445203234499</v>
      </c>
      <c r="G1854">
        <v>0.51745143869662302</v>
      </c>
      <c r="H1854">
        <v>0.31609650139523399</v>
      </c>
      <c r="I1854">
        <v>0.17417256445034099</v>
      </c>
      <c r="J1854">
        <v>0.12769189698424099</v>
      </c>
      <c r="K1854">
        <v>8.3531540944139199E-2</v>
      </c>
      <c r="L1854">
        <v>593.55679219249998</v>
      </c>
      <c r="M1854">
        <v>10.6036168005464</v>
      </c>
      <c r="N1854">
        <v>55.976800554488399</v>
      </c>
      <c r="O1854">
        <v>54.095974328969099</v>
      </c>
      <c r="P1854">
        <v>-4.9022763784770503E-2</v>
      </c>
      <c r="Q1854">
        <v>0</v>
      </c>
      <c r="R1854">
        <v>0.98492028025476697</v>
      </c>
      <c r="S1854" t="s">
        <v>8857</v>
      </c>
      <c r="T1854" t="s">
        <v>14004</v>
      </c>
      <c r="U1854" t="s">
        <v>14004</v>
      </c>
      <c r="V1854" t="s">
        <v>14004</v>
      </c>
      <c r="W1854" t="s">
        <v>15823</v>
      </c>
      <c r="X1854">
        <v>6</v>
      </c>
      <c r="Y1854" t="s">
        <v>22744</v>
      </c>
      <c r="Z1854" t="s">
        <v>29564</v>
      </c>
      <c r="AA1854">
        <v>0.55369904234532019</v>
      </c>
      <c r="AB1854" t="str">
        <f>HYPERLINK("Melting_Curves/meltCurve_O95298_2_NDUFC2.pdf", "Melting_Curves/meltCurve_O95298_2_NDUFC2.pdf")</f>
        <v>Melting_Curves/meltCurve_O95298_2_NDUFC2.pdf</v>
      </c>
    </row>
    <row r="1855" spans="1:28" x14ac:dyDescent="0.25">
      <c r="A1855" t="s">
        <v>1859</v>
      </c>
      <c r="B1855">
        <v>0.99999676499088797</v>
      </c>
      <c r="C1855">
        <v>0.98643603431910198</v>
      </c>
      <c r="D1855">
        <v>0.96653842499706999</v>
      </c>
      <c r="E1855">
        <v>0.94507256923851202</v>
      </c>
      <c r="F1855">
        <v>0.90401651898785995</v>
      </c>
      <c r="G1855">
        <v>0.94840862377614499</v>
      </c>
      <c r="H1855">
        <v>0.51380879585578298</v>
      </c>
      <c r="I1855">
        <v>0.32490142534489902</v>
      </c>
      <c r="J1855">
        <v>0.148674001785911</v>
      </c>
      <c r="K1855">
        <v>0.157624949469827</v>
      </c>
      <c r="L1855">
        <v>1817.9647600666001</v>
      </c>
      <c r="M1855">
        <v>29.990505876351801</v>
      </c>
      <c r="N1855">
        <v>61.259774813623302</v>
      </c>
      <c r="O1855">
        <v>60.350406451813498</v>
      </c>
      <c r="P1855">
        <v>-0.107487787681289</v>
      </c>
      <c r="Q1855">
        <v>0.13480761027770599</v>
      </c>
      <c r="R1855">
        <v>0.98503435944173001</v>
      </c>
      <c r="S1855" t="s">
        <v>8858</v>
      </c>
      <c r="T1855" t="s">
        <v>14004</v>
      </c>
      <c r="U1855" t="s">
        <v>14004</v>
      </c>
      <c r="V1855" t="s">
        <v>14004</v>
      </c>
      <c r="W1855" t="s">
        <v>15824</v>
      </c>
      <c r="X1855">
        <v>12</v>
      </c>
      <c r="Y1855" t="s">
        <v>22745</v>
      </c>
      <c r="Z1855" t="s">
        <v>29565</v>
      </c>
      <c r="AA1855">
        <v>0.73441656866007698</v>
      </c>
      <c r="AB1855" t="str">
        <f>HYPERLINK("Melting_Curves/meltCurve_O95336_PGLS.pdf", "Melting_Curves/meltCurve_O95336_PGLS.pdf")</f>
        <v>Melting_Curves/meltCurve_O95336_PGLS.pdf</v>
      </c>
    </row>
    <row r="1856" spans="1:28" x14ac:dyDescent="0.25">
      <c r="A1856" t="s">
        <v>1860</v>
      </c>
      <c r="B1856">
        <v>0.99999676499088797</v>
      </c>
      <c r="C1856">
        <v>0.89263142968272202</v>
      </c>
      <c r="D1856">
        <v>0.81424954486278001</v>
      </c>
      <c r="E1856">
        <v>0.62685394245514003</v>
      </c>
      <c r="F1856">
        <v>0.18475156113334401</v>
      </c>
      <c r="G1856">
        <v>0.137919428179134</v>
      </c>
      <c r="H1856">
        <v>6.8532932755274098E-2</v>
      </c>
      <c r="I1856">
        <v>7.1358919923279404E-2</v>
      </c>
      <c r="J1856">
        <v>6.6115404035177502E-2</v>
      </c>
      <c r="K1856">
        <v>5.4747761875119497E-2</v>
      </c>
      <c r="L1856">
        <v>990.74536824665495</v>
      </c>
      <c r="M1856">
        <v>19.8713850458746</v>
      </c>
      <c r="N1856">
        <v>50.1167251573304</v>
      </c>
      <c r="O1856">
        <v>49.361216852839</v>
      </c>
      <c r="P1856">
        <v>-9.5737721322022698E-2</v>
      </c>
      <c r="Q1856">
        <v>4.8768618896082902E-2</v>
      </c>
      <c r="R1856">
        <v>0.986611189755211</v>
      </c>
      <c r="S1856" t="s">
        <v>8859</v>
      </c>
      <c r="T1856" t="s">
        <v>14004</v>
      </c>
      <c r="U1856" t="s">
        <v>14004</v>
      </c>
      <c r="V1856" t="s">
        <v>14004</v>
      </c>
      <c r="W1856" t="s">
        <v>15825</v>
      </c>
      <c r="X1856">
        <v>59</v>
      </c>
      <c r="Y1856" t="s">
        <v>22746</v>
      </c>
      <c r="Z1856" t="s">
        <v>29566</v>
      </c>
      <c r="AA1856">
        <v>0.37475858457687572</v>
      </c>
      <c r="AB1856" t="str">
        <f>HYPERLINK("Melting_Curves/meltCurve_O95347_SMC2.pdf", "Melting_Curves/meltCurve_O95347_SMC2.pdf")</f>
        <v>Melting_Curves/meltCurve_O95347_SMC2.pdf</v>
      </c>
    </row>
    <row r="1857" spans="1:28" x14ac:dyDescent="0.25">
      <c r="A1857" t="s">
        <v>1861</v>
      </c>
      <c r="B1857">
        <v>0.99999676499088797</v>
      </c>
      <c r="C1857">
        <v>1.0282155107622399</v>
      </c>
      <c r="D1857">
        <v>0.98016887897619298</v>
      </c>
      <c r="E1857">
        <v>0.99205501730134005</v>
      </c>
      <c r="F1857">
        <v>0.30508688569267201</v>
      </c>
      <c r="G1857">
        <v>0.17565641645772601</v>
      </c>
      <c r="H1857">
        <v>0.11670736989318301</v>
      </c>
      <c r="I1857">
        <v>6.2897375738839495E-2</v>
      </c>
      <c r="J1857">
        <v>6.1615801438217599E-2</v>
      </c>
      <c r="K1857">
        <v>7.7802945385844202E-2</v>
      </c>
      <c r="L1857">
        <v>3652.6721442391399</v>
      </c>
      <c r="M1857">
        <v>69.849655246739502</v>
      </c>
      <c r="N1857">
        <v>52.456706602851803</v>
      </c>
      <c r="O1857">
        <v>52.250531869065902</v>
      </c>
      <c r="P1857">
        <v>-0.30153808807621701</v>
      </c>
      <c r="Q1857">
        <v>9.7746623422741305E-2</v>
      </c>
      <c r="R1857">
        <v>0.99451268820754901</v>
      </c>
      <c r="S1857" t="s">
        <v>8860</v>
      </c>
      <c r="T1857" t="s">
        <v>14004</v>
      </c>
      <c r="U1857" t="s">
        <v>14004</v>
      </c>
      <c r="V1857" t="s">
        <v>14004</v>
      </c>
      <c r="W1857" t="s">
        <v>15826</v>
      </c>
      <c r="X1857">
        <v>15</v>
      </c>
      <c r="Y1857" t="s">
        <v>22747</v>
      </c>
      <c r="Z1857" t="s">
        <v>29567</v>
      </c>
      <c r="AA1857">
        <v>0.4685338731296575</v>
      </c>
      <c r="AB1857" t="str">
        <f>HYPERLINK("Melting_Curves/meltCurve_O95352_ATG7.pdf", "Melting_Curves/meltCurve_O95352_ATG7.pdf")</f>
        <v>Melting_Curves/meltCurve_O95352_ATG7.pdf</v>
      </c>
    </row>
    <row r="1858" spans="1:28" x14ac:dyDescent="0.25">
      <c r="A1858" t="s">
        <v>1862</v>
      </c>
      <c r="B1858">
        <v>0.99999676499088797</v>
      </c>
      <c r="C1858">
        <v>1.12212898164885</v>
      </c>
      <c r="D1858">
        <v>1.07562320008992</v>
      </c>
      <c r="E1858">
        <v>0.51154737774978898</v>
      </c>
      <c r="F1858">
        <v>0.195117503525299</v>
      </c>
      <c r="G1858">
        <v>0.14917352278135501</v>
      </c>
      <c r="H1858">
        <v>7.1661344392096302E-2</v>
      </c>
      <c r="I1858">
        <v>0.100366361028985</v>
      </c>
      <c r="J1858">
        <v>9.5920652856250496E-2</v>
      </c>
      <c r="K1858">
        <v>0.108053438323644</v>
      </c>
      <c r="L1858">
        <v>3311.76605670135</v>
      </c>
      <c r="M1858">
        <v>66.9650728208441</v>
      </c>
      <c r="N1858">
        <v>49.655279787971601</v>
      </c>
      <c r="O1858">
        <v>49.4110803495346</v>
      </c>
      <c r="P1858">
        <v>-0.298741030425135</v>
      </c>
      <c r="Q1858">
        <v>0.118279934909687</v>
      </c>
      <c r="R1858">
        <v>0.98324177874655905</v>
      </c>
      <c r="S1858" t="s">
        <v>8861</v>
      </c>
      <c r="T1858" t="s">
        <v>14004</v>
      </c>
      <c r="U1858" t="s">
        <v>14004</v>
      </c>
      <c r="V1858" t="s">
        <v>14004</v>
      </c>
      <c r="W1858" t="s">
        <v>15827</v>
      </c>
      <c r="X1858">
        <v>4</v>
      </c>
      <c r="Y1858" t="s">
        <v>22748</v>
      </c>
      <c r="Z1858" t="s">
        <v>29568</v>
      </c>
      <c r="AA1858">
        <v>0.39724205436419519</v>
      </c>
      <c r="AB1858" t="str">
        <f>HYPERLINK("Melting_Curves/meltCurve_O95363_FARS2.pdf", "Melting_Curves/meltCurve_O95363_FARS2.pdf")</f>
        <v>Melting_Curves/meltCurve_O95363_FARS2.pdf</v>
      </c>
    </row>
    <row r="1859" spans="1:28" x14ac:dyDescent="0.25">
      <c r="A1859" t="s">
        <v>1863</v>
      </c>
      <c r="B1859">
        <v>0.99999676499088797</v>
      </c>
      <c r="C1859">
        <v>0.97304866229837605</v>
      </c>
      <c r="D1859">
        <v>0.91127838811991302</v>
      </c>
      <c r="E1859">
        <v>0.80121610468233895</v>
      </c>
      <c r="F1859">
        <v>0.60995042277125899</v>
      </c>
      <c r="G1859">
        <v>0.51973219218576905</v>
      </c>
      <c r="H1859">
        <v>0.28429786320320799</v>
      </c>
      <c r="I1859">
        <v>0.27606325225804201</v>
      </c>
      <c r="J1859">
        <v>0.22483518985908199</v>
      </c>
      <c r="K1859">
        <v>0.166347590402637</v>
      </c>
      <c r="L1859">
        <v>626.018296925546</v>
      </c>
      <c r="M1859">
        <v>11.391101288416801</v>
      </c>
      <c r="N1859">
        <v>56.161506876852201</v>
      </c>
      <c r="O1859">
        <v>53.344838007704801</v>
      </c>
      <c r="P1859">
        <v>-4.7611785067118398E-2</v>
      </c>
      <c r="Q1859">
        <v>0.10839374619764</v>
      </c>
      <c r="R1859">
        <v>0.99359058097415998</v>
      </c>
      <c r="S1859" t="s">
        <v>8862</v>
      </c>
      <c r="T1859" t="s">
        <v>14004</v>
      </c>
      <c r="U1859" t="s">
        <v>14004</v>
      </c>
      <c r="V1859" t="s">
        <v>14004</v>
      </c>
      <c r="W1859" t="s">
        <v>15828</v>
      </c>
      <c r="X1859">
        <v>7</v>
      </c>
      <c r="Y1859" t="s">
        <v>22749</v>
      </c>
      <c r="Z1859" t="s">
        <v>29569</v>
      </c>
      <c r="AA1859">
        <v>0.57466395746253673</v>
      </c>
      <c r="AB1859" t="str">
        <f>HYPERLINK("Melting_Curves/meltCurve_O95365_ZBTB7A.pdf", "Melting_Curves/meltCurve_O95365_ZBTB7A.pdf")</f>
        <v>Melting_Curves/meltCurve_O95365_ZBTB7A.pdf</v>
      </c>
    </row>
    <row r="1860" spans="1:28" x14ac:dyDescent="0.25">
      <c r="A1860" t="s">
        <v>1864</v>
      </c>
      <c r="B1860">
        <v>0.99999676499088797</v>
      </c>
      <c r="C1860">
        <v>1.00391678858414</v>
      </c>
      <c r="D1860">
        <v>0.97533670762570501</v>
      </c>
      <c r="E1860">
        <v>0.86430076178114901</v>
      </c>
      <c r="F1860">
        <v>0.60474313021746795</v>
      </c>
      <c r="G1860">
        <v>0.31411215206040599</v>
      </c>
      <c r="H1860">
        <v>0.109510344163293</v>
      </c>
      <c r="I1860">
        <v>0.115007150118784</v>
      </c>
      <c r="J1860">
        <v>9.1194074876360401E-2</v>
      </c>
      <c r="K1860">
        <v>8.0352743048017303E-2</v>
      </c>
      <c r="L1860">
        <v>1159.35910468977</v>
      </c>
      <c r="M1860">
        <v>21.512761684440299</v>
      </c>
      <c r="N1860">
        <v>54.277304697588299</v>
      </c>
      <c r="O1860">
        <v>53.432502534990597</v>
      </c>
      <c r="P1860">
        <v>-9.3523307234879505E-2</v>
      </c>
      <c r="Q1860">
        <v>7.0865474270882897E-2</v>
      </c>
      <c r="R1860">
        <v>0.99880488514971399</v>
      </c>
      <c r="S1860" t="s">
        <v>8863</v>
      </c>
      <c r="T1860" t="s">
        <v>14004</v>
      </c>
      <c r="U1860" t="s">
        <v>14004</v>
      </c>
      <c r="V1860" t="s">
        <v>14004</v>
      </c>
      <c r="W1860" t="s">
        <v>15829</v>
      </c>
      <c r="X1860">
        <v>9</v>
      </c>
      <c r="Y1860" t="s">
        <v>22750</v>
      </c>
      <c r="Z1860" t="s">
        <v>29570</v>
      </c>
      <c r="AA1860">
        <v>0.51231391798579717</v>
      </c>
      <c r="AB1860" t="str">
        <f>HYPERLINK("Melting_Curves/meltCurve_O95372_LYPLA2.pdf", "Melting_Curves/meltCurve_O95372_LYPLA2.pdf")</f>
        <v>Melting_Curves/meltCurve_O95372_LYPLA2.pdf</v>
      </c>
    </row>
    <row r="1861" spans="1:28" x14ac:dyDescent="0.25">
      <c r="A1861" t="s">
        <v>1865</v>
      </c>
      <c r="B1861">
        <v>0.99999676499088797</v>
      </c>
      <c r="C1861">
        <v>0.90254344933193997</v>
      </c>
      <c r="D1861">
        <v>0.84049015273536098</v>
      </c>
      <c r="E1861">
        <v>0.62946922856646204</v>
      </c>
      <c r="F1861">
        <v>0.299641114985984</v>
      </c>
      <c r="G1861">
        <v>0.17759057914094001</v>
      </c>
      <c r="H1861">
        <v>8.0084824865348805E-2</v>
      </c>
      <c r="I1861">
        <v>7.8101427812101998E-2</v>
      </c>
      <c r="J1861">
        <v>7.5224805944712606E-2</v>
      </c>
      <c r="K1861">
        <v>5.8832090071244299E-2</v>
      </c>
      <c r="L1861">
        <v>857.71875184150997</v>
      </c>
      <c r="M1861">
        <v>16.999047014402802</v>
      </c>
      <c r="N1861">
        <v>50.758804134792399</v>
      </c>
      <c r="O1861">
        <v>49.774133132723499</v>
      </c>
      <c r="P1861">
        <v>-8.1280330781147506E-2</v>
      </c>
      <c r="Q1861">
        <v>4.8086071068291998E-2</v>
      </c>
      <c r="R1861">
        <v>0.99589376712743305</v>
      </c>
      <c r="S1861" t="s">
        <v>8864</v>
      </c>
      <c r="T1861" t="s">
        <v>14004</v>
      </c>
      <c r="U1861" t="s">
        <v>14004</v>
      </c>
      <c r="V1861" t="s">
        <v>14004</v>
      </c>
      <c r="W1861" t="s">
        <v>15830</v>
      </c>
      <c r="X1861">
        <v>19</v>
      </c>
      <c r="Y1861" t="s">
        <v>22751</v>
      </c>
      <c r="Z1861" t="s">
        <v>29571</v>
      </c>
      <c r="AA1861">
        <v>0.3978174932313836</v>
      </c>
      <c r="AB1861" t="str">
        <f>HYPERLINK("Melting_Curves/meltCurve_O95373_IPO7.pdf", "Melting_Curves/meltCurve_O95373_IPO7.pdf")</f>
        <v>Melting_Curves/meltCurve_O95373_IPO7.pdf</v>
      </c>
    </row>
    <row r="1862" spans="1:28" x14ac:dyDescent="0.25">
      <c r="A1862" t="s">
        <v>1866</v>
      </c>
      <c r="B1862">
        <v>0.99999676499088797</v>
      </c>
      <c r="C1862">
        <v>1.0873585088417901</v>
      </c>
      <c r="D1862">
        <v>1.1153770302824499</v>
      </c>
      <c r="E1862">
        <v>1.07669867293431</v>
      </c>
      <c r="F1862">
        <v>0.51265854194694505</v>
      </c>
      <c r="G1862">
        <v>0.217865570673454</v>
      </c>
      <c r="H1862">
        <v>0.103808642622195</v>
      </c>
      <c r="I1862">
        <v>8.5902117090101093E-2</v>
      </c>
      <c r="J1862">
        <v>8.3395916827954206E-2</v>
      </c>
      <c r="K1862">
        <v>7.9157697313207501E-2</v>
      </c>
      <c r="L1862">
        <v>2890.6326214496899</v>
      </c>
      <c r="M1862">
        <v>54.440360779036503</v>
      </c>
      <c r="N1862">
        <v>53.3329850068084</v>
      </c>
      <c r="O1862">
        <v>53.025743075571597</v>
      </c>
      <c r="P1862">
        <v>-0.229222432699656</v>
      </c>
      <c r="Q1862">
        <v>0.106936097351831</v>
      </c>
      <c r="R1862">
        <v>0.98070491984520303</v>
      </c>
      <c r="S1862" t="s">
        <v>8865</v>
      </c>
      <c r="T1862" t="s">
        <v>14004</v>
      </c>
      <c r="U1862" t="s">
        <v>14004</v>
      </c>
      <c r="V1862" t="s">
        <v>14004</v>
      </c>
      <c r="W1862" t="s">
        <v>15831</v>
      </c>
      <c r="X1862">
        <v>14</v>
      </c>
      <c r="Y1862" t="s">
        <v>22752</v>
      </c>
      <c r="Z1862" t="s">
        <v>29572</v>
      </c>
      <c r="AA1862">
        <v>0.49858774991261579</v>
      </c>
      <c r="AB1862" t="str">
        <f>HYPERLINK("Melting_Curves/meltCurve_O95376_ARIH2.pdf", "Melting_Curves/meltCurve_O95376_ARIH2.pdf")</f>
        <v>Melting_Curves/meltCurve_O95376_ARIH2.pdf</v>
      </c>
    </row>
    <row r="1863" spans="1:28" x14ac:dyDescent="0.25">
      <c r="A1863" t="s">
        <v>1867</v>
      </c>
      <c r="B1863">
        <v>0.99999676499088797</v>
      </c>
      <c r="C1863">
        <v>0.795398061118192</v>
      </c>
      <c r="D1863">
        <v>0.530240000242444</v>
      </c>
      <c r="E1863">
        <v>0.36515104587826103</v>
      </c>
      <c r="F1863">
        <v>0.27094066918982201</v>
      </c>
      <c r="G1863">
        <v>0.16895030702517799</v>
      </c>
      <c r="H1863">
        <v>0.101617140045617</v>
      </c>
      <c r="I1863">
        <v>0.13350518615252799</v>
      </c>
      <c r="J1863">
        <v>0.17432130613830599</v>
      </c>
      <c r="K1863">
        <v>0.16001621023012699</v>
      </c>
      <c r="L1863">
        <v>769.83126153821195</v>
      </c>
      <c r="M1863">
        <v>16.738016542491501</v>
      </c>
      <c r="N1863">
        <v>46.947030311480098</v>
      </c>
      <c r="O1863">
        <v>45.351525298691399</v>
      </c>
      <c r="P1863">
        <v>-7.8971301784869705E-2</v>
      </c>
      <c r="Q1863">
        <v>0.144167717697159</v>
      </c>
      <c r="R1863">
        <v>0.98471393095771598</v>
      </c>
      <c r="S1863" t="s">
        <v>8866</v>
      </c>
      <c r="T1863" t="s">
        <v>14004</v>
      </c>
      <c r="U1863" t="s">
        <v>14004</v>
      </c>
      <c r="V1863" t="s">
        <v>14004</v>
      </c>
      <c r="W1863" t="s">
        <v>15832</v>
      </c>
      <c r="X1863">
        <v>6</v>
      </c>
      <c r="Y1863" t="s">
        <v>22753</v>
      </c>
      <c r="Z1863" t="s">
        <v>29573</v>
      </c>
      <c r="AA1863">
        <v>0.33488875803948731</v>
      </c>
      <c r="AB1863" t="str">
        <f>HYPERLINK("Melting_Curves/meltCurve_O95391_SLU7.pdf", "Melting_Curves/meltCurve_O95391_SLU7.pdf")</f>
        <v>Melting_Curves/meltCurve_O95391_SLU7.pdf</v>
      </c>
    </row>
    <row r="1864" spans="1:28" x14ac:dyDescent="0.25">
      <c r="A1864" t="s">
        <v>1868</v>
      </c>
      <c r="B1864">
        <v>0.99999676499088797</v>
      </c>
      <c r="C1864">
        <v>1.00982549158329</v>
      </c>
      <c r="D1864">
        <v>0.94787983677205701</v>
      </c>
      <c r="E1864">
        <v>0.71421953111536696</v>
      </c>
      <c r="F1864">
        <v>0.25154477558462801</v>
      </c>
      <c r="G1864">
        <v>0.157793617517754</v>
      </c>
      <c r="H1864">
        <v>7.3481394626235097E-2</v>
      </c>
      <c r="I1864">
        <v>7.4611225362032504E-2</v>
      </c>
      <c r="J1864">
        <v>7.1646803097453304E-2</v>
      </c>
      <c r="K1864">
        <v>6.2474095155552897E-2</v>
      </c>
      <c r="L1864">
        <v>1503.5690075621901</v>
      </c>
      <c r="M1864">
        <v>29.562824527576598</v>
      </c>
      <c r="N1864">
        <v>51.140281122603803</v>
      </c>
      <c r="O1864">
        <v>50.629108529021003</v>
      </c>
      <c r="P1864">
        <v>-0.135065526970433</v>
      </c>
      <c r="Q1864">
        <v>7.4756905533250304E-2</v>
      </c>
      <c r="R1864">
        <v>0.99815212431290001</v>
      </c>
      <c r="S1864" t="s">
        <v>8867</v>
      </c>
      <c r="T1864" t="s">
        <v>14004</v>
      </c>
      <c r="U1864" t="s">
        <v>14004</v>
      </c>
      <c r="V1864" t="s">
        <v>14004</v>
      </c>
      <c r="W1864" t="s">
        <v>15833</v>
      </c>
      <c r="X1864">
        <v>11</v>
      </c>
      <c r="Y1864" t="s">
        <v>22754</v>
      </c>
      <c r="Z1864" t="s">
        <v>29574</v>
      </c>
      <c r="AA1864">
        <v>0.41567624464927921</v>
      </c>
      <c r="AB1864" t="str">
        <f>HYPERLINK("Melting_Curves/meltCurve_O95394_PGM3.pdf", "Melting_Curves/meltCurve_O95394_PGM3.pdf")</f>
        <v>Melting_Curves/meltCurve_O95394_PGM3.pdf</v>
      </c>
    </row>
    <row r="1865" spans="1:28" x14ac:dyDescent="0.25">
      <c r="A1865" t="s">
        <v>1869</v>
      </c>
      <c r="B1865">
        <v>0.99999676499088797</v>
      </c>
      <c r="C1865">
        <v>0.978711141073908</v>
      </c>
      <c r="D1865">
        <v>0.97502845448602404</v>
      </c>
      <c r="E1865">
        <v>0.481888252771278</v>
      </c>
      <c r="F1865">
        <v>0.27963239969135101</v>
      </c>
      <c r="G1865">
        <v>0.17504627735306499</v>
      </c>
      <c r="H1865">
        <v>7.6283404800849094E-2</v>
      </c>
      <c r="I1865">
        <v>7.5010975539842095E-2</v>
      </c>
      <c r="J1865">
        <v>8.4261063484722107E-2</v>
      </c>
      <c r="K1865">
        <v>7.2059808629049205E-2</v>
      </c>
      <c r="L1865">
        <v>1286.33805868324</v>
      </c>
      <c r="M1865">
        <v>25.9286263190474</v>
      </c>
      <c r="N1865">
        <v>50.001454008862403</v>
      </c>
      <c r="O1865">
        <v>49.3184535319037</v>
      </c>
      <c r="P1865">
        <v>-0.11938340840598501</v>
      </c>
      <c r="Q1865">
        <v>9.1701023369306703E-2</v>
      </c>
      <c r="R1865">
        <v>0.98843930450741702</v>
      </c>
      <c r="S1865" t="s">
        <v>8868</v>
      </c>
      <c r="T1865" t="s">
        <v>14004</v>
      </c>
      <c r="U1865" t="s">
        <v>14004</v>
      </c>
      <c r="V1865" t="s">
        <v>14004</v>
      </c>
      <c r="W1865" t="s">
        <v>15834</v>
      </c>
      <c r="X1865">
        <v>9</v>
      </c>
      <c r="Y1865" t="s">
        <v>22755</v>
      </c>
      <c r="Z1865" t="s">
        <v>29575</v>
      </c>
      <c r="AA1865">
        <v>0.39019194057644419</v>
      </c>
      <c r="AB1865" t="str">
        <f>HYPERLINK("Melting_Curves/meltCurve_O95396_MOCS3.pdf", "Melting_Curves/meltCurve_O95396_MOCS3.pdf")</f>
        <v>Melting_Curves/meltCurve_O95396_MOCS3.pdf</v>
      </c>
    </row>
    <row r="1866" spans="1:28" x14ac:dyDescent="0.25">
      <c r="A1866" t="s">
        <v>1870</v>
      </c>
      <c r="B1866">
        <v>0.99999676499088797</v>
      </c>
      <c r="C1866">
        <v>0.76987577982692101</v>
      </c>
      <c r="D1866">
        <v>0.66279550642198903</v>
      </c>
      <c r="E1866">
        <v>0.40659625949259998</v>
      </c>
      <c r="F1866">
        <v>0.55353488488413405</v>
      </c>
      <c r="G1866">
        <v>0.384925683562789</v>
      </c>
      <c r="H1866">
        <v>0.25995966545497101</v>
      </c>
      <c r="I1866">
        <v>0.29064212050645</v>
      </c>
      <c r="J1866">
        <v>0.37279259899309702</v>
      </c>
      <c r="K1866">
        <v>0.46848163682008598</v>
      </c>
      <c r="L1866">
        <v>774.48180164472501</v>
      </c>
      <c r="M1866">
        <v>17.145577699673201</v>
      </c>
      <c r="N1866">
        <v>48.9190047743053</v>
      </c>
      <c r="O1866">
        <v>44.569889341121403</v>
      </c>
      <c r="P1866">
        <v>-6.1017020724114697E-2</v>
      </c>
      <c r="Q1866">
        <v>0.36558349930337403</v>
      </c>
      <c r="R1866">
        <v>0.87314898641744298</v>
      </c>
      <c r="S1866" t="s">
        <v>8869</v>
      </c>
      <c r="T1866" t="s">
        <v>14004</v>
      </c>
      <c r="U1866" t="s">
        <v>14004</v>
      </c>
      <c r="V1866" t="s">
        <v>14004</v>
      </c>
      <c r="W1866" t="s">
        <v>15835</v>
      </c>
      <c r="X1866">
        <v>5</v>
      </c>
      <c r="Y1866" t="s">
        <v>22756</v>
      </c>
      <c r="Z1866" t="s">
        <v>29576</v>
      </c>
      <c r="AA1866">
        <v>0.48991294168062588</v>
      </c>
      <c r="AB1866" t="str">
        <f>HYPERLINK("Melting_Curves/meltCurve_O95400_CD2BP2.pdf", "Melting_Curves/meltCurve_O95400_CD2BP2.pdf")</f>
        <v>Melting_Curves/meltCurve_O95400_CD2BP2.pdf</v>
      </c>
    </row>
    <row r="1867" spans="1:28" x14ac:dyDescent="0.25">
      <c r="A1867" t="s">
        <v>1871</v>
      </c>
      <c r="B1867">
        <v>0.99999676499088797</v>
      </c>
      <c r="C1867">
        <v>0.98072711745764096</v>
      </c>
      <c r="D1867">
        <v>0.956554599564724</v>
      </c>
      <c r="E1867">
        <v>0.839417491767812</v>
      </c>
      <c r="F1867">
        <v>0.41265043255213801</v>
      </c>
      <c r="G1867">
        <v>0.374950526713626</v>
      </c>
      <c r="H1867">
        <v>0.28216936699794598</v>
      </c>
      <c r="I1867">
        <v>0.37242111289108099</v>
      </c>
      <c r="J1867">
        <v>0.33136382270271703</v>
      </c>
      <c r="K1867">
        <v>0.30508548794069101</v>
      </c>
      <c r="L1867">
        <v>2147.46008126794</v>
      </c>
      <c r="M1867">
        <v>42.192457310064803</v>
      </c>
      <c r="N1867">
        <v>52.230813140652302</v>
      </c>
      <c r="O1867">
        <v>50.782860641799097</v>
      </c>
      <c r="P1867">
        <v>-0.13920739424138301</v>
      </c>
      <c r="Q1867">
        <v>0.329801044520798</v>
      </c>
      <c r="R1867">
        <v>0.991052982032817</v>
      </c>
      <c r="S1867" t="s">
        <v>8870</v>
      </c>
      <c r="T1867" t="s">
        <v>14004</v>
      </c>
      <c r="U1867" t="s">
        <v>14004</v>
      </c>
      <c r="V1867" t="s">
        <v>14004</v>
      </c>
      <c r="W1867" t="s">
        <v>15836</v>
      </c>
      <c r="X1867">
        <v>4</v>
      </c>
      <c r="Y1867" t="s">
        <v>22757</v>
      </c>
      <c r="Z1867" t="s">
        <v>29577</v>
      </c>
      <c r="AA1867">
        <v>0.57535214993220041</v>
      </c>
      <c r="AB1867" t="str">
        <f>HYPERLINK("Melting_Curves/meltCurve_O95402_MED26.pdf", "Melting_Curves/meltCurve_O95402_MED26.pdf")</f>
        <v>Melting_Curves/meltCurve_O95402_MED26.pdf</v>
      </c>
    </row>
    <row r="1868" spans="1:28" x14ac:dyDescent="0.25">
      <c r="A1868" t="s">
        <v>1872</v>
      </c>
      <c r="B1868">
        <v>0.99999676499088797</v>
      </c>
      <c r="C1868">
        <v>0.82392910538834296</v>
      </c>
      <c r="D1868">
        <v>1.0013435537386799</v>
      </c>
      <c r="E1868">
        <v>0.966930800832139</v>
      </c>
      <c r="F1868">
        <v>0.403885809774502</v>
      </c>
      <c r="G1868">
        <v>1.0204132443656899</v>
      </c>
      <c r="H1868">
        <v>0.408999636617148</v>
      </c>
      <c r="I1868">
        <v>0.82989254077233499</v>
      </c>
      <c r="J1868">
        <v>1.2719736568078801</v>
      </c>
      <c r="K1868">
        <v>1.60881826476779</v>
      </c>
      <c r="L1868">
        <v>15000</v>
      </c>
      <c r="M1868">
        <v>223.723339910048</v>
      </c>
      <c r="O1868">
        <v>67.041732210961598</v>
      </c>
      <c r="P1868">
        <v>0.41713443925146798</v>
      </c>
      <c r="Q1868">
        <v>1.5</v>
      </c>
      <c r="R1868">
        <v>0.33318553750532298</v>
      </c>
      <c r="S1868" t="s">
        <v>8871</v>
      </c>
      <c r="T1868" t="s">
        <v>14004</v>
      </c>
      <c r="U1868" t="s">
        <v>14004</v>
      </c>
      <c r="V1868" t="s">
        <v>14004</v>
      </c>
      <c r="W1868" t="s">
        <v>15837</v>
      </c>
      <c r="X1868">
        <v>4</v>
      </c>
      <c r="Y1868" t="s">
        <v>22758</v>
      </c>
      <c r="Z1868" t="s">
        <v>29578</v>
      </c>
      <c r="AA1868">
        <v>1.0491420539408769</v>
      </c>
      <c r="AB1868" t="str">
        <f>HYPERLINK("Melting_Curves/meltCurve_O95405_ZFYVE9.pdf", "Melting_Curves/meltCurve_O95405_ZFYVE9.pdf")</f>
        <v>Melting_Curves/meltCurve_O95405_ZFYVE9.pdf</v>
      </c>
    </row>
    <row r="1869" spans="1:28" x14ac:dyDescent="0.25">
      <c r="A1869" t="s">
        <v>1873</v>
      </c>
      <c r="B1869">
        <v>0.99999676499088797</v>
      </c>
      <c r="C1869">
        <v>0.88267367502775096</v>
      </c>
      <c r="D1869">
        <v>0.85339929277291804</v>
      </c>
      <c r="E1869">
        <v>0.77575456755546601</v>
      </c>
      <c r="F1869">
        <v>0.56250750675321304</v>
      </c>
      <c r="G1869">
        <v>0.37031422467679298</v>
      </c>
      <c r="H1869">
        <v>0.212494283475468</v>
      </c>
      <c r="I1869">
        <v>0.18763587253195499</v>
      </c>
      <c r="J1869">
        <v>0.17018338377979</v>
      </c>
      <c r="K1869">
        <v>0.193070766787971</v>
      </c>
      <c r="L1869">
        <v>666.81160961957301</v>
      </c>
      <c r="M1869">
        <v>12.5954270370828</v>
      </c>
      <c r="N1869">
        <v>54.027662505652501</v>
      </c>
      <c r="O1869">
        <v>51.659455696748601</v>
      </c>
      <c r="P1869">
        <v>-5.4143196648049501E-2</v>
      </c>
      <c r="Q1869">
        <v>0.11191596967369</v>
      </c>
      <c r="R1869">
        <v>0.98722553316907302</v>
      </c>
      <c r="S1869" t="s">
        <v>8872</v>
      </c>
      <c r="T1869" t="s">
        <v>14004</v>
      </c>
      <c r="U1869" t="s">
        <v>14004</v>
      </c>
      <c r="V1869" t="s">
        <v>14004</v>
      </c>
      <c r="W1869" t="s">
        <v>15838</v>
      </c>
      <c r="X1869">
        <v>5</v>
      </c>
      <c r="Y1869" t="s">
        <v>22759</v>
      </c>
      <c r="Z1869" t="s">
        <v>29579</v>
      </c>
      <c r="AA1869">
        <v>0.51901641310983504</v>
      </c>
      <c r="AB1869" t="str">
        <f>HYPERLINK("Melting_Curves/meltCurve_O95429_2_BAG4.pdf", "Melting_Curves/meltCurve_O95429_2_BAG4.pdf")</f>
        <v>Melting_Curves/meltCurve_O95429_2_BAG4.pdf</v>
      </c>
    </row>
    <row r="1870" spans="1:28" x14ac:dyDescent="0.25">
      <c r="A1870" t="s">
        <v>1874</v>
      </c>
      <c r="B1870">
        <v>0.99999676499088797</v>
      </c>
      <c r="C1870">
        <v>0.94720051622716805</v>
      </c>
      <c r="D1870">
        <v>0.99348256187440098</v>
      </c>
      <c r="E1870">
        <v>0.82761038435763301</v>
      </c>
      <c r="F1870">
        <v>0.29123606691272902</v>
      </c>
      <c r="G1870">
        <v>0.198560151675896</v>
      </c>
      <c r="H1870">
        <v>9.0081429301222801E-2</v>
      </c>
      <c r="I1870">
        <v>8.7769691829605298E-2</v>
      </c>
      <c r="J1870">
        <v>9.0396609521265894E-2</v>
      </c>
      <c r="K1870">
        <v>6.9674891896748498E-2</v>
      </c>
      <c r="L1870">
        <v>1839.3502524870901</v>
      </c>
      <c r="M1870">
        <v>35.721004541072901</v>
      </c>
      <c r="N1870">
        <v>51.803491856936702</v>
      </c>
      <c r="O1870">
        <v>51.331539805416199</v>
      </c>
      <c r="P1870">
        <v>-0.157164922759648</v>
      </c>
      <c r="Q1870">
        <v>9.6610931482981194E-2</v>
      </c>
      <c r="R1870">
        <v>0.99414092129547404</v>
      </c>
      <c r="S1870" t="s">
        <v>8873</v>
      </c>
      <c r="T1870" t="s">
        <v>14004</v>
      </c>
      <c r="U1870" t="s">
        <v>14004</v>
      </c>
      <c r="V1870" t="s">
        <v>14004</v>
      </c>
      <c r="W1870" t="s">
        <v>15839</v>
      </c>
      <c r="X1870">
        <v>29</v>
      </c>
      <c r="Y1870" t="s">
        <v>22760</v>
      </c>
      <c r="Z1870" t="s">
        <v>29580</v>
      </c>
      <c r="AA1870">
        <v>0.4467090087698613</v>
      </c>
      <c r="AB1870" t="str">
        <f>HYPERLINK("Melting_Curves/meltCurve_O95433_AHSA1.pdf", "Melting_Curves/meltCurve_O95433_AHSA1.pdf")</f>
        <v>Melting_Curves/meltCurve_O95433_AHSA1.pdf</v>
      </c>
    </row>
    <row r="1871" spans="1:28" x14ac:dyDescent="0.25">
      <c r="A1871" t="s">
        <v>1875</v>
      </c>
      <c r="B1871">
        <v>0.99999676499088797</v>
      </c>
      <c r="C1871">
        <v>1.0293016254838301</v>
      </c>
      <c r="D1871">
        <v>0.91811683804475896</v>
      </c>
      <c r="E1871">
        <v>0.50538309322691799</v>
      </c>
      <c r="F1871">
        <v>0.221726225565338</v>
      </c>
      <c r="G1871">
        <v>0.14369255029167199</v>
      </c>
      <c r="H1871">
        <v>7.0491415390970799E-2</v>
      </c>
      <c r="I1871">
        <v>7.0493939096585898E-2</v>
      </c>
      <c r="J1871">
        <v>6.1473501981420299E-2</v>
      </c>
      <c r="K1871">
        <v>4.4480617709610301E-2</v>
      </c>
      <c r="L1871">
        <v>1303.9544427547301</v>
      </c>
      <c r="M1871">
        <v>26.3015964060431</v>
      </c>
      <c r="N1871">
        <v>49.864994705643397</v>
      </c>
      <c r="O1871">
        <v>49.293077230113198</v>
      </c>
      <c r="P1871">
        <v>-0.123996081666619</v>
      </c>
      <c r="Q1871">
        <v>7.0462379979819606E-2</v>
      </c>
      <c r="R1871">
        <v>0.99607629988773605</v>
      </c>
      <c r="S1871" t="s">
        <v>8874</v>
      </c>
      <c r="T1871" t="s">
        <v>14004</v>
      </c>
      <c r="U1871" t="s">
        <v>14004</v>
      </c>
      <c r="V1871" t="s">
        <v>14004</v>
      </c>
      <c r="W1871" t="s">
        <v>15840</v>
      </c>
      <c r="X1871">
        <v>19</v>
      </c>
      <c r="Y1871" t="s">
        <v>22761</v>
      </c>
      <c r="Z1871" t="s">
        <v>29581</v>
      </c>
      <c r="AA1871">
        <v>0.37466532507775169</v>
      </c>
      <c r="AB1871" t="str">
        <f>HYPERLINK("Melting_Curves/meltCurve_O95453_2_PARN.pdf", "Melting_Curves/meltCurve_O95453_2_PARN.pdf")</f>
        <v>Melting_Curves/meltCurve_O95453_2_PARN.pdf</v>
      </c>
    </row>
    <row r="1872" spans="1:28" x14ac:dyDescent="0.25">
      <c r="A1872" t="s">
        <v>1876</v>
      </c>
      <c r="B1872">
        <v>0.99999676499088797</v>
      </c>
      <c r="C1872">
        <v>0.96301428276935996</v>
      </c>
      <c r="D1872">
        <v>1.0519380919392001</v>
      </c>
      <c r="E1872">
        <v>1.0719355687343901</v>
      </c>
      <c r="F1872">
        <v>1.1239829534998</v>
      </c>
      <c r="G1872">
        <v>1.0801937701265101</v>
      </c>
      <c r="H1872">
        <v>0.458492974439279</v>
      </c>
      <c r="I1872">
        <v>0.155512019135226</v>
      </c>
      <c r="J1872">
        <v>0.10414395239725099</v>
      </c>
      <c r="K1872">
        <v>9.4555688095452894E-2</v>
      </c>
      <c r="L1872">
        <v>6243.9967358491303</v>
      </c>
      <c r="M1872">
        <v>103.153148461961</v>
      </c>
      <c r="N1872">
        <v>60.687786658226202</v>
      </c>
      <c r="O1872">
        <v>60.508573541942603</v>
      </c>
      <c r="P1872">
        <v>-0.37643069896755899</v>
      </c>
      <c r="Q1872">
        <v>0.11675841616197701</v>
      </c>
      <c r="R1872">
        <v>0.98181356068110404</v>
      </c>
      <c r="S1872" t="s">
        <v>8875</v>
      </c>
      <c r="T1872" t="s">
        <v>14004</v>
      </c>
      <c r="U1872" t="s">
        <v>14004</v>
      </c>
      <c r="V1872" t="s">
        <v>14004</v>
      </c>
      <c r="W1872" t="s">
        <v>15841</v>
      </c>
      <c r="X1872">
        <v>13</v>
      </c>
      <c r="Y1872" t="s">
        <v>22762</v>
      </c>
      <c r="Z1872" t="s">
        <v>29582</v>
      </c>
      <c r="AA1872">
        <v>0.72178077539273555</v>
      </c>
      <c r="AB1872" t="str">
        <f>HYPERLINK("Melting_Curves/meltCurve_O95456_PSMG1.pdf", "Melting_Curves/meltCurve_O95456_PSMG1.pdf")</f>
        <v>Melting_Curves/meltCurve_O95456_PSMG1.pdf</v>
      </c>
    </row>
    <row r="1873" spans="1:28" x14ac:dyDescent="0.25">
      <c r="A1873" t="s">
        <v>1877</v>
      </c>
      <c r="B1873">
        <v>0.99999676499088797</v>
      </c>
      <c r="C1873">
        <v>0.77279575576374504</v>
      </c>
      <c r="D1873">
        <v>0.250014686932227</v>
      </c>
      <c r="E1873">
        <v>0.173283889197788</v>
      </c>
      <c r="F1873">
        <v>0.122277571139571</v>
      </c>
      <c r="G1873">
        <v>9.6664683541480598E-2</v>
      </c>
      <c r="H1873">
        <v>5.32769157253941E-2</v>
      </c>
      <c r="I1873">
        <v>5.2625748982040199E-2</v>
      </c>
      <c r="J1873">
        <v>5.0339664503651897E-2</v>
      </c>
      <c r="K1873">
        <v>4.4312800774618799E-2</v>
      </c>
      <c r="L1873">
        <v>1559.3463756209101</v>
      </c>
      <c r="M1873">
        <v>35.255648740037202</v>
      </c>
      <c r="N1873">
        <v>44.447659648898998</v>
      </c>
      <c r="O1873">
        <v>44.088111060476301</v>
      </c>
      <c r="P1873">
        <v>-0.18404632201635901</v>
      </c>
      <c r="Q1873">
        <v>7.9384191435395698E-2</v>
      </c>
      <c r="R1873">
        <v>0.98875729087792796</v>
      </c>
      <c r="S1873" t="s">
        <v>8876</v>
      </c>
      <c r="T1873" t="s">
        <v>14004</v>
      </c>
      <c r="U1873" t="s">
        <v>14004</v>
      </c>
      <c r="V1873" t="s">
        <v>14004</v>
      </c>
      <c r="W1873" t="s">
        <v>15842</v>
      </c>
      <c r="X1873">
        <v>24</v>
      </c>
      <c r="Y1873" t="s">
        <v>22763</v>
      </c>
      <c r="Z1873" t="s">
        <v>29583</v>
      </c>
      <c r="AA1873">
        <v>0.21352679750458101</v>
      </c>
      <c r="AB1873" t="str">
        <f>HYPERLINK("Melting_Curves/meltCurve_O95466_2_FMNL1.pdf", "Melting_Curves/meltCurve_O95466_2_FMNL1.pdf")</f>
        <v>Melting_Curves/meltCurve_O95466_2_FMNL1.pdf</v>
      </c>
    </row>
    <row r="1874" spans="1:28" x14ac:dyDescent="0.25">
      <c r="A1874" t="s">
        <v>1878</v>
      </c>
      <c r="B1874">
        <v>0.99999676499088797</v>
      </c>
      <c r="C1874">
        <v>0.97357386478810304</v>
      </c>
      <c r="D1874">
        <v>0.98375100162870199</v>
      </c>
      <c r="E1874">
        <v>0.92986952002032897</v>
      </c>
      <c r="F1874">
        <v>0.35859668808964601</v>
      </c>
      <c r="G1874">
        <v>0.19294874648544799</v>
      </c>
      <c r="H1874">
        <v>7.77164182533681E-2</v>
      </c>
      <c r="I1874">
        <v>8.4776855272662599E-2</v>
      </c>
      <c r="J1874">
        <v>7.2445727479990701E-2</v>
      </c>
      <c r="K1874">
        <v>6.8134096158726704E-2</v>
      </c>
      <c r="L1874">
        <v>2148.6908080487701</v>
      </c>
      <c r="M1874">
        <v>41.151023980772699</v>
      </c>
      <c r="N1874">
        <v>52.4658348265597</v>
      </c>
      <c r="O1874">
        <v>52.091905981353001</v>
      </c>
      <c r="P1874">
        <v>-0.17984179140311099</v>
      </c>
      <c r="Q1874">
        <v>8.9375334588343694E-2</v>
      </c>
      <c r="R1874">
        <v>0.99537693609081601</v>
      </c>
      <c r="S1874" t="s">
        <v>8877</v>
      </c>
      <c r="T1874" t="s">
        <v>14004</v>
      </c>
      <c r="U1874" t="s">
        <v>14004</v>
      </c>
      <c r="V1874" t="s">
        <v>14004</v>
      </c>
      <c r="W1874" t="s">
        <v>15843</v>
      </c>
      <c r="X1874">
        <v>17</v>
      </c>
      <c r="Y1874" t="s">
        <v>22764</v>
      </c>
      <c r="Z1874" t="s">
        <v>29584</v>
      </c>
      <c r="AA1874">
        <v>0.46324671178168142</v>
      </c>
      <c r="AB1874" t="str">
        <f>HYPERLINK("Melting_Curves/meltCurve_O95470_SGPL1.pdf", "Melting_Curves/meltCurve_O95470_SGPL1.pdf")</f>
        <v>Melting_Curves/meltCurve_O95470_SGPL1.pdf</v>
      </c>
    </row>
    <row r="1875" spans="1:28" x14ac:dyDescent="0.25">
      <c r="A1875" t="s">
        <v>1879</v>
      </c>
      <c r="B1875">
        <v>0.99999676499088797</v>
      </c>
      <c r="C1875">
        <v>0.67293605057289496</v>
      </c>
      <c r="D1875">
        <v>0.31331642152308498</v>
      </c>
      <c r="E1875">
        <v>0.221270920139158</v>
      </c>
      <c r="F1875">
        <v>0.13866048911205001</v>
      </c>
      <c r="G1875">
        <v>0.101093699796652</v>
      </c>
      <c r="H1875">
        <v>6.1048954698855601E-2</v>
      </c>
      <c r="I1875">
        <v>5.7467267715023397E-2</v>
      </c>
      <c r="J1875">
        <v>4.7781325857191401E-2</v>
      </c>
      <c r="K1875">
        <v>4.1304500356386699E-2</v>
      </c>
      <c r="L1875">
        <v>1013.03444901536</v>
      </c>
      <c r="M1875">
        <v>22.907319023288299</v>
      </c>
      <c r="N1875">
        <v>44.547995711767001</v>
      </c>
      <c r="O1875">
        <v>43.890306662552298</v>
      </c>
      <c r="P1875">
        <v>-0.120446927701371</v>
      </c>
      <c r="Q1875">
        <v>7.6914957540821199E-2</v>
      </c>
      <c r="R1875">
        <v>0.98107733319212498</v>
      </c>
      <c r="S1875" t="s">
        <v>8878</v>
      </c>
      <c r="T1875" t="s">
        <v>14004</v>
      </c>
      <c r="U1875" t="s">
        <v>14004</v>
      </c>
      <c r="V1875" t="s">
        <v>14004</v>
      </c>
      <c r="W1875" t="s">
        <v>15844</v>
      </c>
      <c r="X1875">
        <v>7</v>
      </c>
      <c r="Y1875" t="s">
        <v>22765</v>
      </c>
      <c r="Z1875" t="s">
        <v>29585</v>
      </c>
      <c r="AA1875">
        <v>0.21943872889351829</v>
      </c>
      <c r="AB1875" t="str">
        <f>HYPERLINK("Melting_Curves/meltCurve_O95475_SIX6.pdf", "Melting_Curves/meltCurve_O95475_SIX6.pdf")</f>
        <v>Melting_Curves/meltCurve_O95475_SIX6.pdf</v>
      </c>
    </row>
    <row r="1876" spans="1:28" x14ac:dyDescent="0.25">
      <c r="A1876" t="s">
        <v>1880</v>
      </c>
      <c r="B1876">
        <v>0.99999676499088797</v>
      </c>
      <c r="C1876">
        <v>1.0695834926901999</v>
      </c>
      <c r="D1876">
        <v>0.90940483338163802</v>
      </c>
      <c r="E1876">
        <v>0.40161556708778001</v>
      </c>
      <c r="F1876">
        <v>0.177626712803863</v>
      </c>
      <c r="G1876">
        <v>0.12138850296325</v>
      </c>
      <c r="H1876">
        <v>6.0787592701880298E-2</v>
      </c>
      <c r="I1876">
        <v>5.8991824442880501E-2</v>
      </c>
      <c r="J1876">
        <v>6.29981581877887E-2</v>
      </c>
      <c r="K1876">
        <v>5.3361411767091499E-2</v>
      </c>
      <c r="L1876">
        <v>1638.33610865746</v>
      </c>
      <c r="M1876">
        <v>33.541602657606902</v>
      </c>
      <c r="N1876">
        <v>49.085810087663702</v>
      </c>
      <c r="O1876">
        <v>48.672253866425599</v>
      </c>
      <c r="P1876">
        <v>-0.15920845424539801</v>
      </c>
      <c r="Q1876">
        <v>7.5893658943761405E-2</v>
      </c>
      <c r="R1876">
        <v>0.99308756725449598</v>
      </c>
      <c r="S1876" t="s">
        <v>8879</v>
      </c>
      <c r="T1876" t="s">
        <v>14004</v>
      </c>
      <c r="U1876" t="s">
        <v>14004</v>
      </c>
      <c r="V1876" t="s">
        <v>14004</v>
      </c>
      <c r="W1876" t="s">
        <v>15845</v>
      </c>
      <c r="X1876">
        <v>11</v>
      </c>
      <c r="Y1876" t="s">
        <v>22766</v>
      </c>
      <c r="Z1876" t="s">
        <v>29586</v>
      </c>
      <c r="AA1876">
        <v>0.35281646335433681</v>
      </c>
      <c r="AB1876" t="str">
        <f>HYPERLINK("Melting_Curves/meltCurve_O95486_SEC24A.pdf", "Melting_Curves/meltCurve_O95486_SEC24A.pdf")</f>
        <v>Melting_Curves/meltCurve_O95486_SEC24A.pdf</v>
      </c>
    </row>
    <row r="1877" spans="1:28" x14ac:dyDescent="0.25">
      <c r="A1877" t="s">
        <v>1881</v>
      </c>
      <c r="B1877">
        <v>0.99999676499088797</v>
      </c>
      <c r="C1877">
        <v>0.993613560162661</v>
      </c>
      <c r="D1877">
        <v>0.702913528158985</v>
      </c>
      <c r="E1877">
        <v>0.27047041180892401</v>
      </c>
      <c r="F1877">
        <v>0.19352862733804899</v>
      </c>
      <c r="G1877">
        <v>0.13901846203259999</v>
      </c>
      <c r="H1877">
        <v>8.2597841952079296E-2</v>
      </c>
      <c r="I1877">
        <v>8.3672463066964797E-2</v>
      </c>
      <c r="J1877">
        <v>6.3596778262364401E-2</v>
      </c>
      <c r="K1877">
        <v>6.4066372891951107E-2</v>
      </c>
      <c r="L1877">
        <v>1304.2553293380799</v>
      </c>
      <c r="M1877">
        <v>27.582902774302799</v>
      </c>
      <c r="N1877">
        <v>47.639037987658298</v>
      </c>
      <c r="O1877">
        <v>47.0384995765843</v>
      </c>
      <c r="P1877">
        <v>-0.13301062621347701</v>
      </c>
      <c r="Q1877">
        <v>9.2690116162920305E-2</v>
      </c>
      <c r="R1877">
        <v>0.99294929387214903</v>
      </c>
      <c r="S1877" t="s">
        <v>8880</v>
      </c>
      <c r="T1877" t="s">
        <v>14004</v>
      </c>
      <c r="U1877" t="s">
        <v>14004</v>
      </c>
      <c r="V1877" t="s">
        <v>14004</v>
      </c>
      <c r="W1877" t="s">
        <v>15846</v>
      </c>
      <c r="X1877">
        <v>11</v>
      </c>
      <c r="Y1877" t="s">
        <v>22767</v>
      </c>
      <c r="Z1877" t="s">
        <v>29587</v>
      </c>
      <c r="AA1877">
        <v>0.31952688625398667</v>
      </c>
      <c r="AB1877" t="str">
        <f>HYPERLINK("Melting_Curves/meltCurve_O95487_2_SEC24B.pdf", "Melting_Curves/meltCurve_O95487_2_SEC24B.pdf")</f>
        <v>Melting_Curves/meltCurve_O95487_2_SEC24B.pdf</v>
      </c>
    </row>
    <row r="1878" spans="1:28" x14ac:dyDescent="0.25">
      <c r="A1878" t="s">
        <v>1882</v>
      </c>
      <c r="B1878">
        <v>0.99999676499088797</v>
      </c>
      <c r="C1878">
        <v>1.04355664220308</v>
      </c>
      <c r="D1878">
        <v>1.01322674932836</v>
      </c>
      <c r="E1878">
        <v>0.94056195506400697</v>
      </c>
      <c r="F1878">
        <v>1.02433855283215</v>
      </c>
      <c r="G1878">
        <v>0.81619349767133398</v>
      </c>
      <c r="H1878">
        <v>0.56734504899918503</v>
      </c>
      <c r="I1878">
        <v>0.49906361875039901</v>
      </c>
      <c r="J1878">
        <v>0.4542604876247</v>
      </c>
      <c r="K1878">
        <v>0.35205605538527601</v>
      </c>
      <c r="L1878">
        <v>1463.5878188458801</v>
      </c>
      <c r="M1878">
        <v>24.803460976131198</v>
      </c>
      <c r="N1878">
        <v>62.824045687591202</v>
      </c>
      <c r="O1878">
        <v>58.627851818874703</v>
      </c>
      <c r="P1878">
        <v>-6.4603644227686496E-2</v>
      </c>
      <c r="Q1878">
        <v>0.38919484948862099</v>
      </c>
      <c r="R1878">
        <v>0.97863715804003104</v>
      </c>
      <c r="S1878" t="s">
        <v>8881</v>
      </c>
      <c r="T1878" t="s">
        <v>14004</v>
      </c>
      <c r="U1878" t="s">
        <v>14004</v>
      </c>
      <c r="V1878" t="s">
        <v>14004</v>
      </c>
      <c r="W1878" t="s">
        <v>15847</v>
      </c>
      <c r="X1878">
        <v>9</v>
      </c>
      <c r="Y1878" t="s">
        <v>22768</v>
      </c>
      <c r="Z1878" t="s">
        <v>29588</v>
      </c>
      <c r="AA1878">
        <v>0.78123741028654048</v>
      </c>
      <c r="AB1878" t="str">
        <f>HYPERLINK("Melting_Curves/meltCurve_O95544_NADK.pdf", "Melting_Curves/meltCurve_O95544_NADK.pdf")</f>
        <v>Melting_Curves/meltCurve_O95544_NADK.pdf</v>
      </c>
    </row>
    <row r="1879" spans="1:28" x14ac:dyDescent="0.25">
      <c r="A1879" t="s">
        <v>1883</v>
      </c>
      <c r="B1879">
        <v>0.99999676499088797</v>
      </c>
      <c r="C1879">
        <v>0.872455696732645</v>
      </c>
      <c r="D1879">
        <v>0.76747599625337304</v>
      </c>
      <c r="E1879">
        <v>0.58505426426898399</v>
      </c>
      <c r="F1879">
        <v>0.24126915893401801</v>
      </c>
      <c r="G1879">
        <v>0.14734150158739301</v>
      </c>
      <c r="H1879">
        <v>7.8148211390229705E-2</v>
      </c>
      <c r="I1879">
        <v>5.8621215621050299E-2</v>
      </c>
      <c r="J1879">
        <v>6.2008501996002802E-2</v>
      </c>
      <c r="K1879">
        <v>4.5516509363071798E-2</v>
      </c>
      <c r="L1879">
        <v>766.39764732885601</v>
      </c>
      <c r="M1879">
        <v>15.4165527032015</v>
      </c>
      <c r="N1879">
        <v>49.904839302043897</v>
      </c>
      <c r="O1879">
        <v>48.898716459911</v>
      </c>
      <c r="P1879">
        <v>-7.6554046463425701E-2</v>
      </c>
      <c r="Q1879">
        <v>2.8821806628220901E-2</v>
      </c>
      <c r="R1879">
        <v>0.99257643501917103</v>
      </c>
      <c r="S1879" t="s">
        <v>8882</v>
      </c>
      <c r="T1879" t="s">
        <v>14004</v>
      </c>
      <c r="U1879" t="s">
        <v>14004</v>
      </c>
      <c r="V1879" t="s">
        <v>14004</v>
      </c>
      <c r="W1879" t="s">
        <v>15848</v>
      </c>
      <c r="X1879">
        <v>10</v>
      </c>
      <c r="Y1879" t="s">
        <v>22769</v>
      </c>
      <c r="Z1879" t="s">
        <v>29589</v>
      </c>
      <c r="AA1879">
        <v>0.36548977612846228</v>
      </c>
      <c r="AB1879" t="str">
        <f>HYPERLINK("Melting_Curves/meltCurve_O95551_TDP2.pdf", "Melting_Curves/meltCurve_O95551_TDP2.pdf")</f>
        <v>Melting_Curves/meltCurve_O95551_TDP2.pdf</v>
      </c>
    </row>
    <row r="1880" spans="1:28" x14ac:dyDescent="0.25">
      <c r="A1880" t="s">
        <v>1884</v>
      </c>
      <c r="B1880">
        <v>0.99999676499088797</v>
      </c>
      <c r="C1880">
        <v>0.96322086103753002</v>
      </c>
      <c r="D1880">
        <v>1.0877280939688201</v>
      </c>
      <c r="E1880">
        <v>0.81365440097886499</v>
      </c>
      <c r="F1880">
        <v>0.51105059532256403</v>
      </c>
      <c r="G1880">
        <v>0.16415517815668701</v>
      </c>
      <c r="H1880">
        <v>4.7756861281549802E-2</v>
      </c>
      <c r="I1880">
        <v>3.8602051915552202E-2</v>
      </c>
      <c r="J1880">
        <v>3.5216265201873397E-2</v>
      </c>
      <c r="K1880">
        <v>3.64404382270333E-2</v>
      </c>
      <c r="L1880">
        <v>1372.2587687912101</v>
      </c>
      <c r="M1880">
        <v>25.8897916995221</v>
      </c>
      <c r="N1880">
        <v>53.115553596300003</v>
      </c>
      <c r="O1880">
        <v>52.690658538680303</v>
      </c>
      <c r="P1880">
        <v>-0.119585477509764</v>
      </c>
      <c r="Q1880">
        <v>2.64944946080144E-2</v>
      </c>
      <c r="R1880">
        <v>0.99176208761668505</v>
      </c>
      <c r="S1880" t="s">
        <v>8883</v>
      </c>
      <c r="T1880" t="s">
        <v>14004</v>
      </c>
      <c r="U1880" t="s">
        <v>14004</v>
      </c>
      <c r="V1880" t="s">
        <v>14004</v>
      </c>
      <c r="W1880" t="s">
        <v>15849</v>
      </c>
      <c r="X1880">
        <v>2</v>
      </c>
      <c r="Y1880" t="s">
        <v>22770</v>
      </c>
      <c r="Z1880" t="s">
        <v>29590</v>
      </c>
      <c r="AA1880">
        <v>0.45686297066351661</v>
      </c>
      <c r="AB1880" t="str">
        <f>HYPERLINK("Melting_Curves/meltCurve_O95568_METTL18.pdf", "Melting_Curves/meltCurve_O95568_METTL18.pdf")</f>
        <v>Melting_Curves/meltCurve_O95568_METTL18.pdf</v>
      </c>
    </row>
    <row r="1881" spans="1:28" x14ac:dyDescent="0.25">
      <c r="A1881" t="s">
        <v>1885</v>
      </c>
      <c r="B1881">
        <v>0.99999676499088797</v>
      </c>
      <c r="C1881">
        <v>1.01732365092319</v>
      </c>
      <c r="D1881">
        <v>0.923099240530732</v>
      </c>
      <c r="E1881">
        <v>0.86876728583951501</v>
      </c>
      <c r="F1881">
        <v>0.84862300518396305</v>
      </c>
      <c r="G1881">
        <v>0.740439386732481</v>
      </c>
      <c r="H1881">
        <v>0.38374015610206302</v>
      </c>
      <c r="I1881">
        <v>0.188411920585736</v>
      </c>
      <c r="J1881">
        <v>6.6612654722310802E-2</v>
      </c>
      <c r="K1881">
        <v>4.0151925739971797E-2</v>
      </c>
      <c r="L1881">
        <v>1097.32345456234</v>
      </c>
      <c r="M1881">
        <v>18.5380255016638</v>
      </c>
      <c r="N1881">
        <v>59.1931141431903</v>
      </c>
      <c r="O1881">
        <v>58.517210938962698</v>
      </c>
      <c r="P1881">
        <v>-7.9202509023180795E-2</v>
      </c>
      <c r="Q1881">
        <v>0</v>
      </c>
      <c r="R1881">
        <v>0.98394710025294996</v>
      </c>
      <c r="S1881" t="s">
        <v>8884</v>
      </c>
      <c r="T1881" t="s">
        <v>14004</v>
      </c>
      <c r="U1881" t="s">
        <v>14004</v>
      </c>
      <c r="V1881" t="s">
        <v>14004</v>
      </c>
      <c r="W1881" t="s">
        <v>15850</v>
      </c>
      <c r="X1881">
        <v>12</v>
      </c>
      <c r="Y1881" t="s">
        <v>22771</v>
      </c>
      <c r="Z1881" t="s">
        <v>29591</v>
      </c>
      <c r="AA1881">
        <v>0.64987761312659698</v>
      </c>
      <c r="AB1881" t="str">
        <f>HYPERLINK("Melting_Curves/meltCurve_O95571_ETHE1.pdf", "Melting_Curves/meltCurve_O95571_ETHE1.pdf")</f>
        <v>Melting_Curves/meltCurve_O95571_ETHE1.pdf</v>
      </c>
    </row>
    <row r="1882" spans="1:28" x14ac:dyDescent="0.25">
      <c r="A1882" t="s">
        <v>1886</v>
      </c>
      <c r="B1882">
        <v>0.99999676499088797</v>
      </c>
      <c r="C1882">
        <v>0.97869768264754597</v>
      </c>
      <c r="D1882">
        <v>0.83815279274687904</v>
      </c>
      <c r="E1882">
        <v>0.486446660883946</v>
      </c>
      <c r="F1882">
        <v>0.16054534543509599</v>
      </c>
      <c r="G1882">
        <v>0.113294192803801</v>
      </c>
      <c r="H1882">
        <v>5.7964558061428702E-2</v>
      </c>
      <c r="I1882">
        <v>5.3876694550952599E-2</v>
      </c>
      <c r="J1882">
        <v>4.5068179798598298E-2</v>
      </c>
      <c r="K1882">
        <v>4.8804533033448498E-2</v>
      </c>
      <c r="L1882">
        <v>1180.1289373882501</v>
      </c>
      <c r="M1882">
        <v>24.003668795044199</v>
      </c>
      <c r="N1882">
        <v>49.383220980725802</v>
      </c>
      <c r="O1882">
        <v>48.827080334688802</v>
      </c>
      <c r="P1882">
        <v>-0.116706092035748</v>
      </c>
      <c r="Q1882">
        <v>5.0423400877148701E-2</v>
      </c>
      <c r="R1882">
        <v>0.99899781434067203</v>
      </c>
      <c r="S1882" t="s">
        <v>8885</v>
      </c>
      <c r="T1882" t="s">
        <v>14004</v>
      </c>
      <c r="U1882" t="s">
        <v>14004</v>
      </c>
      <c r="V1882" t="s">
        <v>14004</v>
      </c>
      <c r="W1882" t="s">
        <v>15851</v>
      </c>
      <c r="X1882">
        <v>22</v>
      </c>
      <c r="Y1882" t="s">
        <v>22772</v>
      </c>
      <c r="Z1882" t="s">
        <v>29592</v>
      </c>
      <c r="AA1882">
        <v>0.34966087838221738</v>
      </c>
      <c r="AB1882" t="str">
        <f>HYPERLINK("Melting_Curves/meltCurve_O95573_ACSL3.pdf", "Melting_Curves/meltCurve_O95573_ACSL3.pdf")</f>
        <v>Melting_Curves/meltCurve_O95573_ACSL3.pdf</v>
      </c>
    </row>
    <row r="1883" spans="1:28" x14ac:dyDescent="0.25">
      <c r="A1883" t="s">
        <v>1887</v>
      </c>
      <c r="B1883">
        <v>0.99999676499088797</v>
      </c>
      <c r="C1883">
        <v>1.06108559104936</v>
      </c>
      <c r="D1883">
        <v>0.88254100178406403</v>
      </c>
      <c r="E1883">
        <v>0.68991534184232595</v>
      </c>
      <c r="F1883">
        <v>0.47451197728534</v>
      </c>
      <c r="G1883">
        <v>0.27420549864478</v>
      </c>
      <c r="H1883">
        <v>0.14001781392771501</v>
      </c>
      <c r="I1883">
        <v>0.14142585015795101</v>
      </c>
      <c r="J1883">
        <v>0.10011744899809299</v>
      </c>
      <c r="K1883">
        <v>0.10214921025098</v>
      </c>
      <c r="L1883">
        <v>857.35379900466</v>
      </c>
      <c r="M1883">
        <v>16.501644152357201</v>
      </c>
      <c r="N1883">
        <v>52.560742378369397</v>
      </c>
      <c r="O1883">
        <v>51.210632753037103</v>
      </c>
      <c r="P1883">
        <v>-7.3594014280650599E-2</v>
      </c>
      <c r="Q1883">
        <v>8.6506975299290204E-2</v>
      </c>
      <c r="R1883">
        <v>0.99267208348954905</v>
      </c>
      <c r="S1883" t="s">
        <v>8886</v>
      </c>
      <c r="T1883" t="s">
        <v>14004</v>
      </c>
      <c r="U1883" t="s">
        <v>14004</v>
      </c>
      <c r="V1883" t="s">
        <v>14004</v>
      </c>
      <c r="W1883" t="s">
        <v>15852</v>
      </c>
      <c r="X1883">
        <v>17</v>
      </c>
      <c r="Y1883" t="s">
        <v>22773</v>
      </c>
      <c r="Z1883" t="s">
        <v>29593</v>
      </c>
      <c r="AA1883">
        <v>0.46814165285025988</v>
      </c>
      <c r="AB1883" t="str">
        <f>HYPERLINK("Melting_Curves/meltCurve_O95602_POLR1A.pdf", "Melting_Curves/meltCurve_O95602_POLR1A.pdf")</f>
        <v>Melting_Curves/meltCurve_O95602_POLR1A.pdf</v>
      </c>
    </row>
    <row r="1884" spans="1:28" x14ac:dyDescent="0.25">
      <c r="A1884" t="s">
        <v>1888</v>
      </c>
      <c r="B1884">
        <v>0.99999676499088797</v>
      </c>
      <c r="C1884">
        <v>0.93992174849090604</v>
      </c>
      <c r="D1884">
        <v>0.86274508422940499</v>
      </c>
      <c r="E1884">
        <v>0.96394932563660896</v>
      </c>
      <c r="F1884">
        <v>0.46153731201314802</v>
      </c>
      <c r="G1884">
        <v>0.2468891333148</v>
      </c>
      <c r="H1884">
        <v>0.14144209664372601</v>
      </c>
      <c r="I1884">
        <v>0.15140923064669301</v>
      </c>
      <c r="J1884">
        <v>0.163788736561748</v>
      </c>
      <c r="K1884">
        <v>0.143792212934678</v>
      </c>
      <c r="L1884">
        <v>2090.3835571968002</v>
      </c>
      <c r="M1884">
        <v>39.770853897818299</v>
      </c>
      <c r="N1884">
        <v>53.067639268575299</v>
      </c>
      <c r="O1884">
        <v>52.428328175331302</v>
      </c>
      <c r="P1884">
        <v>-0.1596721825439</v>
      </c>
      <c r="Q1884">
        <v>0.15804394225088</v>
      </c>
      <c r="R1884">
        <v>0.98048353110311204</v>
      </c>
      <c r="S1884" t="s">
        <v>8887</v>
      </c>
      <c r="T1884" t="s">
        <v>14004</v>
      </c>
      <c r="U1884" t="s">
        <v>14004</v>
      </c>
      <c r="V1884" t="s">
        <v>14004</v>
      </c>
      <c r="W1884" t="s">
        <v>15853</v>
      </c>
      <c r="X1884">
        <v>5</v>
      </c>
      <c r="Y1884" t="s">
        <v>22774</v>
      </c>
      <c r="Z1884" t="s">
        <v>29594</v>
      </c>
      <c r="AA1884">
        <v>0.51365433812422734</v>
      </c>
      <c r="AB1884" t="str">
        <f>HYPERLINK("Melting_Curves/meltCurve_O95619_YEATS4.pdf", "Melting_Curves/meltCurve_O95619_YEATS4.pdf")</f>
        <v>Melting_Curves/meltCurve_O95619_YEATS4.pdf</v>
      </c>
    </row>
    <row r="1885" spans="1:28" x14ac:dyDescent="0.25">
      <c r="A1885" t="s">
        <v>1889</v>
      </c>
      <c r="B1885">
        <v>0.99999676499088797</v>
      </c>
      <c r="C1885">
        <v>1.0648282754934399</v>
      </c>
      <c r="D1885">
        <v>1.0904297186897101</v>
      </c>
      <c r="E1885">
        <v>1.0911829608196499</v>
      </c>
      <c r="F1885">
        <v>1.0767682579609801</v>
      </c>
      <c r="G1885">
        <v>0.67080555422543398</v>
      </c>
      <c r="H1885">
        <v>0.25057057512950698</v>
      </c>
      <c r="I1885">
        <v>0.18133232610800601</v>
      </c>
      <c r="J1885">
        <v>0.22420535513465401</v>
      </c>
      <c r="K1885">
        <v>8.3207564978721907E-2</v>
      </c>
      <c r="L1885">
        <v>2875.0386904598099</v>
      </c>
      <c r="M1885">
        <v>50.119514514925697</v>
      </c>
      <c r="N1885">
        <v>57.844968454841997</v>
      </c>
      <c r="O1885">
        <v>57.272555160976502</v>
      </c>
      <c r="P1885">
        <v>-0.18147530502925199</v>
      </c>
      <c r="Q1885">
        <v>0.17049909627333601</v>
      </c>
      <c r="R1885">
        <v>0.97630872803244395</v>
      </c>
      <c r="S1885" t="s">
        <v>8888</v>
      </c>
      <c r="T1885" t="s">
        <v>14004</v>
      </c>
      <c r="U1885" t="s">
        <v>14004</v>
      </c>
      <c r="V1885" t="s">
        <v>14004</v>
      </c>
      <c r="W1885" t="s">
        <v>15854</v>
      </c>
      <c r="X1885">
        <v>2</v>
      </c>
      <c r="Y1885" t="s">
        <v>22775</v>
      </c>
      <c r="Z1885" t="s">
        <v>29595</v>
      </c>
      <c r="AA1885">
        <v>0.65268778837006247</v>
      </c>
      <c r="AB1885" t="str">
        <f>HYPERLINK("Melting_Curves/meltCurve_O95620_DUS4L.pdf", "Melting_Curves/meltCurve_O95620_DUS4L.pdf")</f>
        <v>Melting_Curves/meltCurve_O95620_DUS4L.pdf</v>
      </c>
    </row>
    <row r="1886" spans="1:28" x14ac:dyDescent="0.25">
      <c r="A1886" t="s">
        <v>1890</v>
      </c>
      <c r="B1886">
        <v>0.99999676499088797</v>
      </c>
      <c r="C1886">
        <v>0.96504857382347597</v>
      </c>
      <c r="D1886">
        <v>0.97103814323433302</v>
      </c>
      <c r="E1886">
        <v>0.93396072175842304</v>
      </c>
      <c r="F1886">
        <v>0.69322690433400702</v>
      </c>
      <c r="G1886">
        <v>0.51746356640489999</v>
      </c>
      <c r="H1886">
        <v>0.259820714549787</v>
      </c>
      <c r="I1886">
        <v>0.146624790288541</v>
      </c>
      <c r="J1886">
        <v>0.11686384698531101</v>
      </c>
      <c r="K1886">
        <v>0.102650489764489</v>
      </c>
      <c r="L1886">
        <v>922.474992164627</v>
      </c>
      <c r="M1886">
        <v>16.417174944433</v>
      </c>
      <c r="N1886">
        <v>56.586900823502397</v>
      </c>
      <c r="O1886">
        <v>55.375769916778403</v>
      </c>
      <c r="P1886">
        <v>-7.0087796998441601E-2</v>
      </c>
      <c r="Q1886">
        <v>5.4431451053908203E-2</v>
      </c>
      <c r="R1886">
        <v>0.99643838188518896</v>
      </c>
      <c r="S1886" t="s">
        <v>8889</v>
      </c>
      <c r="T1886" t="s">
        <v>14004</v>
      </c>
      <c r="U1886" t="s">
        <v>14004</v>
      </c>
      <c r="V1886" t="s">
        <v>14004</v>
      </c>
      <c r="W1886" t="s">
        <v>15855</v>
      </c>
      <c r="X1886">
        <v>7</v>
      </c>
      <c r="Y1886" t="s">
        <v>22776</v>
      </c>
      <c r="Z1886" t="s">
        <v>29596</v>
      </c>
      <c r="AA1886">
        <v>0.5799008608937779</v>
      </c>
      <c r="AB1886" t="str">
        <f>HYPERLINK("Melting_Curves/meltCurve_O95628_3_CNOT4.pdf", "Melting_Curves/meltCurve_O95628_3_CNOT4.pdf")</f>
        <v>Melting_Curves/meltCurve_O95628_3_CNOT4.pdf</v>
      </c>
    </row>
    <row r="1887" spans="1:28" x14ac:dyDescent="0.25">
      <c r="A1887" t="s">
        <v>1891</v>
      </c>
      <c r="B1887">
        <v>0.99999676499088797</v>
      </c>
      <c r="C1887">
        <v>0.91197317087096796</v>
      </c>
      <c r="D1887">
        <v>0.56944250324689605</v>
      </c>
      <c r="E1887">
        <v>0.30550946359745201</v>
      </c>
      <c r="F1887">
        <v>0.249685157229218</v>
      </c>
      <c r="G1887">
        <v>0.173475021802696</v>
      </c>
      <c r="H1887">
        <v>0.101176015915701</v>
      </c>
      <c r="I1887">
        <v>9.2474948761527398E-2</v>
      </c>
      <c r="J1887">
        <v>8.2381686082786204E-2</v>
      </c>
      <c r="K1887">
        <v>7.1628050190203699E-2</v>
      </c>
      <c r="L1887">
        <v>896.935295412551</v>
      </c>
      <c r="M1887">
        <v>19.209470994438099</v>
      </c>
      <c r="N1887">
        <v>47.256315952720698</v>
      </c>
      <c r="O1887">
        <v>46.195160756725002</v>
      </c>
      <c r="P1887">
        <v>-9.3312802672605902E-2</v>
      </c>
      <c r="Q1887">
        <v>0.10243538182822</v>
      </c>
      <c r="R1887">
        <v>0.98671828107287496</v>
      </c>
      <c r="S1887" t="s">
        <v>8890</v>
      </c>
      <c r="T1887" t="s">
        <v>14004</v>
      </c>
      <c r="U1887" t="s">
        <v>14004</v>
      </c>
      <c r="V1887" t="s">
        <v>14004</v>
      </c>
      <c r="W1887" t="s">
        <v>15856</v>
      </c>
      <c r="X1887">
        <v>15</v>
      </c>
      <c r="Y1887" t="s">
        <v>22777</v>
      </c>
      <c r="Z1887" t="s">
        <v>29597</v>
      </c>
      <c r="AA1887">
        <v>0.31723681652717239</v>
      </c>
      <c r="AB1887" t="str">
        <f>HYPERLINK("Melting_Curves/meltCurve_O95630_STAMBP.pdf", "Melting_Curves/meltCurve_O95630_STAMBP.pdf")</f>
        <v>Melting_Curves/meltCurve_O95630_STAMBP.pdf</v>
      </c>
    </row>
    <row r="1888" spans="1:28" x14ac:dyDescent="0.25">
      <c r="A1888" t="s">
        <v>1892</v>
      </c>
      <c r="B1888">
        <v>0.99999676499088797</v>
      </c>
      <c r="C1888">
        <v>0.85503878935965605</v>
      </c>
      <c r="D1888">
        <v>0.68899793808210197</v>
      </c>
      <c r="E1888">
        <v>0.39382948953670799</v>
      </c>
      <c r="F1888">
        <v>0.254099488003664</v>
      </c>
      <c r="G1888">
        <v>0.200490576506232</v>
      </c>
      <c r="H1888">
        <v>9.9706913546751805E-2</v>
      </c>
      <c r="I1888">
        <v>0.12786814143810801</v>
      </c>
      <c r="J1888">
        <v>0.13137839568333201</v>
      </c>
      <c r="K1888">
        <v>0.12044238075993099</v>
      </c>
      <c r="L1888">
        <v>795.53929402937001</v>
      </c>
      <c r="M1888">
        <v>16.736219375254201</v>
      </c>
      <c r="N1888">
        <v>48.296973281780701</v>
      </c>
      <c r="O1888">
        <v>46.870923911939897</v>
      </c>
      <c r="P1888">
        <v>-7.8903080403774695E-2</v>
      </c>
      <c r="Q1888">
        <v>0.116164618785806</v>
      </c>
      <c r="R1888">
        <v>0.99540030376324995</v>
      </c>
      <c r="S1888" t="s">
        <v>8891</v>
      </c>
      <c r="T1888" t="s">
        <v>14004</v>
      </c>
      <c r="U1888" t="s">
        <v>14004</v>
      </c>
      <c r="V1888" t="s">
        <v>14004</v>
      </c>
      <c r="W1888" t="s">
        <v>15857</v>
      </c>
      <c r="X1888">
        <v>3</v>
      </c>
      <c r="Y1888" t="s">
        <v>22778</v>
      </c>
      <c r="Z1888" t="s">
        <v>29598</v>
      </c>
      <c r="AA1888">
        <v>0.35670763168717501</v>
      </c>
      <c r="AB1888" t="str">
        <f>HYPERLINK("Melting_Curves/meltCurve_O95639_3_CPSF4.pdf", "Melting_Curves/meltCurve_O95639_3_CPSF4.pdf")</f>
        <v>Melting_Curves/meltCurve_O95639_3_CPSF4.pdf</v>
      </c>
    </row>
    <row r="1889" spans="1:28" x14ac:dyDescent="0.25">
      <c r="A1889" t="s">
        <v>1893</v>
      </c>
      <c r="B1889">
        <v>0.99999676499088797</v>
      </c>
      <c r="C1889">
        <v>0.91801828997474</v>
      </c>
      <c r="D1889">
        <v>0.84039720423309505</v>
      </c>
      <c r="E1889">
        <v>0.52434466714755401</v>
      </c>
      <c r="F1889">
        <v>0.22515087216507801</v>
      </c>
      <c r="G1889">
        <v>0.17110743393631</v>
      </c>
      <c r="H1889">
        <v>9.0796868019236504E-2</v>
      </c>
      <c r="I1889">
        <v>8.7807547393909502E-2</v>
      </c>
      <c r="J1889">
        <v>7.8716657990369296E-2</v>
      </c>
      <c r="K1889">
        <v>6.1702216555372898E-2</v>
      </c>
      <c r="L1889">
        <v>974.03455170562597</v>
      </c>
      <c r="M1889">
        <v>19.71947712855</v>
      </c>
      <c r="N1889">
        <v>49.790578019851303</v>
      </c>
      <c r="O1889">
        <v>48.894988169238196</v>
      </c>
      <c r="P1889">
        <v>-9.35106090577799E-2</v>
      </c>
      <c r="Q1889">
        <v>7.2583407674089301E-2</v>
      </c>
      <c r="R1889">
        <v>0.99704429820177298</v>
      </c>
      <c r="S1889" t="s">
        <v>8892</v>
      </c>
      <c r="T1889" t="s">
        <v>14004</v>
      </c>
      <c r="U1889" t="s">
        <v>14004</v>
      </c>
      <c r="V1889" t="s">
        <v>14004</v>
      </c>
      <c r="W1889" t="s">
        <v>15858</v>
      </c>
      <c r="X1889">
        <v>14</v>
      </c>
      <c r="Y1889" t="s">
        <v>22779</v>
      </c>
      <c r="Z1889" t="s">
        <v>29599</v>
      </c>
      <c r="AA1889">
        <v>0.37632643090283602</v>
      </c>
      <c r="AB1889" t="str">
        <f>HYPERLINK("Melting_Curves/meltCurve_O95671_2_ASMTL.pdf", "Melting_Curves/meltCurve_O95671_2_ASMTL.pdf")</f>
        <v>Melting_Curves/meltCurve_O95671_2_ASMTL.pdf</v>
      </c>
    </row>
    <row r="1890" spans="1:28" x14ac:dyDescent="0.25">
      <c r="A1890" t="s">
        <v>1894</v>
      </c>
      <c r="B1890">
        <v>0.99999676499088797</v>
      </c>
      <c r="C1890">
        <v>0.98738839315843696</v>
      </c>
      <c r="D1890">
        <v>1.03551667216775</v>
      </c>
      <c r="E1890">
        <v>0.86266624134236902</v>
      </c>
      <c r="F1890">
        <v>0.60395976495913695</v>
      </c>
      <c r="G1890">
        <v>0.42108903287607902</v>
      </c>
      <c r="H1890">
        <v>0.25734007151795801</v>
      </c>
      <c r="I1890">
        <v>0.217675636336745</v>
      </c>
      <c r="J1890">
        <v>0.113538711954543</v>
      </c>
      <c r="K1890">
        <v>0.108378141628239</v>
      </c>
      <c r="L1890">
        <v>903.46574997360096</v>
      </c>
      <c r="M1890">
        <v>16.562414525882001</v>
      </c>
      <c r="N1890">
        <v>55.331548839937902</v>
      </c>
      <c r="O1890">
        <v>53.772534540098903</v>
      </c>
      <c r="P1890">
        <v>-6.8968436314851306E-2</v>
      </c>
      <c r="Q1890">
        <v>0.10439296796169199</v>
      </c>
      <c r="R1890">
        <v>0.99197168566020899</v>
      </c>
      <c r="S1890" t="s">
        <v>8893</v>
      </c>
      <c r="T1890" t="s">
        <v>14004</v>
      </c>
      <c r="U1890" t="s">
        <v>14004</v>
      </c>
      <c r="V1890" t="s">
        <v>14004</v>
      </c>
      <c r="W1890" t="s">
        <v>15859</v>
      </c>
      <c r="X1890">
        <v>1</v>
      </c>
      <c r="Y1890" t="s">
        <v>22780</v>
      </c>
      <c r="Z1890" t="s">
        <v>29600</v>
      </c>
      <c r="AA1890">
        <v>0.55450742352241977</v>
      </c>
      <c r="AB1890" t="str">
        <f>HYPERLINK("Melting_Curves/meltCurve_O95674_CDS2.pdf", "Melting_Curves/meltCurve_O95674_CDS2.pdf")</f>
        <v>Melting_Curves/meltCurve_O95674_CDS2.pdf</v>
      </c>
    </row>
    <row r="1891" spans="1:28" x14ac:dyDescent="0.25">
      <c r="A1891" t="s">
        <v>1895</v>
      </c>
      <c r="B1891">
        <v>0.99999676499088797</v>
      </c>
      <c r="C1891">
        <v>0.82183242856312599</v>
      </c>
      <c r="D1891">
        <v>0.884010505567148</v>
      </c>
      <c r="E1891">
        <v>0.72883540089355303</v>
      </c>
      <c r="F1891">
        <v>0.57183474660165601</v>
      </c>
      <c r="G1891">
        <v>0.41513860469297498</v>
      </c>
      <c r="H1891">
        <v>0.25550104456254003</v>
      </c>
      <c r="I1891">
        <v>0.16649828015815199</v>
      </c>
      <c r="J1891">
        <v>0.13900436610654299</v>
      </c>
      <c r="K1891">
        <v>0.193504684847253</v>
      </c>
      <c r="L1891">
        <v>537.76102980636097</v>
      </c>
      <c r="M1891">
        <v>9.9819552111794607</v>
      </c>
      <c r="N1891">
        <v>54.398244337816301</v>
      </c>
      <c r="O1891">
        <v>51.844982486137297</v>
      </c>
      <c r="P1891">
        <v>-4.5946102306325003E-2</v>
      </c>
      <c r="Q1891">
        <v>4.5914848064544302E-2</v>
      </c>
      <c r="R1891">
        <v>0.97818280151591797</v>
      </c>
      <c r="S1891" t="s">
        <v>8894</v>
      </c>
      <c r="T1891" t="s">
        <v>14004</v>
      </c>
      <c r="U1891" t="s">
        <v>14004</v>
      </c>
      <c r="V1891" t="s">
        <v>14004</v>
      </c>
      <c r="W1891" t="s">
        <v>15860</v>
      </c>
      <c r="X1891">
        <v>6</v>
      </c>
      <c r="Y1891" t="s">
        <v>22781</v>
      </c>
      <c r="Z1891" t="s">
        <v>29601</v>
      </c>
      <c r="AA1891">
        <v>0.51648638915312595</v>
      </c>
      <c r="AB1891" t="str">
        <f>HYPERLINK("Melting_Curves/meltCurve_O95684_FGFR1OP.pdf", "Melting_Curves/meltCurve_O95684_FGFR1OP.pdf")</f>
        <v>Melting_Curves/meltCurve_O95684_FGFR1OP.pdf</v>
      </c>
    </row>
    <row r="1892" spans="1:28" x14ac:dyDescent="0.25">
      <c r="A1892" t="s">
        <v>1896</v>
      </c>
      <c r="B1892">
        <v>0.99999676499088797</v>
      </c>
      <c r="C1892">
        <v>1.05680779390976</v>
      </c>
      <c r="D1892">
        <v>0.89736420729967503</v>
      </c>
      <c r="E1892">
        <v>0.68167299522091795</v>
      </c>
      <c r="F1892">
        <v>0.41322566941699801</v>
      </c>
      <c r="G1892">
        <v>0.27373590284598598</v>
      </c>
      <c r="H1892">
        <v>0.120526875404896</v>
      </c>
      <c r="I1892">
        <v>0.121578446359475</v>
      </c>
      <c r="J1892">
        <v>9.9482304795053794E-2</v>
      </c>
      <c r="K1892">
        <v>0.10549644848116201</v>
      </c>
      <c r="L1892">
        <v>927.17169593561596</v>
      </c>
      <c r="M1892">
        <v>18.002121934342501</v>
      </c>
      <c r="N1892">
        <v>52.097331843276301</v>
      </c>
      <c r="O1892">
        <v>50.880546446117997</v>
      </c>
      <c r="P1892">
        <v>-8.0251958547047503E-2</v>
      </c>
      <c r="Q1892">
        <v>9.2759806202251299E-2</v>
      </c>
      <c r="R1892">
        <v>0.99350619370111604</v>
      </c>
      <c r="S1892" t="s">
        <v>8895</v>
      </c>
      <c r="T1892" t="s">
        <v>14004</v>
      </c>
      <c r="U1892" t="s">
        <v>14004</v>
      </c>
      <c r="V1892" t="s">
        <v>14004</v>
      </c>
      <c r="W1892" t="s">
        <v>15861</v>
      </c>
      <c r="X1892">
        <v>2</v>
      </c>
      <c r="Y1892" t="s">
        <v>22782</v>
      </c>
      <c r="Z1892" t="s">
        <v>29602</v>
      </c>
      <c r="AA1892">
        <v>0.4558318662843141</v>
      </c>
      <c r="AB1892" t="str">
        <f>HYPERLINK("Melting_Curves/meltCurve_O95685_PPP1R3D.pdf", "Melting_Curves/meltCurve_O95685_PPP1R3D.pdf")</f>
        <v>Melting_Curves/meltCurve_O95685_PPP1R3D.pdf</v>
      </c>
    </row>
    <row r="1893" spans="1:28" x14ac:dyDescent="0.25">
      <c r="A1893" t="s">
        <v>1897</v>
      </c>
      <c r="B1893">
        <v>0.99999676499088797</v>
      </c>
      <c r="C1893">
        <v>0.98346714470541996</v>
      </c>
      <c r="D1893">
        <v>0.91096808733274703</v>
      </c>
      <c r="E1893">
        <v>0.81427692065102297</v>
      </c>
      <c r="F1893">
        <v>0.66807218875227403</v>
      </c>
      <c r="G1893">
        <v>0.58579807154235297</v>
      </c>
      <c r="H1893">
        <v>0.34975978158370202</v>
      </c>
      <c r="I1893">
        <v>0.27489488186238997</v>
      </c>
      <c r="J1893">
        <v>0.168389187893249</v>
      </c>
      <c r="K1893">
        <v>9.6910700764633997E-2</v>
      </c>
      <c r="L1893">
        <v>594.13843712914604</v>
      </c>
      <c r="M1893">
        <v>10.349230977805099</v>
      </c>
      <c r="N1893">
        <v>57.408945445871097</v>
      </c>
      <c r="O1893">
        <v>55.389516300502102</v>
      </c>
      <c r="P1893">
        <v>-4.6731070398928501E-2</v>
      </c>
      <c r="Q1893">
        <v>0</v>
      </c>
      <c r="R1893">
        <v>0.99320920626373699</v>
      </c>
      <c r="S1893" t="s">
        <v>8896</v>
      </c>
      <c r="T1893" t="s">
        <v>14004</v>
      </c>
      <c r="U1893" t="s">
        <v>14004</v>
      </c>
      <c r="V1893" t="s">
        <v>14004</v>
      </c>
      <c r="W1893" t="s">
        <v>15862</v>
      </c>
      <c r="X1893">
        <v>11</v>
      </c>
      <c r="Y1893" t="s">
        <v>22783</v>
      </c>
      <c r="Z1893" t="s">
        <v>29603</v>
      </c>
      <c r="AA1893">
        <v>0.59425267364097778</v>
      </c>
      <c r="AB1893" t="str">
        <f>HYPERLINK("Melting_Curves/meltCurve_O95716_RAB3D.pdf", "Melting_Curves/meltCurve_O95716_RAB3D.pdf")</f>
        <v>Melting_Curves/meltCurve_O95716_RAB3D.pdf</v>
      </c>
    </row>
    <row r="1894" spans="1:28" x14ac:dyDescent="0.25">
      <c r="A1894" t="s">
        <v>1898</v>
      </c>
      <c r="B1894">
        <v>0.99999676499088797</v>
      </c>
      <c r="C1894">
        <v>0.96046075923853402</v>
      </c>
      <c r="D1894">
        <v>0.91099850566231499</v>
      </c>
      <c r="E1894">
        <v>0.71630976773497701</v>
      </c>
      <c r="F1894">
        <v>0.59002135765126396</v>
      </c>
      <c r="G1894">
        <v>0.45437850299013799</v>
      </c>
      <c r="H1894">
        <v>0.33121496153700097</v>
      </c>
      <c r="I1894">
        <v>0.38601060143205501</v>
      </c>
      <c r="J1894">
        <v>0.43450077915459401</v>
      </c>
      <c r="K1894">
        <v>0.45062397031979401</v>
      </c>
      <c r="L1894">
        <v>937.07186468876398</v>
      </c>
      <c r="M1894">
        <v>18.6618583860621</v>
      </c>
      <c r="N1894">
        <v>54.806404219482999</v>
      </c>
      <c r="O1894">
        <v>49.647309290279601</v>
      </c>
      <c r="P1894">
        <v>-5.6822535261670797E-2</v>
      </c>
      <c r="Q1894">
        <v>0.395351920931096</v>
      </c>
      <c r="R1894">
        <v>0.97645394835517596</v>
      </c>
      <c r="S1894" t="s">
        <v>8897</v>
      </c>
      <c r="T1894" t="s">
        <v>14004</v>
      </c>
      <c r="U1894" t="s">
        <v>14004</v>
      </c>
      <c r="V1894" t="s">
        <v>14004</v>
      </c>
      <c r="W1894" t="s">
        <v>15863</v>
      </c>
      <c r="X1894">
        <v>15</v>
      </c>
      <c r="Y1894" t="s">
        <v>22784</v>
      </c>
      <c r="Z1894" t="s">
        <v>29604</v>
      </c>
      <c r="AA1894">
        <v>0.61080390008391616</v>
      </c>
      <c r="AB1894" t="str">
        <f>HYPERLINK("Melting_Curves/meltCurve_O95721_SNAP29.pdf", "Melting_Curves/meltCurve_O95721_SNAP29.pdf")</f>
        <v>Melting_Curves/meltCurve_O95721_SNAP29.pdf</v>
      </c>
    </row>
    <row r="1895" spans="1:28" x14ac:dyDescent="0.25">
      <c r="A1895" t="s">
        <v>1899</v>
      </c>
      <c r="B1895">
        <v>0.99999676499088797</v>
      </c>
      <c r="C1895">
        <v>0.92986529457839295</v>
      </c>
      <c r="D1895">
        <v>0.92395578681327994</v>
      </c>
      <c r="E1895">
        <v>0.50832715000921602</v>
      </c>
      <c r="F1895">
        <v>0.22898388390876201</v>
      </c>
      <c r="G1895">
        <v>0.14816558651080999</v>
      </c>
      <c r="H1895">
        <v>6.8288799189221497E-2</v>
      </c>
      <c r="I1895">
        <v>5.6560128761930901E-2</v>
      </c>
      <c r="J1895">
        <v>4.7103793976388503E-2</v>
      </c>
      <c r="K1895">
        <v>5.2600879239892998E-2</v>
      </c>
      <c r="L1895">
        <v>1166.3473505132399</v>
      </c>
      <c r="M1895">
        <v>23.483579178002401</v>
      </c>
      <c r="N1895">
        <v>49.937774806736002</v>
      </c>
      <c r="O1895">
        <v>49.310559919410302</v>
      </c>
      <c r="P1895">
        <v>-0.111931993877057</v>
      </c>
      <c r="Q1895">
        <v>5.9881957603752298E-2</v>
      </c>
      <c r="R1895">
        <v>0.99485940057122102</v>
      </c>
      <c r="S1895" t="s">
        <v>8898</v>
      </c>
      <c r="T1895" t="s">
        <v>14004</v>
      </c>
      <c r="U1895" t="s">
        <v>14004</v>
      </c>
      <c r="V1895" t="s">
        <v>14004</v>
      </c>
      <c r="W1895" t="s">
        <v>15864</v>
      </c>
      <c r="X1895">
        <v>21</v>
      </c>
      <c r="Y1895" t="s">
        <v>22785</v>
      </c>
      <c r="Z1895" t="s">
        <v>29605</v>
      </c>
      <c r="AA1895">
        <v>0.37230932829368002</v>
      </c>
      <c r="AB1895" t="str">
        <f>HYPERLINK("Melting_Curves/meltCurve_O95747_OXSR1.pdf", "Melting_Curves/meltCurve_O95747_OXSR1.pdf")</f>
        <v>Melting_Curves/meltCurve_O95747_OXSR1.pdf</v>
      </c>
    </row>
    <row r="1896" spans="1:28" x14ac:dyDescent="0.25">
      <c r="A1896" t="s">
        <v>1900</v>
      </c>
      <c r="B1896">
        <v>0.99999676499088797</v>
      </c>
      <c r="C1896">
        <v>0.98836688319782495</v>
      </c>
      <c r="D1896">
        <v>1.04668458566384</v>
      </c>
      <c r="E1896">
        <v>1.1825290186183901</v>
      </c>
      <c r="F1896">
        <v>1.1313699990424599</v>
      </c>
      <c r="G1896">
        <v>0.97669581891677104</v>
      </c>
      <c r="H1896">
        <v>0.52746573033734301</v>
      </c>
      <c r="I1896">
        <v>0.17996571712519599</v>
      </c>
      <c r="J1896">
        <v>0.112076195400833</v>
      </c>
      <c r="K1896">
        <v>8.8943565697234703E-2</v>
      </c>
      <c r="L1896">
        <v>2930.8057443265102</v>
      </c>
      <c r="M1896">
        <v>48.280777704240897</v>
      </c>
      <c r="N1896">
        <v>60.983515612406897</v>
      </c>
      <c r="O1896">
        <v>60.599503430399899</v>
      </c>
      <c r="P1896">
        <v>-0.179369519908603</v>
      </c>
      <c r="Q1896">
        <v>9.9460056030901897E-2</v>
      </c>
      <c r="R1896">
        <v>0.970300218998007</v>
      </c>
      <c r="S1896" t="s">
        <v>8899</v>
      </c>
      <c r="T1896" t="s">
        <v>14004</v>
      </c>
      <c r="U1896" t="s">
        <v>14004</v>
      </c>
      <c r="V1896" t="s">
        <v>14004</v>
      </c>
      <c r="W1896" t="s">
        <v>15865</v>
      </c>
      <c r="X1896">
        <v>11</v>
      </c>
      <c r="Y1896" t="s">
        <v>22786</v>
      </c>
      <c r="Z1896" t="s">
        <v>29606</v>
      </c>
      <c r="AA1896">
        <v>0.72343428908024388</v>
      </c>
      <c r="AB1896" t="str">
        <f>HYPERLINK("Melting_Curves/meltCurve_O95749_GGPS1.pdf", "Melting_Curves/meltCurve_O95749_GGPS1.pdf")</f>
        <v>Melting_Curves/meltCurve_O95749_GGPS1.pdf</v>
      </c>
    </row>
    <row r="1897" spans="1:28" x14ac:dyDescent="0.25">
      <c r="A1897" t="s">
        <v>1901</v>
      </c>
      <c r="B1897">
        <v>0.99999676499088797</v>
      </c>
      <c r="C1897">
        <v>0.73756981490413098</v>
      </c>
      <c r="D1897">
        <v>0.32248292728295902</v>
      </c>
      <c r="E1897">
        <v>0.152969669516203</v>
      </c>
      <c r="F1897">
        <v>0.11207978402966701</v>
      </c>
      <c r="G1897">
        <v>0.102860530013061</v>
      </c>
      <c r="H1897">
        <v>4.57566272810307E-2</v>
      </c>
      <c r="I1897">
        <v>7.3154424427775103E-2</v>
      </c>
      <c r="J1897">
        <v>7.8158841774735005E-2</v>
      </c>
      <c r="K1897">
        <v>5.1208793248769501E-2</v>
      </c>
      <c r="L1897">
        <v>1239.5189011565899</v>
      </c>
      <c r="M1897">
        <v>27.924087813791601</v>
      </c>
      <c r="N1897">
        <v>44.662224296169398</v>
      </c>
      <c r="O1897">
        <v>44.163074932347001</v>
      </c>
      <c r="P1897">
        <v>-0.14565873948629901</v>
      </c>
      <c r="Q1897">
        <v>7.8546737749091003E-2</v>
      </c>
      <c r="R1897">
        <v>0.99437068615347801</v>
      </c>
      <c r="S1897" t="s">
        <v>8900</v>
      </c>
      <c r="T1897" t="s">
        <v>14004</v>
      </c>
      <c r="U1897" t="s">
        <v>14004</v>
      </c>
      <c r="V1897" t="s">
        <v>14004</v>
      </c>
      <c r="W1897" t="s">
        <v>15866</v>
      </c>
      <c r="X1897">
        <v>8</v>
      </c>
      <c r="Y1897" t="s">
        <v>22787</v>
      </c>
      <c r="Z1897" t="s">
        <v>29607</v>
      </c>
      <c r="AA1897">
        <v>0.22090715309338929</v>
      </c>
      <c r="AB1897" t="str">
        <f>HYPERLINK("Melting_Curves/meltCurve_O95758_1_PTBP3.pdf", "Melting_Curves/meltCurve_O95758_1_PTBP3.pdf")</f>
        <v>Melting_Curves/meltCurve_O95758_1_PTBP3.pdf</v>
      </c>
    </row>
    <row r="1898" spans="1:28" x14ac:dyDescent="0.25">
      <c r="A1898" t="s">
        <v>1902</v>
      </c>
      <c r="B1898">
        <v>0.99999676499088797</v>
      </c>
      <c r="C1898">
        <v>0.891110670375172</v>
      </c>
      <c r="D1898">
        <v>0.93336417697723495</v>
      </c>
      <c r="E1898">
        <v>1.02816700707391</v>
      </c>
      <c r="F1898">
        <v>0.93744399856115401</v>
      </c>
      <c r="G1898">
        <v>0.90148515904959003</v>
      </c>
      <c r="H1898">
        <v>0.61149303280167799</v>
      </c>
      <c r="I1898">
        <v>0.59259386279705495</v>
      </c>
      <c r="J1898">
        <v>0.49700234143795702</v>
      </c>
      <c r="K1898">
        <v>0.64235073102006401</v>
      </c>
      <c r="L1898">
        <v>2793.5482450156401</v>
      </c>
      <c r="M1898">
        <v>48.0701218181364</v>
      </c>
      <c r="O1898">
        <v>58.013729803605202</v>
      </c>
      <c r="P1898">
        <v>-8.8358523660008903E-2</v>
      </c>
      <c r="Q1898">
        <v>0.57345636115001897</v>
      </c>
      <c r="R1898">
        <v>0.90831164844752998</v>
      </c>
      <c r="S1898" t="s">
        <v>8901</v>
      </c>
      <c r="T1898" t="s">
        <v>14004</v>
      </c>
      <c r="U1898" t="s">
        <v>14004</v>
      </c>
      <c r="V1898" t="s">
        <v>14004</v>
      </c>
      <c r="W1898" t="s">
        <v>15867</v>
      </c>
      <c r="X1898">
        <v>7</v>
      </c>
      <c r="Y1898" t="s">
        <v>22788</v>
      </c>
      <c r="Z1898" t="s">
        <v>29608</v>
      </c>
      <c r="AA1898">
        <v>0.83217978440684781</v>
      </c>
      <c r="AB1898" t="str">
        <f>HYPERLINK("Melting_Curves/meltCurve_O95777_NAA38.pdf", "Melting_Curves/meltCurve_O95777_NAA38.pdf")</f>
        <v>Melting_Curves/meltCurve_O95777_NAA38.pdf</v>
      </c>
    </row>
    <row r="1899" spans="1:28" x14ac:dyDescent="0.25">
      <c r="A1899" t="s">
        <v>1903</v>
      </c>
      <c r="B1899">
        <v>0.99999676499088797</v>
      </c>
      <c r="C1899">
        <v>1.09348584196944</v>
      </c>
      <c r="D1899">
        <v>1.0737904870722701</v>
      </c>
      <c r="E1899">
        <v>1.0447876461732699</v>
      </c>
      <c r="F1899">
        <v>0.73411967933333799</v>
      </c>
      <c r="G1899">
        <v>0.42436860141328397</v>
      </c>
      <c r="H1899">
        <v>0.13449129558866599</v>
      </c>
      <c r="I1899">
        <v>0.103506754542553</v>
      </c>
      <c r="J1899">
        <v>9.0838103691005201E-2</v>
      </c>
      <c r="K1899">
        <v>7.1941061853226101E-2</v>
      </c>
      <c r="L1899">
        <v>1513.4797107849499</v>
      </c>
      <c r="M1899">
        <v>27.279216960922799</v>
      </c>
      <c r="N1899">
        <v>55.813583419889397</v>
      </c>
      <c r="O1899">
        <v>55.185475618326898</v>
      </c>
      <c r="P1899">
        <v>-0.114311951703801</v>
      </c>
      <c r="Q1899">
        <v>7.5002856005275606E-2</v>
      </c>
      <c r="R1899">
        <v>0.98685964005208704</v>
      </c>
      <c r="S1899" t="s">
        <v>8902</v>
      </c>
      <c r="T1899" t="s">
        <v>14004</v>
      </c>
      <c r="U1899" t="s">
        <v>14004</v>
      </c>
      <c r="V1899" t="s">
        <v>14004</v>
      </c>
      <c r="W1899" t="s">
        <v>15868</v>
      </c>
      <c r="X1899">
        <v>43</v>
      </c>
      <c r="Y1899" t="s">
        <v>22789</v>
      </c>
      <c r="Z1899" t="s">
        <v>29609</v>
      </c>
      <c r="AA1899">
        <v>0.55965878399843683</v>
      </c>
      <c r="AB1899" t="str">
        <f>HYPERLINK("Melting_Curves/meltCurve_O95782_2_AP2A1.pdf", "Melting_Curves/meltCurve_O95782_2_AP2A1.pdf")</f>
        <v>Melting_Curves/meltCurve_O95782_2_AP2A1.pdf</v>
      </c>
    </row>
    <row r="1900" spans="1:28" x14ac:dyDescent="0.25">
      <c r="A1900" t="s">
        <v>1904</v>
      </c>
      <c r="B1900">
        <v>0.99999676499088797</v>
      </c>
      <c r="C1900">
        <v>0.87567076851918502</v>
      </c>
      <c r="D1900">
        <v>0.45451234711476901</v>
      </c>
      <c r="E1900">
        <v>0.17189360209436499</v>
      </c>
      <c r="F1900">
        <v>0.120014011672638</v>
      </c>
      <c r="G1900">
        <v>9.6155881868328602E-2</v>
      </c>
      <c r="H1900">
        <v>5.4989042756393602E-2</v>
      </c>
      <c r="I1900">
        <v>5.92072115617183E-2</v>
      </c>
      <c r="J1900">
        <v>4.3538405783802601E-2</v>
      </c>
      <c r="K1900">
        <v>3.7384155201439E-2</v>
      </c>
      <c r="L1900">
        <v>1262.4233362616701</v>
      </c>
      <c r="M1900">
        <v>27.6989868503656</v>
      </c>
      <c r="N1900">
        <v>45.810063328266899</v>
      </c>
      <c r="O1900">
        <v>45.3409469829475</v>
      </c>
      <c r="P1900">
        <v>-0.14267067482859599</v>
      </c>
      <c r="Q1900">
        <v>6.5848069950024596E-2</v>
      </c>
      <c r="R1900">
        <v>0.99591520878067397</v>
      </c>
      <c r="S1900" t="s">
        <v>8903</v>
      </c>
      <c r="T1900" t="s">
        <v>14004</v>
      </c>
      <c r="U1900" t="s">
        <v>14004</v>
      </c>
      <c r="V1900" t="s">
        <v>14004</v>
      </c>
      <c r="W1900" t="s">
        <v>15869</v>
      </c>
      <c r="X1900">
        <v>8</v>
      </c>
      <c r="Y1900" t="s">
        <v>22790</v>
      </c>
      <c r="Z1900" t="s">
        <v>29610</v>
      </c>
      <c r="AA1900">
        <v>0.24645658601868689</v>
      </c>
      <c r="AB1900" t="str">
        <f>HYPERLINK("Melting_Curves/meltCurve_O95786_DDX58.pdf", "Melting_Curves/meltCurve_O95786_DDX58.pdf")</f>
        <v>Melting_Curves/meltCurve_O95786_DDX58.pdf</v>
      </c>
    </row>
    <row r="1901" spans="1:28" x14ac:dyDescent="0.25">
      <c r="A1901" t="s">
        <v>1905</v>
      </c>
      <c r="B1901">
        <v>0.99999676499088797</v>
      </c>
      <c r="C1901">
        <v>1.02294239010462</v>
      </c>
      <c r="D1901">
        <v>0.848140610525139</v>
      </c>
      <c r="E1901">
        <v>0.42608438884404098</v>
      </c>
      <c r="F1901">
        <v>0.21881470410356299</v>
      </c>
      <c r="G1901">
        <v>0.14377657598066701</v>
      </c>
      <c r="H1901">
        <v>8.0953144746683497E-2</v>
      </c>
      <c r="I1901">
        <v>7.1172279406388206E-2</v>
      </c>
      <c r="J1901">
        <v>6.8856704476630906E-2</v>
      </c>
      <c r="K1901">
        <v>5.6683093688301503E-2</v>
      </c>
      <c r="L1901">
        <v>1216.82738646282</v>
      </c>
      <c r="M1901">
        <v>24.901469635825102</v>
      </c>
      <c r="N1901">
        <v>49.206738430816401</v>
      </c>
      <c r="O1901">
        <v>48.553813241122299</v>
      </c>
      <c r="P1901">
        <v>-0.11805511799955599</v>
      </c>
      <c r="Q1901">
        <v>7.9259511336930696E-2</v>
      </c>
      <c r="R1901">
        <v>0.99542223835547805</v>
      </c>
      <c r="S1901" t="s">
        <v>8904</v>
      </c>
      <c r="T1901" t="s">
        <v>14004</v>
      </c>
      <c r="U1901" t="s">
        <v>14004</v>
      </c>
      <c r="V1901" t="s">
        <v>14004</v>
      </c>
      <c r="W1901" t="s">
        <v>15870</v>
      </c>
      <c r="X1901">
        <v>20</v>
      </c>
      <c r="Y1901" t="s">
        <v>22791</v>
      </c>
      <c r="Z1901" t="s">
        <v>29611</v>
      </c>
      <c r="AA1901">
        <v>0.35957871725475959</v>
      </c>
      <c r="AB1901" t="str">
        <f>HYPERLINK("Melting_Curves/meltCurve_O95801_TTC4.pdf", "Melting_Curves/meltCurve_O95801_TTC4.pdf")</f>
        <v>Melting_Curves/meltCurve_O95801_TTC4.pdf</v>
      </c>
    </row>
    <row r="1902" spans="1:28" x14ac:dyDescent="0.25">
      <c r="A1902" t="s">
        <v>1906</v>
      </c>
      <c r="B1902">
        <v>0.99999676499088797</v>
      </c>
      <c r="C1902">
        <v>1.1703930460245</v>
      </c>
      <c r="D1902">
        <v>1.06958882712453</v>
      </c>
      <c r="E1902">
        <v>0.81615511560362797</v>
      </c>
      <c r="F1902">
        <v>0.72059084187991396</v>
      </c>
      <c r="G1902">
        <v>0.52733785191086202</v>
      </c>
      <c r="H1902">
        <v>0.37159266725884099</v>
      </c>
      <c r="I1902">
        <v>0.245875244024131</v>
      </c>
      <c r="J1902">
        <v>0.24350502826715301</v>
      </c>
      <c r="K1902">
        <v>0.17129886917578299</v>
      </c>
      <c r="L1902">
        <v>850.297874984033</v>
      </c>
      <c r="M1902">
        <v>15.2487225419657</v>
      </c>
      <c r="N1902">
        <v>57.2111033585849</v>
      </c>
      <c r="O1902">
        <v>54.8292863004826</v>
      </c>
      <c r="P1902">
        <v>-5.8395115946147602E-2</v>
      </c>
      <c r="Q1902">
        <v>0.16020262799899801</v>
      </c>
      <c r="R1902">
        <v>0.95991547467322202</v>
      </c>
      <c r="S1902" t="s">
        <v>8905</v>
      </c>
      <c r="T1902" t="s">
        <v>14004</v>
      </c>
      <c r="U1902" t="s">
        <v>14004</v>
      </c>
      <c r="V1902" t="s">
        <v>14004</v>
      </c>
      <c r="W1902" t="s">
        <v>15871</v>
      </c>
      <c r="X1902">
        <v>1</v>
      </c>
      <c r="Y1902" t="s">
        <v>22792</v>
      </c>
      <c r="Z1902" t="s">
        <v>29612</v>
      </c>
      <c r="AA1902">
        <v>0.6164355139643104</v>
      </c>
      <c r="AB1902" t="str">
        <f>HYPERLINK("Melting_Curves/meltCurve_O95807_TMEM50A.pdf", "Melting_Curves/meltCurve_O95807_TMEM50A.pdf")</f>
        <v>Melting_Curves/meltCurve_O95807_TMEM50A.pdf</v>
      </c>
    </row>
    <row r="1903" spans="1:28" x14ac:dyDescent="0.25">
      <c r="A1903" t="s">
        <v>1907</v>
      </c>
      <c r="B1903">
        <v>0.99999676499088797</v>
      </c>
      <c r="C1903">
        <v>1.05297732277875</v>
      </c>
      <c r="D1903">
        <v>1.0445831680962401</v>
      </c>
      <c r="E1903">
        <v>1.15371728289439</v>
      </c>
      <c r="F1903">
        <v>1.12123863498287</v>
      </c>
      <c r="G1903">
        <v>0.44590881066094601</v>
      </c>
      <c r="H1903">
        <v>0.22519338922114401</v>
      </c>
      <c r="I1903">
        <v>0.227197108271562</v>
      </c>
      <c r="J1903">
        <v>0.169067249224819</v>
      </c>
      <c r="K1903">
        <v>0.17476802156159801</v>
      </c>
      <c r="L1903">
        <v>14154.0750216837</v>
      </c>
      <c r="M1903">
        <v>250</v>
      </c>
      <c r="N1903">
        <v>56.731505122155902</v>
      </c>
      <c r="O1903">
        <v>56.612665023344398</v>
      </c>
      <c r="P1903">
        <v>-0.88423611100951505</v>
      </c>
      <c r="Q1903">
        <v>0.19905642659713599</v>
      </c>
      <c r="R1903">
        <v>0.97400778497930895</v>
      </c>
      <c r="S1903" t="s">
        <v>8906</v>
      </c>
      <c r="T1903" t="s">
        <v>14004</v>
      </c>
      <c r="U1903" t="s">
        <v>14004</v>
      </c>
      <c r="V1903" t="s">
        <v>14004</v>
      </c>
      <c r="W1903" t="s">
        <v>15872</v>
      </c>
      <c r="X1903">
        <v>9</v>
      </c>
      <c r="Y1903" t="s">
        <v>22793</v>
      </c>
      <c r="Z1903" t="s">
        <v>29613</v>
      </c>
      <c r="AA1903">
        <v>0.64275996787180245</v>
      </c>
      <c r="AB1903" t="str">
        <f>HYPERLINK("Melting_Curves/meltCurve_O95816_BAG2.pdf", "Melting_Curves/meltCurve_O95816_BAG2.pdf")</f>
        <v>Melting_Curves/meltCurve_O95816_BAG2.pdf</v>
      </c>
    </row>
    <row r="1904" spans="1:28" x14ac:dyDescent="0.25">
      <c r="A1904" t="s">
        <v>1908</v>
      </c>
      <c r="B1904">
        <v>0.99999676499088797</v>
      </c>
      <c r="C1904">
        <v>1.02774200175009</v>
      </c>
      <c r="D1904">
        <v>0.99418704643693501</v>
      </c>
      <c r="E1904">
        <v>0.95763117529977604</v>
      </c>
      <c r="F1904">
        <v>0.90316387370372098</v>
      </c>
      <c r="G1904">
        <v>0.72680008523117001</v>
      </c>
      <c r="H1904">
        <v>0.51910905149901199</v>
      </c>
      <c r="I1904">
        <v>0.45854477506747998</v>
      </c>
      <c r="J1904">
        <v>0.42879762734544702</v>
      </c>
      <c r="K1904">
        <v>0.64249193126165705</v>
      </c>
      <c r="L1904">
        <v>1752.56788894739</v>
      </c>
      <c r="M1904">
        <v>31.2587724930783</v>
      </c>
      <c r="O1904">
        <v>55.838468210918798</v>
      </c>
      <c r="P1904">
        <v>-6.9643388140696996E-2</v>
      </c>
      <c r="Q1904">
        <v>0.50237859264007301</v>
      </c>
      <c r="R1904">
        <v>0.93883124424334397</v>
      </c>
      <c r="S1904" t="s">
        <v>8907</v>
      </c>
      <c r="T1904" t="s">
        <v>14004</v>
      </c>
      <c r="U1904" t="s">
        <v>14004</v>
      </c>
      <c r="V1904" t="s">
        <v>14004</v>
      </c>
      <c r="W1904" t="s">
        <v>15873</v>
      </c>
      <c r="X1904">
        <v>14</v>
      </c>
      <c r="Y1904" t="s">
        <v>22794</v>
      </c>
      <c r="Z1904" t="s">
        <v>29614</v>
      </c>
      <c r="AA1904">
        <v>0.77195532222305852</v>
      </c>
      <c r="AB1904" t="str">
        <f>HYPERLINK("Melting_Curves/meltCurve_O95817_BAG3.pdf", "Melting_Curves/meltCurve_O95817_BAG3.pdf")</f>
        <v>Melting_Curves/meltCurve_O95817_BAG3.pdf</v>
      </c>
    </row>
    <row r="1905" spans="1:28" x14ac:dyDescent="0.25">
      <c r="A1905" t="s">
        <v>1909</v>
      </c>
      <c r="B1905">
        <v>0.99999676499088797</v>
      </c>
      <c r="C1905">
        <v>0.926337453400356</v>
      </c>
      <c r="D1905">
        <v>0.79846749883011703</v>
      </c>
      <c r="E1905">
        <v>0.76322080756638899</v>
      </c>
      <c r="F1905">
        <v>0.37440602592952898</v>
      </c>
      <c r="G1905">
        <v>0.204099446864932</v>
      </c>
      <c r="H1905">
        <v>9.2115189449847507E-2</v>
      </c>
      <c r="I1905">
        <v>9.9520977559059004E-2</v>
      </c>
      <c r="J1905">
        <v>0.109235728224142</v>
      </c>
      <c r="K1905">
        <v>8.5487272490468794E-2</v>
      </c>
      <c r="L1905">
        <v>866.52915690488601</v>
      </c>
      <c r="M1905">
        <v>16.853338430165</v>
      </c>
      <c r="N1905">
        <v>51.827618781070001</v>
      </c>
      <c r="O1905">
        <v>50.708353955574196</v>
      </c>
      <c r="P1905">
        <v>-7.7888410175131303E-2</v>
      </c>
      <c r="Q1905">
        <v>6.2656942273471003E-2</v>
      </c>
      <c r="R1905">
        <v>0.98381623244180405</v>
      </c>
      <c r="S1905" t="s">
        <v>8908</v>
      </c>
      <c r="T1905" t="s">
        <v>14004</v>
      </c>
      <c r="U1905" t="s">
        <v>14004</v>
      </c>
      <c r="V1905" t="s">
        <v>14004</v>
      </c>
      <c r="W1905" t="s">
        <v>15874</v>
      </c>
      <c r="X1905">
        <v>7</v>
      </c>
      <c r="Y1905" t="s">
        <v>22795</v>
      </c>
      <c r="Z1905" t="s">
        <v>29615</v>
      </c>
      <c r="AA1905">
        <v>0.43696269240524471</v>
      </c>
      <c r="AB1905" t="str">
        <f>HYPERLINK("Melting_Curves/meltCurve_O95822_MLYCD.pdf", "Melting_Curves/meltCurve_O95822_MLYCD.pdf")</f>
        <v>Melting_Curves/meltCurve_O95822_MLYCD.pdf</v>
      </c>
    </row>
    <row r="1906" spans="1:28" x14ac:dyDescent="0.25">
      <c r="A1906" t="s">
        <v>1910</v>
      </c>
      <c r="B1906">
        <v>0.99999676499088797</v>
      </c>
      <c r="C1906">
        <v>0.95113681310604903</v>
      </c>
      <c r="D1906">
        <v>0.92735150869000604</v>
      </c>
      <c r="E1906">
        <v>1.11400638434961</v>
      </c>
      <c r="F1906">
        <v>1.0449737643932</v>
      </c>
      <c r="G1906">
        <v>0.82829241259926301</v>
      </c>
      <c r="H1906">
        <v>0.25529740233582099</v>
      </c>
      <c r="I1906">
        <v>9.9749244640477505E-2</v>
      </c>
      <c r="J1906">
        <v>6.4480498066933803E-2</v>
      </c>
      <c r="K1906">
        <v>6.1999001102912801E-2</v>
      </c>
      <c r="L1906">
        <v>2526.4165262699098</v>
      </c>
      <c r="M1906">
        <v>42.928520684087097</v>
      </c>
      <c r="N1906">
        <v>59.040751134128797</v>
      </c>
      <c r="O1906">
        <v>58.724423109400597</v>
      </c>
      <c r="P1906">
        <v>-0.17101859928146901</v>
      </c>
      <c r="Q1906">
        <v>6.4216270028376196E-2</v>
      </c>
      <c r="R1906">
        <v>0.98701507824218104</v>
      </c>
      <c r="S1906" t="s">
        <v>8909</v>
      </c>
      <c r="T1906" t="s">
        <v>14004</v>
      </c>
      <c r="U1906" t="s">
        <v>14004</v>
      </c>
      <c r="V1906" t="s">
        <v>14004</v>
      </c>
      <c r="W1906" t="s">
        <v>15875</v>
      </c>
      <c r="X1906">
        <v>8</v>
      </c>
      <c r="Y1906" t="s">
        <v>22796</v>
      </c>
      <c r="Z1906" t="s">
        <v>29616</v>
      </c>
      <c r="AA1906">
        <v>0.65548681894094196</v>
      </c>
      <c r="AB1906" t="str">
        <f>HYPERLINK("Melting_Curves/meltCurve_O95825_CRYZL1.pdf", "Melting_Curves/meltCurve_O95825_CRYZL1.pdf")</f>
        <v>Melting_Curves/meltCurve_O95825_CRYZL1.pdf</v>
      </c>
    </row>
    <row r="1907" spans="1:28" x14ac:dyDescent="0.25">
      <c r="A1907" t="s">
        <v>1911</v>
      </c>
      <c r="B1907">
        <v>0.99999676499088797</v>
      </c>
      <c r="C1907">
        <v>1.1133337240496901</v>
      </c>
      <c r="D1907">
        <v>1.08756327623196</v>
      </c>
      <c r="E1907">
        <v>1.04573177773384</v>
      </c>
      <c r="F1907">
        <v>1.02709305299997</v>
      </c>
      <c r="G1907">
        <v>0.92816572160640698</v>
      </c>
      <c r="H1907">
        <v>0.53303554855814395</v>
      </c>
      <c r="I1907">
        <v>0.17029143250350001</v>
      </c>
      <c r="J1907">
        <v>0.10797782295126</v>
      </c>
      <c r="K1907">
        <v>7.9517443927534306E-2</v>
      </c>
      <c r="L1907">
        <v>2409.83178282167</v>
      </c>
      <c r="M1907">
        <v>39.6909329351206</v>
      </c>
      <c r="N1907">
        <v>60.9708274042112</v>
      </c>
      <c r="O1907">
        <v>60.5614245824611</v>
      </c>
      <c r="P1907">
        <v>-0.15127575549725</v>
      </c>
      <c r="Q1907">
        <v>7.6720803013204303E-2</v>
      </c>
      <c r="R1907">
        <v>0.98607593972932195</v>
      </c>
      <c r="S1907" t="s">
        <v>8910</v>
      </c>
      <c r="T1907" t="s">
        <v>14004</v>
      </c>
      <c r="U1907" t="s">
        <v>14004</v>
      </c>
      <c r="V1907" t="s">
        <v>14004</v>
      </c>
      <c r="W1907" t="s">
        <v>15876</v>
      </c>
      <c r="X1907">
        <v>31</v>
      </c>
      <c r="Y1907" t="s">
        <v>22797</v>
      </c>
      <c r="Z1907" t="s">
        <v>29617</v>
      </c>
      <c r="AA1907">
        <v>0.71783630417490751</v>
      </c>
      <c r="AB1907" t="str">
        <f>HYPERLINK("Melting_Curves/meltCurve_O95831_3_AIFM1.pdf", "Melting_Curves/meltCurve_O95831_3_AIFM1.pdf")</f>
        <v>Melting_Curves/meltCurve_O95831_3_AIFM1.pdf</v>
      </c>
    </row>
    <row r="1908" spans="1:28" x14ac:dyDescent="0.25">
      <c r="A1908" t="s">
        <v>1912</v>
      </c>
      <c r="B1908">
        <v>0.99999676499088797</v>
      </c>
      <c r="C1908">
        <v>0.95277619187836304</v>
      </c>
      <c r="D1908">
        <v>0.99944576558256504</v>
      </c>
      <c r="E1908">
        <v>1.0677389821219201</v>
      </c>
      <c r="F1908">
        <v>0.68864036437221998</v>
      </c>
      <c r="G1908">
        <v>0.209754548975183</v>
      </c>
      <c r="H1908">
        <v>0.10280561750797999</v>
      </c>
      <c r="I1908">
        <v>8.6817355102525195E-2</v>
      </c>
      <c r="J1908">
        <v>8.5724719742636901E-2</v>
      </c>
      <c r="K1908">
        <v>6.9366737542947102E-2</v>
      </c>
      <c r="L1908">
        <v>2324.4851981315301</v>
      </c>
      <c r="M1908">
        <v>42.9556748583664</v>
      </c>
      <c r="N1908">
        <v>54.354611106039997</v>
      </c>
      <c r="O1908">
        <v>53.996688993012299</v>
      </c>
      <c r="P1908">
        <v>-0.18163552646004</v>
      </c>
      <c r="Q1908">
        <v>8.6714182186074296E-2</v>
      </c>
      <c r="R1908">
        <v>0.99425202441457206</v>
      </c>
      <c r="S1908" t="s">
        <v>8911</v>
      </c>
      <c r="T1908" t="s">
        <v>14004</v>
      </c>
      <c r="U1908" t="s">
        <v>14004</v>
      </c>
      <c r="V1908" t="s">
        <v>14004</v>
      </c>
      <c r="W1908" t="s">
        <v>15877</v>
      </c>
      <c r="X1908">
        <v>14</v>
      </c>
      <c r="Y1908" t="s">
        <v>22798</v>
      </c>
      <c r="Z1908" t="s">
        <v>29618</v>
      </c>
      <c r="AA1908">
        <v>0.51932738414947865</v>
      </c>
      <c r="AB1908" t="str">
        <f>HYPERLINK("Melting_Curves/meltCurve_O95834_2_EML2.pdf", "Melting_Curves/meltCurve_O95834_2_EML2.pdf")</f>
        <v>Melting_Curves/meltCurve_O95834_2_EML2.pdf</v>
      </c>
    </row>
    <row r="1909" spans="1:28" x14ac:dyDescent="0.25">
      <c r="A1909" t="s">
        <v>1913</v>
      </c>
      <c r="B1909">
        <v>0.99999676499088797</v>
      </c>
      <c r="C1909">
        <v>1.27949310958327</v>
      </c>
      <c r="D1909">
        <v>1.0412245560687601</v>
      </c>
      <c r="E1909">
        <v>0.99007171414744199</v>
      </c>
      <c r="F1909">
        <v>1.10009051850784</v>
      </c>
      <c r="G1909">
        <v>0.505733210651646</v>
      </c>
      <c r="H1909">
        <v>0.21566787324897899</v>
      </c>
      <c r="I1909">
        <v>0.111984861812594</v>
      </c>
      <c r="J1909">
        <v>0.12806201172635601</v>
      </c>
      <c r="K1909">
        <v>0.10691527457184501</v>
      </c>
      <c r="L1909">
        <v>14182.791279462401</v>
      </c>
      <c r="M1909">
        <v>250</v>
      </c>
      <c r="N1909">
        <v>56.806209978426502</v>
      </c>
      <c r="O1909">
        <v>56.727534730218302</v>
      </c>
      <c r="P1909">
        <v>-0.94678726014811898</v>
      </c>
      <c r="Q1909">
        <v>0.14065748655663099</v>
      </c>
      <c r="R1909">
        <v>0.95249753810011895</v>
      </c>
      <c r="S1909" t="s">
        <v>8912</v>
      </c>
      <c r="T1909" t="s">
        <v>14004</v>
      </c>
      <c r="U1909" t="s">
        <v>14004</v>
      </c>
      <c r="V1909" t="s">
        <v>14004</v>
      </c>
      <c r="W1909" t="s">
        <v>15878</v>
      </c>
      <c r="X1909">
        <v>6</v>
      </c>
      <c r="Y1909" t="s">
        <v>22799</v>
      </c>
      <c r="Z1909" t="s">
        <v>29619</v>
      </c>
      <c r="AA1909">
        <v>0.62000309419090394</v>
      </c>
      <c r="AB1909" t="str">
        <f>HYPERLINK("Melting_Curves/meltCurve_O95837_GNA14.pdf", "Melting_Curves/meltCurve_O95837_GNA14.pdf")</f>
        <v>Melting_Curves/meltCurve_O95837_GNA14.pdf</v>
      </c>
    </row>
    <row r="1910" spans="1:28" x14ac:dyDescent="0.25">
      <c r="A1910" t="s">
        <v>1914</v>
      </c>
      <c r="B1910">
        <v>0.99999676499088797</v>
      </c>
      <c r="C1910">
        <v>0.89589052709704398</v>
      </c>
      <c r="D1910">
        <v>0.96383901093486901</v>
      </c>
      <c r="E1910">
        <v>1.0428110733389</v>
      </c>
      <c r="F1910">
        <v>0.95234779112452095</v>
      </c>
      <c r="G1910">
        <v>0.65320751279149403</v>
      </c>
      <c r="H1910">
        <v>0.40359973618345801</v>
      </c>
      <c r="I1910">
        <v>0.164036924712711</v>
      </c>
      <c r="J1910">
        <v>0.117409792703248</v>
      </c>
      <c r="K1910">
        <v>9.5647102216563307E-2</v>
      </c>
      <c r="L1910">
        <v>1325.38524039503</v>
      </c>
      <c r="M1910">
        <v>22.586408912748201</v>
      </c>
      <c r="N1910">
        <v>59.0569123124275</v>
      </c>
      <c r="O1910">
        <v>58.226474499302697</v>
      </c>
      <c r="P1910">
        <v>-9.0479565509380799E-2</v>
      </c>
      <c r="Q1910">
        <v>6.7014214822018595E-2</v>
      </c>
      <c r="R1910">
        <v>0.98476733969444097</v>
      </c>
      <c r="S1910" t="s">
        <v>8913</v>
      </c>
      <c r="T1910" t="s">
        <v>14004</v>
      </c>
      <c r="U1910" t="s">
        <v>14004</v>
      </c>
      <c r="V1910" t="s">
        <v>14004</v>
      </c>
      <c r="W1910" t="s">
        <v>15879</v>
      </c>
      <c r="X1910">
        <v>4</v>
      </c>
      <c r="Y1910" t="s">
        <v>22800</v>
      </c>
      <c r="Z1910" t="s">
        <v>29620</v>
      </c>
      <c r="AA1910">
        <v>0.65676357930035068</v>
      </c>
      <c r="AB1910" t="str">
        <f>HYPERLINK("Melting_Curves/meltCurve_O95848_NUDT14.pdf", "Melting_Curves/meltCurve_O95848_NUDT14.pdf")</f>
        <v>Melting_Curves/meltCurve_O95848_NUDT14.pdf</v>
      </c>
    </row>
    <row r="1911" spans="1:28" x14ac:dyDescent="0.25">
      <c r="A1911" t="s">
        <v>1915</v>
      </c>
      <c r="B1911">
        <v>0.99999676499088797</v>
      </c>
      <c r="C1911">
        <v>0.80784048831861299</v>
      </c>
      <c r="D1911">
        <v>0.99186988321981695</v>
      </c>
      <c r="E1911">
        <v>0.84361994536305795</v>
      </c>
      <c r="F1911">
        <v>1.0073470057869001</v>
      </c>
      <c r="G1911">
        <v>0.66366719543276598</v>
      </c>
      <c r="H1911">
        <v>0.62049848806401997</v>
      </c>
      <c r="I1911">
        <v>0.46390737089450901</v>
      </c>
      <c r="J1911">
        <v>0.36337806474178402</v>
      </c>
      <c r="K1911">
        <v>0.247338854480534</v>
      </c>
      <c r="L1911">
        <v>621.89978298588801</v>
      </c>
      <c r="M1911">
        <v>9.86763236985378</v>
      </c>
      <c r="N1911">
        <v>63.024190574680603</v>
      </c>
      <c r="O1911">
        <v>60.599526888028798</v>
      </c>
      <c r="P1911">
        <v>-4.0729206413399902E-2</v>
      </c>
      <c r="Q1911">
        <v>0</v>
      </c>
      <c r="R1911">
        <v>0.89458316364322898</v>
      </c>
      <c r="S1911" t="s">
        <v>8914</v>
      </c>
      <c r="T1911" t="s">
        <v>14004</v>
      </c>
      <c r="U1911" t="s">
        <v>14004</v>
      </c>
      <c r="V1911" t="s">
        <v>14004</v>
      </c>
      <c r="W1911" t="s">
        <v>15880</v>
      </c>
      <c r="X1911">
        <v>2</v>
      </c>
      <c r="Y1911" t="s">
        <v>22801</v>
      </c>
      <c r="Z1911" t="s">
        <v>29621</v>
      </c>
      <c r="AA1911">
        <v>0.73503976025625128</v>
      </c>
      <c r="AB1911" t="str">
        <f>HYPERLINK("Melting_Curves/meltCurve_O95857_TSPAN13.pdf", "Melting_Curves/meltCurve_O95857_TSPAN13.pdf")</f>
        <v>Melting_Curves/meltCurve_O95857_TSPAN13.pdf</v>
      </c>
    </row>
    <row r="1912" spans="1:28" x14ac:dyDescent="0.25">
      <c r="A1912" t="s">
        <v>1916</v>
      </c>
      <c r="B1912">
        <v>0.99999676499088797</v>
      </c>
      <c r="C1912">
        <v>1.01513827403521</v>
      </c>
      <c r="D1912">
        <v>1.01388525684175</v>
      </c>
      <c r="E1912">
        <v>1.0574219775821501</v>
      </c>
      <c r="F1912">
        <v>0.98027190499808403</v>
      </c>
      <c r="G1912">
        <v>0.93426215818061298</v>
      </c>
      <c r="H1912">
        <v>0.62404978343645501</v>
      </c>
      <c r="I1912">
        <v>0.49675967626100498</v>
      </c>
      <c r="J1912">
        <v>0.144583666742086</v>
      </c>
      <c r="K1912">
        <v>0.13279895908384301</v>
      </c>
      <c r="L1912">
        <v>1333.23779010918</v>
      </c>
      <c r="M1912">
        <v>21.168151078737601</v>
      </c>
      <c r="N1912">
        <v>62.9832018262696</v>
      </c>
      <c r="O1912">
        <v>62.429183296094699</v>
      </c>
      <c r="P1912">
        <v>-8.4770857625784499E-2</v>
      </c>
      <c r="Q1912">
        <v>0</v>
      </c>
      <c r="R1912">
        <v>0.98349228530127397</v>
      </c>
      <c r="S1912" t="s">
        <v>8915</v>
      </c>
      <c r="T1912" t="s">
        <v>14004</v>
      </c>
      <c r="U1912" t="s">
        <v>14004</v>
      </c>
      <c r="V1912" t="s">
        <v>14004</v>
      </c>
      <c r="W1912" t="s">
        <v>14041</v>
      </c>
      <c r="X1912">
        <v>21</v>
      </c>
      <c r="Y1912" t="s">
        <v>20977</v>
      </c>
      <c r="Z1912" t="s">
        <v>29622</v>
      </c>
      <c r="AA1912">
        <v>0.76636460538407103</v>
      </c>
      <c r="AB1912" t="str">
        <f>HYPERLINK("Melting_Curves/meltCurve_O95861_BPNT1.pdf", "Melting_Curves/meltCurve_O95861_BPNT1.pdf")</f>
        <v>Melting_Curves/meltCurve_O95861_BPNT1.pdf</v>
      </c>
    </row>
    <row r="1913" spans="1:28" x14ac:dyDescent="0.25">
      <c r="A1913" t="s">
        <v>1917</v>
      </c>
      <c r="B1913">
        <v>0.99999676499088797</v>
      </c>
      <c r="C1913">
        <v>0.91444367061163201</v>
      </c>
      <c r="D1913">
        <v>0.86309130211274598</v>
      </c>
      <c r="E1913">
        <v>0.86665835059941698</v>
      </c>
      <c r="F1913">
        <v>0.33838116819530201</v>
      </c>
      <c r="G1913">
        <v>0.209747995245298</v>
      </c>
      <c r="H1913">
        <v>9.5877461684512402E-2</v>
      </c>
      <c r="I1913">
        <v>6.5928374376826401E-2</v>
      </c>
      <c r="J1913">
        <v>5.0146823490214001E-2</v>
      </c>
      <c r="K1913">
        <v>4.8126575253791999E-2</v>
      </c>
      <c r="L1913">
        <v>1343.6590551120501</v>
      </c>
      <c r="M1913">
        <v>25.832204357567001</v>
      </c>
      <c r="N1913">
        <v>52.281754009200199</v>
      </c>
      <c r="O1913">
        <v>51.706186619546799</v>
      </c>
      <c r="P1913">
        <v>-0.11718566553156</v>
      </c>
      <c r="Q1913">
        <v>6.1767976157998297E-2</v>
      </c>
      <c r="R1913">
        <v>0.98002514480466796</v>
      </c>
      <c r="S1913" t="s">
        <v>8916</v>
      </c>
      <c r="T1913" t="s">
        <v>14004</v>
      </c>
      <c r="U1913" t="s">
        <v>14004</v>
      </c>
      <c r="V1913" t="s">
        <v>14004</v>
      </c>
      <c r="W1913" t="s">
        <v>15881</v>
      </c>
      <c r="X1913">
        <v>7</v>
      </c>
      <c r="Y1913" t="s">
        <v>22802</v>
      </c>
      <c r="Z1913" t="s">
        <v>29623</v>
      </c>
      <c r="AA1913">
        <v>0.44556766957732591</v>
      </c>
      <c r="AB1913" t="str">
        <f>HYPERLINK("Melting_Curves/meltCurve_O95864_FADS2.pdf", "Melting_Curves/meltCurve_O95864_FADS2.pdf")</f>
        <v>Melting_Curves/meltCurve_O95864_FADS2.pdf</v>
      </c>
    </row>
    <row r="1914" spans="1:28" x14ac:dyDescent="0.25">
      <c r="A1914" t="s">
        <v>1918</v>
      </c>
      <c r="B1914">
        <v>0.99999676499088797</v>
      </c>
      <c r="C1914">
        <v>0.98234597389865796</v>
      </c>
      <c r="D1914">
        <v>0.98507049085963805</v>
      </c>
      <c r="E1914">
        <v>0.87851660606332305</v>
      </c>
      <c r="F1914">
        <v>0.81350944112997903</v>
      </c>
      <c r="G1914">
        <v>0.465324751695469</v>
      </c>
      <c r="H1914">
        <v>0.117791763381543</v>
      </c>
      <c r="I1914">
        <v>0.10565925262141899</v>
      </c>
      <c r="J1914">
        <v>0.118807319057148</v>
      </c>
      <c r="K1914">
        <v>0.100538209504028</v>
      </c>
      <c r="L1914">
        <v>1461.6767516121699</v>
      </c>
      <c r="M1914">
        <v>26.1843599581935</v>
      </c>
      <c r="N1914">
        <v>56.198171197395403</v>
      </c>
      <c r="O1914">
        <v>55.499968865693901</v>
      </c>
      <c r="P1914">
        <v>-0.108479390005217</v>
      </c>
      <c r="Q1914">
        <v>8.0285280943043602E-2</v>
      </c>
      <c r="R1914">
        <v>0.99113086957493901</v>
      </c>
      <c r="S1914" t="s">
        <v>8917</v>
      </c>
      <c r="T1914" t="s">
        <v>14004</v>
      </c>
      <c r="U1914" t="s">
        <v>14004</v>
      </c>
      <c r="V1914" t="s">
        <v>14004</v>
      </c>
      <c r="W1914" t="s">
        <v>15882</v>
      </c>
      <c r="X1914">
        <v>18</v>
      </c>
      <c r="Y1914" t="s">
        <v>22803</v>
      </c>
      <c r="Z1914" t="s">
        <v>29624</v>
      </c>
      <c r="AA1914">
        <v>0.57317722156074413</v>
      </c>
      <c r="AB1914" t="str">
        <f>HYPERLINK("Melting_Curves/meltCurve_O95865_DDAH2.pdf", "Melting_Curves/meltCurve_O95865_DDAH2.pdf")</f>
        <v>Melting_Curves/meltCurve_O95865_DDAH2.pdf</v>
      </c>
    </row>
    <row r="1915" spans="1:28" x14ac:dyDescent="0.25">
      <c r="A1915" t="s">
        <v>1919</v>
      </c>
      <c r="B1915">
        <v>0.99999676499088797</v>
      </c>
      <c r="C1915">
        <v>1.13613970822504</v>
      </c>
      <c r="D1915">
        <v>1.2141169005032899</v>
      </c>
      <c r="E1915">
        <v>1.0713256320228799</v>
      </c>
      <c r="F1915">
        <v>0.81745134967786204</v>
      </c>
      <c r="G1915">
        <v>0.70700448577910102</v>
      </c>
      <c r="H1915">
        <v>0.46428224592817502</v>
      </c>
      <c r="I1915">
        <v>0.62322106159121804</v>
      </c>
      <c r="J1915">
        <v>0.540826126533963</v>
      </c>
      <c r="K1915">
        <v>0.56367159407279299</v>
      </c>
      <c r="L1915">
        <v>1799.07450371043</v>
      </c>
      <c r="M1915">
        <v>32.9547314120504</v>
      </c>
      <c r="O1915">
        <v>54.392452006584499</v>
      </c>
      <c r="P1915">
        <v>-6.7822853647340406E-2</v>
      </c>
      <c r="Q1915">
        <v>0.55223005210661003</v>
      </c>
      <c r="R1915">
        <v>0.86080701262026305</v>
      </c>
      <c r="S1915" t="s">
        <v>8918</v>
      </c>
      <c r="T1915" t="s">
        <v>14004</v>
      </c>
      <c r="U1915" t="s">
        <v>14004</v>
      </c>
      <c r="V1915" t="s">
        <v>14004</v>
      </c>
      <c r="W1915" t="s">
        <v>15883</v>
      </c>
      <c r="X1915">
        <v>2</v>
      </c>
      <c r="Y1915" t="s">
        <v>22804</v>
      </c>
      <c r="Z1915" t="s">
        <v>29625</v>
      </c>
      <c r="AA1915">
        <v>0.7724992848301161</v>
      </c>
      <c r="AB1915" t="str">
        <f>HYPERLINK("Melting_Curves/meltCurve_O95873_C6orf47.pdf", "Melting_Curves/meltCurve_O95873_C6orf47.pdf")</f>
        <v>Melting_Curves/meltCurve_O95873_C6orf47.pdf</v>
      </c>
    </row>
    <row r="1916" spans="1:28" x14ac:dyDescent="0.25">
      <c r="A1916" t="s">
        <v>1920</v>
      </c>
      <c r="B1916">
        <v>0.99999676499088797</v>
      </c>
      <c r="C1916">
        <v>0.92507607088357702</v>
      </c>
      <c r="D1916">
        <v>0.89526762283869998</v>
      </c>
      <c r="E1916">
        <v>0.84609367004146696</v>
      </c>
      <c r="F1916">
        <v>0.47325100602924403</v>
      </c>
      <c r="G1916">
        <v>0.34009093789741401</v>
      </c>
      <c r="H1916">
        <v>0.179616407375318</v>
      </c>
      <c r="I1916">
        <v>0.19040971215829</v>
      </c>
      <c r="J1916">
        <v>0.179884558642463</v>
      </c>
      <c r="K1916">
        <v>0.187893921958348</v>
      </c>
      <c r="L1916">
        <v>1053.61908317285</v>
      </c>
      <c r="M1916">
        <v>20.153294273609301</v>
      </c>
      <c r="N1916">
        <v>53.365195969185301</v>
      </c>
      <c r="O1916">
        <v>51.773666056837001</v>
      </c>
      <c r="P1916">
        <v>-8.0959803239516695E-2</v>
      </c>
      <c r="Q1916">
        <v>0.16808585329556</v>
      </c>
      <c r="R1916">
        <v>0.98725442418336196</v>
      </c>
      <c r="S1916" t="s">
        <v>8919</v>
      </c>
      <c r="T1916" t="s">
        <v>14004</v>
      </c>
      <c r="U1916" t="s">
        <v>14004</v>
      </c>
      <c r="V1916" t="s">
        <v>14004</v>
      </c>
      <c r="W1916" t="s">
        <v>15884</v>
      </c>
      <c r="X1916">
        <v>10</v>
      </c>
      <c r="Y1916" t="s">
        <v>22805</v>
      </c>
      <c r="Z1916" t="s">
        <v>29626</v>
      </c>
      <c r="AA1916">
        <v>0.5199658844344679</v>
      </c>
      <c r="AB1916" t="str">
        <f>HYPERLINK("Melting_Curves/meltCurve_O95881_TXNDC12.pdf", "Melting_Curves/meltCurve_O95881_TXNDC12.pdf")</f>
        <v>Melting_Curves/meltCurve_O95881_TXNDC12.pdf</v>
      </c>
    </row>
    <row r="1917" spans="1:28" x14ac:dyDescent="0.25">
      <c r="A1917" t="s">
        <v>1921</v>
      </c>
      <c r="B1917">
        <v>0.99999676499088797</v>
      </c>
      <c r="C1917">
        <v>0.79072909542623004</v>
      </c>
      <c r="D1917">
        <v>0.80350864373802</v>
      </c>
      <c r="E1917">
        <v>0.48944078104953798</v>
      </c>
      <c r="F1917">
        <v>0.271378600712467</v>
      </c>
      <c r="G1917">
        <v>0.20669524451937701</v>
      </c>
      <c r="H1917">
        <v>0.115977966672862</v>
      </c>
      <c r="I1917">
        <v>0.11525486252563399</v>
      </c>
      <c r="J1917">
        <v>0.191589844820237</v>
      </c>
      <c r="K1917">
        <v>0.12827436527202199</v>
      </c>
      <c r="L1917">
        <v>757.67786161865604</v>
      </c>
      <c r="M1917">
        <v>15.6131752040381</v>
      </c>
      <c r="N1917">
        <v>49.382387302751802</v>
      </c>
      <c r="O1917">
        <v>47.752932477555397</v>
      </c>
      <c r="P1917">
        <v>-7.2071966579481603E-2</v>
      </c>
      <c r="Q1917">
        <v>0.118347017833082</v>
      </c>
      <c r="R1917">
        <v>0.97675584664049198</v>
      </c>
      <c r="S1917" t="s">
        <v>8920</v>
      </c>
      <c r="T1917" t="s">
        <v>14004</v>
      </c>
      <c r="U1917" t="s">
        <v>14004</v>
      </c>
      <c r="V1917" t="s">
        <v>14004</v>
      </c>
      <c r="W1917" t="s">
        <v>15885</v>
      </c>
      <c r="X1917">
        <v>1</v>
      </c>
      <c r="Y1917" t="s">
        <v>22806</v>
      </c>
      <c r="Z1917" t="s">
        <v>29627</v>
      </c>
      <c r="AA1917">
        <v>0.38947958916131042</v>
      </c>
      <c r="AB1917" t="str">
        <f>HYPERLINK("Melting_Curves/meltCurve_O95905_2_ECD.pdf", "Melting_Curves/meltCurve_O95905_2_ECD.pdf")</f>
        <v>Melting_Curves/meltCurve_O95905_2_ECD.pdf</v>
      </c>
    </row>
    <row r="1918" spans="1:28" x14ac:dyDescent="0.25">
      <c r="A1918" t="s">
        <v>1922</v>
      </c>
      <c r="B1918">
        <v>0.99999676499088797</v>
      </c>
      <c r="C1918">
        <v>0.92968048521019997</v>
      </c>
      <c r="D1918">
        <v>0.87936947376832897</v>
      </c>
      <c r="E1918">
        <v>0.71746300556132303</v>
      </c>
      <c r="F1918">
        <v>0.57111318294991797</v>
      </c>
      <c r="G1918">
        <v>0.59199890010942902</v>
      </c>
      <c r="H1918">
        <v>0.43017991776904202</v>
      </c>
      <c r="I1918">
        <v>0.51407136872282899</v>
      </c>
      <c r="J1918">
        <v>0.54218290412595804</v>
      </c>
      <c r="K1918">
        <v>0.58477977079080601</v>
      </c>
      <c r="L1918">
        <v>929.50070535547002</v>
      </c>
      <c r="M1918">
        <v>19.2105894139921</v>
      </c>
      <c r="O1918">
        <v>47.869660287682201</v>
      </c>
      <c r="P1918">
        <v>-4.8003927500212401E-2</v>
      </c>
      <c r="Q1918">
        <v>0.521546385464708</v>
      </c>
      <c r="R1918">
        <v>0.946915425308131</v>
      </c>
      <c r="S1918" t="s">
        <v>8921</v>
      </c>
      <c r="T1918" t="s">
        <v>14004</v>
      </c>
      <c r="U1918" t="s">
        <v>14004</v>
      </c>
      <c r="V1918" t="s">
        <v>14004</v>
      </c>
      <c r="W1918" t="s">
        <v>15886</v>
      </c>
      <c r="X1918">
        <v>11</v>
      </c>
      <c r="Y1918" t="s">
        <v>22807</v>
      </c>
      <c r="Z1918" t="s">
        <v>29628</v>
      </c>
      <c r="AA1918">
        <v>0.6626140284169878</v>
      </c>
      <c r="AB1918" t="str">
        <f>HYPERLINK("Melting_Curves/meltCurve_O95926_SYF2.pdf", "Melting_Curves/meltCurve_O95926_SYF2.pdf")</f>
        <v>Melting_Curves/meltCurve_O95926_SYF2.pdf</v>
      </c>
    </row>
    <row r="1919" spans="1:28" x14ac:dyDescent="0.25">
      <c r="A1919" t="s">
        <v>1923</v>
      </c>
      <c r="B1919">
        <v>0.99999676499088797</v>
      </c>
      <c r="C1919">
        <v>0.92957803213972001</v>
      </c>
      <c r="D1919">
        <v>1.0400444652101899</v>
      </c>
      <c r="E1919">
        <v>0.935587025220184</v>
      </c>
      <c r="F1919">
        <v>0.90776806495859297</v>
      </c>
      <c r="G1919">
        <v>0.77074251042531605</v>
      </c>
      <c r="H1919">
        <v>0.53404777012215598</v>
      </c>
      <c r="I1919">
        <v>0.40620598148859399</v>
      </c>
      <c r="J1919">
        <v>0.322490364545238</v>
      </c>
      <c r="K1919">
        <v>0.31417885965331799</v>
      </c>
      <c r="L1919">
        <v>1050.2906804899001</v>
      </c>
      <c r="M1919">
        <v>17.768350273337202</v>
      </c>
      <c r="N1919">
        <v>61.599086966585404</v>
      </c>
      <c r="O1919">
        <v>58.376728312113201</v>
      </c>
      <c r="P1919">
        <v>-5.6607485921339601E-2</v>
      </c>
      <c r="Q1919">
        <v>0.25611816632918799</v>
      </c>
      <c r="R1919">
        <v>0.98813529844102299</v>
      </c>
      <c r="S1919" t="s">
        <v>8922</v>
      </c>
      <c r="T1919" t="s">
        <v>14004</v>
      </c>
      <c r="U1919" t="s">
        <v>14004</v>
      </c>
      <c r="V1919" t="s">
        <v>14004</v>
      </c>
      <c r="W1919" t="s">
        <v>15887</v>
      </c>
      <c r="X1919">
        <v>12</v>
      </c>
      <c r="Y1919" t="s">
        <v>22808</v>
      </c>
      <c r="Z1919" t="s">
        <v>29629</v>
      </c>
      <c r="AA1919">
        <v>0.73770459096777785</v>
      </c>
      <c r="AB1919" t="str">
        <f>HYPERLINK("Melting_Curves/meltCurve_O95980_RECK.pdf", "Melting_Curves/meltCurve_O95980_RECK.pdf")</f>
        <v>Melting_Curves/meltCurve_O95980_RECK.pdf</v>
      </c>
    </row>
    <row r="1920" spans="1:28" x14ac:dyDescent="0.25">
      <c r="A1920" t="s">
        <v>1924</v>
      </c>
      <c r="B1920">
        <v>0.99999676499088797</v>
      </c>
      <c r="C1920">
        <v>0.91674552580639501</v>
      </c>
      <c r="D1920">
        <v>1.18143377200816</v>
      </c>
      <c r="E1920">
        <v>0.64057100943643197</v>
      </c>
      <c r="F1920">
        <v>0.35091178559445002</v>
      </c>
      <c r="G1920">
        <v>0.47656912788905698</v>
      </c>
      <c r="H1920">
        <v>0.19358778898597301</v>
      </c>
      <c r="I1920">
        <v>0.35453994238604503</v>
      </c>
      <c r="J1920">
        <v>0.359913880061278</v>
      </c>
      <c r="K1920">
        <v>0.28498667046896198</v>
      </c>
      <c r="L1920">
        <v>12391.663088815099</v>
      </c>
      <c r="M1920">
        <v>250</v>
      </c>
      <c r="N1920">
        <v>49.789555932724603</v>
      </c>
      <c r="O1920">
        <v>49.563478576733097</v>
      </c>
      <c r="P1920">
        <v>-0.83636236220917803</v>
      </c>
      <c r="Q1920">
        <v>0.33675152777193201</v>
      </c>
      <c r="R1920">
        <v>0.92064336265163904</v>
      </c>
      <c r="S1920" t="s">
        <v>8923</v>
      </c>
      <c r="T1920" t="s">
        <v>14004</v>
      </c>
      <c r="U1920" t="s">
        <v>14004</v>
      </c>
      <c r="V1920" t="s">
        <v>14004</v>
      </c>
      <c r="W1920" t="s">
        <v>15888</v>
      </c>
      <c r="X1920">
        <v>8</v>
      </c>
      <c r="Y1920" t="s">
        <v>22809</v>
      </c>
      <c r="Z1920" t="s">
        <v>29630</v>
      </c>
      <c r="AA1920">
        <v>0.54831147486205045</v>
      </c>
      <c r="AB1920" t="str">
        <f>HYPERLINK("Melting_Curves/meltCurve_O95983_2_MBD3.pdf", "Melting_Curves/meltCurve_O95983_2_MBD3.pdf")</f>
        <v>Melting_Curves/meltCurve_O95983_2_MBD3.pdf</v>
      </c>
    </row>
    <row r="1921" spans="1:28" x14ac:dyDescent="0.25">
      <c r="A1921" t="s">
        <v>1925</v>
      </c>
      <c r="B1921">
        <v>0.99999676499088797</v>
      </c>
      <c r="C1921">
        <v>1.02189620496917</v>
      </c>
      <c r="D1921">
        <v>0.94130358815951698</v>
      </c>
      <c r="E1921">
        <v>0.72715312560145895</v>
      </c>
      <c r="F1921">
        <v>0.36069568805409502</v>
      </c>
      <c r="G1921">
        <v>0.19218304966886299</v>
      </c>
      <c r="H1921">
        <v>7.4933855135413993E-2</v>
      </c>
      <c r="I1921">
        <v>7.5809944285091899E-2</v>
      </c>
      <c r="J1921">
        <v>8.3009361548582294E-2</v>
      </c>
      <c r="K1921">
        <v>4.6313695807038598E-2</v>
      </c>
      <c r="L1921">
        <v>1157.17415542957</v>
      </c>
      <c r="M1921">
        <v>22.448447320162099</v>
      </c>
      <c r="N1921">
        <v>51.852021118754699</v>
      </c>
      <c r="O1921">
        <v>51.144243366793702</v>
      </c>
      <c r="P1921">
        <v>-0.102968425797616</v>
      </c>
      <c r="Q1921">
        <v>6.1648599490489502E-2</v>
      </c>
      <c r="R1921">
        <v>0.99829577640509204</v>
      </c>
      <c r="S1921" t="s">
        <v>8924</v>
      </c>
      <c r="T1921" t="s">
        <v>14004</v>
      </c>
      <c r="U1921" t="s">
        <v>14004</v>
      </c>
      <c r="V1921" t="s">
        <v>14004</v>
      </c>
      <c r="W1921" t="s">
        <v>15889</v>
      </c>
      <c r="X1921">
        <v>3</v>
      </c>
      <c r="Y1921" t="s">
        <v>22810</v>
      </c>
      <c r="Z1921" t="s">
        <v>29631</v>
      </c>
      <c r="AA1921">
        <v>0.4333407121454414</v>
      </c>
      <c r="AB1921" t="str">
        <f>HYPERLINK("Melting_Curves/meltCurve_O95985_3_TOP3B.pdf", "Melting_Curves/meltCurve_O95985_3_TOP3B.pdf")</f>
        <v>Melting_Curves/meltCurve_O95985_3_TOP3B.pdf</v>
      </c>
    </row>
    <row r="1922" spans="1:28" x14ac:dyDescent="0.25">
      <c r="A1922" t="s">
        <v>1926</v>
      </c>
      <c r="B1922">
        <v>0.99999676499088797</v>
      </c>
      <c r="C1922">
        <v>0.96314482474364405</v>
      </c>
      <c r="D1922">
        <v>0.97729131784604995</v>
      </c>
      <c r="E1922">
        <v>1.08288013234761</v>
      </c>
      <c r="F1922">
        <v>1.06642200543272</v>
      </c>
      <c r="G1922">
        <v>0.88977645975309505</v>
      </c>
      <c r="H1922">
        <v>0.44318000100628302</v>
      </c>
      <c r="I1922">
        <v>0.15285352283575299</v>
      </c>
      <c r="J1922">
        <v>0.109092881492018</v>
      </c>
      <c r="K1922">
        <v>8.2442962987311894E-2</v>
      </c>
      <c r="L1922">
        <v>2281.4173764479801</v>
      </c>
      <c r="M1922">
        <v>37.987854697806597</v>
      </c>
      <c r="N1922">
        <v>60.341879149178901</v>
      </c>
      <c r="O1922">
        <v>59.890791387083702</v>
      </c>
      <c r="P1922">
        <v>-0.14553309648125001</v>
      </c>
      <c r="Q1922">
        <v>8.2225600035282495E-2</v>
      </c>
      <c r="R1922">
        <v>0.99105312808792501</v>
      </c>
      <c r="S1922" t="s">
        <v>8925</v>
      </c>
      <c r="T1922" t="s">
        <v>14004</v>
      </c>
      <c r="U1922" t="s">
        <v>14004</v>
      </c>
      <c r="V1922" t="s">
        <v>14004</v>
      </c>
      <c r="W1922" t="s">
        <v>15890</v>
      </c>
      <c r="X1922">
        <v>9</v>
      </c>
      <c r="Y1922" t="s">
        <v>22811</v>
      </c>
      <c r="Z1922" t="s">
        <v>29632</v>
      </c>
      <c r="AA1922">
        <v>0.69971563919699031</v>
      </c>
      <c r="AB1922" t="str">
        <f>HYPERLINK("Melting_Curves/meltCurve_O95989_NUDT3.pdf", "Melting_Curves/meltCurve_O95989_NUDT3.pdf")</f>
        <v>Melting_Curves/meltCurve_O95989_NUDT3.pdf</v>
      </c>
    </row>
    <row r="1923" spans="1:28" x14ac:dyDescent="0.25">
      <c r="A1923" t="s">
        <v>1927</v>
      </c>
      <c r="B1923">
        <v>0.99999676499088797</v>
      </c>
      <c r="C1923">
        <v>0.89625306834365903</v>
      </c>
      <c r="D1923">
        <v>0.84536381469658195</v>
      </c>
      <c r="E1923">
        <v>0.82213515149285399</v>
      </c>
      <c r="F1923">
        <v>0.64898537015498703</v>
      </c>
      <c r="G1923">
        <v>0.44673961488812602</v>
      </c>
      <c r="H1923">
        <v>0.40313908839085999</v>
      </c>
      <c r="I1923">
        <v>0.52224693217811202</v>
      </c>
      <c r="J1923">
        <v>0.62272960474959105</v>
      </c>
      <c r="K1923">
        <v>0.77301509487175601</v>
      </c>
      <c r="L1923">
        <v>903.53515590718996</v>
      </c>
      <c r="M1923">
        <v>18.609386344391901</v>
      </c>
      <c r="O1923">
        <v>48.002417782180601</v>
      </c>
      <c r="P1923">
        <v>-4.2936324686106198E-2</v>
      </c>
      <c r="Q1923">
        <v>0.55700673000668</v>
      </c>
      <c r="R1923">
        <v>0.69172341806508697</v>
      </c>
      <c r="S1923" t="s">
        <v>8926</v>
      </c>
      <c r="T1923" t="s">
        <v>14004</v>
      </c>
      <c r="U1923" t="s">
        <v>14004</v>
      </c>
      <c r="V1923" t="s">
        <v>14004</v>
      </c>
      <c r="W1923" t="s">
        <v>15891</v>
      </c>
      <c r="X1923">
        <v>3</v>
      </c>
      <c r="Y1923" t="s">
        <v>22812</v>
      </c>
      <c r="Z1923" t="s">
        <v>29633</v>
      </c>
      <c r="AA1923">
        <v>0.6905348271256031</v>
      </c>
      <c r="AB1923" t="str">
        <f>HYPERLINK("Melting_Curves/meltCurve_O95997_PTTG1.pdf", "Melting_Curves/meltCurve_O95997_PTTG1.pdf")</f>
        <v>Melting_Curves/meltCurve_O95997_PTTG1.pdf</v>
      </c>
    </row>
    <row r="1924" spans="1:28" x14ac:dyDescent="0.25">
      <c r="A1924" t="s">
        <v>1928</v>
      </c>
      <c r="B1924">
        <v>0.99999676499088797</v>
      </c>
      <c r="C1924">
        <v>0.905060721735648</v>
      </c>
      <c r="D1924">
        <v>0.67648488815164698</v>
      </c>
      <c r="E1924">
        <v>0.28116030621755</v>
      </c>
      <c r="F1924">
        <v>0.19172007153884399</v>
      </c>
      <c r="G1924">
        <v>0.148448967262408</v>
      </c>
      <c r="H1924">
        <v>0.101117644633409</v>
      </c>
      <c r="I1924">
        <v>0.11926610790278901</v>
      </c>
      <c r="J1924">
        <v>0.13810705869588799</v>
      </c>
      <c r="K1924">
        <v>9.9413171909755599E-2</v>
      </c>
      <c r="L1924">
        <v>1153.6689275384899</v>
      </c>
      <c r="M1924">
        <v>24.601175313633</v>
      </c>
      <c r="N1924">
        <v>47.424982470259103</v>
      </c>
      <c r="O1924">
        <v>46.588316959226702</v>
      </c>
      <c r="P1924">
        <v>-0.116146216100148</v>
      </c>
      <c r="Q1924">
        <v>0.120208255986508</v>
      </c>
      <c r="R1924">
        <v>0.99717513247047096</v>
      </c>
      <c r="S1924" t="s">
        <v>8927</v>
      </c>
      <c r="T1924" t="s">
        <v>14004</v>
      </c>
      <c r="U1924" t="s">
        <v>14004</v>
      </c>
      <c r="V1924" t="s">
        <v>14004</v>
      </c>
      <c r="W1924" t="s">
        <v>15892</v>
      </c>
      <c r="X1924">
        <v>5</v>
      </c>
      <c r="Y1924" t="s">
        <v>22813</v>
      </c>
      <c r="Z1924" t="s">
        <v>29634</v>
      </c>
      <c r="AA1924">
        <v>0.33056814612538121</v>
      </c>
      <c r="AB1924" t="str">
        <f>HYPERLINK("Melting_Curves/meltCurve_O95999_BCL10.pdf", "Melting_Curves/meltCurve_O95999_BCL10.pdf")</f>
        <v>Melting_Curves/meltCurve_O95999_BCL10.pdf</v>
      </c>
    </row>
    <row r="1925" spans="1:28" x14ac:dyDescent="0.25">
      <c r="A1925" t="s">
        <v>1929</v>
      </c>
      <c r="B1925">
        <v>0.99999676499088797</v>
      </c>
      <c r="C1925">
        <v>1.0180982565894301</v>
      </c>
      <c r="D1925">
        <v>0.978140268119011</v>
      </c>
      <c r="E1925">
        <v>0.83219430114225701</v>
      </c>
      <c r="F1925">
        <v>0.67296302876547598</v>
      </c>
      <c r="G1925">
        <v>0.50767984567509405</v>
      </c>
      <c r="H1925">
        <v>0.26667521832032598</v>
      </c>
      <c r="I1925">
        <v>0.22162074741951701</v>
      </c>
      <c r="J1925">
        <v>0.204045524547629</v>
      </c>
      <c r="K1925">
        <v>0.162304104508007</v>
      </c>
      <c r="L1925">
        <v>820.86350123852003</v>
      </c>
      <c r="M1925">
        <v>14.8907074636196</v>
      </c>
      <c r="N1925">
        <v>56.249002586191402</v>
      </c>
      <c r="O1925">
        <v>54.160339740307201</v>
      </c>
      <c r="P1925">
        <v>-5.9901640499330298E-2</v>
      </c>
      <c r="Q1925">
        <v>0.12859594118849399</v>
      </c>
      <c r="R1925">
        <v>0.99539145612054203</v>
      </c>
      <c r="S1925" t="s">
        <v>8928</v>
      </c>
      <c r="T1925" t="s">
        <v>14004</v>
      </c>
      <c r="U1925" t="s">
        <v>14004</v>
      </c>
      <c r="V1925" t="s">
        <v>14004</v>
      </c>
      <c r="W1925" t="s">
        <v>15893</v>
      </c>
      <c r="X1925">
        <v>11</v>
      </c>
      <c r="Y1925" t="s">
        <v>22814</v>
      </c>
      <c r="Z1925" t="s">
        <v>29635</v>
      </c>
      <c r="AA1925">
        <v>0.58473074791076696</v>
      </c>
      <c r="AB1925" t="str">
        <f>HYPERLINK("Melting_Curves/meltCurve_O96000_NDUFB10.pdf", "Melting_Curves/meltCurve_O96000_NDUFB10.pdf")</f>
        <v>Melting_Curves/meltCurve_O96000_NDUFB10.pdf</v>
      </c>
    </row>
    <row r="1926" spans="1:28" x14ac:dyDescent="0.25">
      <c r="A1926" t="s">
        <v>1930</v>
      </c>
      <c r="B1926">
        <v>0.99999676499088797</v>
      </c>
      <c r="C1926">
        <v>0.92483308905692296</v>
      </c>
      <c r="D1926">
        <v>0.77015953768772105</v>
      </c>
      <c r="E1926">
        <v>0.394707002903398</v>
      </c>
      <c r="F1926">
        <v>0.22789120853651701</v>
      </c>
      <c r="G1926">
        <v>0.135354383950781</v>
      </c>
      <c r="H1926">
        <v>7.9715771562502702E-2</v>
      </c>
      <c r="I1926">
        <v>6.5687939386626204E-2</v>
      </c>
      <c r="J1926">
        <v>7.2187970328131595E-2</v>
      </c>
      <c r="K1926">
        <v>6.1880119886994198E-2</v>
      </c>
      <c r="L1926">
        <v>947.66806552520097</v>
      </c>
      <c r="M1926">
        <v>19.585134352096599</v>
      </c>
      <c r="N1926">
        <v>48.7528165832925</v>
      </c>
      <c r="O1926">
        <v>47.891122021458003</v>
      </c>
      <c r="P1926">
        <v>-9.5256784119617202E-2</v>
      </c>
      <c r="Q1926">
        <v>6.8315225679779407E-2</v>
      </c>
      <c r="R1926">
        <v>0.99799920444146295</v>
      </c>
      <c r="S1926" t="s">
        <v>8929</v>
      </c>
      <c r="T1926" t="s">
        <v>14004</v>
      </c>
      <c r="U1926" t="s">
        <v>14004</v>
      </c>
      <c r="V1926" t="s">
        <v>14004</v>
      </c>
      <c r="W1926" t="s">
        <v>15894</v>
      </c>
      <c r="X1926">
        <v>9</v>
      </c>
      <c r="Y1926" t="s">
        <v>22815</v>
      </c>
      <c r="Z1926" t="s">
        <v>29636</v>
      </c>
      <c r="AA1926">
        <v>0.34252233588022252</v>
      </c>
      <c r="AB1926" t="str">
        <f>HYPERLINK("Melting_Curves/meltCurve_O96006_ZBED1.pdf", "Melting_Curves/meltCurve_O96006_ZBED1.pdf")</f>
        <v>Melting_Curves/meltCurve_O96006_ZBED1.pdf</v>
      </c>
    </row>
    <row r="1927" spans="1:28" x14ac:dyDescent="0.25">
      <c r="A1927" t="s">
        <v>1931</v>
      </c>
      <c r="B1927">
        <v>0.99999676499088797</v>
      </c>
      <c r="C1927">
        <v>0.98258944517034197</v>
      </c>
      <c r="D1927">
        <v>0.97437718335561196</v>
      </c>
      <c r="E1927">
        <v>1.2155703392968999</v>
      </c>
      <c r="F1927">
        <v>0.96646559977845103</v>
      </c>
      <c r="G1927">
        <v>0.61499237888358005</v>
      </c>
      <c r="H1927">
        <v>0.40521183215885598</v>
      </c>
      <c r="I1927">
        <v>0.40951623028452999</v>
      </c>
      <c r="J1927">
        <v>0.38055876980317699</v>
      </c>
      <c r="K1927">
        <v>0.62300942414709803</v>
      </c>
      <c r="L1927">
        <v>3556.9200519548499</v>
      </c>
      <c r="M1927">
        <v>63.529720148008202</v>
      </c>
      <c r="N1927">
        <v>58.179253598887797</v>
      </c>
      <c r="O1927">
        <v>55.932887941734599</v>
      </c>
      <c r="P1927">
        <v>-0.154955314889897</v>
      </c>
      <c r="Q1927">
        <v>0.45429664412161103</v>
      </c>
      <c r="R1927">
        <v>0.89658472876931505</v>
      </c>
      <c r="S1927" t="s">
        <v>8930</v>
      </c>
      <c r="T1927" t="s">
        <v>14004</v>
      </c>
      <c r="U1927" t="s">
        <v>14004</v>
      </c>
      <c r="V1927" t="s">
        <v>14004</v>
      </c>
      <c r="W1927" t="s">
        <v>15895</v>
      </c>
      <c r="X1927">
        <v>6</v>
      </c>
      <c r="Y1927" t="s">
        <v>22816</v>
      </c>
      <c r="Z1927" t="s">
        <v>29637</v>
      </c>
      <c r="AA1927">
        <v>0.74595826649128938</v>
      </c>
      <c r="AB1927" t="str">
        <f>HYPERLINK("Melting_Curves/meltCurve_O96007_MOCS2.pdf", "Melting_Curves/meltCurve_O96007_MOCS2.pdf")</f>
        <v>Melting_Curves/meltCurve_O96007_MOCS2.pdf</v>
      </c>
    </row>
    <row r="1928" spans="1:28" x14ac:dyDescent="0.25">
      <c r="A1928" t="s">
        <v>1932</v>
      </c>
      <c r="B1928">
        <v>0.99999676499088797</v>
      </c>
      <c r="C1928">
        <v>0.99795641703418703</v>
      </c>
      <c r="D1928">
        <v>1.0621447758847999</v>
      </c>
      <c r="E1928">
        <v>1.1105630865542699</v>
      </c>
      <c r="F1928">
        <v>1.1905556213144901</v>
      </c>
      <c r="G1928">
        <v>1.077926320018</v>
      </c>
      <c r="H1928">
        <v>0.89594216215158395</v>
      </c>
      <c r="I1928">
        <v>0.73643493574796504</v>
      </c>
      <c r="J1928">
        <v>0.632845595270357</v>
      </c>
      <c r="K1928">
        <v>0.77307033513272705</v>
      </c>
      <c r="L1928">
        <v>4430.7759934936903</v>
      </c>
      <c r="M1928">
        <v>72.240023972331002</v>
      </c>
      <c r="O1928">
        <v>61.287123526330397</v>
      </c>
      <c r="P1928">
        <v>-8.5783189494077303E-2</v>
      </c>
      <c r="Q1928">
        <v>0.708892399917468</v>
      </c>
      <c r="R1928">
        <v>0.76891840869424699</v>
      </c>
      <c r="S1928" t="s">
        <v>8931</v>
      </c>
      <c r="T1928" t="s">
        <v>14004</v>
      </c>
      <c r="U1928" t="s">
        <v>14004</v>
      </c>
      <c r="V1928" t="s">
        <v>14004</v>
      </c>
      <c r="W1928" t="s">
        <v>15896</v>
      </c>
      <c r="X1928">
        <v>16</v>
      </c>
      <c r="Y1928" t="s">
        <v>22817</v>
      </c>
      <c r="Z1928" t="s">
        <v>29638</v>
      </c>
      <c r="AA1928">
        <v>0.91628431883154171</v>
      </c>
      <c r="AB1928" t="str">
        <f>HYPERLINK("Melting_Curves/meltCurve_O96008_TOMM40.pdf", "Melting_Curves/meltCurve_O96008_TOMM40.pdf")</f>
        <v>Melting_Curves/meltCurve_O96008_TOMM40.pdf</v>
      </c>
    </row>
    <row r="1929" spans="1:28" x14ac:dyDescent="0.25">
      <c r="A1929" t="s">
        <v>1933</v>
      </c>
      <c r="B1929">
        <v>0.99999676499088797</v>
      </c>
      <c r="C1929">
        <v>1.0099856841902499</v>
      </c>
      <c r="D1929">
        <v>1.0805958111812699</v>
      </c>
      <c r="E1929">
        <v>1.0854538710564601</v>
      </c>
      <c r="F1929">
        <v>1.1206164978239599</v>
      </c>
      <c r="G1929">
        <v>0.93425202661911599</v>
      </c>
      <c r="H1929">
        <v>0.73916776002090001</v>
      </c>
      <c r="I1929">
        <v>0.69018426374810005</v>
      </c>
      <c r="J1929">
        <v>0.56820386012597801</v>
      </c>
      <c r="K1929">
        <v>0.828421223602129</v>
      </c>
      <c r="L1929">
        <v>3171.7447300967101</v>
      </c>
      <c r="M1929">
        <v>54.360120635797401</v>
      </c>
      <c r="O1929">
        <v>58.268101618227</v>
      </c>
      <c r="P1929">
        <v>-7.0507335413959094E-2</v>
      </c>
      <c r="Q1929">
        <v>0.69769558775002505</v>
      </c>
      <c r="R1929">
        <v>0.80520534682481504</v>
      </c>
      <c r="S1929" t="s">
        <v>8932</v>
      </c>
      <c r="T1929" t="s">
        <v>14004</v>
      </c>
      <c r="U1929" t="s">
        <v>14004</v>
      </c>
      <c r="V1929" t="s">
        <v>14004</v>
      </c>
      <c r="W1929" t="s">
        <v>15897</v>
      </c>
      <c r="X1929">
        <v>10</v>
      </c>
      <c r="Y1929" t="s">
        <v>22818</v>
      </c>
      <c r="Z1929" t="s">
        <v>29639</v>
      </c>
      <c r="AA1929">
        <v>0.88322967296754684</v>
      </c>
      <c r="AB1929" t="str">
        <f>HYPERLINK("Melting_Curves/meltCurve_O96011_PEX11B.pdf", "Melting_Curves/meltCurve_O96011_PEX11B.pdf")</f>
        <v>Melting_Curves/meltCurve_O96011_PEX11B.pdf</v>
      </c>
    </row>
    <row r="1930" spans="1:28" x14ac:dyDescent="0.25">
      <c r="A1930" t="s">
        <v>1934</v>
      </c>
      <c r="B1930">
        <v>0.99999676499088797</v>
      </c>
      <c r="C1930">
        <v>0.89267570050213096</v>
      </c>
      <c r="D1930">
        <v>0.924369591852228</v>
      </c>
      <c r="E1930">
        <v>0.90800345248248404</v>
      </c>
      <c r="F1930">
        <v>0.33692165035607702</v>
      </c>
      <c r="G1930">
        <v>0.171569142925695</v>
      </c>
      <c r="H1930">
        <v>8.6982377151527596E-2</v>
      </c>
      <c r="I1930">
        <v>8.8310732010009496E-2</v>
      </c>
      <c r="J1930">
        <v>8.5217362965362906E-2</v>
      </c>
      <c r="K1930">
        <v>7.1406616284046598E-2</v>
      </c>
      <c r="L1930">
        <v>2103.2086093213302</v>
      </c>
      <c r="M1930">
        <v>40.4416069246276</v>
      </c>
      <c r="N1930">
        <v>52.2690657178495</v>
      </c>
      <c r="O1930">
        <v>51.879392764271302</v>
      </c>
      <c r="P1930">
        <v>-0.17694185489120001</v>
      </c>
      <c r="Q1930">
        <v>9.2062164300867194E-2</v>
      </c>
      <c r="R1930">
        <v>0.98700807506463695</v>
      </c>
      <c r="S1930" t="s">
        <v>8933</v>
      </c>
      <c r="T1930" t="s">
        <v>14004</v>
      </c>
      <c r="U1930" t="s">
        <v>14004</v>
      </c>
      <c r="V1930" t="s">
        <v>14004</v>
      </c>
      <c r="W1930" t="s">
        <v>15898</v>
      </c>
      <c r="X1930">
        <v>11</v>
      </c>
      <c r="Y1930" t="s">
        <v>22819</v>
      </c>
      <c r="Z1930" t="s">
        <v>29640</v>
      </c>
      <c r="AA1930">
        <v>0.45861175933478299</v>
      </c>
      <c r="AB1930" t="str">
        <f>HYPERLINK("Melting_Curves/meltCurve_O96013_PAK4.pdf", "Melting_Curves/meltCurve_O96013_PAK4.pdf")</f>
        <v>Melting_Curves/meltCurve_O96013_PAK4.pdf</v>
      </c>
    </row>
    <row r="1931" spans="1:28" x14ac:dyDescent="0.25">
      <c r="A1931" t="s">
        <v>1935</v>
      </c>
      <c r="B1931">
        <v>0.99999676499088797</v>
      </c>
      <c r="C1931">
        <v>0.96598548334826895</v>
      </c>
      <c r="D1931">
        <v>0.97364573412816802</v>
      </c>
      <c r="E1931">
        <v>0.94787318022621803</v>
      </c>
      <c r="F1931">
        <v>0.44581773371767902</v>
      </c>
      <c r="G1931">
        <v>0.209091066268907</v>
      </c>
      <c r="H1931">
        <v>0.10885890007561901</v>
      </c>
      <c r="I1931">
        <v>8.3369297690832303E-2</v>
      </c>
      <c r="J1931">
        <v>8.2776138501294894E-2</v>
      </c>
      <c r="K1931">
        <v>7.73820145019702E-2</v>
      </c>
      <c r="L1931">
        <v>1872.8843277440801</v>
      </c>
      <c r="M1931">
        <v>35.537865517487397</v>
      </c>
      <c r="N1931">
        <v>53.012456997642403</v>
      </c>
      <c r="O1931">
        <v>52.535069440588103</v>
      </c>
      <c r="P1931">
        <v>-0.15318621689225401</v>
      </c>
      <c r="Q1931">
        <v>9.4192168684609806E-2</v>
      </c>
      <c r="R1931">
        <v>0.99591567570843398</v>
      </c>
      <c r="S1931" t="s">
        <v>8934</v>
      </c>
      <c r="T1931" t="s">
        <v>14004</v>
      </c>
      <c r="U1931" t="s">
        <v>14004</v>
      </c>
      <c r="V1931" t="s">
        <v>14004</v>
      </c>
      <c r="W1931" t="s">
        <v>15899</v>
      </c>
      <c r="X1931">
        <v>17</v>
      </c>
      <c r="Y1931" t="s">
        <v>22820</v>
      </c>
      <c r="Z1931" t="s">
        <v>29641</v>
      </c>
      <c r="AA1931">
        <v>0.48186254166538389</v>
      </c>
      <c r="AB1931" t="str">
        <f>HYPERLINK("Melting_Curves/meltCurve_O96017_CHEK2.pdf", "Melting_Curves/meltCurve_O96017_CHEK2.pdf")</f>
        <v>Melting_Curves/meltCurve_O96017_CHEK2.pdf</v>
      </c>
    </row>
    <row r="1932" spans="1:28" x14ac:dyDescent="0.25">
      <c r="A1932" t="s">
        <v>1936</v>
      </c>
      <c r="B1932">
        <v>0.99999676499088797</v>
      </c>
      <c r="C1932">
        <v>0.81828504968042803</v>
      </c>
      <c r="D1932">
        <v>0.57321634454516601</v>
      </c>
      <c r="E1932">
        <v>0.30397331163851099</v>
      </c>
      <c r="F1932">
        <v>0.24618731305809999</v>
      </c>
      <c r="G1932">
        <v>0.202277514785551</v>
      </c>
      <c r="H1932">
        <v>0.10934650405411001</v>
      </c>
      <c r="I1932">
        <v>0.153344048331544</v>
      </c>
      <c r="J1932">
        <v>0.13866991747674901</v>
      </c>
      <c r="K1932">
        <v>0.128830139955279</v>
      </c>
      <c r="L1932">
        <v>864.80544167840401</v>
      </c>
      <c r="M1932">
        <v>18.7690825759924</v>
      </c>
      <c r="N1932">
        <v>46.913433640164698</v>
      </c>
      <c r="O1932">
        <v>45.562575977228001</v>
      </c>
      <c r="P1932">
        <v>-8.8330073116540397E-2</v>
      </c>
      <c r="Q1932">
        <v>0.14233905248669501</v>
      </c>
      <c r="R1932">
        <v>0.99174055010564399</v>
      </c>
      <c r="S1932" t="s">
        <v>8935</v>
      </c>
      <c r="T1932" t="s">
        <v>14004</v>
      </c>
      <c r="U1932" t="s">
        <v>14004</v>
      </c>
      <c r="V1932" t="s">
        <v>14004</v>
      </c>
      <c r="W1932" t="s">
        <v>15900</v>
      </c>
      <c r="X1932">
        <v>1</v>
      </c>
      <c r="Y1932" t="s">
        <v>22821</v>
      </c>
      <c r="Z1932" t="s">
        <v>29642</v>
      </c>
      <c r="AA1932">
        <v>0.3312834084848042</v>
      </c>
      <c r="AB1932" t="str">
        <f>HYPERLINK("Melting_Curves/meltCurve_O96018_APBA3.pdf", "Melting_Curves/meltCurve_O96018_APBA3.pdf")</f>
        <v>Melting_Curves/meltCurve_O96018_APBA3.pdf</v>
      </c>
    </row>
    <row r="1933" spans="1:28" x14ac:dyDescent="0.25">
      <c r="A1933" t="s">
        <v>1937</v>
      </c>
      <c r="B1933">
        <v>0.99999676499088797</v>
      </c>
      <c r="C1933">
        <v>0.95463310021576098</v>
      </c>
      <c r="D1933">
        <v>0.85460098689670005</v>
      </c>
      <c r="E1933">
        <v>0.869902077643668</v>
      </c>
      <c r="F1933">
        <v>0.55794247308905498</v>
      </c>
      <c r="G1933">
        <v>0.38167908742728102</v>
      </c>
      <c r="H1933">
        <v>0.226886284678605</v>
      </c>
      <c r="I1933">
        <v>0.14882493223089699</v>
      </c>
      <c r="J1933">
        <v>0.109962605897472</v>
      </c>
      <c r="K1933">
        <v>8.7841682773261001E-2</v>
      </c>
      <c r="L1933">
        <v>738.03571332100603</v>
      </c>
      <c r="M1933">
        <v>13.5885564583307</v>
      </c>
      <c r="N1933">
        <v>54.667603537835099</v>
      </c>
      <c r="O1933">
        <v>53.177240758769699</v>
      </c>
      <c r="P1933">
        <v>-6.1197749741548201E-2</v>
      </c>
      <c r="Q1933">
        <v>4.2181002317633401E-2</v>
      </c>
      <c r="R1933">
        <v>0.99031499594181105</v>
      </c>
      <c r="S1933" t="s">
        <v>8936</v>
      </c>
      <c r="T1933" t="s">
        <v>14004</v>
      </c>
      <c r="U1933" t="s">
        <v>14004</v>
      </c>
      <c r="V1933" t="s">
        <v>14004</v>
      </c>
      <c r="W1933" t="s">
        <v>15901</v>
      </c>
      <c r="X1933">
        <v>15</v>
      </c>
      <c r="Y1933" t="s">
        <v>22822</v>
      </c>
      <c r="Z1933" t="s">
        <v>29643</v>
      </c>
      <c r="AA1933">
        <v>0.52071418506379175</v>
      </c>
      <c r="AB1933" t="str">
        <f>HYPERLINK("Melting_Curves/meltCurve_O96019_ACTL6A.pdf", "Melting_Curves/meltCurve_O96019_ACTL6A.pdf")</f>
        <v>Melting_Curves/meltCurve_O96019_ACTL6A.pdf</v>
      </c>
    </row>
    <row r="1934" spans="1:28" x14ac:dyDescent="0.25">
      <c r="A1934" t="s">
        <v>1938</v>
      </c>
      <c r="B1934">
        <v>0.99999676499088797</v>
      </c>
      <c r="C1934">
        <v>0.94578986451465596</v>
      </c>
      <c r="D1934">
        <v>0.81926291882577496</v>
      </c>
      <c r="E1934">
        <v>0.67156568978665898</v>
      </c>
      <c r="F1934">
        <v>0.35160237826002699</v>
      </c>
      <c r="G1934">
        <v>0.290070161494006</v>
      </c>
      <c r="H1934">
        <v>0.191018842298876</v>
      </c>
      <c r="I1934">
        <v>0.11062920387079</v>
      </c>
      <c r="J1934">
        <v>0.22526226614488501</v>
      </c>
      <c r="K1934">
        <v>0.11634834256224</v>
      </c>
      <c r="L1934">
        <v>805.40184674503098</v>
      </c>
      <c r="M1934">
        <v>15.965960992415599</v>
      </c>
      <c r="N1934">
        <v>51.467104407548497</v>
      </c>
      <c r="O1934">
        <v>49.673465007818002</v>
      </c>
      <c r="P1934">
        <v>-6.9442414930304799E-2</v>
      </c>
      <c r="Q1934">
        <v>0.135868475318734</v>
      </c>
      <c r="R1934">
        <v>0.98617941982442203</v>
      </c>
      <c r="S1934" t="s">
        <v>8937</v>
      </c>
      <c r="T1934" t="s">
        <v>14004</v>
      </c>
      <c r="U1934" t="s">
        <v>14004</v>
      </c>
      <c r="V1934" t="s">
        <v>14004</v>
      </c>
      <c r="W1934" t="s">
        <v>15902</v>
      </c>
      <c r="X1934">
        <v>2</v>
      </c>
      <c r="Y1934" t="s">
        <v>22823</v>
      </c>
      <c r="Z1934" t="s">
        <v>29644</v>
      </c>
      <c r="AA1934">
        <v>0.45494783505827691</v>
      </c>
      <c r="AB1934" t="str">
        <f>HYPERLINK("Melting_Curves/meltCurve_O96028_5_WHSC1.pdf", "Melting_Curves/meltCurve_O96028_5_WHSC1.pdf")</f>
        <v>Melting_Curves/meltCurve_O96028_5_WHSC1.pdf</v>
      </c>
    </row>
    <row r="1935" spans="1:28" x14ac:dyDescent="0.25">
      <c r="A1935" t="s">
        <v>1939</v>
      </c>
      <c r="B1935">
        <v>0.99999676499088797</v>
      </c>
      <c r="C1935">
        <v>0.98842548623516302</v>
      </c>
      <c r="D1935">
        <v>0.99036961227935405</v>
      </c>
      <c r="E1935">
        <v>0.92706560941134697</v>
      </c>
      <c r="F1935">
        <v>0.76061972698298197</v>
      </c>
      <c r="G1935">
        <v>0.41061279780975202</v>
      </c>
      <c r="H1935">
        <v>0.16457116872900801</v>
      </c>
      <c r="I1935">
        <v>0.101135250005618</v>
      </c>
      <c r="J1935">
        <v>8.8560465153801504E-2</v>
      </c>
      <c r="K1935">
        <v>8.1114394982205795E-2</v>
      </c>
      <c r="L1935">
        <v>1316.49100661277</v>
      </c>
      <c r="M1935">
        <v>23.730235048606399</v>
      </c>
      <c r="N1935">
        <v>55.825532805051601</v>
      </c>
      <c r="O1935">
        <v>55.087880247349702</v>
      </c>
      <c r="P1935">
        <v>-0.10028682151875599</v>
      </c>
      <c r="Q1935">
        <v>6.8783038698243495E-2</v>
      </c>
      <c r="R1935">
        <v>0.99952853222919402</v>
      </c>
      <c r="S1935" t="s">
        <v>8938</v>
      </c>
      <c r="T1935" t="s">
        <v>14004</v>
      </c>
      <c r="U1935" t="s">
        <v>14004</v>
      </c>
      <c r="V1935" t="s">
        <v>14004</v>
      </c>
      <c r="W1935" t="s">
        <v>15903</v>
      </c>
      <c r="X1935">
        <v>6</v>
      </c>
      <c r="Y1935" t="s">
        <v>22816</v>
      </c>
      <c r="Z1935" t="s">
        <v>29645</v>
      </c>
      <c r="AA1935">
        <v>0.55859042348854071</v>
      </c>
      <c r="AB1935" t="str">
        <f>HYPERLINK("Melting_Curves/meltCurve_O96033_MOCS2.pdf", "Melting_Curves/meltCurve_O96033_MOCS2.pdf")</f>
        <v>Melting_Curves/meltCurve_O96033_MOCS2.pdf</v>
      </c>
    </row>
    <row r="1936" spans="1:28" x14ac:dyDescent="0.25">
      <c r="A1936" t="s">
        <v>1940</v>
      </c>
      <c r="B1936">
        <v>0.99999676499088797</v>
      </c>
      <c r="C1936">
        <v>0.96737814331208505</v>
      </c>
      <c r="D1936">
        <v>1.0384391484828599</v>
      </c>
      <c r="E1936">
        <v>1.27090758477031</v>
      </c>
      <c r="F1936">
        <v>1.0316731865647699</v>
      </c>
      <c r="G1936">
        <v>1.00905827379697</v>
      </c>
      <c r="H1936">
        <v>0.76198454775125202</v>
      </c>
      <c r="I1936">
        <v>0.50899752175423896</v>
      </c>
      <c r="J1936">
        <v>0.43251387404653902</v>
      </c>
      <c r="K1936">
        <v>0.685462100177614</v>
      </c>
      <c r="L1936">
        <v>15000</v>
      </c>
      <c r="M1936">
        <v>246.79078333809801</v>
      </c>
      <c r="O1936">
        <v>60.776220931276399</v>
      </c>
      <c r="P1936">
        <v>-0.46461503999248699</v>
      </c>
      <c r="Q1936">
        <v>0.542324018920603</v>
      </c>
      <c r="R1936">
        <v>0.82387457061825198</v>
      </c>
      <c r="S1936" t="s">
        <v>8939</v>
      </c>
      <c r="T1936" t="s">
        <v>14004</v>
      </c>
      <c r="U1936" t="s">
        <v>14004</v>
      </c>
      <c r="V1936" t="s">
        <v>14004</v>
      </c>
      <c r="W1936" t="s">
        <v>15904</v>
      </c>
      <c r="X1936">
        <v>5</v>
      </c>
      <c r="Y1936" t="s">
        <v>22824</v>
      </c>
      <c r="Z1936" t="s">
        <v>29646</v>
      </c>
      <c r="AA1936">
        <v>0.85939448633331483</v>
      </c>
      <c r="AB1936" t="str">
        <f>HYPERLINK("Melting_Curves/meltCurve_P00167_2_CYB5A.pdf", "Melting_Curves/meltCurve_P00167_2_CYB5A.pdf")</f>
        <v>Melting_Curves/meltCurve_P00167_2_CYB5A.pdf</v>
      </c>
    </row>
    <row r="1937" spans="1:28" x14ac:dyDescent="0.25">
      <c r="A1937" t="s">
        <v>1941</v>
      </c>
      <c r="B1937">
        <v>0.99999676499088797</v>
      </c>
      <c r="C1937">
        <v>1.06897399549098</v>
      </c>
      <c r="D1937">
        <v>0.96326092056328305</v>
      </c>
      <c r="E1937">
        <v>1.1333438690411</v>
      </c>
      <c r="F1937">
        <v>0.966492004778984</v>
      </c>
      <c r="G1937">
        <v>1.0893505488575701</v>
      </c>
      <c r="H1937">
        <v>0.83379553172989596</v>
      </c>
      <c r="I1937">
        <v>0.80255562556110005</v>
      </c>
      <c r="J1937">
        <v>0.49576978340226702</v>
      </c>
      <c r="K1937">
        <v>0.33729932746448499</v>
      </c>
      <c r="L1937">
        <v>1577.5893091569201</v>
      </c>
      <c r="M1937">
        <v>23.711697521729501</v>
      </c>
      <c r="N1937">
        <v>67.343796730717798</v>
      </c>
      <c r="O1937">
        <v>66.064300180902094</v>
      </c>
      <c r="P1937">
        <v>-7.8578304404483296E-2</v>
      </c>
      <c r="Q1937">
        <v>0.124291147275176</v>
      </c>
      <c r="R1937">
        <v>0.92699972408334996</v>
      </c>
      <c r="S1937" t="s">
        <v>8940</v>
      </c>
      <c r="T1937" t="s">
        <v>14004</v>
      </c>
      <c r="U1937" t="s">
        <v>14004</v>
      </c>
      <c r="V1937" t="s">
        <v>14004</v>
      </c>
      <c r="W1937" t="s">
        <v>15905</v>
      </c>
      <c r="X1937">
        <v>1</v>
      </c>
      <c r="Y1937" t="s">
        <v>22825</v>
      </c>
      <c r="Z1937" t="s">
        <v>29647</v>
      </c>
      <c r="AA1937">
        <v>0.88331433345177546</v>
      </c>
      <c r="AB1937" t="str">
        <f>HYPERLINK("Melting_Curves/meltCurve_P00326_ADH1C.pdf", "Melting_Curves/meltCurve_P00326_ADH1C.pdf")</f>
        <v>Melting_Curves/meltCurve_P00326_ADH1C.pdf</v>
      </c>
    </row>
    <row r="1938" spans="1:28" x14ac:dyDescent="0.25">
      <c r="A1938" t="s">
        <v>1942</v>
      </c>
      <c r="B1938">
        <v>0.99999676499088797</v>
      </c>
      <c r="C1938">
        <v>0.92016542695590997</v>
      </c>
      <c r="D1938">
        <v>0.89166087980075304</v>
      </c>
      <c r="E1938">
        <v>0.77742737157633701</v>
      </c>
      <c r="F1938">
        <v>0.78776350547849505</v>
      </c>
      <c r="G1938">
        <v>0.633646500742854</v>
      </c>
      <c r="H1938">
        <v>0.40758451858774503</v>
      </c>
      <c r="I1938">
        <v>0.241494488565203</v>
      </c>
      <c r="J1938">
        <v>0.129028234814411</v>
      </c>
      <c r="K1938">
        <v>8.3002583014856399E-2</v>
      </c>
      <c r="L1938">
        <v>667.90909046298896</v>
      </c>
      <c r="M1938">
        <v>11.478250528834799</v>
      </c>
      <c r="N1938">
        <v>58.189081358987401</v>
      </c>
      <c r="O1938">
        <v>56.506941403168902</v>
      </c>
      <c r="P1938">
        <v>-5.0797019793272002E-2</v>
      </c>
      <c r="Q1938">
        <v>0</v>
      </c>
      <c r="R1938">
        <v>0.97215298839562803</v>
      </c>
      <c r="S1938" t="s">
        <v>8941</v>
      </c>
      <c r="T1938" t="s">
        <v>14004</v>
      </c>
      <c r="U1938" t="s">
        <v>14004</v>
      </c>
      <c r="V1938" t="s">
        <v>14004</v>
      </c>
      <c r="W1938" t="s">
        <v>15906</v>
      </c>
      <c r="X1938">
        <v>33</v>
      </c>
      <c r="Y1938" t="s">
        <v>22826</v>
      </c>
      <c r="Z1938" t="s">
        <v>29648</v>
      </c>
      <c r="AA1938">
        <v>0.61759211294831073</v>
      </c>
      <c r="AB1938" t="str">
        <f>HYPERLINK("Melting_Curves/meltCurve_P00338_LDHA.pdf", "Melting_Curves/meltCurve_P00338_LDHA.pdf")</f>
        <v>Melting_Curves/meltCurve_P00338_LDHA.pdf</v>
      </c>
    </row>
    <row r="1939" spans="1:28" x14ac:dyDescent="0.25">
      <c r="A1939" t="s">
        <v>1943</v>
      </c>
      <c r="B1939">
        <v>0.99999676499088797</v>
      </c>
      <c r="C1939">
        <v>1.0260270027376199</v>
      </c>
      <c r="D1939">
        <v>0.97472426309672899</v>
      </c>
      <c r="E1939">
        <v>1.0639523114004401</v>
      </c>
      <c r="F1939">
        <v>0.83006889386016203</v>
      </c>
      <c r="G1939">
        <v>1.01156098404135</v>
      </c>
      <c r="H1939">
        <v>0.92270287010557395</v>
      </c>
      <c r="I1939">
        <v>0.61353299668454597</v>
      </c>
      <c r="J1939">
        <v>0.76670440422660002</v>
      </c>
      <c r="K1939">
        <v>0.30999156552152501</v>
      </c>
      <c r="L1939">
        <v>1126.71766638862</v>
      </c>
      <c r="M1939">
        <v>16.474017439425801</v>
      </c>
      <c r="N1939">
        <v>68.393619065456207</v>
      </c>
      <c r="O1939">
        <v>67.409663267848501</v>
      </c>
      <c r="P1939">
        <v>-6.1100918881898697E-2</v>
      </c>
      <c r="Q1939">
        <v>0</v>
      </c>
      <c r="R1939">
        <v>0.80072493729837602</v>
      </c>
      <c r="S1939" t="s">
        <v>8942</v>
      </c>
      <c r="T1939" t="s">
        <v>14004</v>
      </c>
      <c r="U1939" t="s">
        <v>14004</v>
      </c>
      <c r="V1939" t="s">
        <v>14004</v>
      </c>
      <c r="W1939" t="s">
        <v>15907</v>
      </c>
      <c r="X1939">
        <v>4</v>
      </c>
      <c r="Y1939" t="s">
        <v>22827</v>
      </c>
      <c r="Z1939" t="s">
        <v>29649</v>
      </c>
      <c r="AA1939">
        <v>0.88637145192984801</v>
      </c>
      <c r="AB1939" t="str">
        <f>HYPERLINK("Melting_Curves/meltCurve_P00352_ALDH1A1.pdf", "Melting_Curves/meltCurve_P00352_ALDH1A1.pdf")</f>
        <v>Melting_Curves/meltCurve_P00352_ALDH1A1.pdf</v>
      </c>
    </row>
    <row r="1940" spans="1:28" x14ac:dyDescent="0.25">
      <c r="A1940" t="s">
        <v>1944</v>
      </c>
      <c r="B1940">
        <v>0.99999676499088797</v>
      </c>
      <c r="C1940">
        <v>1.02937717042183</v>
      </c>
      <c r="D1940">
        <v>1.0416372929926001</v>
      </c>
      <c r="E1940">
        <v>1.11434759889974</v>
      </c>
      <c r="F1940">
        <v>1.0963432534711</v>
      </c>
      <c r="G1940">
        <v>1.0192924247049699</v>
      </c>
      <c r="H1940">
        <v>0.65488503380906704</v>
      </c>
      <c r="I1940">
        <v>0.18393455395955</v>
      </c>
      <c r="J1940">
        <v>0.12799897463830801</v>
      </c>
      <c r="K1940">
        <v>9.8782669875618595E-2</v>
      </c>
      <c r="L1940">
        <v>3604.6844819707399</v>
      </c>
      <c r="M1940">
        <v>58.821788875883399</v>
      </c>
      <c r="N1940">
        <v>61.546937634247797</v>
      </c>
      <c r="O1940">
        <v>61.210740608375197</v>
      </c>
      <c r="P1940">
        <v>-0.21332370791635999</v>
      </c>
      <c r="Q1940">
        <v>0.11205038179523701</v>
      </c>
      <c r="R1940">
        <v>0.98456393607480897</v>
      </c>
      <c r="S1940" t="s">
        <v>8943</v>
      </c>
      <c r="T1940" t="s">
        <v>14004</v>
      </c>
      <c r="U1940" t="s">
        <v>14004</v>
      </c>
      <c r="V1940" t="s">
        <v>14004</v>
      </c>
      <c r="W1940" t="s">
        <v>15908</v>
      </c>
      <c r="X1940">
        <v>32</v>
      </c>
      <c r="Y1940" t="s">
        <v>22828</v>
      </c>
      <c r="Z1940" t="s">
        <v>29650</v>
      </c>
      <c r="AA1940">
        <v>0.74364957623374783</v>
      </c>
      <c r="AB1940" t="str">
        <f>HYPERLINK("Melting_Curves/meltCurve_P00367_GLUD1.pdf", "Melting_Curves/meltCurve_P00367_GLUD1.pdf")</f>
        <v>Melting_Curves/meltCurve_P00367_GLUD1.pdf</v>
      </c>
    </row>
    <row r="1941" spans="1:28" x14ac:dyDescent="0.25">
      <c r="A1941" t="s">
        <v>1945</v>
      </c>
      <c r="B1941">
        <v>0.99999676499088797</v>
      </c>
      <c r="C1941">
        <v>0.805139443156759</v>
      </c>
      <c r="D1941">
        <v>0.55144413375696999</v>
      </c>
      <c r="E1941">
        <v>0.240674369901064</v>
      </c>
      <c r="F1941">
        <v>0.12834913469489501</v>
      </c>
      <c r="G1941">
        <v>9.1491975738205097E-2</v>
      </c>
      <c r="H1941">
        <v>4.4308239406297897E-2</v>
      </c>
      <c r="I1941">
        <v>5.6378011862237898E-2</v>
      </c>
      <c r="J1941">
        <v>5.3230574947614497E-2</v>
      </c>
      <c r="K1941">
        <v>3.8224461264200899E-2</v>
      </c>
      <c r="L1941">
        <v>899.85367676239503</v>
      </c>
      <c r="M1941">
        <v>19.4741737177708</v>
      </c>
      <c r="N1941">
        <v>46.456051416563902</v>
      </c>
      <c r="O1941">
        <v>45.728579092088701</v>
      </c>
      <c r="P1941">
        <v>-0.101203314876399</v>
      </c>
      <c r="Q1941">
        <v>4.9466054856606302E-2</v>
      </c>
      <c r="R1941">
        <v>0.99711551260593101</v>
      </c>
      <c r="S1941" t="s">
        <v>8944</v>
      </c>
      <c r="T1941" t="s">
        <v>14004</v>
      </c>
      <c r="U1941" t="s">
        <v>14004</v>
      </c>
      <c r="V1941" t="s">
        <v>14004</v>
      </c>
      <c r="W1941" t="s">
        <v>15909</v>
      </c>
      <c r="X1941">
        <v>9</v>
      </c>
      <c r="Y1941" t="s">
        <v>22829</v>
      </c>
      <c r="Z1941" t="s">
        <v>29651</v>
      </c>
      <c r="AA1941">
        <v>0.26154409390398042</v>
      </c>
      <c r="AB1941" t="str">
        <f>HYPERLINK("Melting_Curves/meltCurve_P00374_DHFR.pdf", "Melting_Curves/meltCurve_P00374_DHFR.pdf")</f>
        <v>Melting_Curves/meltCurve_P00374_DHFR.pdf</v>
      </c>
    </row>
    <row r="1942" spans="1:28" x14ac:dyDescent="0.25">
      <c r="A1942" t="s">
        <v>1946</v>
      </c>
      <c r="B1942">
        <v>0.99999676499088797</v>
      </c>
      <c r="C1942">
        <v>0.96441004459501301</v>
      </c>
      <c r="D1942">
        <v>0.98616759034783197</v>
      </c>
      <c r="E1942">
        <v>0.91789455171592405</v>
      </c>
      <c r="F1942">
        <v>0.737823265029939</v>
      </c>
      <c r="G1942">
        <v>0.63748679276958498</v>
      </c>
      <c r="H1942">
        <v>0.136051745318542</v>
      </c>
      <c r="I1942">
        <v>8.0171995962529205E-2</v>
      </c>
      <c r="J1942">
        <v>6.8972640776196303E-2</v>
      </c>
      <c r="K1942">
        <v>5.2740167688851099E-2</v>
      </c>
      <c r="L1942">
        <v>1137.92670890671</v>
      </c>
      <c r="M1942">
        <v>19.946480881548499</v>
      </c>
      <c r="N1942">
        <v>57.048997538248301</v>
      </c>
      <c r="O1942">
        <v>56.484869457258696</v>
      </c>
      <c r="P1942">
        <v>-8.8285311071969297E-2</v>
      </c>
      <c r="Q1942">
        <v>0</v>
      </c>
      <c r="R1942">
        <v>0.980975075928191</v>
      </c>
      <c r="S1942" t="s">
        <v>8945</v>
      </c>
      <c r="T1942" t="s">
        <v>14004</v>
      </c>
      <c r="U1942" t="s">
        <v>14004</v>
      </c>
      <c r="V1942" t="s">
        <v>14004</v>
      </c>
      <c r="W1942" t="s">
        <v>15910</v>
      </c>
      <c r="X1942">
        <v>12</v>
      </c>
      <c r="Y1942" t="s">
        <v>22830</v>
      </c>
      <c r="Z1942" t="s">
        <v>29652</v>
      </c>
      <c r="AA1942">
        <v>0.58054158369804232</v>
      </c>
      <c r="AB1942" t="str">
        <f>HYPERLINK("Melting_Curves/meltCurve_P00387_2_CYB5R3.pdf", "Melting_Curves/meltCurve_P00387_2_CYB5R3.pdf")</f>
        <v>Melting_Curves/meltCurve_P00387_2_CYB5R3.pdf</v>
      </c>
    </row>
    <row r="1943" spans="1:28" x14ac:dyDescent="0.25">
      <c r="A1943" t="s">
        <v>1947</v>
      </c>
      <c r="B1943">
        <v>0.99999676499088797</v>
      </c>
      <c r="C1943">
        <v>1.25043318769407</v>
      </c>
      <c r="D1943">
        <v>1.22858293157566</v>
      </c>
      <c r="E1943">
        <v>0.91720102181983398</v>
      </c>
      <c r="F1943">
        <v>1.31817039797041</v>
      </c>
      <c r="G1943">
        <v>0.63470533092754799</v>
      </c>
      <c r="H1943">
        <v>0.91608756634136501</v>
      </c>
      <c r="I1943">
        <v>0.69842415481562103</v>
      </c>
      <c r="J1943">
        <v>0.64744723040887897</v>
      </c>
      <c r="K1943">
        <v>0.88420532363557303</v>
      </c>
      <c r="L1943">
        <v>5218.83649506233</v>
      </c>
      <c r="M1943">
        <v>94.521498214866696</v>
      </c>
      <c r="O1943">
        <v>55.188528914678798</v>
      </c>
      <c r="P1943">
        <v>-0.104272164921986</v>
      </c>
      <c r="Q1943">
        <v>0.756473339868862</v>
      </c>
      <c r="R1943">
        <v>0.46465130569490198</v>
      </c>
      <c r="S1943" t="s">
        <v>8946</v>
      </c>
      <c r="T1943" t="s">
        <v>14004</v>
      </c>
      <c r="U1943" t="s">
        <v>14004</v>
      </c>
      <c r="V1943" t="s">
        <v>14004</v>
      </c>
      <c r="W1943" t="s">
        <v>15911</v>
      </c>
      <c r="X1943">
        <v>20</v>
      </c>
      <c r="Y1943" t="s">
        <v>22831</v>
      </c>
      <c r="Z1943" t="s">
        <v>29653</v>
      </c>
      <c r="AA1943">
        <v>0.88013280869313548</v>
      </c>
      <c r="AB1943" t="str">
        <f>HYPERLINK("Melting_Curves/meltCurve_P00390_2_GSR.pdf", "Melting_Curves/meltCurve_P00390_2_GSR.pdf")</f>
        <v>Melting_Curves/meltCurve_P00390_2_GSR.pdf</v>
      </c>
    </row>
    <row r="1944" spans="1:28" x14ac:dyDescent="0.25">
      <c r="A1944" t="s">
        <v>1948</v>
      </c>
      <c r="B1944">
        <v>0.99999676499088797</v>
      </c>
      <c r="C1944">
        <v>1.1002524449245401</v>
      </c>
      <c r="D1944">
        <v>1.05308048413703</v>
      </c>
      <c r="E1944">
        <v>1.08603773785324</v>
      </c>
      <c r="F1944">
        <v>1.04592597558798</v>
      </c>
      <c r="G1944">
        <v>1.0330413126350799</v>
      </c>
      <c r="H1944">
        <v>0.54695412054521497</v>
      </c>
      <c r="I1944">
        <v>0.39063045583010603</v>
      </c>
      <c r="J1944">
        <v>0.17228853848930401</v>
      </c>
      <c r="K1944">
        <v>9.7013022079995903E-2</v>
      </c>
      <c r="L1944">
        <v>1867.09970182397</v>
      </c>
      <c r="M1944">
        <v>30.362472443192999</v>
      </c>
      <c r="N1944">
        <v>61.985483790007301</v>
      </c>
      <c r="O1944">
        <v>61.228739432602602</v>
      </c>
      <c r="P1944">
        <v>-0.110701416414565</v>
      </c>
      <c r="Q1944">
        <v>0.107046589038407</v>
      </c>
      <c r="R1944">
        <v>0.96849792561862802</v>
      </c>
      <c r="S1944" t="s">
        <v>8947</v>
      </c>
      <c r="T1944" t="s">
        <v>14004</v>
      </c>
      <c r="U1944" t="s">
        <v>14004</v>
      </c>
      <c r="V1944" t="s">
        <v>14004</v>
      </c>
      <c r="W1944" t="s">
        <v>15912</v>
      </c>
      <c r="X1944">
        <v>5</v>
      </c>
      <c r="Y1944" t="s">
        <v>22832</v>
      </c>
      <c r="Z1944" t="s">
        <v>29654</v>
      </c>
      <c r="AA1944">
        <v>0.75134899291397728</v>
      </c>
      <c r="AB1944" t="str">
        <f>HYPERLINK("Melting_Curves/meltCurve_P00403_MT_CO2.pdf", "Melting_Curves/meltCurve_P00403_MT_CO2.pdf")</f>
        <v>Melting_Curves/meltCurve_P00403_MT_CO2.pdf</v>
      </c>
    </row>
    <row r="1945" spans="1:28" x14ac:dyDescent="0.25">
      <c r="A1945" t="s">
        <v>1949</v>
      </c>
      <c r="B1945">
        <v>0.99999676499088797</v>
      </c>
      <c r="C1945">
        <v>0.87549346891357105</v>
      </c>
      <c r="D1945">
        <v>1.05484381181311</v>
      </c>
      <c r="E1945">
        <v>0.85922273722735898</v>
      </c>
      <c r="F1945">
        <v>1.0601957138221001</v>
      </c>
      <c r="G1945">
        <v>0.51538295204837403</v>
      </c>
      <c r="H1945">
        <v>0.43938695412637402</v>
      </c>
      <c r="I1945">
        <v>0.315960143183738</v>
      </c>
      <c r="J1945">
        <v>0.28636976606389097</v>
      </c>
      <c r="K1945">
        <v>0.481645214450244</v>
      </c>
      <c r="L1945">
        <v>14127.2120188604</v>
      </c>
      <c r="M1945">
        <v>250</v>
      </c>
      <c r="N1945">
        <v>56.834877282048801</v>
      </c>
      <c r="O1945">
        <v>56.505231949782797</v>
      </c>
      <c r="P1945">
        <v>-0.68484753066368198</v>
      </c>
      <c r="Q1945">
        <v>0.38084050432057598</v>
      </c>
      <c r="R1945">
        <v>0.92095585686589199</v>
      </c>
      <c r="S1945" t="s">
        <v>8948</v>
      </c>
      <c r="T1945" t="s">
        <v>14004</v>
      </c>
      <c r="U1945" t="s">
        <v>14004</v>
      </c>
      <c r="V1945" t="s">
        <v>14004</v>
      </c>
      <c r="W1945" t="s">
        <v>15913</v>
      </c>
      <c r="X1945">
        <v>13</v>
      </c>
      <c r="Y1945" t="s">
        <v>22833</v>
      </c>
      <c r="Z1945" t="s">
        <v>29655</v>
      </c>
      <c r="AA1945">
        <v>0.72162224265289798</v>
      </c>
      <c r="AB1945" t="str">
        <f>HYPERLINK("Melting_Curves/meltCurve_P00441_SOD1.pdf", "Melting_Curves/meltCurve_P00441_SOD1.pdf")</f>
        <v>Melting_Curves/meltCurve_P00441_SOD1.pdf</v>
      </c>
    </row>
    <row r="1946" spans="1:28" x14ac:dyDescent="0.25">
      <c r="A1946" t="s">
        <v>1950</v>
      </c>
      <c r="B1946">
        <v>0.99999676499088797</v>
      </c>
      <c r="C1946">
        <v>1.0216767528391399</v>
      </c>
      <c r="D1946">
        <v>0.95839309121587601</v>
      </c>
      <c r="E1946">
        <v>0.91140531550274795</v>
      </c>
      <c r="F1946">
        <v>0.91811294949765498</v>
      </c>
      <c r="G1946">
        <v>0.77730453942896205</v>
      </c>
      <c r="H1946">
        <v>0.51727365281451798</v>
      </c>
      <c r="I1946">
        <v>0.51890134347543904</v>
      </c>
      <c r="J1946">
        <v>0.47580547884149199</v>
      </c>
      <c r="K1946">
        <v>0.415264109380934</v>
      </c>
      <c r="L1946">
        <v>1094.3667091525001</v>
      </c>
      <c r="M1946">
        <v>18.9929211028407</v>
      </c>
      <c r="N1946">
        <v>63.538197915597898</v>
      </c>
      <c r="O1946">
        <v>56.992356279635104</v>
      </c>
      <c r="P1946">
        <v>-4.8760123457828597E-2</v>
      </c>
      <c r="Q1946">
        <v>0.41476229792668401</v>
      </c>
      <c r="R1946">
        <v>0.977706508571349</v>
      </c>
      <c r="S1946" t="s">
        <v>8949</v>
      </c>
      <c r="T1946" t="s">
        <v>14004</v>
      </c>
      <c r="U1946" t="s">
        <v>14004</v>
      </c>
      <c r="V1946" t="s">
        <v>14004</v>
      </c>
      <c r="W1946" t="s">
        <v>15914</v>
      </c>
      <c r="X1946">
        <v>19</v>
      </c>
      <c r="Y1946" t="s">
        <v>22834</v>
      </c>
      <c r="Z1946" t="s">
        <v>29656</v>
      </c>
      <c r="AA1946">
        <v>0.76570363624831261</v>
      </c>
      <c r="AB1946" t="str">
        <f>HYPERLINK("Melting_Curves/meltCurve_P00491_PNP.pdf", "Melting_Curves/meltCurve_P00491_PNP.pdf")</f>
        <v>Melting_Curves/meltCurve_P00491_PNP.pdf</v>
      </c>
    </row>
    <row r="1947" spans="1:28" x14ac:dyDescent="0.25">
      <c r="A1947" t="s">
        <v>1951</v>
      </c>
      <c r="B1947">
        <v>0.99999676499088797</v>
      </c>
      <c r="C1947">
        <v>0.98318308549061195</v>
      </c>
      <c r="D1947">
        <v>0.99842713607812505</v>
      </c>
      <c r="E1947">
        <v>1.0220120906061201</v>
      </c>
      <c r="F1947">
        <v>1.0043347732169501</v>
      </c>
      <c r="G1947">
        <v>0.88813029811769195</v>
      </c>
      <c r="H1947">
        <v>0.63336538393267605</v>
      </c>
      <c r="I1947">
        <v>0.65297124791169103</v>
      </c>
      <c r="J1947">
        <v>0.55297289978707698</v>
      </c>
      <c r="K1947">
        <v>0.73816911211408898</v>
      </c>
      <c r="L1947">
        <v>14244.2387875768</v>
      </c>
      <c r="M1947">
        <v>250</v>
      </c>
      <c r="O1947">
        <v>56.973304294975101</v>
      </c>
      <c r="P1947">
        <v>-0.39012824379341199</v>
      </c>
      <c r="Q1947">
        <v>0.64436964862707602</v>
      </c>
      <c r="R1947">
        <v>0.94025387874410804</v>
      </c>
      <c r="S1947" t="s">
        <v>8950</v>
      </c>
      <c r="T1947" t="s">
        <v>14004</v>
      </c>
      <c r="U1947" t="s">
        <v>14004</v>
      </c>
      <c r="V1947" t="s">
        <v>14004</v>
      </c>
      <c r="W1947" t="s">
        <v>15915</v>
      </c>
      <c r="X1947">
        <v>19</v>
      </c>
      <c r="Y1947" t="s">
        <v>22835</v>
      </c>
      <c r="Z1947" t="s">
        <v>29657</v>
      </c>
      <c r="AA1947">
        <v>0.84565589358911064</v>
      </c>
      <c r="AB1947" t="str">
        <f>HYPERLINK("Melting_Curves/meltCurve_P00492_HPRT1.pdf", "Melting_Curves/meltCurve_P00492_HPRT1.pdf")</f>
        <v>Melting_Curves/meltCurve_P00492_HPRT1.pdf</v>
      </c>
    </row>
    <row r="1948" spans="1:28" x14ac:dyDescent="0.25">
      <c r="A1948" t="s">
        <v>1952</v>
      </c>
      <c r="B1948">
        <v>0.99999676499088797</v>
      </c>
      <c r="C1948">
        <v>1.2059836206218</v>
      </c>
      <c r="D1948">
        <v>1.2158649975170199</v>
      </c>
      <c r="E1948">
        <v>1.2276609074620599</v>
      </c>
      <c r="F1948">
        <v>1.0747268875709499</v>
      </c>
      <c r="G1948">
        <v>1.1224937196214499</v>
      </c>
      <c r="H1948">
        <v>0.74030898115707899</v>
      </c>
      <c r="I1948">
        <v>0.64472705977479705</v>
      </c>
      <c r="J1948">
        <v>0.51815677099034296</v>
      </c>
      <c r="K1948">
        <v>0.382280803488321</v>
      </c>
      <c r="L1948">
        <v>1805.9261771803599</v>
      </c>
      <c r="M1948">
        <v>28.7930528951991</v>
      </c>
      <c r="N1948">
        <v>66.328154812672693</v>
      </c>
      <c r="O1948">
        <v>62.420701119696901</v>
      </c>
      <c r="P1948">
        <v>-6.9704640395493206E-2</v>
      </c>
      <c r="Q1948">
        <v>0.395551631793015</v>
      </c>
      <c r="R1948">
        <v>0.79636511091904705</v>
      </c>
      <c r="S1948" t="s">
        <v>8951</v>
      </c>
      <c r="T1948" t="s">
        <v>14004</v>
      </c>
      <c r="U1948" t="s">
        <v>14004</v>
      </c>
      <c r="V1948" t="s">
        <v>14004</v>
      </c>
      <c r="W1948" t="s">
        <v>15916</v>
      </c>
      <c r="X1948">
        <v>34</v>
      </c>
      <c r="Y1948" t="s">
        <v>22836</v>
      </c>
      <c r="Z1948" t="s">
        <v>29658</v>
      </c>
      <c r="AA1948">
        <v>0.85552995168934864</v>
      </c>
      <c r="AB1948" t="str">
        <f>HYPERLINK("Melting_Curves/meltCurve_P00505_GOT2.pdf", "Melting_Curves/meltCurve_P00505_GOT2.pdf")</f>
        <v>Melting_Curves/meltCurve_P00505_GOT2.pdf</v>
      </c>
    </row>
    <row r="1949" spans="1:28" x14ac:dyDescent="0.25">
      <c r="A1949" t="s">
        <v>1953</v>
      </c>
      <c r="B1949">
        <v>0.99999676499088797</v>
      </c>
      <c r="C1949">
        <v>0.95403796467600699</v>
      </c>
      <c r="D1949">
        <v>0.77387121622849797</v>
      </c>
      <c r="E1949">
        <v>0.375918633216067</v>
      </c>
      <c r="F1949">
        <v>0.171065976530513</v>
      </c>
      <c r="G1949">
        <v>0.162213328453675</v>
      </c>
      <c r="H1949">
        <v>7.6935909812547498E-2</v>
      </c>
      <c r="I1949">
        <v>4.67372678180768E-2</v>
      </c>
      <c r="J1949">
        <v>5.1948519540952698E-2</v>
      </c>
      <c r="K1949">
        <v>4.2771590312548603E-2</v>
      </c>
      <c r="L1949">
        <v>1066.8984862259999</v>
      </c>
      <c r="M1949">
        <v>22.1068275093088</v>
      </c>
      <c r="N1949">
        <v>48.561704321126797</v>
      </c>
      <c r="O1949">
        <v>47.871341735932901</v>
      </c>
      <c r="P1949">
        <v>-0.108067527998255</v>
      </c>
      <c r="Q1949">
        <v>6.3959046671866707E-2</v>
      </c>
      <c r="R1949">
        <v>0.995538892917743</v>
      </c>
      <c r="S1949" t="s">
        <v>8952</v>
      </c>
      <c r="T1949" t="s">
        <v>14004</v>
      </c>
      <c r="U1949" t="s">
        <v>14004</v>
      </c>
      <c r="V1949" t="s">
        <v>14004</v>
      </c>
      <c r="W1949" t="s">
        <v>15917</v>
      </c>
      <c r="X1949">
        <v>5</v>
      </c>
      <c r="Y1949" t="s">
        <v>22837</v>
      </c>
      <c r="Z1949" t="s">
        <v>29659</v>
      </c>
      <c r="AA1949">
        <v>0.33243598944399572</v>
      </c>
      <c r="AB1949" t="str">
        <f>HYPERLINK("Melting_Curves/meltCurve_P00519_ABL1.pdf", "Melting_Curves/meltCurve_P00519_ABL1.pdf")</f>
        <v>Melting_Curves/meltCurve_P00519_ABL1.pdf</v>
      </c>
    </row>
    <row r="1950" spans="1:28" x14ac:dyDescent="0.25">
      <c r="A1950" t="s">
        <v>1954</v>
      </c>
      <c r="B1950">
        <v>0.99999676499088797</v>
      </c>
      <c r="C1950">
        <v>0.79837984030597198</v>
      </c>
      <c r="D1950">
        <v>0.99045119505932699</v>
      </c>
      <c r="E1950">
        <v>0.88900588545770098</v>
      </c>
      <c r="F1950">
        <v>0.798309374769411</v>
      </c>
      <c r="G1950">
        <v>0.22396673922097499</v>
      </c>
      <c r="H1950">
        <v>7.47865419043304E-2</v>
      </c>
      <c r="I1950">
        <v>6.3193097207054599E-2</v>
      </c>
      <c r="J1950">
        <v>5.8197291064803897E-2</v>
      </c>
      <c r="K1950">
        <v>5.2265610381225902E-2</v>
      </c>
      <c r="L1950">
        <v>2221.7306515383698</v>
      </c>
      <c r="M1950">
        <v>40.563063276630203</v>
      </c>
      <c r="N1950">
        <v>54.931456321996897</v>
      </c>
      <c r="O1950">
        <v>54.639642310403403</v>
      </c>
      <c r="P1950">
        <v>-0.17530192918991699</v>
      </c>
      <c r="Q1950">
        <v>5.5454391760294798E-2</v>
      </c>
      <c r="R1950">
        <v>0.96951840503148801</v>
      </c>
      <c r="S1950" t="s">
        <v>8953</v>
      </c>
      <c r="T1950" t="s">
        <v>14004</v>
      </c>
      <c r="U1950" t="s">
        <v>14004</v>
      </c>
      <c r="V1950" t="s">
        <v>14004</v>
      </c>
      <c r="W1950" t="s">
        <v>15918</v>
      </c>
      <c r="X1950">
        <v>52</v>
      </c>
      <c r="Y1950" t="s">
        <v>22838</v>
      </c>
      <c r="Z1950" t="s">
        <v>29660</v>
      </c>
      <c r="AA1950">
        <v>0.524023535438643</v>
      </c>
      <c r="AB1950" t="str">
        <f>HYPERLINK("Melting_Curves/meltCurve_P00558_PGK1.pdf", "Melting_Curves/meltCurve_P00558_PGK1.pdf")</f>
        <v>Melting_Curves/meltCurve_P00558_PGK1.pdf</v>
      </c>
    </row>
    <row r="1951" spans="1:28" x14ac:dyDescent="0.25">
      <c r="A1951" t="s">
        <v>1955</v>
      </c>
      <c r="B1951">
        <v>0.99999676499088797</v>
      </c>
      <c r="C1951">
        <v>1.0054344645966899</v>
      </c>
      <c r="D1951">
        <v>1.0013943923227699</v>
      </c>
      <c r="E1951">
        <v>1.0037742583081799</v>
      </c>
      <c r="F1951">
        <v>0.925462788614689</v>
      </c>
      <c r="G1951">
        <v>0.81948027481432495</v>
      </c>
      <c r="H1951">
        <v>0.44718566725158798</v>
      </c>
      <c r="I1951">
        <v>0.23895188948513901</v>
      </c>
      <c r="J1951">
        <v>0.15337728443156501</v>
      </c>
      <c r="K1951">
        <v>0.132094312784926</v>
      </c>
      <c r="L1951">
        <v>1505.8474745716501</v>
      </c>
      <c r="M1951">
        <v>25.234982743906102</v>
      </c>
      <c r="N1951">
        <v>60.235490650661902</v>
      </c>
      <c r="O1951">
        <v>59.3020485196107</v>
      </c>
      <c r="P1951">
        <v>-9.5217556697689207E-2</v>
      </c>
      <c r="Q1951">
        <v>0.10496877002843399</v>
      </c>
      <c r="R1951">
        <v>0.99877982427621104</v>
      </c>
      <c r="S1951" t="s">
        <v>8954</v>
      </c>
      <c r="T1951" t="s">
        <v>14004</v>
      </c>
      <c r="U1951" t="s">
        <v>14004</v>
      </c>
      <c r="V1951" t="s">
        <v>14004</v>
      </c>
      <c r="W1951" t="s">
        <v>15919</v>
      </c>
      <c r="X1951">
        <v>32</v>
      </c>
      <c r="Y1951" t="s">
        <v>22839</v>
      </c>
      <c r="Z1951" t="s">
        <v>29661</v>
      </c>
      <c r="AA1951">
        <v>0.69873613944686475</v>
      </c>
      <c r="AB1951" t="str">
        <f>HYPERLINK("Melting_Curves/meltCurve_P00813_ADA.pdf", "Melting_Curves/meltCurve_P00813_ADA.pdf")</f>
        <v>Melting_Curves/meltCurve_P00813_ADA.pdf</v>
      </c>
    </row>
    <row r="1952" spans="1:28" x14ac:dyDescent="0.25">
      <c r="A1952" t="s">
        <v>1956</v>
      </c>
      <c r="B1952">
        <v>0.99999676499088797</v>
      </c>
      <c r="C1952">
        <v>0.95059618550619396</v>
      </c>
      <c r="D1952">
        <v>1.0168103024470401</v>
      </c>
      <c r="E1952">
        <v>1.1488424183114101</v>
      </c>
      <c r="F1952">
        <v>1.17942334196326</v>
      </c>
      <c r="G1952">
        <v>0.93450981145143097</v>
      </c>
      <c r="H1952">
        <v>0.68978692091456595</v>
      </c>
      <c r="I1952">
        <v>0.32494710707265401</v>
      </c>
      <c r="J1952">
        <v>0.20293375337297301</v>
      </c>
      <c r="K1952">
        <v>0.16516254715878001</v>
      </c>
      <c r="L1952">
        <v>2296.0345551998798</v>
      </c>
      <c r="M1952">
        <v>37.250127858927499</v>
      </c>
      <c r="N1952">
        <v>62.277066290717201</v>
      </c>
      <c r="O1952">
        <v>61.461462089867503</v>
      </c>
      <c r="P1952">
        <v>-0.12746112906118401</v>
      </c>
      <c r="Q1952">
        <v>0.15877595420880999</v>
      </c>
      <c r="R1952">
        <v>0.95711335714510704</v>
      </c>
      <c r="S1952" t="s">
        <v>8955</v>
      </c>
      <c r="T1952" t="s">
        <v>14004</v>
      </c>
      <c r="U1952" t="s">
        <v>14004</v>
      </c>
      <c r="V1952" t="s">
        <v>14004</v>
      </c>
      <c r="W1952" t="s">
        <v>15920</v>
      </c>
      <c r="X1952">
        <v>1</v>
      </c>
      <c r="Y1952" t="s">
        <v>22840</v>
      </c>
      <c r="Z1952" t="s">
        <v>29662</v>
      </c>
      <c r="AA1952">
        <v>0.768928881557842</v>
      </c>
      <c r="AB1952" t="str">
        <f>HYPERLINK("Melting_Curves/meltCurve_P00846_MT_ATP6.pdf", "Melting_Curves/meltCurve_P00846_MT_ATP6.pdf")</f>
        <v>Melting_Curves/meltCurve_P00846_MT_ATP6.pdf</v>
      </c>
    </row>
    <row r="1953" spans="1:28" x14ac:dyDescent="0.25">
      <c r="A1953" t="s">
        <v>1957</v>
      </c>
      <c r="B1953">
        <v>0.99999676499088797</v>
      </c>
      <c r="C1953">
        <v>1.0682753193066401</v>
      </c>
      <c r="D1953">
        <v>1.0349955855977699</v>
      </c>
      <c r="E1953">
        <v>1.0569381771975701</v>
      </c>
      <c r="F1953">
        <v>0.74655541391495395</v>
      </c>
      <c r="G1953">
        <v>0.43727201301470903</v>
      </c>
      <c r="H1953">
        <v>0.27290814892466397</v>
      </c>
      <c r="I1953">
        <v>0.164499544197662</v>
      </c>
      <c r="J1953">
        <v>0.13262508833888101</v>
      </c>
      <c r="K1953">
        <v>0.104535882068549</v>
      </c>
      <c r="L1953">
        <v>1374.3935553901299</v>
      </c>
      <c r="M1953">
        <v>24.736079487690098</v>
      </c>
      <c r="N1953">
        <v>56.239924985538899</v>
      </c>
      <c r="O1953">
        <v>55.202963484483398</v>
      </c>
      <c r="P1953">
        <v>-9.7589102451374699E-2</v>
      </c>
      <c r="Q1953">
        <v>0.12886208567294399</v>
      </c>
      <c r="R1953">
        <v>0.98659565960223605</v>
      </c>
      <c r="S1953" t="s">
        <v>8956</v>
      </c>
      <c r="T1953" t="s">
        <v>14004</v>
      </c>
      <c r="U1953" t="s">
        <v>14004</v>
      </c>
      <c r="V1953" t="s">
        <v>14004</v>
      </c>
      <c r="W1953" t="s">
        <v>15921</v>
      </c>
      <c r="X1953">
        <v>21</v>
      </c>
      <c r="Y1953" t="s">
        <v>22841</v>
      </c>
      <c r="Z1953" t="s">
        <v>29663</v>
      </c>
      <c r="AA1953">
        <v>0.58893843990668793</v>
      </c>
      <c r="AB1953" t="str">
        <f>HYPERLINK("Melting_Curves/meltCurve_P00966_ASS1.pdf", "Melting_Curves/meltCurve_P00966_ASS1.pdf")</f>
        <v>Melting_Curves/meltCurve_P00966_ASS1.pdf</v>
      </c>
    </row>
    <row r="1954" spans="1:28" x14ac:dyDescent="0.25">
      <c r="A1954" t="s">
        <v>1958</v>
      </c>
      <c r="B1954">
        <v>0.99999676499088797</v>
      </c>
      <c r="C1954">
        <v>0.85796666344940398</v>
      </c>
      <c r="D1954">
        <v>0.895223255262944</v>
      </c>
      <c r="E1954">
        <v>0.84709266691160001</v>
      </c>
      <c r="F1954">
        <v>0.93389237015650195</v>
      </c>
      <c r="G1954">
        <v>0.77167799972464601</v>
      </c>
      <c r="H1954">
        <v>0.453866926424489</v>
      </c>
      <c r="I1954">
        <v>0.50654710114063795</v>
      </c>
      <c r="J1954">
        <v>0.79332013818121605</v>
      </c>
      <c r="K1954">
        <v>0.43215328056880298</v>
      </c>
      <c r="L1954">
        <v>394.89589379858</v>
      </c>
      <c r="M1954">
        <v>6.6351843638618</v>
      </c>
      <c r="O1954">
        <v>54.806405038040197</v>
      </c>
      <c r="P1954">
        <v>-2.00667173615325E-2</v>
      </c>
      <c r="Q1954">
        <v>0.33848930910714897</v>
      </c>
      <c r="R1954">
        <v>0.63135866910236804</v>
      </c>
      <c r="S1954" t="s">
        <v>8957</v>
      </c>
      <c r="T1954" t="s">
        <v>14004</v>
      </c>
      <c r="U1954" t="s">
        <v>14004</v>
      </c>
      <c r="V1954" t="s">
        <v>14004</v>
      </c>
      <c r="W1954" t="s">
        <v>15922</v>
      </c>
      <c r="X1954">
        <v>3</v>
      </c>
      <c r="Y1954" t="s">
        <v>22842</v>
      </c>
      <c r="Z1954" t="s">
        <v>29664</v>
      </c>
      <c r="AA1954">
        <v>0.7548484505757237</v>
      </c>
      <c r="AB1954" t="str">
        <f>HYPERLINK("Melting_Curves/meltCurve_P01009_2_SERPINA1.pdf", "Melting_Curves/meltCurve_P01009_2_SERPINA1.pdf")</f>
        <v>Melting_Curves/meltCurve_P01009_2_SERPINA1.pdf</v>
      </c>
    </row>
    <row r="1955" spans="1:28" x14ac:dyDescent="0.25">
      <c r="A1955" t="s">
        <v>1959</v>
      </c>
      <c r="B1955">
        <v>0.99999676499088797</v>
      </c>
      <c r="C1955">
        <v>1.0031748426843801</v>
      </c>
      <c r="D1955">
        <v>0.91469645963836699</v>
      </c>
      <c r="E1955">
        <v>1.04708569537987</v>
      </c>
      <c r="F1955">
        <v>0.87047432873561803</v>
      </c>
      <c r="G1955">
        <v>0.93500251881621799</v>
      </c>
      <c r="H1955">
        <v>0.71982645359177999</v>
      </c>
      <c r="I1955">
        <v>0.54724097269332495</v>
      </c>
      <c r="J1955">
        <v>0.45624260055709898</v>
      </c>
      <c r="K1955">
        <v>0.37388729377702701</v>
      </c>
      <c r="L1955">
        <v>1021.51533160218</v>
      </c>
      <c r="M1955">
        <v>16.307417074721702</v>
      </c>
      <c r="N1955">
        <v>65.596801679180601</v>
      </c>
      <c r="O1955">
        <v>61.721893537156703</v>
      </c>
      <c r="P1955">
        <v>-4.8869222794262202E-2</v>
      </c>
      <c r="Q1955">
        <v>0.26019395185851901</v>
      </c>
      <c r="R1955">
        <v>0.96059300712637696</v>
      </c>
      <c r="S1955" t="s">
        <v>8958</v>
      </c>
      <c r="T1955" t="s">
        <v>14004</v>
      </c>
      <c r="U1955" t="s">
        <v>14004</v>
      </c>
      <c r="V1955" t="s">
        <v>14004</v>
      </c>
      <c r="W1955" t="s">
        <v>15923</v>
      </c>
      <c r="X1955">
        <v>4</v>
      </c>
      <c r="Y1955" t="s">
        <v>22843</v>
      </c>
      <c r="Z1955" t="s">
        <v>29665</v>
      </c>
      <c r="AA1955">
        <v>0.81555072328552602</v>
      </c>
      <c r="AB1955" t="str">
        <f>HYPERLINK("Melting_Curves/meltCurve_P01023_A2M.pdf", "Melting_Curves/meltCurve_P01023_A2M.pdf")</f>
        <v>Melting_Curves/meltCurve_P01023_A2M.pdf</v>
      </c>
    </row>
    <row r="1956" spans="1:28" x14ac:dyDescent="0.25">
      <c r="A1956" t="s">
        <v>1960</v>
      </c>
      <c r="B1956">
        <v>0.99999676499088797</v>
      </c>
      <c r="C1956">
        <v>1.03647981765399</v>
      </c>
      <c r="D1956">
        <v>0.90501226454164296</v>
      </c>
      <c r="E1956">
        <v>0.72068079391787199</v>
      </c>
      <c r="F1956">
        <v>0.68010700567968996</v>
      </c>
      <c r="G1956">
        <v>0.70424057200877399</v>
      </c>
      <c r="H1956">
        <v>0.51408298072257896</v>
      </c>
      <c r="I1956">
        <v>0.40501694971642399</v>
      </c>
      <c r="J1956">
        <v>0.45789214155254199</v>
      </c>
      <c r="K1956">
        <v>0.36618698142681999</v>
      </c>
      <c r="L1956">
        <v>477.97599377295302</v>
      </c>
      <c r="M1956">
        <v>8.5918616576074207</v>
      </c>
      <c r="N1956">
        <v>61.561163271987198</v>
      </c>
      <c r="O1956">
        <v>52.863573254955199</v>
      </c>
      <c r="P1956">
        <v>-2.9221369062755801E-2</v>
      </c>
      <c r="Q1956">
        <v>0.28145489868164703</v>
      </c>
      <c r="R1956">
        <v>0.94012156336451902</v>
      </c>
      <c r="S1956" t="s">
        <v>8959</v>
      </c>
      <c r="T1956" t="s">
        <v>14004</v>
      </c>
      <c r="U1956" t="s">
        <v>14004</v>
      </c>
      <c r="V1956" t="s">
        <v>14004</v>
      </c>
      <c r="W1956" t="s">
        <v>15924</v>
      </c>
      <c r="X1956">
        <v>2</v>
      </c>
      <c r="Y1956" t="s">
        <v>22844</v>
      </c>
      <c r="Z1956" t="s">
        <v>29666</v>
      </c>
      <c r="AA1956">
        <v>0.67232162321615596</v>
      </c>
      <c r="AB1956" t="str">
        <f>HYPERLINK("Melting_Curves/meltCurve_P01024_C3.pdf", "Melting_Curves/meltCurve_P01024_C3.pdf")</f>
        <v>Melting_Curves/meltCurve_P01024_C3.pdf</v>
      </c>
    </row>
    <row r="1957" spans="1:28" x14ac:dyDescent="0.25">
      <c r="A1957" t="s">
        <v>1961</v>
      </c>
      <c r="B1957">
        <v>0.99999676499088797</v>
      </c>
      <c r="C1957">
        <v>0.98093262158896</v>
      </c>
      <c r="D1957">
        <v>0.96155000196709195</v>
      </c>
      <c r="E1957">
        <v>0.92087040604022996</v>
      </c>
      <c r="F1957">
        <v>0.815473363563465</v>
      </c>
      <c r="G1957">
        <v>0.66184217051716099</v>
      </c>
      <c r="H1957">
        <v>0.35993458651306698</v>
      </c>
      <c r="I1957">
        <v>0.30186678323605598</v>
      </c>
      <c r="J1957">
        <v>0.27979424836637101</v>
      </c>
      <c r="K1957">
        <v>0.21943111615094901</v>
      </c>
      <c r="L1957">
        <v>967.01749994874501</v>
      </c>
      <c r="M1957">
        <v>16.9122360385504</v>
      </c>
      <c r="N1957">
        <v>58.847612831912699</v>
      </c>
      <c r="O1957">
        <v>56.397089142311899</v>
      </c>
      <c r="P1957">
        <v>-6.0691301974677002E-2</v>
      </c>
      <c r="Q1957">
        <v>0.19050398968274099</v>
      </c>
      <c r="R1957">
        <v>0.99330850813128302</v>
      </c>
      <c r="S1957" t="s">
        <v>8960</v>
      </c>
      <c r="T1957" t="s">
        <v>14004</v>
      </c>
      <c r="U1957" t="s">
        <v>14004</v>
      </c>
      <c r="V1957" t="s">
        <v>14004</v>
      </c>
      <c r="W1957" t="s">
        <v>15925</v>
      </c>
      <c r="X1957">
        <v>3</v>
      </c>
      <c r="Y1957" t="s">
        <v>22845</v>
      </c>
      <c r="Z1957" t="s">
        <v>29667</v>
      </c>
      <c r="AA1957">
        <v>0.66557974398761632</v>
      </c>
      <c r="AB1957" t="str">
        <f>HYPERLINK("Melting_Curves/meltCurve_P01034_CST3.pdf", "Melting_Curves/meltCurve_P01034_CST3.pdf")</f>
        <v>Melting_Curves/meltCurve_P01034_CST3.pdf</v>
      </c>
    </row>
    <row r="1958" spans="1:28" x14ac:dyDescent="0.25">
      <c r="A1958" t="s">
        <v>1962</v>
      </c>
      <c r="B1958">
        <v>0.99999676499088797</v>
      </c>
      <c r="C1958">
        <v>0.82035299141715601</v>
      </c>
      <c r="D1958">
        <v>0.94392089557016101</v>
      </c>
      <c r="E1958">
        <v>0.767410142058218</v>
      </c>
      <c r="F1958">
        <v>2.6362101580021</v>
      </c>
      <c r="G1958">
        <v>0.69024228581110902</v>
      </c>
      <c r="H1958">
        <v>0.45494864412629799</v>
      </c>
      <c r="I1958">
        <v>0.44652855669046898</v>
      </c>
      <c r="J1958">
        <v>0.45959174159702998</v>
      </c>
      <c r="K1958">
        <v>0.35921320673238499</v>
      </c>
      <c r="L1958">
        <v>14190.091500041501</v>
      </c>
      <c r="M1958">
        <v>250</v>
      </c>
      <c r="N1958">
        <v>57.210531305442402</v>
      </c>
      <c r="O1958">
        <v>56.7567337336368</v>
      </c>
      <c r="P1958">
        <v>-0.62760123283082403</v>
      </c>
      <c r="Q1958">
        <v>0.43007046387009901</v>
      </c>
      <c r="R1958">
        <v>0.30079461764903198</v>
      </c>
      <c r="S1958" t="s">
        <v>8961</v>
      </c>
      <c r="T1958" t="s">
        <v>14004</v>
      </c>
      <c r="U1958" t="s">
        <v>14004</v>
      </c>
      <c r="V1958" t="s">
        <v>14004</v>
      </c>
      <c r="W1958" t="s">
        <v>15926</v>
      </c>
      <c r="X1958">
        <v>3</v>
      </c>
      <c r="Y1958" t="s">
        <v>22846</v>
      </c>
      <c r="Z1958" t="s">
        <v>29668</v>
      </c>
      <c r="AA1958">
        <v>0.74853482390760606</v>
      </c>
      <c r="AB1958" t="str">
        <f>HYPERLINK("Melting_Curves/meltCurve_P01037_CST1.pdf", "Melting_Curves/meltCurve_P01037_CST1.pdf")</f>
        <v>Melting_Curves/meltCurve_P01037_CST1.pdf</v>
      </c>
    </row>
    <row r="1959" spans="1:28" x14ac:dyDescent="0.25">
      <c r="A1959" t="s">
        <v>1963</v>
      </c>
      <c r="B1959">
        <v>0.99999676499088797</v>
      </c>
      <c r="C1959">
        <v>1.1060312763448601</v>
      </c>
      <c r="D1959">
        <v>1.0333606317141999</v>
      </c>
      <c r="E1959">
        <v>0.94323691178588698</v>
      </c>
      <c r="F1959">
        <v>0.95142339367760598</v>
      </c>
      <c r="G1959">
        <v>0.88106827355560402</v>
      </c>
      <c r="H1959">
        <v>0.61209179337175401</v>
      </c>
      <c r="I1959">
        <v>0.48192394077941703</v>
      </c>
      <c r="J1959">
        <v>0.16615480034829799</v>
      </c>
      <c r="K1959">
        <v>9.1573467850788001E-2</v>
      </c>
      <c r="L1959">
        <v>1221.5048236893499</v>
      </c>
      <c r="M1959">
        <v>19.490007245211</v>
      </c>
      <c r="N1959">
        <v>62.673392410664697</v>
      </c>
      <c r="O1959">
        <v>62.0247860427314</v>
      </c>
      <c r="P1959">
        <v>-7.8560172128567904E-2</v>
      </c>
      <c r="Q1959">
        <v>0</v>
      </c>
      <c r="R1959">
        <v>0.97855712388636595</v>
      </c>
      <c r="S1959" t="s">
        <v>8962</v>
      </c>
      <c r="T1959" t="s">
        <v>14004</v>
      </c>
      <c r="U1959" t="s">
        <v>14004</v>
      </c>
      <c r="V1959" t="s">
        <v>14004</v>
      </c>
      <c r="W1959" t="s">
        <v>15927</v>
      </c>
      <c r="X1959">
        <v>11</v>
      </c>
      <c r="Y1959" t="s">
        <v>22847</v>
      </c>
      <c r="Z1959" t="s">
        <v>29669</v>
      </c>
      <c r="AA1959">
        <v>0.75586700980201849</v>
      </c>
      <c r="AB1959" t="str">
        <f>HYPERLINK("Melting_Curves/meltCurve_P01111_NRAS.pdf", "Melting_Curves/meltCurve_P01111_NRAS.pdf")</f>
        <v>Melting_Curves/meltCurve_P01111_NRAS.pdf</v>
      </c>
    </row>
    <row r="1960" spans="1:28" x14ac:dyDescent="0.25">
      <c r="A1960" t="s">
        <v>1964</v>
      </c>
      <c r="B1960">
        <v>0.99999676499088797</v>
      </c>
      <c r="C1960">
        <v>1.0613627308829101</v>
      </c>
      <c r="D1960">
        <v>0.994099964121825</v>
      </c>
      <c r="E1960">
        <v>1.00199753067581</v>
      </c>
      <c r="F1960">
        <v>0.89772389384681905</v>
      </c>
      <c r="G1960">
        <v>1.04549793281748</v>
      </c>
      <c r="H1960">
        <v>0.69390413498236803</v>
      </c>
      <c r="I1960">
        <v>0.625989995682109</v>
      </c>
      <c r="J1960">
        <v>0.32408360643884698</v>
      </c>
      <c r="K1960">
        <v>0.17952426299486501</v>
      </c>
      <c r="L1960">
        <v>1267.67874966814</v>
      </c>
      <c r="M1960">
        <v>19.557971055288402</v>
      </c>
      <c r="N1960">
        <v>64.8164742582766</v>
      </c>
      <c r="O1960">
        <v>64.150284267580005</v>
      </c>
      <c r="P1960">
        <v>-7.6222083337611005E-2</v>
      </c>
      <c r="Q1960">
        <v>0</v>
      </c>
      <c r="R1960">
        <v>0.96103335817618596</v>
      </c>
      <c r="S1960" t="s">
        <v>8963</v>
      </c>
      <c r="T1960" t="s">
        <v>14004</v>
      </c>
      <c r="U1960" t="s">
        <v>14004</v>
      </c>
      <c r="V1960" t="s">
        <v>14004</v>
      </c>
      <c r="W1960" t="s">
        <v>15928</v>
      </c>
      <c r="X1960">
        <v>10</v>
      </c>
      <c r="Y1960" t="s">
        <v>22848</v>
      </c>
      <c r="Z1960" t="s">
        <v>29670</v>
      </c>
      <c r="AA1960">
        <v>0.81546479739208799</v>
      </c>
      <c r="AB1960" t="str">
        <f>HYPERLINK("Melting_Curves/meltCurve_P01112_HRAS.pdf", "Melting_Curves/meltCurve_P01112_HRAS.pdf")</f>
        <v>Melting_Curves/meltCurve_P01112_HRAS.pdf</v>
      </c>
    </row>
    <row r="1961" spans="1:28" x14ac:dyDescent="0.25">
      <c r="A1961" t="s">
        <v>1965</v>
      </c>
      <c r="B1961">
        <v>0.99999676499088797</v>
      </c>
      <c r="C1961">
        <v>1.05876829088781</v>
      </c>
      <c r="D1961">
        <v>0.92256695323065596</v>
      </c>
      <c r="E1961">
        <v>0.79320154681577304</v>
      </c>
      <c r="F1961">
        <v>0.79086780373083798</v>
      </c>
      <c r="G1961">
        <v>0.82900785745016803</v>
      </c>
      <c r="H1961">
        <v>0.64111620166597005</v>
      </c>
      <c r="I1961">
        <v>0.473217113829422</v>
      </c>
      <c r="J1961">
        <v>0.14557101857844701</v>
      </c>
      <c r="K1961">
        <v>7.2943964973242598E-2</v>
      </c>
      <c r="L1961">
        <v>928.10346865851204</v>
      </c>
      <c r="M1961">
        <v>14.9673824594358</v>
      </c>
      <c r="N1961">
        <v>62.008402022494302</v>
      </c>
      <c r="O1961">
        <v>60.9330881265128</v>
      </c>
      <c r="P1961">
        <v>-6.14153580466269E-2</v>
      </c>
      <c r="Q1961">
        <v>0</v>
      </c>
      <c r="R1961">
        <v>0.91519566990168799</v>
      </c>
      <c r="S1961" t="s">
        <v>8964</v>
      </c>
      <c r="T1961" t="s">
        <v>14004</v>
      </c>
      <c r="U1961" t="s">
        <v>14004</v>
      </c>
      <c r="V1961" t="s">
        <v>14004</v>
      </c>
      <c r="W1961" t="s">
        <v>15929</v>
      </c>
      <c r="X1961">
        <v>10</v>
      </c>
      <c r="Y1961" t="s">
        <v>22849</v>
      </c>
      <c r="Z1961" t="s">
        <v>29671</v>
      </c>
      <c r="AA1961">
        <v>0.73068332403357816</v>
      </c>
      <c r="AB1961" t="str">
        <f>HYPERLINK("Melting_Curves/meltCurve_P01116_2_KRAS.pdf", "Melting_Curves/meltCurve_P01116_2_KRAS.pdf")</f>
        <v>Melting_Curves/meltCurve_P01116_2_KRAS.pdf</v>
      </c>
    </row>
    <row r="1962" spans="1:28" x14ac:dyDescent="0.25">
      <c r="A1962" t="s">
        <v>1966</v>
      </c>
      <c r="B1962">
        <v>0.99999676499088797</v>
      </c>
      <c r="C1962">
        <v>0.99683814504196699</v>
      </c>
      <c r="D1962">
        <v>0.88551472264199405</v>
      </c>
      <c r="E1962">
        <v>0.919489134174308</v>
      </c>
      <c r="F1962">
        <v>0.85453295812722097</v>
      </c>
      <c r="G1962">
        <v>0.57084766082676297</v>
      </c>
      <c r="H1962">
        <v>0.31804670864252499</v>
      </c>
      <c r="I1962">
        <v>0.18194818932026199</v>
      </c>
      <c r="J1962">
        <v>0.10747668091368</v>
      </c>
      <c r="K1962">
        <v>0.107555567512021</v>
      </c>
      <c r="L1962">
        <v>1004.4826304865099</v>
      </c>
      <c r="M1962">
        <v>17.448146256946099</v>
      </c>
      <c r="N1962">
        <v>57.903407751203801</v>
      </c>
      <c r="O1962">
        <v>56.829341830453899</v>
      </c>
      <c r="P1962">
        <v>-7.3088187110114999E-2</v>
      </c>
      <c r="Q1962">
        <v>4.7847984736769301E-2</v>
      </c>
      <c r="R1962">
        <v>0.98976906865706904</v>
      </c>
      <c r="S1962" t="s">
        <v>8965</v>
      </c>
      <c r="T1962" t="s">
        <v>14004</v>
      </c>
      <c r="U1962" t="s">
        <v>14004</v>
      </c>
      <c r="V1962" t="s">
        <v>14004</v>
      </c>
      <c r="W1962" t="s">
        <v>15930</v>
      </c>
      <c r="X1962">
        <v>9</v>
      </c>
      <c r="Y1962" t="s">
        <v>22850</v>
      </c>
      <c r="Z1962" t="s">
        <v>29672</v>
      </c>
      <c r="AA1962">
        <v>0.61816689745919029</v>
      </c>
      <c r="AB1962" t="str">
        <f>HYPERLINK("Melting_Curves/meltCurve_P01137_TGFB1.pdf", "Melting_Curves/meltCurve_P01137_TGFB1.pdf")</f>
        <v>Melting_Curves/meltCurve_P01137_TGFB1.pdf</v>
      </c>
    </row>
    <row r="1963" spans="1:28" x14ac:dyDescent="0.25">
      <c r="A1963" t="s">
        <v>1967</v>
      </c>
      <c r="B1963">
        <v>0.99999676499088797</v>
      </c>
      <c r="C1963">
        <v>0.95400660528454995</v>
      </c>
      <c r="D1963">
        <v>0.86330237710294899</v>
      </c>
      <c r="E1963">
        <v>0.81377896424798601</v>
      </c>
      <c r="F1963">
        <v>0.49494747502781999</v>
      </c>
      <c r="G1963">
        <v>0.38497987097436498</v>
      </c>
      <c r="H1963">
        <v>0.25596645690668801</v>
      </c>
      <c r="I1963">
        <v>0.266469834603485</v>
      </c>
      <c r="J1963">
        <v>0.210938827268289</v>
      </c>
      <c r="K1963">
        <v>0.241406992256848</v>
      </c>
      <c r="L1963">
        <v>847.81304723386199</v>
      </c>
      <c r="M1963">
        <v>16.312811600708901</v>
      </c>
      <c r="N1963">
        <v>53.785290511145298</v>
      </c>
      <c r="O1963">
        <v>51.210024190097897</v>
      </c>
      <c r="P1963">
        <v>-6.27986012968305E-2</v>
      </c>
      <c r="Q1963">
        <v>0.21149481437423001</v>
      </c>
      <c r="R1963">
        <v>0.98903072759341404</v>
      </c>
      <c r="S1963" t="s">
        <v>8966</v>
      </c>
      <c r="T1963" t="s">
        <v>14004</v>
      </c>
      <c r="U1963" t="s">
        <v>14004</v>
      </c>
      <c r="V1963" t="s">
        <v>14004</v>
      </c>
      <c r="W1963" t="s">
        <v>15931</v>
      </c>
      <c r="X1963">
        <v>1</v>
      </c>
      <c r="Y1963" t="s">
        <v>22851</v>
      </c>
      <c r="Z1963" t="s">
        <v>29673</v>
      </c>
      <c r="AA1963">
        <v>0.54162822939394062</v>
      </c>
      <c r="AB1963" t="str">
        <f>HYPERLINK("Melting_Curves/meltCurve_P01344_IGF2.pdf", "Melting_Curves/meltCurve_P01344_IGF2.pdf")</f>
        <v>Melting_Curves/meltCurve_P01344_IGF2.pdf</v>
      </c>
    </row>
    <row r="1964" spans="1:28" x14ac:dyDescent="0.25">
      <c r="A1964" t="s">
        <v>1968</v>
      </c>
      <c r="B1964">
        <v>0.99999676499088797</v>
      </c>
      <c r="C1964">
        <v>0.99170532771823505</v>
      </c>
      <c r="D1964">
        <v>0.99389146427617003</v>
      </c>
      <c r="E1964">
        <v>0.85295582235481204</v>
      </c>
      <c r="F1964">
        <v>0.78329659985359101</v>
      </c>
      <c r="G1964">
        <v>0.64401693508621505</v>
      </c>
      <c r="H1964">
        <v>0.39820020267432998</v>
      </c>
      <c r="I1964">
        <v>0.32484968126227398</v>
      </c>
      <c r="J1964">
        <v>0.24501429009019199</v>
      </c>
      <c r="K1964">
        <v>0.242729969557514</v>
      </c>
      <c r="L1964">
        <v>742.28691153042803</v>
      </c>
      <c r="M1964">
        <v>12.911186192907399</v>
      </c>
      <c r="N1964">
        <v>59.048313913160797</v>
      </c>
      <c r="O1964">
        <v>56.164978896437503</v>
      </c>
      <c r="P1964">
        <v>-4.9189510434139799E-2</v>
      </c>
      <c r="Q1964">
        <v>0.144237697446503</v>
      </c>
      <c r="R1964">
        <v>0.99315008318621001</v>
      </c>
      <c r="S1964" t="s">
        <v>8967</v>
      </c>
      <c r="T1964" t="s">
        <v>14004</v>
      </c>
      <c r="U1964" t="s">
        <v>14004</v>
      </c>
      <c r="V1964" t="s">
        <v>14004</v>
      </c>
      <c r="W1964" t="s">
        <v>15932</v>
      </c>
      <c r="X1964">
        <v>2</v>
      </c>
      <c r="Y1964" t="s">
        <v>22852</v>
      </c>
      <c r="Z1964" t="s">
        <v>29674</v>
      </c>
      <c r="AA1964">
        <v>0.65611523685626372</v>
      </c>
      <c r="AB1964" t="str">
        <f>HYPERLINK("Melting_Curves/meltCurve_P01730_CD4.pdf", "Melting_Curves/meltCurve_P01730_CD4.pdf")</f>
        <v>Melting_Curves/meltCurve_P01730_CD4.pdf</v>
      </c>
    </row>
    <row r="1965" spans="1:28" x14ac:dyDescent="0.25">
      <c r="A1965" t="s">
        <v>1969</v>
      </c>
      <c r="B1965">
        <v>0.99999676499088797</v>
      </c>
      <c r="C1965">
        <v>1.0431097749590099</v>
      </c>
      <c r="D1965">
        <v>0.99595402808014899</v>
      </c>
      <c r="E1965">
        <v>0.65822231023434496</v>
      </c>
      <c r="F1965">
        <v>0.52557086276270903</v>
      </c>
      <c r="G1965">
        <v>0.43099322911355797</v>
      </c>
      <c r="H1965">
        <v>0.246737395403163</v>
      </c>
      <c r="I1965">
        <v>0.28273758284655598</v>
      </c>
      <c r="J1965">
        <v>0.226821542298242</v>
      </c>
      <c r="K1965">
        <v>0.15998795189293899</v>
      </c>
      <c r="L1965">
        <v>818.52578813497496</v>
      </c>
      <c r="M1965">
        <v>15.7313235361451</v>
      </c>
      <c r="N1965">
        <v>53.767327680523501</v>
      </c>
      <c r="O1965">
        <v>51.2125646252763</v>
      </c>
      <c r="P1965">
        <v>-6.1509345067926803E-2</v>
      </c>
      <c r="Q1965">
        <v>0.19910431593595801</v>
      </c>
      <c r="R1965">
        <v>0.97270600677600405</v>
      </c>
      <c r="S1965" t="s">
        <v>8968</v>
      </c>
      <c r="T1965" t="s">
        <v>14004</v>
      </c>
      <c r="U1965" t="s">
        <v>14004</v>
      </c>
      <c r="V1965" t="s">
        <v>14004</v>
      </c>
      <c r="W1965" t="s">
        <v>15933</v>
      </c>
      <c r="X1965">
        <v>2</v>
      </c>
      <c r="Y1965" t="s">
        <v>22853</v>
      </c>
      <c r="Z1965" t="s">
        <v>29675</v>
      </c>
      <c r="AA1965">
        <v>0.53692022056021116</v>
      </c>
      <c r="AB1965" t="str">
        <f>HYPERLINK("Melting_Curves/meltCurve_P01733_TRBV12_3.pdf", "Melting_Curves/meltCurve_P01733_TRBV12_3.pdf")</f>
        <v>Melting_Curves/meltCurve_P01733_TRBV12_3.pdf</v>
      </c>
    </row>
    <row r="1966" spans="1:28" x14ac:dyDescent="0.25">
      <c r="A1966" t="s">
        <v>1970</v>
      </c>
      <c r="B1966">
        <v>0.99999676499088797</v>
      </c>
      <c r="C1966">
        <v>0.79363744954138704</v>
      </c>
      <c r="D1966">
        <v>0.910865060701607</v>
      </c>
      <c r="E1966">
        <v>0.74006177249850902</v>
      </c>
      <c r="F1966">
        <v>0.53857534205319502</v>
      </c>
      <c r="G1966">
        <v>0.43683403830268203</v>
      </c>
      <c r="H1966">
        <v>0.29840036119546198</v>
      </c>
      <c r="I1966">
        <v>0.203634259250178</v>
      </c>
      <c r="J1966">
        <v>0.15308929915216701</v>
      </c>
      <c r="K1966">
        <v>0.16582043214599401</v>
      </c>
      <c r="L1966">
        <v>488.63797759990001</v>
      </c>
      <c r="M1966">
        <v>8.9502487008244191</v>
      </c>
      <c r="N1966">
        <v>54.7886193954878</v>
      </c>
      <c r="O1966">
        <v>52.075961622286499</v>
      </c>
      <c r="P1966">
        <v>-4.2329453427523499E-2</v>
      </c>
      <c r="Q1966">
        <v>1.5574829772021299E-2</v>
      </c>
      <c r="R1966">
        <v>0.97278831330319204</v>
      </c>
      <c r="S1966" t="s">
        <v>8969</v>
      </c>
      <c r="T1966" t="s">
        <v>14004</v>
      </c>
      <c r="U1966" t="s">
        <v>14004</v>
      </c>
      <c r="V1966" t="s">
        <v>14004</v>
      </c>
      <c r="W1966" t="s">
        <v>15934</v>
      </c>
      <c r="X1966">
        <v>4</v>
      </c>
      <c r="Z1966" t="s">
        <v>29676</v>
      </c>
      <c r="AA1966">
        <v>0.52309806719756147</v>
      </c>
      <c r="AB1966" t="str">
        <f>HYPERLINK("Melting_Curves/meltCurve_P01737_.pdf", "Melting_Curves/meltCurve_P01737_.pdf")</f>
        <v>Melting_Curves/meltCurve_P01737_.pdf</v>
      </c>
    </row>
    <row r="1967" spans="1:28" x14ac:dyDescent="0.25">
      <c r="A1967" t="s">
        <v>1971</v>
      </c>
      <c r="B1967">
        <v>0.99999676499088797</v>
      </c>
      <c r="C1967">
        <v>1.29479738017149</v>
      </c>
      <c r="D1967">
        <v>1.3798108467431101</v>
      </c>
      <c r="E1967">
        <v>0.22711499193913801</v>
      </c>
      <c r="F1967">
        <v>10.394074944168199</v>
      </c>
      <c r="G1967">
        <v>0.51516120534770604</v>
      </c>
      <c r="H1967">
        <v>0</v>
      </c>
      <c r="I1967">
        <v>0.113812260511058</v>
      </c>
      <c r="J1967">
        <v>0</v>
      </c>
      <c r="K1967">
        <v>0.23412244782573499</v>
      </c>
      <c r="L1967">
        <v>14192.941500819799</v>
      </c>
      <c r="M1967">
        <v>250</v>
      </c>
      <c r="N1967">
        <v>56.815200912592502</v>
      </c>
      <c r="O1967">
        <v>56.768133002911803</v>
      </c>
      <c r="P1967">
        <v>-1.00520349179847</v>
      </c>
      <c r="Q1967">
        <v>8.6983593050585506E-2</v>
      </c>
      <c r="R1967">
        <v>1.0086871902976999E-2</v>
      </c>
      <c r="S1967" t="s">
        <v>8970</v>
      </c>
      <c r="T1967" t="s">
        <v>14004</v>
      </c>
      <c r="U1967" t="s">
        <v>14004</v>
      </c>
      <c r="V1967" t="s">
        <v>14004</v>
      </c>
      <c r="W1967" t="s">
        <v>15935</v>
      </c>
      <c r="X1967">
        <v>1</v>
      </c>
      <c r="Z1967" t="s">
        <v>29677</v>
      </c>
      <c r="AA1967">
        <v>0.59750447794782857</v>
      </c>
      <c r="AB1967" t="str">
        <f>HYPERLINK("Melting_Curves/meltCurve_P01777_.pdf", "Melting_Curves/meltCurve_P01777_.pdf")</f>
        <v>Melting_Curves/meltCurve_P01777_.pdf</v>
      </c>
    </row>
    <row r="1968" spans="1:28" x14ac:dyDescent="0.25">
      <c r="A1968" t="s">
        <v>1972</v>
      </c>
      <c r="B1968">
        <v>0.99999676499088797</v>
      </c>
      <c r="C1968">
        <v>1.0647418810101199</v>
      </c>
      <c r="D1968">
        <v>1.5754631855101999</v>
      </c>
      <c r="E1968">
        <v>0.85380486494733099</v>
      </c>
      <c r="F1968">
        <v>11.584545779413601</v>
      </c>
      <c r="G1968">
        <v>0.847466487846112</v>
      </c>
      <c r="H1968">
        <v>0.74002290558350203</v>
      </c>
      <c r="I1968">
        <v>0.64859136225774605</v>
      </c>
      <c r="J1968">
        <v>0.73959725613206995</v>
      </c>
      <c r="K1968">
        <v>0.53135456801427805</v>
      </c>
      <c r="L1968">
        <v>4210.1864039521597</v>
      </c>
      <c r="M1968">
        <v>70.302408778325002</v>
      </c>
      <c r="O1968">
        <v>59.838399362407898</v>
      </c>
      <c r="P1968">
        <v>-0.105816151346805</v>
      </c>
      <c r="Q1968">
        <v>0.63973537464520902</v>
      </c>
      <c r="R1968">
        <v>-8.41867905148099E-2</v>
      </c>
      <c r="S1968" t="s">
        <v>8971</v>
      </c>
      <c r="T1968" t="s">
        <v>14004</v>
      </c>
      <c r="U1968" t="s">
        <v>14004</v>
      </c>
      <c r="V1968" t="s">
        <v>14004</v>
      </c>
      <c r="W1968" t="s">
        <v>15936</v>
      </c>
      <c r="X1968">
        <v>8</v>
      </c>
      <c r="Y1968" t="s">
        <v>22854</v>
      </c>
      <c r="Z1968" t="s">
        <v>29678</v>
      </c>
      <c r="AA1968">
        <v>0.87903190404965525</v>
      </c>
      <c r="AB1968" t="str">
        <f>HYPERLINK("Melting_Curves/meltCurve_P01833_PIGR.pdf", "Melting_Curves/meltCurve_P01833_PIGR.pdf")</f>
        <v>Melting_Curves/meltCurve_P01833_PIGR.pdf</v>
      </c>
    </row>
    <row r="1969" spans="1:28" x14ac:dyDescent="0.25">
      <c r="A1969" t="s">
        <v>1973</v>
      </c>
      <c r="B1969">
        <v>0.99999676499088797</v>
      </c>
      <c r="C1969">
        <v>1.04083022236908</v>
      </c>
      <c r="D1969">
        <v>1.28098829784418</v>
      </c>
      <c r="E1969">
        <v>0.86251673613727597</v>
      </c>
      <c r="F1969">
        <v>6.3438699577863797</v>
      </c>
      <c r="G1969">
        <v>0.88989945566903605</v>
      </c>
      <c r="H1969">
        <v>1.04448129902538</v>
      </c>
      <c r="I1969">
        <v>0.41926785039916498</v>
      </c>
      <c r="J1969">
        <v>0.47069379391408001</v>
      </c>
      <c r="K1969">
        <v>0.32958654978787499</v>
      </c>
      <c r="L1969">
        <v>15000</v>
      </c>
      <c r="M1969">
        <v>237.77346350631299</v>
      </c>
      <c r="N1969">
        <v>63.515318078279797</v>
      </c>
      <c r="O1969">
        <v>63.080793958360204</v>
      </c>
      <c r="P1969">
        <v>-0.565353428516848</v>
      </c>
      <c r="Q1969">
        <v>0.40005175432768803</v>
      </c>
      <c r="R1969">
        <v>-1.0531543551785601E-2</v>
      </c>
      <c r="S1969" t="s">
        <v>8972</v>
      </c>
      <c r="T1969" t="s">
        <v>14004</v>
      </c>
      <c r="U1969" t="s">
        <v>14004</v>
      </c>
      <c r="V1969" t="s">
        <v>14004</v>
      </c>
      <c r="W1969" t="s">
        <v>15937</v>
      </c>
      <c r="X1969">
        <v>3</v>
      </c>
      <c r="Y1969" t="s">
        <v>22855</v>
      </c>
      <c r="Z1969" t="s">
        <v>29679</v>
      </c>
      <c r="AA1969">
        <v>0.86179049527461127</v>
      </c>
      <c r="AB1969" t="str">
        <f>HYPERLINK("Melting_Curves/meltCurve_P01834_IGKC.pdf", "Melting_Curves/meltCurve_P01834_IGKC.pdf")</f>
        <v>Melting_Curves/meltCurve_P01834_IGKC.pdf</v>
      </c>
    </row>
    <row r="1970" spans="1:28" x14ac:dyDescent="0.25">
      <c r="A1970" t="s">
        <v>1974</v>
      </c>
      <c r="B1970">
        <v>0.99999676499088797</v>
      </c>
      <c r="C1970">
        <v>0.97465721596132004</v>
      </c>
      <c r="D1970">
        <v>1.0311021129073801</v>
      </c>
      <c r="E1970">
        <v>1.1444981047985201</v>
      </c>
      <c r="F1970">
        <v>0.94364172897200804</v>
      </c>
      <c r="G1970">
        <v>0.71578663614109295</v>
      </c>
      <c r="H1970">
        <v>0.50144990989545302</v>
      </c>
      <c r="I1970">
        <v>0.31773718354259001</v>
      </c>
      <c r="J1970">
        <v>0.24381811131100301</v>
      </c>
      <c r="K1970">
        <v>0.38631300835923699</v>
      </c>
      <c r="L1970">
        <v>1617.7187765741201</v>
      </c>
      <c r="M1970">
        <v>27.9402021110321</v>
      </c>
      <c r="N1970">
        <v>59.924774626435102</v>
      </c>
      <c r="O1970">
        <v>57.605162212730498</v>
      </c>
      <c r="P1970">
        <v>-8.4209263270121598E-2</v>
      </c>
      <c r="Q1970">
        <v>0.30553884886545202</v>
      </c>
      <c r="R1970">
        <v>0.96025405727890101</v>
      </c>
      <c r="S1970" t="s">
        <v>8973</v>
      </c>
      <c r="T1970" t="s">
        <v>14004</v>
      </c>
      <c r="U1970" t="s">
        <v>14004</v>
      </c>
      <c r="V1970" t="s">
        <v>14004</v>
      </c>
      <c r="W1970" t="s">
        <v>15938</v>
      </c>
      <c r="X1970">
        <v>4</v>
      </c>
      <c r="Y1970" t="s">
        <v>22856</v>
      </c>
      <c r="Z1970" t="s">
        <v>29680</v>
      </c>
      <c r="AA1970">
        <v>0.72502383004568927</v>
      </c>
      <c r="AB1970" t="str">
        <f>HYPERLINK("Melting_Curves/meltCurve_P01848_TRAC.pdf", "Melting_Curves/meltCurve_P01848_TRAC.pdf")</f>
        <v>Melting_Curves/meltCurve_P01848_TRAC.pdf</v>
      </c>
    </row>
    <row r="1971" spans="1:28" x14ac:dyDescent="0.25">
      <c r="A1971" t="s">
        <v>1975</v>
      </c>
      <c r="B1971">
        <v>0.99999676499088797</v>
      </c>
      <c r="C1971">
        <v>1.0243495745090301</v>
      </c>
      <c r="D1971">
        <v>1.0020354592921801</v>
      </c>
      <c r="E1971">
        <v>0.91819815111443104</v>
      </c>
      <c r="F1971">
        <v>0.71391282655949695</v>
      </c>
      <c r="G1971">
        <v>0.59158865160725305</v>
      </c>
      <c r="H1971">
        <v>0.36570341667312301</v>
      </c>
      <c r="I1971">
        <v>0.24054783740101701</v>
      </c>
      <c r="J1971">
        <v>0.173136563768028</v>
      </c>
      <c r="K1971">
        <v>0.17188515530488499</v>
      </c>
      <c r="L1971">
        <v>819.40411356703498</v>
      </c>
      <c r="M1971">
        <v>14.3742344734165</v>
      </c>
      <c r="N1971">
        <v>57.874787839206803</v>
      </c>
      <c r="O1971">
        <v>55.9358153898879</v>
      </c>
      <c r="P1971">
        <v>-5.8010730638956398E-2</v>
      </c>
      <c r="Q1971">
        <v>9.7137246224439797E-2</v>
      </c>
      <c r="R1971">
        <v>0.99468843268252505</v>
      </c>
      <c r="S1971" t="s">
        <v>8974</v>
      </c>
      <c r="T1971" t="s">
        <v>14004</v>
      </c>
      <c r="U1971" t="s">
        <v>14004</v>
      </c>
      <c r="V1971" t="s">
        <v>14004</v>
      </c>
      <c r="W1971" t="s">
        <v>15939</v>
      </c>
      <c r="X1971">
        <v>4</v>
      </c>
      <c r="Y1971" t="s">
        <v>22857</v>
      </c>
      <c r="Z1971" t="s">
        <v>29681</v>
      </c>
      <c r="AA1971">
        <v>0.62350218136406399</v>
      </c>
      <c r="AB1971" t="str">
        <f>HYPERLINK("Melting_Curves/meltCurve_P01850_TRBC1.pdf", "Melting_Curves/meltCurve_P01850_TRBC1.pdf")</f>
        <v>Melting_Curves/meltCurve_P01850_TRBC1.pdf</v>
      </c>
    </row>
    <row r="1972" spans="1:28" x14ac:dyDescent="0.25">
      <c r="A1972" t="s">
        <v>1976</v>
      </c>
      <c r="B1972">
        <v>0.99999676499088797</v>
      </c>
      <c r="C1972">
        <v>1.28879050342201</v>
      </c>
      <c r="D1972">
        <v>1.5524476371114799</v>
      </c>
      <c r="E1972">
        <v>1.1870844998527701</v>
      </c>
      <c r="F1972">
        <v>10.191389372342501</v>
      </c>
      <c r="G1972">
        <v>1.0242446379224599</v>
      </c>
      <c r="H1972">
        <v>0.68393217884056601</v>
      </c>
      <c r="I1972">
        <v>0.61522561822796695</v>
      </c>
      <c r="J1972">
        <v>0.376009286707368</v>
      </c>
      <c r="K1972">
        <v>0.44187054956871502</v>
      </c>
      <c r="L1972">
        <v>3966.7210797154899</v>
      </c>
      <c r="M1972">
        <v>65.464026434060003</v>
      </c>
      <c r="N1972">
        <v>63.2336536516083</v>
      </c>
      <c r="O1972">
        <v>60.537429739010499</v>
      </c>
      <c r="P1972">
        <v>-0.14396337669249801</v>
      </c>
      <c r="Q1972">
        <v>0.46748332732986703</v>
      </c>
      <c r="R1972">
        <v>-7.6971260170929603E-2</v>
      </c>
      <c r="S1972" t="s">
        <v>8975</v>
      </c>
      <c r="T1972" t="s">
        <v>14004</v>
      </c>
      <c r="U1972" t="s">
        <v>14004</v>
      </c>
      <c r="V1972" t="s">
        <v>14004</v>
      </c>
      <c r="W1972" t="s">
        <v>15940</v>
      </c>
      <c r="X1972">
        <v>3</v>
      </c>
      <c r="Y1972" t="s">
        <v>22858</v>
      </c>
      <c r="Z1972" t="s">
        <v>29682</v>
      </c>
      <c r="AA1972">
        <v>0.83386153436869825</v>
      </c>
      <c r="AB1972" t="str">
        <f>HYPERLINK("Melting_Curves/meltCurve_P01857_IGHG1.pdf", "Melting_Curves/meltCurve_P01857_IGHG1.pdf")</f>
        <v>Melting_Curves/meltCurve_P01857_IGHG1.pdf</v>
      </c>
    </row>
    <row r="1973" spans="1:28" x14ac:dyDescent="0.25">
      <c r="A1973" t="s">
        <v>1977</v>
      </c>
      <c r="B1973">
        <v>0.99999676499088797</v>
      </c>
      <c r="C1973">
        <v>1.06735643037012</v>
      </c>
      <c r="D1973">
        <v>1.51735899706315</v>
      </c>
      <c r="E1973">
        <v>0.76563013365409105</v>
      </c>
      <c r="F1973">
        <v>13.9505197195517</v>
      </c>
      <c r="G1973">
        <v>0.54918361369166901</v>
      </c>
      <c r="H1973">
        <v>0.51588968748970998</v>
      </c>
      <c r="I1973">
        <v>0.27318967013276302</v>
      </c>
      <c r="J1973">
        <v>0.25627394817230598</v>
      </c>
      <c r="K1973">
        <v>0.23466521905311699</v>
      </c>
      <c r="L1973">
        <v>3526.86133467023</v>
      </c>
      <c r="M1973">
        <v>58.844067453663001</v>
      </c>
      <c r="N1973">
        <v>60.667285282005601</v>
      </c>
      <c r="O1973">
        <v>59.866612166586698</v>
      </c>
      <c r="P1973">
        <v>-0.18329621636580801</v>
      </c>
      <c r="Q1973">
        <v>0.25407477253234501</v>
      </c>
      <c r="R1973">
        <v>-5.2217871385400502E-2</v>
      </c>
      <c r="S1973" t="s">
        <v>8976</v>
      </c>
      <c r="T1973" t="s">
        <v>14004</v>
      </c>
      <c r="U1973" t="s">
        <v>14004</v>
      </c>
      <c r="V1973" t="s">
        <v>14004</v>
      </c>
      <c r="W1973" t="s">
        <v>15941</v>
      </c>
      <c r="X1973">
        <v>9</v>
      </c>
      <c r="Y1973" t="s">
        <v>22859</v>
      </c>
      <c r="Z1973" t="s">
        <v>29683</v>
      </c>
      <c r="AA1973">
        <v>0.75117387848196315</v>
      </c>
      <c r="AB1973" t="str">
        <f>HYPERLINK("Melting_Curves/meltCurve_P01876_IGHA1.pdf", "Melting_Curves/meltCurve_P01876_IGHA1.pdf")</f>
        <v>Melting_Curves/meltCurve_P01876_IGHA1.pdf</v>
      </c>
    </row>
    <row r="1974" spans="1:28" x14ac:dyDescent="0.25">
      <c r="A1974" t="s">
        <v>1978</v>
      </c>
      <c r="B1974">
        <v>0.99999676499088797</v>
      </c>
      <c r="C1974">
        <v>0.96495841512275005</v>
      </c>
      <c r="D1974">
        <v>0.98033452592062997</v>
      </c>
      <c r="E1974">
        <v>0.94865127288429896</v>
      </c>
      <c r="F1974">
        <v>0.91412821033234104</v>
      </c>
      <c r="G1974">
        <v>0.74156100978462602</v>
      </c>
      <c r="H1974">
        <v>0.50539858932097204</v>
      </c>
      <c r="I1974">
        <v>0.43970513538548101</v>
      </c>
      <c r="J1974">
        <v>0.355073482774376</v>
      </c>
      <c r="K1974">
        <v>0.323894056523647</v>
      </c>
      <c r="L1974">
        <v>1055.21087205051</v>
      </c>
      <c r="M1974">
        <v>18.0619172362101</v>
      </c>
      <c r="N1974">
        <v>61.462267874064601</v>
      </c>
      <c r="O1974">
        <v>57.719845421144598</v>
      </c>
      <c r="P1974">
        <v>-5.5125317846687699E-2</v>
      </c>
      <c r="Q1974">
        <v>0.29538600215601302</v>
      </c>
      <c r="R1974">
        <v>0.99530658016196005</v>
      </c>
      <c r="S1974" t="s">
        <v>8977</v>
      </c>
      <c r="T1974" t="s">
        <v>14004</v>
      </c>
      <c r="U1974" t="s">
        <v>14004</v>
      </c>
      <c r="V1974" t="s">
        <v>14004</v>
      </c>
      <c r="W1974" t="s">
        <v>15942</v>
      </c>
      <c r="X1974">
        <v>25</v>
      </c>
      <c r="Y1974" t="s">
        <v>22860</v>
      </c>
      <c r="Z1974" t="s">
        <v>29684</v>
      </c>
      <c r="AA1974">
        <v>0.73627377717690723</v>
      </c>
      <c r="AB1974" t="str">
        <f>HYPERLINK("Melting_Curves/meltCurve_P01889_HLA_B.pdf", "Melting_Curves/meltCurve_P01889_HLA_B.pdf")</f>
        <v>Melting_Curves/meltCurve_P01889_HLA_B.pdf</v>
      </c>
    </row>
    <row r="1975" spans="1:28" x14ac:dyDescent="0.25">
      <c r="A1975" t="s">
        <v>1979</v>
      </c>
      <c r="B1975">
        <v>0.99999676499088797</v>
      </c>
      <c r="C1975">
        <v>1.05005736579511</v>
      </c>
      <c r="D1975">
        <v>1.0360156488185599</v>
      </c>
      <c r="E1975">
        <v>0.94812539363770398</v>
      </c>
      <c r="F1975">
        <v>0.89307136968544598</v>
      </c>
      <c r="G1975">
        <v>0.796964325287569</v>
      </c>
      <c r="H1975">
        <v>0.41892044343753299</v>
      </c>
      <c r="I1975">
        <v>0.417541473996146</v>
      </c>
      <c r="J1975">
        <v>0.21013315177008099</v>
      </c>
      <c r="K1975">
        <v>0.372465695398562</v>
      </c>
      <c r="L1975">
        <v>1533.8915114260601</v>
      </c>
      <c r="M1975">
        <v>26.383903602101402</v>
      </c>
      <c r="N1975">
        <v>60.179666508141302</v>
      </c>
      <c r="O1975">
        <v>57.8064933696498</v>
      </c>
      <c r="P1975">
        <v>-8.0356518153272397E-2</v>
      </c>
      <c r="Q1975">
        <v>0.29577091753948498</v>
      </c>
      <c r="R1975">
        <v>0.96546700763120397</v>
      </c>
      <c r="S1975" t="s">
        <v>8978</v>
      </c>
      <c r="T1975" t="s">
        <v>14004</v>
      </c>
      <c r="U1975" t="s">
        <v>14004</v>
      </c>
      <c r="V1975" t="s">
        <v>14004</v>
      </c>
      <c r="W1975" t="s">
        <v>15943</v>
      </c>
      <c r="X1975">
        <v>2</v>
      </c>
      <c r="Y1975" t="s">
        <v>22861</v>
      </c>
      <c r="Z1975" t="s">
        <v>29685</v>
      </c>
      <c r="AA1975">
        <v>0.72717412143865401</v>
      </c>
      <c r="AB1975" t="str">
        <f>HYPERLINK("Melting_Curves/meltCurve_P02008_HBZ.pdf", "Melting_Curves/meltCurve_P02008_HBZ.pdf")</f>
        <v>Melting_Curves/meltCurve_P02008_HBZ.pdf</v>
      </c>
    </row>
    <row r="1976" spans="1:28" x14ac:dyDescent="0.25">
      <c r="A1976" t="s">
        <v>1980</v>
      </c>
      <c r="B1976">
        <v>0.99999676499088797</v>
      </c>
      <c r="C1976">
        <v>0.90292383116227304</v>
      </c>
      <c r="D1976">
        <v>1.0160644581109901</v>
      </c>
      <c r="E1976">
        <v>0.91471709790654998</v>
      </c>
      <c r="F1976">
        <v>0.70210468348617505</v>
      </c>
      <c r="G1976">
        <v>0.43681003151706399</v>
      </c>
      <c r="H1976">
        <v>0.21718825044764201</v>
      </c>
      <c r="I1976">
        <v>0.24455101926812201</v>
      </c>
      <c r="J1976">
        <v>0.23196373955172001</v>
      </c>
      <c r="K1976">
        <v>0.32163532674638101</v>
      </c>
      <c r="L1976">
        <v>1434.59937802237</v>
      </c>
      <c r="M1976">
        <v>26.5426589358913</v>
      </c>
      <c r="N1976">
        <v>55.4625768115339</v>
      </c>
      <c r="O1976">
        <v>53.744821095718002</v>
      </c>
      <c r="P1976">
        <v>-9.3116210395193702E-2</v>
      </c>
      <c r="Q1976">
        <v>0.245823726130699</v>
      </c>
      <c r="R1976">
        <v>0.97954214280874097</v>
      </c>
      <c r="S1976" t="s">
        <v>8979</v>
      </c>
      <c r="T1976" t="s">
        <v>14004</v>
      </c>
      <c r="U1976" t="s">
        <v>14004</v>
      </c>
      <c r="V1976" t="s">
        <v>14004</v>
      </c>
      <c r="W1976" t="s">
        <v>15944</v>
      </c>
      <c r="X1976">
        <v>9</v>
      </c>
      <c r="Y1976" t="s">
        <v>22862</v>
      </c>
      <c r="Z1976" t="s">
        <v>29686</v>
      </c>
      <c r="AA1976">
        <v>0.60525173301580171</v>
      </c>
      <c r="AB1976" t="str">
        <f>HYPERLINK("Melting_Curves/meltCurve_P02545_LMNA.pdf", "Melting_Curves/meltCurve_P02545_LMNA.pdf")</f>
        <v>Melting_Curves/meltCurve_P02545_LMNA.pdf</v>
      </c>
    </row>
    <row r="1977" spans="1:28" x14ac:dyDescent="0.25">
      <c r="A1977" t="s">
        <v>1981</v>
      </c>
      <c r="B1977">
        <v>0.99999676499088797</v>
      </c>
      <c r="C1977">
        <v>1.36883887900095</v>
      </c>
      <c r="D1977">
        <v>1.06397685924146</v>
      </c>
      <c r="E1977">
        <v>0.84894813441149197</v>
      </c>
      <c r="F1977">
        <v>0.68111487066022303</v>
      </c>
      <c r="G1977">
        <v>0.51540509502605003</v>
      </c>
      <c r="H1977">
        <v>0.25101015800721399</v>
      </c>
      <c r="I1977">
        <v>0.44420840403411799</v>
      </c>
      <c r="J1977">
        <v>0.27109380500100599</v>
      </c>
      <c r="K1977">
        <v>0.24482666551976501</v>
      </c>
      <c r="L1977">
        <v>1136.9632482736199</v>
      </c>
      <c r="M1977">
        <v>21.084788850639999</v>
      </c>
      <c r="N1977">
        <v>56.170904406978998</v>
      </c>
      <c r="O1977">
        <v>53.4453650529152</v>
      </c>
      <c r="P1977">
        <v>-7.0527577652428702E-2</v>
      </c>
      <c r="Q1977">
        <v>0.28493046152760199</v>
      </c>
      <c r="R1977">
        <v>0.86907366286083898</v>
      </c>
      <c r="S1977" t="s">
        <v>8980</v>
      </c>
      <c r="T1977" t="s">
        <v>14004</v>
      </c>
      <c r="U1977" t="s">
        <v>14004</v>
      </c>
      <c r="V1977" t="s">
        <v>14004</v>
      </c>
      <c r="W1977" t="s">
        <v>15945</v>
      </c>
      <c r="X1977">
        <v>1</v>
      </c>
      <c r="Y1977" t="s">
        <v>22863</v>
      </c>
      <c r="Z1977" t="s">
        <v>29687</v>
      </c>
      <c r="AA1977">
        <v>0.62572309275368332</v>
      </c>
      <c r="AB1977" t="str">
        <f>HYPERLINK("Melting_Curves/meltCurve_P02763_ORM1.pdf", "Melting_Curves/meltCurve_P02763_ORM1.pdf")</f>
        <v>Melting_Curves/meltCurve_P02763_ORM1.pdf</v>
      </c>
    </row>
    <row r="1978" spans="1:28" x14ac:dyDescent="0.25">
      <c r="A1978" t="s">
        <v>1982</v>
      </c>
      <c r="B1978">
        <v>0.99999676499088797</v>
      </c>
      <c r="C1978">
        <v>0.90509085248560595</v>
      </c>
      <c r="D1978">
        <v>0.70392027999906503</v>
      </c>
      <c r="E1978">
        <v>0.49491288862082899</v>
      </c>
      <c r="F1978">
        <v>0.37380000275897801</v>
      </c>
      <c r="G1978">
        <v>0.33853327142216599</v>
      </c>
      <c r="H1978">
        <v>0.209025369902858</v>
      </c>
      <c r="I1978">
        <v>0.242554617765042</v>
      </c>
      <c r="J1978">
        <v>0.27797681478849801</v>
      </c>
      <c r="K1978">
        <v>0.16957631390618699</v>
      </c>
      <c r="L1978">
        <v>723.90168566794796</v>
      </c>
      <c r="M1978">
        <v>15.118788536545599</v>
      </c>
      <c r="N1978">
        <v>49.794784349046402</v>
      </c>
      <c r="O1978">
        <v>47.066706852718099</v>
      </c>
      <c r="P1978">
        <v>-6.2615558425250101E-2</v>
      </c>
      <c r="Q1978">
        <v>0.22035603560018999</v>
      </c>
      <c r="R1978">
        <v>0.984083601141158</v>
      </c>
      <c r="S1978" t="s">
        <v>8981</v>
      </c>
      <c r="T1978" t="s">
        <v>14004</v>
      </c>
      <c r="U1978" t="s">
        <v>14004</v>
      </c>
      <c r="V1978" t="s">
        <v>14004</v>
      </c>
      <c r="W1978" t="s">
        <v>15946</v>
      </c>
      <c r="X1978">
        <v>2</v>
      </c>
      <c r="Y1978" t="s">
        <v>22864</v>
      </c>
      <c r="Z1978" t="s">
        <v>29688</v>
      </c>
      <c r="AA1978">
        <v>0.44502970823340782</v>
      </c>
      <c r="AB1978" t="str">
        <f>HYPERLINK("Melting_Curves/meltCurve_P02766_TTR.pdf", "Melting_Curves/meltCurve_P02766_TTR.pdf")</f>
        <v>Melting_Curves/meltCurve_P02766_TTR.pdf</v>
      </c>
    </row>
    <row r="1979" spans="1:28" x14ac:dyDescent="0.25">
      <c r="A1979" t="s">
        <v>1983</v>
      </c>
      <c r="B1979">
        <v>0.99999676499088797</v>
      </c>
      <c r="C1979">
        <v>1.0612377999002001</v>
      </c>
      <c r="D1979">
        <v>1.06990278451249</v>
      </c>
      <c r="E1979">
        <v>1.10629717277103</v>
      </c>
      <c r="F1979">
        <v>1.0413097223818899</v>
      </c>
      <c r="G1979">
        <v>1.0075181469964101</v>
      </c>
      <c r="H1979">
        <v>0.72975643977371096</v>
      </c>
      <c r="I1979">
        <v>0.57409194593009605</v>
      </c>
      <c r="J1979">
        <v>0.29818534154500398</v>
      </c>
      <c r="K1979">
        <v>0.25068167352191301</v>
      </c>
      <c r="L1979">
        <v>1635.89375328694</v>
      </c>
      <c r="M1979">
        <v>25.872579740323701</v>
      </c>
      <c r="N1979">
        <v>64.328459746387594</v>
      </c>
      <c r="O1979">
        <v>62.854735416186699</v>
      </c>
      <c r="P1979">
        <v>-8.4517194433137599E-2</v>
      </c>
      <c r="Q1979">
        <v>0.17870656720283901</v>
      </c>
      <c r="R1979">
        <v>0.96832468621421697</v>
      </c>
      <c r="S1979" t="s">
        <v>8982</v>
      </c>
      <c r="T1979" t="s">
        <v>14004</v>
      </c>
      <c r="U1979" t="s">
        <v>14004</v>
      </c>
      <c r="V1979" t="s">
        <v>14004</v>
      </c>
      <c r="W1979" t="s">
        <v>15947</v>
      </c>
      <c r="X1979">
        <v>54</v>
      </c>
      <c r="Y1979" t="s">
        <v>22865</v>
      </c>
      <c r="Z1979" t="s">
        <v>29689</v>
      </c>
      <c r="AA1979">
        <v>0.81621729713212221</v>
      </c>
      <c r="AB1979" t="str">
        <f>HYPERLINK("Melting_Curves/meltCurve_P02786_TFRC.pdf", "Melting_Curves/meltCurve_P02786_TFRC.pdf")</f>
        <v>Melting_Curves/meltCurve_P02786_TFRC.pdf</v>
      </c>
    </row>
    <row r="1980" spans="1:28" x14ac:dyDescent="0.25">
      <c r="A1980" t="s">
        <v>1984</v>
      </c>
      <c r="B1980">
        <v>0.99999676499088797</v>
      </c>
      <c r="C1980">
        <v>1.11968382096107</v>
      </c>
      <c r="D1980">
        <v>1.10500946195182</v>
      </c>
      <c r="E1980">
        <v>1.0062446488348999</v>
      </c>
      <c r="F1980">
        <v>0.64738521228129298</v>
      </c>
      <c r="G1980">
        <v>0.76264562072882203</v>
      </c>
      <c r="H1980">
        <v>0.60615434156877002</v>
      </c>
      <c r="I1980">
        <v>0.70886918868239301</v>
      </c>
      <c r="J1980">
        <v>0.70645443872772495</v>
      </c>
      <c r="K1980">
        <v>0.30819001098903898</v>
      </c>
      <c r="S1980" t="s">
        <v>8983</v>
      </c>
      <c r="T1980" t="s">
        <v>14004</v>
      </c>
      <c r="U1980" t="s">
        <v>14005</v>
      </c>
      <c r="V1980" t="s">
        <v>14004</v>
      </c>
      <c r="W1980" t="s">
        <v>15948</v>
      </c>
      <c r="X1980">
        <v>2</v>
      </c>
      <c r="Y1980" t="s">
        <v>22866</v>
      </c>
      <c r="Z1980" t="s">
        <v>29690</v>
      </c>
      <c r="AB1980" t="str">
        <f>HYPERLINK("Melting_Curves/meltCurve_P02792_FTL.pdf", "Melting_Curves/meltCurve_P02792_FTL.pdf")</f>
        <v>Melting_Curves/meltCurve_P02792_FTL.pdf</v>
      </c>
    </row>
    <row r="1981" spans="1:28" x14ac:dyDescent="0.25">
      <c r="A1981" t="s">
        <v>1985</v>
      </c>
      <c r="B1981">
        <v>0.99999676499088797</v>
      </c>
      <c r="C1981">
        <v>0.98424874875471302</v>
      </c>
      <c r="D1981">
        <v>0.97310263815393605</v>
      </c>
      <c r="E1981">
        <v>0.68210280930983602</v>
      </c>
      <c r="F1981">
        <v>0.82597117569636402</v>
      </c>
      <c r="G1981">
        <v>0.56315601428471196</v>
      </c>
      <c r="H1981">
        <v>0.45333755501478601</v>
      </c>
      <c r="I1981">
        <v>0.36133221341530303</v>
      </c>
      <c r="J1981">
        <v>0.32428512541098298</v>
      </c>
      <c r="K1981">
        <v>0.46261744671506</v>
      </c>
      <c r="L1981">
        <v>646.34013507126997</v>
      </c>
      <c r="M1981">
        <v>11.945453762978</v>
      </c>
      <c r="N1981">
        <v>59.2934283250625</v>
      </c>
      <c r="O1981">
        <v>52.658132955853503</v>
      </c>
      <c r="P1981">
        <v>-3.83406752036256E-2</v>
      </c>
      <c r="Q1981">
        <v>0.32411000985066002</v>
      </c>
      <c r="R1981">
        <v>0.910695660826084</v>
      </c>
      <c r="S1981" t="s">
        <v>8984</v>
      </c>
      <c r="T1981" t="s">
        <v>14004</v>
      </c>
      <c r="U1981" t="s">
        <v>14004</v>
      </c>
      <c r="V1981" t="s">
        <v>14004</v>
      </c>
      <c r="W1981" t="s">
        <v>15949</v>
      </c>
      <c r="X1981">
        <v>4</v>
      </c>
      <c r="Y1981" t="s">
        <v>22867</v>
      </c>
      <c r="Z1981" t="s">
        <v>29691</v>
      </c>
      <c r="AA1981">
        <v>0.65949150979944582</v>
      </c>
      <c r="AB1981" t="str">
        <f>HYPERLINK("Melting_Curves/meltCurve_P02794_FTH1.pdf", "Melting_Curves/meltCurve_P02794_FTH1.pdf")</f>
        <v>Melting_Curves/meltCurve_P02794_FTH1.pdf</v>
      </c>
    </row>
    <row r="1982" spans="1:28" x14ac:dyDescent="0.25">
      <c r="A1982" t="s">
        <v>1986</v>
      </c>
      <c r="B1982">
        <v>0.99999676499088797</v>
      </c>
      <c r="C1982">
        <v>1.2289775827823799</v>
      </c>
      <c r="D1982">
        <v>1.16159884166175</v>
      </c>
      <c r="E1982">
        <v>0.92564954446629</v>
      </c>
      <c r="F1982">
        <v>0.97021824666205303</v>
      </c>
      <c r="G1982">
        <v>0.79205304979868096</v>
      </c>
      <c r="H1982">
        <v>0.36601623180089898</v>
      </c>
      <c r="I1982">
        <v>0.69902867871308305</v>
      </c>
      <c r="J1982">
        <v>0.36734323238206201</v>
      </c>
      <c r="K1982">
        <v>0.75794688249681397</v>
      </c>
      <c r="L1982">
        <v>14209.1905894966</v>
      </c>
      <c r="M1982">
        <v>250</v>
      </c>
      <c r="O1982">
        <v>56.833126665123899</v>
      </c>
      <c r="P1982">
        <v>-0.497527015441521</v>
      </c>
      <c r="Q1982">
        <v>0.54758375812383897</v>
      </c>
      <c r="R1982">
        <v>0.72097720566144397</v>
      </c>
      <c r="S1982" t="s">
        <v>8985</v>
      </c>
      <c r="T1982" t="s">
        <v>14004</v>
      </c>
      <c r="U1982" t="s">
        <v>14004</v>
      </c>
      <c r="V1982" t="s">
        <v>14004</v>
      </c>
      <c r="W1982" t="s">
        <v>15950</v>
      </c>
      <c r="X1982">
        <v>4</v>
      </c>
      <c r="Y1982" t="s">
        <v>22868</v>
      </c>
      <c r="Z1982" t="s">
        <v>29692</v>
      </c>
      <c r="AA1982">
        <v>0.80153637728533478</v>
      </c>
      <c r="AB1982" t="str">
        <f>HYPERLINK("Melting_Curves/meltCurve_P02795_MT2A.pdf", "Melting_Curves/meltCurve_P02795_MT2A.pdf")</f>
        <v>Melting_Curves/meltCurve_P02795_MT2A.pdf</v>
      </c>
    </row>
    <row r="1983" spans="1:28" x14ac:dyDescent="0.25">
      <c r="A1983" t="s">
        <v>1987</v>
      </c>
      <c r="B1983">
        <v>0.99999676499088797</v>
      </c>
      <c r="C1983">
        <v>1.6759657642700301</v>
      </c>
      <c r="D1983">
        <v>2.34996510629023</v>
      </c>
      <c r="E1983">
        <v>1.4539759135116199</v>
      </c>
      <c r="F1983">
        <v>1.2504711840176601</v>
      </c>
      <c r="G1983">
        <v>1.54220103462215</v>
      </c>
      <c r="H1983">
        <v>0.55347612214187403</v>
      </c>
      <c r="I1983">
        <v>1.37683697876375</v>
      </c>
      <c r="J1983">
        <v>0.96319472224911895</v>
      </c>
      <c r="K1983">
        <v>1.97787363555107</v>
      </c>
      <c r="L1983">
        <v>10241.762448932001</v>
      </c>
      <c r="M1983">
        <v>250</v>
      </c>
      <c r="O1983">
        <v>40.964406585346801</v>
      </c>
      <c r="P1983">
        <v>0.70249990629201797</v>
      </c>
      <c r="Q1983">
        <v>1.46044011274277</v>
      </c>
      <c r="R1983">
        <v>7.8717865050779601E-2</v>
      </c>
      <c r="S1983" t="s">
        <v>8986</v>
      </c>
      <c r="T1983" t="s">
        <v>14004</v>
      </c>
      <c r="U1983" t="s">
        <v>14004</v>
      </c>
      <c r="V1983" t="s">
        <v>14004</v>
      </c>
      <c r="W1983" t="s">
        <v>15951</v>
      </c>
      <c r="X1983">
        <v>1</v>
      </c>
      <c r="Y1983" t="s">
        <v>22869</v>
      </c>
      <c r="Z1983" t="s">
        <v>29693</v>
      </c>
      <c r="AA1983">
        <v>1.445559088262879</v>
      </c>
      <c r="AB1983" t="str">
        <f>HYPERLINK("Melting_Curves/meltCurve_P02814_SMR3B.pdf", "Melting_Curves/meltCurve_P02814_SMR3B.pdf")</f>
        <v>Melting_Curves/meltCurve_P02814_SMR3B.pdf</v>
      </c>
    </row>
    <row r="1984" spans="1:28" x14ac:dyDescent="0.25">
      <c r="A1984" t="s">
        <v>1988</v>
      </c>
      <c r="B1984">
        <v>0.99999676499088797</v>
      </c>
      <c r="C1984">
        <v>0.93097398513174201</v>
      </c>
      <c r="D1984">
        <v>1.01062119393427</v>
      </c>
      <c r="E1984">
        <v>0.88744437338361104</v>
      </c>
      <c r="F1984">
        <v>0.83705400724245205</v>
      </c>
      <c r="G1984">
        <v>0.59458073816784496</v>
      </c>
      <c r="H1984">
        <v>0.40391566059512302</v>
      </c>
      <c r="I1984">
        <v>0.29864015448549303</v>
      </c>
      <c r="J1984">
        <v>0.27548935889193599</v>
      </c>
      <c r="K1984">
        <v>0.344793720931935</v>
      </c>
      <c r="L1984">
        <v>1105.0721105390301</v>
      </c>
      <c r="M1984">
        <v>19.7310081650411</v>
      </c>
      <c r="N1984">
        <v>58.396442727172499</v>
      </c>
      <c r="O1984">
        <v>55.441094627216501</v>
      </c>
      <c r="P1984">
        <v>-6.4330539063846698E-2</v>
      </c>
      <c r="Q1984">
        <v>0.27698918706602998</v>
      </c>
      <c r="R1984">
        <v>0.98315259152282797</v>
      </c>
      <c r="S1984" t="s">
        <v>8987</v>
      </c>
      <c r="T1984" t="s">
        <v>14004</v>
      </c>
      <c r="U1984" t="s">
        <v>14004</v>
      </c>
      <c r="V1984" t="s">
        <v>14004</v>
      </c>
      <c r="W1984" t="s">
        <v>15952</v>
      </c>
      <c r="X1984">
        <v>1</v>
      </c>
      <c r="Y1984" t="s">
        <v>22870</v>
      </c>
      <c r="Z1984" t="s">
        <v>29694</v>
      </c>
      <c r="AA1984">
        <v>0.67224290087772998</v>
      </c>
      <c r="AB1984" t="str">
        <f>HYPERLINK("Melting_Curves/meltCurve_P03897_MT_ND3.pdf", "Melting_Curves/meltCurve_P03897_MT_ND3.pdf")</f>
        <v>Melting_Curves/meltCurve_P03897_MT_ND3.pdf</v>
      </c>
    </row>
    <row r="1985" spans="1:28" x14ac:dyDescent="0.25">
      <c r="A1985" t="s">
        <v>1989</v>
      </c>
      <c r="B1985">
        <v>0.99999676499088797</v>
      </c>
      <c r="C1985">
        <v>0.93704297146692805</v>
      </c>
      <c r="D1985">
        <v>1.0837283613048401</v>
      </c>
      <c r="E1985">
        <v>1.1270508634249099</v>
      </c>
      <c r="F1985">
        <v>0.83465068387841701</v>
      </c>
      <c r="G1985">
        <v>1.08744229520453</v>
      </c>
      <c r="H1985">
        <v>0.58676837495193701</v>
      </c>
      <c r="I1985">
        <v>0.364061669134221</v>
      </c>
      <c r="J1985">
        <v>0.23000461201476899</v>
      </c>
      <c r="K1985">
        <v>0.158896562528556</v>
      </c>
      <c r="L1985">
        <v>2466.7064074966302</v>
      </c>
      <c r="M1985">
        <v>40.395659159635102</v>
      </c>
      <c r="N1985">
        <v>61.837210326039802</v>
      </c>
      <c r="O1985">
        <v>60.9145920480426</v>
      </c>
      <c r="P1985">
        <v>-0.132904656345431</v>
      </c>
      <c r="Q1985">
        <v>0.198348059948672</v>
      </c>
      <c r="R1985">
        <v>0.93934444861543898</v>
      </c>
      <c r="S1985" t="s">
        <v>8988</v>
      </c>
      <c r="T1985" t="s">
        <v>14004</v>
      </c>
      <c r="U1985" t="s">
        <v>14004</v>
      </c>
      <c r="V1985" t="s">
        <v>14004</v>
      </c>
      <c r="W1985" t="s">
        <v>15953</v>
      </c>
      <c r="X1985">
        <v>4</v>
      </c>
      <c r="Y1985" t="s">
        <v>22871</v>
      </c>
      <c r="Z1985" t="s">
        <v>29695</v>
      </c>
      <c r="AA1985">
        <v>0.76419956001233458</v>
      </c>
      <c r="AB1985" t="str">
        <f>HYPERLINK("Melting_Curves/meltCurve_P03928_MT_ATP8.pdf", "Melting_Curves/meltCurve_P03928_MT_ATP8.pdf")</f>
        <v>Melting_Curves/meltCurve_P03928_MT_ATP8.pdf</v>
      </c>
    </row>
    <row r="1986" spans="1:28" x14ac:dyDescent="0.25">
      <c r="A1986" t="s">
        <v>1990</v>
      </c>
      <c r="B1986">
        <v>0.99999676499088797</v>
      </c>
      <c r="C1986">
        <v>0.99775964279068396</v>
      </c>
      <c r="D1986">
        <v>1.11585296302501</v>
      </c>
      <c r="E1986">
        <v>1.36479707648015</v>
      </c>
      <c r="F1986">
        <v>1.5571386477442799</v>
      </c>
      <c r="G1986">
        <v>1.52379593806706</v>
      </c>
      <c r="H1986">
        <v>0.77863190659876802</v>
      </c>
      <c r="I1986">
        <v>0.77144510027912905</v>
      </c>
      <c r="J1986">
        <v>0.65890231149547296</v>
      </c>
      <c r="K1986">
        <v>0.38869605873128499</v>
      </c>
      <c r="L1986">
        <v>1694.8514059177801</v>
      </c>
      <c r="M1986">
        <v>25.375110025568699</v>
      </c>
      <c r="N1986">
        <v>68.472457349353107</v>
      </c>
      <c r="O1986">
        <v>66.381206998215305</v>
      </c>
      <c r="P1986">
        <v>-7.3416524601654307E-2</v>
      </c>
      <c r="Q1986">
        <v>0.23178016928197501</v>
      </c>
      <c r="R1986">
        <v>0.41300150765829002</v>
      </c>
      <c r="S1986" t="s">
        <v>8989</v>
      </c>
      <c r="T1986" t="s">
        <v>14004</v>
      </c>
      <c r="U1986" t="s">
        <v>14004</v>
      </c>
      <c r="V1986" t="s">
        <v>14004</v>
      </c>
      <c r="W1986" t="s">
        <v>15954</v>
      </c>
      <c r="X1986">
        <v>1</v>
      </c>
      <c r="Y1986" t="s">
        <v>22872</v>
      </c>
      <c r="Z1986" t="s">
        <v>29696</v>
      </c>
      <c r="AA1986">
        <v>0.90459181049194326</v>
      </c>
      <c r="AB1986" t="str">
        <f>HYPERLINK("Melting_Curves/meltCurve_P03971_AMH.pdf", "Melting_Curves/meltCurve_P03971_AMH.pdf")</f>
        <v>Melting_Curves/meltCurve_P03971_AMH.pdf</v>
      </c>
    </row>
    <row r="1987" spans="1:28" x14ac:dyDescent="0.25">
      <c r="A1987" t="s">
        <v>1991</v>
      </c>
      <c r="B1987">
        <v>0.99999676499088797</v>
      </c>
      <c r="C1987">
        <v>1.0964616985923901</v>
      </c>
      <c r="D1987">
        <v>1.1818147979976701</v>
      </c>
      <c r="E1987">
        <v>0.80684865568187503</v>
      </c>
      <c r="F1987">
        <v>5.5003541212637703</v>
      </c>
      <c r="G1987">
        <v>0.53639855960707705</v>
      </c>
      <c r="H1987">
        <v>0.38715680232757499</v>
      </c>
      <c r="I1987">
        <v>0.39191811179298602</v>
      </c>
      <c r="J1987">
        <v>0.36218670568431299</v>
      </c>
      <c r="K1987">
        <v>0.269446853464828</v>
      </c>
      <c r="L1987">
        <v>14147.4270143506</v>
      </c>
      <c r="M1987">
        <v>250</v>
      </c>
      <c r="N1987">
        <v>56.867661593680999</v>
      </c>
      <c r="O1987">
        <v>56.586086688427898</v>
      </c>
      <c r="P1987">
        <v>-0.71497616964603095</v>
      </c>
      <c r="Q1987">
        <v>0.35267674447231101</v>
      </c>
      <c r="R1987">
        <v>7.5283902540803596E-2</v>
      </c>
      <c r="S1987" t="s">
        <v>8990</v>
      </c>
      <c r="T1987" t="s">
        <v>14004</v>
      </c>
      <c r="U1987" t="s">
        <v>14004</v>
      </c>
      <c r="V1987" t="s">
        <v>14004</v>
      </c>
      <c r="W1987" t="s">
        <v>15955</v>
      </c>
      <c r="X1987">
        <v>2</v>
      </c>
      <c r="Y1987" t="s">
        <v>22873</v>
      </c>
      <c r="Z1987" t="s">
        <v>29697</v>
      </c>
      <c r="AA1987">
        <v>0.71070449370333733</v>
      </c>
      <c r="AB1987" t="str">
        <f>HYPERLINK("Melting_Curves/meltCurve_P03973_SLPI.pdf", "Melting_Curves/meltCurve_P03973_SLPI.pdf")</f>
        <v>Melting_Curves/meltCurve_P03973_SLPI.pdf</v>
      </c>
    </row>
    <row r="1988" spans="1:28" x14ac:dyDescent="0.25">
      <c r="A1988" t="s">
        <v>1992</v>
      </c>
      <c r="B1988">
        <v>0.99999676499088797</v>
      </c>
      <c r="C1988">
        <v>1.0014893922181101</v>
      </c>
      <c r="D1988">
        <v>0.98914930752962504</v>
      </c>
      <c r="E1988">
        <v>0.98615701553628998</v>
      </c>
      <c r="F1988">
        <v>0.96433491845770603</v>
      </c>
      <c r="G1988">
        <v>0.91943950382607798</v>
      </c>
      <c r="H1988">
        <v>0.62283268685683901</v>
      </c>
      <c r="I1988">
        <v>0.42980724282142402</v>
      </c>
      <c r="J1988">
        <v>0.12643418762841199</v>
      </c>
      <c r="K1988">
        <v>9.6236668070780601E-2</v>
      </c>
      <c r="L1988">
        <v>1396.2053983189101</v>
      </c>
      <c r="M1988">
        <v>22.328620601765</v>
      </c>
      <c r="N1988">
        <v>62.529872622980903</v>
      </c>
      <c r="O1988">
        <v>62.034784013055202</v>
      </c>
      <c r="P1988">
        <v>-8.99861694819271E-2</v>
      </c>
      <c r="Q1988">
        <v>0</v>
      </c>
      <c r="R1988">
        <v>0.99380472245004803</v>
      </c>
      <c r="S1988" t="s">
        <v>8991</v>
      </c>
      <c r="T1988" t="s">
        <v>14004</v>
      </c>
      <c r="U1988" t="s">
        <v>14004</v>
      </c>
      <c r="V1988" t="s">
        <v>14004</v>
      </c>
      <c r="W1988" t="s">
        <v>15956</v>
      </c>
      <c r="X1988">
        <v>31</v>
      </c>
      <c r="Y1988" t="s">
        <v>22874</v>
      </c>
      <c r="Z1988" t="s">
        <v>29698</v>
      </c>
      <c r="AA1988">
        <v>0.75356645686438373</v>
      </c>
      <c r="AB1988" t="str">
        <f>HYPERLINK("Melting_Curves/meltCurve_P04040_CAT.pdf", "Melting_Curves/meltCurve_P04040_CAT.pdf")</f>
        <v>Melting_Curves/meltCurve_P04040_CAT.pdf</v>
      </c>
    </row>
    <row r="1989" spans="1:28" x14ac:dyDescent="0.25">
      <c r="A1989" t="s">
        <v>1993</v>
      </c>
      <c r="B1989">
        <v>0.99999676499088797</v>
      </c>
      <c r="C1989">
        <v>0.36129469246019003</v>
      </c>
      <c r="D1989">
        <v>0.17438087896315699</v>
      </c>
      <c r="E1989">
        <v>0.12895508291826799</v>
      </c>
      <c r="F1989">
        <v>8.9586685789785403E-2</v>
      </c>
      <c r="G1989">
        <v>8.5980757547183997E-2</v>
      </c>
      <c r="H1989">
        <v>4.8543827479254197E-2</v>
      </c>
      <c r="I1989">
        <v>5.5210460346048401E-2</v>
      </c>
      <c r="J1989">
        <v>3.5453767690108398E-2</v>
      </c>
      <c r="K1989">
        <v>3.37395560411132E-2</v>
      </c>
      <c r="L1989">
        <v>2605.78309505166</v>
      </c>
      <c r="M1989">
        <v>61.530989109077197</v>
      </c>
      <c r="N1989">
        <v>42.469623430149497</v>
      </c>
      <c r="O1989">
        <v>42.304470224411702</v>
      </c>
      <c r="P1989">
        <v>-0.33449832413802399</v>
      </c>
      <c r="Q1989">
        <v>8.0088653664217593E-2</v>
      </c>
      <c r="R1989">
        <v>0.97924647972878898</v>
      </c>
      <c r="S1989" t="s">
        <v>8992</v>
      </c>
      <c r="T1989" t="s">
        <v>14004</v>
      </c>
      <c r="U1989" t="s">
        <v>14004</v>
      </c>
      <c r="V1989" t="s">
        <v>14004</v>
      </c>
      <c r="W1989" t="s">
        <v>15957</v>
      </c>
      <c r="X1989">
        <v>9</v>
      </c>
      <c r="Y1989" t="s">
        <v>22875</v>
      </c>
      <c r="Z1989" t="s">
        <v>29699</v>
      </c>
      <c r="AA1989">
        <v>0.1537398507271005</v>
      </c>
      <c r="AB1989" t="str">
        <f>HYPERLINK("Melting_Curves/meltCurve_P04053_2_DNTT.pdf", "Melting_Curves/meltCurve_P04053_2_DNTT.pdf")</f>
        <v>Melting_Curves/meltCurve_P04053_2_DNTT.pdf</v>
      </c>
    </row>
    <row r="1990" spans="1:28" x14ac:dyDescent="0.25">
      <c r="A1990" t="s">
        <v>1994</v>
      </c>
      <c r="B1990">
        <v>0.99999676499088797</v>
      </c>
      <c r="C1990">
        <v>0.96019891200005503</v>
      </c>
      <c r="D1990">
        <v>1.0105711719036099</v>
      </c>
      <c r="E1990">
        <v>1.10204270927498</v>
      </c>
      <c r="F1990">
        <v>1.2066013340692101</v>
      </c>
      <c r="G1990">
        <v>1.1513756978487</v>
      </c>
      <c r="H1990">
        <v>0.81398029232286295</v>
      </c>
      <c r="I1990">
        <v>0.52791461360622505</v>
      </c>
      <c r="J1990">
        <v>0.20010239292321899</v>
      </c>
      <c r="K1990">
        <v>0.223730914342646</v>
      </c>
      <c r="L1990">
        <v>2555.3419634378001</v>
      </c>
      <c r="M1990">
        <v>40.410205498906699</v>
      </c>
      <c r="N1990">
        <v>63.927647824303897</v>
      </c>
      <c r="O1990">
        <v>63.080812465082502</v>
      </c>
      <c r="P1990">
        <v>-0.13176226625711501</v>
      </c>
      <c r="Q1990">
        <v>0.177271928760139</v>
      </c>
      <c r="R1990">
        <v>0.92992200498190802</v>
      </c>
      <c r="S1990" t="s">
        <v>8993</v>
      </c>
      <c r="T1990" t="s">
        <v>14004</v>
      </c>
      <c r="U1990" t="s">
        <v>14004</v>
      </c>
      <c r="V1990" t="s">
        <v>14004</v>
      </c>
      <c r="W1990" t="s">
        <v>15958</v>
      </c>
      <c r="X1990">
        <v>8</v>
      </c>
      <c r="Y1990" t="s">
        <v>22876</v>
      </c>
      <c r="Z1990" t="s">
        <v>29700</v>
      </c>
      <c r="AA1990">
        <v>0.81688908815313277</v>
      </c>
      <c r="AB1990" t="str">
        <f>HYPERLINK("Melting_Curves/meltCurve_P04066_FUCA1.pdf", "Melting_Curves/meltCurve_P04066_FUCA1.pdf")</f>
        <v>Melting_Curves/meltCurve_P04066_FUCA1.pdf</v>
      </c>
    </row>
    <row r="1991" spans="1:28" x14ac:dyDescent="0.25">
      <c r="A1991" t="s">
        <v>1995</v>
      </c>
      <c r="B1991">
        <v>0.99999676499088797</v>
      </c>
      <c r="C1991">
        <v>1.00183318661847</v>
      </c>
      <c r="D1991">
        <v>0.99005460545435697</v>
      </c>
      <c r="E1991">
        <v>0.95070951399577297</v>
      </c>
      <c r="F1991">
        <v>0.98496541830889595</v>
      </c>
      <c r="G1991">
        <v>0.79499465680510795</v>
      </c>
      <c r="H1991">
        <v>0.42429199204458801</v>
      </c>
      <c r="I1991">
        <v>0.18155976818604999</v>
      </c>
      <c r="J1991">
        <v>0.108716982854552</v>
      </c>
      <c r="K1991">
        <v>8.9058887484781094E-2</v>
      </c>
      <c r="L1991">
        <v>1603.0808124939599</v>
      </c>
      <c r="M1991">
        <v>26.8887558538222</v>
      </c>
      <c r="N1991">
        <v>59.9323276124938</v>
      </c>
      <c r="O1991">
        <v>59.292172680995201</v>
      </c>
      <c r="P1991">
        <v>-0.105941082123576</v>
      </c>
      <c r="Q1991">
        <v>6.5570205489129604E-2</v>
      </c>
      <c r="R1991">
        <v>0.99798294327991699</v>
      </c>
      <c r="S1991" t="s">
        <v>8994</v>
      </c>
      <c r="T1991" t="s">
        <v>14004</v>
      </c>
      <c r="U1991" t="s">
        <v>14004</v>
      </c>
      <c r="V1991" t="s">
        <v>14004</v>
      </c>
      <c r="W1991" t="s">
        <v>15959</v>
      </c>
      <c r="X1991">
        <v>45</v>
      </c>
      <c r="Y1991" t="s">
        <v>22877</v>
      </c>
      <c r="Z1991" t="s">
        <v>29701</v>
      </c>
      <c r="AA1991">
        <v>0.68334761992920789</v>
      </c>
      <c r="AB1991" t="str">
        <f>HYPERLINK("Melting_Curves/meltCurve_P04075_ALDOA.pdf", "Melting_Curves/meltCurve_P04075_ALDOA.pdf")</f>
        <v>Melting_Curves/meltCurve_P04075_ALDOA.pdf</v>
      </c>
    </row>
    <row r="1992" spans="1:28" x14ac:dyDescent="0.25">
      <c r="A1992" t="s">
        <v>1996</v>
      </c>
      <c r="B1992">
        <v>0.99999676499088797</v>
      </c>
      <c r="C1992">
        <v>0.77935105572292196</v>
      </c>
      <c r="D1992">
        <v>1.1218017956353299</v>
      </c>
      <c r="E1992">
        <v>1.2448652925753001</v>
      </c>
      <c r="F1992">
        <v>1.1580172476399</v>
      </c>
      <c r="G1992">
        <v>0.32044697812230399</v>
      </c>
      <c r="H1992">
        <v>0.131690260667158</v>
      </c>
      <c r="I1992">
        <v>8.1796204084828905E-2</v>
      </c>
      <c r="J1992">
        <v>8.08749668571946E-2</v>
      </c>
      <c r="K1992">
        <v>7.3075897135389395E-2</v>
      </c>
      <c r="L1992">
        <v>14138.1155672122</v>
      </c>
      <c r="M1992">
        <v>250</v>
      </c>
      <c r="N1992">
        <v>56.598419079382197</v>
      </c>
      <c r="O1992">
        <v>56.548843307003402</v>
      </c>
      <c r="P1992">
        <v>-1.0037127207977701</v>
      </c>
      <c r="Q1992">
        <v>9.1859307417634803E-2</v>
      </c>
      <c r="R1992">
        <v>0.93465339967894501</v>
      </c>
      <c r="S1992" t="s">
        <v>8995</v>
      </c>
      <c r="T1992" t="s">
        <v>14004</v>
      </c>
      <c r="U1992" t="s">
        <v>14004</v>
      </c>
      <c r="V1992" t="s">
        <v>14004</v>
      </c>
      <c r="W1992" t="s">
        <v>15960</v>
      </c>
      <c r="X1992">
        <v>7</v>
      </c>
      <c r="Y1992" t="s">
        <v>22878</v>
      </c>
      <c r="Z1992" t="s">
        <v>29702</v>
      </c>
      <c r="AA1992">
        <v>0.59301492415193058</v>
      </c>
      <c r="AB1992" t="str">
        <f>HYPERLINK("Melting_Curves/meltCurve_P04080_CSTB.pdf", "Melting_Curves/meltCurve_P04080_CSTB.pdf")</f>
        <v>Melting_Curves/meltCurve_P04080_CSTB.pdf</v>
      </c>
    </row>
    <row r="1993" spans="1:28" x14ac:dyDescent="0.25">
      <c r="A1993" t="s">
        <v>1997</v>
      </c>
      <c r="B1993">
        <v>0.99999676499088797</v>
      </c>
      <c r="C1993">
        <v>0.96594135256215197</v>
      </c>
      <c r="D1993">
        <v>0.94811150999842297</v>
      </c>
      <c r="E1993">
        <v>0.395927391890041</v>
      </c>
      <c r="F1993">
        <v>0.28500404878748298</v>
      </c>
      <c r="G1993">
        <v>0.128356351065227</v>
      </c>
      <c r="H1993">
        <v>6.5912597060896305E-2</v>
      </c>
      <c r="I1993">
        <v>6.6069258655438098E-2</v>
      </c>
      <c r="J1993">
        <v>5.8205190235669002E-2</v>
      </c>
      <c r="K1993">
        <v>5.4433380158857798E-2</v>
      </c>
      <c r="L1993">
        <v>1291.36643458397</v>
      </c>
      <c r="M1993">
        <v>26.2955278086398</v>
      </c>
      <c r="N1993">
        <v>49.428446523809797</v>
      </c>
      <c r="O1993">
        <v>48.828350153565999</v>
      </c>
      <c r="P1993">
        <v>-0.12413554682108099</v>
      </c>
      <c r="Q1993">
        <v>7.7977472094411401E-2</v>
      </c>
      <c r="R1993">
        <v>0.98312245082326799</v>
      </c>
      <c r="S1993" t="s">
        <v>8996</v>
      </c>
      <c r="T1993" t="s">
        <v>14004</v>
      </c>
      <c r="U1993" t="s">
        <v>14004</v>
      </c>
      <c r="V1993" t="s">
        <v>14004</v>
      </c>
      <c r="W1993" t="s">
        <v>15961</v>
      </c>
      <c r="X1993">
        <v>33</v>
      </c>
      <c r="Y1993" t="s">
        <v>22879</v>
      </c>
      <c r="Z1993" t="s">
        <v>29703</v>
      </c>
      <c r="AA1993">
        <v>0.36532714535997879</v>
      </c>
      <c r="AB1993" t="str">
        <f>HYPERLINK("Melting_Curves/meltCurve_P04083_ANXA1.pdf", "Melting_Curves/meltCurve_P04083_ANXA1.pdf")</f>
        <v>Melting_Curves/meltCurve_P04083_ANXA1.pdf</v>
      </c>
    </row>
    <row r="1994" spans="1:28" x14ac:dyDescent="0.25">
      <c r="A1994" t="s">
        <v>1998</v>
      </c>
      <c r="B1994">
        <v>0.99999676499088797</v>
      </c>
      <c r="C1994">
        <v>1.77460094716384</v>
      </c>
      <c r="D1994">
        <v>1.8569579759669901</v>
      </c>
      <c r="E1994">
        <v>2.0090745269411898</v>
      </c>
      <c r="F1994">
        <v>2.30088665659745</v>
      </c>
      <c r="G1994">
        <v>2.0541587951148101</v>
      </c>
      <c r="H1994">
        <v>1.49270680394279</v>
      </c>
      <c r="I1994">
        <v>1.4292323988371101</v>
      </c>
      <c r="J1994">
        <v>1.1793900405359801</v>
      </c>
      <c r="K1994">
        <v>1.23494140482918</v>
      </c>
      <c r="L1994">
        <v>10239.488865323399</v>
      </c>
      <c r="M1994">
        <v>250</v>
      </c>
      <c r="O1994">
        <v>40.955337966926102</v>
      </c>
      <c r="P1994">
        <v>0.76302636695896298</v>
      </c>
      <c r="Q1994">
        <v>1.5</v>
      </c>
      <c r="R1994">
        <v>4.3697561704948401E-2</v>
      </c>
      <c r="S1994" t="s">
        <v>8997</v>
      </c>
      <c r="T1994" t="s">
        <v>14004</v>
      </c>
      <c r="U1994" t="s">
        <v>14004</v>
      </c>
      <c r="V1994" t="s">
        <v>14004</v>
      </c>
      <c r="W1994" t="s">
        <v>15962</v>
      </c>
      <c r="X1994">
        <v>3</v>
      </c>
      <c r="Y1994" t="s">
        <v>22880</v>
      </c>
      <c r="Z1994" t="s">
        <v>29704</v>
      </c>
      <c r="AA1994">
        <v>1.4839916555897841</v>
      </c>
      <c r="AB1994" t="str">
        <f>HYPERLINK("Melting_Curves/meltCurve_P04114_APOB.pdf", "Melting_Curves/meltCurve_P04114_APOB.pdf")</f>
        <v>Melting_Curves/meltCurve_P04114_APOB.pdf</v>
      </c>
    </row>
    <row r="1995" spans="1:28" x14ac:dyDescent="0.25">
      <c r="A1995" t="s">
        <v>1999</v>
      </c>
      <c r="B1995">
        <v>0.99999676499088797</v>
      </c>
      <c r="C1995">
        <v>0.84270934515157703</v>
      </c>
      <c r="D1995">
        <v>0.67490843730306505</v>
      </c>
      <c r="E1995">
        <v>0.57997393876558601</v>
      </c>
      <c r="F1995">
        <v>0.70061749109059301</v>
      </c>
      <c r="G1995">
        <v>0.44896265365516702</v>
      </c>
      <c r="H1995">
        <v>0.233394946578629</v>
      </c>
      <c r="I1995">
        <v>0.26871387798037699</v>
      </c>
      <c r="J1995">
        <v>0.26656573677894302</v>
      </c>
      <c r="K1995">
        <v>0.268607977913221</v>
      </c>
      <c r="L1995">
        <v>380.99135973164402</v>
      </c>
      <c r="M1995">
        <v>7.2583029777335</v>
      </c>
      <c r="N1995">
        <v>54.209633020650898</v>
      </c>
      <c r="O1995">
        <v>48.945706588534797</v>
      </c>
      <c r="P1995">
        <v>-3.3315735321520601E-2</v>
      </c>
      <c r="Q1995">
        <v>0.102809399916267</v>
      </c>
      <c r="R1995">
        <v>0.90527310399108296</v>
      </c>
      <c r="S1995" t="s">
        <v>8998</v>
      </c>
      <c r="T1995" t="s">
        <v>14004</v>
      </c>
      <c r="U1995" t="s">
        <v>14004</v>
      </c>
      <c r="V1995" t="s">
        <v>14004</v>
      </c>
      <c r="W1995" t="s">
        <v>15963</v>
      </c>
      <c r="X1995">
        <v>3</v>
      </c>
      <c r="Y1995" t="s">
        <v>22881</v>
      </c>
      <c r="Z1995" t="s">
        <v>29705</v>
      </c>
      <c r="AA1995">
        <v>0.51872163827712248</v>
      </c>
      <c r="AB1995" t="str">
        <f>HYPERLINK("Melting_Curves/meltCurve_P04150_7_NR3C1.pdf", "Melting_Curves/meltCurve_P04150_7_NR3C1.pdf")</f>
        <v>Melting_Curves/meltCurve_P04150_7_NR3C1.pdf</v>
      </c>
    </row>
    <row r="1996" spans="1:28" x14ac:dyDescent="0.25">
      <c r="A1996" t="s">
        <v>2000</v>
      </c>
      <c r="B1996">
        <v>0.99999676499088797</v>
      </c>
      <c r="C1996">
        <v>1.0001746478014399</v>
      </c>
      <c r="D1996">
        <v>1.0094546028192899</v>
      </c>
      <c r="E1996">
        <v>1.01139065953492</v>
      </c>
      <c r="F1996">
        <v>0.387932967603693</v>
      </c>
      <c r="G1996">
        <v>0.24117002764892301</v>
      </c>
      <c r="H1996">
        <v>0.11589812592104801</v>
      </c>
      <c r="I1996">
        <v>0.100444436450009</v>
      </c>
      <c r="J1996">
        <v>8.7485469230518698E-2</v>
      </c>
      <c r="K1996">
        <v>6.3921498273635496E-2</v>
      </c>
      <c r="L1996">
        <v>3102.62702986767</v>
      </c>
      <c r="M1996">
        <v>59.0812225525721</v>
      </c>
      <c r="N1996">
        <v>52.755377303457898</v>
      </c>
      <c r="O1996">
        <v>52.4545192399301</v>
      </c>
      <c r="P1996">
        <v>-0.248307824854724</v>
      </c>
      <c r="Q1996">
        <v>0.118172127326304</v>
      </c>
      <c r="R1996">
        <v>0.98947739327163398</v>
      </c>
      <c r="S1996" t="s">
        <v>8999</v>
      </c>
      <c r="T1996" t="s">
        <v>14004</v>
      </c>
      <c r="U1996" t="s">
        <v>14004</v>
      </c>
      <c r="V1996" t="s">
        <v>14004</v>
      </c>
      <c r="W1996" t="s">
        <v>15964</v>
      </c>
      <c r="X1996">
        <v>18</v>
      </c>
      <c r="Y1996" t="s">
        <v>22882</v>
      </c>
      <c r="Z1996" t="s">
        <v>29706</v>
      </c>
      <c r="AA1996">
        <v>0.48749034915916029</v>
      </c>
      <c r="AB1996" t="str">
        <f>HYPERLINK("Melting_Curves/meltCurve_P04181_OAT.pdf", "Melting_Curves/meltCurve_P04181_OAT.pdf")</f>
        <v>Melting_Curves/meltCurve_P04181_OAT.pdf</v>
      </c>
    </row>
    <row r="1997" spans="1:28" x14ac:dyDescent="0.25">
      <c r="A1997" t="s">
        <v>2001</v>
      </c>
      <c r="B1997">
        <v>0.99999676499088797</v>
      </c>
      <c r="C1997">
        <v>1.0968816572495199</v>
      </c>
      <c r="D1997">
        <v>1.1065280628797101</v>
      </c>
      <c r="E1997">
        <v>1.1441906218559299</v>
      </c>
      <c r="F1997">
        <v>1.0532840167891899</v>
      </c>
      <c r="G1997">
        <v>0.89306295108390199</v>
      </c>
      <c r="H1997">
        <v>0.49516987651706501</v>
      </c>
      <c r="I1997">
        <v>0.47472508203734698</v>
      </c>
      <c r="J1997">
        <v>0.41334081862898497</v>
      </c>
      <c r="K1997">
        <v>0.48435060032597299</v>
      </c>
      <c r="L1997">
        <v>3530.8095659071</v>
      </c>
      <c r="M1997">
        <v>60.728379868813803</v>
      </c>
      <c r="N1997">
        <v>60.596279996720902</v>
      </c>
      <c r="O1997">
        <v>58.078068729235902</v>
      </c>
      <c r="P1997">
        <v>-0.14186388739076899</v>
      </c>
      <c r="Q1997">
        <v>0.45730960653429797</v>
      </c>
      <c r="R1997">
        <v>0.94467791890326303</v>
      </c>
      <c r="S1997" t="s">
        <v>9000</v>
      </c>
      <c r="T1997" t="s">
        <v>14004</v>
      </c>
      <c r="U1997" t="s">
        <v>14004</v>
      </c>
      <c r="V1997" t="s">
        <v>14004</v>
      </c>
      <c r="W1997" t="s">
        <v>15965</v>
      </c>
      <c r="X1997">
        <v>11</v>
      </c>
      <c r="Y1997" t="s">
        <v>22883</v>
      </c>
      <c r="Z1997" t="s">
        <v>29707</v>
      </c>
      <c r="AA1997">
        <v>0.78641561876197086</v>
      </c>
      <c r="AB1997" t="str">
        <f>HYPERLINK("Melting_Curves/meltCurve_P04183_TK1.pdf", "Melting_Curves/meltCurve_P04183_TK1.pdf")</f>
        <v>Melting_Curves/meltCurve_P04183_TK1.pdf</v>
      </c>
    </row>
    <row r="1998" spans="1:28" x14ac:dyDescent="0.25">
      <c r="A1998" t="s">
        <v>2002</v>
      </c>
      <c r="B1998">
        <v>0.99999676499088797</v>
      </c>
      <c r="C1998">
        <v>1.02902096684705</v>
      </c>
      <c r="D1998">
        <v>0.96891713452143602</v>
      </c>
      <c r="E1998">
        <v>0.84681904027029897</v>
      </c>
      <c r="F1998">
        <v>0.60325239179299395</v>
      </c>
      <c r="G1998">
        <v>0.43422135527099098</v>
      </c>
      <c r="H1998">
        <v>0.25981720051579699</v>
      </c>
      <c r="I1998">
        <v>0.231081280310627</v>
      </c>
      <c r="J1998">
        <v>0.18456078416740301</v>
      </c>
      <c r="K1998">
        <v>0.208828837942926</v>
      </c>
      <c r="L1998">
        <v>952.49876918712096</v>
      </c>
      <c r="M1998">
        <v>17.7403951559983</v>
      </c>
      <c r="N1998">
        <v>55.090936613975899</v>
      </c>
      <c r="O1998">
        <v>53.0226707150848</v>
      </c>
      <c r="P1998">
        <v>-6.8471780529801296E-2</v>
      </c>
      <c r="Q1998">
        <v>0.18144614646072399</v>
      </c>
      <c r="R1998">
        <v>0.99686725151664102</v>
      </c>
      <c r="S1998" t="s">
        <v>9001</v>
      </c>
      <c r="T1998" t="s">
        <v>14004</v>
      </c>
      <c r="U1998" t="s">
        <v>14004</v>
      </c>
      <c r="V1998" t="s">
        <v>14004</v>
      </c>
      <c r="W1998" t="s">
        <v>15966</v>
      </c>
      <c r="X1998">
        <v>8</v>
      </c>
      <c r="Y1998" t="s">
        <v>22884</v>
      </c>
      <c r="Z1998" t="s">
        <v>29708</v>
      </c>
      <c r="AA1998">
        <v>0.56850220905662541</v>
      </c>
      <c r="AB1998" t="str">
        <f>HYPERLINK("Melting_Curves/meltCurve_P04234_CD3D.pdf", "Melting_Curves/meltCurve_P04234_CD3D.pdf")</f>
        <v>Melting_Curves/meltCurve_P04234_CD3D.pdf</v>
      </c>
    </row>
    <row r="1999" spans="1:28" x14ac:dyDescent="0.25">
      <c r="A1999" t="s">
        <v>2003</v>
      </c>
      <c r="B1999">
        <v>0.99999676499088797</v>
      </c>
      <c r="C1999">
        <v>1.0317748749575499</v>
      </c>
      <c r="D1999">
        <v>1.74228527937931</v>
      </c>
      <c r="E1999">
        <v>0.77746147556945699</v>
      </c>
      <c r="F1999">
        <v>1.8265846080571499</v>
      </c>
      <c r="G1999">
        <v>0.45518214505201299</v>
      </c>
      <c r="H1999">
        <v>1.8623971697806401</v>
      </c>
      <c r="I1999">
        <v>0.69296188559592398</v>
      </c>
      <c r="J1999">
        <v>0.82551333780168401</v>
      </c>
      <c r="K1999">
        <v>1.1177694376776299</v>
      </c>
      <c r="L1999">
        <v>10785.6839826539</v>
      </c>
      <c r="M1999">
        <v>250</v>
      </c>
      <c r="O1999">
        <v>43.1399941649805</v>
      </c>
      <c r="P1999">
        <v>0.23545359069993499</v>
      </c>
      <c r="Q1999">
        <v>1.1625193928770201</v>
      </c>
      <c r="R1999">
        <v>1.52666121400221E-2</v>
      </c>
      <c r="S1999" t="s">
        <v>9002</v>
      </c>
      <c r="T1999" t="s">
        <v>14004</v>
      </c>
      <c r="U1999" t="s">
        <v>14004</v>
      </c>
      <c r="V1999" t="s">
        <v>14004</v>
      </c>
      <c r="W1999" t="s">
        <v>15967</v>
      </c>
      <c r="X1999">
        <v>38</v>
      </c>
      <c r="Y1999" t="s">
        <v>22885</v>
      </c>
      <c r="Z1999" t="s">
        <v>29709</v>
      </c>
      <c r="AA1999">
        <v>1.145481903232525</v>
      </c>
      <c r="AB1999" t="str">
        <f>HYPERLINK("Melting_Curves/meltCurve_P04264_KRT1.pdf", "Melting_Curves/meltCurve_P04264_KRT1.pdf")</f>
        <v>Melting_Curves/meltCurve_P04264_KRT1.pdf</v>
      </c>
    </row>
    <row r="2000" spans="1:28" x14ac:dyDescent="0.25">
      <c r="A2000" t="s">
        <v>2004</v>
      </c>
      <c r="B2000">
        <v>0.99999676499088797</v>
      </c>
      <c r="C2000">
        <v>0.95475397836244902</v>
      </c>
      <c r="D2000">
        <v>0.96558611914654702</v>
      </c>
      <c r="E2000">
        <v>0.72951500490976795</v>
      </c>
      <c r="F2000">
        <v>0.58415235178457003</v>
      </c>
      <c r="G2000">
        <v>0.34556527082657301</v>
      </c>
      <c r="H2000">
        <v>0.19260540130920401</v>
      </c>
      <c r="I2000">
        <v>0.15826541468808</v>
      </c>
      <c r="J2000">
        <v>0.16964247911835201</v>
      </c>
      <c r="K2000">
        <v>0.19807517431862301</v>
      </c>
      <c r="L2000">
        <v>877.948846452829</v>
      </c>
      <c r="M2000">
        <v>16.644927813443399</v>
      </c>
      <c r="N2000">
        <v>53.832988509519197</v>
      </c>
      <c r="O2000">
        <v>52.002057928064502</v>
      </c>
      <c r="P2000">
        <v>-6.8602212329869502E-2</v>
      </c>
      <c r="Q2000">
        <v>0.14275022158794501</v>
      </c>
      <c r="R2000">
        <v>0.99141339189462396</v>
      </c>
      <c r="S2000" t="s">
        <v>9003</v>
      </c>
      <c r="T2000" t="s">
        <v>14004</v>
      </c>
      <c r="U2000" t="s">
        <v>14004</v>
      </c>
      <c r="V2000" t="s">
        <v>14004</v>
      </c>
      <c r="W2000" t="s">
        <v>15968</v>
      </c>
      <c r="X2000">
        <v>1</v>
      </c>
      <c r="Y2000" t="s">
        <v>22886</v>
      </c>
      <c r="Z2000" t="s">
        <v>29710</v>
      </c>
      <c r="AA2000">
        <v>0.52292695755531193</v>
      </c>
      <c r="AB2000" t="str">
        <f>HYPERLINK("Melting_Curves/meltCurve_P04275_VWF.pdf", "Melting_Curves/meltCurve_P04275_VWF.pdf")</f>
        <v>Melting_Curves/meltCurve_P04275_VWF.pdf</v>
      </c>
    </row>
    <row r="2001" spans="1:28" x14ac:dyDescent="0.25">
      <c r="A2001" t="s">
        <v>2005</v>
      </c>
      <c r="B2001">
        <v>0.99999676499088797</v>
      </c>
      <c r="C2001">
        <v>1.1182572152622301</v>
      </c>
      <c r="D2001">
        <v>1.14917630590884</v>
      </c>
      <c r="E2001">
        <v>1.1345712091478699</v>
      </c>
      <c r="F2001">
        <v>0.860795000124845</v>
      </c>
      <c r="G2001">
        <v>0.72478247824599096</v>
      </c>
      <c r="H2001">
        <v>0.22672860685670401</v>
      </c>
      <c r="I2001">
        <v>0.106647528849491</v>
      </c>
      <c r="J2001">
        <v>9.2105920754437007E-2</v>
      </c>
      <c r="K2001">
        <v>6.4318623345361994E-2</v>
      </c>
      <c r="L2001">
        <v>1832.7885437652899</v>
      </c>
      <c r="M2001">
        <v>31.547989006143499</v>
      </c>
      <c r="N2001">
        <v>58.341219199256699</v>
      </c>
      <c r="O2001">
        <v>57.863325699424699</v>
      </c>
      <c r="P2001">
        <v>-0.12781707059824701</v>
      </c>
      <c r="Q2001">
        <v>6.22690657561107E-2</v>
      </c>
      <c r="R2001">
        <v>0.967332044989617</v>
      </c>
      <c r="S2001" t="s">
        <v>9004</v>
      </c>
      <c r="T2001" t="s">
        <v>14004</v>
      </c>
      <c r="U2001" t="s">
        <v>14004</v>
      </c>
      <c r="V2001" t="s">
        <v>14004</v>
      </c>
      <c r="W2001" t="s">
        <v>15969</v>
      </c>
      <c r="X2001">
        <v>32</v>
      </c>
      <c r="Y2001" t="s">
        <v>22204</v>
      </c>
      <c r="Z2001" t="s">
        <v>29711</v>
      </c>
      <c r="AA2001">
        <v>0.63355004475284149</v>
      </c>
      <c r="AB2001" t="str">
        <f>HYPERLINK("Melting_Curves/meltCurve_P04350_TUBB4A.pdf", "Melting_Curves/meltCurve_P04350_TUBB4A.pdf")</f>
        <v>Melting_Curves/meltCurve_P04350_TUBB4A.pdf</v>
      </c>
    </row>
    <row r="2002" spans="1:28" x14ac:dyDescent="0.25">
      <c r="A2002" t="s">
        <v>2006</v>
      </c>
      <c r="B2002">
        <v>0.99999676499088797</v>
      </c>
      <c r="C2002">
        <v>1.00727058262381</v>
      </c>
      <c r="D2002">
        <v>0.94497250715463099</v>
      </c>
      <c r="E2002">
        <v>0.86653914560377898</v>
      </c>
      <c r="F2002">
        <v>0.82061222552510804</v>
      </c>
      <c r="G2002">
        <v>0.78490089641244498</v>
      </c>
      <c r="H2002">
        <v>0.50764774811740498</v>
      </c>
      <c r="I2002">
        <v>0.367645061632487</v>
      </c>
      <c r="J2002">
        <v>0.13843220003853801</v>
      </c>
      <c r="K2002">
        <v>0.100636451821949</v>
      </c>
      <c r="L2002">
        <v>860.560280515209</v>
      </c>
      <c r="M2002">
        <v>14.1792232412594</v>
      </c>
      <c r="N2002">
        <v>60.691637843486802</v>
      </c>
      <c r="O2002">
        <v>59.522716394015902</v>
      </c>
      <c r="P2002">
        <v>-5.9561329974993998E-2</v>
      </c>
      <c r="Q2002">
        <v>0</v>
      </c>
      <c r="R2002">
        <v>0.97684467993505897</v>
      </c>
      <c r="S2002" t="s">
        <v>9005</v>
      </c>
      <c r="T2002" t="s">
        <v>14004</v>
      </c>
      <c r="U2002" t="s">
        <v>14004</v>
      </c>
      <c r="V2002" t="s">
        <v>14004</v>
      </c>
      <c r="W2002" t="s">
        <v>15970</v>
      </c>
      <c r="X2002">
        <v>37</v>
      </c>
      <c r="Y2002" t="s">
        <v>22887</v>
      </c>
      <c r="Z2002" t="s">
        <v>29712</v>
      </c>
      <c r="AA2002">
        <v>0.6924989219082508</v>
      </c>
      <c r="AB2002" t="str">
        <f>HYPERLINK("Melting_Curves/meltCurve_P04406_GAPDH.pdf", "Melting_Curves/meltCurve_P04406_GAPDH.pdf")</f>
        <v>Melting_Curves/meltCurve_P04406_GAPDH.pdf</v>
      </c>
    </row>
    <row r="2003" spans="1:28" x14ac:dyDescent="0.25">
      <c r="A2003" t="s">
        <v>2007</v>
      </c>
      <c r="B2003">
        <v>0.99999676499088797</v>
      </c>
      <c r="C2003">
        <v>0.84165526349987496</v>
      </c>
      <c r="D2003">
        <v>1.1136361481338499</v>
      </c>
      <c r="E2003">
        <v>1.1813444154436701</v>
      </c>
      <c r="F2003">
        <v>0.73169834740709905</v>
      </c>
      <c r="G2003">
        <v>1.1792004116999999</v>
      </c>
      <c r="H2003">
        <v>0.418268301211139</v>
      </c>
      <c r="I2003">
        <v>0.26249403887076</v>
      </c>
      <c r="J2003">
        <v>0.269762726621181</v>
      </c>
      <c r="K2003">
        <v>0.270414961586112</v>
      </c>
      <c r="L2003">
        <v>15000</v>
      </c>
      <c r="M2003">
        <v>248.06116852287499</v>
      </c>
      <c r="N2003">
        <v>60.656250943721503</v>
      </c>
      <c r="O2003">
        <v>60.465008665273203</v>
      </c>
      <c r="P2003">
        <v>-0.75122219547636104</v>
      </c>
      <c r="Q2003">
        <v>0.26755695048383898</v>
      </c>
      <c r="R2003">
        <v>0.87287891440255705</v>
      </c>
      <c r="S2003" t="s">
        <v>9006</v>
      </c>
      <c r="T2003" t="s">
        <v>14004</v>
      </c>
      <c r="U2003" t="s">
        <v>14004</v>
      </c>
      <c r="V2003" t="s">
        <v>14004</v>
      </c>
      <c r="W2003" t="s">
        <v>15971</v>
      </c>
      <c r="X2003">
        <v>35</v>
      </c>
      <c r="Y2003" t="s">
        <v>22887</v>
      </c>
      <c r="Z2003" t="s">
        <v>29713</v>
      </c>
      <c r="AA2003">
        <v>0.76738072870657237</v>
      </c>
      <c r="AB2003" t="str">
        <f>HYPERLINK("Melting_Curves/meltCurve_P04406_2_GAPDH.pdf", "Melting_Curves/meltCurve_P04406_2_GAPDH.pdf")</f>
        <v>Melting_Curves/meltCurve_P04406_2_GAPDH.pdf</v>
      </c>
    </row>
    <row r="2004" spans="1:28" x14ac:dyDescent="0.25">
      <c r="A2004" t="s">
        <v>2008</v>
      </c>
      <c r="B2004">
        <v>0.99999676499088797</v>
      </c>
      <c r="C2004">
        <v>1.04777228223073</v>
      </c>
      <c r="D2004">
        <v>1.0417300456174701</v>
      </c>
      <c r="E2004">
        <v>1.0206636045311701</v>
      </c>
      <c r="F2004">
        <v>1.0465126039547701</v>
      </c>
      <c r="G2004">
        <v>0.80258356545090503</v>
      </c>
      <c r="H2004">
        <v>0.26259202589782299</v>
      </c>
      <c r="I2004">
        <v>0.19339558438049001</v>
      </c>
      <c r="J2004">
        <v>0.192441448529234</v>
      </c>
      <c r="K2004">
        <v>0.157800686884606</v>
      </c>
      <c r="L2004">
        <v>2957.4917794971502</v>
      </c>
      <c r="M2004">
        <v>50.884177551599002</v>
      </c>
      <c r="N2004">
        <v>58.634036408093699</v>
      </c>
      <c r="O2004">
        <v>58.0324712725062</v>
      </c>
      <c r="P2004">
        <v>-0.179885645069813</v>
      </c>
      <c r="Q2004">
        <v>0.17937554252884799</v>
      </c>
      <c r="R2004">
        <v>0.99481567227702805</v>
      </c>
      <c r="S2004" t="s">
        <v>9007</v>
      </c>
      <c r="T2004" t="s">
        <v>14004</v>
      </c>
      <c r="U2004" t="s">
        <v>14004</v>
      </c>
      <c r="V2004" t="s">
        <v>14004</v>
      </c>
      <c r="W2004" t="s">
        <v>15972</v>
      </c>
      <c r="X2004">
        <v>12</v>
      </c>
      <c r="Y2004" t="s">
        <v>22888</v>
      </c>
      <c r="Z2004" t="s">
        <v>29714</v>
      </c>
      <c r="AA2004">
        <v>0.67711084867436788</v>
      </c>
      <c r="AB2004" t="str">
        <f>HYPERLINK("Melting_Curves/meltCurve_P04424_ASL.pdf", "Melting_Curves/meltCurve_P04424_ASL.pdf")</f>
        <v>Melting_Curves/meltCurve_P04424_ASL.pdf</v>
      </c>
    </row>
    <row r="2005" spans="1:28" x14ac:dyDescent="0.25">
      <c r="A2005" t="s">
        <v>2009</v>
      </c>
      <c r="B2005">
        <v>0.99999676499088797</v>
      </c>
      <c r="C2005">
        <v>0.99057473899483095</v>
      </c>
      <c r="D2005">
        <v>1.0956416299665499</v>
      </c>
      <c r="E2005">
        <v>1.3632658779376801</v>
      </c>
      <c r="F2005">
        <v>1.47261251587401</v>
      </c>
      <c r="G2005">
        <v>1.2582695777955799</v>
      </c>
      <c r="H2005">
        <v>0.83276106895388202</v>
      </c>
      <c r="I2005">
        <v>0.268896687675794</v>
      </c>
      <c r="J2005">
        <v>0.12458145298730899</v>
      </c>
      <c r="K2005">
        <v>0.10618084656717</v>
      </c>
      <c r="L2005">
        <v>3812.2858901108398</v>
      </c>
      <c r="M2005">
        <v>61.153982951160501</v>
      </c>
      <c r="N2005">
        <v>62.596708174713498</v>
      </c>
      <c r="O2005">
        <v>62.272561185144902</v>
      </c>
      <c r="P2005">
        <v>-0.21819913514115799</v>
      </c>
      <c r="Q2005">
        <v>0.111239210708947</v>
      </c>
      <c r="R2005">
        <v>0.81492014993505102</v>
      </c>
      <c r="S2005" t="s">
        <v>9008</v>
      </c>
      <c r="T2005" t="s">
        <v>14004</v>
      </c>
      <c r="U2005" t="s">
        <v>14004</v>
      </c>
      <c r="V2005" t="s">
        <v>14004</v>
      </c>
      <c r="W2005" t="s">
        <v>15973</v>
      </c>
      <c r="X2005">
        <v>12</v>
      </c>
      <c r="Y2005" t="s">
        <v>22889</v>
      </c>
      <c r="Z2005" t="s">
        <v>29715</v>
      </c>
      <c r="AA2005">
        <v>0.77462553318547556</v>
      </c>
      <c r="AB2005" t="str">
        <f>HYPERLINK("Melting_Curves/meltCurve_P04632_CAPNS1.pdf", "Melting_Curves/meltCurve_P04632_CAPNS1.pdf")</f>
        <v>Melting_Curves/meltCurve_P04632_CAPNS1.pdf</v>
      </c>
    </row>
    <row r="2006" spans="1:28" x14ac:dyDescent="0.25">
      <c r="A2006" t="s">
        <v>2010</v>
      </c>
      <c r="B2006">
        <v>0.99999676499088797</v>
      </c>
      <c r="C2006">
        <v>0.927195339196345</v>
      </c>
      <c r="D2006">
        <v>0.95209714737721995</v>
      </c>
      <c r="E2006">
        <v>0.58583495707222599</v>
      </c>
      <c r="F2006">
        <v>4.3186606365400104</v>
      </c>
      <c r="G2006">
        <v>0.38535242176494999</v>
      </c>
      <c r="H2006">
        <v>0.26695875677840702</v>
      </c>
      <c r="I2006">
        <v>0.22130953270059001</v>
      </c>
      <c r="J2006">
        <v>0.215685774414758</v>
      </c>
      <c r="K2006">
        <v>0.15007566256324001</v>
      </c>
      <c r="L2006">
        <v>14127.6126177037</v>
      </c>
      <c r="M2006">
        <v>250</v>
      </c>
      <c r="N2006">
        <v>56.636630828928503</v>
      </c>
      <c r="O2006">
        <v>56.506834236881801</v>
      </c>
      <c r="P2006">
        <v>-0.86990931338984601</v>
      </c>
      <c r="Q2006">
        <v>0.213506859792541</v>
      </c>
      <c r="R2006">
        <v>0.19752121321288099</v>
      </c>
      <c r="S2006" t="s">
        <v>9009</v>
      </c>
      <c r="T2006" t="s">
        <v>14004</v>
      </c>
      <c r="U2006" t="s">
        <v>14004</v>
      </c>
      <c r="V2006" t="s">
        <v>14004</v>
      </c>
      <c r="W2006" t="s">
        <v>15974</v>
      </c>
      <c r="X2006">
        <v>14</v>
      </c>
      <c r="Y2006" t="s">
        <v>22890</v>
      </c>
      <c r="Z2006" t="s">
        <v>29716</v>
      </c>
      <c r="AA2006">
        <v>0.64643006145347393</v>
      </c>
      <c r="AB2006" t="str">
        <f>HYPERLINK("Melting_Curves/meltCurve_P04745_AMY1A.pdf", "Melting_Curves/meltCurve_P04745_AMY1A.pdf")</f>
        <v>Melting_Curves/meltCurve_P04745_AMY1A.pdf</v>
      </c>
    </row>
    <row r="2007" spans="1:28" x14ac:dyDescent="0.25">
      <c r="A2007" t="s">
        <v>2011</v>
      </c>
      <c r="B2007">
        <v>0.99999676499088797</v>
      </c>
      <c r="C2007">
        <v>1.0998946284673901</v>
      </c>
      <c r="D2007">
        <v>1.3562311948947099</v>
      </c>
      <c r="E2007">
        <v>0.836052975623644</v>
      </c>
      <c r="F2007">
        <v>4.5221476809299297</v>
      </c>
      <c r="G2007">
        <v>0.443371262797979</v>
      </c>
      <c r="H2007">
        <v>0.338562484997326</v>
      </c>
      <c r="I2007">
        <v>0.346184148933115</v>
      </c>
      <c r="J2007">
        <v>0.31012657040334901</v>
      </c>
      <c r="K2007">
        <v>0.218002013526432</v>
      </c>
      <c r="L2007">
        <v>14121.6659090099</v>
      </c>
      <c r="M2007">
        <v>250</v>
      </c>
      <c r="N2007">
        <v>56.698155487745503</v>
      </c>
      <c r="O2007">
        <v>56.483048981905497</v>
      </c>
      <c r="P2007">
        <v>-0.77100780427855697</v>
      </c>
      <c r="Q2007">
        <v>0.30321805707633398</v>
      </c>
      <c r="R2007">
        <v>0.15056030822790001</v>
      </c>
      <c r="S2007" t="s">
        <v>9010</v>
      </c>
      <c r="T2007" t="s">
        <v>14004</v>
      </c>
      <c r="U2007" t="s">
        <v>14004</v>
      </c>
      <c r="V2007" t="s">
        <v>14004</v>
      </c>
      <c r="W2007" t="s">
        <v>15975</v>
      </c>
      <c r="X2007">
        <v>4</v>
      </c>
      <c r="Y2007" t="s">
        <v>22891</v>
      </c>
      <c r="Z2007" t="s">
        <v>29717</v>
      </c>
      <c r="AA2007">
        <v>0.68620744866583328</v>
      </c>
      <c r="AB2007" t="str">
        <f>HYPERLINK("Melting_Curves/meltCurve_P04792_HSPB1.pdf", "Melting_Curves/meltCurve_P04792_HSPB1.pdf")</f>
        <v>Melting_Curves/meltCurve_P04792_HSPB1.pdf</v>
      </c>
    </row>
    <row r="2008" spans="1:28" x14ac:dyDescent="0.25">
      <c r="A2008" t="s">
        <v>2012</v>
      </c>
      <c r="B2008">
        <v>0.99999676499088797</v>
      </c>
      <c r="C2008">
        <v>0.92258920939443201</v>
      </c>
      <c r="D2008">
        <v>0.78909219309531697</v>
      </c>
      <c r="E2008">
        <v>0.34074129787222002</v>
      </c>
      <c r="F2008">
        <v>0.195469500692797</v>
      </c>
      <c r="G2008">
        <v>0.124358162193382</v>
      </c>
      <c r="H2008">
        <v>5.7446047660958399E-2</v>
      </c>
      <c r="I2008">
        <v>5.3580948826352802E-2</v>
      </c>
      <c r="J2008">
        <v>5.1152934311251501E-2</v>
      </c>
      <c r="K2008">
        <v>3.8027432074012997E-2</v>
      </c>
      <c r="L2008">
        <v>1070.4171901181801</v>
      </c>
      <c r="M2008">
        <v>22.2175670457768</v>
      </c>
      <c r="N2008">
        <v>48.444745581284202</v>
      </c>
      <c r="O2008">
        <v>47.7936241090229</v>
      </c>
      <c r="P2008">
        <v>-0.10954807386483401</v>
      </c>
      <c r="Q2008">
        <v>5.73964407710724E-2</v>
      </c>
      <c r="R2008">
        <v>0.99525707440959499</v>
      </c>
      <c r="S2008" t="s">
        <v>9011</v>
      </c>
      <c r="T2008" t="s">
        <v>14004</v>
      </c>
      <c r="U2008" t="s">
        <v>14004</v>
      </c>
      <c r="V2008" t="s">
        <v>14004</v>
      </c>
      <c r="W2008" t="s">
        <v>15976</v>
      </c>
      <c r="X2008">
        <v>20</v>
      </c>
      <c r="Y2008" t="s">
        <v>22892</v>
      </c>
      <c r="Z2008" t="s">
        <v>29718</v>
      </c>
      <c r="AA2008">
        <v>0.32506811428508309</v>
      </c>
      <c r="AB2008" t="str">
        <f>HYPERLINK("Melting_Curves/meltCurve_P04818_TYMS.pdf", "Melting_Curves/meltCurve_P04818_TYMS.pdf")</f>
        <v>Melting_Curves/meltCurve_P04818_TYMS.pdf</v>
      </c>
    </row>
    <row r="2009" spans="1:28" x14ac:dyDescent="0.25">
      <c r="A2009" t="s">
        <v>2013</v>
      </c>
      <c r="B2009">
        <v>0.99999676499088797</v>
      </c>
      <c r="C2009">
        <v>0.99486240807423099</v>
      </c>
      <c r="D2009">
        <v>1.0651661210855099</v>
      </c>
      <c r="E2009">
        <v>1.1185650067603801</v>
      </c>
      <c r="F2009">
        <v>0.62517195716270502</v>
      </c>
      <c r="G2009">
        <v>0.22943658475408399</v>
      </c>
      <c r="H2009">
        <v>9.5820928087346199E-2</v>
      </c>
      <c r="I2009">
        <v>0.100299063436962</v>
      </c>
      <c r="J2009">
        <v>9.3814493958730094E-2</v>
      </c>
      <c r="K2009">
        <v>8.2143938098012098E-2</v>
      </c>
      <c r="L2009">
        <v>2365.8350064851702</v>
      </c>
      <c r="M2009">
        <v>43.9924957107105</v>
      </c>
      <c r="N2009">
        <v>54.054398652019103</v>
      </c>
      <c r="O2009">
        <v>53.667381156369501</v>
      </c>
      <c r="P2009">
        <v>-0.18430050571041601</v>
      </c>
      <c r="Q2009">
        <v>0.100672850812054</v>
      </c>
      <c r="R2009">
        <v>0.98555841249814702</v>
      </c>
      <c r="S2009" t="s">
        <v>9012</v>
      </c>
      <c r="T2009" t="s">
        <v>14004</v>
      </c>
      <c r="U2009" t="s">
        <v>14004</v>
      </c>
      <c r="V2009" t="s">
        <v>14004</v>
      </c>
      <c r="W2009" t="s">
        <v>15977</v>
      </c>
      <c r="X2009">
        <v>45</v>
      </c>
      <c r="Y2009" t="s">
        <v>22893</v>
      </c>
      <c r="Z2009" t="s">
        <v>29719</v>
      </c>
      <c r="AA2009">
        <v>0.5164661973365523</v>
      </c>
      <c r="AB2009" t="str">
        <f>HYPERLINK("Melting_Curves/meltCurve_P04843_RPN1.pdf", "Melting_Curves/meltCurve_P04843_RPN1.pdf")</f>
        <v>Melting_Curves/meltCurve_P04843_RPN1.pdf</v>
      </c>
    </row>
    <row r="2010" spans="1:28" x14ac:dyDescent="0.25">
      <c r="A2010" t="s">
        <v>2014</v>
      </c>
      <c r="B2010">
        <v>0.99999676499088797</v>
      </c>
      <c r="C2010">
        <v>1.0528847712554299</v>
      </c>
      <c r="D2010">
        <v>1.13344398685762</v>
      </c>
      <c r="E2010">
        <v>1.2838064922814101</v>
      </c>
      <c r="F2010">
        <v>0.62648157321172304</v>
      </c>
      <c r="G2010">
        <v>0.32107748996126201</v>
      </c>
      <c r="H2010">
        <v>0.13046553213853801</v>
      </c>
      <c r="I2010">
        <v>0.112276427856159</v>
      </c>
      <c r="J2010">
        <v>0.10910460595260001</v>
      </c>
      <c r="K2010">
        <v>8.9992442789664603E-2</v>
      </c>
      <c r="L2010">
        <v>2132.3126930856902</v>
      </c>
      <c r="M2010">
        <v>39.392945676277101</v>
      </c>
      <c r="N2010">
        <v>54.509236683149197</v>
      </c>
      <c r="O2010">
        <v>53.990374551062303</v>
      </c>
      <c r="P2010">
        <v>-0.16050821381920399</v>
      </c>
      <c r="Q2010">
        <v>0.120057749660602</v>
      </c>
      <c r="R2010">
        <v>0.93993411651724701</v>
      </c>
      <c r="S2010" t="s">
        <v>9013</v>
      </c>
      <c r="T2010" t="s">
        <v>14004</v>
      </c>
      <c r="U2010" t="s">
        <v>14004</v>
      </c>
      <c r="V2010" t="s">
        <v>14004</v>
      </c>
      <c r="W2010" t="s">
        <v>15978</v>
      </c>
      <c r="X2010">
        <v>15</v>
      </c>
      <c r="Y2010" t="s">
        <v>22894</v>
      </c>
      <c r="Z2010" t="s">
        <v>29720</v>
      </c>
      <c r="AA2010">
        <v>0.53787710614642492</v>
      </c>
      <c r="AB2010" t="str">
        <f>HYPERLINK("Melting_Curves/meltCurve_P04844_RPN2.pdf", "Melting_Curves/meltCurve_P04844_RPN2.pdf")</f>
        <v>Melting_Curves/meltCurve_P04844_RPN2.pdf</v>
      </c>
    </row>
    <row r="2011" spans="1:28" x14ac:dyDescent="0.25">
      <c r="A2011" t="s">
        <v>2015</v>
      </c>
      <c r="B2011">
        <v>0.99999676499088797</v>
      </c>
      <c r="C2011">
        <v>0.96601759415005495</v>
      </c>
      <c r="D2011">
        <v>0.94396382793229405</v>
      </c>
      <c r="E2011">
        <v>0.85816209520157904</v>
      </c>
      <c r="F2011">
        <v>0.66178653535941201</v>
      </c>
      <c r="G2011">
        <v>0.23928962638913401</v>
      </c>
      <c r="H2011">
        <v>0.10976778519920601</v>
      </c>
      <c r="I2011">
        <v>0.106850963128195</v>
      </c>
      <c r="J2011">
        <v>0.11232421645247</v>
      </c>
      <c r="K2011">
        <v>9.15437972577378E-2</v>
      </c>
      <c r="L2011">
        <v>1397.4457153488099</v>
      </c>
      <c r="M2011">
        <v>25.951067196821899</v>
      </c>
      <c r="N2011">
        <v>54.239839662967299</v>
      </c>
      <c r="O2011">
        <v>53.532558141337702</v>
      </c>
      <c r="P2011">
        <v>-0.110865445846819</v>
      </c>
      <c r="Q2011">
        <v>8.5225852829720006E-2</v>
      </c>
      <c r="R2011">
        <v>0.99320876873164399</v>
      </c>
      <c r="S2011" t="s">
        <v>9014</v>
      </c>
      <c r="T2011" t="s">
        <v>14004</v>
      </c>
      <c r="U2011" t="s">
        <v>14004</v>
      </c>
      <c r="V2011" t="s">
        <v>14004</v>
      </c>
      <c r="W2011" t="s">
        <v>15979</v>
      </c>
      <c r="X2011">
        <v>28</v>
      </c>
      <c r="Y2011" t="s">
        <v>22895</v>
      </c>
      <c r="Z2011" t="s">
        <v>29721</v>
      </c>
      <c r="AA2011">
        <v>0.51542225279076015</v>
      </c>
      <c r="AB2011" t="str">
        <f>HYPERLINK("Melting_Curves/meltCurve_P04899_GNAI2.pdf", "Melting_Curves/meltCurve_P04899_GNAI2.pdf")</f>
        <v>Melting_Curves/meltCurve_P04899_GNAI2.pdf</v>
      </c>
    </row>
    <row r="2012" spans="1:28" x14ac:dyDescent="0.25">
      <c r="A2012" t="s">
        <v>2016</v>
      </c>
      <c r="B2012">
        <v>0.99999676499088797</v>
      </c>
      <c r="C2012">
        <v>1.1116774950505901</v>
      </c>
      <c r="D2012">
        <v>1.0215379490632399</v>
      </c>
      <c r="E2012">
        <v>0.87026952804395696</v>
      </c>
      <c r="F2012">
        <v>1.61476523009298</v>
      </c>
      <c r="G2012">
        <v>0.29847038799214798</v>
      </c>
      <c r="H2012">
        <v>0.18622471861527101</v>
      </c>
      <c r="I2012">
        <v>0.16880132482676899</v>
      </c>
      <c r="J2012">
        <v>0.152351645651252</v>
      </c>
      <c r="K2012">
        <v>0.153034409415648</v>
      </c>
      <c r="L2012">
        <v>14105.703915316801</v>
      </c>
      <c r="M2012">
        <v>250</v>
      </c>
      <c r="N2012">
        <v>56.513414284856701</v>
      </c>
      <c r="O2012">
        <v>56.419206234566801</v>
      </c>
      <c r="P2012">
        <v>-0.92488144184958099</v>
      </c>
      <c r="Q2012">
        <v>0.165102790643089</v>
      </c>
      <c r="R2012">
        <v>0.83772967010876798</v>
      </c>
      <c r="S2012" t="s">
        <v>9015</v>
      </c>
      <c r="T2012" t="s">
        <v>14004</v>
      </c>
      <c r="U2012" t="s">
        <v>14004</v>
      </c>
      <c r="V2012" t="s">
        <v>14004</v>
      </c>
      <c r="W2012" t="s">
        <v>15980</v>
      </c>
      <c r="X2012">
        <v>7</v>
      </c>
      <c r="Y2012" t="s">
        <v>22896</v>
      </c>
      <c r="Z2012" t="s">
        <v>29722</v>
      </c>
      <c r="AA2012">
        <v>0.62223089531520459</v>
      </c>
      <c r="AB2012" t="str">
        <f>HYPERLINK("Melting_Curves/meltCurve_P04920_2_SLC4A2.pdf", "Melting_Curves/meltCurve_P04920_2_SLC4A2.pdf")</f>
        <v>Melting_Curves/meltCurve_P04920_2_SLC4A2.pdf</v>
      </c>
    </row>
    <row r="2013" spans="1:28" x14ac:dyDescent="0.25">
      <c r="A2013" t="s">
        <v>2017</v>
      </c>
      <c r="B2013">
        <v>0.99999676499088797</v>
      </c>
      <c r="C2013">
        <v>0.80432790221767603</v>
      </c>
      <c r="D2013">
        <v>0.87614348031298905</v>
      </c>
      <c r="E2013">
        <v>0.91002023074649896</v>
      </c>
      <c r="F2013">
        <v>0.84611440738009602</v>
      </c>
      <c r="G2013">
        <v>0.54975203457858701</v>
      </c>
      <c r="H2013">
        <v>0.675013943258718</v>
      </c>
      <c r="I2013">
        <v>0.41503007413708598</v>
      </c>
      <c r="J2013">
        <v>0.40698241666041202</v>
      </c>
      <c r="K2013">
        <v>0.73046840096200905</v>
      </c>
      <c r="L2013">
        <v>525.80189658785901</v>
      </c>
      <c r="M2013">
        <v>9.8739419162471798</v>
      </c>
      <c r="O2013">
        <v>51.205212438687902</v>
      </c>
      <c r="P2013">
        <v>-2.5177171308210899E-2</v>
      </c>
      <c r="Q2013">
        <v>0.47800197118665999</v>
      </c>
      <c r="R2013">
        <v>0.62933905254563005</v>
      </c>
      <c r="S2013" t="s">
        <v>9016</v>
      </c>
      <c r="T2013" t="s">
        <v>14004</v>
      </c>
      <c r="U2013" t="s">
        <v>14004</v>
      </c>
      <c r="V2013" t="s">
        <v>14004</v>
      </c>
      <c r="W2013" t="s">
        <v>15981</v>
      </c>
      <c r="X2013">
        <v>2</v>
      </c>
      <c r="Y2013" t="s">
        <v>22897</v>
      </c>
      <c r="Z2013" t="s">
        <v>29723</v>
      </c>
      <c r="AA2013">
        <v>0.72610919326199885</v>
      </c>
      <c r="AB2013" t="str">
        <f>HYPERLINK("Melting_Curves/meltCurve_P04921_2_GYPC.pdf", "Melting_Curves/meltCurve_P04921_2_GYPC.pdf")</f>
        <v>Melting_Curves/meltCurve_P04921_2_GYPC.pdf</v>
      </c>
    </row>
    <row r="2014" spans="1:28" x14ac:dyDescent="0.25">
      <c r="A2014" t="s">
        <v>2018</v>
      </c>
      <c r="B2014">
        <v>0.99999676499088797</v>
      </c>
      <c r="C2014">
        <v>1.00499508705684</v>
      </c>
      <c r="D2014">
        <v>1.0353913742398799</v>
      </c>
      <c r="E2014">
        <v>1.06103132241766</v>
      </c>
      <c r="F2014">
        <v>1.06774728749535</v>
      </c>
      <c r="G2014">
        <v>0.91182246710810499</v>
      </c>
      <c r="H2014">
        <v>0.39026757376791998</v>
      </c>
      <c r="I2014">
        <v>0.113747542017263</v>
      </c>
      <c r="J2014">
        <v>8.9835290933809098E-2</v>
      </c>
      <c r="K2014">
        <v>7.3520414365062695E-2</v>
      </c>
      <c r="L2014">
        <v>2655.0966961489598</v>
      </c>
      <c r="M2014">
        <v>44.3458062044092</v>
      </c>
      <c r="N2014">
        <v>60.087953241152199</v>
      </c>
      <c r="O2014">
        <v>59.751184502535096</v>
      </c>
      <c r="P2014">
        <v>-0.17190835999926099</v>
      </c>
      <c r="Q2014">
        <v>7.3489486600081505E-2</v>
      </c>
      <c r="R2014">
        <v>0.99422762912542395</v>
      </c>
      <c r="S2014" t="s">
        <v>9017</v>
      </c>
      <c r="T2014" t="s">
        <v>14004</v>
      </c>
      <c r="U2014" t="s">
        <v>14004</v>
      </c>
      <c r="V2014" t="s">
        <v>14004</v>
      </c>
      <c r="W2014" t="s">
        <v>15982</v>
      </c>
      <c r="X2014">
        <v>54</v>
      </c>
      <c r="Y2014" t="s">
        <v>22898</v>
      </c>
      <c r="Z2014" t="s">
        <v>29724</v>
      </c>
      <c r="AA2014">
        <v>0.69024413687423292</v>
      </c>
      <c r="AB2014" t="str">
        <f>HYPERLINK("Melting_Curves/meltCurve_P05023_4_ATP1A1.pdf", "Melting_Curves/meltCurve_P05023_4_ATP1A1.pdf")</f>
        <v>Melting_Curves/meltCurve_P05023_4_ATP1A1.pdf</v>
      </c>
    </row>
    <row r="2015" spans="1:28" x14ac:dyDescent="0.25">
      <c r="A2015" t="s">
        <v>2019</v>
      </c>
      <c r="B2015">
        <v>0.99999676499088797</v>
      </c>
      <c r="C2015">
        <v>0.86766664107635605</v>
      </c>
      <c r="D2015">
        <v>0.91746630802194196</v>
      </c>
      <c r="E2015">
        <v>0.98745419420104497</v>
      </c>
      <c r="F2015">
        <v>0.80505663570829999</v>
      </c>
      <c r="G2015">
        <v>0.40493273241214101</v>
      </c>
      <c r="H2015">
        <v>0.262289099492029</v>
      </c>
      <c r="I2015">
        <v>0.209719602691813</v>
      </c>
      <c r="J2015">
        <v>0.20724529613114101</v>
      </c>
      <c r="K2015">
        <v>0.12276531388292899</v>
      </c>
      <c r="L2015">
        <v>1630.51442554144</v>
      </c>
      <c r="M2015">
        <v>29.552374396647</v>
      </c>
      <c r="N2015">
        <v>56.017369572286697</v>
      </c>
      <c r="O2015">
        <v>54.922930662064502</v>
      </c>
      <c r="P2015">
        <v>-0.11035734703514601</v>
      </c>
      <c r="Q2015">
        <v>0.17961150284671201</v>
      </c>
      <c r="R2015">
        <v>0.97512107358772304</v>
      </c>
      <c r="S2015" t="s">
        <v>9018</v>
      </c>
      <c r="T2015" t="s">
        <v>14004</v>
      </c>
      <c r="U2015" t="s">
        <v>14004</v>
      </c>
      <c r="V2015" t="s">
        <v>14004</v>
      </c>
      <c r="W2015" t="s">
        <v>15983</v>
      </c>
      <c r="X2015">
        <v>4</v>
      </c>
      <c r="Y2015" t="s">
        <v>22899</v>
      </c>
      <c r="Z2015" t="s">
        <v>29725</v>
      </c>
      <c r="AA2015">
        <v>0.60016103192922421</v>
      </c>
      <c r="AB2015" t="str">
        <f>HYPERLINK("Melting_Curves/meltCurve_P05062_ALDOB.pdf", "Melting_Curves/meltCurve_P05062_ALDOB.pdf")</f>
        <v>Melting_Curves/meltCurve_P05062_ALDOB.pdf</v>
      </c>
    </row>
    <row r="2016" spans="1:28" x14ac:dyDescent="0.25">
      <c r="A2016" t="s">
        <v>2020</v>
      </c>
      <c r="B2016">
        <v>0.99999676499088797</v>
      </c>
      <c r="C2016">
        <v>1.3179450496737899</v>
      </c>
      <c r="D2016">
        <v>1.3362544580731599</v>
      </c>
      <c r="E2016">
        <v>0.98493317369779099</v>
      </c>
      <c r="F2016">
        <v>0.85967404487994403</v>
      </c>
      <c r="G2016">
        <v>0.79027284817002197</v>
      </c>
      <c r="H2016">
        <v>0.26875270919629601</v>
      </c>
      <c r="I2016">
        <v>0.204656535446608</v>
      </c>
      <c r="J2016">
        <v>0.31633089132501002</v>
      </c>
      <c r="K2016">
        <v>0.136473230098036</v>
      </c>
      <c r="L2016">
        <v>2563.3105125094498</v>
      </c>
      <c r="M2016">
        <v>44.256834081590497</v>
      </c>
      <c r="N2016">
        <v>58.632893233935903</v>
      </c>
      <c r="O2016">
        <v>57.801100360107498</v>
      </c>
      <c r="P2016">
        <v>-0.15154694591464599</v>
      </c>
      <c r="Q2016">
        <v>0.20829698487923101</v>
      </c>
      <c r="R2016">
        <v>0.86830977315115399</v>
      </c>
      <c r="S2016" t="s">
        <v>9019</v>
      </c>
      <c r="T2016" t="s">
        <v>14004</v>
      </c>
      <c r="U2016" t="s">
        <v>14004</v>
      </c>
      <c r="V2016" t="s">
        <v>14004</v>
      </c>
      <c r="W2016" t="s">
        <v>15984</v>
      </c>
      <c r="X2016">
        <v>2</v>
      </c>
      <c r="Y2016" t="s">
        <v>22900</v>
      </c>
      <c r="Z2016" t="s">
        <v>29726</v>
      </c>
      <c r="AA2016">
        <v>0.68374054426987341</v>
      </c>
      <c r="AB2016" t="str">
        <f>HYPERLINK("Melting_Curves/meltCurve_P05089_3_ARG1.pdf", "Melting_Curves/meltCurve_P05089_3_ARG1.pdf")</f>
        <v>Melting_Curves/meltCurve_P05089_3_ARG1.pdf</v>
      </c>
    </row>
    <row r="2017" spans="1:28" x14ac:dyDescent="0.25">
      <c r="A2017" t="s">
        <v>2021</v>
      </c>
      <c r="B2017">
        <v>0.99999676499088797</v>
      </c>
      <c r="C2017">
        <v>0.96442756403797303</v>
      </c>
      <c r="D2017">
        <v>0.99334436826129802</v>
      </c>
      <c r="E2017">
        <v>1.0454622402539899</v>
      </c>
      <c r="F2017">
        <v>0.94742038343478596</v>
      </c>
      <c r="G2017">
        <v>0.70997772848150298</v>
      </c>
      <c r="H2017">
        <v>0.41381343813024302</v>
      </c>
      <c r="I2017">
        <v>0.38669834022606903</v>
      </c>
      <c r="J2017">
        <v>0.34292798489465098</v>
      </c>
      <c r="K2017">
        <v>0.35958991729851802</v>
      </c>
      <c r="L2017">
        <v>2052.3093709506202</v>
      </c>
      <c r="M2017">
        <v>35.9488736055416</v>
      </c>
      <c r="N2017">
        <v>59.133556860563097</v>
      </c>
      <c r="O2017">
        <v>56.9138933561755</v>
      </c>
      <c r="P2017">
        <v>-0.10174527436092699</v>
      </c>
      <c r="Q2017">
        <v>0.355673912158808</v>
      </c>
      <c r="R2017">
        <v>0.99486133624503603</v>
      </c>
      <c r="S2017" t="s">
        <v>9020</v>
      </c>
      <c r="T2017" t="s">
        <v>14004</v>
      </c>
      <c r="U2017" t="s">
        <v>14004</v>
      </c>
      <c r="V2017" t="s">
        <v>14004</v>
      </c>
      <c r="W2017" t="s">
        <v>15985</v>
      </c>
      <c r="X2017">
        <v>6</v>
      </c>
      <c r="Y2017" t="s">
        <v>22901</v>
      </c>
      <c r="Z2017" t="s">
        <v>29727</v>
      </c>
      <c r="AA2017">
        <v>0.72580076155658835</v>
      </c>
      <c r="AB2017" t="str">
        <f>HYPERLINK("Melting_Curves/meltCurve_P05106_ITGB3.pdf", "Melting_Curves/meltCurve_P05106_ITGB3.pdf")</f>
        <v>Melting_Curves/meltCurve_P05106_ITGB3.pdf</v>
      </c>
    </row>
    <row r="2018" spans="1:28" x14ac:dyDescent="0.25">
      <c r="A2018" t="s">
        <v>2022</v>
      </c>
      <c r="B2018">
        <v>0.99999676499088797</v>
      </c>
      <c r="C2018">
        <v>0.98083100541838797</v>
      </c>
      <c r="D2018">
        <v>0.99214877247410505</v>
      </c>
      <c r="E2018">
        <v>0.92436125625571597</v>
      </c>
      <c r="F2018">
        <v>0.683331470013679</v>
      </c>
      <c r="G2018">
        <v>0.54611247404243801</v>
      </c>
      <c r="H2018">
        <v>0.359247919099419</v>
      </c>
      <c r="I2018">
        <v>0.35937574260620198</v>
      </c>
      <c r="J2018">
        <v>0.30421251444356801</v>
      </c>
      <c r="K2018">
        <v>0.350191219538527</v>
      </c>
      <c r="L2018">
        <v>1082.09814097098</v>
      </c>
      <c r="M2018">
        <v>20.002533239205899</v>
      </c>
      <c r="N2018">
        <v>56.984537559402298</v>
      </c>
      <c r="O2018">
        <v>53.566053801826101</v>
      </c>
      <c r="P2018">
        <v>-6.3625704759704693E-2</v>
      </c>
      <c r="Q2018">
        <v>0.31847291710881498</v>
      </c>
      <c r="R2018">
        <v>0.99321299558222897</v>
      </c>
      <c r="S2018" t="s">
        <v>9021</v>
      </c>
      <c r="T2018" t="s">
        <v>14004</v>
      </c>
      <c r="U2018" t="s">
        <v>14004</v>
      </c>
      <c r="V2018" t="s">
        <v>14004</v>
      </c>
      <c r="W2018" t="s">
        <v>15986</v>
      </c>
      <c r="X2018">
        <v>35</v>
      </c>
      <c r="Y2018" t="s">
        <v>22902</v>
      </c>
      <c r="Z2018" t="s">
        <v>29728</v>
      </c>
      <c r="AA2018">
        <v>0.64799285523355576</v>
      </c>
      <c r="AB2018" t="str">
        <f>HYPERLINK("Melting_Curves/meltCurve_P05107_ITGB2.pdf", "Melting_Curves/meltCurve_P05107_ITGB2.pdf")</f>
        <v>Melting_Curves/meltCurve_P05107_ITGB2.pdf</v>
      </c>
    </row>
    <row r="2019" spans="1:28" x14ac:dyDescent="0.25">
      <c r="A2019" t="s">
        <v>2023</v>
      </c>
      <c r="B2019">
        <v>0.99999676499088797</v>
      </c>
      <c r="C2019">
        <v>1.0267324610020301</v>
      </c>
      <c r="D2019">
        <v>1.16231814643542</v>
      </c>
      <c r="E2019">
        <v>0.67838276429196998</v>
      </c>
      <c r="F2019">
        <v>6.5263868635332898</v>
      </c>
      <c r="G2019">
        <v>0.481159484343121</v>
      </c>
      <c r="H2019">
        <v>0.45929057956705199</v>
      </c>
      <c r="I2019">
        <v>0.273588658769301</v>
      </c>
      <c r="J2019">
        <v>0.25428088384930297</v>
      </c>
      <c r="K2019">
        <v>0.23854783737140201</v>
      </c>
      <c r="L2019">
        <v>14138.1844545002</v>
      </c>
      <c r="M2019">
        <v>250</v>
      </c>
      <c r="N2019">
        <v>56.768220027835703</v>
      </c>
      <c r="O2019">
        <v>56.549118838552197</v>
      </c>
      <c r="P2019">
        <v>-0.76656111998356202</v>
      </c>
      <c r="Q2019">
        <v>0.30642630713100399</v>
      </c>
      <c r="R2019">
        <v>5.3984423037243899E-2</v>
      </c>
      <c r="S2019" t="s">
        <v>9022</v>
      </c>
      <c r="T2019" t="s">
        <v>14004</v>
      </c>
      <c r="U2019" t="s">
        <v>14004</v>
      </c>
      <c r="V2019" t="s">
        <v>14004</v>
      </c>
      <c r="W2019" t="s">
        <v>15987</v>
      </c>
      <c r="X2019">
        <v>8</v>
      </c>
      <c r="Y2019" t="s">
        <v>22903</v>
      </c>
      <c r="Z2019" t="s">
        <v>29729</v>
      </c>
      <c r="AA2019">
        <v>0.68917992693172914</v>
      </c>
      <c r="AB2019" t="str">
        <f>HYPERLINK("Melting_Curves/meltCurve_P05109_S100A8.pdf", "Melting_Curves/meltCurve_P05109_S100A8.pdf")</f>
        <v>Melting_Curves/meltCurve_P05109_S100A8.pdf</v>
      </c>
    </row>
    <row r="2020" spans="1:28" x14ac:dyDescent="0.25">
      <c r="A2020" t="s">
        <v>2024</v>
      </c>
      <c r="B2020">
        <v>0.99999676499088797</v>
      </c>
      <c r="C2020">
        <v>0.87483090639599403</v>
      </c>
      <c r="D2020">
        <v>1.17986450013295</v>
      </c>
      <c r="E2020">
        <v>1.34571835937407</v>
      </c>
      <c r="F2020">
        <v>1.28866381504</v>
      </c>
      <c r="G2020">
        <v>1.2317193041021</v>
      </c>
      <c r="H2020">
        <v>1.29816883096956</v>
      </c>
      <c r="I2020">
        <v>1.17152037186033</v>
      </c>
      <c r="J2020">
        <v>0.884675604845509</v>
      </c>
      <c r="K2020">
        <v>1.76137061094553</v>
      </c>
      <c r="L2020">
        <v>11474.4699364854</v>
      </c>
      <c r="M2020">
        <v>250</v>
      </c>
      <c r="O2020">
        <v>45.8949427731188</v>
      </c>
      <c r="P2020">
        <v>0.38555386209003001</v>
      </c>
      <c r="Q2020">
        <v>1.28311955749957</v>
      </c>
      <c r="R2020">
        <v>0.297281299122095</v>
      </c>
      <c r="S2020" t="s">
        <v>9023</v>
      </c>
      <c r="T2020" t="s">
        <v>14004</v>
      </c>
      <c r="U2020" t="s">
        <v>14004</v>
      </c>
      <c r="V2020" t="s">
        <v>14004</v>
      </c>
      <c r="W2020" t="s">
        <v>15988</v>
      </c>
      <c r="X2020">
        <v>10</v>
      </c>
      <c r="Y2020" t="s">
        <v>22904</v>
      </c>
      <c r="Z2020" t="s">
        <v>29730</v>
      </c>
      <c r="AA2020">
        <v>1.2274365820723681</v>
      </c>
      <c r="AB2020" t="str">
        <f>HYPERLINK("Melting_Curves/meltCurve_P05114_HMGN1.pdf", "Melting_Curves/meltCurve_P05114_HMGN1.pdf")</f>
        <v>Melting_Curves/meltCurve_P05114_HMGN1.pdf</v>
      </c>
    </row>
    <row r="2021" spans="1:28" x14ac:dyDescent="0.25">
      <c r="A2021" t="s">
        <v>2025</v>
      </c>
      <c r="B2021">
        <v>0.99999676499088797</v>
      </c>
      <c r="C2021">
        <v>1.22130725166117</v>
      </c>
      <c r="D2021">
        <v>1.06098666736768</v>
      </c>
      <c r="E2021">
        <v>1.10781122549009</v>
      </c>
      <c r="F2021">
        <v>1.1489050031224499</v>
      </c>
      <c r="G2021">
        <v>0.75376398042673998</v>
      </c>
      <c r="H2021">
        <v>0.50442335456843701</v>
      </c>
      <c r="I2021">
        <v>0.30346618379810802</v>
      </c>
      <c r="J2021">
        <v>0.27578338352112203</v>
      </c>
      <c r="K2021">
        <v>0.12599935773965201</v>
      </c>
      <c r="L2021">
        <v>1576.9958025306</v>
      </c>
      <c r="M2021">
        <v>26.399934240847202</v>
      </c>
      <c r="N2021">
        <v>60.7120902384899</v>
      </c>
      <c r="O2021">
        <v>59.395249403213697</v>
      </c>
      <c r="P2021">
        <v>-9.1886171608964895E-2</v>
      </c>
      <c r="Q2021">
        <v>0.17309749010228401</v>
      </c>
      <c r="R2021">
        <v>0.92771358597615305</v>
      </c>
      <c r="S2021" t="s">
        <v>9024</v>
      </c>
      <c r="T2021" t="s">
        <v>14004</v>
      </c>
      <c r="U2021" t="s">
        <v>14004</v>
      </c>
      <c r="V2021" t="s">
        <v>14004</v>
      </c>
      <c r="W2021" t="s">
        <v>15989</v>
      </c>
      <c r="X2021">
        <v>1</v>
      </c>
      <c r="Y2021" t="s">
        <v>22905</v>
      </c>
      <c r="Z2021" t="s">
        <v>29731</v>
      </c>
      <c r="AA2021">
        <v>0.72304175495696399</v>
      </c>
      <c r="AB2021" t="str">
        <f>HYPERLINK("Melting_Curves/meltCurve_P05120_SERPINB2.pdf", "Melting_Curves/meltCurve_P05120_SERPINB2.pdf")</f>
        <v>Melting_Curves/meltCurve_P05120_SERPINB2.pdf</v>
      </c>
    </row>
    <row r="2022" spans="1:28" x14ac:dyDescent="0.25">
      <c r="A2022" t="s">
        <v>2026</v>
      </c>
      <c r="B2022">
        <v>0.99999676499088797</v>
      </c>
      <c r="C2022">
        <v>0.87143102241873904</v>
      </c>
      <c r="D2022">
        <v>0.85401802959831397</v>
      </c>
      <c r="E2022">
        <v>0.90404305952295505</v>
      </c>
      <c r="F2022">
        <v>0.79308942852113595</v>
      </c>
      <c r="G2022">
        <v>0.77204432930400402</v>
      </c>
      <c r="H2022">
        <v>0.43379912456795899</v>
      </c>
      <c r="I2022">
        <v>0.29166729701850402</v>
      </c>
      <c r="J2022">
        <v>0.17767662721638799</v>
      </c>
      <c r="K2022">
        <v>0.18389666752629899</v>
      </c>
      <c r="L2022">
        <v>712.25056150996102</v>
      </c>
      <c r="M2022">
        <v>11.879020041935</v>
      </c>
      <c r="N2022">
        <v>59.958696891012401</v>
      </c>
      <c r="O2022">
        <v>58.335246825557803</v>
      </c>
      <c r="P2022">
        <v>-5.09211796079077E-2</v>
      </c>
      <c r="Q2022">
        <v>0</v>
      </c>
      <c r="R2022">
        <v>0.94962654882703701</v>
      </c>
      <c r="S2022" t="s">
        <v>9025</v>
      </c>
      <c r="T2022" t="s">
        <v>14004</v>
      </c>
      <c r="U2022" t="s">
        <v>14004</v>
      </c>
      <c r="V2022" t="s">
        <v>14004</v>
      </c>
      <c r="W2022" t="s">
        <v>15990</v>
      </c>
      <c r="X2022">
        <v>33</v>
      </c>
      <c r="Y2022" t="s">
        <v>22906</v>
      </c>
      <c r="Z2022" t="s">
        <v>29732</v>
      </c>
      <c r="AA2022">
        <v>0.66762148914798203</v>
      </c>
      <c r="AB2022" t="str">
        <f>HYPERLINK("Melting_Curves/meltCurve_P05141_SLC25A5.pdf", "Melting_Curves/meltCurve_P05141_SLC25A5.pdf")</f>
        <v>Melting_Curves/meltCurve_P05141_SLC25A5.pdf</v>
      </c>
    </row>
    <row r="2023" spans="1:28" x14ac:dyDescent="0.25">
      <c r="A2023" t="s">
        <v>2027</v>
      </c>
      <c r="B2023">
        <v>0.99999676499088797</v>
      </c>
      <c r="C2023">
        <v>0.98966358501350504</v>
      </c>
      <c r="D2023">
        <v>0.83559087346388194</v>
      </c>
      <c r="E2023">
        <v>0.42955784542318498</v>
      </c>
      <c r="F2023">
        <v>0.30335127486188102</v>
      </c>
      <c r="G2023">
        <v>0.213901040005222</v>
      </c>
      <c r="H2023">
        <v>0.11130297429014301</v>
      </c>
      <c r="I2023">
        <v>0.134277089685646</v>
      </c>
      <c r="J2023">
        <v>0.121076797948603</v>
      </c>
      <c r="K2023">
        <v>9.7233208937017507E-2</v>
      </c>
      <c r="L2023">
        <v>1040.28550782661</v>
      </c>
      <c r="M2023">
        <v>21.326833862959798</v>
      </c>
      <c r="N2023">
        <v>49.451196737472799</v>
      </c>
      <c r="O2023">
        <v>48.3554516504608</v>
      </c>
      <c r="P2023">
        <v>-9.6375618079255099E-2</v>
      </c>
      <c r="Q2023">
        <v>0.125952054582154</v>
      </c>
      <c r="R2023">
        <v>0.99082488575207905</v>
      </c>
      <c r="S2023" t="s">
        <v>9026</v>
      </c>
      <c r="T2023" t="s">
        <v>14004</v>
      </c>
      <c r="U2023" t="s">
        <v>14004</v>
      </c>
      <c r="V2023" t="s">
        <v>14004</v>
      </c>
      <c r="W2023" t="s">
        <v>15991</v>
      </c>
      <c r="X2023">
        <v>6</v>
      </c>
      <c r="Y2023" t="s">
        <v>22907</v>
      </c>
      <c r="Z2023" t="s">
        <v>29733</v>
      </c>
      <c r="AA2023">
        <v>0.39245675960190712</v>
      </c>
      <c r="AB2023" t="str">
        <f>HYPERLINK("Melting_Curves/meltCurve_P05161_ISG15.pdf", "Melting_Curves/meltCurve_P05161_ISG15.pdf")</f>
        <v>Melting_Curves/meltCurve_P05161_ISG15.pdf</v>
      </c>
    </row>
    <row r="2024" spans="1:28" x14ac:dyDescent="0.25">
      <c r="A2024" t="s">
        <v>2028</v>
      </c>
      <c r="B2024">
        <v>0.99999676499088797</v>
      </c>
      <c r="C2024">
        <v>1.05818968256959</v>
      </c>
      <c r="D2024">
        <v>1.0345728345336</v>
      </c>
      <c r="E2024">
        <v>1.2149970154007299</v>
      </c>
      <c r="F2024">
        <v>0.77707322000641099</v>
      </c>
      <c r="G2024">
        <v>0.27405519974814102</v>
      </c>
      <c r="H2024">
        <v>0.12576280483477001</v>
      </c>
      <c r="I2024">
        <v>0.125365067772474</v>
      </c>
      <c r="J2024">
        <v>0.135921849754637</v>
      </c>
      <c r="K2024">
        <v>0.107260453743553</v>
      </c>
      <c r="L2024">
        <v>2507.9762902726302</v>
      </c>
      <c r="M2024">
        <v>45.9051280495081</v>
      </c>
      <c r="N2024">
        <v>54.976947152256699</v>
      </c>
      <c r="O2024">
        <v>54.530538138355297</v>
      </c>
      <c r="P2024">
        <v>-0.18424753434188301</v>
      </c>
      <c r="Q2024">
        <v>0.124533307999614</v>
      </c>
      <c r="R2024">
        <v>0.97174400941360894</v>
      </c>
      <c r="S2024" t="s">
        <v>9027</v>
      </c>
      <c r="T2024" t="s">
        <v>14004</v>
      </c>
      <c r="U2024" t="s">
        <v>14004</v>
      </c>
      <c r="V2024" t="s">
        <v>14004</v>
      </c>
      <c r="W2024" t="s">
        <v>15992</v>
      </c>
      <c r="X2024">
        <v>7</v>
      </c>
      <c r="Y2024" t="s">
        <v>22908</v>
      </c>
      <c r="Z2024" t="s">
        <v>29734</v>
      </c>
      <c r="AA2024">
        <v>0.55408620974553635</v>
      </c>
      <c r="AB2024" t="str">
        <f>HYPERLINK("Melting_Curves/meltCurve_P05165_2_PCCA.pdf", "Melting_Curves/meltCurve_P05165_2_PCCA.pdf")</f>
        <v>Melting_Curves/meltCurve_P05165_2_PCCA.pdf</v>
      </c>
    </row>
    <row r="2025" spans="1:28" x14ac:dyDescent="0.25">
      <c r="A2025" t="s">
        <v>2029</v>
      </c>
      <c r="B2025">
        <v>0.99999676499088797</v>
      </c>
      <c r="C2025">
        <v>0.96937338280242302</v>
      </c>
      <c r="D2025">
        <v>0.93463085992997896</v>
      </c>
      <c r="E2025">
        <v>0.83144535233170203</v>
      </c>
      <c r="F2025">
        <v>0.59686292815772901</v>
      </c>
      <c r="G2025">
        <v>0.306023869505202</v>
      </c>
      <c r="H2025">
        <v>0.10080636311421701</v>
      </c>
      <c r="I2025">
        <v>8.4817366633768002E-2</v>
      </c>
      <c r="J2025">
        <v>7.03260894912284E-2</v>
      </c>
      <c r="K2025">
        <v>6.9594632400409695E-2</v>
      </c>
      <c r="L2025">
        <v>1016.86470392606</v>
      </c>
      <c r="M2025">
        <v>18.877669434978401</v>
      </c>
      <c r="N2025">
        <v>54.100396252627903</v>
      </c>
      <c r="O2025">
        <v>53.272467979484802</v>
      </c>
      <c r="P2025">
        <v>-8.5115158961513102E-2</v>
      </c>
      <c r="Q2025">
        <v>3.9265069418947501E-2</v>
      </c>
      <c r="R2025">
        <v>0.99750840285480902</v>
      </c>
      <c r="S2025" t="s">
        <v>9028</v>
      </c>
      <c r="T2025" t="s">
        <v>14004</v>
      </c>
      <c r="U2025" t="s">
        <v>14004</v>
      </c>
      <c r="V2025" t="s">
        <v>14004</v>
      </c>
      <c r="W2025" t="s">
        <v>15993</v>
      </c>
      <c r="X2025">
        <v>41</v>
      </c>
      <c r="Y2025" t="s">
        <v>22909</v>
      </c>
      <c r="Z2025" t="s">
        <v>29735</v>
      </c>
      <c r="AA2025">
        <v>0.49766084369395569</v>
      </c>
      <c r="AB2025" t="str">
        <f>HYPERLINK("Melting_Curves/meltCurve_P05198_EIF2S1.pdf", "Melting_Curves/meltCurve_P05198_EIF2S1.pdf")</f>
        <v>Melting_Curves/meltCurve_P05198_EIF2S1.pdf</v>
      </c>
    </row>
    <row r="2026" spans="1:28" x14ac:dyDescent="0.25">
      <c r="A2026" t="s">
        <v>2030</v>
      </c>
      <c r="B2026">
        <v>0.99999676499088797</v>
      </c>
      <c r="C2026">
        <v>1.0135551133082299</v>
      </c>
      <c r="D2026">
        <v>1.2339659808033101</v>
      </c>
      <c r="E2026">
        <v>1.3781125245567001</v>
      </c>
      <c r="F2026">
        <v>1.33927255255746</v>
      </c>
      <c r="G2026">
        <v>1.3676115456226099</v>
      </c>
      <c r="H2026">
        <v>1.32109828596281</v>
      </c>
      <c r="I2026">
        <v>1.06986944968239</v>
      </c>
      <c r="J2026">
        <v>0.91617562500502503</v>
      </c>
      <c r="K2026">
        <v>1.4689863998083701</v>
      </c>
      <c r="L2026">
        <v>3277.5511249706501</v>
      </c>
      <c r="M2026">
        <v>73.309322945349507</v>
      </c>
      <c r="O2026">
        <v>44.675282468244099</v>
      </c>
      <c r="P2026">
        <v>0.108997283092993</v>
      </c>
      <c r="Q2026">
        <v>1.26569518334624</v>
      </c>
      <c r="R2026">
        <v>0.31041388284521998</v>
      </c>
      <c r="S2026" t="s">
        <v>9029</v>
      </c>
      <c r="T2026" t="s">
        <v>14004</v>
      </c>
      <c r="U2026" t="s">
        <v>14004</v>
      </c>
      <c r="V2026" t="s">
        <v>14004</v>
      </c>
      <c r="W2026" t="s">
        <v>15994</v>
      </c>
      <c r="X2026">
        <v>8</v>
      </c>
      <c r="Y2026" t="s">
        <v>22910</v>
      </c>
      <c r="Z2026" t="s">
        <v>29736</v>
      </c>
      <c r="AA2026">
        <v>1.2237504017190719</v>
      </c>
      <c r="AB2026" t="str">
        <f>HYPERLINK("Melting_Curves/meltCurve_P05204_HMGN2.pdf", "Melting_Curves/meltCurve_P05204_HMGN2.pdf")</f>
        <v>Melting_Curves/meltCurve_P05204_HMGN2.pdf</v>
      </c>
    </row>
    <row r="2027" spans="1:28" x14ac:dyDescent="0.25">
      <c r="A2027" t="s">
        <v>2031</v>
      </c>
      <c r="B2027">
        <v>0.99999676499088797</v>
      </c>
      <c r="C2027">
        <v>1.08810866107015</v>
      </c>
      <c r="D2027">
        <v>1.1367016813299</v>
      </c>
      <c r="E2027">
        <v>1.0492031285385199</v>
      </c>
      <c r="F2027">
        <v>0.94330327095147504</v>
      </c>
      <c r="G2027">
        <v>0.92535537010901703</v>
      </c>
      <c r="H2027">
        <v>0.65460889234373099</v>
      </c>
      <c r="I2027">
        <v>0.65454386139739396</v>
      </c>
      <c r="J2027">
        <v>0.60834324262670203</v>
      </c>
      <c r="K2027">
        <v>0.66627397057514803</v>
      </c>
      <c r="L2027">
        <v>3637.8270060376299</v>
      </c>
      <c r="M2027">
        <v>62.750421469084799</v>
      </c>
      <c r="O2027">
        <v>57.914157474931002</v>
      </c>
      <c r="P2027">
        <v>-9.71852558376647E-2</v>
      </c>
      <c r="Q2027">
        <v>0.64121992206118605</v>
      </c>
      <c r="R2027">
        <v>0.910681868893224</v>
      </c>
      <c r="S2027" t="s">
        <v>9030</v>
      </c>
      <c r="T2027" t="s">
        <v>14004</v>
      </c>
      <c r="U2027" t="s">
        <v>14004</v>
      </c>
      <c r="V2027" t="s">
        <v>14004</v>
      </c>
      <c r="W2027" t="s">
        <v>15995</v>
      </c>
      <c r="X2027">
        <v>7</v>
      </c>
      <c r="Y2027" t="s">
        <v>22911</v>
      </c>
      <c r="Z2027" t="s">
        <v>29737</v>
      </c>
      <c r="AA2027">
        <v>0.85674542720846603</v>
      </c>
      <c r="AB2027" t="str">
        <f>HYPERLINK("Melting_Curves/meltCurve_P05362_ICAM1.pdf", "Melting_Curves/meltCurve_P05362_ICAM1.pdf")</f>
        <v>Melting_Curves/meltCurve_P05362_ICAM1.pdf</v>
      </c>
    </row>
    <row r="2028" spans="1:28" x14ac:dyDescent="0.25">
      <c r="A2028" t="s">
        <v>2032</v>
      </c>
      <c r="B2028">
        <v>0.99999676499088797</v>
      </c>
      <c r="C2028">
        <v>0.92407695329383399</v>
      </c>
      <c r="D2028">
        <v>0.91179113456678496</v>
      </c>
      <c r="E2028">
        <v>0.82812804149649999</v>
      </c>
      <c r="F2028">
        <v>0.94232587961095304</v>
      </c>
      <c r="G2028">
        <v>0.68420809805121596</v>
      </c>
      <c r="H2028">
        <v>0.40026905230648602</v>
      </c>
      <c r="I2028">
        <v>0.29792618740140397</v>
      </c>
      <c r="J2028">
        <v>0.23062710045111401</v>
      </c>
      <c r="K2028">
        <v>0.132358246035746</v>
      </c>
      <c r="L2028">
        <v>785.52945740717803</v>
      </c>
      <c r="M2028">
        <v>13.146308812972901</v>
      </c>
      <c r="N2028">
        <v>59.8689813365391</v>
      </c>
      <c r="O2028">
        <v>58.420972983802002</v>
      </c>
      <c r="P2028">
        <v>-5.55579936138954E-2</v>
      </c>
      <c r="Q2028">
        <v>1.25887986156227E-2</v>
      </c>
      <c r="R2028">
        <v>0.96398166124103302</v>
      </c>
      <c r="S2028" t="s">
        <v>9031</v>
      </c>
      <c r="T2028" t="s">
        <v>14004</v>
      </c>
      <c r="U2028" t="s">
        <v>14004</v>
      </c>
      <c r="V2028" t="s">
        <v>14004</v>
      </c>
      <c r="W2028" t="s">
        <v>15996</v>
      </c>
      <c r="X2028">
        <v>2</v>
      </c>
      <c r="Y2028" t="s">
        <v>22912</v>
      </c>
      <c r="Z2028" t="s">
        <v>29738</v>
      </c>
      <c r="AA2028">
        <v>0.66851938014093892</v>
      </c>
      <c r="AB2028" t="str">
        <f>HYPERLINK("Melting_Curves/meltCurve_P05386_RPLP1.pdf", "Melting_Curves/meltCurve_P05386_RPLP1.pdf")</f>
        <v>Melting_Curves/meltCurve_P05386_RPLP1.pdf</v>
      </c>
    </row>
    <row r="2029" spans="1:28" x14ac:dyDescent="0.25">
      <c r="A2029" t="s">
        <v>2033</v>
      </c>
      <c r="B2029">
        <v>0.99999676499088797</v>
      </c>
      <c r="C2029">
        <v>0.87686245463441903</v>
      </c>
      <c r="D2029">
        <v>1.01076167672373</v>
      </c>
      <c r="E2029">
        <v>1.23495112877266</v>
      </c>
      <c r="F2029">
        <v>1.69064608370437</v>
      </c>
      <c r="G2029">
        <v>1.2303915025901699</v>
      </c>
      <c r="H2029">
        <v>0.98468526407151202</v>
      </c>
      <c r="I2029">
        <v>0.83264649146883596</v>
      </c>
      <c r="J2029">
        <v>0.70724264603312903</v>
      </c>
      <c r="K2029">
        <v>1.2660895799893299</v>
      </c>
      <c r="L2029">
        <v>15000</v>
      </c>
      <c r="M2029">
        <v>214.41358897588</v>
      </c>
      <c r="O2029">
        <v>69.952150994202498</v>
      </c>
      <c r="P2029">
        <v>0.38314322496230802</v>
      </c>
      <c r="Q2029">
        <v>1.5</v>
      </c>
      <c r="R2029">
        <v>1.6358540462276801E-3</v>
      </c>
      <c r="S2029" t="s">
        <v>9032</v>
      </c>
      <c r="T2029" t="s">
        <v>14004</v>
      </c>
      <c r="U2029" t="s">
        <v>14004</v>
      </c>
      <c r="V2029" t="s">
        <v>14004</v>
      </c>
      <c r="W2029" t="s">
        <v>15997</v>
      </c>
      <c r="X2029">
        <v>9</v>
      </c>
      <c r="Y2029" t="s">
        <v>22913</v>
      </c>
      <c r="Z2029" t="s">
        <v>29739</v>
      </c>
      <c r="AA2029">
        <v>1.004087222233919</v>
      </c>
      <c r="AB2029" t="str">
        <f>HYPERLINK("Melting_Curves/meltCurve_P05387_RPLP2.pdf", "Melting_Curves/meltCurve_P05387_RPLP2.pdf")</f>
        <v>Melting_Curves/meltCurve_P05387_RPLP2.pdf</v>
      </c>
    </row>
    <row r="2030" spans="1:28" x14ac:dyDescent="0.25">
      <c r="A2030" t="s">
        <v>2034</v>
      </c>
      <c r="B2030">
        <v>0.99999676499088797</v>
      </c>
      <c r="C2030">
        <v>0.85729807670789304</v>
      </c>
      <c r="D2030">
        <v>0.94654750491133</v>
      </c>
      <c r="E2030">
        <v>0.98829534700632704</v>
      </c>
      <c r="F2030">
        <v>1.4151205828957101</v>
      </c>
      <c r="G2030">
        <v>1.22250338646954</v>
      </c>
      <c r="H2030">
        <v>0.50810907120820303</v>
      </c>
      <c r="I2030">
        <v>0.15847004164617801</v>
      </c>
      <c r="J2030">
        <v>9.6185354427285305E-2</v>
      </c>
      <c r="K2030">
        <v>9.1370156909129793E-2</v>
      </c>
      <c r="L2030">
        <v>7317.5967985949401</v>
      </c>
      <c r="M2030">
        <v>120.57591251441001</v>
      </c>
      <c r="N2030">
        <v>60.820090889185899</v>
      </c>
      <c r="O2030">
        <v>60.672018242904102</v>
      </c>
      <c r="P2030">
        <v>-0.43987200351066402</v>
      </c>
      <c r="Q2030">
        <v>0.114651585676773</v>
      </c>
      <c r="R2030">
        <v>0.88193404595372504</v>
      </c>
      <c r="S2030" t="s">
        <v>9033</v>
      </c>
      <c r="T2030" t="s">
        <v>14004</v>
      </c>
      <c r="U2030" t="s">
        <v>14004</v>
      </c>
      <c r="V2030" t="s">
        <v>14004</v>
      </c>
      <c r="W2030" t="s">
        <v>15998</v>
      </c>
      <c r="X2030">
        <v>17</v>
      </c>
      <c r="Y2030" t="s">
        <v>22914</v>
      </c>
      <c r="Z2030" t="s">
        <v>29740</v>
      </c>
      <c r="AA2030">
        <v>0.72561452379441194</v>
      </c>
      <c r="AB2030" t="str">
        <f>HYPERLINK("Melting_Curves/meltCurve_P05388_RPLP0.pdf", "Melting_Curves/meltCurve_P05388_RPLP0.pdf")</f>
        <v>Melting_Curves/meltCurve_P05388_RPLP0.pdf</v>
      </c>
    </row>
    <row r="2031" spans="1:28" x14ac:dyDescent="0.25">
      <c r="A2031" t="s">
        <v>2035</v>
      </c>
      <c r="B2031">
        <v>0.99999676499088797</v>
      </c>
      <c r="C2031">
        <v>1.01301419441108</v>
      </c>
      <c r="D2031">
        <v>0.89960242687263003</v>
      </c>
      <c r="E2031">
        <v>0.74719651131113796</v>
      </c>
      <c r="F2031">
        <v>0.64885953116227502</v>
      </c>
      <c r="G2031">
        <v>0.50821335859882899</v>
      </c>
      <c r="H2031">
        <v>0.43259386566586</v>
      </c>
      <c r="I2031">
        <v>0.45270748164799002</v>
      </c>
      <c r="J2031">
        <v>0.48219033312144099</v>
      </c>
      <c r="K2031">
        <v>0.53078729601382302</v>
      </c>
      <c r="L2031">
        <v>935.95317952927405</v>
      </c>
      <c r="M2031">
        <v>18.652234726473601</v>
      </c>
      <c r="N2031">
        <v>58.9276430721076</v>
      </c>
      <c r="O2031">
        <v>49.613010914015497</v>
      </c>
      <c r="P2031">
        <v>-4.9943714818289402E-2</v>
      </c>
      <c r="Q2031">
        <v>0.46864212570386399</v>
      </c>
      <c r="R2031">
        <v>0.97608075948359097</v>
      </c>
      <c r="S2031" t="s">
        <v>9034</v>
      </c>
      <c r="T2031" t="s">
        <v>14004</v>
      </c>
      <c r="U2031" t="s">
        <v>14004</v>
      </c>
      <c r="V2031" t="s">
        <v>14004</v>
      </c>
      <c r="W2031" t="s">
        <v>15999</v>
      </c>
      <c r="X2031">
        <v>3</v>
      </c>
      <c r="Y2031" t="s">
        <v>22915</v>
      </c>
      <c r="Z2031" t="s">
        <v>29741</v>
      </c>
      <c r="AA2031">
        <v>0.65738638576694608</v>
      </c>
      <c r="AB2031" t="str">
        <f>HYPERLINK("Melting_Curves/meltCurve_P05412_JUN.pdf", "Melting_Curves/meltCurve_P05412_JUN.pdf")</f>
        <v>Melting_Curves/meltCurve_P05412_JUN.pdf</v>
      </c>
    </row>
    <row r="2032" spans="1:28" x14ac:dyDescent="0.25">
      <c r="A2032" t="s">
        <v>2036</v>
      </c>
      <c r="B2032">
        <v>0.99999676499088797</v>
      </c>
      <c r="C2032">
        <v>0.89569618142330698</v>
      </c>
      <c r="D2032">
        <v>0.85149670136595201</v>
      </c>
      <c r="E2032">
        <v>0.634411422995661</v>
      </c>
      <c r="F2032">
        <v>0.24384295448753099</v>
      </c>
      <c r="G2032">
        <v>0.16760090233418001</v>
      </c>
      <c r="H2032">
        <v>8.4259510819307298E-2</v>
      </c>
      <c r="I2032">
        <v>7.7511000849015604E-2</v>
      </c>
      <c r="J2032">
        <v>6.6514503400344094E-2</v>
      </c>
      <c r="K2032">
        <v>6.8431718289182306E-2</v>
      </c>
      <c r="L2032">
        <v>969.89453385818501</v>
      </c>
      <c r="M2032">
        <v>19.316874046622999</v>
      </c>
      <c r="N2032">
        <v>50.536479169182201</v>
      </c>
      <c r="O2032">
        <v>49.680897544119802</v>
      </c>
      <c r="P2032">
        <v>-9.1501307293582301E-2</v>
      </c>
      <c r="Q2032">
        <v>5.8709691142495003E-2</v>
      </c>
      <c r="R2032">
        <v>0.99211988162161202</v>
      </c>
      <c r="S2032" t="s">
        <v>9035</v>
      </c>
      <c r="T2032" t="s">
        <v>14004</v>
      </c>
      <c r="U2032" t="s">
        <v>14004</v>
      </c>
      <c r="V2032" t="s">
        <v>14004</v>
      </c>
      <c r="W2032" t="s">
        <v>16000</v>
      </c>
      <c r="X2032">
        <v>32</v>
      </c>
      <c r="Y2032" t="s">
        <v>22916</v>
      </c>
      <c r="Z2032" t="s">
        <v>29742</v>
      </c>
      <c r="AA2032">
        <v>0.39305360840487669</v>
      </c>
      <c r="AB2032" t="str">
        <f>HYPERLINK("Melting_Curves/meltCurve_P05455_SSB.pdf", "Melting_Curves/meltCurve_P05455_SSB.pdf")</f>
        <v>Melting_Curves/meltCurve_P05455_SSB.pdf</v>
      </c>
    </row>
    <row r="2033" spans="1:28" x14ac:dyDescent="0.25">
      <c r="A2033" t="s">
        <v>2037</v>
      </c>
      <c r="B2033">
        <v>0.99999676499088797</v>
      </c>
      <c r="C2033">
        <v>1.0504352430958199</v>
      </c>
      <c r="D2033">
        <v>1.0341969017102099</v>
      </c>
      <c r="E2033">
        <v>0.87121374127028695</v>
      </c>
      <c r="F2033">
        <v>0.76581305172476299</v>
      </c>
      <c r="G2033">
        <v>0.76140945613271505</v>
      </c>
      <c r="H2033">
        <v>0.52805397574586699</v>
      </c>
      <c r="I2033">
        <v>0.66222852552822498</v>
      </c>
      <c r="J2033">
        <v>0.61428248399695795</v>
      </c>
      <c r="K2033">
        <v>0.57899316223667796</v>
      </c>
      <c r="L2033">
        <v>966.17085234311196</v>
      </c>
      <c r="M2033">
        <v>18.246685642180601</v>
      </c>
      <c r="O2033">
        <v>52.326782625511498</v>
      </c>
      <c r="P2033">
        <v>-3.5542200716249597E-2</v>
      </c>
      <c r="Q2033">
        <v>0.59231564965199202</v>
      </c>
      <c r="R2033">
        <v>0.91872058717442895</v>
      </c>
      <c r="S2033" t="s">
        <v>9036</v>
      </c>
      <c r="T2033" t="s">
        <v>14004</v>
      </c>
      <c r="U2033" t="s">
        <v>14004</v>
      </c>
      <c r="V2033" t="s">
        <v>14004</v>
      </c>
      <c r="W2033" t="s">
        <v>16001</v>
      </c>
      <c r="X2033">
        <v>32</v>
      </c>
      <c r="Y2033" t="s">
        <v>22917</v>
      </c>
      <c r="Z2033" t="s">
        <v>29743</v>
      </c>
      <c r="AA2033">
        <v>0.7748424762624696</v>
      </c>
      <c r="AB2033" t="str">
        <f>HYPERLINK("Melting_Curves/meltCurve_P05556_ITGB1.pdf", "Melting_Curves/meltCurve_P05556_ITGB1.pdf")</f>
        <v>Melting_Curves/meltCurve_P05556_ITGB1.pdf</v>
      </c>
    </row>
    <row r="2034" spans="1:28" x14ac:dyDescent="0.25">
      <c r="A2034" t="s">
        <v>2038</v>
      </c>
      <c r="B2034">
        <v>0.99999676499088797</v>
      </c>
      <c r="C2034">
        <v>1.0456801609837101</v>
      </c>
      <c r="D2034">
        <v>0.99077128660747804</v>
      </c>
      <c r="E2034">
        <v>0.74325130926137695</v>
      </c>
      <c r="F2034">
        <v>0.21113811522465201</v>
      </c>
      <c r="G2034">
        <v>0.142665436971078</v>
      </c>
      <c r="H2034">
        <v>6.7899688857901194E-2</v>
      </c>
      <c r="I2034">
        <v>7.0581797274267194E-2</v>
      </c>
      <c r="J2034">
        <v>5.8745509155354501E-2</v>
      </c>
      <c r="K2034">
        <v>5.6313247940642998E-2</v>
      </c>
      <c r="L2034">
        <v>1907.2148868409299</v>
      </c>
      <c r="M2034">
        <v>37.501998487683302</v>
      </c>
      <c r="N2034">
        <v>51.071956804400301</v>
      </c>
      <c r="O2034">
        <v>50.712404481220197</v>
      </c>
      <c r="P2034">
        <v>-0.171341465898489</v>
      </c>
      <c r="Q2034">
        <v>7.3210733098250602E-2</v>
      </c>
      <c r="R2034">
        <v>0.99687514953023804</v>
      </c>
      <c r="S2034" t="s">
        <v>9037</v>
      </c>
      <c r="T2034" t="s">
        <v>14004</v>
      </c>
      <c r="U2034" t="s">
        <v>14004</v>
      </c>
      <c r="V2034" t="s">
        <v>14004</v>
      </c>
      <c r="W2034" t="s">
        <v>16002</v>
      </c>
      <c r="X2034">
        <v>26</v>
      </c>
      <c r="Y2034" t="s">
        <v>22918</v>
      </c>
      <c r="Z2034" t="s">
        <v>29744</v>
      </c>
      <c r="AA2034">
        <v>0.41230580648944942</v>
      </c>
      <c r="AB2034" t="str">
        <f>HYPERLINK("Melting_Curves/meltCurve_P05771_2_PRKCB.pdf", "Melting_Curves/meltCurve_P05771_2_PRKCB.pdf")</f>
        <v>Melting_Curves/meltCurve_P05771_2_PRKCB.pdf</v>
      </c>
    </row>
    <row r="2035" spans="1:28" x14ac:dyDescent="0.25">
      <c r="A2035" t="s">
        <v>2039</v>
      </c>
      <c r="B2035">
        <v>0.99999676499088797</v>
      </c>
      <c r="C2035">
        <v>1.0890317298185099</v>
      </c>
      <c r="D2035">
        <v>0.99497290570851205</v>
      </c>
      <c r="E2035">
        <v>0.82251139769699599</v>
      </c>
      <c r="F2035">
        <v>0.64083524837903405</v>
      </c>
      <c r="G2035">
        <v>0.55074844614622398</v>
      </c>
      <c r="H2035">
        <v>0.31760077351977101</v>
      </c>
      <c r="I2035">
        <v>0.29308937758209502</v>
      </c>
      <c r="J2035">
        <v>0.28600135961788498</v>
      </c>
      <c r="K2035">
        <v>0.265414935759969</v>
      </c>
      <c r="L2035">
        <v>862.53439607576399</v>
      </c>
      <c r="M2035">
        <v>15.9408489347844</v>
      </c>
      <c r="N2035">
        <v>56.466735382508297</v>
      </c>
      <c r="O2035">
        <v>53.278395636631103</v>
      </c>
      <c r="P2035">
        <v>-5.6623552769393702E-2</v>
      </c>
      <c r="Q2035">
        <v>0.24305862583239801</v>
      </c>
      <c r="R2035">
        <v>0.98012930971155698</v>
      </c>
      <c r="S2035" t="s">
        <v>9038</v>
      </c>
      <c r="T2035" t="s">
        <v>14004</v>
      </c>
      <c r="U2035" t="s">
        <v>14004</v>
      </c>
      <c r="V2035" t="s">
        <v>14004</v>
      </c>
      <c r="W2035" t="s">
        <v>16003</v>
      </c>
      <c r="X2035">
        <v>3</v>
      </c>
      <c r="Y2035" t="s">
        <v>22919</v>
      </c>
      <c r="Z2035" t="s">
        <v>29745</v>
      </c>
      <c r="AA2035">
        <v>0.61332923046143983</v>
      </c>
      <c r="AB2035" t="str">
        <f>HYPERLINK("Melting_Curves/meltCurve_P06126_CD1A.pdf", "Melting_Curves/meltCurve_P06126_CD1A.pdf")</f>
        <v>Melting_Curves/meltCurve_P06126_CD1A.pdf</v>
      </c>
    </row>
    <row r="2036" spans="1:28" x14ac:dyDescent="0.25">
      <c r="A2036" t="s">
        <v>2040</v>
      </c>
      <c r="B2036">
        <v>0.99999676499088797</v>
      </c>
      <c r="C2036">
        <v>0.98966217683557101</v>
      </c>
      <c r="D2036">
        <v>0.92803377345757598</v>
      </c>
      <c r="E2036">
        <v>0.767504326277888</v>
      </c>
      <c r="F2036">
        <v>0.71728950133172298</v>
      </c>
      <c r="G2036">
        <v>0.67572014251706503</v>
      </c>
      <c r="H2036">
        <v>0.39976168009744101</v>
      </c>
      <c r="I2036">
        <v>0.35785716674614598</v>
      </c>
      <c r="J2036">
        <v>0.27179400875771098</v>
      </c>
      <c r="K2036">
        <v>0.248063200152707</v>
      </c>
      <c r="L2036">
        <v>493.45038094718802</v>
      </c>
      <c r="M2036">
        <v>8.3554709029217893</v>
      </c>
      <c r="N2036">
        <v>59.374268559482502</v>
      </c>
      <c r="O2036">
        <v>55.964765665324101</v>
      </c>
      <c r="P2036">
        <v>-3.6545278347619302E-2</v>
      </c>
      <c r="Q2036">
        <v>2.1822102076931402E-2</v>
      </c>
      <c r="R2036">
        <v>0.97925431689019204</v>
      </c>
      <c r="S2036" t="s">
        <v>9039</v>
      </c>
      <c r="T2036" t="s">
        <v>14004</v>
      </c>
      <c r="U2036" t="s">
        <v>14004</v>
      </c>
      <c r="V2036" t="s">
        <v>14004</v>
      </c>
      <c r="W2036" t="s">
        <v>16004</v>
      </c>
      <c r="X2036">
        <v>20</v>
      </c>
      <c r="Y2036" t="s">
        <v>22920</v>
      </c>
      <c r="Z2036" t="s">
        <v>29746</v>
      </c>
      <c r="AA2036">
        <v>0.63932097210594585</v>
      </c>
      <c r="AB2036" t="str">
        <f>HYPERLINK("Melting_Curves/meltCurve_P06127_CD5.pdf", "Melting_Curves/meltCurve_P06127_CD5.pdf")</f>
        <v>Melting_Curves/meltCurve_P06127_CD5.pdf</v>
      </c>
    </row>
    <row r="2037" spans="1:28" x14ac:dyDescent="0.25">
      <c r="A2037" t="s">
        <v>2041</v>
      </c>
      <c r="B2037">
        <v>0.99999676499088797</v>
      </c>
      <c r="C2037">
        <v>0.96958135395203204</v>
      </c>
      <c r="D2037">
        <v>0.93079833383532495</v>
      </c>
      <c r="E2037">
        <v>0.82936851518016896</v>
      </c>
      <c r="F2037">
        <v>0.82257501355242402</v>
      </c>
      <c r="G2037">
        <v>0.67432059577757997</v>
      </c>
      <c r="H2037">
        <v>0.42407214416127298</v>
      </c>
      <c r="I2037">
        <v>0.26379021346313403</v>
      </c>
      <c r="J2037">
        <v>0.144519073084908</v>
      </c>
      <c r="K2037">
        <v>0.10012602009938699</v>
      </c>
      <c r="L2037">
        <v>760.26902787918698</v>
      </c>
      <c r="M2037">
        <v>12.862398004715301</v>
      </c>
      <c r="N2037">
        <v>59.1078762012502</v>
      </c>
      <c r="O2037">
        <v>57.733812379286498</v>
      </c>
      <c r="P2037">
        <v>-5.5707237091177399E-2</v>
      </c>
      <c r="Q2037">
        <v>0</v>
      </c>
      <c r="R2037">
        <v>0.98641387654400403</v>
      </c>
      <c r="S2037" t="s">
        <v>9040</v>
      </c>
      <c r="T2037" t="s">
        <v>14004</v>
      </c>
      <c r="U2037" t="s">
        <v>14004</v>
      </c>
      <c r="V2037" t="s">
        <v>14004</v>
      </c>
      <c r="W2037" t="s">
        <v>16005</v>
      </c>
      <c r="X2037">
        <v>16</v>
      </c>
      <c r="Y2037" t="s">
        <v>22921</v>
      </c>
      <c r="Z2037" t="s">
        <v>29747</v>
      </c>
      <c r="AA2037">
        <v>0.64548557115710914</v>
      </c>
      <c r="AB2037" t="str">
        <f>HYPERLINK("Melting_Curves/meltCurve_P06132_UROD.pdf", "Melting_Curves/meltCurve_P06132_UROD.pdf")</f>
        <v>Melting_Curves/meltCurve_P06132_UROD.pdf</v>
      </c>
    </row>
    <row r="2038" spans="1:28" x14ac:dyDescent="0.25">
      <c r="A2038" t="s">
        <v>2042</v>
      </c>
      <c r="B2038">
        <v>0.99999676499088797</v>
      </c>
      <c r="C2038">
        <v>0.94937330675204501</v>
      </c>
      <c r="D2038">
        <v>0.58390918899798205</v>
      </c>
      <c r="E2038">
        <v>0.247959751265376</v>
      </c>
      <c r="F2038">
        <v>0.173402171460462</v>
      </c>
      <c r="G2038">
        <v>7.2277445743682001E-2</v>
      </c>
      <c r="H2038">
        <v>4.3884992860954403E-2</v>
      </c>
      <c r="I2038">
        <v>5.25034224673879E-2</v>
      </c>
      <c r="J2038">
        <v>9.1913762854282502E-2</v>
      </c>
      <c r="K2038">
        <v>5.0271920344265301E-2</v>
      </c>
      <c r="L2038">
        <v>1146.4510445245601</v>
      </c>
      <c r="M2038">
        <v>24.574219008898901</v>
      </c>
      <c r="N2038">
        <v>46.938389634516597</v>
      </c>
      <c r="O2038">
        <v>46.346949553512097</v>
      </c>
      <c r="P2038">
        <v>-0.123346936392876</v>
      </c>
      <c r="Q2038">
        <v>6.9484667834995698E-2</v>
      </c>
      <c r="R2038">
        <v>0.99289274953440498</v>
      </c>
      <c r="S2038" t="s">
        <v>9041</v>
      </c>
      <c r="T2038" t="s">
        <v>14004</v>
      </c>
      <c r="U2038" t="s">
        <v>14004</v>
      </c>
      <c r="V2038" t="s">
        <v>14004</v>
      </c>
      <c r="W2038" t="s">
        <v>16006</v>
      </c>
      <c r="X2038">
        <v>4</v>
      </c>
      <c r="Y2038" t="s">
        <v>22922</v>
      </c>
      <c r="Z2038" t="s">
        <v>29748</v>
      </c>
      <c r="AA2038">
        <v>0.28453593093872798</v>
      </c>
      <c r="AB2038" t="str">
        <f>HYPERLINK("Melting_Curves/meltCurve_P06213_2_INSR.pdf", "Melting_Curves/meltCurve_P06213_2_INSR.pdf")</f>
        <v>Melting_Curves/meltCurve_P06213_2_INSR.pdf</v>
      </c>
    </row>
    <row r="2039" spans="1:28" x14ac:dyDescent="0.25">
      <c r="A2039" t="s">
        <v>2043</v>
      </c>
      <c r="B2039">
        <v>0.99999676499088797</v>
      </c>
      <c r="C2039">
        <v>0.97509030812640296</v>
      </c>
      <c r="D2039">
        <v>0.69760422707639802</v>
      </c>
      <c r="E2039">
        <v>0.19596418032404</v>
      </c>
      <c r="F2039">
        <v>0.13997803240154</v>
      </c>
      <c r="G2039">
        <v>0.100700809091795</v>
      </c>
      <c r="H2039">
        <v>5.1644127645054702E-2</v>
      </c>
      <c r="I2039">
        <v>5.6463179466381699E-2</v>
      </c>
      <c r="J2039">
        <v>5.4864224345820597E-2</v>
      </c>
      <c r="K2039">
        <v>4.7706629517789603E-2</v>
      </c>
      <c r="L2039">
        <v>1563.10308113887</v>
      </c>
      <c r="M2039">
        <v>33.2509618813054</v>
      </c>
      <c r="N2039">
        <v>47.2218800308993</v>
      </c>
      <c r="O2039">
        <v>46.840205702037103</v>
      </c>
      <c r="P2039">
        <v>-0.16513257282240701</v>
      </c>
      <c r="Q2039">
        <v>6.9523453009180905E-2</v>
      </c>
      <c r="R2039">
        <v>0.99649201512096997</v>
      </c>
      <c r="S2039" t="s">
        <v>9042</v>
      </c>
      <c r="T2039" t="s">
        <v>14004</v>
      </c>
      <c r="U2039" t="s">
        <v>14004</v>
      </c>
      <c r="V2039" t="s">
        <v>14004</v>
      </c>
      <c r="W2039" t="s">
        <v>16007</v>
      </c>
      <c r="X2039">
        <v>20</v>
      </c>
      <c r="Y2039" t="s">
        <v>22923</v>
      </c>
      <c r="Z2039" t="s">
        <v>29749</v>
      </c>
      <c r="AA2039">
        <v>0.29140320536119579</v>
      </c>
      <c r="AB2039" t="str">
        <f>HYPERLINK("Melting_Curves/meltCurve_P06239_LCK.pdf", "Melting_Curves/meltCurve_P06239_LCK.pdf")</f>
        <v>Melting_Curves/meltCurve_P06239_LCK.pdf</v>
      </c>
    </row>
    <row r="2040" spans="1:28" x14ac:dyDescent="0.25">
      <c r="A2040" t="s">
        <v>2044</v>
      </c>
      <c r="B2040">
        <v>0.99999676499088797</v>
      </c>
      <c r="C2040">
        <v>1.0503461744418501</v>
      </c>
      <c r="D2040">
        <v>0.98684350444455005</v>
      </c>
      <c r="E2040">
        <v>0.46776000163654602</v>
      </c>
      <c r="F2040">
        <v>0.211378595549015</v>
      </c>
      <c r="G2040">
        <v>0.19351367487997401</v>
      </c>
      <c r="H2040">
        <v>7.7750974227249095E-2</v>
      </c>
      <c r="I2040">
        <v>8.4111788144252797E-2</v>
      </c>
      <c r="J2040">
        <v>7.9119482315904793E-2</v>
      </c>
      <c r="K2040">
        <v>3.6548282467780399E-2</v>
      </c>
      <c r="L2040">
        <v>1770.7961030701499</v>
      </c>
      <c r="M2040">
        <v>35.929916513976799</v>
      </c>
      <c r="N2040">
        <v>49.5905626039808</v>
      </c>
      <c r="O2040">
        <v>49.132791337122903</v>
      </c>
      <c r="P2040">
        <v>-0.16465207892226999</v>
      </c>
      <c r="Q2040">
        <v>9.9380879798200705E-2</v>
      </c>
      <c r="R2040">
        <v>0.986714435111268</v>
      </c>
      <c r="S2040" t="s">
        <v>9043</v>
      </c>
      <c r="T2040" t="s">
        <v>14004</v>
      </c>
      <c r="U2040" t="s">
        <v>14004</v>
      </c>
      <c r="V2040" t="s">
        <v>14004</v>
      </c>
      <c r="W2040" t="s">
        <v>16008</v>
      </c>
      <c r="X2040">
        <v>3</v>
      </c>
      <c r="Y2040" t="s">
        <v>22924</v>
      </c>
      <c r="Z2040" t="s">
        <v>29750</v>
      </c>
      <c r="AA2040">
        <v>0.38193017344837071</v>
      </c>
      <c r="AB2040" t="str">
        <f>HYPERLINK("Melting_Curves/meltCurve_P06241_2_FYN.pdf", "Melting_Curves/meltCurve_P06241_2_FYN.pdf")</f>
        <v>Melting_Curves/meltCurve_P06241_2_FYN.pdf</v>
      </c>
    </row>
    <row r="2041" spans="1:28" x14ac:dyDescent="0.25">
      <c r="A2041" t="s">
        <v>2045</v>
      </c>
      <c r="B2041">
        <v>0.99999676499088797</v>
      </c>
      <c r="C2041">
        <v>1.0211996037042099</v>
      </c>
      <c r="D2041">
        <v>1.0656029250266701</v>
      </c>
      <c r="E2041">
        <v>1.1680496656753601</v>
      </c>
      <c r="F2041">
        <v>1.1879265552578999</v>
      </c>
      <c r="G2041">
        <v>0.86175322495790896</v>
      </c>
      <c r="H2041">
        <v>0.156159821078698</v>
      </c>
      <c r="I2041">
        <v>9.3819865690704496E-2</v>
      </c>
      <c r="J2041">
        <v>7.0652833782893706E-2</v>
      </c>
      <c r="K2041">
        <v>5.4321610409130798E-2</v>
      </c>
      <c r="L2041">
        <v>3594.5530421425701</v>
      </c>
      <c r="M2041">
        <v>61.483021683896098</v>
      </c>
      <c r="N2041">
        <v>58.613061737961601</v>
      </c>
      <c r="O2041">
        <v>58.4024038493625</v>
      </c>
      <c r="P2041">
        <v>-0.24415766722582599</v>
      </c>
      <c r="Q2041">
        <v>7.2303963055841303E-2</v>
      </c>
      <c r="R2041">
        <v>0.96933631140367904</v>
      </c>
      <c r="S2041" t="s">
        <v>9044</v>
      </c>
      <c r="T2041" t="s">
        <v>14004</v>
      </c>
      <c r="U2041" t="s">
        <v>14004</v>
      </c>
      <c r="V2041" t="s">
        <v>14004</v>
      </c>
      <c r="W2041" t="s">
        <v>16009</v>
      </c>
      <c r="X2041">
        <v>7</v>
      </c>
      <c r="Y2041" t="s">
        <v>22925</v>
      </c>
      <c r="Z2041" t="s">
        <v>29751</v>
      </c>
      <c r="AA2041">
        <v>0.64485227485705876</v>
      </c>
      <c r="AB2041" t="str">
        <f>HYPERLINK("Melting_Curves/meltCurve_P06280_GLA.pdf", "Melting_Curves/meltCurve_P06280_GLA.pdf")</f>
        <v>Melting_Curves/meltCurve_P06280_GLA.pdf</v>
      </c>
    </row>
    <row r="2042" spans="1:28" x14ac:dyDescent="0.25">
      <c r="A2042" t="s">
        <v>2046</v>
      </c>
      <c r="B2042">
        <v>0.99999676499088797</v>
      </c>
      <c r="C2042">
        <v>1.1028667851603</v>
      </c>
      <c r="D2042">
        <v>1.0564114068816799</v>
      </c>
      <c r="E2042">
        <v>0.98126110144902101</v>
      </c>
      <c r="F2042">
        <v>0.64432013119061704</v>
      </c>
      <c r="G2042">
        <v>0.26215781566742502</v>
      </c>
      <c r="H2042">
        <v>9.7131229778598394E-2</v>
      </c>
      <c r="I2042">
        <v>0.104821834155678</v>
      </c>
      <c r="J2042">
        <v>9.8499202976844197E-2</v>
      </c>
      <c r="K2042">
        <v>8.9888084725864806E-2</v>
      </c>
      <c r="L2042">
        <v>1791.5823939926199</v>
      </c>
      <c r="M2042">
        <v>33.165033418655497</v>
      </c>
      <c r="N2042">
        <v>54.359116987356103</v>
      </c>
      <c r="O2042">
        <v>53.824961963907697</v>
      </c>
      <c r="P2042">
        <v>-0.139655023627799</v>
      </c>
      <c r="Q2042">
        <v>9.3395527427086802E-2</v>
      </c>
      <c r="R2042">
        <v>0.99149440970139602</v>
      </c>
      <c r="S2042" t="s">
        <v>9045</v>
      </c>
      <c r="T2042" t="s">
        <v>14004</v>
      </c>
      <c r="U2042" t="s">
        <v>14004</v>
      </c>
      <c r="V2042" t="s">
        <v>14004</v>
      </c>
      <c r="W2042" t="s">
        <v>16010</v>
      </c>
      <c r="X2042">
        <v>13</v>
      </c>
      <c r="Y2042" t="s">
        <v>22926</v>
      </c>
      <c r="Z2042" t="s">
        <v>29752</v>
      </c>
      <c r="AA2042">
        <v>0.5219885233784779</v>
      </c>
      <c r="AB2042" t="str">
        <f>HYPERLINK("Melting_Curves/meltCurve_P06396_2_GSN.pdf", "Melting_Curves/meltCurve_P06396_2_GSN.pdf")</f>
        <v>Melting_Curves/meltCurve_P06396_2_GSN.pdf</v>
      </c>
    </row>
    <row r="2043" spans="1:28" x14ac:dyDescent="0.25">
      <c r="A2043" t="s">
        <v>2047</v>
      </c>
      <c r="B2043">
        <v>0.99999676499088797</v>
      </c>
      <c r="C2043">
        <v>1.03086790216442</v>
      </c>
      <c r="D2043">
        <v>1.0685918842917299</v>
      </c>
      <c r="E2043">
        <v>1.2423014271799899</v>
      </c>
      <c r="F2043">
        <v>0.68070651338808597</v>
      </c>
      <c r="G2043">
        <v>0.26019641855365699</v>
      </c>
      <c r="H2043">
        <v>0.10436907937324399</v>
      </c>
      <c r="I2043">
        <v>9.9003654227285395E-2</v>
      </c>
      <c r="J2043">
        <v>9.0112592095946603E-2</v>
      </c>
      <c r="K2043">
        <v>7.1928188713299104E-2</v>
      </c>
      <c r="L2043">
        <v>2316.5306354732102</v>
      </c>
      <c r="M2043">
        <v>42.702894739399298</v>
      </c>
      <c r="N2043">
        <v>54.5222131489055</v>
      </c>
      <c r="O2043">
        <v>54.129084536594497</v>
      </c>
      <c r="P2043">
        <v>-0.178145677601521</v>
      </c>
      <c r="Q2043">
        <v>9.6750371693482107E-2</v>
      </c>
      <c r="R2043">
        <v>0.96338424042584103</v>
      </c>
      <c r="S2043" t="s">
        <v>9046</v>
      </c>
      <c r="T2043" t="s">
        <v>14004</v>
      </c>
      <c r="U2043" t="s">
        <v>14004</v>
      </c>
      <c r="V2043" t="s">
        <v>14004</v>
      </c>
      <c r="W2043" t="s">
        <v>16011</v>
      </c>
      <c r="X2043">
        <v>43</v>
      </c>
      <c r="Y2043" t="s">
        <v>22927</v>
      </c>
      <c r="Z2043" t="s">
        <v>29753</v>
      </c>
      <c r="AA2043">
        <v>0.52868728657762498</v>
      </c>
      <c r="AB2043" t="str">
        <f>HYPERLINK("Melting_Curves/meltCurve_P06400_RB1.pdf", "Melting_Curves/meltCurve_P06400_RB1.pdf")</f>
        <v>Melting_Curves/meltCurve_P06400_RB1.pdf</v>
      </c>
    </row>
    <row r="2044" spans="1:28" x14ac:dyDescent="0.25">
      <c r="A2044" t="s">
        <v>2048</v>
      </c>
      <c r="B2044">
        <v>0.99999676499088797</v>
      </c>
      <c r="C2044">
        <v>1.0010918704412901</v>
      </c>
      <c r="D2044">
        <v>0.88575870379727495</v>
      </c>
      <c r="E2044">
        <v>0.57211898123334803</v>
      </c>
      <c r="F2044">
        <v>0.40558450021129999</v>
      </c>
      <c r="G2044">
        <v>0.293788824092787</v>
      </c>
      <c r="H2044">
        <v>0.141810550496762</v>
      </c>
      <c r="I2044">
        <v>0.106409193785206</v>
      </c>
      <c r="J2044">
        <v>8.6237696490981994E-2</v>
      </c>
      <c r="K2044">
        <v>6.2999109769203906E-2</v>
      </c>
      <c r="L2044">
        <v>754.53422986739201</v>
      </c>
      <c r="M2044">
        <v>14.747512071165399</v>
      </c>
      <c r="N2044">
        <v>51.639029669512198</v>
      </c>
      <c r="O2044">
        <v>50.250351211402503</v>
      </c>
      <c r="P2044">
        <v>-6.8718973601867003E-2</v>
      </c>
      <c r="Q2044">
        <v>6.3494628664392497E-2</v>
      </c>
      <c r="R2044">
        <v>0.99095216561810096</v>
      </c>
      <c r="S2044" t="s">
        <v>9047</v>
      </c>
      <c r="T2044" t="s">
        <v>14004</v>
      </c>
      <c r="U2044" t="s">
        <v>14004</v>
      </c>
      <c r="V2044" t="s">
        <v>14004</v>
      </c>
      <c r="W2044" t="s">
        <v>16012</v>
      </c>
      <c r="X2044">
        <v>19</v>
      </c>
      <c r="Y2044" t="s">
        <v>22928</v>
      </c>
      <c r="Z2044" t="s">
        <v>29754</v>
      </c>
      <c r="AA2044">
        <v>0.43411187470890378</v>
      </c>
      <c r="AB2044" t="str">
        <f>HYPERLINK("Melting_Curves/meltCurve_P06493_CDK1.pdf", "Melting_Curves/meltCurve_P06493_CDK1.pdf")</f>
        <v>Melting_Curves/meltCurve_P06493_CDK1.pdf</v>
      </c>
    </row>
    <row r="2045" spans="1:28" x14ac:dyDescent="0.25">
      <c r="A2045" t="s">
        <v>2049</v>
      </c>
      <c r="B2045">
        <v>0.99999676499088797</v>
      </c>
      <c r="C2045">
        <v>0.89896793115624996</v>
      </c>
      <c r="D2045">
        <v>0.94279753512100495</v>
      </c>
      <c r="E2045">
        <v>0.90275806684770699</v>
      </c>
      <c r="F2045">
        <v>0.97072846749317998</v>
      </c>
      <c r="G2045">
        <v>0.897436143901303</v>
      </c>
      <c r="H2045">
        <v>0.60822609279423601</v>
      </c>
      <c r="I2045">
        <v>0.36739147332123301</v>
      </c>
      <c r="J2045">
        <v>0.13474558422834301</v>
      </c>
      <c r="K2045">
        <v>9.6670450445061298E-2</v>
      </c>
      <c r="L2045">
        <v>1351.28047720617</v>
      </c>
      <c r="M2045">
        <v>21.746737124874901</v>
      </c>
      <c r="N2045">
        <v>62.1371686976671</v>
      </c>
      <c r="O2045">
        <v>61.6188894162662</v>
      </c>
      <c r="P2045">
        <v>-8.8232868602513198E-2</v>
      </c>
      <c r="Q2045">
        <v>0</v>
      </c>
      <c r="R2045">
        <v>0.97891125820749703</v>
      </c>
      <c r="S2045" t="s">
        <v>9048</v>
      </c>
      <c r="T2045" t="s">
        <v>14004</v>
      </c>
      <c r="U2045" t="s">
        <v>14004</v>
      </c>
      <c r="V2045" t="s">
        <v>14004</v>
      </c>
      <c r="W2045" t="s">
        <v>16013</v>
      </c>
      <c r="X2045">
        <v>30</v>
      </c>
      <c r="Y2045" t="s">
        <v>22929</v>
      </c>
      <c r="Z2045" t="s">
        <v>29755</v>
      </c>
      <c r="AA2045">
        <v>0.74141046087551088</v>
      </c>
      <c r="AB2045" t="str">
        <f>HYPERLINK("Melting_Curves/meltCurve_P06576_ATP5B.pdf", "Melting_Curves/meltCurve_P06576_ATP5B.pdf")</f>
        <v>Melting_Curves/meltCurve_P06576_ATP5B.pdf</v>
      </c>
    </row>
    <row r="2046" spans="1:28" x14ac:dyDescent="0.25">
      <c r="A2046" t="s">
        <v>2050</v>
      </c>
      <c r="B2046">
        <v>0.99999676499088797</v>
      </c>
      <c r="C2046">
        <v>0.99192630728256104</v>
      </c>
      <c r="D2046">
        <v>1.1386539924553101</v>
      </c>
      <c r="E2046">
        <v>0.67556063636737596</v>
      </c>
      <c r="F2046">
        <v>5.6548418259547999</v>
      </c>
      <c r="G2046">
        <v>0.405760962768414</v>
      </c>
      <c r="H2046">
        <v>0.32384090648778202</v>
      </c>
      <c r="I2046">
        <v>0.21531595118535299</v>
      </c>
      <c r="J2046">
        <v>0.21356228615622799</v>
      </c>
      <c r="K2046">
        <v>0.148802689225358</v>
      </c>
      <c r="L2046">
        <v>14132.284344363199</v>
      </c>
      <c r="M2046">
        <v>250</v>
      </c>
      <c r="N2046">
        <v>56.664956477256702</v>
      </c>
      <c r="O2046">
        <v>56.525519900476397</v>
      </c>
      <c r="P2046">
        <v>-0.856493907447892</v>
      </c>
      <c r="Q2046">
        <v>0.22537978652295801</v>
      </c>
      <c r="R2046">
        <v>0.109959280588416</v>
      </c>
      <c r="S2046" t="s">
        <v>9049</v>
      </c>
      <c r="T2046" t="s">
        <v>14004</v>
      </c>
      <c r="U2046" t="s">
        <v>14004</v>
      </c>
      <c r="V2046" t="s">
        <v>14004</v>
      </c>
      <c r="W2046" t="s">
        <v>16014</v>
      </c>
      <c r="X2046">
        <v>7</v>
      </c>
      <c r="Y2046" t="s">
        <v>22930</v>
      </c>
      <c r="Z2046" t="s">
        <v>29756</v>
      </c>
      <c r="AA2046">
        <v>0.65225009898679065</v>
      </c>
      <c r="AB2046" t="str">
        <f>HYPERLINK("Melting_Curves/meltCurve_P06702_S100A9.pdf", "Melting_Curves/meltCurve_P06702_S100A9.pdf")</f>
        <v>Melting_Curves/meltCurve_P06702_S100A9.pdf</v>
      </c>
    </row>
    <row r="2047" spans="1:28" x14ac:dyDescent="0.25">
      <c r="A2047" t="s">
        <v>2051</v>
      </c>
      <c r="B2047">
        <v>0.99999676499088797</v>
      </c>
      <c r="C2047">
        <v>1.01017426592181</v>
      </c>
      <c r="D2047">
        <v>0.98332344033826202</v>
      </c>
      <c r="E2047">
        <v>0.93966783416780097</v>
      </c>
      <c r="F2047">
        <v>0.80433892488752701</v>
      </c>
      <c r="G2047">
        <v>0.81298908154790095</v>
      </c>
      <c r="H2047">
        <v>0.56641772987587702</v>
      </c>
      <c r="I2047">
        <v>0.541150182928123</v>
      </c>
      <c r="J2047">
        <v>0.42535573422448603</v>
      </c>
      <c r="K2047">
        <v>0.59704035928197696</v>
      </c>
      <c r="L2047">
        <v>891.80518604269105</v>
      </c>
      <c r="M2047">
        <v>15.7948549060637</v>
      </c>
      <c r="O2047">
        <v>55.579934446451297</v>
      </c>
      <c r="P2047">
        <v>-3.7082037964774203E-2</v>
      </c>
      <c r="Q2047">
        <v>0.47809650465543202</v>
      </c>
      <c r="R2047">
        <v>0.93121488373403605</v>
      </c>
      <c r="S2047" t="s">
        <v>9050</v>
      </c>
      <c r="T2047" t="s">
        <v>14004</v>
      </c>
      <c r="U2047" t="s">
        <v>14004</v>
      </c>
      <c r="V2047" t="s">
        <v>14004</v>
      </c>
      <c r="W2047" t="s">
        <v>16015</v>
      </c>
      <c r="X2047">
        <v>9</v>
      </c>
      <c r="Y2047" t="s">
        <v>22931</v>
      </c>
      <c r="Z2047" t="s">
        <v>29757</v>
      </c>
      <c r="AA2047">
        <v>0.77295148844096573</v>
      </c>
      <c r="AB2047" t="str">
        <f>HYPERLINK("Melting_Curves/meltCurve_P06729_CD2.pdf", "Melting_Curves/meltCurve_P06729_CD2.pdf")</f>
        <v>Melting_Curves/meltCurve_P06729_CD2.pdf</v>
      </c>
    </row>
    <row r="2048" spans="1:28" x14ac:dyDescent="0.25">
      <c r="A2048" t="s">
        <v>2052</v>
      </c>
      <c r="B2048">
        <v>0.99999676499088797</v>
      </c>
      <c r="C2048">
        <v>0.99219623153457204</v>
      </c>
      <c r="D2048">
        <v>0.92102567563234505</v>
      </c>
      <c r="E2048">
        <v>0.90805853162626204</v>
      </c>
      <c r="F2048">
        <v>0.96024074235513002</v>
      </c>
      <c r="G2048">
        <v>0.84627944802793498</v>
      </c>
      <c r="H2048">
        <v>0.61335286340205597</v>
      </c>
      <c r="I2048">
        <v>0.54727577508182301</v>
      </c>
      <c r="J2048">
        <v>0.26566063065608603</v>
      </c>
      <c r="K2048">
        <v>0.153389147371192</v>
      </c>
      <c r="L2048">
        <v>958.43577588863002</v>
      </c>
      <c r="M2048">
        <v>15.141455768189999</v>
      </c>
      <c r="N2048">
        <v>63.298786535611299</v>
      </c>
      <c r="O2048">
        <v>62.225477927396099</v>
      </c>
      <c r="P2048">
        <v>-6.0838947263721299E-2</v>
      </c>
      <c r="Q2048">
        <v>0</v>
      </c>
      <c r="R2048">
        <v>0.97298679549824696</v>
      </c>
      <c r="S2048" t="s">
        <v>9051</v>
      </c>
      <c r="T2048" t="s">
        <v>14004</v>
      </c>
      <c r="U2048" t="s">
        <v>14004</v>
      </c>
      <c r="V2048" t="s">
        <v>14004</v>
      </c>
      <c r="W2048" t="s">
        <v>16016</v>
      </c>
      <c r="X2048">
        <v>55</v>
      </c>
      <c r="Y2048" t="s">
        <v>22932</v>
      </c>
      <c r="Z2048" t="s">
        <v>29758</v>
      </c>
      <c r="AA2048">
        <v>0.76574142885698582</v>
      </c>
      <c r="AB2048" t="str">
        <f>HYPERLINK("Melting_Curves/meltCurve_P06733_ENO1.pdf", "Melting_Curves/meltCurve_P06733_ENO1.pdf")</f>
        <v>Melting_Curves/meltCurve_P06733_ENO1.pdf</v>
      </c>
    </row>
    <row r="2049" spans="1:28" x14ac:dyDescent="0.25">
      <c r="A2049" t="s">
        <v>2053</v>
      </c>
      <c r="B2049">
        <v>0.99999676499088797</v>
      </c>
      <c r="C2049">
        <v>1.0338388760252299</v>
      </c>
      <c r="D2049">
        <v>1.2722325333612201</v>
      </c>
      <c r="E2049">
        <v>1.0956152582263701</v>
      </c>
      <c r="F2049">
        <v>0.63208892066619804</v>
      </c>
      <c r="G2049">
        <v>0.69118933406981597</v>
      </c>
      <c r="H2049">
        <v>0.36261906754051498</v>
      </c>
      <c r="I2049">
        <v>0.53636816744670801</v>
      </c>
      <c r="J2049">
        <v>2.20208247940726</v>
      </c>
      <c r="K2049">
        <v>0.98789546047977606</v>
      </c>
      <c r="L2049">
        <v>15000</v>
      </c>
      <c r="M2049">
        <v>229.16851414631401</v>
      </c>
      <c r="O2049">
        <v>65.4490331793763</v>
      </c>
      <c r="P2049">
        <v>0.437685064787386</v>
      </c>
      <c r="Q2049">
        <v>1.5</v>
      </c>
      <c r="R2049">
        <v>0.28656081995465499</v>
      </c>
      <c r="S2049" t="s">
        <v>9052</v>
      </c>
      <c r="T2049" t="s">
        <v>14004</v>
      </c>
      <c r="U2049" t="s">
        <v>14004</v>
      </c>
      <c r="V2049" t="s">
        <v>14004</v>
      </c>
      <c r="W2049" t="s">
        <v>16017</v>
      </c>
      <c r="X2049">
        <v>39</v>
      </c>
      <c r="Y2049" t="s">
        <v>22932</v>
      </c>
      <c r="Z2049" t="s">
        <v>29759</v>
      </c>
      <c r="AA2049">
        <v>1.07569801755598</v>
      </c>
      <c r="AB2049" t="str">
        <f>HYPERLINK("Melting_Curves/meltCurve_P06733_2_ENO1.pdf", "Melting_Curves/meltCurve_P06733_2_ENO1.pdf")</f>
        <v>Melting_Curves/meltCurve_P06733_2_ENO1.pdf</v>
      </c>
    </row>
    <row r="2050" spans="1:28" x14ac:dyDescent="0.25">
      <c r="A2050" t="s">
        <v>2054</v>
      </c>
      <c r="B2050">
        <v>0.99999676499088797</v>
      </c>
      <c r="C2050">
        <v>0.92105871303930498</v>
      </c>
      <c r="D2050">
        <v>0.95775022693135103</v>
      </c>
      <c r="E2050">
        <v>1.0040873568470301</v>
      </c>
      <c r="F2050">
        <v>0.720194373203627</v>
      </c>
      <c r="G2050">
        <v>0.25041177688294303</v>
      </c>
      <c r="H2050">
        <v>8.2253287497435199E-2</v>
      </c>
      <c r="I2050">
        <v>7.8419153956317503E-2</v>
      </c>
      <c r="J2050">
        <v>8.0640101890805393E-2</v>
      </c>
      <c r="K2050">
        <v>6.9873379779752803E-2</v>
      </c>
      <c r="L2050">
        <v>1990.8106162065601</v>
      </c>
      <c r="M2050">
        <v>36.541842712142</v>
      </c>
      <c r="N2050">
        <v>54.715230114981502</v>
      </c>
      <c r="O2050">
        <v>54.317911849478499</v>
      </c>
      <c r="P2050">
        <v>-0.15597441040486601</v>
      </c>
      <c r="Q2050">
        <v>7.2605147798328606E-2</v>
      </c>
      <c r="R2050">
        <v>0.99471703602471295</v>
      </c>
      <c r="S2050" t="s">
        <v>9053</v>
      </c>
      <c r="T2050" t="s">
        <v>14004</v>
      </c>
      <c r="U2050" t="s">
        <v>14004</v>
      </c>
      <c r="V2050" t="s">
        <v>14004</v>
      </c>
      <c r="W2050" t="s">
        <v>16018</v>
      </c>
      <c r="X2050">
        <v>42</v>
      </c>
      <c r="Y2050" t="s">
        <v>22933</v>
      </c>
      <c r="Z2050" t="s">
        <v>29760</v>
      </c>
      <c r="AA2050">
        <v>0.52440556582731623</v>
      </c>
      <c r="AB2050" t="str">
        <f>HYPERLINK("Melting_Curves/meltCurve_P06744_GPI.pdf", "Melting_Curves/meltCurve_P06744_GPI.pdf")</f>
        <v>Melting_Curves/meltCurve_P06744_GPI.pdf</v>
      </c>
    </row>
    <row r="2051" spans="1:28" x14ac:dyDescent="0.25">
      <c r="A2051" t="s">
        <v>2055</v>
      </c>
      <c r="B2051">
        <v>0.99999676499088797</v>
      </c>
      <c r="C2051">
        <v>0.88220794420164905</v>
      </c>
      <c r="D2051">
        <v>0.74396228192899905</v>
      </c>
      <c r="E2051">
        <v>0.31464025988981398</v>
      </c>
      <c r="F2051">
        <v>0.25001121013738498</v>
      </c>
      <c r="G2051">
        <v>0.18087314264426799</v>
      </c>
      <c r="H2051">
        <v>8.0876618764431404E-2</v>
      </c>
      <c r="I2051">
        <v>9.1892892883056604E-2</v>
      </c>
      <c r="J2051">
        <v>8.1468543357548495E-2</v>
      </c>
      <c r="K2051">
        <v>6.8688902556864703E-2</v>
      </c>
      <c r="L2051">
        <v>918.38438892328395</v>
      </c>
      <c r="M2051">
        <v>19.2536522745289</v>
      </c>
      <c r="N2051">
        <v>48.191895451623402</v>
      </c>
      <c r="O2051">
        <v>47.193609629269403</v>
      </c>
      <c r="P2051">
        <v>-9.2884891426904301E-2</v>
      </c>
      <c r="Q2051">
        <v>8.9334867286025493E-2</v>
      </c>
      <c r="R2051">
        <v>0.98803799547120497</v>
      </c>
      <c r="S2051" t="s">
        <v>9054</v>
      </c>
      <c r="T2051" t="s">
        <v>14004</v>
      </c>
      <c r="U2051" t="s">
        <v>14004</v>
      </c>
      <c r="V2051" t="s">
        <v>14004</v>
      </c>
      <c r="W2051" t="s">
        <v>16019</v>
      </c>
      <c r="X2051">
        <v>9</v>
      </c>
      <c r="Y2051" t="s">
        <v>22934</v>
      </c>
      <c r="Z2051" t="s">
        <v>29761</v>
      </c>
      <c r="AA2051">
        <v>0.33718766737367289</v>
      </c>
      <c r="AB2051" t="str">
        <f>HYPERLINK("Melting_Curves/meltCurve_P06746_POLB.pdf", "Melting_Curves/meltCurve_P06746_POLB.pdf")</f>
        <v>Melting_Curves/meltCurve_P06746_POLB.pdf</v>
      </c>
    </row>
    <row r="2052" spans="1:28" x14ac:dyDescent="0.25">
      <c r="A2052" t="s">
        <v>2056</v>
      </c>
      <c r="B2052">
        <v>0.99999676499088797</v>
      </c>
      <c r="C2052">
        <v>0.84790170207231796</v>
      </c>
      <c r="D2052">
        <v>0.80277645630208605</v>
      </c>
      <c r="E2052">
        <v>0.66674809180009698</v>
      </c>
      <c r="F2052">
        <v>0.46255661742201598</v>
      </c>
      <c r="G2052">
        <v>0.55186371483274299</v>
      </c>
      <c r="H2052">
        <v>0.42630065675463402</v>
      </c>
      <c r="I2052">
        <v>0.29720414949157797</v>
      </c>
      <c r="J2052">
        <v>0.195280215186762</v>
      </c>
      <c r="K2052">
        <v>0.16807684137941301</v>
      </c>
      <c r="L2052">
        <v>368.17115539365398</v>
      </c>
      <c r="M2052">
        <v>6.6440582170174398</v>
      </c>
      <c r="N2052">
        <v>55.4135956208479</v>
      </c>
      <c r="O2052">
        <v>51.039328808661097</v>
      </c>
      <c r="P2052">
        <v>-3.26168073782983E-2</v>
      </c>
      <c r="Q2052">
        <v>0</v>
      </c>
      <c r="R2052">
        <v>0.95344135557784804</v>
      </c>
      <c r="S2052" t="s">
        <v>9055</v>
      </c>
      <c r="T2052" t="s">
        <v>14004</v>
      </c>
      <c r="U2052" t="s">
        <v>14004</v>
      </c>
      <c r="V2052" t="s">
        <v>14004</v>
      </c>
      <c r="W2052" t="s">
        <v>16020</v>
      </c>
      <c r="X2052">
        <v>25</v>
      </c>
      <c r="Y2052" t="s">
        <v>21366</v>
      </c>
      <c r="Z2052" t="s">
        <v>29762</v>
      </c>
      <c r="AA2052">
        <v>0.53659605949458922</v>
      </c>
      <c r="AB2052" t="str">
        <f>HYPERLINK("Melting_Curves/meltCurve_P06748_NPM1.pdf", "Melting_Curves/meltCurve_P06748_NPM1.pdf")</f>
        <v>Melting_Curves/meltCurve_P06748_NPM1.pdf</v>
      </c>
    </row>
    <row r="2053" spans="1:28" x14ac:dyDescent="0.25">
      <c r="A2053" t="s">
        <v>2057</v>
      </c>
      <c r="B2053">
        <v>0.99999676499088797</v>
      </c>
      <c r="C2053">
        <v>1.42851679646975</v>
      </c>
      <c r="D2053">
        <v>1.05623801054031</v>
      </c>
      <c r="E2053">
        <v>0.29195227309773403</v>
      </c>
      <c r="F2053">
        <v>0.26216739558552798</v>
      </c>
      <c r="G2053">
        <v>0.154535589095913</v>
      </c>
      <c r="H2053">
        <v>0</v>
      </c>
      <c r="I2053">
        <v>0.109126469478366</v>
      </c>
      <c r="J2053">
        <v>0</v>
      </c>
      <c r="K2053">
        <v>0</v>
      </c>
      <c r="L2053">
        <v>7020.10763347375</v>
      </c>
      <c r="M2053">
        <v>142.77700621017101</v>
      </c>
      <c r="N2053">
        <v>49.234782673418202</v>
      </c>
      <c r="O2053">
        <v>49.158690240478698</v>
      </c>
      <c r="P2053">
        <v>-0.66247401542165296</v>
      </c>
      <c r="Q2053">
        <v>8.7630277406923196E-2</v>
      </c>
      <c r="R2053">
        <v>0.90170741850964997</v>
      </c>
      <c r="S2053" t="s">
        <v>9056</v>
      </c>
      <c r="T2053" t="s">
        <v>14004</v>
      </c>
      <c r="U2053" t="s">
        <v>14004</v>
      </c>
      <c r="V2053" t="s">
        <v>14004</v>
      </c>
      <c r="W2053" t="s">
        <v>16021</v>
      </c>
      <c r="X2053">
        <v>22</v>
      </c>
      <c r="Y2053" t="s">
        <v>21366</v>
      </c>
      <c r="Z2053" t="s">
        <v>29763</v>
      </c>
      <c r="AA2053">
        <v>0.36670213053216377</v>
      </c>
      <c r="AB2053" t="str">
        <f>HYPERLINK("Melting_Curves/meltCurve_P06748_3_NPM1.pdf", "Melting_Curves/meltCurve_P06748_3_NPM1.pdf")</f>
        <v>Melting_Curves/meltCurve_P06748_3_NPM1.pdf</v>
      </c>
    </row>
    <row r="2054" spans="1:28" x14ac:dyDescent="0.25">
      <c r="A2054" t="s">
        <v>2058</v>
      </c>
      <c r="B2054">
        <v>0.99999676499088797</v>
      </c>
      <c r="C2054">
        <v>0.95174418130141003</v>
      </c>
      <c r="D2054">
        <v>0.93035548987699401</v>
      </c>
      <c r="E2054">
        <v>0.77077550997627298</v>
      </c>
      <c r="F2054">
        <v>0.74337567589436404</v>
      </c>
      <c r="G2054">
        <v>0.57692958752094403</v>
      </c>
      <c r="H2054">
        <v>0.39680916169804897</v>
      </c>
      <c r="I2054">
        <v>0.45189721771650199</v>
      </c>
      <c r="J2054">
        <v>0.45213854609617998</v>
      </c>
      <c r="K2054">
        <v>0.481101941533776</v>
      </c>
      <c r="L2054">
        <v>726.91786902148795</v>
      </c>
      <c r="M2054">
        <v>13.881824759471099</v>
      </c>
      <c r="N2054">
        <v>60.0859513544113</v>
      </c>
      <c r="O2054">
        <v>51.313929484044301</v>
      </c>
      <c r="P2054">
        <v>-3.9502023750568098E-2</v>
      </c>
      <c r="Q2054">
        <v>0.41600546118558002</v>
      </c>
      <c r="R2054">
        <v>0.96197568079238904</v>
      </c>
      <c r="S2054" t="s">
        <v>9057</v>
      </c>
      <c r="T2054" t="s">
        <v>14004</v>
      </c>
      <c r="U2054" t="s">
        <v>14004</v>
      </c>
      <c r="V2054" t="s">
        <v>14004</v>
      </c>
      <c r="W2054" t="s">
        <v>16022</v>
      </c>
      <c r="X2054">
        <v>54</v>
      </c>
      <c r="Y2054" t="s">
        <v>22046</v>
      </c>
      <c r="Z2054" t="s">
        <v>29764</v>
      </c>
      <c r="AA2054">
        <v>0.67110613358438864</v>
      </c>
      <c r="AB2054" t="str">
        <f>HYPERLINK("Melting_Curves/meltCurve_P06753_2_TPM3.pdf", "Melting_Curves/meltCurve_P06753_2_TPM3.pdf")</f>
        <v>Melting_Curves/meltCurve_P06753_2_TPM3.pdf</v>
      </c>
    </row>
    <row r="2055" spans="1:28" x14ac:dyDescent="0.25">
      <c r="A2055" t="s">
        <v>2059</v>
      </c>
      <c r="B2055">
        <v>0.99999676499088797</v>
      </c>
      <c r="C2055">
        <v>1.0195874262361799</v>
      </c>
      <c r="D2055">
        <v>0.95201508803590296</v>
      </c>
      <c r="E2055">
        <v>0.95510957546835695</v>
      </c>
      <c r="F2055">
        <v>0.90880175449693101</v>
      </c>
      <c r="G2055">
        <v>0.81682950043795799</v>
      </c>
      <c r="H2055">
        <v>0.49208782485805502</v>
      </c>
      <c r="I2055">
        <v>0.55829722655543401</v>
      </c>
      <c r="J2055">
        <v>0.494070406429517</v>
      </c>
      <c r="K2055">
        <v>0.80520044451969497</v>
      </c>
      <c r="L2055">
        <v>14212.7866473296</v>
      </c>
      <c r="M2055">
        <v>250</v>
      </c>
      <c r="O2055">
        <v>56.847499471078599</v>
      </c>
      <c r="P2055">
        <v>-0.45361049930325897</v>
      </c>
      <c r="Q2055">
        <v>0.58741397293416397</v>
      </c>
      <c r="R2055">
        <v>0.79942643536852498</v>
      </c>
      <c r="S2055" t="s">
        <v>9058</v>
      </c>
      <c r="T2055" t="s">
        <v>14004</v>
      </c>
      <c r="U2055" t="s">
        <v>14004</v>
      </c>
      <c r="V2055" t="s">
        <v>14004</v>
      </c>
      <c r="W2055" t="s">
        <v>16023</v>
      </c>
      <c r="X2055">
        <v>54</v>
      </c>
      <c r="Y2055" t="s">
        <v>22046</v>
      </c>
      <c r="Z2055" t="s">
        <v>29765</v>
      </c>
      <c r="AA2055">
        <v>0.81920672525564908</v>
      </c>
      <c r="AB2055" t="str">
        <f>HYPERLINK("Melting_Curves/meltCurve_P06753_3_TPM3.pdf", "Melting_Curves/meltCurve_P06753_3_TPM3.pdf")</f>
        <v>Melting_Curves/meltCurve_P06753_3_TPM3.pdf</v>
      </c>
    </row>
    <row r="2056" spans="1:28" x14ac:dyDescent="0.25">
      <c r="A2056" t="s">
        <v>2060</v>
      </c>
      <c r="B2056">
        <v>0.99999676499088797</v>
      </c>
      <c r="C2056">
        <v>0.96379161719581796</v>
      </c>
      <c r="D2056">
        <v>1.08228963442602</v>
      </c>
      <c r="E2056">
        <v>1.1377575467507901</v>
      </c>
      <c r="F2056">
        <v>1.17849808481135</v>
      </c>
      <c r="G2056">
        <v>0.88285577746867705</v>
      </c>
      <c r="H2056">
        <v>0.64053848481860198</v>
      </c>
      <c r="I2056">
        <v>0.66552286114736103</v>
      </c>
      <c r="J2056">
        <v>0.65102846268639303</v>
      </c>
      <c r="K2056">
        <v>0.71073406787966997</v>
      </c>
      <c r="L2056">
        <v>14234.728015394099</v>
      </c>
      <c r="M2056">
        <v>250</v>
      </c>
      <c r="O2056">
        <v>56.935268313954801</v>
      </c>
      <c r="P2056">
        <v>-0.36559505442157098</v>
      </c>
      <c r="Q2056">
        <v>0.66695595990216905</v>
      </c>
      <c r="R2056">
        <v>0.84591940364065199</v>
      </c>
      <c r="S2056" t="s">
        <v>9059</v>
      </c>
      <c r="T2056" t="s">
        <v>14004</v>
      </c>
      <c r="U2056" t="s">
        <v>14004</v>
      </c>
      <c r="V2056" t="s">
        <v>14004</v>
      </c>
      <c r="W2056" t="s">
        <v>16024</v>
      </c>
      <c r="X2056">
        <v>50</v>
      </c>
      <c r="Y2056" t="s">
        <v>22046</v>
      </c>
      <c r="Z2056" t="s">
        <v>29766</v>
      </c>
      <c r="AA2056">
        <v>0.85503603022380192</v>
      </c>
      <c r="AB2056" t="str">
        <f>HYPERLINK("Melting_Curves/meltCurve_P06753_5_TPM3.pdf", "Melting_Curves/meltCurve_P06753_5_TPM3.pdf")</f>
        <v>Melting_Curves/meltCurve_P06753_5_TPM3.pdf</v>
      </c>
    </row>
    <row r="2057" spans="1:28" x14ac:dyDescent="0.25">
      <c r="A2057" t="s">
        <v>2061</v>
      </c>
      <c r="B2057">
        <v>0.99999676499088797</v>
      </c>
      <c r="C2057">
        <v>0.94443401526068504</v>
      </c>
      <c r="D2057">
        <v>0.96883073727933</v>
      </c>
      <c r="E2057">
        <v>0.97817632100072605</v>
      </c>
      <c r="F2057">
        <v>0.86875920015112995</v>
      </c>
      <c r="G2057">
        <v>0.76839651329653902</v>
      </c>
      <c r="H2057">
        <v>0.49862733741226201</v>
      </c>
      <c r="I2057">
        <v>0.46583858394695699</v>
      </c>
      <c r="J2057">
        <v>0.41831288285913998</v>
      </c>
      <c r="K2057">
        <v>0.42206310591534602</v>
      </c>
      <c r="L2057">
        <v>1193.1646223420601</v>
      </c>
      <c r="M2057">
        <v>20.815419125742402</v>
      </c>
      <c r="N2057">
        <v>61.984825472164999</v>
      </c>
      <c r="O2057">
        <v>56.800016260222002</v>
      </c>
      <c r="P2057">
        <v>-5.5377376466299297E-2</v>
      </c>
      <c r="Q2057">
        <v>0.39557342396930401</v>
      </c>
      <c r="R2057">
        <v>0.98573802909561303</v>
      </c>
      <c r="S2057" t="s">
        <v>9060</v>
      </c>
      <c r="T2057" t="s">
        <v>14004</v>
      </c>
      <c r="U2057" t="s">
        <v>14004</v>
      </c>
      <c r="V2057" t="s">
        <v>14004</v>
      </c>
      <c r="W2057" t="s">
        <v>16025</v>
      </c>
      <c r="X2057">
        <v>8</v>
      </c>
      <c r="Y2057" t="s">
        <v>22935</v>
      </c>
      <c r="Z2057" t="s">
        <v>29767</v>
      </c>
      <c r="AA2057">
        <v>0.75146754350267375</v>
      </c>
      <c r="AB2057" t="str">
        <f>HYPERLINK("Melting_Curves/meltCurve_P06756_3_ITGAV.pdf", "Melting_Curves/meltCurve_P06756_3_ITGAV.pdf")</f>
        <v>Melting_Curves/meltCurve_P06756_3_ITGAV.pdf</v>
      </c>
    </row>
    <row r="2058" spans="1:28" x14ac:dyDescent="0.25">
      <c r="A2058" t="s">
        <v>2062</v>
      </c>
      <c r="B2058">
        <v>0.99999676499088797</v>
      </c>
      <c r="C2058">
        <v>2.0487618463306001</v>
      </c>
      <c r="D2058">
        <v>1.08285913069017</v>
      </c>
      <c r="E2058">
        <v>0.242924985251356</v>
      </c>
      <c r="F2058">
        <v>0.12504456356647201</v>
      </c>
      <c r="G2058">
        <v>0.173566974904004</v>
      </c>
      <c r="H2058">
        <v>0.10374518664292801</v>
      </c>
      <c r="I2058">
        <v>0.343104036708411</v>
      </c>
      <c r="J2058">
        <v>0.83908152998154295</v>
      </c>
      <c r="K2058">
        <v>2.94528902555426E-2</v>
      </c>
      <c r="L2058">
        <v>11965.887666328301</v>
      </c>
      <c r="M2058">
        <v>250</v>
      </c>
      <c r="N2058">
        <v>48.008741844939699</v>
      </c>
      <c r="O2058">
        <v>47.860487733315701</v>
      </c>
      <c r="P2058">
        <v>-0.95948314265914003</v>
      </c>
      <c r="Q2058">
        <v>0.26525870226109299</v>
      </c>
      <c r="R2058">
        <v>0.58291312784072802</v>
      </c>
      <c r="S2058" t="s">
        <v>9061</v>
      </c>
      <c r="T2058" t="s">
        <v>14004</v>
      </c>
      <c r="U2058" t="s">
        <v>14004</v>
      </c>
      <c r="V2058" t="s">
        <v>14004</v>
      </c>
      <c r="W2058" t="s">
        <v>16026</v>
      </c>
      <c r="X2058">
        <v>12</v>
      </c>
      <c r="Y2058" t="s">
        <v>22936</v>
      </c>
      <c r="Z2058" t="s">
        <v>29768</v>
      </c>
      <c r="AA2058">
        <v>0.45790960106216189</v>
      </c>
      <c r="AB2058" t="str">
        <f>HYPERLINK("Melting_Curves/meltCurve_P06899_HIST1H2BJ.pdf", "Melting_Curves/meltCurve_P06899_HIST1H2BJ.pdf")</f>
        <v>Melting_Curves/meltCurve_P06899_HIST1H2BJ.pdf</v>
      </c>
    </row>
    <row r="2059" spans="1:28" x14ac:dyDescent="0.25">
      <c r="A2059" t="s">
        <v>2063</v>
      </c>
      <c r="B2059">
        <v>0.99999676499088797</v>
      </c>
      <c r="C2059">
        <v>0.94375467784579303</v>
      </c>
      <c r="D2059">
        <v>0.97428061105294295</v>
      </c>
      <c r="E2059">
        <v>1.0221790597145699</v>
      </c>
      <c r="F2059">
        <v>1.00020035459504</v>
      </c>
      <c r="G2059">
        <v>0.85316412103804096</v>
      </c>
      <c r="H2059">
        <v>0.602535066619721</v>
      </c>
      <c r="I2059">
        <v>0.46981742526493298</v>
      </c>
      <c r="J2059">
        <v>0.32513723993497201</v>
      </c>
      <c r="K2059">
        <v>0.199724288201448</v>
      </c>
      <c r="L2059">
        <v>1093.64205030575</v>
      </c>
      <c r="M2059">
        <v>17.6104869128601</v>
      </c>
      <c r="N2059">
        <v>63.041640113051699</v>
      </c>
      <c r="O2059">
        <v>61.317580749077202</v>
      </c>
      <c r="P2059">
        <v>-6.3513842358866299E-2</v>
      </c>
      <c r="Q2059">
        <v>0.115457677474204</v>
      </c>
      <c r="R2059">
        <v>0.98891458335862503</v>
      </c>
      <c r="S2059" t="s">
        <v>9062</v>
      </c>
      <c r="T2059" t="s">
        <v>14004</v>
      </c>
      <c r="U2059" t="s">
        <v>14004</v>
      </c>
      <c r="V2059" t="s">
        <v>14004</v>
      </c>
      <c r="W2059" t="s">
        <v>16027</v>
      </c>
      <c r="X2059">
        <v>13</v>
      </c>
      <c r="Y2059" t="s">
        <v>22937</v>
      </c>
      <c r="Z2059" t="s">
        <v>29769</v>
      </c>
      <c r="AA2059">
        <v>0.76769228604058315</v>
      </c>
      <c r="AB2059" t="str">
        <f>HYPERLINK("Melting_Curves/meltCurve_P07099_EPHX1.pdf", "Melting_Curves/meltCurve_P07099_EPHX1.pdf")</f>
        <v>Melting_Curves/meltCurve_P07099_EPHX1.pdf</v>
      </c>
    </row>
    <row r="2060" spans="1:28" x14ac:dyDescent="0.25">
      <c r="A2060" t="s">
        <v>2064</v>
      </c>
      <c r="B2060">
        <v>0.99999676499088797</v>
      </c>
      <c r="C2060">
        <v>0.88153388491613505</v>
      </c>
      <c r="D2060">
        <v>1.12984282633967</v>
      </c>
      <c r="E2060">
        <v>1.774507018535</v>
      </c>
      <c r="F2060">
        <v>1.9686138033742699</v>
      </c>
      <c r="G2060">
        <v>1.3966659993388</v>
      </c>
      <c r="H2060">
        <v>0.75430695592438202</v>
      </c>
      <c r="I2060">
        <v>0.46052995336092001</v>
      </c>
      <c r="J2060">
        <v>0.46573589426586598</v>
      </c>
      <c r="K2060">
        <v>0.50736642148037103</v>
      </c>
      <c r="L2060">
        <v>15000</v>
      </c>
      <c r="M2060">
        <v>246.59265286435601</v>
      </c>
      <c r="N2060">
        <v>61.608033762834303</v>
      </c>
      <c r="O2060">
        <v>60.825067149497599</v>
      </c>
      <c r="P2060">
        <v>-0.52918887236432599</v>
      </c>
      <c r="Q2060">
        <v>0.47787664319860301</v>
      </c>
      <c r="R2060">
        <v>0.33407533437206599</v>
      </c>
      <c r="S2060" t="s">
        <v>9063</v>
      </c>
      <c r="T2060" t="s">
        <v>14004</v>
      </c>
      <c r="U2060" t="s">
        <v>14004</v>
      </c>
      <c r="V2060" t="s">
        <v>14004</v>
      </c>
      <c r="W2060" t="s">
        <v>16028</v>
      </c>
      <c r="X2060">
        <v>6</v>
      </c>
      <c r="Y2060" t="s">
        <v>22938</v>
      </c>
      <c r="Z2060" t="s">
        <v>29770</v>
      </c>
      <c r="AA2060">
        <v>0.84044527527355561</v>
      </c>
      <c r="AB2060" t="str">
        <f>HYPERLINK("Melting_Curves/meltCurve_P07108_DBI.pdf", "Melting_Curves/meltCurve_P07108_DBI.pdf")</f>
        <v>Melting_Curves/meltCurve_P07108_DBI.pdf</v>
      </c>
    </row>
    <row r="2061" spans="1:28" x14ac:dyDescent="0.25">
      <c r="A2061" t="s">
        <v>2065</v>
      </c>
      <c r="B2061">
        <v>0.99999676499088797</v>
      </c>
      <c r="C2061">
        <v>0.84916233614779302</v>
      </c>
      <c r="D2061">
        <v>0.89113265226212002</v>
      </c>
      <c r="E2061">
        <v>0.78234401974700796</v>
      </c>
      <c r="F2061">
        <v>0.956652987368243</v>
      </c>
      <c r="G2061">
        <v>0.83319493671713996</v>
      </c>
      <c r="H2061">
        <v>0.59583199136596998</v>
      </c>
      <c r="I2061">
        <v>0.38343249728932499</v>
      </c>
      <c r="J2061">
        <v>0.193393448723582</v>
      </c>
      <c r="K2061">
        <v>0.12730832239203399</v>
      </c>
      <c r="L2061">
        <v>1003.78269492919</v>
      </c>
      <c r="M2061">
        <v>16.194344976377099</v>
      </c>
      <c r="N2061">
        <v>61.983531893458398</v>
      </c>
      <c r="O2061">
        <v>61.061494554735198</v>
      </c>
      <c r="P2061">
        <v>-6.6308384803182005E-2</v>
      </c>
      <c r="Q2061">
        <v>0</v>
      </c>
      <c r="R2061">
        <v>0.91731946164122802</v>
      </c>
      <c r="S2061" t="s">
        <v>9064</v>
      </c>
      <c r="T2061" t="s">
        <v>14004</v>
      </c>
      <c r="U2061" t="s">
        <v>14004</v>
      </c>
      <c r="V2061" t="s">
        <v>14004</v>
      </c>
      <c r="W2061" t="s">
        <v>16029</v>
      </c>
      <c r="X2061">
        <v>24</v>
      </c>
      <c r="Y2061" t="s">
        <v>22939</v>
      </c>
      <c r="Z2061" t="s">
        <v>29771</v>
      </c>
      <c r="AA2061">
        <v>0.73213688102047325</v>
      </c>
      <c r="AB2061" t="str">
        <f>HYPERLINK("Melting_Curves/meltCurve_P07195_LDHB.pdf", "Melting_Curves/meltCurve_P07195_LDHB.pdf")</f>
        <v>Melting_Curves/meltCurve_P07195_LDHB.pdf</v>
      </c>
    </row>
    <row r="2062" spans="1:28" x14ac:dyDescent="0.25">
      <c r="A2062" t="s">
        <v>2066</v>
      </c>
      <c r="B2062">
        <v>0.99999676499088797</v>
      </c>
      <c r="C2062">
        <v>0.99856816705434504</v>
      </c>
      <c r="D2062">
        <v>0.92375769006872799</v>
      </c>
      <c r="E2062">
        <v>0.963247128309213</v>
      </c>
      <c r="F2062">
        <v>0.95929337184125296</v>
      </c>
      <c r="G2062">
        <v>0.81432790770691799</v>
      </c>
      <c r="H2062">
        <v>0.59870882291167804</v>
      </c>
      <c r="I2062">
        <v>0.58518658449329497</v>
      </c>
      <c r="J2062">
        <v>0.46135130011486503</v>
      </c>
      <c r="K2062">
        <v>0.295862803005709</v>
      </c>
      <c r="L2062">
        <v>659.76688185855198</v>
      </c>
      <c r="M2062">
        <v>10.1372473448205</v>
      </c>
      <c r="N2062">
        <v>65.083424690852297</v>
      </c>
      <c r="O2062">
        <v>62.703082382153902</v>
      </c>
      <c r="P2062">
        <v>-4.0436318621958997E-2</v>
      </c>
      <c r="Q2062">
        <v>0</v>
      </c>
      <c r="R2062">
        <v>0.97235311347665598</v>
      </c>
      <c r="S2062" t="s">
        <v>9065</v>
      </c>
      <c r="T2062" t="s">
        <v>14004</v>
      </c>
      <c r="U2062" t="s">
        <v>14004</v>
      </c>
      <c r="V2062" t="s">
        <v>14004</v>
      </c>
      <c r="W2062" t="s">
        <v>16030</v>
      </c>
      <c r="X2062">
        <v>9</v>
      </c>
      <c r="Y2062" t="s">
        <v>22940</v>
      </c>
      <c r="Z2062" t="s">
        <v>29772</v>
      </c>
      <c r="AA2062">
        <v>0.78183722421810331</v>
      </c>
      <c r="AB2062" t="str">
        <f>HYPERLINK("Melting_Curves/meltCurve_P07203_GPX1.pdf", "Melting_Curves/meltCurve_P07203_GPX1.pdf")</f>
        <v>Melting_Curves/meltCurve_P07203_GPX1.pdf</v>
      </c>
    </row>
    <row r="2063" spans="1:28" x14ac:dyDescent="0.25">
      <c r="A2063" t="s">
        <v>2067</v>
      </c>
      <c r="B2063">
        <v>0.99999676499088797</v>
      </c>
      <c r="C2063">
        <v>0.940346201442959</v>
      </c>
      <c r="D2063">
        <v>0.93937273906073104</v>
      </c>
      <c r="E2063">
        <v>1.1943615148255</v>
      </c>
      <c r="F2063">
        <v>0.91645817077786396</v>
      </c>
      <c r="G2063">
        <v>0.440346546459156</v>
      </c>
      <c r="H2063">
        <v>0.21737720289255499</v>
      </c>
      <c r="I2063">
        <v>0.209576520443117</v>
      </c>
      <c r="J2063">
        <v>0.20486326444362801</v>
      </c>
      <c r="K2063">
        <v>0.213304002096698</v>
      </c>
      <c r="L2063">
        <v>2709.73630445853</v>
      </c>
      <c r="M2063">
        <v>48.6050932258524</v>
      </c>
      <c r="N2063">
        <v>56.373196671826904</v>
      </c>
      <c r="O2063">
        <v>55.655920616263401</v>
      </c>
      <c r="P2063">
        <v>-0.17295299454680799</v>
      </c>
      <c r="Q2063">
        <v>0.20783207431844999</v>
      </c>
      <c r="R2063">
        <v>0.96864092866723095</v>
      </c>
      <c r="S2063" t="s">
        <v>9066</v>
      </c>
      <c r="T2063" t="s">
        <v>14004</v>
      </c>
      <c r="U2063" t="s">
        <v>14004</v>
      </c>
      <c r="V2063" t="s">
        <v>14004</v>
      </c>
      <c r="W2063" t="s">
        <v>16031</v>
      </c>
      <c r="X2063">
        <v>10</v>
      </c>
      <c r="Y2063" t="s">
        <v>22941</v>
      </c>
      <c r="Z2063" t="s">
        <v>29773</v>
      </c>
      <c r="AA2063">
        <v>0.62578113528131085</v>
      </c>
      <c r="AB2063" t="str">
        <f>HYPERLINK("Melting_Curves/meltCurve_P07205_PGK2.pdf", "Melting_Curves/meltCurve_P07205_PGK2.pdf")</f>
        <v>Melting_Curves/meltCurve_P07205_PGK2.pdf</v>
      </c>
    </row>
    <row r="2064" spans="1:28" x14ac:dyDescent="0.25">
      <c r="A2064" t="s">
        <v>2068</v>
      </c>
      <c r="B2064">
        <v>0.99999676499088797</v>
      </c>
      <c r="C2064">
        <v>0.960610906820347</v>
      </c>
      <c r="D2064">
        <v>1.00863916322227</v>
      </c>
      <c r="E2064">
        <v>0.97416959889076804</v>
      </c>
      <c r="F2064">
        <v>0.81527384811699299</v>
      </c>
      <c r="G2064">
        <v>0.47168227009382402</v>
      </c>
      <c r="H2064">
        <v>0.19090339357125699</v>
      </c>
      <c r="I2064">
        <v>0.17685582998277</v>
      </c>
      <c r="J2064">
        <v>0.16990515702402101</v>
      </c>
      <c r="K2064">
        <v>0.17502697851901</v>
      </c>
      <c r="L2064">
        <v>1642.80958355339</v>
      </c>
      <c r="M2064">
        <v>29.535849619664901</v>
      </c>
      <c r="N2064">
        <v>56.351602100302202</v>
      </c>
      <c r="O2064">
        <v>55.367765999625099</v>
      </c>
      <c r="P2064">
        <v>-0.112145652848331</v>
      </c>
      <c r="Q2064">
        <v>0.159094968516591</v>
      </c>
      <c r="R2064">
        <v>0.99762399084480502</v>
      </c>
      <c r="S2064" t="s">
        <v>9067</v>
      </c>
      <c r="T2064" t="s">
        <v>14004</v>
      </c>
      <c r="U2064" t="s">
        <v>14004</v>
      </c>
      <c r="V2064" t="s">
        <v>14004</v>
      </c>
      <c r="W2064" t="s">
        <v>16032</v>
      </c>
      <c r="X2064">
        <v>44</v>
      </c>
      <c r="Y2064" t="s">
        <v>22942</v>
      </c>
      <c r="Z2064" t="s">
        <v>29774</v>
      </c>
      <c r="AA2064">
        <v>0.60271436644670018</v>
      </c>
      <c r="AB2064" t="str">
        <f>HYPERLINK("Melting_Curves/meltCurve_P07237_P4HB.pdf", "Melting_Curves/meltCurve_P07237_P4HB.pdf")</f>
        <v>Melting_Curves/meltCurve_P07237_P4HB.pdf</v>
      </c>
    </row>
    <row r="2065" spans="1:28" x14ac:dyDescent="0.25">
      <c r="A2065" t="s">
        <v>2069</v>
      </c>
      <c r="B2065">
        <v>0.99999676499088797</v>
      </c>
      <c r="C2065">
        <v>0.94217802297600695</v>
      </c>
      <c r="D2065">
        <v>1.06265744720675</v>
      </c>
      <c r="E2065">
        <v>1.13573151159663</v>
      </c>
      <c r="F2065">
        <v>1.27375936792373</v>
      </c>
      <c r="G2065">
        <v>1.3835350086715199</v>
      </c>
      <c r="H2065">
        <v>0.94222759246256504</v>
      </c>
      <c r="I2065">
        <v>0.65490264339163295</v>
      </c>
      <c r="J2065">
        <v>0.38992667115469798</v>
      </c>
      <c r="K2065">
        <v>0.46044572828644298</v>
      </c>
      <c r="L2065">
        <v>4211.8033734885703</v>
      </c>
      <c r="M2065">
        <v>66.264739314715499</v>
      </c>
      <c r="N2065">
        <v>65.357168154073904</v>
      </c>
      <c r="O2065">
        <v>63.502455717639897</v>
      </c>
      <c r="P2065">
        <v>-0.15153204161188899</v>
      </c>
      <c r="Q2065">
        <v>0.41913896351356</v>
      </c>
      <c r="R2065">
        <v>0.74124376508771594</v>
      </c>
      <c r="S2065" t="s">
        <v>9068</v>
      </c>
      <c r="T2065" t="s">
        <v>14004</v>
      </c>
      <c r="U2065" t="s">
        <v>14004</v>
      </c>
      <c r="V2065" t="s">
        <v>14004</v>
      </c>
      <c r="W2065" t="s">
        <v>16033</v>
      </c>
      <c r="X2065">
        <v>1</v>
      </c>
      <c r="Y2065" t="s">
        <v>22943</v>
      </c>
      <c r="Z2065" t="s">
        <v>29775</v>
      </c>
      <c r="AA2065">
        <v>0.87618585743013733</v>
      </c>
      <c r="AB2065" t="str">
        <f>HYPERLINK("Melting_Curves/meltCurve_P07305_2_H1F0.pdf", "Melting_Curves/meltCurve_P07305_2_H1F0.pdf")</f>
        <v>Melting_Curves/meltCurve_P07305_2_H1F0.pdf</v>
      </c>
    </row>
    <row r="2066" spans="1:28" x14ac:dyDescent="0.25">
      <c r="A2066" t="s">
        <v>2070</v>
      </c>
      <c r="B2066">
        <v>0.99999676499088797</v>
      </c>
      <c r="C2066">
        <v>1.06643207139298</v>
      </c>
      <c r="D2066">
        <v>1.0358759513524001</v>
      </c>
      <c r="E2066">
        <v>0.99972462662607198</v>
      </c>
      <c r="F2066">
        <v>0.99694421771875497</v>
      </c>
      <c r="G2066">
        <v>0.74680858249419402</v>
      </c>
      <c r="H2066">
        <v>0.22633233984349699</v>
      </c>
      <c r="I2066">
        <v>0.20665275021490701</v>
      </c>
      <c r="J2066">
        <v>0.204130459903619</v>
      </c>
      <c r="K2066">
        <v>0.16570928515732</v>
      </c>
      <c r="L2066">
        <v>3319.2843634574701</v>
      </c>
      <c r="M2066">
        <v>57.650728267297197</v>
      </c>
      <c r="N2066">
        <v>58.060233745649398</v>
      </c>
      <c r="O2066">
        <v>57.5066035223591</v>
      </c>
      <c r="P2066">
        <v>-0.20277308270564201</v>
      </c>
      <c r="Q2066">
        <v>0.19093576361456399</v>
      </c>
      <c r="R2066">
        <v>0.99554653092802403</v>
      </c>
      <c r="S2066" t="s">
        <v>9069</v>
      </c>
      <c r="T2066" t="s">
        <v>14004</v>
      </c>
      <c r="U2066" t="s">
        <v>14004</v>
      </c>
      <c r="V2066" t="s">
        <v>14004</v>
      </c>
      <c r="W2066" t="s">
        <v>16034</v>
      </c>
      <c r="X2066">
        <v>19</v>
      </c>
      <c r="Y2066" t="s">
        <v>21749</v>
      </c>
      <c r="Z2066" t="s">
        <v>29776</v>
      </c>
      <c r="AA2066">
        <v>0.66647493810118241</v>
      </c>
      <c r="AB2066" t="str">
        <f>HYPERLINK("Melting_Curves/meltCurve_P07339_CTSD.pdf", "Melting_Curves/meltCurve_P07339_CTSD.pdf")</f>
        <v>Melting_Curves/meltCurve_P07339_CTSD.pdf</v>
      </c>
    </row>
    <row r="2067" spans="1:28" x14ac:dyDescent="0.25">
      <c r="A2067" t="s">
        <v>2071</v>
      </c>
      <c r="B2067">
        <v>0.99999676499088797</v>
      </c>
      <c r="C2067">
        <v>0.97449723725233195</v>
      </c>
      <c r="D2067">
        <v>0.978157291803186</v>
      </c>
      <c r="E2067">
        <v>0.97888332532411004</v>
      </c>
      <c r="F2067">
        <v>0.525909920131163</v>
      </c>
      <c r="G2067">
        <v>0.18914223389512799</v>
      </c>
      <c r="H2067">
        <v>8.8250261502113195E-2</v>
      </c>
      <c r="I2067">
        <v>8.8583938418547697E-2</v>
      </c>
      <c r="J2067">
        <v>8.5214764331006401E-2</v>
      </c>
      <c r="K2067">
        <v>6.9590580324810206E-2</v>
      </c>
      <c r="L2067">
        <v>2018.6807603412301</v>
      </c>
      <c r="M2067">
        <v>37.949518039103701</v>
      </c>
      <c r="N2067">
        <v>53.457886453845802</v>
      </c>
      <c r="O2067">
        <v>53.046757437022599</v>
      </c>
      <c r="P2067">
        <v>-0.163564786646651</v>
      </c>
      <c r="Q2067">
        <v>8.5462612440191696E-2</v>
      </c>
      <c r="R2067">
        <v>0.99797180130071605</v>
      </c>
      <c r="S2067" t="s">
        <v>9070</v>
      </c>
      <c r="T2067" t="s">
        <v>14004</v>
      </c>
      <c r="U2067" t="s">
        <v>14004</v>
      </c>
      <c r="V2067" t="s">
        <v>14004</v>
      </c>
      <c r="W2067" t="s">
        <v>16035</v>
      </c>
      <c r="X2067">
        <v>33</v>
      </c>
      <c r="Y2067" t="s">
        <v>22944</v>
      </c>
      <c r="Z2067" t="s">
        <v>29777</v>
      </c>
      <c r="AA2067">
        <v>0.49140334889229181</v>
      </c>
      <c r="AB2067" t="str">
        <f>HYPERLINK("Melting_Curves/meltCurve_P07355_ANXA2.pdf", "Melting_Curves/meltCurve_P07355_ANXA2.pdf")</f>
        <v>Melting_Curves/meltCurve_P07355_ANXA2.pdf</v>
      </c>
    </row>
    <row r="2068" spans="1:28" x14ac:dyDescent="0.25">
      <c r="A2068" t="s">
        <v>2072</v>
      </c>
      <c r="B2068">
        <v>0.99999676499088797</v>
      </c>
      <c r="C2068">
        <v>0.97979525912855603</v>
      </c>
      <c r="D2068">
        <v>0.981167241794622</v>
      </c>
      <c r="E2068">
        <v>1.05151078978468</v>
      </c>
      <c r="F2068">
        <v>1.0439537169678099</v>
      </c>
      <c r="G2068">
        <v>0.90718743854974904</v>
      </c>
      <c r="H2068">
        <v>0.55317545583151995</v>
      </c>
      <c r="I2068">
        <v>0.20709781249666401</v>
      </c>
      <c r="J2068">
        <v>0.167711657299944</v>
      </c>
      <c r="K2068">
        <v>0.117694633873246</v>
      </c>
      <c r="L2068">
        <v>2224.6723030086901</v>
      </c>
      <c r="M2068">
        <v>36.683648788527101</v>
      </c>
      <c r="N2068">
        <v>61.097334738833702</v>
      </c>
      <c r="O2068">
        <v>60.465419571327203</v>
      </c>
      <c r="P2068">
        <v>-0.13362853704691999</v>
      </c>
      <c r="Q2068">
        <v>0.11896641266076299</v>
      </c>
      <c r="R2068">
        <v>0.99444300830103305</v>
      </c>
      <c r="S2068" t="s">
        <v>9071</v>
      </c>
      <c r="T2068" t="s">
        <v>14004</v>
      </c>
      <c r="U2068" t="s">
        <v>14004</v>
      </c>
      <c r="V2068" t="s">
        <v>14004</v>
      </c>
      <c r="W2068" t="s">
        <v>16036</v>
      </c>
      <c r="X2068">
        <v>39</v>
      </c>
      <c r="Y2068" t="s">
        <v>22945</v>
      </c>
      <c r="Z2068" t="s">
        <v>29778</v>
      </c>
      <c r="AA2068">
        <v>0.72914607877606263</v>
      </c>
      <c r="AB2068" t="str">
        <f>HYPERLINK("Melting_Curves/meltCurve_P07384_CAPN1.pdf", "Melting_Curves/meltCurve_P07384_CAPN1.pdf")</f>
        <v>Melting_Curves/meltCurve_P07384_CAPN1.pdf</v>
      </c>
    </row>
    <row r="2069" spans="1:28" x14ac:dyDescent="0.25">
      <c r="A2069" t="s">
        <v>2073</v>
      </c>
      <c r="B2069">
        <v>0.99999676499088797</v>
      </c>
      <c r="C2069">
        <v>0.99398812167609396</v>
      </c>
      <c r="D2069">
        <v>0.99453816688066299</v>
      </c>
      <c r="E2069">
        <v>1.08047494644145</v>
      </c>
      <c r="F2069">
        <v>1.02961498182053</v>
      </c>
      <c r="G2069">
        <v>0.74104110632347098</v>
      </c>
      <c r="H2069">
        <v>0.19940476147630801</v>
      </c>
      <c r="I2069">
        <v>0.13428846356038401</v>
      </c>
      <c r="J2069">
        <v>0.105748232357656</v>
      </c>
      <c r="K2069">
        <v>9.0363858285595899E-2</v>
      </c>
      <c r="L2069">
        <v>2721.05176092279</v>
      </c>
      <c r="M2069">
        <v>46.975911107362997</v>
      </c>
      <c r="N2069">
        <v>58.223477230307701</v>
      </c>
      <c r="O2069">
        <v>57.8197436328485</v>
      </c>
      <c r="P2069">
        <v>-0.18134108645385999</v>
      </c>
      <c r="Q2069">
        <v>0.107195122639424</v>
      </c>
      <c r="R2069">
        <v>0.99486408052914299</v>
      </c>
      <c r="S2069" t="s">
        <v>9072</v>
      </c>
      <c r="T2069" t="s">
        <v>14004</v>
      </c>
      <c r="U2069" t="s">
        <v>14004</v>
      </c>
      <c r="V2069" t="s">
        <v>14004</v>
      </c>
      <c r="W2069" t="s">
        <v>16037</v>
      </c>
      <c r="X2069">
        <v>22</v>
      </c>
      <c r="Y2069" t="s">
        <v>22946</v>
      </c>
      <c r="Z2069" t="s">
        <v>29779</v>
      </c>
      <c r="AA2069">
        <v>0.6431975355858135</v>
      </c>
      <c r="AB2069" t="str">
        <f>HYPERLINK("Melting_Curves/meltCurve_P07686_HEXB.pdf", "Melting_Curves/meltCurve_P07686_HEXB.pdf")</f>
        <v>Melting_Curves/meltCurve_P07686_HEXB.pdf</v>
      </c>
    </row>
    <row r="2070" spans="1:28" x14ac:dyDescent="0.25">
      <c r="A2070" t="s">
        <v>2074</v>
      </c>
      <c r="B2070">
        <v>0.99999676499088797</v>
      </c>
      <c r="C2070">
        <v>1.06834078482383</v>
      </c>
      <c r="D2070">
        <v>0.91790396805908903</v>
      </c>
      <c r="E2070">
        <v>0.77528577472543703</v>
      </c>
      <c r="F2070">
        <v>0.43031405862060201</v>
      </c>
      <c r="G2070">
        <v>0.19146803598402601</v>
      </c>
      <c r="H2070">
        <v>9.5365949407533096E-2</v>
      </c>
      <c r="I2070">
        <v>9.1627752230962006E-2</v>
      </c>
      <c r="J2070">
        <v>9.2792164331247803E-2</v>
      </c>
      <c r="K2070">
        <v>8.1148846335735603E-2</v>
      </c>
      <c r="L2070">
        <v>1182.3919605577</v>
      </c>
      <c r="M2070">
        <v>22.726957301890099</v>
      </c>
      <c r="N2070">
        <v>52.409151224749699</v>
      </c>
      <c r="O2070">
        <v>51.628192195278203</v>
      </c>
      <c r="P2070">
        <v>-0.101629115026973</v>
      </c>
      <c r="Q2070">
        <v>7.6546070359725299E-2</v>
      </c>
      <c r="R2070">
        <v>0.99527008385066895</v>
      </c>
      <c r="S2070" t="s">
        <v>9073</v>
      </c>
      <c r="T2070" t="s">
        <v>14004</v>
      </c>
      <c r="U2070" t="s">
        <v>14004</v>
      </c>
      <c r="V2070" t="s">
        <v>14004</v>
      </c>
      <c r="W2070" t="s">
        <v>16038</v>
      </c>
      <c r="X2070">
        <v>19</v>
      </c>
      <c r="Y2070" t="s">
        <v>22947</v>
      </c>
      <c r="Z2070" t="s">
        <v>29780</v>
      </c>
      <c r="AA2070">
        <v>0.45683410784151579</v>
      </c>
      <c r="AB2070" t="str">
        <f>HYPERLINK("Melting_Curves/meltCurve_P07737_PFN1.pdf", "Melting_Curves/meltCurve_P07737_PFN1.pdf")</f>
        <v>Melting_Curves/meltCurve_P07737_PFN1.pdf</v>
      </c>
    </row>
    <row r="2071" spans="1:28" x14ac:dyDescent="0.25">
      <c r="A2071" t="s">
        <v>2075</v>
      </c>
      <c r="B2071">
        <v>0.99999676499088797</v>
      </c>
      <c r="C2071">
        <v>1.0306425106669299</v>
      </c>
      <c r="D2071">
        <v>1.0056063404054301</v>
      </c>
      <c r="E2071">
        <v>1.0584669587750899</v>
      </c>
      <c r="F2071">
        <v>0.89922140861863398</v>
      </c>
      <c r="G2071">
        <v>0.53960066098112303</v>
      </c>
      <c r="H2071">
        <v>0.27912889347166497</v>
      </c>
      <c r="I2071">
        <v>0.194666102501004</v>
      </c>
      <c r="J2071">
        <v>0.196690917302839</v>
      </c>
      <c r="K2071">
        <v>0.16138675976039801</v>
      </c>
      <c r="L2071">
        <v>1813.98262421961</v>
      </c>
      <c r="M2071">
        <v>32.134739355542898</v>
      </c>
      <c r="N2071">
        <v>57.252146091362697</v>
      </c>
      <c r="O2071">
        <v>56.232013470582103</v>
      </c>
      <c r="P2071">
        <v>-0.116953096534906</v>
      </c>
      <c r="Q2071">
        <v>0.18138742277182501</v>
      </c>
      <c r="R2071">
        <v>0.99518233300321901</v>
      </c>
      <c r="S2071" t="s">
        <v>9074</v>
      </c>
      <c r="T2071" t="s">
        <v>14004</v>
      </c>
      <c r="U2071" t="s">
        <v>14004</v>
      </c>
      <c r="V2071" t="s">
        <v>14004</v>
      </c>
      <c r="W2071" t="s">
        <v>16039</v>
      </c>
      <c r="X2071">
        <v>9</v>
      </c>
      <c r="Y2071" t="s">
        <v>22948</v>
      </c>
      <c r="Z2071" t="s">
        <v>29781</v>
      </c>
      <c r="AA2071">
        <v>0.63505599430962401</v>
      </c>
      <c r="AB2071" t="str">
        <f>HYPERLINK("Melting_Curves/meltCurve_P07738_BPGM.pdf", "Melting_Curves/meltCurve_P07738_BPGM.pdf")</f>
        <v>Melting_Curves/meltCurve_P07738_BPGM.pdf</v>
      </c>
    </row>
    <row r="2072" spans="1:28" x14ac:dyDescent="0.25">
      <c r="A2072" t="s">
        <v>2076</v>
      </c>
      <c r="B2072">
        <v>0.99999676499088797</v>
      </c>
      <c r="C2072">
        <v>0.88484977518076502</v>
      </c>
      <c r="D2072">
        <v>0.90273574486144303</v>
      </c>
      <c r="E2072">
        <v>0.835432516701894</v>
      </c>
      <c r="F2072">
        <v>0.88740827439547698</v>
      </c>
      <c r="G2072">
        <v>0.65387045289652801</v>
      </c>
      <c r="H2072">
        <v>0.36597543151668899</v>
      </c>
      <c r="I2072">
        <v>0.19142905355963999</v>
      </c>
      <c r="J2072">
        <v>0.112508581882463</v>
      </c>
      <c r="K2072">
        <v>9.3565951830025001E-2</v>
      </c>
      <c r="L2072">
        <v>901.58938670348903</v>
      </c>
      <c r="M2072">
        <v>15.353302554252201</v>
      </c>
      <c r="N2072">
        <v>58.722831086935699</v>
      </c>
      <c r="O2072">
        <v>57.7536471581207</v>
      </c>
      <c r="P2072">
        <v>-6.6466433271236497E-2</v>
      </c>
      <c r="Q2072">
        <v>0</v>
      </c>
      <c r="R2072">
        <v>0.96939344512154901</v>
      </c>
      <c r="S2072" t="s">
        <v>9075</v>
      </c>
      <c r="T2072" t="s">
        <v>14004</v>
      </c>
      <c r="U2072" t="s">
        <v>14004</v>
      </c>
      <c r="V2072" t="s">
        <v>14004</v>
      </c>
      <c r="W2072" t="s">
        <v>16040</v>
      </c>
      <c r="X2072">
        <v>14</v>
      </c>
      <c r="Y2072" t="s">
        <v>22949</v>
      </c>
      <c r="Z2072" t="s">
        <v>29782</v>
      </c>
      <c r="AA2072">
        <v>0.63550909161197855</v>
      </c>
      <c r="AB2072" t="str">
        <f>HYPERLINK("Melting_Curves/meltCurve_P07741_APRT.pdf", "Melting_Curves/meltCurve_P07741_APRT.pdf")</f>
        <v>Melting_Curves/meltCurve_P07741_APRT.pdf</v>
      </c>
    </row>
    <row r="2073" spans="1:28" x14ac:dyDescent="0.25">
      <c r="A2073" t="s">
        <v>2077</v>
      </c>
      <c r="B2073">
        <v>0.99999676499088797</v>
      </c>
      <c r="C2073">
        <v>1.04209750011623</v>
      </c>
      <c r="D2073">
        <v>0.81889616275256205</v>
      </c>
      <c r="E2073">
        <v>0.34889162512705701</v>
      </c>
      <c r="F2073">
        <v>0.27230723326812201</v>
      </c>
      <c r="G2073">
        <v>0.21731021013850399</v>
      </c>
      <c r="H2073">
        <v>0.142311497387553</v>
      </c>
      <c r="I2073">
        <v>0.121086058878808</v>
      </c>
      <c r="J2073">
        <v>9.1694771507552106E-2</v>
      </c>
      <c r="K2073">
        <v>7.61307204041132E-2</v>
      </c>
      <c r="L2073">
        <v>1363.49735854921</v>
      </c>
      <c r="M2073">
        <v>28.361393357402498</v>
      </c>
      <c r="N2073">
        <v>48.624386513286701</v>
      </c>
      <c r="O2073">
        <v>47.838723440780498</v>
      </c>
      <c r="P2073">
        <v>-0.127922433135467</v>
      </c>
      <c r="Q2073">
        <v>0.13691197447947301</v>
      </c>
      <c r="R2073">
        <v>0.98182619091166401</v>
      </c>
      <c r="S2073" t="s">
        <v>9076</v>
      </c>
      <c r="T2073" t="s">
        <v>14004</v>
      </c>
      <c r="U2073" t="s">
        <v>14004</v>
      </c>
      <c r="V2073" t="s">
        <v>14004</v>
      </c>
      <c r="W2073" t="s">
        <v>16041</v>
      </c>
      <c r="X2073">
        <v>43</v>
      </c>
      <c r="Y2073" t="s">
        <v>22950</v>
      </c>
      <c r="Z2073" t="s">
        <v>29783</v>
      </c>
      <c r="AA2073">
        <v>0.37509625632237797</v>
      </c>
      <c r="AB2073" t="str">
        <f>HYPERLINK("Melting_Curves/meltCurve_P07814_EPRS.pdf", "Melting_Curves/meltCurve_P07814_EPRS.pdf")</f>
        <v>Melting_Curves/meltCurve_P07814_EPRS.pdf</v>
      </c>
    </row>
    <row r="2074" spans="1:28" x14ac:dyDescent="0.25">
      <c r="A2074" t="s">
        <v>2078</v>
      </c>
      <c r="B2074">
        <v>0.99999676499088797</v>
      </c>
      <c r="C2074">
        <v>0.98513889697541701</v>
      </c>
      <c r="D2074">
        <v>0.98333675393588105</v>
      </c>
      <c r="E2074">
        <v>1.0049097045609101</v>
      </c>
      <c r="F2074">
        <v>0.74537363283916802</v>
      </c>
      <c r="G2074">
        <v>0.51652714561947799</v>
      </c>
      <c r="H2074">
        <v>0.30990384678576999</v>
      </c>
      <c r="I2074">
        <v>0.304237983849803</v>
      </c>
      <c r="J2074">
        <v>0.26485967341347</v>
      </c>
      <c r="K2074">
        <v>0.30064513067675003</v>
      </c>
      <c r="L2074">
        <v>1420.2458239067801</v>
      </c>
      <c r="M2074">
        <v>25.887708373045701</v>
      </c>
      <c r="N2074">
        <v>56.641737942226598</v>
      </c>
      <c r="O2074">
        <v>54.537548305145997</v>
      </c>
      <c r="P2074">
        <v>-8.5638429320628304E-2</v>
      </c>
      <c r="Q2074">
        <v>0.27835159869637</v>
      </c>
      <c r="R2074">
        <v>0.99423431058404299</v>
      </c>
      <c r="S2074" t="s">
        <v>9077</v>
      </c>
      <c r="T2074" t="s">
        <v>14004</v>
      </c>
      <c r="U2074" t="s">
        <v>14004</v>
      </c>
      <c r="V2074" t="s">
        <v>14004</v>
      </c>
      <c r="W2074" t="s">
        <v>16042</v>
      </c>
      <c r="X2074">
        <v>11</v>
      </c>
      <c r="Y2074" t="s">
        <v>22951</v>
      </c>
      <c r="Z2074" t="s">
        <v>29784</v>
      </c>
      <c r="AA2074">
        <v>0.64212872225170325</v>
      </c>
      <c r="AB2074" t="str">
        <f>HYPERLINK("Melting_Curves/meltCurve_P07858_CTSB.pdf", "Melting_Curves/meltCurve_P07858_CTSB.pdf")</f>
        <v>Melting_Curves/meltCurve_P07858_CTSB.pdf</v>
      </c>
    </row>
    <row r="2075" spans="1:28" x14ac:dyDescent="0.25">
      <c r="A2075" t="s">
        <v>2079</v>
      </c>
      <c r="B2075">
        <v>0.99999676499088797</v>
      </c>
      <c r="C2075">
        <v>0.86264744888713596</v>
      </c>
      <c r="D2075">
        <v>0.80534081089281695</v>
      </c>
      <c r="E2075">
        <v>0.655621597986213</v>
      </c>
      <c r="F2075">
        <v>0.18295075177101899</v>
      </c>
      <c r="G2075">
        <v>0.124926110150039</v>
      </c>
      <c r="H2075">
        <v>6.2169487542777097E-2</v>
      </c>
      <c r="I2075">
        <v>5.6542269973662899E-2</v>
      </c>
      <c r="J2075">
        <v>5.1825104891554598E-2</v>
      </c>
      <c r="K2075">
        <v>4.9982374429403703E-2</v>
      </c>
      <c r="L2075">
        <v>950.96968057282299</v>
      </c>
      <c r="M2075">
        <v>19.009252249764799</v>
      </c>
      <c r="N2075">
        <v>50.208053127760799</v>
      </c>
      <c r="O2075">
        <v>49.482918894402196</v>
      </c>
      <c r="P2075">
        <v>-9.2856269532836794E-2</v>
      </c>
      <c r="Q2075">
        <v>3.3183370865028101E-2</v>
      </c>
      <c r="R2075">
        <v>0.97934415650806395</v>
      </c>
      <c r="S2075" t="s">
        <v>9078</v>
      </c>
      <c r="T2075" t="s">
        <v>14004</v>
      </c>
      <c r="U2075" t="s">
        <v>14004</v>
      </c>
      <c r="V2075" t="s">
        <v>14004</v>
      </c>
      <c r="W2075" t="s">
        <v>16043</v>
      </c>
      <c r="X2075">
        <v>80</v>
      </c>
      <c r="Y2075" t="s">
        <v>22952</v>
      </c>
      <c r="Z2075" t="s">
        <v>29785</v>
      </c>
      <c r="AA2075">
        <v>0.37116524091628028</v>
      </c>
      <c r="AB2075" t="str">
        <f>HYPERLINK("Melting_Curves/meltCurve_P07900_HSP90AA1.pdf", "Melting_Curves/meltCurve_P07900_HSP90AA1.pdf")</f>
        <v>Melting_Curves/meltCurve_P07900_HSP90AA1.pdf</v>
      </c>
    </row>
    <row r="2076" spans="1:28" x14ac:dyDescent="0.25">
      <c r="A2076" t="s">
        <v>2080</v>
      </c>
      <c r="B2076">
        <v>0.99999676499088797</v>
      </c>
      <c r="C2076">
        <v>1.06973245112854</v>
      </c>
      <c r="D2076">
        <v>1.1051836957447201</v>
      </c>
      <c r="E2076">
        <v>1.0464673458112499</v>
      </c>
      <c r="F2076">
        <v>0.86329358473779805</v>
      </c>
      <c r="G2076">
        <v>0.39906408137176702</v>
      </c>
      <c r="H2076">
        <v>0.16736456564382199</v>
      </c>
      <c r="I2076">
        <v>0.15049219977862399</v>
      </c>
      <c r="J2076">
        <v>0.13368116846297001</v>
      </c>
      <c r="K2076">
        <v>0.11289980009304799</v>
      </c>
      <c r="L2076">
        <v>2143.9066118170699</v>
      </c>
      <c r="M2076">
        <v>38.5573896746115</v>
      </c>
      <c r="N2076">
        <v>56.046676662730199</v>
      </c>
      <c r="O2076">
        <v>55.454065663304299</v>
      </c>
      <c r="P2076">
        <v>-0.15096393372216599</v>
      </c>
      <c r="Q2076">
        <v>0.131523803403226</v>
      </c>
      <c r="R2076">
        <v>0.98905311463447798</v>
      </c>
      <c r="S2076" t="s">
        <v>9079</v>
      </c>
      <c r="T2076" t="s">
        <v>14004</v>
      </c>
      <c r="U2076" t="s">
        <v>14004</v>
      </c>
      <c r="V2076" t="s">
        <v>14004</v>
      </c>
      <c r="W2076" t="s">
        <v>16044</v>
      </c>
      <c r="X2076">
        <v>6</v>
      </c>
      <c r="Y2076" t="s">
        <v>22953</v>
      </c>
      <c r="Z2076" t="s">
        <v>29786</v>
      </c>
      <c r="AA2076">
        <v>0.58678867159701842</v>
      </c>
      <c r="AB2076" t="str">
        <f>HYPERLINK("Melting_Curves/meltCurve_P07902_GALT.pdf", "Melting_Curves/meltCurve_P07902_GALT.pdf")</f>
        <v>Melting_Curves/meltCurve_P07902_GALT.pdf</v>
      </c>
    </row>
    <row r="2077" spans="1:28" x14ac:dyDescent="0.25">
      <c r="A2077" t="s">
        <v>2081</v>
      </c>
      <c r="B2077">
        <v>0.99999676499088797</v>
      </c>
      <c r="C2077">
        <v>1.11331478758305</v>
      </c>
      <c r="D2077">
        <v>1.00068250698225</v>
      </c>
      <c r="E2077">
        <v>0.52290979065789001</v>
      </c>
      <c r="F2077">
        <v>0.40929077068266601</v>
      </c>
      <c r="G2077">
        <v>0.42711039584777399</v>
      </c>
      <c r="H2077">
        <v>0.26285052996081099</v>
      </c>
      <c r="I2077">
        <v>0.46051589311482199</v>
      </c>
      <c r="J2077">
        <v>0.55623820330255602</v>
      </c>
      <c r="K2077">
        <v>0.180712055152534</v>
      </c>
      <c r="L2077">
        <v>4018.9286757335599</v>
      </c>
      <c r="M2077">
        <v>82.247653778844096</v>
      </c>
      <c r="N2077">
        <v>49.740138962179302</v>
      </c>
      <c r="O2077">
        <v>48.834892968991099</v>
      </c>
      <c r="P2077">
        <v>-0.25994973735326599</v>
      </c>
      <c r="Q2077">
        <v>0.38261515832781501</v>
      </c>
      <c r="R2077">
        <v>0.88947947317145304</v>
      </c>
      <c r="S2077" t="s">
        <v>9080</v>
      </c>
      <c r="T2077" t="s">
        <v>14004</v>
      </c>
      <c r="U2077" t="s">
        <v>14004</v>
      </c>
      <c r="V2077" t="s">
        <v>14004</v>
      </c>
      <c r="W2077" t="s">
        <v>16045</v>
      </c>
      <c r="X2077">
        <v>8</v>
      </c>
      <c r="Y2077" t="s">
        <v>22954</v>
      </c>
      <c r="Z2077" t="s">
        <v>29787</v>
      </c>
      <c r="AA2077">
        <v>0.56551667881087764</v>
      </c>
      <c r="AB2077" t="str">
        <f>HYPERLINK("Melting_Curves/meltCurve_P07919_UQCRH.pdf", "Melting_Curves/meltCurve_P07919_UQCRH.pdf")</f>
        <v>Melting_Curves/meltCurve_P07919_UQCRH.pdf</v>
      </c>
    </row>
    <row r="2078" spans="1:28" x14ac:dyDescent="0.25">
      <c r="A2078" t="s">
        <v>2082</v>
      </c>
      <c r="B2078">
        <v>0.99999676499088797</v>
      </c>
      <c r="C2078">
        <v>1.0213011402669601</v>
      </c>
      <c r="D2078">
        <v>0.99146608297302197</v>
      </c>
      <c r="E2078">
        <v>0.92752865530502504</v>
      </c>
      <c r="F2078">
        <v>0.76564767142466095</v>
      </c>
      <c r="G2078">
        <v>0.19047093319101599</v>
      </c>
      <c r="H2078">
        <v>7.4483292290226905E-2</v>
      </c>
      <c r="I2078">
        <v>6.9193609494968E-2</v>
      </c>
      <c r="J2078">
        <v>6.3695405170050706E-2</v>
      </c>
      <c r="K2078">
        <v>5.9345703851292599E-2</v>
      </c>
      <c r="L2078">
        <v>2367.3476367499502</v>
      </c>
      <c r="M2078">
        <v>43.451818622214603</v>
      </c>
      <c r="N2078">
        <v>54.649708488810496</v>
      </c>
      <c r="O2078">
        <v>54.367117066130199</v>
      </c>
      <c r="P2078">
        <v>-0.187345336896831</v>
      </c>
      <c r="Q2078">
        <v>6.2372072600683101E-2</v>
      </c>
      <c r="R2078">
        <v>0.99770576714971104</v>
      </c>
      <c r="S2078" t="s">
        <v>9081</v>
      </c>
      <c r="T2078" t="s">
        <v>14004</v>
      </c>
      <c r="U2078" t="s">
        <v>14004</v>
      </c>
      <c r="V2078" t="s">
        <v>14004</v>
      </c>
      <c r="W2078" t="s">
        <v>16046</v>
      </c>
      <c r="X2078">
        <v>30</v>
      </c>
      <c r="Y2078" t="s">
        <v>22955</v>
      </c>
      <c r="Z2078" t="s">
        <v>29788</v>
      </c>
      <c r="AA2078">
        <v>0.51798502218808518</v>
      </c>
      <c r="AB2078" t="str">
        <f>HYPERLINK("Melting_Curves/meltCurve_P07954_2_FH.pdf", "Melting_Curves/meltCurve_P07954_2_FH.pdf")</f>
        <v>Melting_Curves/meltCurve_P07954_2_FH.pdf</v>
      </c>
    </row>
    <row r="2079" spans="1:28" x14ac:dyDescent="0.25">
      <c r="A2079" t="s">
        <v>2083</v>
      </c>
      <c r="B2079">
        <v>0.99999676499088797</v>
      </c>
      <c r="C2079">
        <v>0.95753167992385602</v>
      </c>
      <c r="D2079">
        <v>0.79276699627400105</v>
      </c>
      <c r="E2079">
        <v>0.49725628156669199</v>
      </c>
      <c r="F2079">
        <v>0.29788708107742701</v>
      </c>
      <c r="G2079">
        <v>0.20009681138702601</v>
      </c>
      <c r="H2079">
        <v>0.12484827309190299</v>
      </c>
      <c r="I2079">
        <v>0.17254984874500601</v>
      </c>
      <c r="J2079">
        <v>0.19392060462985899</v>
      </c>
      <c r="K2079">
        <v>0.19084376283828</v>
      </c>
      <c r="L2079">
        <v>1009.58577737348</v>
      </c>
      <c r="M2079">
        <v>20.7821670439107</v>
      </c>
      <c r="N2079">
        <v>49.545393252033598</v>
      </c>
      <c r="O2079">
        <v>48.136342217567297</v>
      </c>
      <c r="P2079">
        <v>-8.9957633656929506E-2</v>
      </c>
      <c r="Q2079">
        <v>0.16657204293773201</v>
      </c>
      <c r="R2079">
        <v>0.99580460194547604</v>
      </c>
      <c r="S2079" t="s">
        <v>9082</v>
      </c>
      <c r="T2079" t="s">
        <v>14004</v>
      </c>
      <c r="U2079" t="s">
        <v>14004</v>
      </c>
      <c r="V2079" t="s">
        <v>14004</v>
      </c>
      <c r="W2079" t="s">
        <v>16047</v>
      </c>
      <c r="X2079">
        <v>14</v>
      </c>
      <c r="Y2079" t="s">
        <v>22956</v>
      </c>
      <c r="Z2079" t="s">
        <v>29789</v>
      </c>
      <c r="AA2079">
        <v>0.41574937480948532</v>
      </c>
      <c r="AB2079" t="str">
        <f>HYPERLINK("Melting_Curves/meltCurve_P08047_SP1.pdf", "Melting_Curves/meltCurve_P08047_SP1.pdf")</f>
        <v>Melting_Curves/meltCurve_P08047_SP1.pdf</v>
      </c>
    </row>
    <row r="2080" spans="1:28" x14ac:dyDescent="0.25">
      <c r="A2080" t="s">
        <v>2084</v>
      </c>
      <c r="B2080">
        <v>0.99999676499088797</v>
      </c>
      <c r="C2080">
        <v>0.97331032745037804</v>
      </c>
      <c r="D2080">
        <v>0.94484172666823996</v>
      </c>
      <c r="E2080">
        <v>0.80514749928161899</v>
      </c>
      <c r="F2080">
        <v>0.78461892932760402</v>
      </c>
      <c r="G2080">
        <v>0.63196092200820797</v>
      </c>
      <c r="H2080">
        <v>0.26598819898450998</v>
      </c>
      <c r="I2080">
        <v>0.125840082015933</v>
      </c>
      <c r="J2080">
        <v>9.8501804997426806E-2</v>
      </c>
      <c r="K2080">
        <v>8.0620948866912706E-2</v>
      </c>
      <c r="L2080">
        <v>863.68699002073595</v>
      </c>
      <c r="M2080">
        <v>15.0299036799811</v>
      </c>
      <c r="N2080">
        <v>57.464572615936703</v>
      </c>
      <c r="O2080">
        <v>56.476085233522802</v>
      </c>
      <c r="P2080">
        <v>-6.6538829017715795E-2</v>
      </c>
      <c r="Q2080">
        <v>0</v>
      </c>
      <c r="R2080">
        <v>0.98058215853853903</v>
      </c>
      <c r="S2080" t="s">
        <v>9083</v>
      </c>
      <c r="T2080" t="s">
        <v>14004</v>
      </c>
      <c r="U2080" t="s">
        <v>14004</v>
      </c>
      <c r="V2080" t="s">
        <v>14004</v>
      </c>
      <c r="W2080" t="s">
        <v>16048</v>
      </c>
      <c r="X2080">
        <v>47</v>
      </c>
      <c r="Y2080" t="s">
        <v>22957</v>
      </c>
      <c r="Z2080" t="s">
        <v>29790</v>
      </c>
      <c r="AA2080">
        <v>0.59691396058177559</v>
      </c>
      <c r="AB2080" t="str">
        <f>HYPERLINK("Melting_Curves/meltCurve_P08107_HSPA1A.pdf", "Melting_Curves/meltCurve_P08107_HSPA1A.pdf")</f>
        <v>Melting_Curves/meltCurve_P08107_HSPA1A.pdf</v>
      </c>
    </row>
    <row r="2081" spans="1:28" x14ac:dyDescent="0.25">
      <c r="A2081" t="s">
        <v>2085</v>
      </c>
      <c r="B2081">
        <v>0.99999676499088797</v>
      </c>
      <c r="C2081">
        <v>0.93832220194272098</v>
      </c>
      <c r="D2081">
        <v>0.840756281722704</v>
      </c>
      <c r="E2081">
        <v>0.47351344411130603</v>
      </c>
      <c r="F2081">
        <v>0.198058157176984</v>
      </c>
      <c r="G2081">
        <v>0.14699497140127199</v>
      </c>
      <c r="H2081">
        <v>7.1775521073637605E-2</v>
      </c>
      <c r="I2081">
        <v>6.93668671602332E-2</v>
      </c>
      <c r="J2081">
        <v>5.8957504355807801E-2</v>
      </c>
      <c r="K2081">
        <v>4.7416003779841398E-2</v>
      </c>
      <c r="L2081">
        <v>1058.79946406871</v>
      </c>
      <c r="M2081">
        <v>21.559489040565101</v>
      </c>
      <c r="N2081">
        <v>49.410256440161199</v>
      </c>
      <c r="O2081">
        <v>48.693939392889199</v>
      </c>
      <c r="P2081">
        <v>-0.103908106430896</v>
      </c>
      <c r="Q2081">
        <v>6.1281586982797898E-2</v>
      </c>
      <c r="R2081">
        <v>0.998018869318409</v>
      </c>
      <c r="S2081" t="s">
        <v>9084</v>
      </c>
      <c r="T2081" t="s">
        <v>14004</v>
      </c>
      <c r="U2081" t="s">
        <v>14004</v>
      </c>
      <c r="V2081" t="s">
        <v>14004</v>
      </c>
      <c r="W2081" t="s">
        <v>16049</v>
      </c>
      <c r="X2081">
        <v>63</v>
      </c>
      <c r="Y2081" t="s">
        <v>21002</v>
      </c>
      <c r="Z2081" t="s">
        <v>29791</v>
      </c>
      <c r="AA2081">
        <v>0.35763449489466781</v>
      </c>
      <c r="AB2081" t="str">
        <f>HYPERLINK("Melting_Curves/meltCurve_P08133_ANXA6.pdf", "Melting_Curves/meltCurve_P08133_ANXA6.pdf")</f>
        <v>Melting_Curves/meltCurve_P08133_ANXA6.pdf</v>
      </c>
    </row>
    <row r="2082" spans="1:28" x14ac:dyDescent="0.25">
      <c r="A2082" t="s">
        <v>2086</v>
      </c>
      <c r="B2082">
        <v>0.99999676499088797</v>
      </c>
      <c r="C2082">
        <v>0.97514738498724296</v>
      </c>
      <c r="D2082">
        <v>0.99279276284997398</v>
      </c>
      <c r="E2082">
        <v>1.14425282826771</v>
      </c>
      <c r="F2082">
        <v>1.21287156704785</v>
      </c>
      <c r="G2082">
        <v>1.1259941866274601</v>
      </c>
      <c r="H2082">
        <v>0.617008749358811</v>
      </c>
      <c r="I2082">
        <v>0.47729752275828302</v>
      </c>
      <c r="J2082">
        <v>0.31804603947002102</v>
      </c>
      <c r="K2082">
        <v>0.41831099723535797</v>
      </c>
      <c r="L2082">
        <v>6208.6328802848802</v>
      </c>
      <c r="M2082">
        <v>102.686905225589</v>
      </c>
      <c r="N2082">
        <v>61.445929051461498</v>
      </c>
      <c r="O2082">
        <v>60.438859365850099</v>
      </c>
      <c r="P2082">
        <v>-0.25338241004597101</v>
      </c>
      <c r="Q2082">
        <v>0.40346269176369198</v>
      </c>
      <c r="R2082">
        <v>0.90546839487310704</v>
      </c>
      <c r="S2082" t="s">
        <v>9085</v>
      </c>
      <c r="T2082" t="s">
        <v>14004</v>
      </c>
      <c r="U2082" t="s">
        <v>14004</v>
      </c>
      <c r="V2082" t="s">
        <v>14004</v>
      </c>
      <c r="W2082" t="s">
        <v>16050</v>
      </c>
      <c r="X2082">
        <v>6</v>
      </c>
      <c r="Y2082" t="s">
        <v>22958</v>
      </c>
      <c r="Z2082" t="s">
        <v>29792</v>
      </c>
      <c r="AA2082">
        <v>0.81071207156961</v>
      </c>
      <c r="AB2082" t="str">
        <f>HYPERLINK("Melting_Curves/meltCurve_P08237_PFKM.pdf", "Melting_Curves/meltCurve_P08237_PFKM.pdf")</f>
        <v>Melting_Curves/meltCurve_P08237_PFKM.pdf</v>
      </c>
    </row>
    <row r="2083" spans="1:28" x14ac:dyDescent="0.25">
      <c r="A2083" t="s">
        <v>2087</v>
      </c>
      <c r="B2083">
        <v>0.99999676499088797</v>
      </c>
      <c r="C2083">
        <v>0.88827708164160202</v>
      </c>
      <c r="D2083">
        <v>0.75184438778121598</v>
      </c>
      <c r="E2083">
        <v>0.62917249523271501</v>
      </c>
      <c r="F2083">
        <v>0.19353626605905599</v>
      </c>
      <c r="G2083">
        <v>0.13380573362411</v>
      </c>
      <c r="H2083">
        <v>6.6334406968819898E-2</v>
      </c>
      <c r="I2083">
        <v>6.0538503085057899E-2</v>
      </c>
      <c r="J2083">
        <v>5.7249698075189301E-2</v>
      </c>
      <c r="K2083">
        <v>5.2604061503250102E-2</v>
      </c>
      <c r="L2083">
        <v>832.79792328354802</v>
      </c>
      <c r="M2083">
        <v>16.751988077422901</v>
      </c>
      <c r="N2083">
        <v>49.905821427353203</v>
      </c>
      <c r="O2083">
        <v>49.021165341459003</v>
      </c>
      <c r="P2083">
        <v>-8.2765710268927706E-2</v>
      </c>
      <c r="Q2083">
        <v>3.1277742450647399E-2</v>
      </c>
      <c r="R2083">
        <v>0.98310637187153604</v>
      </c>
      <c r="S2083" t="s">
        <v>9086</v>
      </c>
      <c r="T2083" t="s">
        <v>14004</v>
      </c>
      <c r="U2083" t="s">
        <v>14004</v>
      </c>
      <c r="V2083" t="s">
        <v>14004</v>
      </c>
      <c r="W2083" t="s">
        <v>16051</v>
      </c>
      <c r="X2083">
        <v>77</v>
      </c>
      <c r="Y2083" t="s">
        <v>22959</v>
      </c>
      <c r="Z2083" t="s">
        <v>29793</v>
      </c>
      <c r="AA2083">
        <v>0.36394834057621089</v>
      </c>
      <c r="AB2083" t="str">
        <f>HYPERLINK("Melting_Curves/meltCurve_P08238_HSP90AB1.pdf", "Melting_Curves/meltCurve_P08238_HSP90AB1.pdf")</f>
        <v>Melting_Curves/meltCurve_P08238_HSP90AB1.pdf</v>
      </c>
    </row>
    <row r="2084" spans="1:28" x14ac:dyDescent="0.25">
      <c r="A2084" t="s">
        <v>2088</v>
      </c>
      <c r="B2084">
        <v>0.99999676499088797</v>
      </c>
      <c r="C2084">
        <v>0.94959858049743695</v>
      </c>
      <c r="D2084">
        <v>0.92108919978135095</v>
      </c>
      <c r="E2084">
        <v>0.71749810999271701</v>
      </c>
      <c r="F2084">
        <v>0.26135996794345201</v>
      </c>
      <c r="G2084">
        <v>0.16181537789578199</v>
      </c>
      <c r="H2084">
        <v>7.5172699638467594E-2</v>
      </c>
      <c r="I2084">
        <v>6.0542698918621997E-2</v>
      </c>
      <c r="J2084">
        <v>5.5932482729056897E-2</v>
      </c>
      <c r="K2084">
        <v>3.0696523362515299E-2</v>
      </c>
      <c r="L2084">
        <v>1288.2874349951701</v>
      </c>
      <c r="M2084">
        <v>25.259453416734999</v>
      </c>
      <c r="N2084">
        <v>51.232850595242098</v>
      </c>
      <c r="O2084">
        <v>50.685748600938098</v>
      </c>
      <c r="P2084">
        <v>-0.117893776268835</v>
      </c>
      <c r="Q2084">
        <v>5.37472032508092E-2</v>
      </c>
      <c r="R2084">
        <v>0.99561960883256495</v>
      </c>
      <c r="S2084" t="s">
        <v>9087</v>
      </c>
      <c r="T2084" t="s">
        <v>14004</v>
      </c>
      <c r="U2084" t="s">
        <v>14004</v>
      </c>
      <c r="V2084" t="s">
        <v>14004</v>
      </c>
      <c r="W2084" t="s">
        <v>16052</v>
      </c>
      <c r="X2084">
        <v>14</v>
      </c>
      <c r="Y2084" t="s">
        <v>22960</v>
      </c>
      <c r="Z2084" t="s">
        <v>29794</v>
      </c>
      <c r="AA2084">
        <v>0.40915221644027522</v>
      </c>
      <c r="AB2084" t="str">
        <f>HYPERLINK("Melting_Curves/meltCurve_P08240_SRPR.pdf", "Melting_Curves/meltCurve_P08240_SRPR.pdf")</f>
        <v>Melting_Curves/meltCurve_P08240_SRPR.pdf</v>
      </c>
    </row>
    <row r="2085" spans="1:28" x14ac:dyDescent="0.25">
      <c r="A2085" t="s">
        <v>2089</v>
      </c>
      <c r="B2085">
        <v>0.99999676499088797</v>
      </c>
      <c r="C2085">
        <v>0.99173485332341405</v>
      </c>
      <c r="D2085">
        <v>1.00850215960705</v>
      </c>
      <c r="E2085">
        <v>1.0980772495184801</v>
      </c>
      <c r="F2085">
        <v>0.90295721537281004</v>
      </c>
      <c r="G2085">
        <v>0.47867805261704399</v>
      </c>
      <c r="H2085">
        <v>0.11551550404535101</v>
      </c>
      <c r="I2085">
        <v>0.105628433523357</v>
      </c>
      <c r="J2085">
        <v>0.104633351435224</v>
      </c>
      <c r="K2085">
        <v>7.5530247120672397E-2</v>
      </c>
      <c r="L2085">
        <v>2268.3902244201499</v>
      </c>
      <c r="M2085">
        <v>40.2579264415468</v>
      </c>
      <c r="N2085">
        <v>56.617517407619601</v>
      </c>
      <c r="O2085">
        <v>56.207907310877502</v>
      </c>
      <c r="P2085">
        <v>-0.16336209116011299</v>
      </c>
      <c r="Q2085">
        <v>8.7660312137504096E-2</v>
      </c>
      <c r="R2085">
        <v>0.99356760010870304</v>
      </c>
      <c r="S2085" t="s">
        <v>9088</v>
      </c>
      <c r="T2085" t="s">
        <v>14004</v>
      </c>
      <c r="U2085" t="s">
        <v>14004</v>
      </c>
      <c r="V2085" t="s">
        <v>14004</v>
      </c>
      <c r="W2085" t="s">
        <v>16053</v>
      </c>
      <c r="X2085">
        <v>21</v>
      </c>
      <c r="Y2085" t="s">
        <v>22961</v>
      </c>
      <c r="Z2085" t="s">
        <v>29795</v>
      </c>
      <c r="AA2085">
        <v>0.58825806479577414</v>
      </c>
      <c r="AB2085" t="str">
        <f>HYPERLINK("Melting_Curves/meltCurve_P08243_2_ASNS.pdf", "Melting_Curves/meltCurve_P08243_2_ASNS.pdf")</f>
        <v>Melting_Curves/meltCurve_P08243_2_ASNS.pdf</v>
      </c>
    </row>
    <row r="2086" spans="1:28" x14ac:dyDescent="0.25">
      <c r="A2086" t="s">
        <v>2090</v>
      </c>
      <c r="B2086">
        <v>0.99999676499088797</v>
      </c>
      <c r="C2086">
        <v>0.98846357402375196</v>
      </c>
      <c r="D2086">
        <v>0.92924194030555296</v>
      </c>
      <c r="E2086">
        <v>0.85806248274041197</v>
      </c>
      <c r="F2086">
        <v>0.85432629862792597</v>
      </c>
      <c r="G2086">
        <v>0.71542503399383905</v>
      </c>
      <c r="H2086">
        <v>0.46063472865277799</v>
      </c>
      <c r="I2086">
        <v>0.50009203522689405</v>
      </c>
      <c r="J2086">
        <v>0.47369667239244401</v>
      </c>
      <c r="K2086">
        <v>0.46601968322270898</v>
      </c>
      <c r="L2086">
        <v>775.198867128909</v>
      </c>
      <c r="M2086">
        <v>13.887981271809601</v>
      </c>
      <c r="N2086">
        <v>63.660709132831499</v>
      </c>
      <c r="O2086">
        <v>54.698868787250497</v>
      </c>
      <c r="P2086">
        <v>-3.74772792535513E-2</v>
      </c>
      <c r="Q2086">
        <v>0.40965230032726002</v>
      </c>
      <c r="R2086">
        <v>0.96033596964255696</v>
      </c>
      <c r="S2086" t="s">
        <v>9089</v>
      </c>
      <c r="T2086" t="s">
        <v>14004</v>
      </c>
      <c r="U2086" t="s">
        <v>14004</v>
      </c>
      <c r="V2086" t="s">
        <v>14004</v>
      </c>
      <c r="W2086" t="s">
        <v>16054</v>
      </c>
      <c r="X2086">
        <v>16</v>
      </c>
      <c r="Y2086" t="s">
        <v>22962</v>
      </c>
      <c r="Z2086" t="s">
        <v>29796</v>
      </c>
      <c r="AA2086">
        <v>0.73226965753080264</v>
      </c>
      <c r="AB2086" t="str">
        <f>HYPERLINK("Melting_Curves/meltCurve_P08397_2_HMBS.pdf", "Melting_Curves/meltCurve_P08397_2_HMBS.pdf")</f>
        <v>Melting_Curves/meltCurve_P08397_2_HMBS.pdf</v>
      </c>
    </row>
    <row r="2087" spans="1:28" x14ac:dyDescent="0.25">
      <c r="A2087" t="s">
        <v>2091</v>
      </c>
      <c r="B2087">
        <v>0.99999676499088797</v>
      </c>
      <c r="C2087">
        <v>0.99453412865915403</v>
      </c>
      <c r="D2087">
        <v>0.79461898411008502</v>
      </c>
      <c r="E2087">
        <v>0.35751036775376099</v>
      </c>
      <c r="F2087">
        <v>0.21902990213837101</v>
      </c>
      <c r="G2087">
        <v>0.170542650492785</v>
      </c>
      <c r="H2087">
        <v>7.8840607460159404E-2</v>
      </c>
      <c r="I2087">
        <v>8.7322754106291797E-2</v>
      </c>
      <c r="J2087">
        <v>8.8031777844316594E-2</v>
      </c>
      <c r="K2087">
        <v>7.2330544908427594E-2</v>
      </c>
      <c r="L2087">
        <v>1210.2168067918301</v>
      </c>
      <c r="M2087">
        <v>25.134718430805499</v>
      </c>
      <c r="N2087">
        <v>48.572048953937298</v>
      </c>
      <c r="O2087">
        <v>47.847528174136798</v>
      </c>
      <c r="P2087">
        <v>-0.11842422785833601</v>
      </c>
      <c r="Q2087">
        <v>9.8262134167391393E-2</v>
      </c>
      <c r="R2087">
        <v>0.993576545927643</v>
      </c>
      <c r="S2087" t="s">
        <v>9090</v>
      </c>
      <c r="T2087" t="s">
        <v>14004</v>
      </c>
      <c r="U2087" t="s">
        <v>14004</v>
      </c>
      <c r="V2087" t="s">
        <v>14004</v>
      </c>
      <c r="W2087" t="s">
        <v>16055</v>
      </c>
      <c r="X2087">
        <v>29</v>
      </c>
      <c r="Y2087" t="s">
        <v>22963</v>
      </c>
      <c r="Z2087" t="s">
        <v>29797</v>
      </c>
      <c r="AA2087">
        <v>0.35108889221269329</v>
      </c>
      <c r="AB2087" t="str">
        <f>HYPERLINK("Melting_Curves/meltCurve_P08559_PDHA1.pdf", "Melting_Curves/meltCurve_P08559_PDHA1.pdf")</f>
        <v>Melting_Curves/meltCurve_P08559_PDHA1.pdf</v>
      </c>
    </row>
    <row r="2088" spans="1:28" x14ac:dyDescent="0.25">
      <c r="A2088" t="s">
        <v>2092</v>
      </c>
      <c r="B2088">
        <v>0.99999676499088797</v>
      </c>
      <c r="C2088">
        <v>1.07199159587658</v>
      </c>
      <c r="D2088">
        <v>0.99922407364402699</v>
      </c>
      <c r="E2088">
        <v>0.97632652408445197</v>
      </c>
      <c r="F2088">
        <v>0.79566139671303004</v>
      </c>
      <c r="G2088">
        <v>0.46840154314185301</v>
      </c>
      <c r="H2088">
        <v>0.316943614229097</v>
      </c>
      <c r="I2088">
        <v>0.25114741500390803</v>
      </c>
      <c r="J2088">
        <v>0.22724918068233799</v>
      </c>
      <c r="K2088">
        <v>0.13006331183206199</v>
      </c>
      <c r="L2088">
        <v>1270.49385130774</v>
      </c>
      <c r="M2088">
        <v>22.8338395804264</v>
      </c>
      <c r="N2088">
        <v>56.7887259052236</v>
      </c>
      <c r="O2088">
        <v>55.219359197452597</v>
      </c>
      <c r="P2088">
        <v>-8.4270446134714599E-2</v>
      </c>
      <c r="Q2088">
        <v>0.18484687459568799</v>
      </c>
      <c r="R2088">
        <v>0.98990175798639501</v>
      </c>
      <c r="S2088" t="s">
        <v>9091</v>
      </c>
      <c r="T2088" t="s">
        <v>14004</v>
      </c>
      <c r="U2088" t="s">
        <v>14004</v>
      </c>
      <c r="V2088" t="s">
        <v>14004</v>
      </c>
      <c r="W2088" t="s">
        <v>16056</v>
      </c>
      <c r="X2088">
        <v>1</v>
      </c>
      <c r="Y2088" t="s">
        <v>22964</v>
      </c>
      <c r="Z2088" t="s">
        <v>29798</v>
      </c>
      <c r="AA2088">
        <v>0.61855609276336898</v>
      </c>
      <c r="AB2088" t="str">
        <f>HYPERLINK("Melting_Curves/meltCurve_P08567_PLEK.pdf", "Melting_Curves/meltCurve_P08567_PLEK.pdf")</f>
        <v>Melting_Curves/meltCurve_P08567_PLEK.pdf</v>
      </c>
    </row>
    <row r="2089" spans="1:28" x14ac:dyDescent="0.25">
      <c r="A2089" t="s">
        <v>2093</v>
      </c>
      <c r="B2089">
        <v>0.99999676499088797</v>
      </c>
      <c r="C2089">
        <v>0.98274037028928096</v>
      </c>
      <c r="D2089">
        <v>0.94671369541538797</v>
      </c>
      <c r="E2089">
        <v>0.94824103923347003</v>
      </c>
      <c r="F2089">
        <v>0.89009417713764805</v>
      </c>
      <c r="G2089">
        <v>0.74592682647974395</v>
      </c>
      <c r="H2089">
        <v>0.28744041853257202</v>
      </c>
      <c r="I2089">
        <v>8.7894367458629996E-2</v>
      </c>
      <c r="J2089">
        <v>5.9777176154776498E-2</v>
      </c>
      <c r="K2089">
        <v>5.0435176254691301E-2</v>
      </c>
      <c r="L2089">
        <v>1603.5639830642299</v>
      </c>
      <c r="M2089">
        <v>27.3379524481165</v>
      </c>
      <c r="N2089">
        <v>58.7582888142393</v>
      </c>
      <c r="O2089">
        <v>58.345884165055999</v>
      </c>
      <c r="P2089">
        <v>-0.114443570984743</v>
      </c>
      <c r="Q2089">
        <v>2.3006652631749901E-2</v>
      </c>
      <c r="R2089">
        <v>0.99383907868456001</v>
      </c>
      <c r="S2089" t="s">
        <v>9092</v>
      </c>
      <c r="T2089" t="s">
        <v>14004</v>
      </c>
      <c r="U2089" t="s">
        <v>14004</v>
      </c>
      <c r="V2089" t="s">
        <v>14004</v>
      </c>
      <c r="W2089" t="s">
        <v>16057</v>
      </c>
      <c r="X2089">
        <v>9</v>
      </c>
      <c r="Y2089" t="s">
        <v>22965</v>
      </c>
      <c r="Z2089" t="s">
        <v>29799</v>
      </c>
      <c r="AA2089">
        <v>0.63787372313748991</v>
      </c>
      <c r="AB2089" t="str">
        <f>HYPERLINK("Melting_Curves/meltCurve_P08574_CYC1.pdf", "Melting_Curves/meltCurve_P08574_CYC1.pdf")</f>
        <v>Melting_Curves/meltCurve_P08574_CYC1.pdf</v>
      </c>
    </row>
    <row r="2090" spans="1:28" x14ac:dyDescent="0.25">
      <c r="A2090" t="s">
        <v>2094</v>
      </c>
      <c r="B2090">
        <v>0.99999676499088797</v>
      </c>
      <c r="C2090">
        <v>0.98652239305137002</v>
      </c>
      <c r="D2090">
        <v>1.02585055851861</v>
      </c>
      <c r="E2090">
        <v>1.1220601497189</v>
      </c>
      <c r="F2090">
        <v>0.77962419540592198</v>
      </c>
      <c r="G2090">
        <v>0.447905574599403</v>
      </c>
      <c r="H2090">
        <v>0.193011088075695</v>
      </c>
      <c r="I2090">
        <v>0.141080024196721</v>
      </c>
      <c r="J2090">
        <v>0.10411207447357899</v>
      </c>
      <c r="K2090">
        <v>0.10840097969552299</v>
      </c>
      <c r="L2090">
        <v>1640.5578006078799</v>
      </c>
      <c r="M2090">
        <v>29.436319530900199</v>
      </c>
      <c r="N2090">
        <v>56.219167058956302</v>
      </c>
      <c r="O2090">
        <v>55.477122360575201</v>
      </c>
      <c r="P2090">
        <v>-0.117730444793554</v>
      </c>
      <c r="Q2090">
        <v>0.11248411766199599</v>
      </c>
      <c r="R2090">
        <v>0.98543740118414402</v>
      </c>
      <c r="S2090" t="s">
        <v>9093</v>
      </c>
      <c r="T2090" t="s">
        <v>14004</v>
      </c>
      <c r="U2090" t="s">
        <v>14004</v>
      </c>
      <c r="V2090" t="s">
        <v>14004</v>
      </c>
      <c r="W2090" t="s">
        <v>16058</v>
      </c>
      <c r="X2090">
        <v>63</v>
      </c>
      <c r="Y2090" t="s">
        <v>22966</v>
      </c>
      <c r="Z2090" t="s">
        <v>29800</v>
      </c>
      <c r="AA2090">
        <v>0.58403388941509293</v>
      </c>
      <c r="AB2090" t="str">
        <f>HYPERLINK("Melting_Curves/meltCurve_P08575_PTPRC.pdf", "Melting_Curves/meltCurve_P08575_PTPRC.pdf")</f>
        <v>Melting_Curves/meltCurve_P08575_PTPRC.pdf</v>
      </c>
    </row>
    <row r="2091" spans="1:28" x14ac:dyDescent="0.25">
      <c r="A2091" t="s">
        <v>2095</v>
      </c>
      <c r="B2091">
        <v>0.99999676499088797</v>
      </c>
      <c r="C2091">
        <v>1.0471645998377901</v>
      </c>
      <c r="D2091">
        <v>1.06417053143701</v>
      </c>
      <c r="E2091">
        <v>0.96880540897996903</v>
      </c>
      <c r="F2091">
        <v>0.79401438564285498</v>
      </c>
      <c r="G2091">
        <v>0.69043266879161602</v>
      </c>
      <c r="H2091">
        <v>0.21825030396113801</v>
      </c>
      <c r="I2091">
        <v>0.177333522573146</v>
      </c>
      <c r="J2091">
        <v>0.15832370253636799</v>
      </c>
      <c r="K2091">
        <v>0.12956446745283701</v>
      </c>
      <c r="L2091">
        <v>1363.67317036584</v>
      </c>
      <c r="M2091">
        <v>23.7800297664018</v>
      </c>
      <c r="N2091">
        <v>57.938312142278697</v>
      </c>
      <c r="O2091">
        <v>56.944419666970497</v>
      </c>
      <c r="P2091">
        <v>-9.3124705520282999E-2</v>
      </c>
      <c r="Q2091">
        <v>0.10801742607383299</v>
      </c>
      <c r="R2091">
        <v>0.98164941286644103</v>
      </c>
      <c r="S2091" t="s">
        <v>9094</v>
      </c>
      <c r="T2091" t="s">
        <v>14004</v>
      </c>
      <c r="U2091" t="s">
        <v>14004</v>
      </c>
      <c r="V2091" t="s">
        <v>14004</v>
      </c>
      <c r="W2091" t="s">
        <v>16059</v>
      </c>
      <c r="X2091">
        <v>14</v>
      </c>
      <c r="Y2091" t="s">
        <v>22967</v>
      </c>
      <c r="Z2091" t="s">
        <v>29801</v>
      </c>
      <c r="AA2091">
        <v>0.63229990279050086</v>
      </c>
      <c r="AB2091" t="str">
        <f>HYPERLINK("Melting_Curves/meltCurve_P08579_SNRPB2.pdf", "Melting_Curves/meltCurve_P08579_SNRPB2.pdf")</f>
        <v>Melting_Curves/meltCurve_P08579_SNRPB2.pdf</v>
      </c>
    </row>
    <row r="2092" spans="1:28" x14ac:dyDescent="0.25">
      <c r="A2092" t="s">
        <v>2096</v>
      </c>
      <c r="B2092">
        <v>0.99999676499088797</v>
      </c>
      <c r="C2092">
        <v>1.08161190837475</v>
      </c>
      <c r="D2092">
        <v>0.98880107258679595</v>
      </c>
      <c r="E2092">
        <v>0.91509326494847298</v>
      </c>
      <c r="F2092">
        <v>0.75081388478731803</v>
      </c>
      <c r="G2092">
        <v>0.428865431173996</v>
      </c>
      <c r="H2092">
        <v>0.31357623977439297</v>
      </c>
      <c r="I2092">
        <v>0.36280164576956497</v>
      </c>
      <c r="J2092">
        <v>0.244234284489947</v>
      </c>
      <c r="K2092">
        <v>0.24675830251991099</v>
      </c>
      <c r="L2092">
        <v>1367.69300203835</v>
      </c>
      <c r="M2092">
        <v>25.184843251332499</v>
      </c>
      <c r="N2092">
        <v>56.044846809839299</v>
      </c>
      <c r="O2092">
        <v>53.967274338358799</v>
      </c>
      <c r="P2092">
        <v>-8.5040530174883694E-2</v>
      </c>
      <c r="Q2092">
        <v>0.27109401750987</v>
      </c>
      <c r="R2092">
        <v>0.98508482315634505</v>
      </c>
      <c r="S2092" t="s">
        <v>9095</v>
      </c>
      <c r="T2092" t="s">
        <v>14004</v>
      </c>
      <c r="U2092" t="s">
        <v>14004</v>
      </c>
      <c r="V2092" t="s">
        <v>14004</v>
      </c>
      <c r="W2092" t="s">
        <v>16060</v>
      </c>
      <c r="X2092">
        <v>2</v>
      </c>
      <c r="Y2092" t="s">
        <v>22968</v>
      </c>
      <c r="Z2092" t="s">
        <v>29802</v>
      </c>
      <c r="AA2092">
        <v>0.62534966016475202</v>
      </c>
      <c r="AB2092" t="str">
        <f>HYPERLINK("Melting_Curves/meltCurve_P08582_MFI2.pdf", "Melting_Curves/meltCurve_P08582_MFI2.pdf")</f>
        <v>Melting_Curves/meltCurve_P08582_MFI2.pdf</v>
      </c>
    </row>
    <row r="2093" spans="1:28" x14ac:dyDescent="0.25">
      <c r="A2093" t="s">
        <v>2097</v>
      </c>
      <c r="B2093">
        <v>0.99999676499088797</v>
      </c>
      <c r="C2093">
        <v>0.79334927346615602</v>
      </c>
      <c r="D2093">
        <v>0.90608807611185005</v>
      </c>
      <c r="E2093">
        <v>0.73526677932844597</v>
      </c>
      <c r="F2093">
        <v>0.43512103457122198</v>
      </c>
      <c r="G2093">
        <v>0.27009572222493999</v>
      </c>
      <c r="H2093">
        <v>0.143773548222977</v>
      </c>
      <c r="I2093">
        <v>0.15584910724436399</v>
      </c>
      <c r="J2093">
        <v>0.12896482181456401</v>
      </c>
      <c r="K2093">
        <v>0.14881280051440901</v>
      </c>
      <c r="L2093">
        <v>785.76593106683697</v>
      </c>
      <c r="M2093">
        <v>15.2239043597649</v>
      </c>
      <c r="N2093">
        <v>52.397035357957598</v>
      </c>
      <c r="O2093">
        <v>50.747981092573703</v>
      </c>
      <c r="P2093">
        <v>-6.7373220223663599E-2</v>
      </c>
      <c r="Q2093">
        <v>0.10174731691545</v>
      </c>
      <c r="R2093">
        <v>0.96902829011490599</v>
      </c>
      <c r="S2093" t="s">
        <v>9096</v>
      </c>
      <c r="T2093" t="s">
        <v>14004</v>
      </c>
      <c r="U2093" t="s">
        <v>14004</v>
      </c>
      <c r="V2093" t="s">
        <v>14004</v>
      </c>
      <c r="W2093" t="s">
        <v>16061</v>
      </c>
      <c r="X2093">
        <v>3</v>
      </c>
      <c r="Y2093" t="s">
        <v>22969</v>
      </c>
      <c r="Z2093" t="s">
        <v>29803</v>
      </c>
      <c r="AA2093">
        <v>0.469364330727437</v>
      </c>
      <c r="AB2093" t="str">
        <f>HYPERLINK("Melting_Curves/meltCurve_P08590_MYL3.pdf", "Melting_Curves/meltCurve_P08590_MYL3.pdf")</f>
        <v>Melting_Curves/meltCurve_P08590_MYL3.pdf</v>
      </c>
    </row>
    <row r="2094" spans="1:28" x14ac:dyDescent="0.25">
      <c r="A2094" t="s">
        <v>2098</v>
      </c>
      <c r="B2094">
        <v>0.99999676499088797</v>
      </c>
      <c r="C2094">
        <v>1.0222988055622499</v>
      </c>
      <c r="D2094">
        <v>0.97665069234409096</v>
      </c>
      <c r="E2094">
        <v>0.83466397113440005</v>
      </c>
      <c r="F2094">
        <v>0.39108006219611702</v>
      </c>
      <c r="G2094">
        <v>0.29063631403041401</v>
      </c>
      <c r="H2094">
        <v>0.155748832690252</v>
      </c>
      <c r="I2094">
        <v>0.20464250070995599</v>
      </c>
      <c r="J2094">
        <v>0.25326484831562501</v>
      </c>
      <c r="K2094">
        <v>0.28669151155642197</v>
      </c>
      <c r="L2094">
        <v>1863.54686969009</v>
      </c>
      <c r="M2094">
        <v>36.3099326720018</v>
      </c>
      <c r="N2094">
        <v>52.219127820303399</v>
      </c>
      <c r="O2094">
        <v>51.168405790706998</v>
      </c>
      <c r="P2094">
        <v>-0.13628260500016101</v>
      </c>
      <c r="Q2094">
        <v>0.23179781303087199</v>
      </c>
      <c r="R2094">
        <v>0.98969455838420695</v>
      </c>
      <c r="S2094" t="s">
        <v>9097</v>
      </c>
      <c r="T2094" t="s">
        <v>14004</v>
      </c>
      <c r="U2094" t="s">
        <v>14004</v>
      </c>
      <c r="V2094" t="s">
        <v>14004</v>
      </c>
      <c r="W2094" t="s">
        <v>16062</v>
      </c>
      <c r="X2094">
        <v>29</v>
      </c>
      <c r="Y2094" t="s">
        <v>22970</v>
      </c>
      <c r="Z2094" t="s">
        <v>29804</v>
      </c>
      <c r="AA2094">
        <v>0.52506235688177905</v>
      </c>
      <c r="AB2094" t="str">
        <f>HYPERLINK("Melting_Curves/meltCurve_P08621_2_SNRNP70.pdf", "Melting_Curves/meltCurve_P08621_2_SNRNP70.pdf")</f>
        <v>Melting_Curves/meltCurve_P08621_2_SNRNP70.pdf</v>
      </c>
    </row>
    <row r="2095" spans="1:28" x14ac:dyDescent="0.25">
      <c r="A2095" t="s">
        <v>2099</v>
      </c>
      <c r="B2095">
        <v>0.99999676499088797</v>
      </c>
      <c r="C2095">
        <v>0.94794613731271704</v>
      </c>
      <c r="D2095">
        <v>0.96299160610269197</v>
      </c>
      <c r="E2095">
        <v>0.93565897244740104</v>
      </c>
      <c r="F2095">
        <v>0.81089995488854905</v>
      </c>
      <c r="G2095">
        <v>0.65815952136079903</v>
      </c>
      <c r="H2095">
        <v>0.413610253638932</v>
      </c>
      <c r="I2095">
        <v>0.37071683635081798</v>
      </c>
      <c r="J2095">
        <v>0.34660343571654501</v>
      </c>
      <c r="K2095">
        <v>0.34585075157462503</v>
      </c>
      <c r="L2095">
        <v>1021.48602199475</v>
      </c>
      <c r="M2095">
        <v>18.166967772583401</v>
      </c>
      <c r="N2095">
        <v>59.380467880394797</v>
      </c>
      <c r="O2095">
        <v>55.559653741252397</v>
      </c>
      <c r="P2095">
        <v>-5.64537489506012E-2</v>
      </c>
      <c r="Q2095">
        <v>0.30942777179645498</v>
      </c>
      <c r="R2095">
        <v>0.99157655727133698</v>
      </c>
      <c r="S2095" t="s">
        <v>9098</v>
      </c>
      <c r="T2095" t="s">
        <v>14004</v>
      </c>
      <c r="U2095" t="s">
        <v>14004</v>
      </c>
      <c r="V2095" t="s">
        <v>14004</v>
      </c>
      <c r="W2095" t="s">
        <v>16063</v>
      </c>
      <c r="X2095">
        <v>10</v>
      </c>
      <c r="Y2095" t="s">
        <v>22971</v>
      </c>
      <c r="Z2095" t="s">
        <v>29805</v>
      </c>
      <c r="AA2095">
        <v>0.69289978050353473</v>
      </c>
      <c r="AB2095" t="str">
        <f>HYPERLINK("Melting_Curves/meltCurve_P08648_ITGA5.pdf", "Melting_Curves/meltCurve_P08648_ITGA5.pdf")</f>
        <v>Melting_Curves/meltCurve_P08648_ITGA5.pdf</v>
      </c>
    </row>
    <row r="2096" spans="1:28" x14ac:dyDescent="0.25">
      <c r="A2096" t="s">
        <v>2100</v>
      </c>
      <c r="B2096">
        <v>0.99999676499088797</v>
      </c>
      <c r="C2096">
        <v>0.930233965206955</v>
      </c>
      <c r="D2096">
        <v>0.94928787180794405</v>
      </c>
      <c r="E2096">
        <v>0.86122021933355497</v>
      </c>
      <c r="F2096">
        <v>0.82667398245867696</v>
      </c>
      <c r="G2096">
        <v>0.72798690473239602</v>
      </c>
      <c r="H2096">
        <v>0.53802076190682202</v>
      </c>
      <c r="I2096">
        <v>0.41559108044172299</v>
      </c>
      <c r="J2096">
        <v>0.43676849987184102</v>
      </c>
      <c r="K2096">
        <v>0.21725883047302499</v>
      </c>
      <c r="L2096">
        <v>527.68208775743301</v>
      </c>
      <c r="M2096">
        <v>8.4674907767901804</v>
      </c>
      <c r="N2096">
        <v>62.318585841899498</v>
      </c>
      <c r="O2096">
        <v>59.134071495699501</v>
      </c>
      <c r="P2096">
        <v>-3.5830575396807202E-2</v>
      </c>
      <c r="Q2096">
        <v>0</v>
      </c>
      <c r="R2096">
        <v>0.97340358049534703</v>
      </c>
      <c r="S2096" t="s">
        <v>9099</v>
      </c>
      <c r="T2096" t="s">
        <v>14004</v>
      </c>
      <c r="U2096" t="s">
        <v>14004</v>
      </c>
      <c r="V2096" t="s">
        <v>14004</v>
      </c>
      <c r="W2096" t="s">
        <v>16064</v>
      </c>
      <c r="X2096">
        <v>4</v>
      </c>
      <c r="Y2096" t="s">
        <v>22972</v>
      </c>
      <c r="Z2096" t="s">
        <v>29806</v>
      </c>
      <c r="AA2096">
        <v>0.70791297673277198</v>
      </c>
      <c r="AB2096" t="str">
        <f>HYPERLINK("Melting_Curves/meltCurve_P08651_4_NFIC.pdf", "Melting_Curves/meltCurve_P08651_4_NFIC.pdf")</f>
        <v>Melting_Curves/meltCurve_P08651_4_NFIC.pdf</v>
      </c>
    </row>
    <row r="2097" spans="1:28" x14ac:dyDescent="0.25">
      <c r="A2097" t="s">
        <v>2101</v>
      </c>
      <c r="B2097">
        <v>0.99999676499088797</v>
      </c>
      <c r="C2097">
        <v>0.871575944042279</v>
      </c>
      <c r="D2097">
        <v>0.85460470995181004</v>
      </c>
      <c r="E2097">
        <v>0.81878476026366498</v>
      </c>
      <c r="F2097">
        <v>1.02366367707365</v>
      </c>
      <c r="G2097">
        <v>0.55291441182321499</v>
      </c>
      <c r="H2097">
        <v>0.40405406839441699</v>
      </c>
      <c r="I2097">
        <v>0.47506149046638202</v>
      </c>
      <c r="J2097">
        <v>0.56785868551885899</v>
      </c>
      <c r="K2097">
        <v>0.719839283542407</v>
      </c>
      <c r="L2097">
        <v>13990.659114464501</v>
      </c>
      <c r="M2097">
        <v>250</v>
      </c>
      <c r="O2097">
        <v>55.959038037595903</v>
      </c>
      <c r="P2097">
        <v>-0.51186666024832395</v>
      </c>
      <c r="Q2097">
        <v>0.54170280456068598</v>
      </c>
      <c r="R2097">
        <v>0.706099452748711</v>
      </c>
      <c r="S2097" t="s">
        <v>9100</v>
      </c>
      <c r="T2097" t="s">
        <v>14004</v>
      </c>
      <c r="U2097" t="s">
        <v>14004</v>
      </c>
      <c r="V2097" t="s">
        <v>14004</v>
      </c>
      <c r="W2097" t="s">
        <v>16065</v>
      </c>
      <c r="X2097">
        <v>42</v>
      </c>
      <c r="Y2097" t="s">
        <v>22973</v>
      </c>
      <c r="Z2097" t="s">
        <v>29807</v>
      </c>
      <c r="AA2097">
        <v>0.78560219957307875</v>
      </c>
      <c r="AB2097" t="str">
        <f>HYPERLINK("Melting_Curves/meltCurve_P08670_VIM.pdf", "Melting_Curves/meltCurve_P08670_VIM.pdf")</f>
        <v>Melting_Curves/meltCurve_P08670_VIM.pdf</v>
      </c>
    </row>
    <row r="2098" spans="1:28" x14ac:dyDescent="0.25">
      <c r="A2098" t="s">
        <v>2102</v>
      </c>
      <c r="B2098">
        <v>0.99999676499088797</v>
      </c>
      <c r="C2098">
        <v>1.0184626425653001</v>
      </c>
      <c r="D2098">
        <v>1.0142813962038</v>
      </c>
      <c r="E2098">
        <v>1.08410036187555</v>
      </c>
      <c r="F2098">
        <v>0.78490398147052798</v>
      </c>
      <c r="G2098">
        <v>0.27211135525064101</v>
      </c>
      <c r="H2098">
        <v>8.1695598541069503E-2</v>
      </c>
      <c r="I2098">
        <v>6.5680458274807604E-2</v>
      </c>
      <c r="J2098">
        <v>7.0656161520725694E-2</v>
      </c>
      <c r="K2098">
        <v>6.7648065038405494E-2</v>
      </c>
      <c r="L2098">
        <v>2214.1727775793502</v>
      </c>
      <c r="M2098">
        <v>40.3119954581747</v>
      </c>
      <c r="N2098">
        <v>55.123288219750499</v>
      </c>
      <c r="O2098">
        <v>54.7912589503294</v>
      </c>
      <c r="P2098">
        <v>-0.171573085299348</v>
      </c>
      <c r="Q2098">
        <v>6.7207045310300806E-2</v>
      </c>
      <c r="R2098">
        <v>0.99480835789683097</v>
      </c>
      <c r="S2098" t="s">
        <v>9101</v>
      </c>
      <c r="T2098" t="s">
        <v>14004</v>
      </c>
      <c r="U2098" t="s">
        <v>14004</v>
      </c>
      <c r="V2098" t="s">
        <v>14004</v>
      </c>
      <c r="W2098" t="s">
        <v>16066</v>
      </c>
      <c r="X2098">
        <v>17</v>
      </c>
      <c r="Y2098" t="s">
        <v>22974</v>
      </c>
      <c r="Z2098" t="s">
        <v>29808</v>
      </c>
      <c r="AA2098">
        <v>0.53477453672940345</v>
      </c>
      <c r="AB2098" t="str">
        <f>HYPERLINK("Melting_Curves/meltCurve_P08754_GNAI3.pdf", "Melting_Curves/meltCurve_P08754_GNAI3.pdf")</f>
        <v>Melting_Curves/meltCurve_P08754_GNAI3.pdf</v>
      </c>
    </row>
    <row r="2099" spans="1:28" x14ac:dyDescent="0.25">
      <c r="A2099" t="s">
        <v>2103</v>
      </c>
      <c r="B2099">
        <v>0.99999676499088797</v>
      </c>
      <c r="C2099">
        <v>1.0207980133864301</v>
      </c>
      <c r="D2099">
        <v>0.94337928869599297</v>
      </c>
      <c r="E2099">
        <v>0.47904503581862801</v>
      </c>
      <c r="F2099">
        <v>0.21457920479668799</v>
      </c>
      <c r="G2099">
        <v>0.16897737531106199</v>
      </c>
      <c r="H2099">
        <v>8.2816807811352297E-2</v>
      </c>
      <c r="I2099">
        <v>8.7876362928568597E-2</v>
      </c>
      <c r="J2099">
        <v>8.7206928749970603E-2</v>
      </c>
      <c r="K2099">
        <v>7.1631629415846595E-2</v>
      </c>
      <c r="L2099">
        <v>1519.2465074445199</v>
      </c>
      <c r="M2099">
        <v>30.8235312325737</v>
      </c>
      <c r="N2099">
        <v>49.644344788696998</v>
      </c>
      <c r="O2099">
        <v>49.082480045734101</v>
      </c>
      <c r="P2099">
        <v>-0.14143861809908401</v>
      </c>
      <c r="Q2099">
        <v>9.91148968446985E-2</v>
      </c>
      <c r="R2099">
        <v>0.99474177118546403</v>
      </c>
      <c r="S2099" t="s">
        <v>9102</v>
      </c>
      <c r="T2099" t="s">
        <v>14004</v>
      </c>
      <c r="U2099" t="s">
        <v>14004</v>
      </c>
      <c r="V2099" t="s">
        <v>14004</v>
      </c>
      <c r="W2099" t="s">
        <v>16067</v>
      </c>
      <c r="X2099">
        <v>22</v>
      </c>
      <c r="Y2099" t="s">
        <v>22975</v>
      </c>
      <c r="Z2099" t="s">
        <v>29809</v>
      </c>
      <c r="AA2099">
        <v>0.3832587908663353</v>
      </c>
      <c r="AB2099" t="str">
        <f>HYPERLINK("Melting_Curves/meltCurve_P08758_ANXA5.pdf", "Melting_Curves/meltCurve_P08758_ANXA5.pdf")</f>
        <v>Melting_Curves/meltCurve_P08758_ANXA5.pdf</v>
      </c>
    </row>
    <row r="2100" spans="1:28" x14ac:dyDescent="0.25">
      <c r="A2100" t="s">
        <v>2104</v>
      </c>
      <c r="B2100">
        <v>0.99999676499088797</v>
      </c>
      <c r="C2100">
        <v>0.99074416509871299</v>
      </c>
      <c r="D2100">
        <v>1.04763677842447</v>
      </c>
      <c r="E2100">
        <v>1.1444603661845101</v>
      </c>
      <c r="F2100">
        <v>1.08359289889177</v>
      </c>
      <c r="G2100">
        <v>0.83985561791858299</v>
      </c>
      <c r="H2100">
        <v>0.35208649907341699</v>
      </c>
      <c r="I2100">
        <v>0.25619126666222902</v>
      </c>
      <c r="J2100">
        <v>0.22397458081594099</v>
      </c>
      <c r="K2100">
        <v>0.23094550168407099</v>
      </c>
      <c r="L2100">
        <v>2735.2162933169702</v>
      </c>
      <c r="M2100">
        <v>46.734860759689901</v>
      </c>
      <c r="N2100">
        <v>59.321426099093102</v>
      </c>
      <c r="O2100">
        <v>58.4193984977978</v>
      </c>
      <c r="P2100">
        <v>-0.15344630041914301</v>
      </c>
      <c r="Q2100">
        <v>0.232758588749784</v>
      </c>
      <c r="R2100">
        <v>0.97759127163404802</v>
      </c>
      <c r="S2100" t="s">
        <v>9103</v>
      </c>
      <c r="T2100" t="s">
        <v>14004</v>
      </c>
      <c r="U2100" t="s">
        <v>14004</v>
      </c>
      <c r="V2100" t="s">
        <v>14004</v>
      </c>
      <c r="W2100" t="s">
        <v>16068</v>
      </c>
      <c r="X2100">
        <v>12</v>
      </c>
      <c r="Y2100" t="s">
        <v>22976</v>
      </c>
      <c r="Z2100" t="s">
        <v>29810</v>
      </c>
      <c r="AA2100">
        <v>0.70880844250592157</v>
      </c>
      <c r="AB2100" t="str">
        <f>HYPERLINK("Melting_Curves/meltCurve_P09012_SNRPA.pdf", "Melting_Curves/meltCurve_P09012_SNRPA.pdf")</f>
        <v>Melting_Curves/meltCurve_P09012_SNRPA.pdf</v>
      </c>
    </row>
    <row r="2101" spans="1:28" x14ac:dyDescent="0.25">
      <c r="A2101" t="s">
        <v>2105</v>
      </c>
      <c r="B2101">
        <v>0.99999676499088797</v>
      </c>
      <c r="C2101">
        <v>0.98491532443268903</v>
      </c>
      <c r="D2101">
        <v>0.98679375311297501</v>
      </c>
      <c r="E2101">
        <v>1.0243839510322099</v>
      </c>
      <c r="F2101">
        <v>0.98463678791364995</v>
      </c>
      <c r="G2101">
        <v>0.85320684586330098</v>
      </c>
      <c r="H2101">
        <v>0.57986386277160296</v>
      </c>
      <c r="I2101">
        <v>0.53436797252479895</v>
      </c>
      <c r="J2101">
        <v>0.28921535758739503</v>
      </c>
      <c r="K2101">
        <v>0.16171608016648301</v>
      </c>
      <c r="L2101">
        <v>973.65143737685196</v>
      </c>
      <c r="M2101">
        <v>15.383546001769</v>
      </c>
      <c r="N2101">
        <v>63.291742893698</v>
      </c>
      <c r="O2101">
        <v>62.251154843093602</v>
      </c>
      <c r="P2101">
        <v>-6.1785816684810098E-2</v>
      </c>
      <c r="Q2101">
        <v>0</v>
      </c>
      <c r="R2101">
        <v>0.98426864881693499</v>
      </c>
      <c r="S2101" t="s">
        <v>9104</v>
      </c>
      <c r="T2101" t="s">
        <v>14004</v>
      </c>
      <c r="U2101" t="s">
        <v>14004</v>
      </c>
      <c r="V2101" t="s">
        <v>14004</v>
      </c>
      <c r="W2101" t="s">
        <v>16069</v>
      </c>
      <c r="X2101">
        <v>29</v>
      </c>
      <c r="Y2101" t="s">
        <v>22977</v>
      </c>
      <c r="Z2101" t="s">
        <v>29811</v>
      </c>
      <c r="AA2101">
        <v>0.76619396613785795</v>
      </c>
      <c r="AB2101" t="str">
        <f>HYPERLINK("Melting_Curves/meltCurve_P09104_ENO2.pdf", "Melting_Curves/meltCurve_P09104_ENO2.pdf")</f>
        <v>Melting_Curves/meltCurve_P09104_ENO2.pdf</v>
      </c>
    </row>
    <row r="2102" spans="1:28" x14ac:dyDescent="0.25">
      <c r="A2102" t="s">
        <v>2106</v>
      </c>
      <c r="B2102">
        <v>0.99999676499088797</v>
      </c>
      <c r="C2102">
        <v>1.00984435376215</v>
      </c>
      <c r="D2102">
        <v>0.99102988655086</v>
      </c>
      <c r="E2102">
        <v>0.95517540736204998</v>
      </c>
      <c r="F2102">
        <v>0.73209070995085601</v>
      </c>
      <c r="G2102">
        <v>0.53634381756565697</v>
      </c>
      <c r="H2102">
        <v>0.24290334460279001</v>
      </c>
      <c r="I2102">
        <v>0.117603592389371</v>
      </c>
      <c r="J2102">
        <v>9.4500873478522193E-2</v>
      </c>
      <c r="K2102">
        <v>6.78408101060438E-2</v>
      </c>
      <c r="L2102">
        <v>1021.50054932752</v>
      </c>
      <c r="M2102">
        <v>18.027740914901798</v>
      </c>
      <c r="N2102">
        <v>56.8587743508226</v>
      </c>
      <c r="O2102">
        <v>55.9792914706061</v>
      </c>
      <c r="P2102">
        <v>-7.8088256322407207E-2</v>
      </c>
      <c r="Q2102">
        <v>3.0136739928840101E-2</v>
      </c>
      <c r="R2102">
        <v>0.99739918776965797</v>
      </c>
      <c r="S2102" t="s">
        <v>9105</v>
      </c>
      <c r="T2102" t="s">
        <v>14004</v>
      </c>
      <c r="U2102" t="s">
        <v>14004</v>
      </c>
      <c r="V2102" t="s">
        <v>14004</v>
      </c>
      <c r="W2102" t="s">
        <v>16070</v>
      </c>
      <c r="X2102">
        <v>18</v>
      </c>
      <c r="Y2102" t="s">
        <v>22978</v>
      </c>
      <c r="Z2102" t="s">
        <v>29812</v>
      </c>
      <c r="AA2102">
        <v>0.58247144646129489</v>
      </c>
      <c r="AB2102" t="str">
        <f>HYPERLINK("Melting_Curves/meltCurve_P09110_ACAA1.pdf", "Melting_Curves/meltCurve_P09110_ACAA1.pdf")</f>
        <v>Melting_Curves/meltCurve_P09110_ACAA1.pdf</v>
      </c>
    </row>
    <row r="2103" spans="1:28" x14ac:dyDescent="0.25">
      <c r="A2103" t="s">
        <v>2107</v>
      </c>
      <c r="B2103">
        <v>0.99999676499088797</v>
      </c>
      <c r="C2103">
        <v>1.0760418451284799</v>
      </c>
      <c r="D2103">
        <v>0.96613366324155503</v>
      </c>
      <c r="E2103">
        <v>0.74777421834602797</v>
      </c>
      <c r="F2103">
        <v>0.38509201378157998</v>
      </c>
      <c r="G2103">
        <v>0.26599206265918002</v>
      </c>
      <c r="H2103">
        <v>0.10873658082172601</v>
      </c>
      <c r="I2103">
        <v>0.10624080786699901</v>
      </c>
      <c r="J2103">
        <v>0.118150453279263</v>
      </c>
      <c r="K2103">
        <v>8.9709482126127796E-2</v>
      </c>
      <c r="L2103">
        <v>1172.2834121624001</v>
      </c>
      <c r="M2103">
        <v>22.675054328472299</v>
      </c>
      <c r="N2103">
        <v>52.229585840219499</v>
      </c>
      <c r="O2103">
        <v>51.302188233208298</v>
      </c>
      <c r="P2103">
        <v>-9.9137215226034303E-2</v>
      </c>
      <c r="Q2103">
        <v>0.10282810933841</v>
      </c>
      <c r="R2103">
        <v>0.99179074292612002</v>
      </c>
      <c r="S2103" t="s">
        <v>9106</v>
      </c>
      <c r="T2103" t="s">
        <v>14004</v>
      </c>
      <c r="U2103" t="s">
        <v>14004</v>
      </c>
      <c r="V2103" t="s">
        <v>14004</v>
      </c>
      <c r="W2103" t="s">
        <v>16071</v>
      </c>
      <c r="X2103">
        <v>11</v>
      </c>
      <c r="Y2103" t="s">
        <v>22979</v>
      </c>
      <c r="Z2103" t="s">
        <v>29813</v>
      </c>
      <c r="AA2103">
        <v>0.46254842038382832</v>
      </c>
      <c r="AB2103" t="str">
        <f>HYPERLINK("Melting_Curves/meltCurve_P09132_SRP19.pdf", "Melting_Curves/meltCurve_P09132_SRP19.pdf")</f>
        <v>Melting_Curves/meltCurve_P09132_SRP19.pdf</v>
      </c>
    </row>
    <row r="2104" spans="1:28" x14ac:dyDescent="0.25">
      <c r="A2104" t="s">
        <v>2108</v>
      </c>
      <c r="B2104">
        <v>0.99999676499088797</v>
      </c>
      <c r="C2104">
        <v>0.97659241828694698</v>
      </c>
      <c r="D2104">
        <v>0.94524138148676395</v>
      </c>
      <c r="E2104">
        <v>0.92982486495584604</v>
      </c>
      <c r="F2104">
        <v>0.56424974843659303</v>
      </c>
      <c r="G2104">
        <v>0.156529336361137</v>
      </c>
      <c r="H2104">
        <v>6.5675667290941805E-2</v>
      </c>
      <c r="I2104">
        <v>5.8362752972780901E-2</v>
      </c>
      <c r="J2104">
        <v>5.1707218840892598E-2</v>
      </c>
      <c r="K2104">
        <v>4.3936400200141598E-2</v>
      </c>
      <c r="L2104">
        <v>1775.6192011774399</v>
      </c>
      <c r="M2104">
        <v>33.228198381924102</v>
      </c>
      <c r="N2104">
        <v>53.600058395029002</v>
      </c>
      <c r="O2104">
        <v>53.244697811211701</v>
      </c>
      <c r="P2104">
        <v>-0.14852228065501799</v>
      </c>
      <c r="Q2104">
        <v>4.8038898391556797E-2</v>
      </c>
      <c r="R2104">
        <v>0.99816996317379303</v>
      </c>
      <c r="S2104" t="s">
        <v>9107</v>
      </c>
      <c r="T2104" t="s">
        <v>14004</v>
      </c>
      <c r="U2104" t="s">
        <v>14004</v>
      </c>
      <c r="V2104" t="s">
        <v>14004</v>
      </c>
      <c r="W2104" t="s">
        <v>16072</v>
      </c>
      <c r="X2104">
        <v>19</v>
      </c>
      <c r="Y2104" t="s">
        <v>22980</v>
      </c>
      <c r="Z2104" t="s">
        <v>29814</v>
      </c>
      <c r="AA2104">
        <v>0.47950731893852477</v>
      </c>
      <c r="AB2104" t="str">
        <f>HYPERLINK("Melting_Curves/meltCurve_P09211_GSTP1.pdf", "Melting_Curves/meltCurve_P09211_GSTP1.pdf")</f>
        <v>Melting_Curves/meltCurve_P09211_GSTP1.pdf</v>
      </c>
    </row>
    <row r="2105" spans="1:28" x14ac:dyDescent="0.25">
      <c r="A2105" t="s">
        <v>2109</v>
      </c>
      <c r="B2105">
        <v>0.99999676499088797</v>
      </c>
      <c r="C2105">
        <v>0.96153708767207102</v>
      </c>
      <c r="D2105">
        <v>0.99008907440849203</v>
      </c>
      <c r="E2105">
        <v>1.11533950052947</v>
      </c>
      <c r="F2105">
        <v>1.07208508615383</v>
      </c>
      <c r="G2105">
        <v>0.73579629205458996</v>
      </c>
      <c r="H2105">
        <v>0.49172705982032</v>
      </c>
      <c r="I2105">
        <v>0.48110154987368198</v>
      </c>
      <c r="J2105">
        <v>0.44843230747017199</v>
      </c>
      <c r="K2105">
        <v>0.66399008547963601</v>
      </c>
      <c r="L2105">
        <v>14188.157921566901</v>
      </c>
      <c r="M2105">
        <v>250</v>
      </c>
      <c r="O2105">
        <v>56.748999918047602</v>
      </c>
      <c r="P2105">
        <v>-0.52719789987763499</v>
      </c>
      <c r="Q2105">
        <v>0.52131274353043</v>
      </c>
      <c r="R2105">
        <v>0.92200675853026104</v>
      </c>
      <c r="S2105" t="s">
        <v>9108</v>
      </c>
      <c r="T2105" t="s">
        <v>14004</v>
      </c>
      <c r="U2105" t="s">
        <v>14004</v>
      </c>
      <c r="V2105" t="s">
        <v>14004</v>
      </c>
      <c r="W2105" t="s">
        <v>16073</v>
      </c>
      <c r="X2105">
        <v>6</v>
      </c>
      <c r="Y2105" t="s">
        <v>22981</v>
      </c>
      <c r="Z2105" t="s">
        <v>29815</v>
      </c>
      <c r="AA2105">
        <v>0.78866946412564609</v>
      </c>
      <c r="AB2105" t="str">
        <f>HYPERLINK("Melting_Curves/meltCurve_P09234_SNRPC.pdf", "Melting_Curves/meltCurve_P09234_SNRPC.pdf")</f>
        <v>Melting_Curves/meltCurve_P09234_SNRPC.pdf</v>
      </c>
    </row>
    <row r="2106" spans="1:28" x14ac:dyDescent="0.25">
      <c r="A2106" t="s">
        <v>2110</v>
      </c>
      <c r="B2106">
        <v>0.99999676499088797</v>
      </c>
      <c r="C2106">
        <v>0.95181483064804795</v>
      </c>
      <c r="D2106">
        <v>0.91391793589022896</v>
      </c>
      <c r="E2106">
        <v>0.97429403339816301</v>
      </c>
      <c r="F2106">
        <v>0.825738208275277</v>
      </c>
      <c r="G2106">
        <v>0.81191575509884495</v>
      </c>
      <c r="H2106">
        <v>0.53281427046768204</v>
      </c>
      <c r="I2106">
        <v>0.48273887527096199</v>
      </c>
      <c r="J2106">
        <v>0.36308523928956798</v>
      </c>
      <c r="K2106">
        <v>0.36881105972362599</v>
      </c>
      <c r="L2106">
        <v>750.53414558392001</v>
      </c>
      <c r="M2106">
        <v>12.556389725316601</v>
      </c>
      <c r="N2106">
        <v>63.020133174335903</v>
      </c>
      <c r="O2106">
        <v>58.317760938172597</v>
      </c>
      <c r="P2106">
        <v>-4.1015071294435101E-2</v>
      </c>
      <c r="Q2106">
        <v>0.23818115918192001</v>
      </c>
      <c r="R2106">
        <v>0.96975434924735304</v>
      </c>
      <c r="S2106" t="s">
        <v>9109</v>
      </c>
      <c r="T2106" t="s">
        <v>14004</v>
      </c>
      <c r="U2106" t="s">
        <v>14004</v>
      </c>
      <c r="V2106" t="s">
        <v>14004</v>
      </c>
      <c r="W2106" t="s">
        <v>16074</v>
      </c>
      <c r="X2106">
        <v>12</v>
      </c>
      <c r="Y2106" t="s">
        <v>22982</v>
      </c>
      <c r="Z2106" t="s">
        <v>29816</v>
      </c>
      <c r="AA2106">
        <v>0.74395446125665121</v>
      </c>
      <c r="AB2106" t="str">
        <f>HYPERLINK("Melting_Curves/meltCurve_P09326_CD48.pdf", "Melting_Curves/meltCurve_P09326_CD48.pdf")</f>
        <v>Melting_Curves/meltCurve_P09326_CD48.pdf</v>
      </c>
    </row>
    <row r="2107" spans="1:28" x14ac:dyDescent="0.25">
      <c r="A2107" t="s">
        <v>2111</v>
      </c>
      <c r="B2107">
        <v>0.99999676499088797</v>
      </c>
      <c r="C2107">
        <v>0.86021734902708202</v>
      </c>
      <c r="D2107">
        <v>0.85355975443659104</v>
      </c>
      <c r="E2107">
        <v>0.894732480343159</v>
      </c>
      <c r="F2107">
        <v>0.71805582316240801</v>
      </c>
      <c r="G2107">
        <v>0.43462933460127401</v>
      </c>
      <c r="H2107">
        <v>0.19756608401670001</v>
      </c>
      <c r="I2107">
        <v>0.220892939847362</v>
      </c>
      <c r="J2107">
        <v>0.24995592762823099</v>
      </c>
      <c r="K2107">
        <v>0.251599995222057</v>
      </c>
      <c r="L2107">
        <v>1145.4715180417199</v>
      </c>
      <c r="M2107">
        <v>21.127115426509899</v>
      </c>
      <c r="N2107">
        <v>55.607620387806797</v>
      </c>
      <c r="O2107">
        <v>53.739345787257903</v>
      </c>
      <c r="P2107">
        <v>-7.8130041982391901E-2</v>
      </c>
      <c r="Q2107">
        <v>0.20508855560452499</v>
      </c>
      <c r="R2107">
        <v>0.95204652051620497</v>
      </c>
      <c r="S2107" t="s">
        <v>9110</v>
      </c>
      <c r="T2107" t="s">
        <v>14004</v>
      </c>
      <c r="U2107" t="s">
        <v>14004</v>
      </c>
      <c r="V2107" t="s">
        <v>14004</v>
      </c>
      <c r="W2107" t="s">
        <v>16075</v>
      </c>
      <c r="X2107">
        <v>7</v>
      </c>
      <c r="Y2107" t="s">
        <v>22983</v>
      </c>
      <c r="Z2107" t="s">
        <v>29817</v>
      </c>
      <c r="AA2107">
        <v>0.59167628137593486</v>
      </c>
      <c r="AB2107" t="str">
        <f>HYPERLINK("Melting_Curves/meltCurve_P09382_LGALS1.pdf", "Melting_Curves/meltCurve_P09382_LGALS1.pdf")</f>
        <v>Melting_Curves/meltCurve_P09382_LGALS1.pdf</v>
      </c>
    </row>
    <row r="2108" spans="1:28" x14ac:dyDescent="0.25">
      <c r="A2108" t="s">
        <v>2112</v>
      </c>
      <c r="B2108">
        <v>0.99999676499088797</v>
      </c>
      <c r="C2108">
        <v>1.03015143398333</v>
      </c>
      <c r="D2108">
        <v>1.04078180739937</v>
      </c>
      <c r="E2108">
        <v>1.16804815728765</v>
      </c>
      <c r="F2108">
        <v>1.2483467654842899</v>
      </c>
      <c r="G2108">
        <v>1.0212444361158599</v>
      </c>
      <c r="H2108">
        <v>0.76438701061886904</v>
      </c>
      <c r="I2108">
        <v>0.22439380434241199</v>
      </c>
      <c r="J2108">
        <v>0.120085508891767</v>
      </c>
      <c r="K2108">
        <v>9.3699397720481706E-2</v>
      </c>
      <c r="L2108">
        <v>3521.6800494658701</v>
      </c>
      <c r="M2108">
        <v>56.875366871810201</v>
      </c>
      <c r="N2108">
        <v>62.165964507212202</v>
      </c>
      <c r="O2108">
        <v>61.842841910973299</v>
      </c>
      <c r="P2108">
        <v>-0.206690897523642</v>
      </c>
      <c r="Q2108">
        <v>0.101027631447204</v>
      </c>
      <c r="R2108">
        <v>0.94874287362687904</v>
      </c>
      <c r="S2108" t="s">
        <v>9111</v>
      </c>
      <c r="T2108" t="s">
        <v>14004</v>
      </c>
      <c r="U2108" t="s">
        <v>14004</v>
      </c>
      <c r="V2108" t="s">
        <v>14004</v>
      </c>
      <c r="W2108" t="s">
        <v>16076</v>
      </c>
      <c r="X2108">
        <v>12</v>
      </c>
      <c r="Y2108" t="s">
        <v>22984</v>
      </c>
      <c r="Z2108" t="s">
        <v>29818</v>
      </c>
      <c r="AA2108">
        <v>0.75968833013080528</v>
      </c>
      <c r="AB2108" t="str">
        <f>HYPERLINK("Melting_Curves/meltCurve_P09417_QDPR.pdf", "Melting_Curves/meltCurve_P09417_QDPR.pdf")</f>
        <v>Melting_Curves/meltCurve_P09417_QDPR.pdf</v>
      </c>
    </row>
    <row r="2109" spans="1:28" x14ac:dyDescent="0.25">
      <c r="A2109" t="s">
        <v>2113</v>
      </c>
      <c r="B2109">
        <v>0.99999676499088797</v>
      </c>
      <c r="C2109">
        <v>0.96049538748775598</v>
      </c>
      <c r="D2109">
        <v>0.94162600256853801</v>
      </c>
      <c r="E2109">
        <v>0.83973717316791097</v>
      </c>
      <c r="F2109">
        <v>0.55687349073012504</v>
      </c>
      <c r="G2109">
        <v>0.52778072174445401</v>
      </c>
      <c r="H2109">
        <v>0.300337093316557</v>
      </c>
      <c r="I2109">
        <v>0.29634198925320598</v>
      </c>
      <c r="J2109">
        <v>0.25941206402122502</v>
      </c>
      <c r="K2109">
        <v>0.29688305296065598</v>
      </c>
      <c r="L2109">
        <v>820.858851751575</v>
      </c>
      <c r="M2109">
        <v>15.463462649708701</v>
      </c>
      <c r="N2109">
        <v>55.5848107298145</v>
      </c>
      <c r="O2109">
        <v>52.219765401155499</v>
      </c>
      <c r="P2109">
        <v>-5.5479336227052103E-2</v>
      </c>
      <c r="Q2109">
        <v>0.25065731169692401</v>
      </c>
      <c r="R2109">
        <v>0.98349777849787701</v>
      </c>
      <c r="S2109" t="s">
        <v>9112</v>
      </c>
      <c r="T2109" t="s">
        <v>14004</v>
      </c>
      <c r="U2109" t="s">
        <v>14004</v>
      </c>
      <c r="V2109" t="s">
        <v>14004</v>
      </c>
      <c r="W2109" t="s">
        <v>16077</v>
      </c>
      <c r="X2109">
        <v>23</v>
      </c>
      <c r="Y2109" t="s">
        <v>22985</v>
      </c>
      <c r="Z2109" t="s">
        <v>29819</v>
      </c>
      <c r="AA2109">
        <v>0.59286295547930656</v>
      </c>
      <c r="AB2109" t="str">
        <f>HYPERLINK("Melting_Curves/meltCurve_P09429_HMGB1.pdf", "Melting_Curves/meltCurve_P09429_HMGB1.pdf")</f>
        <v>Melting_Curves/meltCurve_P09429_HMGB1.pdf</v>
      </c>
    </row>
    <row r="2110" spans="1:28" x14ac:dyDescent="0.25">
      <c r="A2110" t="s">
        <v>2114</v>
      </c>
      <c r="B2110">
        <v>0.99999676499088797</v>
      </c>
      <c r="C2110">
        <v>0.93046838877944105</v>
      </c>
      <c r="D2110">
        <v>0.94688805996926895</v>
      </c>
      <c r="E2110">
        <v>0.937409505274448</v>
      </c>
      <c r="F2110">
        <v>0.77125719846012797</v>
      </c>
      <c r="G2110">
        <v>0.48214489763426599</v>
      </c>
      <c r="H2110">
        <v>7.7787612652834598E-2</v>
      </c>
      <c r="I2110">
        <v>6.68152943242553E-2</v>
      </c>
      <c r="J2110">
        <v>6.3735623310342299E-2</v>
      </c>
      <c r="K2110">
        <v>4.6753416722802997E-2</v>
      </c>
      <c r="L2110">
        <v>1374.49846499658</v>
      </c>
      <c r="M2110">
        <v>24.5265261519963</v>
      </c>
      <c r="N2110">
        <v>56.151027160952502</v>
      </c>
      <c r="O2110">
        <v>55.6727501431888</v>
      </c>
      <c r="P2110">
        <v>-0.107561582040911</v>
      </c>
      <c r="Q2110">
        <v>2.33985070977554E-2</v>
      </c>
      <c r="R2110">
        <v>0.99007764779664897</v>
      </c>
      <c r="S2110" t="s">
        <v>9113</v>
      </c>
      <c r="T2110" t="s">
        <v>14004</v>
      </c>
      <c r="U2110" t="s">
        <v>14004</v>
      </c>
      <c r="V2110" t="s">
        <v>14004</v>
      </c>
      <c r="W2110" t="s">
        <v>16078</v>
      </c>
      <c r="X2110">
        <v>10</v>
      </c>
      <c r="Y2110" t="s">
        <v>22986</v>
      </c>
      <c r="Z2110" t="s">
        <v>29820</v>
      </c>
      <c r="AA2110">
        <v>0.55484381602628086</v>
      </c>
      <c r="AB2110" t="str">
        <f>HYPERLINK("Melting_Curves/meltCurve_P09471_2_GNAO1.pdf", "Melting_Curves/meltCurve_P09471_2_GNAO1.pdf")</f>
        <v>Melting_Curves/meltCurve_P09471_2_GNAO1.pdf</v>
      </c>
    </row>
    <row r="2111" spans="1:28" x14ac:dyDescent="0.25">
      <c r="A2111" t="s">
        <v>2115</v>
      </c>
      <c r="B2111">
        <v>0.99999676499088797</v>
      </c>
      <c r="C2111">
        <v>1.05025097752886</v>
      </c>
      <c r="D2111">
        <v>0.82919338062147097</v>
      </c>
      <c r="E2111">
        <v>0.79411992049360702</v>
      </c>
      <c r="F2111">
        <v>0.42297160992036398</v>
      </c>
      <c r="G2111">
        <v>0.26965053924332399</v>
      </c>
      <c r="H2111">
        <v>0.14199406698917399</v>
      </c>
      <c r="I2111">
        <v>0.20311579141929101</v>
      </c>
      <c r="J2111">
        <v>8.6243358849036694E-2</v>
      </c>
      <c r="K2111">
        <v>0.14947291484361899</v>
      </c>
      <c r="L2111">
        <v>989.75001446290105</v>
      </c>
      <c r="M2111">
        <v>19.11676693255</v>
      </c>
      <c r="N2111">
        <v>52.555238369225101</v>
      </c>
      <c r="O2111">
        <v>51.217362283912401</v>
      </c>
      <c r="P2111">
        <v>-8.1773128775727899E-2</v>
      </c>
      <c r="Q2111">
        <v>0.12369261530905599</v>
      </c>
      <c r="R2111">
        <v>0.98074152347282695</v>
      </c>
      <c r="S2111" t="s">
        <v>9114</v>
      </c>
      <c r="T2111" t="s">
        <v>14004</v>
      </c>
      <c r="U2111" t="s">
        <v>14004</v>
      </c>
      <c r="V2111" t="s">
        <v>14004</v>
      </c>
      <c r="W2111" t="s">
        <v>16079</v>
      </c>
      <c r="X2111">
        <v>1</v>
      </c>
      <c r="Y2111" t="s">
        <v>16079</v>
      </c>
      <c r="Z2111" t="s">
        <v>29821</v>
      </c>
      <c r="AA2111">
        <v>0.48077375293983388</v>
      </c>
      <c r="AB2111" t="str">
        <f>HYPERLINK("Melting_Curves/meltCurve_P09486_SPARC.pdf", "Melting_Curves/meltCurve_P09486_SPARC.pdf")</f>
        <v>Melting_Curves/meltCurve_P09486_SPARC.pdf</v>
      </c>
    </row>
    <row r="2112" spans="1:28" x14ac:dyDescent="0.25">
      <c r="A2112" t="s">
        <v>2116</v>
      </c>
      <c r="B2112">
        <v>0.99999676499088797</v>
      </c>
      <c r="C2112">
        <v>0.92841175874343496</v>
      </c>
      <c r="D2112">
        <v>0.90798626852201203</v>
      </c>
      <c r="E2112">
        <v>0.78820887471054801</v>
      </c>
      <c r="F2112">
        <v>0.33033060729550101</v>
      </c>
      <c r="G2112">
        <v>0.190080723818977</v>
      </c>
      <c r="H2112">
        <v>8.8781695532231503E-2</v>
      </c>
      <c r="I2112">
        <v>9.4971229641294494E-2</v>
      </c>
      <c r="J2112">
        <v>9.0318231993586795E-2</v>
      </c>
      <c r="K2112">
        <v>7.6904663898184497E-2</v>
      </c>
      <c r="L2112">
        <v>1319.7635246053901</v>
      </c>
      <c r="M2112">
        <v>25.628782459100499</v>
      </c>
      <c r="N2112">
        <v>51.867047726231696</v>
      </c>
      <c r="O2112">
        <v>51.184928580258699</v>
      </c>
      <c r="P2112">
        <v>-0.114677747905279</v>
      </c>
      <c r="Q2112">
        <v>8.3889493265159501E-2</v>
      </c>
      <c r="R2112">
        <v>0.99266697780229796</v>
      </c>
      <c r="S2112" t="s">
        <v>9115</v>
      </c>
      <c r="T2112" t="s">
        <v>14004</v>
      </c>
      <c r="U2112" t="s">
        <v>14004</v>
      </c>
      <c r="V2112" t="s">
        <v>14004</v>
      </c>
      <c r="W2112" t="s">
        <v>16080</v>
      </c>
      <c r="X2112">
        <v>19</v>
      </c>
      <c r="Y2112" t="s">
        <v>22987</v>
      </c>
      <c r="Z2112" t="s">
        <v>29822</v>
      </c>
      <c r="AA2112">
        <v>0.44285039138330279</v>
      </c>
      <c r="AB2112" t="str">
        <f>HYPERLINK("Melting_Curves/meltCurve_P09488_GSTM1.pdf", "Melting_Curves/meltCurve_P09488_GSTM1.pdf")</f>
        <v>Melting_Curves/meltCurve_P09488_GSTM1.pdf</v>
      </c>
    </row>
    <row r="2113" spans="1:28" x14ac:dyDescent="0.25">
      <c r="A2113" t="s">
        <v>2117</v>
      </c>
      <c r="B2113">
        <v>0.99999676499088797</v>
      </c>
      <c r="C2113">
        <v>1.0049562343237399</v>
      </c>
      <c r="D2113">
        <v>1.0028230251010899</v>
      </c>
      <c r="E2113">
        <v>0.96451894498616297</v>
      </c>
      <c r="F2113">
        <v>0.89533036969119095</v>
      </c>
      <c r="G2113">
        <v>0.87558683360804002</v>
      </c>
      <c r="H2113">
        <v>0.49580145321381403</v>
      </c>
      <c r="I2113">
        <v>0.60990775248339502</v>
      </c>
      <c r="J2113">
        <v>0.68466743600303004</v>
      </c>
      <c r="K2113">
        <v>0.657277888730737</v>
      </c>
      <c r="L2113">
        <v>14242.662564312201</v>
      </c>
      <c r="M2113">
        <v>250</v>
      </c>
      <c r="O2113">
        <v>56.967005326177102</v>
      </c>
      <c r="P2113">
        <v>-0.42577977232401798</v>
      </c>
      <c r="Q2113">
        <v>0.61191362906579105</v>
      </c>
      <c r="R2113">
        <v>0.89779677707773398</v>
      </c>
      <c r="S2113" t="s">
        <v>9116</v>
      </c>
      <c r="T2113" t="s">
        <v>14004</v>
      </c>
      <c r="U2113" t="s">
        <v>14004</v>
      </c>
      <c r="V2113" t="s">
        <v>14004</v>
      </c>
      <c r="W2113" t="s">
        <v>16081</v>
      </c>
      <c r="X2113">
        <v>15</v>
      </c>
      <c r="Y2113" t="s">
        <v>22988</v>
      </c>
      <c r="Z2113" t="s">
        <v>29823</v>
      </c>
      <c r="AA2113">
        <v>0.83148836664292403</v>
      </c>
      <c r="AB2113" t="str">
        <f>HYPERLINK("Melting_Curves/meltCurve_P09496_2_CLTA.pdf", "Melting_Curves/meltCurve_P09496_2_CLTA.pdf")</f>
        <v>Melting_Curves/meltCurve_P09496_2_CLTA.pdf</v>
      </c>
    </row>
    <row r="2114" spans="1:28" x14ac:dyDescent="0.25">
      <c r="A2114" t="s">
        <v>2118</v>
      </c>
      <c r="B2114">
        <v>0.99999676499088797</v>
      </c>
      <c r="C2114">
        <v>0.93346822509815397</v>
      </c>
      <c r="D2114">
        <v>0.98968149650522996</v>
      </c>
      <c r="E2114">
        <v>1.13851901091484</v>
      </c>
      <c r="F2114">
        <v>1.21704280316616</v>
      </c>
      <c r="G2114">
        <v>1.2528052321737499</v>
      </c>
      <c r="H2114">
        <v>0.88023167747368602</v>
      </c>
      <c r="I2114">
        <v>1.1550298267141399</v>
      </c>
      <c r="J2114">
        <v>1.13002249134788</v>
      </c>
      <c r="K2114">
        <v>1.24884655715976</v>
      </c>
      <c r="L2114">
        <v>12263.350341097001</v>
      </c>
      <c r="M2114">
        <v>250</v>
      </c>
      <c r="O2114">
        <v>49.050262280753302</v>
      </c>
      <c r="P2114">
        <v>0.18772805598679901</v>
      </c>
      <c r="Q2114">
        <v>1.1473297659389501</v>
      </c>
      <c r="R2114">
        <v>0.36917512115347301</v>
      </c>
      <c r="S2114" t="s">
        <v>9117</v>
      </c>
      <c r="T2114" t="s">
        <v>14004</v>
      </c>
      <c r="U2114" t="s">
        <v>14004</v>
      </c>
      <c r="V2114" t="s">
        <v>14004</v>
      </c>
      <c r="W2114" t="s">
        <v>16082</v>
      </c>
      <c r="X2114">
        <v>16</v>
      </c>
      <c r="Y2114" t="s">
        <v>22989</v>
      </c>
      <c r="Z2114" t="s">
        <v>29824</v>
      </c>
      <c r="AA2114">
        <v>1.1028558991549939</v>
      </c>
      <c r="AB2114" t="str">
        <f>HYPERLINK("Melting_Curves/meltCurve_P09497_2_CLTB.pdf", "Melting_Curves/meltCurve_P09497_2_CLTB.pdf")</f>
        <v>Melting_Curves/meltCurve_P09497_2_CLTB.pdf</v>
      </c>
    </row>
    <row r="2115" spans="1:28" x14ac:dyDescent="0.25">
      <c r="A2115" t="s">
        <v>2119</v>
      </c>
      <c r="B2115">
        <v>0.99999676499088797</v>
      </c>
      <c r="C2115">
        <v>0.97836625269400501</v>
      </c>
      <c r="D2115">
        <v>0.94958061077640199</v>
      </c>
      <c r="E2115">
        <v>0.54301295996606003</v>
      </c>
      <c r="F2115">
        <v>0.22751630268867701</v>
      </c>
      <c r="G2115">
        <v>0.173281469368748</v>
      </c>
      <c r="H2115">
        <v>8.2467935477604601E-2</v>
      </c>
      <c r="I2115">
        <v>0.109212477542652</v>
      </c>
      <c r="J2115">
        <v>0.1061007262682</v>
      </c>
      <c r="K2115">
        <v>8.0233429433023598E-2</v>
      </c>
      <c r="L2115">
        <v>1431.73403003874</v>
      </c>
      <c r="M2115">
        <v>28.827320382944698</v>
      </c>
      <c r="N2115">
        <v>50.072177606085901</v>
      </c>
      <c r="O2115">
        <v>49.428711916489199</v>
      </c>
      <c r="P2115">
        <v>-0.130597881316802</v>
      </c>
      <c r="Q2115">
        <v>0.104289172861027</v>
      </c>
      <c r="R2115">
        <v>0.99665857816526304</v>
      </c>
      <c r="S2115" t="s">
        <v>9118</v>
      </c>
      <c r="T2115" t="s">
        <v>14004</v>
      </c>
      <c r="U2115" t="s">
        <v>14004</v>
      </c>
      <c r="V2115" t="s">
        <v>14004</v>
      </c>
      <c r="W2115" t="s">
        <v>16083</v>
      </c>
      <c r="X2115">
        <v>13</v>
      </c>
      <c r="Y2115" t="s">
        <v>22990</v>
      </c>
      <c r="Z2115" t="s">
        <v>29825</v>
      </c>
      <c r="AA2115">
        <v>0.39885898103937828</v>
      </c>
      <c r="AB2115" t="str">
        <f>HYPERLINK("Melting_Curves/meltCurve_P09525_ANXA4.pdf", "Melting_Curves/meltCurve_P09525_ANXA4.pdf")</f>
        <v>Melting_Curves/meltCurve_P09525_ANXA4.pdf</v>
      </c>
    </row>
    <row r="2116" spans="1:28" x14ac:dyDescent="0.25">
      <c r="A2116" t="s">
        <v>2120</v>
      </c>
      <c r="B2116">
        <v>0.99999676499088797</v>
      </c>
      <c r="C2116">
        <v>1.0437061152596501</v>
      </c>
      <c r="D2116">
        <v>0.98555797937135603</v>
      </c>
      <c r="E2116">
        <v>0.82104793186624303</v>
      </c>
      <c r="F2116">
        <v>0.26373007386633301</v>
      </c>
      <c r="G2116">
        <v>0.12956476100792699</v>
      </c>
      <c r="H2116">
        <v>6.1084431299214897E-2</v>
      </c>
      <c r="I2116">
        <v>5.7140333692377802E-2</v>
      </c>
      <c r="J2116">
        <v>4.7960060801385797E-2</v>
      </c>
      <c r="K2116">
        <v>5.0128945435154698E-2</v>
      </c>
      <c r="L2116">
        <v>1920.1827775757899</v>
      </c>
      <c r="M2116">
        <v>37.309602660856001</v>
      </c>
      <c r="N2116">
        <v>51.646491441795497</v>
      </c>
      <c r="O2116">
        <v>51.318995204513698</v>
      </c>
      <c r="P2116">
        <v>-0.170655084301258</v>
      </c>
      <c r="Q2116">
        <v>6.1064940250947601E-2</v>
      </c>
      <c r="R2116">
        <v>0.99774019615134402</v>
      </c>
      <c r="S2116" t="s">
        <v>9119</v>
      </c>
      <c r="T2116" t="s">
        <v>14004</v>
      </c>
      <c r="U2116" t="s">
        <v>14004</v>
      </c>
      <c r="V2116" t="s">
        <v>14004</v>
      </c>
      <c r="W2116" t="s">
        <v>16084</v>
      </c>
      <c r="X2116">
        <v>13</v>
      </c>
      <c r="Y2116" t="s">
        <v>22991</v>
      </c>
      <c r="Z2116" t="s">
        <v>29826</v>
      </c>
      <c r="AA2116">
        <v>0.42377332347516872</v>
      </c>
      <c r="AB2116" t="str">
        <f>HYPERLINK("Melting_Curves/meltCurve_P09543_2_CNP.pdf", "Melting_Curves/meltCurve_P09543_2_CNP.pdf")</f>
        <v>Melting_Curves/meltCurve_P09543_2_CNP.pdf</v>
      </c>
    </row>
    <row r="2117" spans="1:28" x14ac:dyDescent="0.25">
      <c r="A2117" t="s">
        <v>2121</v>
      </c>
      <c r="B2117">
        <v>0.99999676499088797</v>
      </c>
      <c r="C2117">
        <v>0.98175216288290701</v>
      </c>
      <c r="D2117">
        <v>1.0634789009988399</v>
      </c>
      <c r="E2117">
        <v>0.87774131790866305</v>
      </c>
      <c r="F2117">
        <v>0.87101533690114197</v>
      </c>
      <c r="G2117">
        <v>0.67806630192045703</v>
      </c>
      <c r="H2117">
        <v>0.43688217246099398</v>
      </c>
      <c r="I2117">
        <v>0.42301143864131202</v>
      </c>
      <c r="J2117">
        <v>0.33051985575974802</v>
      </c>
      <c r="K2117">
        <v>0.29117896506568403</v>
      </c>
      <c r="L2117">
        <v>931.99436887821003</v>
      </c>
      <c r="M2117">
        <v>16.2148414129184</v>
      </c>
      <c r="N2117">
        <v>60.277568897777499</v>
      </c>
      <c r="O2117">
        <v>56.624954595345102</v>
      </c>
      <c r="P2117">
        <v>-5.2653557831297701E-2</v>
      </c>
      <c r="Q2117">
        <v>0.264554420786063</v>
      </c>
      <c r="R2117">
        <v>0.98103365782198804</v>
      </c>
      <c r="S2117" t="s">
        <v>9120</v>
      </c>
      <c r="T2117" t="s">
        <v>14004</v>
      </c>
      <c r="U2117" t="s">
        <v>14004</v>
      </c>
      <c r="V2117" t="s">
        <v>14004</v>
      </c>
      <c r="W2117" t="s">
        <v>16085</v>
      </c>
      <c r="X2117">
        <v>4</v>
      </c>
      <c r="Y2117" t="s">
        <v>22992</v>
      </c>
      <c r="Z2117" t="s">
        <v>29827</v>
      </c>
      <c r="AA2117">
        <v>0.70344436774360897</v>
      </c>
      <c r="AB2117" t="str">
        <f>HYPERLINK("Melting_Curves/meltCurve_P09564_CD7.pdf", "Melting_Curves/meltCurve_P09564_CD7.pdf")</f>
        <v>Melting_Curves/meltCurve_P09564_CD7.pdf</v>
      </c>
    </row>
    <row r="2118" spans="1:28" x14ac:dyDescent="0.25">
      <c r="A2118" t="s">
        <v>2122</v>
      </c>
      <c r="B2118">
        <v>0.99999676499088797</v>
      </c>
      <c r="C2118">
        <v>1.05438200643635</v>
      </c>
      <c r="D2118">
        <v>1.0040210164928101</v>
      </c>
      <c r="E2118">
        <v>0.92143381287692605</v>
      </c>
      <c r="F2118">
        <v>0.94937719325536496</v>
      </c>
      <c r="G2118">
        <v>0.81234731858305398</v>
      </c>
      <c r="H2118">
        <v>0.61011492286635605</v>
      </c>
      <c r="I2118">
        <v>0.644338352542554</v>
      </c>
      <c r="J2118">
        <v>0.54357752009352001</v>
      </c>
      <c r="K2118">
        <v>0.65480299919603302</v>
      </c>
      <c r="L2118">
        <v>1812.83715029256</v>
      </c>
      <c r="M2118">
        <v>31.965142095531601</v>
      </c>
      <c r="O2118">
        <v>56.492359713121203</v>
      </c>
      <c r="P2118">
        <v>-5.6333211756726301E-2</v>
      </c>
      <c r="Q2118">
        <v>0.60176871805258503</v>
      </c>
      <c r="R2118">
        <v>0.94662375395906595</v>
      </c>
      <c r="S2118" t="s">
        <v>9121</v>
      </c>
      <c r="T2118" t="s">
        <v>14004</v>
      </c>
      <c r="U2118" t="s">
        <v>14004</v>
      </c>
      <c r="V2118" t="s">
        <v>14004</v>
      </c>
      <c r="W2118" t="s">
        <v>16086</v>
      </c>
      <c r="X2118">
        <v>29</v>
      </c>
      <c r="Y2118" t="s">
        <v>22993</v>
      </c>
      <c r="Z2118" t="s">
        <v>29828</v>
      </c>
      <c r="AA2118">
        <v>0.82599000842127568</v>
      </c>
      <c r="AB2118" t="str">
        <f>HYPERLINK("Melting_Curves/meltCurve_P09622_DLD.pdf", "Melting_Curves/meltCurve_P09622_DLD.pdf")</f>
        <v>Melting_Curves/meltCurve_P09622_DLD.pdf</v>
      </c>
    </row>
    <row r="2119" spans="1:28" x14ac:dyDescent="0.25">
      <c r="A2119" t="s">
        <v>2123</v>
      </c>
      <c r="B2119">
        <v>0.99999676499088797</v>
      </c>
      <c r="C2119">
        <v>1.01218963923839</v>
      </c>
      <c r="D2119">
        <v>1.00013693499333</v>
      </c>
      <c r="E2119">
        <v>0.845551570276735</v>
      </c>
      <c r="F2119">
        <v>0.67037282785322005</v>
      </c>
      <c r="G2119">
        <v>0.43239380072226602</v>
      </c>
      <c r="H2119">
        <v>7.8336953246858895E-2</v>
      </c>
      <c r="I2119">
        <v>7.0301865029470695E-2</v>
      </c>
      <c r="J2119">
        <v>6.8705928639710104E-2</v>
      </c>
      <c r="K2119">
        <v>5.9340552588857703E-2</v>
      </c>
      <c r="L2119">
        <v>1048.9748130284299</v>
      </c>
      <c r="M2119">
        <v>19.0304424202616</v>
      </c>
      <c r="N2119">
        <v>55.215584668785603</v>
      </c>
      <c r="O2119">
        <v>54.5230315093443</v>
      </c>
      <c r="P2119">
        <v>-8.5861010616434197E-2</v>
      </c>
      <c r="Q2119">
        <v>1.6056706371749399E-2</v>
      </c>
      <c r="R2119">
        <v>0.99133815656841795</v>
      </c>
      <c r="S2119" t="s">
        <v>9122</v>
      </c>
      <c r="T2119" t="s">
        <v>14004</v>
      </c>
      <c r="U2119" t="s">
        <v>14004</v>
      </c>
      <c r="V2119" t="s">
        <v>14004</v>
      </c>
      <c r="W2119" t="s">
        <v>16087</v>
      </c>
      <c r="X2119">
        <v>20</v>
      </c>
      <c r="Y2119" t="s">
        <v>22994</v>
      </c>
      <c r="Z2119" t="s">
        <v>29829</v>
      </c>
      <c r="AA2119">
        <v>0.52602534248962274</v>
      </c>
      <c r="AB2119" t="str">
        <f>HYPERLINK("Melting_Curves/meltCurve_P09661_SNRPA1.pdf", "Melting_Curves/meltCurve_P09661_SNRPA1.pdf")</f>
        <v>Melting_Curves/meltCurve_P09661_SNRPA1.pdf</v>
      </c>
    </row>
    <row r="2120" spans="1:28" x14ac:dyDescent="0.25">
      <c r="A2120" t="s">
        <v>2124</v>
      </c>
      <c r="B2120">
        <v>0.99999676499088797</v>
      </c>
      <c r="C2120">
        <v>1.1017207098217701</v>
      </c>
      <c r="D2120">
        <v>0.89246807459898503</v>
      </c>
      <c r="E2120">
        <v>0.59914968769767596</v>
      </c>
      <c r="F2120">
        <v>0.53101900044982897</v>
      </c>
      <c r="G2120">
        <v>0.31246546197561897</v>
      </c>
      <c r="H2120">
        <v>6.1912958627711102E-2</v>
      </c>
      <c r="I2120">
        <v>0.10215078449230899</v>
      </c>
      <c r="J2120">
        <v>8.81628738973987E-2</v>
      </c>
      <c r="K2120">
        <v>8.3638433246116001E-2</v>
      </c>
      <c r="L2120">
        <v>775.51995492105198</v>
      </c>
      <c r="M2120">
        <v>14.8234753132701</v>
      </c>
      <c r="N2120">
        <v>52.622753034184598</v>
      </c>
      <c r="O2120">
        <v>51.392569023852097</v>
      </c>
      <c r="P2120">
        <v>-6.9141125122131095E-2</v>
      </c>
      <c r="Q2120">
        <v>4.1260145666194702E-2</v>
      </c>
      <c r="R2120">
        <v>0.96996685946562999</v>
      </c>
      <c r="S2120" t="s">
        <v>9123</v>
      </c>
      <c r="T2120" t="s">
        <v>14004</v>
      </c>
      <c r="U2120" t="s">
        <v>14004</v>
      </c>
      <c r="V2120" t="s">
        <v>14004</v>
      </c>
      <c r="W2120" t="s">
        <v>16088</v>
      </c>
      <c r="X2120">
        <v>3</v>
      </c>
      <c r="Y2120" t="s">
        <v>22995</v>
      </c>
      <c r="Z2120" t="s">
        <v>29830</v>
      </c>
      <c r="AA2120">
        <v>0.4564539746218903</v>
      </c>
      <c r="AB2120" t="str">
        <f>HYPERLINK("Melting_Curves/meltCurve_P09668_CTSH.pdf", "Melting_Curves/meltCurve_P09668_CTSH.pdf")</f>
        <v>Melting_Curves/meltCurve_P09668_CTSH.pdf</v>
      </c>
    </row>
    <row r="2121" spans="1:28" x14ac:dyDescent="0.25">
      <c r="A2121" t="s">
        <v>2125</v>
      </c>
      <c r="B2121">
        <v>0.99999676499088797</v>
      </c>
      <c r="C2121">
        <v>1.0321434302783701</v>
      </c>
      <c r="D2121">
        <v>1.07498718363057</v>
      </c>
      <c r="E2121">
        <v>1.10811005775393</v>
      </c>
      <c r="F2121">
        <v>0.89474639550408797</v>
      </c>
      <c r="G2121">
        <v>0.91693074667871199</v>
      </c>
      <c r="H2121">
        <v>0.5251177656264</v>
      </c>
      <c r="I2121">
        <v>0.416827177623178</v>
      </c>
      <c r="J2121">
        <v>0.35088958922316599</v>
      </c>
      <c r="K2121">
        <v>0.33410464504527798</v>
      </c>
      <c r="L2121">
        <v>2078.67877971696</v>
      </c>
      <c r="M2121">
        <v>34.999481584000399</v>
      </c>
      <c r="N2121">
        <v>61.412936110446402</v>
      </c>
      <c r="O2121">
        <v>59.198833979653998</v>
      </c>
      <c r="P2121">
        <v>-9.7258327761477706E-2</v>
      </c>
      <c r="Q2121">
        <v>0.34198370975824599</v>
      </c>
      <c r="R2121">
        <v>0.96800438623009799</v>
      </c>
      <c r="S2121" t="s">
        <v>9124</v>
      </c>
      <c r="T2121" t="s">
        <v>14004</v>
      </c>
      <c r="U2121" t="s">
        <v>14004</v>
      </c>
      <c r="V2121" t="s">
        <v>14004</v>
      </c>
      <c r="W2121" t="s">
        <v>16089</v>
      </c>
      <c r="X2121">
        <v>10</v>
      </c>
      <c r="Y2121" t="s">
        <v>22996</v>
      </c>
      <c r="Z2121" t="s">
        <v>29831</v>
      </c>
      <c r="AA2121">
        <v>0.77058231720799231</v>
      </c>
      <c r="AB2121" t="str">
        <f>HYPERLINK("Melting_Curves/meltCurve_P09669_COX6C.pdf", "Melting_Curves/meltCurve_P09669_COX6C.pdf")</f>
        <v>Melting_Curves/meltCurve_P09669_COX6C.pdf</v>
      </c>
    </row>
    <row r="2122" spans="1:28" x14ac:dyDescent="0.25">
      <c r="A2122" t="s">
        <v>2126</v>
      </c>
      <c r="B2122">
        <v>0.99999676499088797</v>
      </c>
      <c r="C2122">
        <v>0.87828824808492301</v>
      </c>
      <c r="D2122">
        <v>0.86101780448213405</v>
      </c>
      <c r="E2122">
        <v>0.79162839868335999</v>
      </c>
      <c r="F2122">
        <v>0.56919534863419297</v>
      </c>
      <c r="G2122">
        <v>0.42048597454693398</v>
      </c>
      <c r="H2122">
        <v>0.24487041901617301</v>
      </c>
      <c r="I2122">
        <v>0.21994973584255001</v>
      </c>
      <c r="J2122">
        <v>0.177445084921136</v>
      </c>
      <c r="K2122">
        <v>0.18962438102063001</v>
      </c>
      <c r="L2122">
        <v>610.95523038211002</v>
      </c>
      <c r="M2122">
        <v>11.3969469483268</v>
      </c>
      <c r="N2122">
        <v>54.690212098367503</v>
      </c>
      <c r="O2122">
        <v>52.036102234588398</v>
      </c>
      <c r="P2122">
        <v>-4.9236915293048897E-2</v>
      </c>
      <c r="Q2122">
        <v>0.101042258818401</v>
      </c>
      <c r="R2122">
        <v>0.98841023477227796</v>
      </c>
      <c r="S2122" t="s">
        <v>9125</v>
      </c>
      <c r="T2122" t="s">
        <v>14004</v>
      </c>
      <c r="U2122" t="s">
        <v>14004</v>
      </c>
      <c r="V2122" t="s">
        <v>14004</v>
      </c>
      <c r="W2122" t="s">
        <v>16090</v>
      </c>
      <c r="X2122">
        <v>10</v>
      </c>
      <c r="Y2122" t="s">
        <v>22997</v>
      </c>
      <c r="Z2122" t="s">
        <v>29832</v>
      </c>
      <c r="AA2122">
        <v>0.53436371971347163</v>
      </c>
      <c r="AB2122" t="str">
        <f>HYPERLINK("Melting_Curves/meltCurve_P09693_CD3G.pdf", "Melting_Curves/meltCurve_P09693_CD3G.pdf")</f>
        <v>Melting_Curves/meltCurve_P09693_CD3G.pdf</v>
      </c>
    </row>
    <row r="2123" spans="1:28" x14ac:dyDescent="0.25">
      <c r="A2123" t="s">
        <v>2127</v>
      </c>
      <c r="B2123">
        <v>0.99999676499088797</v>
      </c>
      <c r="C2123">
        <v>1.06499488771107</v>
      </c>
      <c r="D2123">
        <v>0.95858202723390595</v>
      </c>
      <c r="E2123">
        <v>0.32444885816720498</v>
      </c>
      <c r="F2123">
        <v>0.18457584451697401</v>
      </c>
      <c r="G2123">
        <v>0.124560425781293</v>
      </c>
      <c r="H2123">
        <v>6.3456722936776302E-2</v>
      </c>
      <c r="I2123">
        <v>6.8427882235348805E-2</v>
      </c>
      <c r="J2123">
        <v>6.6051232483898104E-2</v>
      </c>
      <c r="K2123">
        <v>5.7163544089633901E-2</v>
      </c>
      <c r="L2123">
        <v>2361.1826699312401</v>
      </c>
      <c r="M2123">
        <v>48.603110706599402</v>
      </c>
      <c r="N2123">
        <v>48.780924015600696</v>
      </c>
      <c r="O2123">
        <v>48.498865742073399</v>
      </c>
      <c r="P2123">
        <v>-0.22790149075338101</v>
      </c>
      <c r="Q2123">
        <v>9.0350132676718597E-2</v>
      </c>
      <c r="R2123">
        <v>0.99095216989462898</v>
      </c>
      <c r="S2123" t="s">
        <v>9126</v>
      </c>
      <c r="T2123" t="s">
        <v>14004</v>
      </c>
      <c r="U2123" t="s">
        <v>14004</v>
      </c>
      <c r="V2123" t="s">
        <v>14004</v>
      </c>
      <c r="W2123" t="s">
        <v>16091</v>
      </c>
      <c r="X2123">
        <v>73</v>
      </c>
      <c r="Y2123" t="s">
        <v>22998</v>
      </c>
      <c r="Z2123" t="s">
        <v>29833</v>
      </c>
      <c r="AA2123">
        <v>0.35260138081263831</v>
      </c>
      <c r="AB2123" t="str">
        <f>HYPERLINK("Melting_Curves/meltCurve_P09874_PARP1.pdf", "Melting_Curves/meltCurve_P09874_PARP1.pdf")</f>
        <v>Melting_Curves/meltCurve_P09874_PARP1.pdf</v>
      </c>
    </row>
    <row r="2124" spans="1:28" x14ac:dyDescent="0.25">
      <c r="A2124" t="s">
        <v>2128</v>
      </c>
      <c r="B2124">
        <v>0.99999676499088797</v>
      </c>
      <c r="C2124">
        <v>1.14686578166512</v>
      </c>
      <c r="D2124">
        <v>1.16294085964218</v>
      </c>
      <c r="E2124">
        <v>1.28057790088358</v>
      </c>
      <c r="F2124">
        <v>0.88206872605958597</v>
      </c>
      <c r="G2124">
        <v>0.44802271728510301</v>
      </c>
      <c r="H2124">
        <v>0.15585427994280401</v>
      </c>
      <c r="I2124">
        <v>0.20428303169401299</v>
      </c>
      <c r="J2124">
        <v>0.19570791778004601</v>
      </c>
      <c r="K2124">
        <v>0.17820993256151199</v>
      </c>
      <c r="L2124">
        <v>2502.8619017925398</v>
      </c>
      <c r="M2124">
        <v>44.866837961414497</v>
      </c>
      <c r="N2124">
        <v>56.344282094832899</v>
      </c>
      <c r="O2124">
        <v>55.673744726081203</v>
      </c>
      <c r="P2124">
        <v>-0.16522782173848</v>
      </c>
      <c r="Q2124">
        <v>0.17989853101897799</v>
      </c>
      <c r="R2124">
        <v>0.93350010792687799</v>
      </c>
      <c r="S2124" t="s">
        <v>9127</v>
      </c>
      <c r="T2124" t="s">
        <v>14004</v>
      </c>
      <c r="U2124" t="s">
        <v>14004</v>
      </c>
      <c r="V2124" t="s">
        <v>14004</v>
      </c>
      <c r="W2124" t="s">
        <v>16092</v>
      </c>
      <c r="X2124">
        <v>37</v>
      </c>
      <c r="Y2124" t="s">
        <v>22999</v>
      </c>
      <c r="Z2124" t="s">
        <v>29834</v>
      </c>
      <c r="AA2124">
        <v>0.61389079883303832</v>
      </c>
      <c r="AB2124" t="str">
        <f>HYPERLINK("Melting_Curves/meltCurve_P09960_LTA4H.pdf", "Melting_Curves/meltCurve_P09960_LTA4H.pdf")</f>
        <v>Melting_Curves/meltCurve_P09960_LTA4H.pdf</v>
      </c>
    </row>
    <row r="2125" spans="1:28" x14ac:dyDescent="0.25">
      <c r="A2125" t="s">
        <v>2129</v>
      </c>
      <c r="B2125">
        <v>0.99999676499088797</v>
      </c>
      <c r="C2125">
        <v>1.02401211900828</v>
      </c>
      <c r="D2125">
        <v>1.0310201974770501</v>
      </c>
      <c r="E2125">
        <v>0.94967594321550497</v>
      </c>
      <c r="F2125">
        <v>0.95316522665725201</v>
      </c>
      <c r="G2125">
        <v>0.72210928817834197</v>
      </c>
      <c r="H2125">
        <v>0.268909215227711</v>
      </c>
      <c r="I2125">
        <v>0.12280280055390499</v>
      </c>
      <c r="J2125">
        <v>9.8031286138332799E-2</v>
      </c>
      <c r="K2125">
        <v>6.5961211232801006E-2</v>
      </c>
      <c r="L2125">
        <v>1817.5423650586099</v>
      </c>
      <c r="M2125">
        <v>31.168185040324801</v>
      </c>
      <c r="N2125">
        <v>58.596329326666797</v>
      </c>
      <c r="O2125">
        <v>58.0755521791693</v>
      </c>
      <c r="P2125">
        <v>-0.124817805338197</v>
      </c>
      <c r="Q2125">
        <v>6.9715186377489302E-2</v>
      </c>
      <c r="R2125">
        <v>0.99758507259072704</v>
      </c>
      <c r="S2125" t="s">
        <v>9128</v>
      </c>
      <c r="T2125" t="s">
        <v>14004</v>
      </c>
      <c r="U2125" t="s">
        <v>14004</v>
      </c>
      <c r="V2125" t="s">
        <v>14004</v>
      </c>
      <c r="W2125" t="s">
        <v>16093</v>
      </c>
      <c r="X2125">
        <v>38</v>
      </c>
      <c r="Y2125" t="s">
        <v>23000</v>
      </c>
      <c r="Z2125" t="s">
        <v>29835</v>
      </c>
      <c r="AA2125">
        <v>0.64333915726150404</v>
      </c>
      <c r="AB2125" t="str">
        <f>HYPERLINK("Melting_Curves/meltCurve_P09972_ALDOC.pdf", "Melting_Curves/meltCurve_P09972_ALDOC.pdf")</f>
        <v>Melting_Curves/meltCurve_P09972_ALDOC.pdf</v>
      </c>
    </row>
    <row r="2126" spans="1:28" x14ac:dyDescent="0.25">
      <c r="A2126" t="s">
        <v>2130</v>
      </c>
      <c r="B2126">
        <v>0.99999676499088797</v>
      </c>
      <c r="C2126">
        <v>1.07363415412348</v>
      </c>
      <c r="D2126">
        <v>1.07642371898103</v>
      </c>
      <c r="E2126">
        <v>0.986879730723208</v>
      </c>
      <c r="F2126">
        <v>0.33205975967663398</v>
      </c>
      <c r="G2126">
        <v>0.32754088011201399</v>
      </c>
      <c r="H2126">
        <v>0.17525961653279801</v>
      </c>
      <c r="I2126">
        <v>0.133136680277752</v>
      </c>
      <c r="J2126">
        <v>7.1295063375445195E-2</v>
      </c>
      <c r="K2126">
        <v>6.9413562950350394E-2</v>
      </c>
      <c r="L2126">
        <v>3196.8329322436002</v>
      </c>
      <c r="M2126">
        <v>61.324523291770703</v>
      </c>
      <c r="N2126">
        <v>52.440662437289099</v>
      </c>
      <c r="O2126">
        <v>52.074415019211997</v>
      </c>
      <c r="P2126">
        <v>-0.24953930049112899</v>
      </c>
      <c r="Q2126">
        <v>0.152403797101166</v>
      </c>
      <c r="R2126">
        <v>0.969556784540198</v>
      </c>
      <c r="S2126" t="s">
        <v>9129</v>
      </c>
      <c r="T2126" t="s">
        <v>14004</v>
      </c>
      <c r="U2126" t="s">
        <v>14004</v>
      </c>
      <c r="V2126" t="s">
        <v>14004</v>
      </c>
      <c r="W2126" t="s">
        <v>16094</v>
      </c>
      <c r="X2126">
        <v>5</v>
      </c>
      <c r="Y2126" t="s">
        <v>23001</v>
      </c>
      <c r="Z2126" t="s">
        <v>29836</v>
      </c>
      <c r="AA2126">
        <v>0.49640173507169222</v>
      </c>
      <c r="AB2126" t="str">
        <f>HYPERLINK("Melting_Curves/meltCurve_P0C7P0_CISD3.pdf", "Melting_Curves/meltCurve_P0C7P0_CISD3.pdf")</f>
        <v>Melting_Curves/meltCurve_P0C7P0_CISD3.pdf</v>
      </c>
    </row>
    <row r="2127" spans="1:28" x14ac:dyDescent="0.25">
      <c r="A2127" t="s">
        <v>2131</v>
      </c>
      <c r="B2127">
        <v>0.99999676499088797</v>
      </c>
      <c r="C2127">
        <v>1.45175743292115</v>
      </c>
      <c r="D2127">
        <v>1.33321616666391</v>
      </c>
      <c r="E2127">
        <v>0.67709828271363803</v>
      </c>
      <c r="F2127">
        <v>0.363801966663163</v>
      </c>
      <c r="G2127">
        <v>9.8850518409896698E-2</v>
      </c>
      <c r="H2127">
        <v>2.8604314091495199E-2</v>
      </c>
      <c r="I2127">
        <v>6.0513685437315903E-2</v>
      </c>
      <c r="J2127">
        <v>0.10784936311632801</v>
      </c>
      <c r="K2127">
        <v>2.16194134189126E-2</v>
      </c>
      <c r="L2127">
        <v>1649.0516824762601</v>
      </c>
      <c r="M2127">
        <v>32.028560890456497</v>
      </c>
      <c r="N2127">
        <v>51.685994088588799</v>
      </c>
      <c r="O2127">
        <v>51.2874643068876</v>
      </c>
      <c r="P2127">
        <v>-0.14706326048023999</v>
      </c>
      <c r="Q2127">
        <v>5.8033116465247898E-2</v>
      </c>
      <c r="R2127">
        <v>0.87730136976573503</v>
      </c>
      <c r="S2127" t="s">
        <v>9130</v>
      </c>
      <c r="T2127" t="s">
        <v>14004</v>
      </c>
      <c r="U2127" t="s">
        <v>14004</v>
      </c>
      <c r="V2127" t="s">
        <v>14004</v>
      </c>
      <c r="W2127" t="s">
        <v>16095</v>
      </c>
      <c r="X2127">
        <v>10</v>
      </c>
      <c r="Y2127" t="s">
        <v>23002</v>
      </c>
      <c r="Z2127" t="s">
        <v>29837</v>
      </c>
      <c r="AA2127">
        <v>0.42394762571303402</v>
      </c>
      <c r="AB2127" t="str">
        <f>HYPERLINK("Melting_Curves/meltCurve_P0C7P4_UQCRFS1P1.pdf", "Melting_Curves/meltCurve_P0C7P4_UQCRFS1P1.pdf")</f>
        <v>Melting_Curves/meltCurve_P0C7P4_UQCRFS1P1.pdf</v>
      </c>
    </row>
    <row r="2128" spans="1:28" x14ac:dyDescent="0.25">
      <c r="A2128" t="s">
        <v>2132</v>
      </c>
      <c r="B2128">
        <v>0.99999676499088797</v>
      </c>
      <c r="C2128">
        <v>0.96084283284804695</v>
      </c>
      <c r="D2128">
        <v>0.67595931494355899</v>
      </c>
      <c r="E2128">
        <v>0.42096254026990898</v>
      </c>
      <c r="F2128">
        <v>0.25187010946388999</v>
      </c>
      <c r="G2128">
        <v>0.16634608213035401</v>
      </c>
      <c r="H2128">
        <v>0.123280686909491</v>
      </c>
      <c r="I2128">
        <v>0.17614459623819201</v>
      </c>
      <c r="J2128">
        <v>0.19511239077211201</v>
      </c>
      <c r="K2128">
        <v>0.20550703328322101</v>
      </c>
      <c r="L2128">
        <v>1032.35254043032</v>
      </c>
      <c r="M2128">
        <v>21.803365843560801</v>
      </c>
      <c r="N2128">
        <v>48.274718903174097</v>
      </c>
      <c r="O2128">
        <v>46.955410748052003</v>
      </c>
      <c r="P2128">
        <v>-9.6242317347570702E-2</v>
      </c>
      <c r="Q2128">
        <v>0.17095497222394099</v>
      </c>
      <c r="R2128">
        <v>0.99103009082393601</v>
      </c>
      <c r="S2128" t="s">
        <v>9131</v>
      </c>
      <c r="T2128" t="s">
        <v>14004</v>
      </c>
      <c r="U2128" t="s">
        <v>14004</v>
      </c>
      <c r="V2128" t="s">
        <v>14004</v>
      </c>
      <c r="W2128" t="s">
        <v>16096</v>
      </c>
      <c r="X2128">
        <v>4</v>
      </c>
      <c r="Y2128" t="s">
        <v>23003</v>
      </c>
      <c r="Z2128" t="s">
        <v>29838</v>
      </c>
      <c r="AA2128">
        <v>0.38394865685387081</v>
      </c>
      <c r="AB2128" t="str">
        <f>HYPERLINK("Melting_Curves/meltCurve_P0C7T5_ATXN1L.pdf", "Melting_Curves/meltCurve_P0C7T5_ATXN1L.pdf")</f>
        <v>Melting_Curves/meltCurve_P0C7T5_ATXN1L.pdf</v>
      </c>
    </row>
    <row r="2129" spans="1:28" x14ac:dyDescent="0.25">
      <c r="A2129" t="s">
        <v>2133</v>
      </c>
      <c r="B2129">
        <v>0.99999676499088797</v>
      </c>
      <c r="C2129">
        <v>1.19793251824585</v>
      </c>
      <c r="D2129">
        <v>0.88630214391295503</v>
      </c>
      <c r="E2129">
        <v>0.51644091342590803</v>
      </c>
      <c r="F2129">
        <v>0.43252223227464598</v>
      </c>
      <c r="G2129">
        <v>0.51050302524042102</v>
      </c>
      <c r="H2129">
        <v>0.44401854083915598</v>
      </c>
      <c r="I2129">
        <v>0.48816348212869998</v>
      </c>
      <c r="J2129">
        <v>0.50484866520964999</v>
      </c>
      <c r="K2129">
        <v>0.46737155230528499</v>
      </c>
      <c r="L2129">
        <v>2808.7557639933302</v>
      </c>
      <c r="M2129">
        <v>59.689049763518803</v>
      </c>
      <c r="N2129">
        <v>49.611970274236597</v>
      </c>
      <c r="O2129">
        <v>47.003739554103603</v>
      </c>
      <c r="P2129">
        <v>-0.16606984851974299</v>
      </c>
      <c r="Q2129">
        <v>0.476895696755886</v>
      </c>
      <c r="R2129">
        <v>0.93386962204943103</v>
      </c>
      <c r="S2129" t="s">
        <v>9132</v>
      </c>
      <c r="T2129" t="s">
        <v>14004</v>
      </c>
      <c r="U2129" t="s">
        <v>14004</v>
      </c>
      <c r="V2129" t="s">
        <v>14004</v>
      </c>
      <c r="W2129" t="s">
        <v>16097</v>
      </c>
      <c r="X2129">
        <v>1</v>
      </c>
      <c r="Y2129" t="s">
        <v>23004</v>
      </c>
      <c r="Z2129" t="s">
        <v>29839</v>
      </c>
      <c r="AA2129">
        <v>0.60069884592477152</v>
      </c>
      <c r="AB2129" t="str">
        <f>HYPERLINK("Melting_Curves/meltCurve_P0C7V0_LINC00271.pdf", "Melting_Curves/meltCurve_P0C7V0_LINC00271.pdf")</f>
        <v>Melting_Curves/meltCurve_P0C7V0_LINC00271.pdf</v>
      </c>
    </row>
    <row r="2130" spans="1:28" x14ac:dyDescent="0.25">
      <c r="A2130" t="s">
        <v>2134</v>
      </c>
      <c r="B2130">
        <v>0.99999676499088797</v>
      </c>
      <c r="C2130">
        <v>1.04358167016287</v>
      </c>
      <c r="D2130">
        <v>0.96686441437956905</v>
      </c>
      <c r="E2130">
        <v>0.81474788159604905</v>
      </c>
      <c r="F2130">
        <v>0.81497206049932802</v>
      </c>
      <c r="G2130">
        <v>0.608979944794109</v>
      </c>
      <c r="H2130">
        <v>0.39747613752814098</v>
      </c>
      <c r="I2130">
        <v>0.52579140928580603</v>
      </c>
      <c r="J2130">
        <v>0.54563386731098096</v>
      </c>
      <c r="K2130">
        <v>0.63725324478624201</v>
      </c>
      <c r="L2130">
        <v>1067.9873224110099</v>
      </c>
      <c r="M2130">
        <v>20.349727899480801</v>
      </c>
      <c r="O2130">
        <v>51.982711883266099</v>
      </c>
      <c r="P2130">
        <v>-4.6525658777336498E-2</v>
      </c>
      <c r="Q2130">
        <v>0.52462120082854302</v>
      </c>
      <c r="R2130">
        <v>0.88589622246107003</v>
      </c>
      <c r="S2130" t="s">
        <v>9133</v>
      </c>
      <c r="T2130" t="s">
        <v>14004</v>
      </c>
      <c r="U2130" t="s">
        <v>14004</v>
      </c>
      <c r="V2130" t="s">
        <v>14004</v>
      </c>
      <c r="W2130" t="s">
        <v>16098</v>
      </c>
      <c r="X2130">
        <v>13</v>
      </c>
      <c r="Y2130" t="s">
        <v>23005</v>
      </c>
      <c r="Z2130" t="s">
        <v>29840</v>
      </c>
      <c r="AA2130">
        <v>0.72877058323535604</v>
      </c>
      <c r="AB2130" t="str">
        <f>HYPERLINK("Melting_Curves/meltCurve_P0CAP2_POLR2M.pdf", "Melting_Curves/meltCurve_P0CAP2_POLR2M.pdf")</f>
        <v>Melting_Curves/meltCurve_P0CAP2_POLR2M.pdf</v>
      </c>
    </row>
    <row r="2131" spans="1:28" x14ac:dyDescent="0.25">
      <c r="A2131" t="s">
        <v>2135</v>
      </c>
      <c r="B2131">
        <v>0.99999676499088797</v>
      </c>
      <c r="C2131">
        <v>0.965568632129016</v>
      </c>
      <c r="D2131">
        <v>0.96768383437929395</v>
      </c>
      <c r="E2131">
        <v>0.81318592034974702</v>
      </c>
      <c r="F2131">
        <v>2.1538351049775399</v>
      </c>
      <c r="G2131">
        <v>0.53666115706815298</v>
      </c>
      <c r="H2131">
        <v>0.41994626614181002</v>
      </c>
      <c r="I2131">
        <v>0.301666602441785</v>
      </c>
      <c r="J2131">
        <v>0.34510685706479199</v>
      </c>
      <c r="K2131">
        <v>0.26404290835036298</v>
      </c>
      <c r="L2131">
        <v>14153.396831219499</v>
      </c>
      <c r="M2131">
        <v>250</v>
      </c>
      <c r="N2131">
        <v>56.862593891607503</v>
      </c>
      <c r="O2131">
        <v>56.609961232091997</v>
      </c>
      <c r="P2131">
        <v>-0.73674024860439102</v>
      </c>
      <c r="Q2131">
        <v>0.33269057245693501</v>
      </c>
      <c r="R2131">
        <v>0.52008403457300301</v>
      </c>
      <c r="S2131" t="s">
        <v>9134</v>
      </c>
      <c r="T2131" t="s">
        <v>14004</v>
      </c>
      <c r="U2131" t="s">
        <v>14004</v>
      </c>
      <c r="V2131" t="s">
        <v>14004</v>
      </c>
      <c r="W2131" t="s">
        <v>16099</v>
      </c>
      <c r="X2131">
        <v>3</v>
      </c>
      <c r="Y2131" t="s">
        <v>23006</v>
      </c>
      <c r="Z2131" t="s">
        <v>29841</v>
      </c>
      <c r="AA2131">
        <v>0.70230365520219862</v>
      </c>
      <c r="AB2131" t="str">
        <f>HYPERLINK("Melting_Curves/meltCurve_P0CG06_IGLC3.pdf", "Melting_Curves/meltCurve_P0CG06_IGLC3.pdf")</f>
        <v>Melting_Curves/meltCurve_P0CG06_IGLC3.pdf</v>
      </c>
    </row>
    <row r="2132" spans="1:28" x14ac:dyDescent="0.25">
      <c r="A2132" t="s">
        <v>2136</v>
      </c>
      <c r="B2132">
        <v>0.99999676499088797</v>
      </c>
      <c r="C2132">
        <v>0.94235076955878905</v>
      </c>
      <c r="D2132">
        <v>0.91590944268756502</v>
      </c>
      <c r="E2132">
        <v>0.82224387390395504</v>
      </c>
      <c r="F2132">
        <v>0.77098035063114401</v>
      </c>
      <c r="G2132">
        <v>0.65609677943151601</v>
      </c>
      <c r="H2132">
        <v>0.41731902783713298</v>
      </c>
      <c r="I2132">
        <v>0.55507704022008797</v>
      </c>
      <c r="J2132">
        <v>0.57351713492443601</v>
      </c>
      <c r="K2132">
        <v>0.64170930642199697</v>
      </c>
      <c r="L2132">
        <v>792.44192781537095</v>
      </c>
      <c r="M2132">
        <v>15.4156301478128</v>
      </c>
      <c r="O2132">
        <v>50.563355936807604</v>
      </c>
      <c r="P2132">
        <v>-3.4861219848219598E-2</v>
      </c>
      <c r="Q2132">
        <v>0.54266150110706202</v>
      </c>
      <c r="R2132">
        <v>0.87306306967666902</v>
      </c>
      <c r="S2132" t="s">
        <v>9135</v>
      </c>
      <c r="T2132" t="s">
        <v>14004</v>
      </c>
      <c r="U2132" t="s">
        <v>14004</v>
      </c>
      <c r="V2132" t="s">
        <v>14004</v>
      </c>
      <c r="W2132" t="s">
        <v>16100</v>
      </c>
      <c r="X2132">
        <v>7</v>
      </c>
      <c r="Y2132" t="s">
        <v>23007</v>
      </c>
      <c r="Z2132" t="s">
        <v>29842</v>
      </c>
      <c r="AA2132">
        <v>0.72650759949016075</v>
      </c>
      <c r="AB2132" t="str">
        <f>HYPERLINK("Melting_Curves/meltCurve_P0CG12_CHTF8.pdf", "Melting_Curves/meltCurve_P0CG12_CHTF8.pdf")</f>
        <v>Melting_Curves/meltCurve_P0CG12_CHTF8.pdf</v>
      </c>
    </row>
    <row r="2133" spans="1:28" x14ac:dyDescent="0.25">
      <c r="A2133" t="s">
        <v>2137</v>
      </c>
      <c r="B2133">
        <v>0.99999676499088797</v>
      </c>
      <c r="C2133">
        <v>1.1970202105648899</v>
      </c>
      <c r="D2133">
        <v>0.76438587064490204</v>
      </c>
      <c r="E2133">
        <v>0.34191801573234498</v>
      </c>
      <c r="F2133">
        <v>0.246802267432883</v>
      </c>
      <c r="G2133">
        <v>0.113847310568494</v>
      </c>
      <c r="H2133">
        <v>5.9423117713158502E-2</v>
      </c>
      <c r="I2133">
        <v>5.88189552618553E-2</v>
      </c>
      <c r="J2133">
        <v>0</v>
      </c>
      <c r="K2133">
        <v>0</v>
      </c>
      <c r="L2133">
        <v>1242.2644524914499</v>
      </c>
      <c r="M2133">
        <v>25.647616468210899</v>
      </c>
      <c r="N2133">
        <v>48.651236017803299</v>
      </c>
      <c r="O2133">
        <v>48.144291399910003</v>
      </c>
      <c r="P2133">
        <v>-0.12603537472555301</v>
      </c>
      <c r="Q2133">
        <v>5.3665061605506402E-2</v>
      </c>
      <c r="R2133">
        <v>0.95750976750094097</v>
      </c>
      <c r="S2133" t="s">
        <v>9136</v>
      </c>
      <c r="T2133" t="s">
        <v>14004</v>
      </c>
      <c r="U2133" t="s">
        <v>14004</v>
      </c>
      <c r="V2133" t="s">
        <v>14004</v>
      </c>
      <c r="W2133" t="s">
        <v>16101</v>
      </c>
      <c r="X2133">
        <v>2</v>
      </c>
      <c r="Y2133" t="s">
        <v>23007</v>
      </c>
      <c r="Z2133" t="s">
        <v>29843</v>
      </c>
      <c r="AA2133">
        <v>0.32769880902797621</v>
      </c>
      <c r="AB2133" t="str">
        <f>HYPERLINK("Melting_Curves/meltCurve_P0CG13_CHTF8.pdf", "Melting_Curves/meltCurve_P0CG13_CHTF8.pdf")</f>
        <v>Melting_Curves/meltCurve_P0CG13_CHTF8.pdf</v>
      </c>
    </row>
    <row r="2134" spans="1:28" x14ac:dyDescent="0.25">
      <c r="A2134" t="s">
        <v>2138</v>
      </c>
      <c r="B2134">
        <v>0.99999676499088797</v>
      </c>
      <c r="C2134">
        <v>1.14439691051614</v>
      </c>
      <c r="D2134">
        <v>0.95281324308650694</v>
      </c>
      <c r="E2134">
        <v>0.75934419251084595</v>
      </c>
      <c r="F2134">
        <v>0.52974565411725705</v>
      </c>
      <c r="G2134">
        <v>0.32935237358692798</v>
      </c>
      <c r="H2134">
        <v>0.13008599813666899</v>
      </c>
      <c r="I2134">
        <v>0.11966601761020999</v>
      </c>
      <c r="J2134">
        <v>0.124937349697176</v>
      </c>
      <c r="K2134">
        <v>0.101330371225654</v>
      </c>
      <c r="L2134">
        <v>976.10423849897302</v>
      </c>
      <c r="M2134">
        <v>18.430166139493402</v>
      </c>
      <c r="N2134">
        <v>53.539568235203198</v>
      </c>
      <c r="O2134">
        <v>52.3505952094783</v>
      </c>
      <c r="P2134">
        <v>-8.0086200472125696E-2</v>
      </c>
      <c r="Q2134">
        <v>9.0106568728355402E-2</v>
      </c>
      <c r="R2134">
        <v>0.98128115182978104</v>
      </c>
      <c r="S2134" t="s">
        <v>9137</v>
      </c>
      <c r="T2134" t="s">
        <v>14004</v>
      </c>
      <c r="U2134" t="s">
        <v>14004</v>
      </c>
      <c r="V2134" t="s">
        <v>14004</v>
      </c>
      <c r="W2134" t="s">
        <v>16102</v>
      </c>
      <c r="X2134">
        <v>15</v>
      </c>
      <c r="Y2134" t="s">
        <v>23008</v>
      </c>
      <c r="Z2134" t="s">
        <v>29844</v>
      </c>
      <c r="AA2134">
        <v>0.49760105661038412</v>
      </c>
      <c r="AB2134" t="str">
        <f>HYPERLINK("Melting_Curves/meltCurve_P0CW22_RPS17L.pdf", "Melting_Curves/meltCurve_P0CW22_RPS17L.pdf")</f>
        <v>Melting_Curves/meltCurve_P0CW22_RPS17L.pdf</v>
      </c>
    </row>
    <row r="2135" spans="1:28" x14ac:dyDescent="0.25">
      <c r="A2135" t="s">
        <v>2139</v>
      </c>
      <c r="B2135">
        <v>0.99999676499088797</v>
      </c>
      <c r="C2135">
        <v>1.27281605271678</v>
      </c>
      <c r="D2135">
        <v>1.0473900589391301</v>
      </c>
      <c r="E2135">
        <v>0.64158198430490598</v>
      </c>
      <c r="F2135">
        <v>0.47927721767155101</v>
      </c>
      <c r="G2135">
        <v>0.53785884545800899</v>
      </c>
      <c r="H2135">
        <v>0.27957271342129802</v>
      </c>
      <c r="I2135">
        <v>0.39148744609889402</v>
      </c>
      <c r="J2135">
        <v>0.34654659267950699</v>
      </c>
      <c r="K2135">
        <v>0.29599406371116599</v>
      </c>
      <c r="L2135">
        <v>2080.2707613094699</v>
      </c>
      <c r="M2135">
        <v>42.069881355211699</v>
      </c>
      <c r="N2135">
        <v>51.187197484236599</v>
      </c>
      <c r="O2135">
        <v>49.336644988547597</v>
      </c>
      <c r="P2135">
        <v>-0.13211126079552701</v>
      </c>
      <c r="Q2135">
        <v>0.38027725403365098</v>
      </c>
      <c r="R2135">
        <v>0.88612534451890101</v>
      </c>
      <c r="S2135" t="s">
        <v>9138</v>
      </c>
      <c r="T2135" t="s">
        <v>14004</v>
      </c>
      <c r="U2135" t="s">
        <v>14004</v>
      </c>
      <c r="V2135" t="s">
        <v>14004</v>
      </c>
      <c r="W2135" t="s">
        <v>16103</v>
      </c>
      <c r="X2135">
        <v>2</v>
      </c>
      <c r="Y2135" t="s">
        <v>23009</v>
      </c>
      <c r="Z2135" t="s">
        <v>29845</v>
      </c>
      <c r="AA2135">
        <v>0.57736257151847603</v>
      </c>
      <c r="AB2135" t="str">
        <f>HYPERLINK("Melting_Curves/meltCurve_P0DJ93_SMIM13.pdf", "Melting_Curves/meltCurve_P0DJ93_SMIM13.pdf")</f>
        <v>Melting_Curves/meltCurve_P0DJ93_SMIM13.pdf</v>
      </c>
    </row>
    <row r="2136" spans="1:28" x14ac:dyDescent="0.25">
      <c r="A2136" t="s">
        <v>2140</v>
      </c>
      <c r="B2136">
        <v>0.99999676499088797</v>
      </c>
      <c r="C2136">
        <v>0.95208098894411097</v>
      </c>
      <c r="D2136">
        <v>1.04150204450345</v>
      </c>
      <c r="E2136">
        <v>0.84427567527757597</v>
      </c>
      <c r="F2136">
        <v>0.83617145735742304</v>
      </c>
      <c r="G2136">
        <v>0.51222916384486505</v>
      </c>
      <c r="H2136">
        <v>0.28820567583342699</v>
      </c>
      <c r="I2136">
        <v>0.31873999413954701</v>
      </c>
      <c r="J2136">
        <v>0.29734058072318698</v>
      </c>
      <c r="K2136">
        <v>0.27823738481299398</v>
      </c>
      <c r="L2136">
        <v>1328.1966936465401</v>
      </c>
      <c r="M2136">
        <v>24.078744467484899</v>
      </c>
      <c r="N2136">
        <v>57.007312815629298</v>
      </c>
      <c r="O2136">
        <v>54.784310578450203</v>
      </c>
      <c r="P2136">
        <v>-8.0124956262423205E-2</v>
      </c>
      <c r="Q2136">
        <v>0.27080555546291302</v>
      </c>
      <c r="R2136">
        <v>0.97651341016509396</v>
      </c>
      <c r="S2136" t="s">
        <v>9139</v>
      </c>
      <c r="T2136" t="s">
        <v>14004</v>
      </c>
      <c r="U2136" t="s">
        <v>14004</v>
      </c>
      <c r="V2136" t="s">
        <v>14004</v>
      </c>
      <c r="W2136" t="s">
        <v>16104</v>
      </c>
      <c r="X2136">
        <v>6</v>
      </c>
      <c r="Y2136" t="s">
        <v>23010</v>
      </c>
      <c r="Z2136" t="s">
        <v>29846</v>
      </c>
      <c r="AA2136">
        <v>0.64649653277062147</v>
      </c>
      <c r="AB2136" t="str">
        <f>HYPERLINK("Melting_Curves/meltCurve_P10109_FDX1.pdf", "Melting_Curves/meltCurve_P10109_FDX1.pdf")</f>
        <v>Melting_Curves/meltCurve_P10109_FDX1.pdf</v>
      </c>
    </row>
    <row r="2137" spans="1:28" x14ac:dyDescent="0.25">
      <c r="A2137" t="s">
        <v>2141</v>
      </c>
      <c r="B2137">
        <v>0.99999676499088797</v>
      </c>
      <c r="C2137">
        <v>1.0240635879865001</v>
      </c>
      <c r="D2137">
        <v>1.0178763208839601</v>
      </c>
      <c r="E2137">
        <v>1.04821206624118</v>
      </c>
      <c r="F2137">
        <v>1.0106027412679801</v>
      </c>
      <c r="G2137">
        <v>0.77601717419151495</v>
      </c>
      <c r="H2137">
        <v>0.398697466234534</v>
      </c>
      <c r="I2137">
        <v>0.21777032953800299</v>
      </c>
      <c r="J2137">
        <v>0.15400449752015499</v>
      </c>
      <c r="K2137">
        <v>0.12251394724885301</v>
      </c>
      <c r="L2137">
        <v>1722.4386177496101</v>
      </c>
      <c r="M2137">
        <v>29.138046458337101</v>
      </c>
      <c r="N2137">
        <v>59.698440111892303</v>
      </c>
      <c r="O2137">
        <v>58.836722596055999</v>
      </c>
      <c r="P2137">
        <v>-0.108424650119899</v>
      </c>
      <c r="Q2137">
        <v>0.12426478692575101</v>
      </c>
      <c r="R2137">
        <v>0.995882723408411</v>
      </c>
      <c r="S2137" t="s">
        <v>9140</v>
      </c>
      <c r="T2137" t="s">
        <v>14004</v>
      </c>
      <c r="U2137" t="s">
        <v>14004</v>
      </c>
      <c r="V2137" t="s">
        <v>14004</v>
      </c>
      <c r="W2137" t="s">
        <v>16105</v>
      </c>
      <c r="X2137">
        <v>31</v>
      </c>
      <c r="Y2137" t="s">
        <v>23011</v>
      </c>
      <c r="Z2137" t="s">
        <v>29847</v>
      </c>
      <c r="AA2137">
        <v>0.68802450145381833</v>
      </c>
      <c r="AB2137" t="str">
        <f>HYPERLINK("Melting_Curves/meltCurve_P10155_TROVE2.pdf", "Melting_Curves/meltCurve_P10155_TROVE2.pdf")</f>
        <v>Melting_Curves/meltCurve_P10155_TROVE2.pdf</v>
      </c>
    </row>
    <row r="2138" spans="1:28" x14ac:dyDescent="0.25">
      <c r="A2138" t="s">
        <v>2142</v>
      </c>
      <c r="B2138">
        <v>0.99999676499088797</v>
      </c>
      <c r="C2138">
        <v>0.95003586035727605</v>
      </c>
      <c r="D2138">
        <v>0.99840684047166595</v>
      </c>
      <c r="E2138">
        <v>0.76416730177594105</v>
      </c>
      <c r="F2138">
        <v>0.68064284523172103</v>
      </c>
      <c r="G2138">
        <v>0.40700681839566799</v>
      </c>
      <c r="H2138">
        <v>0.25404695433431101</v>
      </c>
      <c r="I2138">
        <v>0.273576607242207</v>
      </c>
      <c r="J2138">
        <v>0.19474780048070001</v>
      </c>
      <c r="K2138">
        <v>9.8465898461320103E-2</v>
      </c>
      <c r="L2138">
        <v>743.61278535942597</v>
      </c>
      <c r="M2138">
        <v>13.6105493407844</v>
      </c>
      <c r="N2138">
        <v>55.585897560510801</v>
      </c>
      <c r="O2138">
        <v>53.496089598983097</v>
      </c>
      <c r="P2138">
        <v>-5.7008156526712803E-2</v>
      </c>
      <c r="Q2138">
        <v>0.10385326414616</v>
      </c>
      <c r="R2138">
        <v>0.98342209612358999</v>
      </c>
      <c r="S2138" t="s">
        <v>9141</v>
      </c>
      <c r="T2138" t="s">
        <v>14004</v>
      </c>
      <c r="U2138" t="s">
        <v>14004</v>
      </c>
      <c r="V2138" t="s">
        <v>14004</v>
      </c>
      <c r="W2138" t="s">
        <v>16106</v>
      </c>
      <c r="X2138">
        <v>1</v>
      </c>
      <c r="Y2138" t="s">
        <v>23012</v>
      </c>
      <c r="Z2138" t="s">
        <v>29848</v>
      </c>
      <c r="AA2138">
        <v>0.56064991882949278</v>
      </c>
      <c r="AB2138" t="str">
        <f>HYPERLINK("Melting_Curves/meltCurve_P10176_COX8A.pdf", "Melting_Curves/meltCurve_P10176_COX8A.pdf")</f>
        <v>Melting_Curves/meltCurve_P10176_COX8A.pdf</v>
      </c>
    </row>
    <row r="2139" spans="1:28" x14ac:dyDescent="0.25">
      <c r="A2139" t="s">
        <v>2143</v>
      </c>
      <c r="B2139">
        <v>0.99999676499088797</v>
      </c>
      <c r="C2139">
        <v>1.0194117185942499</v>
      </c>
      <c r="D2139">
        <v>1.03823636634251</v>
      </c>
      <c r="E2139">
        <v>1.11587394381925</v>
      </c>
      <c r="F2139">
        <v>1.10609416771869</v>
      </c>
      <c r="G2139">
        <v>0.92936875958972198</v>
      </c>
      <c r="H2139">
        <v>0.50136481655158405</v>
      </c>
      <c r="I2139">
        <v>0.29798693261525599</v>
      </c>
      <c r="J2139">
        <v>0.20505216210180199</v>
      </c>
      <c r="K2139">
        <v>0.203193360019885</v>
      </c>
      <c r="L2139">
        <v>2432.7107860247702</v>
      </c>
      <c r="M2139">
        <v>40.487903856747202</v>
      </c>
      <c r="N2139">
        <v>60.89261553491</v>
      </c>
      <c r="O2139">
        <v>59.938859143335598</v>
      </c>
      <c r="P2139">
        <v>-0.133785340303889</v>
      </c>
      <c r="Q2139">
        <v>0.20777081838268399</v>
      </c>
      <c r="R2139">
        <v>0.97913162076822602</v>
      </c>
      <c r="S2139" t="s">
        <v>9142</v>
      </c>
      <c r="T2139" t="s">
        <v>14004</v>
      </c>
      <c r="U2139" t="s">
        <v>14004</v>
      </c>
      <c r="V2139" t="s">
        <v>14004</v>
      </c>
      <c r="W2139" t="s">
        <v>16107</v>
      </c>
      <c r="X2139">
        <v>21</v>
      </c>
      <c r="Y2139" t="s">
        <v>23013</v>
      </c>
      <c r="Z2139" t="s">
        <v>29849</v>
      </c>
      <c r="AA2139">
        <v>0.74119433701698934</v>
      </c>
      <c r="AB2139" t="str">
        <f>HYPERLINK("Melting_Curves/meltCurve_P10253_GAA.pdf", "Melting_Curves/meltCurve_P10253_GAA.pdf")</f>
        <v>Melting_Curves/meltCurve_P10253_GAA.pdf</v>
      </c>
    </row>
    <row r="2140" spans="1:28" x14ac:dyDescent="0.25">
      <c r="A2140" t="s">
        <v>2144</v>
      </c>
      <c r="B2140">
        <v>0.99999676499088797</v>
      </c>
      <c r="C2140">
        <v>1.0144403298184801</v>
      </c>
      <c r="D2140">
        <v>0.98158955281937499</v>
      </c>
      <c r="E2140">
        <v>1.04641488383587</v>
      </c>
      <c r="F2140">
        <v>1.1494736250170601</v>
      </c>
      <c r="G2140">
        <v>0.92271930735266305</v>
      </c>
      <c r="H2140">
        <v>0.46809361852307402</v>
      </c>
      <c r="I2140">
        <v>0.23909084418672399</v>
      </c>
      <c r="J2140">
        <v>0.14429202779669401</v>
      </c>
      <c r="K2140">
        <v>0.134844896431386</v>
      </c>
      <c r="L2140">
        <v>2439.0467249666199</v>
      </c>
      <c r="M2140">
        <v>40.558508762273</v>
      </c>
      <c r="N2140">
        <v>60.637376409288002</v>
      </c>
      <c r="O2140">
        <v>59.990860184723601</v>
      </c>
      <c r="P2140">
        <v>-0.144961874117044</v>
      </c>
      <c r="Q2140">
        <v>0.14233824850648</v>
      </c>
      <c r="R2140">
        <v>0.982054178245093</v>
      </c>
      <c r="S2140" t="s">
        <v>9143</v>
      </c>
      <c r="T2140" t="s">
        <v>14004</v>
      </c>
      <c r="U2140" t="s">
        <v>14004</v>
      </c>
      <c r="V2140" t="s">
        <v>14004</v>
      </c>
      <c r="W2140" t="s">
        <v>16108</v>
      </c>
      <c r="X2140">
        <v>11</v>
      </c>
      <c r="Y2140" t="s">
        <v>23014</v>
      </c>
      <c r="Z2140" t="s">
        <v>29850</v>
      </c>
      <c r="AA2140">
        <v>0.72128194005539259</v>
      </c>
      <c r="AB2140" t="str">
        <f>HYPERLINK("Melting_Curves/meltCurve_P10301_RRAS.pdf", "Melting_Curves/meltCurve_P10301_RRAS.pdf")</f>
        <v>Melting_Curves/meltCurve_P10301_RRAS.pdf</v>
      </c>
    </row>
    <row r="2141" spans="1:28" x14ac:dyDescent="0.25">
      <c r="A2141" t="s">
        <v>2145</v>
      </c>
      <c r="B2141">
        <v>0.99999676499088797</v>
      </c>
      <c r="C2141">
        <v>0.95048956173884502</v>
      </c>
      <c r="D2141">
        <v>0.99570035488624797</v>
      </c>
      <c r="E2141">
        <v>0.85340884308492904</v>
      </c>
      <c r="F2141">
        <v>0.73298427608282501</v>
      </c>
      <c r="G2141">
        <v>0.69221018380864996</v>
      </c>
      <c r="H2141">
        <v>0.39299553015000699</v>
      </c>
      <c r="I2141">
        <v>0.44317778825729498</v>
      </c>
      <c r="J2141">
        <v>0.35177812072154702</v>
      </c>
      <c r="K2141">
        <v>0.405878620246372</v>
      </c>
      <c r="L2141">
        <v>751.39301729759802</v>
      </c>
      <c r="M2141">
        <v>13.5784094952543</v>
      </c>
      <c r="N2141">
        <v>60.051924063098603</v>
      </c>
      <c r="O2141">
        <v>54.178464083697101</v>
      </c>
      <c r="P2141">
        <v>-4.2122852078058999E-2</v>
      </c>
      <c r="Q2141">
        <v>0.32781192471955101</v>
      </c>
      <c r="R2141">
        <v>0.96418390098279505</v>
      </c>
      <c r="S2141" t="s">
        <v>9144</v>
      </c>
      <c r="T2141" t="s">
        <v>14004</v>
      </c>
      <c r="U2141" t="s">
        <v>14004</v>
      </c>
      <c r="V2141" t="s">
        <v>14004</v>
      </c>
      <c r="W2141" t="s">
        <v>16109</v>
      </c>
      <c r="X2141">
        <v>18</v>
      </c>
      <c r="Y2141" t="s">
        <v>23015</v>
      </c>
      <c r="Z2141" t="s">
        <v>29851</v>
      </c>
      <c r="AA2141">
        <v>0.68529838221787875</v>
      </c>
      <c r="AB2141" t="str">
        <f>HYPERLINK("Melting_Curves/meltCurve_P10316_HLA_A.pdf", "Melting_Curves/meltCurve_P10316_HLA_A.pdf")</f>
        <v>Melting_Curves/meltCurve_P10316_HLA_A.pdf</v>
      </c>
    </row>
    <row r="2142" spans="1:28" x14ac:dyDescent="0.25">
      <c r="A2142" t="s">
        <v>2146</v>
      </c>
      <c r="B2142">
        <v>0.99999676499088797</v>
      </c>
      <c r="C2142">
        <v>0.98839232678562405</v>
      </c>
      <c r="D2142">
        <v>0.960922242167084</v>
      </c>
      <c r="E2142">
        <v>0.505466431312252</v>
      </c>
      <c r="F2142">
        <v>0.20976740654162901</v>
      </c>
      <c r="G2142">
        <v>0.13832693834648699</v>
      </c>
      <c r="H2142">
        <v>9.5844166285795895E-2</v>
      </c>
      <c r="I2142">
        <v>7.80658458651107E-2</v>
      </c>
      <c r="J2142">
        <v>9.5473564370443006E-2</v>
      </c>
      <c r="K2142">
        <v>8.0888553296141599E-2</v>
      </c>
      <c r="L2142">
        <v>1588.14103406196</v>
      </c>
      <c r="M2142">
        <v>32.115802248068299</v>
      </c>
      <c r="N2142">
        <v>49.786713478640898</v>
      </c>
      <c r="O2142">
        <v>49.259909829729402</v>
      </c>
      <c r="P2142">
        <v>-0.14710086281603399</v>
      </c>
      <c r="Q2142">
        <v>9.7498580179159106E-2</v>
      </c>
      <c r="R2142">
        <v>0.99744074974628305</v>
      </c>
      <c r="S2142" t="s">
        <v>9145</v>
      </c>
      <c r="T2142" t="s">
        <v>14004</v>
      </c>
      <c r="U2142" t="s">
        <v>14004</v>
      </c>
      <c r="V2142" t="s">
        <v>14004</v>
      </c>
      <c r="W2142" t="s">
        <v>16110</v>
      </c>
      <c r="X2142">
        <v>6</v>
      </c>
      <c r="Y2142" t="s">
        <v>23016</v>
      </c>
      <c r="Z2142" t="s">
        <v>29852</v>
      </c>
      <c r="AA2142">
        <v>0.38661724080868137</v>
      </c>
      <c r="AB2142" t="str">
        <f>HYPERLINK("Melting_Curves/meltCurve_P10398_ARAF.pdf", "Melting_Curves/meltCurve_P10398_ARAF.pdf")</f>
        <v>Melting_Curves/meltCurve_P10398_ARAF.pdf</v>
      </c>
    </row>
    <row r="2143" spans="1:28" x14ac:dyDescent="0.25">
      <c r="A2143" t="s">
        <v>2147</v>
      </c>
      <c r="B2143">
        <v>0.99999676499088797</v>
      </c>
      <c r="C2143">
        <v>1.1003736378690201</v>
      </c>
      <c r="D2143">
        <v>1.13215204382463</v>
      </c>
      <c r="E2143">
        <v>0.92977361083538801</v>
      </c>
      <c r="F2143">
        <v>0.73770928479198405</v>
      </c>
      <c r="G2143">
        <v>0.95399003266940596</v>
      </c>
      <c r="H2143">
        <v>0.72574428697260596</v>
      </c>
      <c r="I2143">
        <v>0.38239766244789802</v>
      </c>
      <c r="J2143">
        <v>0.28274198532335199</v>
      </c>
      <c r="K2143">
        <v>0.34517315247675601</v>
      </c>
      <c r="L2143">
        <v>2854.4329859088102</v>
      </c>
      <c r="M2143">
        <v>46.574876082937401</v>
      </c>
      <c r="N2143">
        <v>62.5529939582553</v>
      </c>
      <c r="O2143">
        <v>61.174315231723099</v>
      </c>
      <c r="P2143">
        <v>-0.132246230828406</v>
      </c>
      <c r="Q2143">
        <v>0.30519949364875198</v>
      </c>
      <c r="R2143">
        <v>0.88665595043255696</v>
      </c>
      <c r="S2143" t="s">
        <v>9146</v>
      </c>
      <c r="T2143" t="s">
        <v>14004</v>
      </c>
      <c r="U2143" t="s">
        <v>14004</v>
      </c>
      <c r="V2143" t="s">
        <v>14004</v>
      </c>
      <c r="W2143" t="s">
        <v>16111</v>
      </c>
      <c r="X2143">
        <v>11</v>
      </c>
      <c r="Y2143" t="s">
        <v>23017</v>
      </c>
      <c r="Z2143" t="s">
        <v>29853</v>
      </c>
      <c r="AA2143">
        <v>0.80024574885951349</v>
      </c>
      <c r="AB2143" t="str">
        <f>HYPERLINK("Melting_Curves/meltCurve_P10412_HIST1H1E.pdf", "Melting_Curves/meltCurve_P10412_HIST1H1E.pdf")</f>
        <v>Melting_Curves/meltCurve_P10412_HIST1H1E.pdf</v>
      </c>
    </row>
    <row r="2144" spans="1:28" x14ac:dyDescent="0.25">
      <c r="A2144" t="s">
        <v>2148</v>
      </c>
      <c r="B2144">
        <v>0.99999676499088797</v>
      </c>
      <c r="C2144">
        <v>1.0782732094773799</v>
      </c>
      <c r="D2144">
        <v>1.24715717615776</v>
      </c>
      <c r="E2144">
        <v>1.4673721148993599</v>
      </c>
      <c r="F2144">
        <v>1.1292513653421801</v>
      </c>
      <c r="G2144">
        <v>0.56208768385707197</v>
      </c>
      <c r="H2144">
        <v>0.18629823986105801</v>
      </c>
      <c r="I2144">
        <v>0.158464236854374</v>
      </c>
      <c r="J2144">
        <v>0.147247423615603</v>
      </c>
      <c r="K2144">
        <v>0.120112824174821</v>
      </c>
      <c r="L2144">
        <v>14196.128286388001</v>
      </c>
      <c r="M2144">
        <v>250</v>
      </c>
      <c r="N2144">
        <v>56.8676221807996</v>
      </c>
      <c r="O2144">
        <v>56.7808950431169</v>
      </c>
      <c r="P2144">
        <v>-0.93227833346123401</v>
      </c>
      <c r="Q2144">
        <v>0.15303066335896101</v>
      </c>
      <c r="R2144">
        <v>0.87924954723144</v>
      </c>
      <c r="S2144" t="s">
        <v>9147</v>
      </c>
      <c r="T2144" t="s">
        <v>14004</v>
      </c>
      <c r="U2144" t="s">
        <v>14004</v>
      </c>
      <c r="V2144" t="s">
        <v>14004</v>
      </c>
      <c r="W2144" t="s">
        <v>16112</v>
      </c>
      <c r="X2144">
        <v>17</v>
      </c>
      <c r="Y2144" t="s">
        <v>23018</v>
      </c>
      <c r="Z2144" t="s">
        <v>29854</v>
      </c>
      <c r="AA2144">
        <v>0.62698066770601768</v>
      </c>
      <c r="AB2144" t="str">
        <f>HYPERLINK("Melting_Curves/meltCurve_P10515_DLAT.pdf", "Melting_Curves/meltCurve_P10515_DLAT.pdf")</f>
        <v>Melting_Curves/meltCurve_P10515_DLAT.pdf</v>
      </c>
    </row>
    <row r="2145" spans="1:28" x14ac:dyDescent="0.25">
      <c r="A2145" t="s">
        <v>2149</v>
      </c>
      <c r="B2145">
        <v>0.99999676499088797</v>
      </c>
      <c r="C2145">
        <v>1.0991529155233899</v>
      </c>
      <c r="D2145">
        <v>0.97898804643498505</v>
      </c>
      <c r="E2145">
        <v>0.702956779889369</v>
      </c>
      <c r="F2145">
        <v>0.497720552633374</v>
      </c>
      <c r="G2145">
        <v>0.45535228504473302</v>
      </c>
      <c r="H2145">
        <v>0.245154815216444</v>
      </c>
      <c r="I2145">
        <v>0.243171223146155</v>
      </c>
      <c r="J2145">
        <v>0.21207416227054601</v>
      </c>
      <c r="K2145">
        <v>0.20313282510352301</v>
      </c>
      <c r="L2145">
        <v>883.08895559101495</v>
      </c>
      <c r="M2145">
        <v>16.965453381467</v>
      </c>
      <c r="N2145">
        <v>53.748560101279502</v>
      </c>
      <c r="O2145">
        <v>51.345103553271699</v>
      </c>
      <c r="P2145">
        <v>-6.5485260061545397E-2</v>
      </c>
      <c r="Q2145">
        <v>0.20729747887993299</v>
      </c>
      <c r="R2145">
        <v>0.97218826143171</v>
      </c>
      <c r="S2145" t="s">
        <v>9148</v>
      </c>
      <c r="T2145" t="s">
        <v>14004</v>
      </c>
      <c r="U2145" t="s">
        <v>14004</v>
      </c>
      <c r="V2145" t="s">
        <v>14004</v>
      </c>
      <c r="W2145" t="s">
        <v>16113</v>
      </c>
      <c r="X2145">
        <v>25</v>
      </c>
      <c r="Y2145" t="s">
        <v>23019</v>
      </c>
      <c r="Z2145" t="s">
        <v>29855</v>
      </c>
      <c r="AA2145">
        <v>0.54031171039089143</v>
      </c>
      <c r="AB2145" t="str">
        <f>HYPERLINK("Melting_Curves/meltCurve_P10586_2_PTPRF.pdf", "Melting_Curves/meltCurve_P10586_2_PTPRF.pdf")</f>
        <v>Melting_Curves/meltCurve_P10586_2_PTPRF.pdf</v>
      </c>
    </row>
    <row r="2146" spans="1:28" x14ac:dyDescent="0.25">
      <c r="A2146" t="s">
        <v>2150</v>
      </c>
      <c r="B2146">
        <v>0.99999676499088797</v>
      </c>
      <c r="C2146">
        <v>1.0552088602157801</v>
      </c>
      <c r="D2146">
        <v>1.0257150716216801</v>
      </c>
      <c r="E2146">
        <v>0.98414578657363905</v>
      </c>
      <c r="F2146">
        <v>0.93157747942413405</v>
      </c>
      <c r="G2146">
        <v>0.90131877635674895</v>
      </c>
      <c r="H2146">
        <v>0.60386854124335498</v>
      </c>
      <c r="I2146">
        <v>0.64983083915960604</v>
      </c>
      <c r="J2146">
        <v>0.64009694240536696</v>
      </c>
      <c r="K2146">
        <v>0.61251237626552102</v>
      </c>
      <c r="L2146">
        <v>14258.1595664223</v>
      </c>
      <c r="M2146">
        <v>250</v>
      </c>
      <c r="O2146">
        <v>57.028984124912803</v>
      </c>
      <c r="P2146">
        <v>-0.40924673790504801</v>
      </c>
      <c r="Q2146">
        <v>0.62657715988693496</v>
      </c>
      <c r="R2146">
        <v>0.96879094193496795</v>
      </c>
      <c r="S2146" t="s">
        <v>9149</v>
      </c>
      <c r="T2146" t="s">
        <v>14004</v>
      </c>
      <c r="U2146" t="s">
        <v>14004</v>
      </c>
      <c r="V2146" t="s">
        <v>14004</v>
      </c>
      <c r="W2146" t="s">
        <v>16114</v>
      </c>
      <c r="X2146">
        <v>14</v>
      </c>
      <c r="Y2146" t="s">
        <v>23020</v>
      </c>
      <c r="Z2146" t="s">
        <v>29856</v>
      </c>
      <c r="AA2146">
        <v>0.83862707482540955</v>
      </c>
      <c r="AB2146" t="str">
        <f>HYPERLINK("Melting_Curves/meltCurve_P10599_TXN.pdf", "Melting_Curves/meltCurve_P10599_TXN.pdf")</f>
        <v>Melting_Curves/meltCurve_P10599_TXN.pdf</v>
      </c>
    </row>
    <row r="2147" spans="1:28" x14ac:dyDescent="0.25">
      <c r="A2147" t="s">
        <v>2151</v>
      </c>
      <c r="B2147">
        <v>0.99999676499088797</v>
      </c>
      <c r="C2147">
        <v>0.78784918910678403</v>
      </c>
      <c r="D2147">
        <v>0.86338617105863502</v>
      </c>
      <c r="E2147">
        <v>0.70515465289095303</v>
      </c>
      <c r="F2147">
        <v>0.64645527953380499</v>
      </c>
      <c r="G2147">
        <v>0.55916583035660905</v>
      </c>
      <c r="H2147">
        <v>0.42474618191315699</v>
      </c>
      <c r="I2147">
        <v>0.41996535298097598</v>
      </c>
      <c r="J2147">
        <v>0.343270406600932</v>
      </c>
      <c r="K2147">
        <v>0.34709171350384499</v>
      </c>
      <c r="L2147">
        <v>357.068886363947</v>
      </c>
      <c r="M2147">
        <v>6.4832486676352001</v>
      </c>
      <c r="N2147">
        <v>58.659267536698501</v>
      </c>
      <c r="O2147">
        <v>50.538449757338903</v>
      </c>
      <c r="P2147">
        <v>-2.6892292552634901E-2</v>
      </c>
      <c r="Q2147">
        <v>0.163523398046519</v>
      </c>
      <c r="R2147">
        <v>0.95959191171317204</v>
      </c>
      <c r="S2147" t="s">
        <v>9150</v>
      </c>
      <c r="T2147" t="s">
        <v>14004</v>
      </c>
      <c r="U2147" t="s">
        <v>14004</v>
      </c>
      <c r="V2147" t="s">
        <v>14004</v>
      </c>
      <c r="W2147" t="s">
        <v>16115</v>
      </c>
      <c r="X2147">
        <v>11</v>
      </c>
      <c r="Y2147" t="s">
        <v>23021</v>
      </c>
      <c r="Z2147" t="s">
        <v>29857</v>
      </c>
      <c r="AA2147">
        <v>0.60555593178553258</v>
      </c>
      <c r="AB2147" t="str">
        <f>HYPERLINK("Melting_Curves/meltCurve_P10606_COX5B.pdf", "Melting_Curves/meltCurve_P10606_COX5B.pdf")</f>
        <v>Melting_Curves/meltCurve_P10606_COX5B.pdf</v>
      </c>
    </row>
    <row r="2148" spans="1:28" x14ac:dyDescent="0.25">
      <c r="A2148" t="s">
        <v>2152</v>
      </c>
      <c r="B2148">
        <v>0.99999676499088797</v>
      </c>
      <c r="C2148">
        <v>0.95471543757633404</v>
      </c>
      <c r="D2148">
        <v>0.98413887604949701</v>
      </c>
      <c r="E2148">
        <v>1.24002398901972</v>
      </c>
      <c r="F2148">
        <v>1.21775220366684</v>
      </c>
      <c r="G2148">
        <v>0.90708731106219098</v>
      </c>
      <c r="H2148">
        <v>0.18877430925187499</v>
      </c>
      <c r="I2148">
        <v>0.125292366271894</v>
      </c>
      <c r="J2148">
        <v>0.106905092876472</v>
      </c>
      <c r="K2148">
        <v>0.11290989629116201</v>
      </c>
      <c r="L2148">
        <v>3994.8374385499501</v>
      </c>
      <c r="M2148">
        <v>68.132387903689306</v>
      </c>
      <c r="N2148">
        <v>58.858429360293101</v>
      </c>
      <c r="O2148">
        <v>58.583005651738503</v>
      </c>
      <c r="P2148">
        <v>-0.25742058528581302</v>
      </c>
      <c r="Q2148">
        <v>0.114637353593198</v>
      </c>
      <c r="R2148">
        <v>0.94921441826134501</v>
      </c>
      <c r="S2148" t="s">
        <v>9151</v>
      </c>
      <c r="T2148" t="s">
        <v>14004</v>
      </c>
      <c r="U2148" t="s">
        <v>14004</v>
      </c>
      <c r="V2148" t="s">
        <v>14004</v>
      </c>
      <c r="W2148" t="s">
        <v>16116</v>
      </c>
      <c r="X2148">
        <v>11</v>
      </c>
      <c r="Y2148" t="s">
        <v>23022</v>
      </c>
      <c r="Z2148" t="s">
        <v>29858</v>
      </c>
      <c r="AA2148">
        <v>0.6657790243410896</v>
      </c>
      <c r="AB2148" t="str">
        <f>HYPERLINK("Melting_Curves/meltCurve_P10619_CTSA.pdf", "Melting_Curves/meltCurve_P10619_CTSA.pdf")</f>
        <v>Melting_Curves/meltCurve_P10619_CTSA.pdf</v>
      </c>
    </row>
    <row r="2149" spans="1:28" x14ac:dyDescent="0.25">
      <c r="A2149" t="s">
        <v>2153</v>
      </c>
      <c r="B2149">
        <v>0.99999676499088797</v>
      </c>
      <c r="C2149">
        <v>0.93614446352872305</v>
      </c>
      <c r="D2149">
        <v>0.957406883596161</v>
      </c>
      <c r="E2149">
        <v>0.97320897330503497</v>
      </c>
      <c r="F2149">
        <v>0.94110632514384795</v>
      </c>
      <c r="G2149">
        <v>0.85830342138249205</v>
      </c>
      <c r="H2149">
        <v>0.61321486294652305</v>
      </c>
      <c r="I2149">
        <v>0.69062869863321197</v>
      </c>
      <c r="J2149">
        <v>0.59125649562435401</v>
      </c>
      <c r="K2149">
        <v>0.73531931363758896</v>
      </c>
      <c r="L2149">
        <v>14219.7729829331</v>
      </c>
      <c r="M2149">
        <v>250</v>
      </c>
      <c r="O2149">
        <v>56.875452131046998</v>
      </c>
      <c r="P2149">
        <v>-0.37625543017931601</v>
      </c>
      <c r="Q2149">
        <v>0.65760483757521404</v>
      </c>
      <c r="R2149">
        <v>0.89398847130728698</v>
      </c>
      <c r="S2149" t="s">
        <v>9152</v>
      </c>
      <c r="T2149" t="s">
        <v>14004</v>
      </c>
      <c r="U2149" t="s">
        <v>14004</v>
      </c>
      <c r="V2149" t="s">
        <v>14004</v>
      </c>
      <c r="W2149" t="s">
        <v>16117</v>
      </c>
      <c r="X2149">
        <v>19</v>
      </c>
      <c r="Y2149" t="s">
        <v>23023</v>
      </c>
      <c r="Z2149" t="s">
        <v>29859</v>
      </c>
      <c r="AA2149">
        <v>0.85028299690305176</v>
      </c>
      <c r="AB2149" t="str">
        <f>HYPERLINK("Melting_Curves/meltCurve_P10636_4_MAPT.pdf", "Melting_Curves/meltCurve_P10636_4_MAPT.pdf")</f>
        <v>Melting_Curves/meltCurve_P10636_4_MAPT.pdf</v>
      </c>
    </row>
    <row r="2150" spans="1:28" x14ac:dyDescent="0.25">
      <c r="A2150" t="s">
        <v>2154</v>
      </c>
      <c r="B2150">
        <v>0.99999676499088797</v>
      </c>
      <c r="C2150">
        <v>0.90437215179647401</v>
      </c>
      <c r="D2150">
        <v>0.88909718566602502</v>
      </c>
      <c r="E2150">
        <v>0.76009907610496497</v>
      </c>
      <c r="F2150">
        <v>0.23111568807692401</v>
      </c>
      <c r="G2150">
        <v>0.128487028394243</v>
      </c>
      <c r="H2150">
        <v>5.87593446016315E-2</v>
      </c>
      <c r="I2150">
        <v>5.7252095859521603E-2</v>
      </c>
      <c r="J2150">
        <v>5.7956595994923803E-2</v>
      </c>
      <c r="K2150">
        <v>4.8212064141126498E-2</v>
      </c>
      <c r="L2150">
        <v>1564.2485550321101</v>
      </c>
      <c r="M2150">
        <v>30.6561048592466</v>
      </c>
      <c r="N2150">
        <v>51.224559980227802</v>
      </c>
      <c r="O2150">
        <v>50.810029411318702</v>
      </c>
      <c r="P2150">
        <v>-0.142374794188423</v>
      </c>
      <c r="Q2150">
        <v>5.6106540486593998E-2</v>
      </c>
      <c r="R2150">
        <v>0.98812215335415199</v>
      </c>
      <c r="S2150" t="s">
        <v>9153</v>
      </c>
      <c r="T2150" t="s">
        <v>14004</v>
      </c>
      <c r="U2150" t="s">
        <v>14004</v>
      </c>
      <c r="V2150" t="s">
        <v>14004</v>
      </c>
      <c r="W2150" t="s">
        <v>16118</v>
      </c>
      <c r="X2150">
        <v>22</v>
      </c>
      <c r="Y2150" t="s">
        <v>23024</v>
      </c>
      <c r="Z2150" t="s">
        <v>29860</v>
      </c>
      <c r="AA2150">
        <v>0.4086940500878613</v>
      </c>
      <c r="AB2150" t="str">
        <f>HYPERLINK("Melting_Curves/meltCurve_P10644_PRKAR1A.pdf", "Melting_Curves/meltCurve_P10644_PRKAR1A.pdf")</f>
        <v>Melting_Curves/meltCurve_P10644_PRKAR1A.pdf</v>
      </c>
    </row>
    <row r="2151" spans="1:28" x14ac:dyDescent="0.25">
      <c r="A2151" t="s">
        <v>2155</v>
      </c>
      <c r="B2151">
        <v>0.99999676499088797</v>
      </c>
      <c r="C2151">
        <v>0.82842805212014203</v>
      </c>
      <c r="D2151">
        <v>0.84009630926565104</v>
      </c>
      <c r="E2151">
        <v>0.81740926418778603</v>
      </c>
      <c r="F2151">
        <v>0.72711824720807905</v>
      </c>
      <c r="G2151">
        <v>0.37706597280452903</v>
      </c>
      <c r="H2151">
        <v>0.23019957462568999</v>
      </c>
      <c r="I2151">
        <v>0.194695630521243</v>
      </c>
      <c r="J2151">
        <v>0.25485129508615401</v>
      </c>
      <c r="K2151">
        <v>0.23364960828621001</v>
      </c>
      <c r="L2151">
        <v>705.62520911696197</v>
      </c>
      <c r="M2151">
        <v>13.0994568300321</v>
      </c>
      <c r="N2151">
        <v>55.330909515951802</v>
      </c>
      <c r="O2151">
        <v>52.657786874483001</v>
      </c>
      <c r="P2151">
        <v>-5.3091472505642501E-2</v>
      </c>
      <c r="Q2151">
        <v>0.146468404851648</v>
      </c>
      <c r="R2151">
        <v>0.93790459598439402</v>
      </c>
      <c r="S2151" t="s">
        <v>9154</v>
      </c>
      <c r="T2151" t="s">
        <v>14004</v>
      </c>
      <c r="U2151" t="s">
        <v>14004</v>
      </c>
      <c r="V2151" t="s">
        <v>14004</v>
      </c>
      <c r="W2151" t="s">
        <v>16119</v>
      </c>
      <c r="X2151">
        <v>2</v>
      </c>
      <c r="Y2151" t="s">
        <v>23025</v>
      </c>
      <c r="Z2151" t="s">
        <v>29861</v>
      </c>
      <c r="AA2151">
        <v>0.56164981851887841</v>
      </c>
      <c r="AB2151" t="str">
        <f>HYPERLINK("Melting_Curves/meltCurve_P10721_2_KIT.pdf", "Melting_Curves/meltCurve_P10721_2_KIT.pdf")</f>
        <v>Melting_Curves/meltCurve_P10721_2_KIT.pdf</v>
      </c>
    </row>
    <row r="2152" spans="1:28" x14ac:dyDescent="0.25">
      <c r="A2152" t="s">
        <v>2156</v>
      </c>
      <c r="B2152">
        <v>0.99999676499088797</v>
      </c>
      <c r="C2152">
        <v>0.97155903784449804</v>
      </c>
      <c r="D2152">
        <v>0.95153942402637404</v>
      </c>
      <c r="E2152">
        <v>0.73492704663930597</v>
      </c>
      <c r="F2152">
        <v>0.22605270557207399</v>
      </c>
      <c r="G2152">
        <v>0.14062685174468101</v>
      </c>
      <c r="H2152">
        <v>7.0265895618430593E-2</v>
      </c>
      <c r="I2152">
        <v>8.0729136348852495E-2</v>
      </c>
      <c r="J2152">
        <v>6.5014758643330797E-2</v>
      </c>
      <c r="K2152">
        <v>5.3537837722358803E-2</v>
      </c>
      <c r="L2152">
        <v>1707.7692054761201</v>
      </c>
      <c r="M2152">
        <v>33.5766154645302</v>
      </c>
      <c r="N2152">
        <v>51.1014298720536</v>
      </c>
      <c r="O2152">
        <v>50.682468916223598</v>
      </c>
      <c r="P2152">
        <v>-0.15356274322792299</v>
      </c>
      <c r="Q2152">
        <v>7.2818309809526402E-2</v>
      </c>
      <c r="R2152">
        <v>0.99759638291798802</v>
      </c>
      <c r="S2152" t="s">
        <v>9155</v>
      </c>
      <c r="T2152" t="s">
        <v>14004</v>
      </c>
      <c r="U2152" t="s">
        <v>14004</v>
      </c>
      <c r="V2152" t="s">
        <v>14004</v>
      </c>
      <c r="W2152" t="s">
        <v>16120</v>
      </c>
      <c r="X2152">
        <v>7</v>
      </c>
      <c r="Y2152" t="s">
        <v>23026</v>
      </c>
      <c r="Z2152" t="s">
        <v>29862</v>
      </c>
      <c r="AA2152">
        <v>0.41315367260459379</v>
      </c>
      <c r="AB2152" t="str">
        <f>HYPERLINK("Melting_Curves/meltCurve_P10746_UROS.pdf", "Melting_Curves/meltCurve_P10746_UROS.pdf")</f>
        <v>Melting_Curves/meltCurve_P10746_UROS.pdf</v>
      </c>
    </row>
    <row r="2153" spans="1:28" x14ac:dyDescent="0.25">
      <c r="A2153" t="s">
        <v>2157</v>
      </c>
      <c r="B2153">
        <v>0.99999676499088797</v>
      </c>
      <c r="C2153">
        <v>0.95103529083694505</v>
      </c>
      <c r="D2153">
        <v>0.99577010770114605</v>
      </c>
      <c r="E2153">
        <v>1.06035895954897</v>
      </c>
      <c r="F2153">
        <v>1.00312489331458</v>
      </c>
      <c r="G2153">
        <v>0.91017746665661703</v>
      </c>
      <c r="H2153">
        <v>0.59230996815579195</v>
      </c>
      <c r="I2153">
        <v>0.47200163196179601</v>
      </c>
      <c r="J2153">
        <v>0.38516813759565</v>
      </c>
      <c r="K2153">
        <v>0.48157071477369401</v>
      </c>
      <c r="L2153">
        <v>2326.9917655999402</v>
      </c>
      <c r="M2153">
        <v>39.242070202028998</v>
      </c>
      <c r="N2153">
        <v>62.531528756939103</v>
      </c>
      <c r="O2153">
        <v>59.145023894020802</v>
      </c>
      <c r="P2153">
        <v>-9.3839808686208004E-2</v>
      </c>
      <c r="Q2153">
        <v>0.434265735763668</v>
      </c>
      <c r="R2153">
        <v>0.98232490154490204</v>
      </c>
      <c r="S2153" t="s">
        <v>9156</v>
      </c>
      <c r="T2153" t="s">
        <v>14004</v>
      </c>
      <c r="U2153" t="s">
        <v>14004</v>
      </c>
      <c r="V2153" t="s">
        <v>14004</v>
      </c>
      <c r="W2153" t="s">
        <v>16121</v>
      </c>
      <c r="X2153">
        <v>5</v>
      </c>
      <c r="Y2153" t="s">
        <v>23027</v>
      </c>
      <c r="Z2153" t="s">
        <v>29863</v>
      </c>
      <c r="AA2153">
        <v>0.8004971126394268</v>
      </c>
      <c r="AB2153" t="str">
        <f>HYPERLINK("Melting_Curves/meltCurve_P10747_CD28.pdf", "Melting_Curves/meltCurve_P10747_CD28.pdf")</f>
        <v>Melting_Curves/meltCurve_P10747_CD28.pdf</v>
      </c>
    </row>
    <row r="2154" spans="1:28" x14ac:dyDescent="0.25">
      <c r="A2154" t="s">
        <v>2158</v>
      </c>
      <c r="B2154">
        <v>0.99999676499088797</v>
      </c>
      <c r="C2154">
        <v>1.0084779365390499</v>
      </c>
      <c r="D2154">
        <v>0.99014616822795098</v>
      </c>
      <c r="E2154">
        <v>1.00334472286621</v>
      </c>
      <c r="F2154">
        <v>0.88050465186789395</v>
      </c>
      <c r="G2154">
        <v>0.46206291898164897</v>
      </c>
      <c r="H2154">
        <v>8.6059896870492703E-2</v>
      </c>
      <c r="I2154">
        <v>7.8683958689234695E-2</v>
      </c>
      <c r="J2154">
        <v>6.7184219466468006E-2</v>
      </c>
      <c r="K2154">
        <v>5.0225603770581599E-2</v>
      </c>
      <c r="L2154">
        <v>2024.97307814394</v>
      </c>
      <c r="M2154">
        <v>35.9761377508446</v>
      </c>
      <c r="N2154">
        <v>56.462314829161897</v>
      </c>
      <c r="O2154">
        <v>56.113497798785303</v>
      </c>
      <c r="P2154">
        <v>-0.15179294421346001</v>
      </c>
      <c r="Q2154">
        <v>5.2971597623267003E-2</v>
      </c>
      <c r="R2154">
        <v>0.99904560049812796</v>
      </c>
      <c r="S2154" t="s">
        <v>9157</v>
      </c>
      <c r="T2154" t="s">
        <v>14004</v>
      </c>
      <c r="U2154" t="s">
        <v>14004</v>
      </c>
      <c r="V2154" t="s">
        <v>14004</v>
      </c>
      <c r="W2154" t="s">
        <v>16122</v>
      </c>
      <c r="X2154">
        <v>14</v>
      </c>
      <c r="Y2154" t="s">
        <v>23028</v>
      </c>
      <c r="Z2154" t="s">
        <v>29864</v>
      </c>
      <c r="AA2154">
        <v>0.57159383401062624</v>
      </c>
      <c r="AB2154" t="str">
        <f>HYPERLINK("Melting_Curves/meltCurve_P10768_ESD.pdf", "Melting_Curves/meltCurve_P10768_ESD.pdf")</f>
        <v>Melting_Curves/meltCurve_P10768_ESD.pdf</v>
      </c>
    </row>
    <row r="2155" spans="1:28" x14ac:dyDescent="0.25">
      <c r="A2155" t="s">
        <v>2159</v>
      </c>
      <c r="B2155">
        <v>0.99999676499088797</v>
      </c>
      <c r="C2155">
        <v>0.93562749192766603</v>
      </c>
      <c r="D2155">
        <v>0.96875953393427705</v>
      </c>
      <c r="E2155">
        <v>0.992323646001948</v>
      </c>
      <c r="F2155">
        <v>1.01026758193801</v>
      </c>
      <c r="G2155">
        <v>0.70730842297834096</v>
      </c>
      <c r="H2155">
        <v>0.12491508358928299</v>
      </c>
      <c r="I2155">
        <v>8.7414274147723098E-2</v>
      </c>
      <c r="J2155">
        <v>7.4968521529850701E-2</v>
      </c>
      <c r="K2155">
        <v>6.3567843867515697E-2</v>
      </c>
      <c r="L2155">
        <v>3196.227051933</v>
      </c>
      <c r="M2155">
        <v>55.492417900295997</v>
      </c>
      <c r="N2155">
        <v>57.7661972039594</v>
      </c>
      <c r="O2155">
        <v>57.522890754650497</v>
      </c>
      <c r="P2155">
        <v>-0.223139324908464</v>
      </c>
      <c r="Q2155">
        <v>7.4784467308744801E-2</v>
      </c>
      <c r="R2155">
        <v>0.99677776795885997</v>
      </c>
      <c r="S2155" t="s">
        <v>9158</v>
      </c>
      <c r="T2155" t="s">
        <v>14004</v>
      </c>
      <c r="U2155" t="s">
        <v>14004</v>
      </c>
      <c r="V2155" t="s">
        <v>14004</v>
      </c>
      <c r="W2155" t="s">
        <v>16123</v>
      </c>
      <c r="X2155">
        <v>60</v>
      </c>
      <c r="Y2155" t="s">
        <v>23029</v>
      </c>
      <c r="Z2155" t="s">
        <v>29865</v>
      </c>
      <c r="AA2155">
        <v>0.61940555998829872</v>
      </c>
      <c r="AB2155" t="str">
        <f>HYPERLINK("Melting_Curves/meltCurve_P10809_HSPD1.pdf", "Melting_Curves/meltCurve_P10809_HSPD1.pdf")</f>
        <v>Melting_Curves/meltCurve_P10809_HSPD1.pdf</v>
      </c>
    </row>
    <row r="2156" spans="1:28" x14ac:dyDescent="0.25">
      <c r="A2156" t="s">
        <v>2160</v>
      </c>
      <c r="B2156">
        <v>0.99999676499088797</v>
      </c>
      <c r="C2156">
        <v>0.95969694620036405</v>
      </c>
      <c r="D2156">
        <v>0.94357576171724999</v>
      </c>
      <c r="E2156">
        <v>0.76506489754224505</v>
      </c>
      <c r="F2156">
        <v>0.64589696448099099</v>
      </c>
      <c r="G2156">
        <v>0.53798138416098296</v>
      </c>
      <c r="H2156">
        <v>0.23982990149922501</v>
      </c>
      <c r="I2156">
        <v>0.118241106458645</v>
      </c>
      <c r="J2156">
        <v>0.10166731987005199</v>
      </c>
      <c r="K2156">
        <v>8.9891344289918004E-2</v>
      </c>
      <c r="L2156">
        <v>687.02926205510698</v>
      </c>
      <c r="M2156">
        <v>12.3035767932134</v>
      </c>
      <c r="N2156">
        <v>55.839804495334299</v>
      </c>
      <c r="O2156">
        <v>54.426146388315303</v>
      </c>
      <c r="P2156">
        <v>-5.6527375593955299E-2</v>
      </c>
      <c r="Q2156">
        <v>0</v>
      </c>
      <c r="R2156">
        <v>0.987385448327605</v>
      </c>
      <c r="S2156" t="s">
        <v>9159</v>
      </c>
      <c r="T2156" t="s">
        <v>14004</v>
      </c>
      <c r="U2156" t="s">
        <v>14004</v>
      </c>
      <c r="V2156" t="s">
        <v>14004</v>
      </c>
      <c r="W2156" t="s">
        <v>16124</v>
      </c>
      <c r="X2156">
        <v>50</v>
      </c>
      <c r="Y2156" t="s">
        <v>23030</v>
      </c>
      <c r="Z2156" t="s">
        <v>29866</v>
      </c>
      <c r="AA2156">
        <v>0.54865598524508052</v>
      </c>
      <c r="AB2156" t="str">
        <f>HYPERLINK("Melting_Curves/meltCurve_P11021_HSPA5.pdf", "Melting_Curves/meltCurve_P11021_HSPA5.pdf")</f>
        <v>Melting_Curves/meltCurve_P11021_HSPA5.pdf</v>
      </c>
    </row>
    <row r="2157" spans="1:28" x14ac:dyDescent="0.25">
      <c r="A2157" t="s">
        <v>2161</v>
      </c>
      <c r="B2157">
        <v>0.99999676499088797</v>
      </c>
      <c r="C2157">
        <v>0.84853310468674403</v>
      </c>
      <c r="D2157">
        <v>0.82763703533789701</v>
      </c>
      <c r="E2157">
        <v>0.71005436048542903</v>
      </c>
      <c r="F2157">
        <v>0.76934597686063999</v>
      </c>
      <c r="G2157">
        <v>0.51062430248080504</v>
      </c>
      <c r="H2157">
        <v>0.23311896157026599</v>
      </c>
      <c r="I2157">
        <v>0.15416205421331</v>
      </c>
      <c r="J2157">
        <v>0.157358679173318</v>
      </c>
      <c r="K2157">
        <v>0.105613011836114</v>
      </c>
      <c r="L2157">
        <v>564.17368243342503</v>
      </c>
      <c r="M2157">
        <v>10.109093381260401</v>
      </c>
      <c r="N2157">
        <v>55.808534074020997</v>
      </c>
      <c r="O2157">
        <v>53.756701111802201</v>
      </c>
      <c r="P2157">
        <v>-4.70351149862719E-2</v>
      </c>
      <c r="Q2157">
        <v>0</v>
      </c>
      <c r="R2157">
        <v>0.94780943088757097</v>
      </c>
      <c r="S2157" t="s">
        <v>9160</v>
      </c>
      <c r="T2157" t="s">
        <v>14004</v>
      </c>
      <c r="U2157" t="s">
        <v>14004</v>
      </c>
      <c r="V2157" t="s">
        <v>14004</v>
      </c>
      <c r="W2157" t="s">
        <v>16125</v>
      </c>
      <c r="X2157">
        <v>1</v>
      </c>
      <c r="Y2157" t="s">
        <v>23031</v>
      </c>
      <c r="Z2157" t="s">
        <v>29867</v>
      </c>
      <c r="AA2157">
        <v>0.54898062244147527</v>
      </c>
      <c r="AB2157" t="str">
        <f>HYPERLINK("Melting_Curves/meltCurve_P11047_LAMC1.pdf", "Melting_Curves/meltCurve_P11047_LAMC1.pdf")</f>
        <v>Melting_Curves/meltCurve_P11047_LAMC1.pdf</v>
      </c>
    </row>
    <row r="2158" spans="1:28" x14ac:dyDescent="0.25">
      <c r="A2158" t="s">
        <v>2162</v>
      </c>
      <c r="B2158">
        <v>0.99999676499088797</v>
      </c>
      <c r="C2158">
        <v>0.95149459572481199</v>
      </c>
      <c r="D2158">
        <v>0.93655647729965796</v>
      </c>
      <c r="E2158">
        <v>0.76683108440135395</v>
      </c>
      <c r="F2158">
        <v>0.82577985786875896</v>
      </c>
      <c r="G2158">
        <v>0.82064799499816699</v>
      </c>
      <c r="H2158">
        <v>0.31711160619720702</v>
      </c>
      <c r="I2158">
        <v>0.118207191227524</v>
      </c>
      <c r="J2158">
        <v>0.10138551121476699</v>
      </c>
      <c r="K2158">
        <v>9.0819934814195799E-2</v>
      </c>
      <c r="L2158">
        <v>1359.1504930592801</v>
      </c>
      <c r="M2158">
        <v>23.059782900213701</v>
      </c>
      <c r="N2158">
        <v>59.114122261109003</v>
      </c>
      <c r="O2158">
        <v>58.502412636977397</v>
      </c>
      <c r="P2158">
        <v>-9.5313855892699903E-2</v>
      </c>
      <c r="Q2158">
        <v>3.2777150754202698E-2</v>
      </c>
      <c r="R2158">
        <v>0.93957183936400301</v>
      </c>
      <c r="S2158" t="s">
        <v>9161</v>
      </c>
      <c r="T2158" t="s">
        <v>14004</v>
      </c>
      <c r="U2158" t="s">
        <v>14004</v>
      </c>
      <c r="V2158" t="s">
        <v>14004</v>
      </c>
      <c r="W2158" t="s">
        <v>16126</v>
      </c>
      <c r="X2158">
        <v>80</v>
      </c>
      <c r="Y2158" t="s">
        <v>21557</v>
      </c>
      <c r="Z2158" t="s">
        <v>29868</v>
      </c>
      <c r="AA2158">
        <v>0.65213451581469239</v>
      </c>
      <c r="AB2158" t="str">
        <f>HYPERLINK("Melting_Curves/meltCurve_P11142_HSPA8.pdf", "Melting_Curves/meltCurve_P11142_HSPA8.pdf")</f>
        <v>Melting_Curves/meltCurve_P11142_HSPA8.pdf</v>
      </c>
    </row>
    <row r="2159" spans="1:28" x14ac:dyDescent="0.25">
      <c r="A2159" t="s">
        <v>2163</v>
      </c>
      <c r="B2159">
        <v>0.99999676499088797</v>
      </c>
      <c r="C2159">
        <v>1.0038307354015501</v>
      </c>
      <c r="D2159">
        <v>0.93704406852306099</v>
      </c>
      <c r="E2159">
        <v>0.79979694353062802</v>
      </c>
      <c r="F2159">
        <v>0.70991080560712305</v>
      </c>
      <c r="G2159">
        <v>0.65788971474142799</v>
      </c>
      <c r="H2159">
        <v>0.42101090662695101</v>
      </c>
      <c r="I2159">
        <v>0.45847867822656702</v>
      </c>
      <c r="J2159">
        <v>0.44027485519045401</v>
      </c>
      <c r="K2159">
        <v>0.494301502453313</v>
      </c>
      <c r="L2159">
        <v>731.86671866346296</v>
      </c>
      <c r="M2159">
        <v>13.828499812993</v>
      </c>
      <c r="N2159">
        <v>61.247513166527199</v>
      </c>
      <c r="O2159">
        <v>51.854579760408797</v>
      </c>
      <c r="P2159">
        <v>-3.8430941888536102E-2</v>
      </c>
      <c r="Q2159">
        <v>0.42364141146415601</v>
      </c>
      <c r="R2159">
        <v>0.964389918838227</v>
      </c>
      <c r="S2159" t="s">
        <v>9162</v>
      </c>
      <c r="T2159" t="s">
        <v>14004</v>
      </c>
      <c r="U2159" t="s">
        <v>14004</v>
      </c>
      <c r="V2159" t="s">
        <v>14004</v>
      </c>
      <c r="W2159" t="s">
        <v>16127</v>
      </c>
      <c r="X2159">
        <v>7</v>
      </c>
      <c r="Y2159" t="s">
        <v>23032</v>
      </c>
      <c r="Z2159" t="s">
        <v>29869</v>
      </c>
      <c r="AA2159">
        <v>0.68583600900434882</v>
      </c>
      <c r="AB2159" t="str">
        <f>HYPERLINK("Melting_Curves/meltCurve_P11166_SLC2A1.pdf", "Melting_Curves/meltCurve_P11166_SLC2A1.pdf")</f>
        <v>Melting_Curves/meltCurve_P11166_SLC2A1.pdf</v>
      </c>
    </row>
    <row r="2160" spans="1:28" x14ac:dyDescent="0.25">
      <c r="A2160" t="s">
        <v>2164</v>
      </c>
      <c r="B2160">
        <v>0.99999676499088797</v>
      </c>
      <c r="C2160">
        <v>1.09739551643998</v>
      </c>
      <c r="D2160">
        <v>1.2379834524915001</v>
      </c>
      <c r="E2160">
        <v>1.2119868117502699</v>
      </c>
      <c r="F2160">
        <v>1.31268508689384</v>
      </c>
      <c r="G2160">
        <v>1.20978735037255</v>
      </c>
      <c r="H2160">
        <v>0.93776396271518903</v>
      </c>
      <c r="I2160">
        <v>1.0457994301265301</v>
      </c>
      <c r="J2160">
        <v>1.02578018228098</v>
      </c>
      <c r="K2160">
        <v>1.18572194639433</v>
      </c>
      <c r="L2160">
        <v>10695.1274320141</v>
      </c>
      <c r="M2160">
        <v>250</v>
      </c>
      <c r="O2160">
        <v>42.7777565072683</v>
      </c>
      <c r="P2160">
        <v>0.21322190249294201</v>
      </c>
      <c r="Q2160">
        <v>1.1459385272166001</v>
      </c>
      <c r="R2160">
        <v>0.148334714342787</v>
      </c>
      <c r="S2160" t="s">
        <v>9163</v>
      </c>
      <c r="T2160" t="s">
        <v>14004</v>
      </c>
      <c r="U2160" t="s">
        <v>14004</v>
      </c>
      <c r="V2160" t="s">
        <v>14004</v>
      </c>
      <c r="W2160" t="s">
        <v>16128</v>
      </c>
      <c r="X2160">
        <v>7</v>
      </c>
      <c r="Y2160" t="s">
        <v>23033</v>
      </c>
      <c r="Z2160" t="s">
        <v>29870</v>
      </c>
      <c r="AA2160">
        <v>1.13240145377117</v>
      </c>
      <c r="AB2160" t="str">
        <f>HYPERLINK("Melting_Curves/meltCurve_P11169_SLC2A3.pdf", "Melting_Curves/meltCurve_P11169_SLC2A3.pdf")</f>
        <v>Melting_Curves/meltCurve_P11169_SLC2A3.pdf</v>
      </c>
    </row>
    <row r="2161" spans="1:28" x14ac:dyDescent="0.25">
      <c r="A2161" t="s">
        <v>2165</v>
      </c>
      <c r="B2161">
        <v>0.99999676499088797</v>
      </c>
      <c r="C2161">
        <v>1.01291841820575</v>
      </c>
      <c r="D2161">
        <v>1.01649036779298</v>
      </c>
      <c r="E2161">
        <v>0.96339935739898597</v>
      </c>
      <c r="F2161">
        <v>0.38424579936136699</v>
      </c>
      <c r="G2161">
        <v>0.222201358234764</v>
      </c>
      <c r="H2161">
        <v>0.108736192175686</v>
      </c>
      <c r="I2161">
        <v>0.107162663471688</v>
      </c>
      <c r="J2161">
        <v>9.8771199021969194E-2</v>
      </c>
      <c r="K2161">
        <v>7.9279021065482194E-2</v>
      </c>
      <c r="L2161">
        <v>2422.8703554886201</v>
      </c>
      <c r="M2161">
        <v>46.280214020553501</v>
      </c>
      <c r="N2161">
        <v>52.652096536517703</v>
      </c>
      <c r="O2161">
        <v>52.254719533759904</v>
      </c>
      <c r="P2161">
        <v>-0.19576226071385</v>
      </c>
      <c r="Q2161">
        <v>0.11586492490773199</v>
      </c>
      <c r="R2161">
        <v>0.99408675651996303</v>
      </c>
      <c r="S2161" t="s">
        <v>9164</v>
      </c>
      <c r="T2161" t="s">
        <v>14004</v>
      </c>
      <c r="U2161" t="s">
        <v>14004</v>
      </c>
      <c r="V2161" t="s">
        <v>14004</v>
      </c>
      <c r="W2161" t="s">
        <v>16129</v>
      </c>
      <c r="X2161">
        <v>30</v>
      </c>
      <c r="Y2161" t="s">
        <v>23034</v>
      </c>
      <c r="Z2161" t="s">
        <v>29871</v>
      </c>
      <c r="AA2161">
        <v>0.48228310837427929</v>
      </c>
      <c r="AB2161" t="str">
        <f>HYPERLINK("Melting_Curves/meltCurve_P11171_2_EPB41.pdf", "Melting_Curves/meltCurve_P11171_2_EPB41.pdf")</f>
        <v>Melting_Curves/meltCurve_P11171_2_EPB41.pdf</v>
      </c>
    </row>
    <row r="2162" spans="1:28" x14ac:dyDescent="0.25">
      <c r="A2162" t="s">
        <v>2166</v>
      </c>
      <c r="B2162">
        <v>0.99999676499088797</v>
      </c>
      <c r="C2162">
        <v>1.03152740944252</v>
      </c>
      <c r="D2162">
        <v>1.18275801984149</v>
      </c>
      <c r="E2162">
        <v>0.96518933627511105</v>
      </c>
      <c r="F2162">
        <v>0.335108810964658</v>
      </c>
      <c r="G2162">
        <v>0.177275788646549</v>
      </c>
      <c r="H2162">
        <v>0.10633386481437899</v>
      </c>
      <c r="I2162">
        <v>6.3128255681602505E-2</v>
      </c>
      <c r="J2162">
        <v>6.2774965692843104E-2</v>
      </c>
      <c r="K2162">
        <v>6.4050975860748996E-2</v>
      </c>
      <c r="L2162">
        <v>2833.7147135494902</v>
      </c>
      <c r="M2162">
        <v>54.221249331923701</v>
      </c>
      <c r="N2162">
        <v>52.456440536981603</v>
      </c>
      <c r="O2162">
        <v>52.1911249083238</v>
      </c>
      <c r="P2162">
        <v>-0.236087885094596</v>
      </c>
      <c r="Q2162">
        <v>9.1006958376514402E-2</v>
      </c>
      <c r="R2162">
        <v>0.97931435578297499</v>
      </c>
      <c r="S2162" t="s">
        <v>9165</v>
      </c>
      <c r="T2162" t="s">
        <v>14004</v>
      </c>
      <c r="U2162" t="s">
        <v>14004</v>
      </c>
      <c r="V2162" t="s">
        <v>14004</v>
      </c>
      <c r="W2162" t="s">
        <v>16130</v>
      </c>
      <c r="X2162">
        <v>29</v>
      </c>
      <c r="Y2162" t="s">
        <v>23034</v>
      </c>
      <c r="Z2162" t="s">
        <v>29872</v>
      </c>
      <c r="AA2162">
        <v>0.46432519373614167</v>
      </c>
      <c r="AB2162" t="str">
        <f>HYPERLINK("Melting_Curves/meltCurve_P11171_4_EPB41.pdf", "Melting_Curves/meltCurve_P11171_4_EPB41.pdf")</f>
        <v>Melting_Curves/meltCurve_P11171_4_EPB41.pdf</v>
      </c>
    </row>
    <row r="2163" spans="1:28" x14ac:dyDescent="0.25">
      <c r="A2163" t="s">
        <v>2167</v>
      </c>
      <c r="B2163">
        <v>0.99999676499088797</v>
      </c>
      <c r="C2163">
        <v>0.96705065073059304</v>
      </c>
      <c r="D2163">
        <v>0.97812072991945198</v>
      </c>
      <c r="E2163">
        <v>1.0032116858892799</v>
      </c>
      <c r="F2163">
        <v>0.80110150838417304</v>
      </c>
      <c r="G2163">
        <v>0.493409916968925</v>
      </c>
      <c r="H2163">
        <v>0.127451720907761</v>
      </c>
      <c r="I2163">
        <v>0.100781432678217</v>
      </c>
      <c r="J2163">
        <v>8.2760678642849098E-2</v>
      </c>
      <c r="K2163">
        <v>6.9172898733029203E-2</v>
      </c>
      <c r="L2163">
        <v>1520.3104630666601</v>
      </c>
      <c r="M2163">
        <v>27.053569329091602</v>
      </c>
      <c r="N2163">
        <v>56.463283666986101</v>
      </c>
      <c r="O2163">
        <v>55.891928558659203</v>
      </c>
      <c r="P2163">
        <v>-0.11374426277737699</v>
      </c>
      <c r="Q2163">
        <v>6.0039000668523503E-2</v>
      </c>
      <c r="R2163">
        <v>0.99643133226526404</v>
      </c>
      <c r="S2163" t="s">
        <v>9166</v>
      </c>
      <c r="T2163" t="s">
        <v>14004</v>
      </c>
      <c r="U2163" t="s">
        <v>14004</v>
      </c>
      <c r="V2163" t="s">
        <v>14004</v>
      </c>
      <c r="W2163" t="s">
        <v>16131</v>
      </c>
      <c r="X2163">
        <v>31</v>
      </c>
      <c r="Y2163" t="s">
        <v>23035</v>
      </c>
      <c r="Z2163" t="s">
        <v>29873</v>
      </c>
      <c r="AA2163">
        <v>0.57503530506656841</v>
      </c>
      <c r="AB2163" t="str">
        <f>HYPERLINK("Melting_Curves/meltCurve_P11172_UMPS.pdf", "Melting_Curves/meltCurve_P11172_UMPS.pdf")</f>
        <v>Melting_Curves/meltCurve_P11172_UMPS.pdf</v>
      </c>
    </row>
    <row r="2164" spans="1:28" x14ac:dyDescent="0.25">
      <c r="A2164" t="s">
        <v>2168</v>
      </c>
      <c r="B2164">
        <v>0.99999676499088797</v>
      </c>
      <c r="C2164">
        <v>0.98498640813847704</v>
      </c>
      <c r="D2164">
        <v>0.83875149686092199</v>
      </c>
      <c r="E2164">
        <v>0.38736269030617798</v>
      </c>
      <c r="F2164">
        <v>0.20814884388489899</v>
      </c>
      <c r="G2164">
        <v>0.113568599750282</v>
      </c>
      <c r="H2164">
        <v>5.95164310613173E-2</v>
      </c>
      <c r="I2164">
        <v>5.3892925108585003E-2</v>
      </c>
      <c r="J2164">
        <v>4.8667278262376601E-2</v>
      </c>
      <c r="K2164">
        <v>4.9424454664834597E-2</v>
      </c>
      <c r="L2164">
        <v>1196.8465844371799</v>
      </c>
      <c r="M2164">
        <v>24.592527714300498</v>
      </c>
      <c r="N2164">
        <v>48.9282632388718</v>
      </c>
      <c r="O2164">
        <v>48.348697298205998</v>
      </c>
      <c r="P2164">
        <v>-0.11934199729916301</v>
      </c>
      <c r="Q2164">
        <v>6.15118713919732E-2</v>
      </c>
      <c r="R2164">
        <v>0.99649913372077004</v>
      </c>
      <c r="S2164" t="s">
        <v>9167</v>
      </c>
      <c r="T2164" t="s">
        <v>14004</v>
      </c>
      <c r="U2164" t="s">
        <v>14004</v>
      </c>
      <c r="V2164" t="s">
        <v>14004</v>
      </c>
      <c r="W2164" t="s">
        <v>16132</v>
      </c>
      <c r="X2164">
        <v>14</v>
      </c>
      <c r="Y2164" t="s">
        <v>23036</v>
      </c>
      <c r="Z2164" t="s">
        <v>29874</v>
      </c>
      <c r="AA2164">
        <v>0.34123390598511177</v>
      </c>
      <c r="AB2164" t="str">
        <f>HYPERLINK("Melting_Curves/meltCurve_P11177_2_PDHB.pdf", "Melting_Curves/meltCurve_P11177_2_PDHB.pdf")</f>
        <v>Melting_Curves/meltCurve_P11177_2_PDHB.pdf</v>
      </c>
    </row>
    <row r="2165" spans="1:28" x14ac:dyDescent="0.25">
      <c r="A2165" t="s">
        <v>2169</v>
      </c>
      <c r="B2165">
        <v>0.99999676499088797</v>
      </c>
      <c r="C2165">
        <v>0.93226233112485102</v>
      </c>
      <c r="D2165">
        <v>0.76693204675161497</v>
      </c>
      <c r="E2165">
        <v>0.959480909056317</v>
      </c>
      <c r="F2165">
        <v>0.70691886716385499</v>
      </c>
      <c r="G2165">
        <v>0.44512963383919901</v>
      </c>
      <c r="H2165">
        <v>0.13360080074538799</v>
      </c>
      <c r="I2165">
        <v>0.117380532738424</v>
      </c>
      <c r="J2165">
        <v>7.1258863340447495E-2</v>
      </c>
      <c r="K2165">
        <v>6.3114392804037606E-2</v>
      </c>
      <c r="L2165">
        <v>1013.10933868068</v>
      </c>
      <c r="M2165">
        <v>18.217473201109801</v>
      </c>
      <c r="N2165">
        <v>55.760693949937902</v>
      </c>
      <c r="O2165">
        <v>54.954835679863102</v>
      </c>
      <c r="P2165">
        <v>-8.0913098835637701E-2</v>
      </c>
      <c r="Q2165">
        <v>2.37158700009764E-2</v>
      </c>
      <c r="R2165">
        <v>0.95990186056484395</v>
      </c>
      <c r="S2165" t="s">
        <v>9168</v>
      </c>
      <c r="T2165" t="s">
        <v>14004</v>
      </c>
      <c r="U2165" t="s">
        <v>14004</v>
      </c>
      <c r="V2165" t="s">
        <v>14004</v>
      </c>
      <c r="W2165" t="s">
        <v>16133</v>
      </c>
      <c r="X2165">
        <v>8</v>
      </c>
      <c r="Y2165" t="s">
        <v>23037</v>
      </c>
      <c r="Z2165" t="s">
        <v>29875</v>
      </c>
      <c r="AA2165">
        <v>0.54624133020817911</v>
      </c>
      <c r="AB2165" t="str">
        <f>HYPERLINK("Melting_Curves/meltCurve_P11182_DBT.pdf", "Melting_Curves/meltCurve_P11182_DBT.pdf")</f>
        <v>Melting_Curves/meltCurve_P11182_DBT.pdf</v>
      </c>
    </row>
    <row r="2166" spans="1:28" x14ac:dyDescent="0.25">
      <c r="A2166" t="s">
        <v>2170</v>
      </c>
      <c r="B2166">
        <v>0.99999676499088797</v>
      </c>
      <c r="C2166">
        <v>1.0309824651409401</v>
      </c>
      <c r="D2166">
        <v>1.0436977713159901</v>
      </c>
      <c r="E2166">
        <v>1.0727088919091601</v>
      </c>
      <c r="F2166">
        <v>0.97926101802798604</v>
      </c>
      <c r="G2166">
        <v>0.42654449645314901</v>
      </c>
      <c r="H2166">
        <v>0.166146702452353</v>
      </c>
      <c r="I2166">
        <v>0.13629551451598801</v>
      </c>
      <c r="J2166">
        <v>0.125085299456796</v>
      </c>
      <c r="K2166">
        <v>0.10488120795365399</v>
      </c>
      <c r="L2166">
        <v>3411.1708211753098</v>
      </c>
      <c r="M2166">
        <v>60.705228923279101</v>
      </c>
      <c r="N2166">
        <v>56.473561569469702</v>
      </c>
      <c r="O2166">
        <v>56.131488976583498</v>
      </c>
      <c r="P2166">
        <v>-0.23510932641799601</v>
      </c>
      <c r="Q2166">
        <v>0.13041880910936299</v>
      </c>
      <c r="R2166">
        <v>0.99465453805222903</v>
      </c>
      <c r="S2166" t="s">
        <v>9169</v>
      </c>
      <c r="T2166" t="s">
        <v>14004</v>
      </c>
      <c r="U2166" t="s">
        <v>14004</v>
      </c>
      <c r="V2166" t="s">
        <v>14004</v>
      </c>
      <c r="W2166" t="s">
        <v>16134</v>
      </c>
      <c r="X2166">
        <v>36</v>
      </c>
      <c r="Y2166" t="s">
        <v>23038</v>
      </c>
      <c r="Z2166" t="s">
        <v>29876</v>
      </c>
      <c r="AA2166">
        <v>0.60123087317563717</v>
      </c>
      <c r="AB2166" t="str">
        <f>HYPERLINK("Melting_Curves/meltCurve_P11216_PYGB.pdf", "Melting_Curves/meltCurve_P11216_PYGB.pdf")</f>
        <v>Melting_Curves/meltCurve_P11216_PYGB.pdf</v>
      </c>
    </row>
    <row r="2167" spans="1:28" x14ac:dyDescent="0.25">
      <c r="A2167" t="s">
        <v>2171</v>
      </c>
      <c r="B2167">
        <v>0.99999676499088797</v>
      </c>
      <c r="C2167">
        <v>1.09647035646083</v>
      </c>
      <c r="D2167">
        <v>1.0491366928855299</v>
      </c>
      <c r="E2167">
        <v>1.00169274959735</v>
      </c>
      <c r="F2167">
        <v>0.85729728098951896</v>
      </c>
      <c r="G2167">
        <v>0.93137184040862697</v>
      </c>
      <c r="H2167">
        <v>0.64357579189285896</v>
      </c>
      <c r="I2167">
        <v>0.75514650360569702</v>
      </c>
      <c r="J2167">
        <v>0.66133336360404205</v>
      </c>
      <c r="K2167">
        <v>0.288667628753285</v>
      </c>
      <c r="L2167">
        <v>725.96326146673198</v>
      </c>
      <c r="M2167">
        <v>10.693402465859</v>
      </c>
      <c r="N2167">
        <v>67.888894099235301</v>
      </c>
      <c r="O2167">
        <v>65.643890004280095</v>
      </c>
      <c r="P2167">
        <v>-4.0740379712638899E-2</v>
      </c>
      <c r="Q2167">
        <v>0</v>
      </c>
      <c r="R2167">
        <v>0.84534087871623997</v>
      </c>
      <c r="S2167" t="s">
        <v>9170</v>
      </c>
      <c r="T2167" t="s">
        <v>14004</v>
      </c>
      <c r="U2167" t="s">
        <v>14004</v>
      </c>
      <c r="V2167" t="s">
        <v>14004</v>
      </c>
      <c r="W2167" t="s">
        <v>16135</v>
      </c>
      <c r="X2167">
        <v>11</v>
      </c>
      <c r="Y2167" t="s">
        <v>23039</v>
      </c>
      <c r="Z2167" t="s">
        <v>29877</v>
      </c>
      <c r="AA2167">
        <v>0.84056342178701171</v>
      </c>
      <c r="AB2167" t="str">
        <f>HYPERLINK("Melting_Curves/meltCurve_P11233_RALA.pdf", "Melting_Curves/meltCurve_P11233_RALA.pdf")</f>
        <v>Melting_Curves/meltCurve_P11233_RALA.pdf</v>
      </c>
    </row>
    <row r="2168" spans="1:28" x14ac:dyDescent="0.25">
      <c r="A2168" t="s">
        <v>2172</v>
      </c>
      <c r="B2168">
        <v>0.99999676499088797</v>
      </c>
      <c r="C2168">
        <v>1.1317450136959399</v>
      </c>
      <c r="D2168">
        <v>1.08298528140974</v>
      </c>
      <c r="E2168">
        <v>1.23525554870368</v>
      </c>
      <c r="F2168">
        <v>0.86691929128071199</v>
      </c>
      <c r="G2168">
        <v>0.99433772167963996</v>
      </c>
      <c r="H2168">
        <v>0.55943967996601995</v>
      </c>
      <c r="I2168">
        <v>0.31220312384775301</v>
      </c>
      <c r="J2168">
        <v>0.12157095101849701</v>
      </c>
      <c r="K2168">
        <v>8.6912099722690803E-2</v>
      </c>
      <c r="L2168">
        <v>1877.35430922356</v>
      </c>
      <c r="M2168">
        <v>30.606344140666099</v>
      </c>
      <c r="N2168">
        <v>61.6501055692259</v>
      </c>
      <c r="O2168">
        <v>61.078649111097299</v>
      </c>
      <c r="P2168">
        <v>-0.116303083203708</v>
      </c>
      <c r="Q2168">
        <v>7.1618162937034005E-2</v>
      </c>
      <c r="R2168">
        <v>0.93890918413280899</v>
      </c>
      <c r="S2168" t="s">
        <v>9171</v>
      </c>
      <c r="T2168" t="s">
        <v>14004</v>
      </c>
      <c r="U2168" t="s">
        <v>14004</v>
      </c>
      <c r="V2168" t="s">
        <v>14004</v>
      </c>
      <c r="W2168" t="s">
        <v>16136</v>
      </c>
      <c r="X2168">
        <v>6</v>
      </c>
      <c r="Y2168" t="s">
        <v>23040</v>
      </c>
      <c r="Z2168" t="s">
        <v>29878</v>
      </c>
      <c r="AA2168">
        <v>0.73677221506723067</v>
      </c>
      <c r="AB2168" t="str">
        <f>HYPERLINK("Melting_Curves/meltCurve_P11234_RALB.pdf", "Melting_Curves/meltCurve_P11234_RALB.pdf")</f>
        <v>Melting_Curves/meltCurve_P11234_RALB.pdf</v>
      </c>
    </row>
    <row r="2169" spans="1:28" x14ac:dyDescent="0.25">
      <c r="A2169" t="s">
        <v>2173</v>
      </c>
      <c r="B2169">
        <v>0.99999676499088797</v>
      </c>
      <c r="C2169">
        <v>0.91750713607768297</v>
      </c>
      <c r="D2169">
        <v>0.58603622979775405</v>
      </c>
      <c r="E2169">
        <v>0.26735952540611302</v>
      </c>
      <c r="F2169">
        <v>0.210221868014102</v>
      </c>
      <c r="G2169">
        <v>0.155673954227352</v>
      </c>
      <c r="H2169">
        <v>8.4117582363906401E-2</v>
      </c>
      <c r="I2169">
        <v>8.0400243549056297E-2</v>
      </c>
      <c r="J2169">
        <v>7.6913414302687305E-2</v>
      </c>
      <c r="K2169">
        <v>6.4846593739125893E-2</v>
      </c>
      <c r="L2169">
        <v>1025.8467855302599</v>
      </c>
      <c r="M2169">
        <v>22.017880363779799</v>
      </c>
      <c r="N2169">
        <v>47.040414805265598</v>
      </c>
      <c r="O2169">
        <v>46.212317186249699</v>
      </c>
      <c r="P2169">
        <v>-0.10782913472257399</v>
      </c>
      <c r="Q2169">
        <v>9.4749868244132299E-2</v>
      </c>
      <c r="R2169">
        <v>0.99132365821548496</v>
      </c>
      <c r="S2169" t="s">
        <v>9172</v>
      </c>
      <c r="T2169" t="s">
        <v>14004</v>
      </c>
      <c r="U2169" t="s">
        <v>14004</v>
      </c>
      <c r="V2169" t="s">
        <v>14004</v>
      </c>
      <c r="W2169" t="s">
        <v>16137</v>
      </c>
      <c r="X2169">
        <v>15</v>
      </c>
      <c r="Y2169" t="s">
        <v>23041</v>
      </c>
      <c r="Z2169" t="s">
        <v>29879</v>
      </c>
      <c r="AA2169">
        <v>0.30452138680180613</v>
      </c>
      <c r="AB2169" t="str">
        <f>HYPERLINK("Melting_Curves/meltCurve_P11274_BCR.pdf", "Melting_Curves/meltCurve_P11274_BCR.pdf")</f>
        <v>Melting_Curves/meltCurve_P11274_BCR.pdf</v>
      </c>
    </row>
    <row r="2170" spans="1:28" x14ac:dyDescent="0.25">
      <c r="A2170" t="s">
        <v>2174</v>
      </c>
      <c r="B2170">
        <v>0.99999676499088797</v>
      </c>
      <c r="C2170">
        <v>1.13690122062141</v>
      </c>
      <c r="D2170">
        <v>1.03738575386775</v>
      </c>
      <c r="E2170">
        <v>0.89004488336732901</v>
      </c>
      <c r="F2170">
        <v>0.74459567077352595</v>
      </c>
      <c r="G2170">
        <v>0.84324899067847003</v>
      </c>
      <c r="H2170">
        <v>0.57954629657326295</v>
      </c>
      <c r="I2170">
        <v>0.804439777845951</v>
      </c>
      <c r="J2170">
        <v>0.67038139247744399</v>
      </c>
      <c r="K2170">
        <v>0.80408562049361698</v>
      </c>
      <c r="L2170">
        <v>8811.0837720563104</v>
      </c>
      <c r="M2170">
        <v>177.338970697984</v>
      </c>
      <c r="O2170">
        <v>49.678667050966602</v>
      </c>
      <c r="P2170">
        <v>-0.23109547088339299</v>
      </c>
      <c r="Q2170">
        <v>0.74104925966269097</v>
      </c>
      <c r="R2170">
        <v>0.73436717075707703</v>
      </c>
      <c r="S2170" t="s">
        <v>9173</v>
      </c>
      <c r="T2170" t="s">
        <v>14004</v>
      </c>
      <c r="U2170" t="s">
        <v>14004</v>
      </c>
      <c r="V2170" t="s">
        <v>14004</v>
      </c>
      <c r="W2170" t="s">
        <v>16138</v>
      </c>
      <c r="X2170">
        <v>6</v>
      </c>
      <c r="Y2170" t="s">
        <v>23042</v>
      </c>
      <c r="Z2170" t="s">
        <v>29880</v>
      </c>
      <c r="AA2170">
        <v>0.82469192797018609</v>
      </c>
      <c r="AB2170" t="str">
        <f>HYPERLINK("Melting_Curves/meltCurve_P11279_LAMP1.pdf", "Melting_Curves/meltCurve_P11279_LAMP1.pdf")</f>
        <v>Melting_Curves/meltCurve_P11279_LAMP1.pdf</v>
      </c>
    </row>
    <row r="2171" spans="1:28" x14ac:dyDescent="0.25">
      <c r="A2171" t="s">
        <v>2175</v>
      </c>
      <c r="B2171">
        <v>0.99999676499088797</v>
      </c>
      <c r="C2171">
        <v>1.04310143061019</v>
      </c>
      <c r="D2171">
        <v>0.580881323637231</v>
      </c>
      <c r="E2171">
        <v>0.20184707924898701</v>
      </c>
      <c r="F2171">
        <v>0.154150036053365</v>
      </c>
      <c r="G2171">
        <v>9.9597872316501093E-2</v>
      </c>
      <c r="H2171">
        <v>4.8810376575779399E-2</v>
      </c>
      <c r="I2171">
        <v>5.2724491978662601E-2</v>
      </c>
      <c r="J2171">
        <v>5.2740925404962398E-2</v>
      </c>
      <c r="K2171">
        <v>4.3949638440831801E-2</v>
      </c>
      <c r="L2171">
        <v>1624.6312224441899</v>
      </c>
      <c r="M2171">
        <v>34.979832439892199</v>
      </c>
      <c r="N2171">
        <v>46.667130658604002</v>
      </c>
      <c r="O2171">
        <v>46.293794407713399</v>
      </c>
      <c r="P2171">
        <v>-0.17440323076301401</v>
      </c>
      <c r="Q2171">
        <v>7.6752852778467107E-2</v>
      </c>
      <c r="R2171">
        <v>0.98691293424635596</v>
      </c>
      <c r="S2171" t="s">
        <v>9174</v>
      </c>
      <c r="T2171" t="s">
        <v>14004</v>
      </c>
      <c r="U2171" t="s">
        <v>14004</v>
      </c>
      <c r="V2171" t="s">
        <v>14004</v>
      </c>
      <c r="W2171" t="s">
        <v>16139</v>
      </c>
      <c r="X2171">
        <v>38</v>
      </c>
      <c r="Y2171" t="s">
        <v>23043</v>
      </c>
      <c r="Z2171" t="s">
        <v>29881</v>
      </c>
      <c r="AA2171">
        <v>0.27908066719107011</v>
      </c>
      <c r="AB2171" t="str">
        <f>HYPERLINK("Melting_Curves/meltCurve_P11387_TOP1.pdf", "Melting_Curves/meltCurve_P11387_TOP1.pdf")</f>
        <v>Melting_Curves/meltCurve_P11387_TOP1.pdf</v>
      </c>
    </row>
    <row r="2172" spans="1:28" x14ac:dyDescent="0.25">
      <c r="A2172" t="s">
        <v>2176</v>
      </c>
      <c r="B2172">
        <v>0.99999676499088797</v>
      </c>
      <c r="C2172">
        <v>1.1008416649518</v>
      </c>
      <c r="D2172">
        <v>0.96124451627760799</v>
      </c>
      <c r="E2172">
        <v>0.374097272959664</v>
      </c>
      <c r="F2172">
        <v>0.208503193981152</v>
      </c>
      <c r="G2172">
        <v>0.146204338398602</v>
      </c>
      <c r="H2172">
        <v>7.6583103331707994E-2</v>
      </c>
      <c r="I2172">
        <v>6.9155742256532995E-2</v>
      </c>
      <c r="J2172">
        <v>6.7306402033302903E-2</v>
      </c>
      <c r="K2172">
        <v>6.3770919277862895E-2</v>
      </c>
      <c r="L2172">
        <v>2107.66380040693</v>
      </c>
      <c r="M2172">
        <v>43.218297113537702</v>
      </c>
      <c r="N2172">
        <v>49.017298082135298</v>
      </c>
      <c r="O2172">
        <v>48.663771943052197</v>
      </c>
      <c r="P2172">
        <v>-0.20010776599309801</v>
      </c>
      <c r="Q2172">
        <v>9.8716191247847904E-2</v>
      </c>
      <c r="R2172">
        <v>0.98558188011522896</v>
      </c>
      <c r="S2172" t="s">
        <v>9175</v>
      </c>
      <c r="T2172" t="s">
        <v>14004</v>
      </c>
      <c r="U2172" t="s">
        <v>14004</v>
      </c>
      <c r="V2172" t="s">
        <v>14004</v>
      </c>
      <c r="W2172" t="s">
        <v>16140</v>
      </c>
      <c r="X2172">
        <v>38</v>
      </c>
      <c r="Y2172" t="s">
        <v>23044</v>
      </c>
      <c r="Z2172" t="s">
        <v>29882</v>
      </c>
      <c r="AA2172">
        <v>0.36472869293602628</v>
      </c>
      <c r="AB2172" t="str">
        <f>HYPERLINK("Melting_Curves/meltCurve_P11388_TOP2A.pdf", "Melting_Curves/meltCurve_P11388_TOP2A.pdf")</f>
        <v>Melting_Curves/meltCurve_P11388_TOP2A.pdf</v>
      </c>
    </row>
    <row r="2173" spans="1:28" x14ac:dyDescent="0.25">
      <c r="A2173" t="s">
        <v>2177</v>
      </c>
      <c r="B2173">
        <v>0.99999676499088797</v>
      </c>
      <c r="C2173">
        <v>0.968907963787358</v>
      </c>
      <c r="D2173">
        <v>0.96359531843433799</v>
      </c>
      <c r="E2173">
        <v>1.0289021671015199</v>
      </c>
      <c r="F2173">
        <v>0.96670989055061696</v>
      </c>
      <c r="G2173">
        <v>0.79824275521346</v>
      </c>
      <c r="H2173">
        <v>0.14489396205321001</v>
      </c>
      <c r="I2173">
        <v>9.68451306265425E-2</v>
      </c>
      <c r="J2173">
        <v>8.6959336180650798E-2</v>
      </c>
      <c r="K2173">
        <v>6.7506275144286601E-2</v>
      </c>
      <c r="L2173">
        <v>3265.70906341212</v>
      </c>
      <c r="M2173">
        <v>56.239635787363099</v>
      </c>
      <c r="N2173">
        <v>58.250334416485401</v>
      </c>
      <c r="O2173">
        <v>57.994470765381799</v>
      </c>
      <c r="P2173">
        <v>-0.222844453196751</v>
      </c>
      <c r="Q2173">
        <v>8.0809231671616605E-2</v>
      </c>
      <c r="R2173">
        <v>0.99761885240611603</v>
      </c>
      <c r="S2173" t="s">
        <v>9176</v>
      </c>
      <c r="T2173" t="s">
        <v>14004</v>
      </c>
      <c r="U2173" t="s">
        <v>14004</v>
      </c>
      <c r="V2173" t="s">
        <v>14004</v>
      </c>
      <c r="W2173" t="s">
        <v>16141</v>
      </c>
      <c r="X2173">
        <v>42</v>
      </c>
      <c r="Y2173" t="s">
        <v>23045</v>
      </c>
      <c r="Z2173" t="s">
        <v>29883</v>
      </c>
      <c r="AA2173">
        <v>0.63625497285562049</v>
      </c>
      <c r="AB2173" t="str">
        <f>HYPERLINK("Melting_Curves/meltCurve_P11413_G6PD.pdf", "Melting_Curves/meltCurve_P11413_G6PD.pdf")</f>
        <v>Melting_Curves/meltCurve_P11413_G6PD.pdf</v>
      </c>
    </row>
    <row r="2174" spans="1:28" x14ac:dyDescent="0.25">
      <c r="A2174" t="s">
        <v>2178</v>
      </c>
      <c r="B2174">
        <v>0.99999676499088797</v>
      </c>
      <c r="C2174">
        <v>0.86960638327371997</v>
      </c>
      <c r="D2174">
        <v>0.75195752219421896</v>
      </c>
      <c r="E2174">
        <v>0.39079360410908198</v>
      </c>
      <c r="F2174">
        <v>0.256906432985954</v>
      </c>
      <c r="G2174">
        <v>0.19652762486348699</v>
      </c>
      <c r="H2174">
        <v>0.14152828195807601</v>
      </c>
      <c r="I2174">
        <v>0.20862873692383099</v>
      </c>
      <c r="J2174">
        <v>0.21503804607049801</v>
      </c>
      <c r="K2174">
        <v>0.27383820258318198</v>
      </c>
      <c r="L2174">
        <v>1081.6720695813001</v>
      </c>
      <c r="M2174">
        <v>22.903944223044501</v>
      </c>
      <c r="N2174">
        <v>48.316309073924202</v>
      </c>
      <c r="O2174">
        <v>46.870859024150697</v>
      </c>
      <c r="P2174">
        <v>-9.7521367075086005E-2</v>
      </c>
      <c r="Q2174">
        <v>0.20174034620409501</v>
      </c>
      <c r="R2174">
        <v>0.98379117175432895</v>
      </c>
      <c r="S2174" t="s">
        <v>9177</v>
      </c>
      <c r="T2174" t="s">
        <v>14004</v>
      </c>
      <c r="U2174" t="s">
        <v>14004</v>
      </c>
      <c r="V2174" t="s">
        <v>14004</v>
      </c>
      <c r="W2174" t="s">
        <v>16142</v>
      </c>
      <c r="X2174">
        <v>10</v>
      </c>
      <c r="Y2174" t="s">
        <v>23046</v>
      </c>
      <c r="Z2174" t="s">
        <v>29884</v>
      </c>
      <c r="AA2174">
        <v>0.40262871317953802</v>
      </c>
      <c r="AB2174" t="str">
        <f>HYPERLINK("Melting_Curves/meltCurve_P11441_UBL4A.pdf", "Melting_Curves/meltCurve_P11441_UBL4A.pdf")</f>
        <v>Melting_Curves/meltCurve_P11441_UBL4A.pdf</v>
      </c>
    </row>
    <row r="2175" spans="1:28" x14ac:dyDescent="0.25">
      <c r="A2175" t="s">
        <v>2179</v>
      </c>
      <c r="B2175">
        <v>0.99999676499088797</v>
      </c>
      <c r="C2175">
        <v>1.02335235492377</v>
      </c>
      <c r="D2175">
        <v>0.95944146748843095</v>
      </c>
      <c r="E2175">
        <v>0.86295379047209098</v>
      </c>
      <c r="F2175">
        <v>0.30681087140284502</v>
      </c>
      <c r="G2175">
        <v>0.17472288493780599</v>
      </c>
      <c r="H2175">
        <v>7.1546792026934605E-2</v>
      </c>
      <c r="I2175">
        <v>7.3187497615280497E-2</v>
      </c>
      <c r="J2175">
        <v>7.0068834005974398E-2</v>
      </c>
      <c r="K2175">
        <v>5.2312407660885303E-2</v>
      </c>
      <c r="L2175">
        <v>1888.38575191377</v>
      </c>
      <c r="M2175">
        <v>36.473652839425696</v>
      </c>
      <c r="N2175">
        <v>52.012731553257701</v>
      </c>
      <c r="O2175">
        <v>51.6190712747444</v>
      </c>
      <c r="P2175">
        <v>-0.16303212348403101</v>
      </c>
      <c r="Q2175">
        <v>7.7082665098703804E-2</v>
      </c>
      <c r="R2175">
        <v>0.995951959366981</v>
      </c>
      <c r="S2175" t="s">
        <v>9178</v>
      </c>
      <c r="T2175" t="s">
        <v>14004</v>
      </c>
      <c r="U2175" t="s">
        <v>14004</v>
      </c>
      <c r="V2175" t="s">
        <v>14004</v>
      </c>
      <c r="W2175" t="s">
        <v>16143</v>
      </c>
      <c r="X2175">
        <v>31</v>
      </c>
      <c r="Y2175" t="s">
        <v>23047</v>
      </c>
      <c r="Z2175" t="s">
        <v>29885</v>
      </c>
      <c r="AA2175">
        <v>0.44327082898633557</v>
      </c>
      <c r="AB2175" t="str">
        <f>HYPERLINK("Melting_Curves/meltCurve_P11498_PC.pdf", "Melting_Curves/meltCurve_P11498_PC.pdf")</f>
        <v>Melting_Curves/meltCurve_P11498_PC.pdf</v>
      </c>
    </row>
    <row r="2176" spans="1:28" x14ac:dyDescent="0.25">
      <c r="A2176" t="s">
        <v>2180</v>
      </c>
      <c r="B2176">
        <v>0.99999676499088797</v>
      </c>
      <c r="C2176">
        <v>1.05499861671529</v>
      </c>
      <c r="D2176">
        <v>1.0144029183543199</v>
      </c>
      <c r="E2176">
        <v>0.95991924713267196</v>
      </c>
      <c r="F2176">
        <v>0.60605143113263504</v>
      </c>
      <c r="G2176">
        <v>0.17073323746942001</v>
      </c>
      <c r="H2176">
        <v>7.4868328470144199E-2</v>
      </c>
      <c r="I2176">
        <v>6.9177428599977706E-2</v>
      </c>
      <c r="J2176">
        <v>6.17767120892617E-2</v>
      </c>
      <c r="K2176">
        <v>5.1538973630630099E-2</v>
      </c>
      <c r="L2176">
        <v>1986.74599910386</v>
      </c>
      <c r="M2176">
        <v>37.013433895055698</v>
      </c>
      <c r="N2176">
        <v>53.864812941177597</v>
      </c>
      <c r="O2176">
        <v>53.520392343542603</v>
      </c>
      <c r="P2176">
        <v>-0.162393605196061</v>
      </c>
      <c r="Q2176">
        <v>6.0736251971004802E-2</v>
      </c>
      <c r="R2176">
        <v>0.99820073572034795</v>
      </c>
      <c r="S2176" t="s">
        <v>9179</v>
      </c>
      <c r="T2176" t="s">
        <v>14004</v>
      </c>
      <c r="U2176" t="s">
        <v>14004</v>
      </c>
      <c r="V2176" t="s">
        <v>14004</v>
      </c>
      <c r="W2176" t="s">
        <v>16144</v>
      </c>
      <c r="X2176">
        <v>74</v>
      </c>
      <c r="Y2176" t="s">
        <v>23048</v>
      </c>
      <c r="Z2176" t="s">
        <v>29886</v>
      </c>
      <c r="AA2176">
        <v>0.49298870484499607</v>
      </c>
      <c r="AB2176" t="str">
        <f>HYPERLINK("Melting_Curves/meltCurve_P11586_MTHFD1.pdf", "Melting_Curves/meltCurve_P11586_MTHFD1.pdf")</f>
        <v>Melting_Curves/meltCurve_P11586_MTHFD1.pdf</v>
      </c>
    </row>
    <row r="2177" spans="1:28" x14ac:dyDescent="0.25">
      <c r="A2177" t="s">
        <v>2181</v>
      </c>
      <c r="B2177">
        <v>0.99999676499088797</v>
      </c>
      <c r="C2177">
        <v>1.0681158383215299</v>
      </c>
      <c r="D2177">
        <v>1.1062827271820399</v>
      </c>
      <c r="E2177">
        <v>1.30900386822528</v>
      </c>
      <c r="F2177">
        <v>1.0045965735042399</v>
      </c>
      <c r="G2177">
        <v>0.82928996792807996</v>
      </c>
      <c r="H2177">
        <v>0.34657962598906999</v>
      </c>
      <c r="I2177">
        <v>0.28423578673336197</v>
      </c>
      <c r="J2177">
        <v>0.22338282558120501</v>
      </c>
      <c r="K2177">
        <v>0.19268186637436899</v>
      </c>
      <c r="L2177">
        <v>2478.7197860014699</v>
      </c>
      <c r="M2177">
        <v>42.359543683804198</v>
      </c>
      <c r="N2177">
        <v>59.342860897863702</v>
      </c>
      <c r="O2177">
        <v>58.386245973256997</v>
      </c>
      <c r="P2177">
        <v>-0.14095563647409401</v>
      </c>
      <c r="Q2177">
        <v>0.22285694355125599</v>
      </c>
      <c r="R2177">
        <v>0.93009869493050901</v>
      </c>
      <c r="S2177" t="s">
        <v>9180</v>
      </c>
      <c r="T2177" t="s">
        <v>14004</v>
      </c>
      <c r="U2177" t="s">
        <v>14004</v>
      </c>
      <c r="V2177" t="s">
        <v>14004</v>
      </c>
      <c r="W2177" t="s">
        <v>16145</v>
      </c>
      <c r="X2177">
        <v>81</v>
      </c>
      <c r="Y2177" t="s">
        <v>23049</v>
      </c>
      <c r="Z2177" t="s">
        <v>29887</v>
      </c>
      <c r="AA2177">
        <v>0.70526389535309419</v>
      </c>
      <c r="AB2177" t="str">
        <f>HYPERLINK("Melting_Curves/meltCurve_P11717_IGF2R.pdf", "Melting_Curves/meltCurve_P11717_IGF2R.pdf")</f>
        <v>Melting_Curves/meltCurve_P11717_IGF2R.pdf</v>
      </c>
    </row>
    <row r="2178" spans="1:28" x14ac:dyDescent="0.25">
      <c r="A2178" t="s">
        <v>2182</v>
      </c>
      <c r="B2178">
        <v>0.99999676499088797</v>
      </c>
      <c r="C2178">
        <v>1.0367560580453701</v>
      </c>
      <c r="D2178">
        <v>1.02474341621141</v>
      </c>
      <c r="E2178">
        <v>1.0088310615223499</v>
      </c>
      <c r="F2178">
        <v>0.89271741268592097</v>
      </c>
      <c r="G2178">
        <v>0.903555661906144</v>
      </c>
      <c r="H2178">
        <v>0.60637490982307996</v>
      </c>
      <c r="I2178">
        <v>0.50378290749487797</v>
      </c>
      <c r="J2178">
        <v>0.199074247057521</v>
      </c>
      <c r="K2178">
        <v>0.14947654193104401</v>
      </c>
      <c r="L2178">
        <v>1096.8762178231</v>
      </c>
      <c r="M2178">
        <v>17.424228076148299</v>
      </c>
      <c r="N2178">
        <v>62.951209334088603</v>
      </c>
      <c r="O2178">
        <v>62.139588984933397</v>
      </c>
      <c r="P2178">
        <v>-7.0105091310093598E-2</v>
      </c>
      <c r="Q2178">
        <v>0</v>
      </c>
      <c r="R2178">
        <v>0.98259403344423601</v>
      </c>
      <c r="S2178" t="s">
        <v>9181</v>
      </c>
      <c r="T2178" t="s">
        <v>14004</v>
      </c>
      <c r="U2178" t="s">
        <v>14004</v>
      </c>
      <c r="V2178" t="s">
        <v>14004</v>
      </c>
      <c r="W2178" t="s">
        <v>16146</v>
      </c>
      <c r="X2178">
        <v>17</v>
      </c>
      <c r="Y2178" t="s">
        <v>23050</v>
      </c>
      <c r="Z2178" t="s">
        <v>29888</v>
      </c>
      <c r="AA2178">
        <v>0.76117183692899748</v>
      </c>
      <c r="AB2178" t="str">
        <f>HYPERLINK("Melting_Curves/meltCurve_P11766_ADH5.pdf", "Melting_Curves/meltCurve_P11766_ADH5.pdf")</f>
        <v>Melting_Curves/meltCurve_P11766_ADH5.pdf</v>
      </c>
    </row>
    <row r="2179" spans="1:28" x14ac:dyDescent="0.25">
      <c r="A2179" t="s">
        <v>2183</v>
      </c>
      <c r="B2179">
        <v>0.99999676499088797</v>
      </c>
      <c r="C2179">
        <v>0.79081532677662603</v>
      </c>
      <c r="D2179">
        <v>0.56641430884286803</v>
      </c>
      <c r="E2179">
        <v>0.385887429896075</v>
      </c>
      <c r="F2179">
        <v>0.25623347935364099</v>
      </c>
      <c r="G2179">
        <v>0.15574720586417901</v>
      </c>
      <c r="H2179">
        <v>7.7537303312900693E-2</v>
      </c>
      <c r="I2179">
        <v>7.0972795325354096E-2</v>
      </c>
      <c r="J2179">
        <v>7.1860520490559299E-2</v>
      </c>
      <c r="K2179">
        <v>5.1859852194091602E-2</v>
      </c>
      <c r="L2179">
        <v>629.81285470468504</v>
      </c>
      <c r="M2179">
        <v>13.3333767242104</v>
      </c>
      <c r="N2179">
        <v>47.610989058148</v>
      </c>
      <c r="O2179">
        <v>46.211220535449598</v>
      </c>
      <c r="P2179">
        <v>-6.8546610534923003E-2</v>
      </c>
      <c r="Q2179">
        <v>4.98684278858674E-2</v>
      </c>
      <c r="R2179">
        <v>0.99034910836359102</v>
      </c>
      <c r="S2179" t="s">
        <v>9182</v>
      </c>
      <c r="T2179" t="s">
        <v>14004</v>
      </c>
      <c r="U2179" t="s">
        <v>14004</v>
      </c>
      <c r="V2179" t="s">
        <v>14004</v>
      </c>
      <c r="W2179" t="s">
        <v>16147</v>
      </c>
      <c r="X2179">
        <v>4</v>
      </c>
      <c r="Y2179" t="s">
        <v>23051</v>
      </c>
      <c r="Z2179" t="s">
        <v>29889</v>
      </c>
      <c r="AA2179">
        <v>0.31120270934807598</v>
      </c>
      <c r="AB2179" t="str">
        <f>HYPERLINK("Melting_Curves/meltCurve_P11802_CDK4.pdf", "Melting_Curves/meltCurve_P11802_CDK4.pdf")</f>
        <v>Melting_Curves/meltCurve_P11802_CDK4.pdf</v>
      </c>
    </row>
    <row r="2180" spans="1:28" x14ac:dyDescent="0.25">
      <c r="A2180" t="s">
        <v>2184</v>
      </c>
      <c r="B2180">
        <v>0.99999676499088797</v>
      </c>
      <c r="C2180">
        <v>0.96372787745295596</v>
      </c>
      <c r="D2180">
        <v>0.88736198160134006</v>
      </c>
      <c r="E2180">
        <v>0.60847918911418197</v>
      </c>
      <c r="F2180">
        <v>0.32501022563637799</v>
      </c>
      <c r="G2180">
        <v>0.24655394410355999</v>
      </c>
      <c r="H2180">
        <v>0.13323911542622099</v>
      </c>
      <c r="I2180">
        <v>0.115372529815158</v>
      </c>
      <c r="J2180">
        <v>0.12784304376809899</v>
      </c>
      <c r="K2180">
        <v>0.122159983052869</v>
      </c>
      <c r="L2180">
        <v>970.579634571263</v>
      </c>
      <c r="M2180">
        <v>19.315996452564999</v>
      </c>
      <c r="N2180">
        <v>50.954872903933698</v>
      </c>
      <c r="O2180">
        <v>49.718196901950499</v>
      </c>
      <c r="P2180">
        <v>-8.5707464376794606E-2</v>
      </c>
      <c r="Q2180">
        <v>0.117609864242989</v>
      </c>
      <c r="R2180">
        <v>0.99767186959403797</v>
      </c>
      <c r="S2180" t="s">
        <v>9183</v>
      </c>
      <c r="T2180" t="s">
        <v>14004</v>
      </c>
      <c r="U2180" t="s">
        <v>14004</v>
      </c>
      <c r="V2180" t="s">
        <v>14004</v>
      </c>
      <c r="W2180" t="s">
        <v>16148</v>
      </c>
      <c r="X2180">
        <v>4</v>
      </c>
      <c r="Y2180" t="s">
        <v>23052</v>
      </c>
      <c r="Z2180" t="s">
        <v>29890</v>
      </c>
      <c r="AA2180">
        <v>0.43214104943548898</v>
      </c>
      <c r="AB2180" t="str">
        <f>HYPERLINK("Melting_Curves/meltCurve_P11831_SRF.pdf", "Melting_Curves/meltCurve_P11831_SRF.pdf")</f>
        <v>Melting_Curves/meltCurve_P11831_SRF.pdf</v>
      </c>
    </row>
    <row r="2181" spans="1:28" x14ac:dyDescent="0.25">
      <c r="A2181" t="s">
        <v>2185</v>
      </c>
      <c r="B2181">
        <v>0.99999676499088797</v>
      </c>
      <c r="C2181">
        <v>0.99977520247435103</v>
      </c>
      <c r="D2181">
        <v>1.0600202310056099</v>
      </c>
      <c r="E2181">
        <v>1.1454149774464699</v>
      </c>
      <c r="F2181">
        <v>1.1365833950194399</v>
      </c>
      <c r="G2181">
        <v>0.95350417946442001</v>
      </c>
      <c r="H2181">
        <v>0.40185348780019498</v>
      </c>
      <c r="I2181">
        <v>0.139738803153102</v>
      </c>
      <c r="J2181">
        <v>9.0846802687555003E-2</v>
      </c>
      <c r="K2181">
        <v>7.7353479309759707E-2</v>
      </c>
      <c r="L2181">
        <v>3069.9146002570401</v>
      </c>
      <c r="M2181">
        <v>51.120026382673998</v>
      </c>
      <c r="N2181">
        <v>60.280505495786898</v>
      </c>
      <c r="O2181">
        <v>59.961384679900299</v>
      </c>
      <c r="P2181">
        <v>-0.194443617643179</v>
      </c>
      <c r="Q2181">
        <v>8.7707866458747702E-2</v>
      </c>
      <c r="R2181">
        <v>0.97708182150128498</v>
      </c>
      <c r="S2181" t="s">
        <v>9184</v>
      </c>
      <c r="T2181" t="s">
        <v>14004</v>
      </c>
      <c r="U2181" t="s">
        <v>14004</v>
      </c>
      <c r="V2181" t="s">
        <v>14004</v>
      </c>
      <c r="W2181" t="s">
        <v>16149</v>
      </c>
      <c r="X2181">
        <v>22</v>
      </c>
      <c r="Y2181" t="s">
        <v>23053</v>
      </c>
      <c r="Z2181" t="s">
        <v>29891</v>
      </c>
      <c r="AA2181">
        <v>0.69979220293188715</v>
      </c>
      <c r="AB2181" t="str">
        <f>HYPERLINK("Melting_Curves/meltCurve_P11908_2_PRPS2.pdf", "Melting_Curves/meltCurve_P11908_2_PRPS2.pdf")</f>
        <v>Melting_Curves/meltCurve_P11908_2_PRPS2.pdf</v>
      </c>
    </row>
    <row r="2182" spans="1:28" x14ac:dyDescent="0.25">
      <c r="A2182" t="s">
        <v>2186</v>
      </c>
      <c r="B2182">
        <v>0.99999676499088797</v>
      </c>
      <c r="C2182">
        <v>0.95261230293723398</v>
      </c>
      <c r="D2182">
        <v>0.84141705576651105</v>
      </c>
      <c r="E2182">
        <v>0.68830203747336105</v>
      </c>
      <c r="F2182">
        <v>0.53291907833418894</v>
      </c>
      <c r="G2182">
        <v>0.56562611661643203</v>
      </c>
      <c r="H2182">
        <v>0.375297981233223</v>
      </c>
      <c r="I2182">
        <v>0.44193244602258502</v>
      </c>
      <c r="J2182">
        <v>0.361021221446158</v>
      </c>
      <c r="K2182">
        <v>0.33109904546965402</v>
      </c>
      <c r="L2182">
        <v>594.21064236180905</v>
      </c>
      <c r="M2182">
        <v>11.7466525745899</v>
      </c>
      <c r="N2182">
        <v>55.964542209789698</v>
      </c>
      <c r="O2182">
        <v>49.186230911802902</v>
      </c>
      <c r="P2182">
        <v>-3.9515553644520203E-2</v>
      </c>
      <c r="Q2182">
        <v>0.33832633382489002</v>
      </c>
      <c r="R2182">
        <v>0.97066316626952098</v>
      </c>
      <c r="S2182" t="s">
        <v>9185</v>
      </c>
      <c r="T2182" t="s">
        <v>14004</v>
      </c>
      <c r="U2182" t="s">
        <v>14004</v>
      </c>
      <c r="V2182" t="s">
        <v>14004</v>
      </c>
      <c r="W2182" t="s">
        <v>16150</v>
      </c>
      <c r="X2182">
        <v>3</v>
      </c>
      <c r="Y2182" t="s">
        <v>23054</v>
      </c>
      <c r="Z2182" t="s">
        <v>29892</v>
      </c>
      <c r="AA2182">
        <v>0.59463169183629883</v>
      </c>
      <c r="AB2182" t="str">
        <f>HYPERLINK("Melting_Curves/meltCurve_P11926_ODC1.pdf", "Melting_Curves/meltCurve_P11926_ODC1.pdf")</f>
        <v>Melting_Curves/meltCurve_P11926_ODC1.pdf</v>
      </c>
    </row>
    <row r="2183" spans="1:28" x14ac:dyDescent="0.25">
      <c r="A2183" t="s">
        <v>2187</v>
      </c>
      <c r="B2183">
        <v>0.99999676499088797</v>
      </c>
      <c r="C2183">
        <v>1.0390055488546199</v>
      </c>
      <c r="D2183">
        <v>0.96175531683771098</v>
      </c>
      <c r="E2183">
        <v>0.65013364591048095</v>
      </c>
      <c r="F2183">
        <v>0.23377015263635001</v>
      </c>
      <c r="G2183">
        <v>0.15854196181498401</v>
      </c>
      <c r="H2183">
        <v>7.8502176755696707E-2</v>
      </c>
      <c r="I2183">
        <v>8.3314022715271399E-2</v>
      </c>
      <c r="J2183">
        <v>8.0518424340654607E-2</v>
      </c>
      <c r="K2183">
        <v>6.5041901410208894E-2</v>
      </c>
      <c r="L2183">
        <v>1506.3493453071701</v>
      </c>
      <c r="M2183">
        <v>29.871837554324099</v>
      </c>
      <c r="N2183">
        <v>50.737334880953298</v>
      </c>
      <c r="O2183">
        <v>50.2027013413487</v>
      </c>
      <c r="P2183">
        <v>-0.136339269920984</v>
      </c>
      <c r="Q2183">
        <v>8.3477321398872401E-2</v>
      </c>
      <c r="R2183">
        <v>0.99722335399073503</v>
      </c>
      <c r="S2183" t="s">
        <v>9186</v>
      </c>
      <c r="T2183" t="s">
        <v>14004</v>
      </c>
      <c r="U2183" t="s">
        <v>14004</v>
      </c>
      <c r="V2183" t="s">
        <v>14004</v>
      </c>
      <c r="W2183" t="s">
        <v>16151</v>
      </c>
      <c r="X2183">
        <v>45</v>
      </c>
      <c r="Y2183" t="s">
        <v>23055</v>
      </c>
      <c r="Z2183" t="s">
        <v>29893</v>
      </c>
      <c r="AA2183">
        <v>0.40779025796241142</v>
      </c>
      <c r="AB2183" t="str">
        <f>HYPERLINK("Melting_Curves/meltCurve_P11940_PABPC1.pdf", "Melting_Curves/meltCurve_P11940_PABPC1.pdf")</f>
        <v>Melting_Curves/meltCurve_P11940_PABPC1.pdf</v>
      </c>
    </row>
    <row r="2184" spans="1:28" x14ac:dyDescent="0.25">
      <c r="A2184" t="s">
        <v>2188</v>
      </c>
      <c r="B2184">
        <v>0.99999676499088797</v>
      </c>
      <c r="C2184">
        <v>0.916724739190935</v>
      </c>
      <c r="D2184">
        <v>0.93058080671963705</v>
      </c>
      <c r="E2184">
        <v>0.91600633674360599</v>
      </c>
      <c r="F2184">
        <v>0.86962597007916598</v>
      </c>
      <c r="G2184">
        <v>0.61525910255627203</v>
      </c>
      <c r="H2184">
        <v>0.206429165188071</v>
      </c>
      <c r="I2184">
        <v>8.9385306597539904E-2</v>
      </c>
      <c r="J2184">
        <v>6.3520480729862397E-2</v>
      </c>
      <c r="K2184">
        <v>5.1411589988255901E-2</v>
      </c>
      <c r="L2184">
        <v>1396.5576717347001</v>
      </c>
      <c r="M2184">
        <v>24.286346499430099</v>
      </c>
      <c r="N2184">
        <v>57.628331975843103</v>
      </c>
      <c r="O2184">
        <v>57.118199040054101</v>
      </c>
      <c r="P2184">
        <v>-0.103583264647493</v>
      </c>
      <c r="Q2184">
        <v>2.55594375183473E-2</v>
      </c>
      <c r="R2184">
        <v>0.98857099607502597</v>
      </c>
      <c r="S2184" t="s">
        <v>9187</v>
      </c>
      <c r="T2184" t="s">
        <v>14004</v>
      </c>
      <c r="U2184" t="s">
        <v>14004</v>
      </c>
      <c r="V2184" t="s">
        <v>14004</v>
      </c>
      <c r="W2184" t="s">
        <v>16152</v>
      </c>
      <c r="X2184">
        <v>24</v>
      </c>
      <c r="Y2184" t="s">
        <v>23056</v>
      </c>
      <c r="Z2184" t="s">
        <v>29894</v>
      </c>
      <c r="AA2184">
        <v>0.60312402196104897</v>
      </c>
      <c r="AB2184" t="str">
        <f>HYPERLINK("Melting_Curves/meltCurve_P12004_PCNA.pdf", "Melting_Curves/meltCurve_P12004_PCNA.pdf")</f>
        <v>Melting_Curves/meltCurve_P12004_PCNA.pdf</v>
      </c>
    </row>
    <row r="2185" spans="1:28" x14ac:dyDescent="0.25">
      <c r="A2185" t="s">
        <v>2189</v>
      </c>
      <c r="B2185">
        <v>0.99999676499088797</v>
      </c>
      <c r="C2185">
        <v>0.98879444485235801</v>
      </c>
      <c r="D2185">
        <v>1.00761688237887</v>
      </c>
      <c r="E2185">
        <v>1.10015617713467</v>
      </c>
      <c r="F2185">
        <v>0.94837375256458301</v>
      </c>
      <c r="G2185">
        <v>0.57620112617952202</v>
      </c>
      <c r="H2185">
        <v>0.108022369548289</v>
      </c>
      <c r="I2185">
        <v>9.2299995808710802E-2</v>
      </c>
      <c r="J2185">
        <v>8.1077073585637399E-2</v>
      </c>
      <c r="K2185">
        <v>6.3869346139188293E-2</v>
      </c>
      <c r="L2185">
        <v>2659.6241353742498</v>
      </c>
      <c r="M2185">
        <v>46.672167432826001</v>
      </c>
      <c r="N2185">
        <v>57.179793123144002</v>
      </c>
      <c r="O2185">
        <v>56.880907064390101</v>
      </c>
      <c r="P2185">
        <v>-0.19007038619174499</v>
      </c>
      <c r="Q2185">
        <v>7.3420908326370299E-2</v>
      </c>
      <c r="R2185">
        <v>0.99409194650049904</v>
      </c>
      <c r="S2185" t="s">
        <v>9188</v>
      </c>
      <c r="T2185" t="s">
        <v>14004</v>
      </c>
      <c r="U2185" t="s">
        <v>14004</v>
      </c>
      <c r="V2185" t="s">
        <v>14004</v>
      </c>
      <c r="W2185" t="s">
        <v>16153</v>
      </c>
      <c r="X2185">
        <v>43</v>
      </c>
      <c r="Y2185" t="s">
        <v>23057</v>
      </c>
      <c r="Z2185" t="s">
        <v>29895</v>
      </c>
      <c r="AA2185">
        <v>0.60069121884261922</v>
      </c>
      <c r="AB2185" t="str">
        <f>HYPERLINK("Melting_Curves/meltCurve_P12081_HARS.pdf", "Melting_Curves/meltCurve_P12081_HARS.pdf")</f>
        <v>Melting_Curves/meltCurve_P12081_HARS.pdf</v>
      </c>
    </row>
    <row r="2186" spans="1:28" x14ac:dyDescent="0.25">
      <c r="A2186" t="s">
        <v>2190</v>
      </c>
      <c r="B2186">
        <v>0.99999676499088797</v>
      </c>
      <c r="C2186">
        <v>0.99112579269978596</v>
      </c>
      <c r="D2186">
        <v>0.90247527503243496</v>
      </c>
      <c r="E2186">
        <v>0.69808610292572604</v>
      </c>
      <c r="F2186">
        <v>0.62848421447499503</v>
      </c>
      <c r="G2186">
        <v>0.53861526887697098</v>
      </c>
      <c r="H2186">
        <v>0.32994589310924799</v>
      </c>
      <c r="I2186">
        <v>0.25418926870791198</v>
      </c>
      <c r="J2186">
        <v>0.18591501463851801</v>
      </c>
      <c r="K2186">
        <v>0.18428259257268401</v>
      </c>
      <c r="L2186">
        <v>520.82500599025695</v>
      </c>
      <c r="M2186">
        <v>9.3338004015904001</v>
      </c>
      <c r="N2186">
        <v>56.317535146087302</v>
      </c>
      <c r="O2186">
        <v>53.418155067765703</v>
      </c>
      <c r="P2186">
        <v>-4.1913515193768097E-2</v>
      </c>
      <c r="Q2186">
        <v>4.1107707754840503E-2</v>
      </c>
      <c r="R2186">
        <v>0.98648529577837996</v>
      </c>
      <c r="S2186" t="s">
        <v>9189</v>
      </c>
      <c r="T2186" t="s">
        <v>14004</v>
      </c>
      <c r="U2186" t="s">
        <v>14004</v>
      </c>
      <c r="V2186" t="s">
        <v>14004</v>
      </c>
      <c r="W2186" t="s">
        <v>16154</v>
      </c>
      <c r="X2186">
        <v>26</v>
      </c>
      <c r="Y2186" t="s">
        <v>23058</v>
      </c>
      <c r="Z2186" t="s">
        <v>29896</v>
      </c>
      <c r="AA2186">
        <v>0.56731492603413369</v>
      </c>
      <c r="AB2186" t="str">
        <f>HYPERLINK("Melting_Curves/meltCurve_P12235_SLC25A4.pdf", "Melting_Curves/meltCurve_P12235_SLC25A4.pdf")</f>
        <v>Melting_Curves/meltCurve_P12235_SLC25A4.pdf</v>
      </c>
    </row>
    <row r="2187" spans="1:28" x14ac:dyDescent="0.25">
      <c r="A2187" t="s">
        <v>2191</v>
      </c>
      <c r="B2187">
        <v>0.99999676499088797</v>
      </c>
      <c r="C2187">
        <v>1.0510389568319101</v>
      </c>
      <c r="D2187">
        <v>1.0183317668407901</v>
      </c>
      <c r="E2187">
        <v>1.0269813354211801</v>
      </c>
      <c r="F2187">
        <v>0.86167973218959804</v>
      </c>
      <c r="G2187">
        <v>0.92185169835612002</v>
      </c>
      <c r="H2187">
        <v>0.56572359444963005</v>
      </c>
      <c r="I2187">
        <v>0.50705766302006305</v>
      </c>
      <c r="J2187">
        <v>0.38608314500691499</v>
      </c>
      <c r="K2187">
        <v>0.42176275741163799</v>
      </c>
      <c r="L2187">
        <v>1626.45200773653</v>
      </c>
      <c r="M2187">
        <v>27.392989584459201</v>
      </c>
      <c r="N2187">
        <v>62.9801768566672</v>
      </c>
      <c r="O2187">
        <v>59.061030791469904</v>
      </c>
      <c r="P2187">
        <v>-7.0060425678334204E-2</v>
      </c>
      <c r="Q2187">
        <v>0.39578668894400598</v>
      </c>
      <c r="R2187">
        <v>0.96340287030702199</v>
      </c>
      <c r="S2187" t="s">
        <v>9190</v>
      </c>
      <c r="T2187" t="s">
        <v>14004</v>
      </c>
      <c r="U2187" t="s">
        <v>14004</v>
      </c>
      <c r="V2187" t="s">
        <v>14004</v>
      </c>
      <c r="W2187" t="s">
        <v>16155</v>
      </c>
      <c r="X2187">
        <v>27</v>
      </c>
      <c r="Y2187" t="s">
        <v>23059</v>
      </c>
      <c r="Z2187" t="s">
        <v>29897</v>
      </c>
      <c r="AA2187">
        <v>0.79031079709324681</v>
      </c>
      <c r="AB2187" t="str">
        <f>HYPERLINK("Melting_Curves/meltCurve_P12236_SLC25A6.pdf", "Melting_Curves/meltCurve_P12236_SLC25A6.pdf")</f>
        <v>Melting_Curves/meltCurve_P12236_SLC25A6.pdf</v>
      </c>
    </row>
    <row r="2188" spans="1:28" x14ac:dyDescent="0.25">
      <c r="A2188" t="s">
        <v>2192</v>
      </c>
      <c r="B2188">
        <v>0.99999676499088797</v>
      </c>
      <c r="C2188">
        <v>1.0231295819526101</v>
      </c>
      <c r="D2188">
        <v>1.0990420173150399</v>
      </c>
      <c r="E2188">
        <v>2.5467592554181602</v>
      </c>
      <c r="F2188">
        <v>2.5780533329366699</v>
      </c>
      <c r="G2188">
        <v>0.98974775798960002</v>
      </c>
      <c r="H2188">
        <v>0.38502641410885002</v>
      </c>
      <c r="I2188">
        <v>0.288214119892993</v>
      </c>
      <c r="J2188">
        <v>0.25799710349113703</v>
      </c>
      <c r="K2188">
        <v>0.30829355284027399</v>
      </c>
      <c r="L2188">
        <v>5622.05501986534</v>
      </c>
      <c r="M2188">
        <v>94.280099988831196</v>
      </c>
      <c r="N2188">
        <v>60.1684475830059</v>
      </c>
      <c r="O2188">
        <v>59.604591100578098</v>
      </c>
      <c r="P2188">
        <v>-0.28294901330501698</v>
      </c>
      <c r="Q2188">
        <v>0.284470019759268</v>
      </c>
      <c r="R2188">
        <v>0.27857745660988598</v>
      </c>
      <c r="S2188" t="s">
        <v>9191</v>
      </c>
      <c r="T2188" t="s">
        <v>14004</v>
      </c>
      <c r="U2188" t="s">
        <v>14004</v>
      </c>
      <c r="V2188" t="s">
        <v>14004</v>
      </c>
      <c r="W2188" t="s">
        <v>16156</v>
      </c>
      <c r="X2188">
        <v>21</v>
      </c>
      <c r="Y2188" t="s">
        <v>23060</v>
      </c>
      <c r="Z2188" t="s">
        <v>29898</v>
      </c>
      <c r="AA2188">
        <v>0.75322590444438808</v>
      </c>
      <c r="AB2188" t="str">
        <f>HYPERLINK("Melting_Curves/meltCurve_P12268_IMPDH2.pdf", "Melting_Curves/meltCurve_P12268_IMPDH2.pdf")</f>
        <v>Melting_Curves/meltCurve_P12268_IMPDH2.pdf</v>
      </c>
    </row>
    <row r="2189" spans="1:28" x14ac:dyDescent="0.25">
      <c r="A2189" t="s">
        <v>2193</v>
      </c>
      <c r="B2189">
        <v>0.99999676499088797</v>
      </c>
      <c r="C2189">
        <v>0.92584850655971396</v>
      </c>
      <c r="D2189">
        <v>0.93993450581743199</v>
      </c>
      <c r="E2189">
        <v>0.32967576754285</v>
      </c>
      <c r="F2189">
        <v>0.236100831896842</v>
      </c>
      <c r="G2189">
        <v>0.16642611449716099</v>
      </c>
      <c r="H2189">
        <v>9.8037696416064302E-2</v>
      </c>
      <c r="I2189">
        <v>8.1538234420092504E-2</v>
      </c>
      <c r="J2189">
        <v>7.2406245859664306E-2</v>
      </c>
      <c r="K2189">
        <v>6.8964043976493597E-2</v>
      </c>
      <c r="L2189">
        <v>1989.84760239806</v>
      </c>
      <c r="M2189">
        <v>41.098595708224103</v>
      </c>
      <c r="N2189">
        <v>48.7218679291434</v>
      </c>
      <c r="O2189">
        <v>48.302231867686203</v>
      </c>
      <c r="P2189">
        <v>-0.188559377549469</v>
      </c>
      <c r="Q2189">
        <v>0.113563695953654</v>
      </c>
      <c r="R2189">
        <v>0.98294658141856395</v>
      </c>
      <c r="S2189" t="s">
        <v>9192</v>
      </c>
      <c r="T2189" t="s">
        <v>14004</v>
      </c>
      <c r="U2189" t="s">
        <v>14004</v>
      </c>
      <c r="V2189" t="s">
        <v>14004</v>
      </c>
      <c r="W2189" t="s">
        <v>16157</v>
      </c>
      <c r="X2189">
        <v>109</v>
      </c>
      <c r="Y2189" t="s">
        <v>23061</v>
      </c>
      <c r="Z2189" t="s">
        <v>29899</v>
      </c>
      <c r="AA2189">
        <v>0.36506495998590938</v>
      </c>
      <c r="AB2189" t="str">
        <f>HYPERLINK("Melting_Curves/meltCurve_P12270_TPR.pdf", "Melting_Curves/meltCurve_P12270_TPR.pdf")</f>
        <v>Melting_Curves/meltCurve_P12270_TPR.pdf</v>
      </c>
    </row>
    <row r="2190" spans="1:28" x14ac:dyDescent="0.25">
      <c r="A2190" t="s">
        <v>2194</v>
      </c>
      <c r="B2190">
        <v>0.99999676499088797</v>
      </c>
      <c r="C2190">
        <v>0.897472613728169</v>
      </c>
      <c r="D2190">
        <v>0.916452018846037</v>
      </c>
      <c r="E2190">
        <v>0.96456697373750699</v>
      </c>
      <c r="F2190">
        <v>2.0555671854748701</v>
      </c>
      <c r="G2190">
        <v>1.07098499471507</v>
      </c>
      <c r="H2190">
        <v>0.73248612380728295</v>
      </c>
      <c r="I2190">
        <v>0.692211040680074</v>
      </c>
      <c r="J2190">
        <v>0.63475812063241399</v>
      </c>
      <c r="K2190">
        <v>0.57799928603653405</v>
      </c>
      <c r="L2190">
        <v>7654.3912087895496</v>
      </c>
      <c r="M2190">
        <v>126.897528364712</v>
      </c>
      <c r="O2190">
        <v>60.304494471998801</v>
      </c>
      <c r="P2190">
        <v>-0.192109674566491</v>
      </c>
      <c r="Q2190">
        <v>0.63482108068960197</v>
      </c>
      <c r="R2190">
        <v>0.28236856750578498</v>
      </c>
      <c r="S2190" t="s">
        <v>9193</v>
      </c>
      <c r="T2190" t="s">
        <v>14004</v>
      </c>
      <c r="U2190" t="s">
        <v>14004</v>
      </c>
      <c r="V2190" t="s">
        <v>14004</v>
      </c>
      <c r="W2190" t="s">
        <v>16158</v>
      </c>
      <c r="X2190">
        <v>1</v>
      </c>
      <c r="Y2190" t="s">
        <v>23062</v>
      </c>
      <c r="Z2190" t="s">
        <v>29900</v>
      </c>
      <c r="AA2190">
        <v>0.88231257771317861</v>
      </c>
      <c r="AB2190" t="str">
        <f>HYPERLINK("Melting_Curves/meltCurve_P12273_PIP.pdf", "Melting_Curves/meltCurve_P12273_PIP.pdf")</f>
        <v>Melting_Curves/meltCurve_P12273_PIP.pdf</v>
      </c>
    </row>
    <row r="2191" spans="1:28" x14ac:dyDescent="0.25">
      <c r="A2191" t="s">
        <v>2195</v>
      </c>
      <c r="B2191">
        <v>0.99999676499088797</v>
      </c>
      <c r="C2191">
        <v>0.95490029343134997</v>
      </c>
      <c r="D2191">
        <v>0.96591102233261705</v>
      </c>
      <c r="E2191">
        <v>0.94505642282597502</v>
      </c>
      <c r="F2191">
        <v>0.41914198562240002</v>
      </c>
      <c r="G2191">
        <v>0.23798183958636199</v>
      </c>
      <c r="H2191">
        <v>0.111713737478745</v>
      </c>
      <c r="I2191">
        <v>9.5511377350490798E-2</v>
      </c>
      <c r="J2191">
        <v>7.2897649366904196E-2</v>
      </c>
      <c r="K2191">
        <v>6.6188112945479896E-2</v>
      </c>
      <c r="L2191">
        <v>1777.44766721983</v>
      </c>
      <c r="M2191">
        <v>33.8006905920303</v>
      </c>
      <c r="N2191">
        <v>52.919081570133301</v>
      </c>
      <c r="O2191">
        <v>52.403090990458701</v>
      </c>
      <c r="P2191">
        <v>-0.14580853291037599</v>
      </c>
      <c r="Q2191">
        <v>9.5783349121194003E-2</v>
      </c>
      <c r="R2191">
        <v>0.99147767064870496</v>
      </c>
      <c r="S2191" t="s">
        <v>9194</v>
      </c>
      <c r="T2191" t="s">
        <v>14004</v>
      </c>
      <c r="U2191" t="s">
        <v>14004</v>
      </c>
      <c r="V2191" t="s">
        <v>14004</v>
      </c>
      <c r="W2191" t="s">
        <v>16159</v>
      </c>
      <c r="X2191">
        <v>10</v>
      </c>
      <c r="Y2191" t="s">
        <v>23063</v>
      </c>
      <c r="Z2191" t="s">
        <v>29901</v>
      </c>
      <c r="AA2191">
        <v>0.47973770259200332</v>
      </c>
      <c r="AB2191" t="str">
        <f>HYPERLINK("Melting_Curves/meltCurve_P12277_CKB.pdf", "Melting_Curves/meltCurve_P12277_CKB.pdf")</f>
        <v>Melting_Curves/meltCurve_P12277_CKB.pdf</v>
      </c>
    </row>
    <row r="2192" spans="1:28" x14ac:dyDescent="0.25">
      <c r="A2192" t="s">
        <v>2196</v>
      </c>
      <c r="B2192">
        <v>0.99999676499088797</v>
      </c>
      <c r="C2192">
        <v>0.95973291316831999</v>
      </c>
      <c r="D2192">
        <v>0.985354210192387</v>
      </c>
      <c r="E2192">
        <v>1.0369747838436201</v>
      </c>
      <c r="F2192">
        <v>0.50521563690163096</v>
      </c>
      <c r="G2192">
        <v>0.18954927561600399</v>
      </c>
      <c r="H2192">
        <v>8.9539984869122999E-2</v>
      </c>
      <c r="I2192">
        <v>7.2773682386012103E-2</v>
      </c>
      <c r="J2192">
        <v>8.0631684068915604E-2</v>
      </c>
      <c r="K2192">
        <v>6.1379494193633602E-2</v>
      </c>
      <c r="L2192">
        <v>2509.7021890516098</v>
      </c>
      <c r="M2192">
        <v>47.2605082586701</v>
      </c>
      <c r="N2192">
        <v>53.322277705659303</v>
      </c>
      <c r="O2192">
        <v>53.008767194643397</v>
      </c>
      <c r="P2192">
        <v>-0.20325128746690799</v>
      </c>
      <c r="Q2192">
        <v>8.8110731263531694E-2</v>
      </c>
      <c r="R2192">
        <v>0.99355372899571903</v>
      </c>
      <c r="S2192" t="s">
        <v>9195</v>
      </c>
      <c r="T2192" t="s">
        <v>14004</v>
      </c>
      <c r="U2192" t="s">
        <v>14004</v>
      </c>
      <c r="V2192" t="s">
        <v>14004</v>
      </c>
      <c r="W2192" t="s">
        <v>16160</v>
      </c>
      <c r="X2192">
        <v>12</v>
      </c>
      <c r="Y2192" t="s">
        <v>23064</v>
      </c>
      <c r="Z2192" t="s">
        <v>29902</v>
      </c>
      <c r="AA2192">
        <v>0.48880295752476771</v>
      </c>
      <c r="AB2192" t="str">
        <f>HYPERLINK("Melting_Curves/meltCurve_P12429_ANXA3.pdf", "Melting_Curves/meltCurve_P12429_ANXA3.pdf")</f>
        <v>Melting_Curves/meltCurve_P12429_ANXA3.pdf</v>
      </c>
    </row>
    <row r="2193" spans="1:28" x14ac:dyDescent="0.25">
      <c r="A2193" t="s">
        <v>2197</v>
      </c>
      <c r="B2193">
        <v>0.99999676499088797</v>
      </c>
      <c r="C2193">
        <v>1.0324667573766799</v>
      </c>
      <c r="D2193">
        <v>0.888669435238436</v>
      </c>
      <c r="E2193">
        <v>0.90822269905518005</v>
      </c>
      <c r="F2193">
        <v>0.92533526079707196</v>
      </c>
      <c r="G2193">
        <v>0.72768629996045098</v>
      </c>
      <c r="H2193">
        <v>0.50956253482540304</v>
      </c>
      <c r="I2193">
        <v>0.41536084764965298</v>
      </c>
      <c r="J2193">
        <v>0.30389506155559898</v>
      </c>
      <c r="K2193">
        <v>0.198091086626484</v>
      </c>
      <c r="L2193">
        <v>698.83734261045697</v>
      </c>
      <c r="M2193">
        <v>11.3155334739038</v>
      </c>
      <c r="N2193">
        <v>61.759115866827997</v>
      </c>
      <c r="O2193">
        <v>59.9245579035668</v>
      </c>
      <c r="P2193">
        <v>-4.72216952865704E-2</v>
      </c>
      <c r="Q2193">
        <v>0</v>
      </c>
      <c r="R2193">
        <v>0.98032257436096004</v>
      </c>
      <c r="S2193" t="s">
        <v>9196</v>
      </c>
      <c r="T2193" t="s">
        <v>14004</v>
      </c>
      <c r="U2193" t="s">
        <v>14004</v>
      </c>
      <c r="V2193" t="s">
        <v>14004</v>
      </c>
      <c r="W2193" t="s">
        <v>16161</v>
      </c>
      <c r="X2193">
        <v>7</v>
      </c>
      <c r="Y2193" t="s">
        <v>23065</v>
      </c>
      <c r="Z2193" t="s">
        <v>29903</v>
      </c>
      <c r="AA2193">
        <v>0.71305711464965205</v>
      </c>
      <c r="AB2193" t="str">
        <f>HYPERLINK("Melting_Curves/meltCurve_P12532_CKMT1A.pdf", "Melting_Curves/meltCurve_P12532_CKMT1A.pdf")</f>
        <v>Melting_Curves/meltCurve_P12532_CKMT1A.pdf</v>
      </c>
    </row>
    <row r="2194" spans="1:28" x14ac:dyDescent="0.25">
      <c r="A2194" t="s">
        <v>2198</v>
      </c>
      <c r="B2194">
        <v>0.99999676499088797</v>
      </c>
      <c r="C2194">
        <v>1.0427339682952601</v>
      </c>
      <c r="D2194">
        <v>0.98658346803746</v>
      </c>
      <c r="E2194">
        <v>0.98967696934135396</v>
      </c>
      <c r="F2194">
        <v>0.73085263698506897</v>
      </c>
      <c r="G2194">
        <v>0.72730863569964799</v>
      </c>
      <c r="H2194">
        <v>0.47323439703475301</v>
      </c>
      <c r="I2194">
        <v>0.29946036033892998</v>
      </c>
      <c r="J2194">
        <v>0.16744151875159599</v>
      </c>
      <c r="K2194">
        <v>0.1997871720096</v>
      </c>
      <c r="L2194">
        <v>785.63577424750599</v>
      </c>
      <c r="M2194">
        <v>13.192803178426599</v>
      </c>
      <c r="N2194">
        <v>59.939203339442201</v>
      </c>
      <c r="O2194">
        <v>58.231962240741503</v>
      </c>
      <c r="P2194">
        <v>-5.43249788036708E-2</v>
      </c>
      <c r="Q2194">
        <v>4.1015804326285203E-2</v>
      </c>
      <c r="R2194">
        <v>0.97792292023542504</v>
      </c>
      <c r="S2194" t="s">
        <v>9197</v>
      </c>
      <c r="T2194" t="s">
        <v>14004</v>
      </c>
      <c r="U2194" t="s">
        <v>14004</v>
      </c>
      <c r="V2194" t="s">
        <v>14004</v>
      </c>
      <c r="W2194" t="s">
        <v>16162</v>
      </c>
      <c r="X2194">
        <v>6</v>
      </c>
      <c r="Y2194" t="s">
        <v>23066</v>
      </c>
      <c r="Z2194" t="s">
        <v>29904</v>
      </c>
      <c r="AA2194">
        <v>0.6725851205201544</v>
      </c>
      <c r="AB2194" t="str">
        <f>HYPERLINK("Melting_Curves/meltCurve_P12544_2_GZMA.pdf", "Melting_Curves/meltCurve_P12544_2_GZMA.pdf")</f>
        <v>Melting_Curves/meltCurve_P12544_2_GZMA.pdf</v>
      </c>
    </row>
    <row r="2195" spans="1:28" x14ac:dyDescent="0.25">
      <c r="A2195" t="s">
        <v>2199</v>
      </c>
      <c r="B2195">
        <v>0.99999676499088797</v>
      </c>
      <c r="C2195">
        <v>0.77133914563918005</v>
      </c>
      <c r="D2195">
        <v>0.78005049373574398</v>
      </c>
      <c r="E2195">
        <v>0.40018635127855201</v>
      </c>
      <c r="F2195">
        <v>0.37830291720621201</v>
      </c>
      <c r="G2195">
        <v>0.13775173152435499</v>
      </c>
      <c r="H2195">
        <v>7.8081821485183694E-2</v>
      </c>
      <c r="I2195">
        <v>4.4634397435474898E-2</v>
      </c>
      <c r="J2195">
        <v>1.96309669624791E-2</v>
      </c>
      <c r="K2195">
        <v>5.6432755311950897E-2</v>
      </c>
      <c r="L2195">
        <v>595.97687800928395</v>
      </c>
      <c r="M2195">
        <v>12.091108750386701</v>
      </c>
      <c r="N2195">
        <v>49.290506790875398</v>
      </c>
      <c r="O2195">
        <v>48.000324128378701</v>
      </c>
      <c r="P2195">
        <v>-6.2988844834743304E-2</v>
      </c>
      <c r="Q2195">
        <v>0</v>
      </c>
      <c r="R2195">
        <v>0.97211716134982995</v>
      </c>
      <c r="S2195" t="s">
        <v>9198</v>
      </c>
      <c r="T2195" t="s">
        <v>14004</v>
      </c>
      <c r="U2195" t="s">
        <v>14004</v>
      </c>
      <c r="V2195" t="s">
        <v>14004</v>
      </c>
      <c r="W2195" t="s">
        <v>16163</v>
      </c>
      <c r="X2195">
        <v>1</v>
      </c>
      <c r="Y2195" t="s">
        <v>23067</v>
      </c>
      <c r="Z2195" t="s">
        <v>29905</v>
      </c>
      <c r="AA2195">
        <v>0.34533736462684761</v>
      </c>
      <c r="AB2195" t="str">
        <f>HYPERLINK("Melting_Curves/meltCurve_P12755_SKI.pdf", "Melting_Curves/meltCurve_P12755_SKI.pdf")</f>
        <v>Melting_Curves/meltCurve_P12755_SKI.pdf</v>
      </c>
    </row>
    <row r="2196" spans="1:28" x14ac:dyDescent="0.25">
      <c r="A2196" t="s">
        <v>2200</v>
      </c>
      <c r="B2196">
        <v>0.99999676499088797</v>
      </c>
      <c r="C2196">
        <v>0.96584365582752096</v>
      </c>
      <c r="D2196">
        <v>0.96461380361895899</v>
      </c>
      <c r="E2196">
        <v>0.91580616410969995</v>
      </c>
      <c r="F2196">
        <v>0.90477518529715495</v>
      </c>
      <c r="G2196">
        <v>0.60609374239273905</v>
      </c>
      <c r="H2196">
        <v>0.11511225370844</v>
      </c>
      <c r="I2196">
        <v>8.4208227795672497E-2</v>
      </c>
      <c r="J2196">
        <v>7.3229465653135997E-2</v>
      </c>
      <c r="K2196">
        <v>6.1158109957780399E-2</v>
      </c>
      <c r="L2196">
        <v>2087.4000771862002</v>
      </c>
      <c r="M2196">
        <v>36.5139014345013</v>
      </c>
      <c r="N2196">
        <v>57.354469472094202</v>
      </c>
      <c r="O2196">
        <v>56.996612312352298</v>
      </c>
      <c r="P2196">
        <v>-0.15116223104787199</v>
      </c>
      <c r="Q2196">
        <v>5.6172131238821303E-2</v>
      </c>
      <c r="R2196">
        <v>0.99260991367988505</v>
      </c>
      <c r="S2196" t="s">
        <v>9199</v>
      </c>
      <c r="T2196" t="s">
        <v>14004</v>
      </c>
      <c r="U2196" t="s">
        <v>14004</v>
      </c>
      <c r="V2196" t="s">
        <v>14004</v>
      </c>
      <c r="W2196" t="s">
        <v>16164</v>
      </c>
      <c r="X2196">
        <v>61</v>
      </c>
      <c r="Y2196" t="s">
        <v>23068</v>
      </c>
      <c r="Z2196" t="s">
        <v>29906</v>
      </c>
      <c r="AA2196">
        <v>0.60065721021930207</v>
      </c>
      <c r="AB2196" t="str">
        <f>HYPERLINK("Melting_Curves/meltCurve_P12814_ACTN1.pdf", "Melting_Curves/meltCurve_P12814_ACTN1.pdf")</f>
        <v>Melting_Curves/meltCurve_P12814_ACTN1.pdf</v>
      </c>
    </row>
    <row r="2197" spans="1:28" x14ac:dyDescent="0.25">
      <c r="A2197" t="s">
        <v>2201</v>
      </c>
      <c r="B2197">
        <v>0.99999676499088797</v>
      </c>
      <c r="C2197">
        <v>0.57033546568210802</v>
      </c>
      <c r="D2197">
        <v>0.61863720488837604</v>
      </c>
      <c r="E2197">
        <v>0.49930162698439801</v>
      </c>
      <c r="F2197">
        <v>0.378792731395247</v>
      </c>
      <c r="G2197">
        <v>0.117182881500512</v>
      </c>
      <c r="H2197">
        <v>7.2322042417406196E-2</v>
      </c>
      <c r="I2197">
        <v>4.9302079903881899E-2</v>
      </c>
      <c r="J2197">
        <v>0</v>
      </c>
      <c r="K2197">
        <v>0</v>
      </c>
      <c r="L2197">
        <v>475.71356324035298</v>
      </c>
      <c r="M2197">
        <v>9.9042141401590893</v>
      </c>
      <c r="N2197">
        <v>48.031430017679703</v>
      </c>
      <c r="O2197">
        <v>46.196323349411799</v>
      </c>
      <c r="P2197">
        <v>-5.3625544400044502E-2</v>
      </c>
      <c r="Q2197">
        <v>0</v>
      </c>
      <c r="R2197">
        <v>0.92200287067967002</v>
      </c>
      <c r="S2197" t="s">
        <v>9200</v>
      </c>
      <c r="T2197" t="s">
        <v>14004</v>
      </c>
      <c r="U2197" t="s">
        <v>14004</v>
      </c>
      <c r="V2197" t="s">
        <v>14004</v>
      </c>
      <c r="W2197" t="s">
        <v>16165</v>
      </c>
      <c r="X2197">
        <v>4</v>
      </c>
      <c r="Y2197" t="s">
        <v>23069</v>
      </c>
      <c r="Z2197" t="s">
        <v>29907</v>
      </c>
      <c r="AA2197">
        <v>0.32134147553019499</v>
      </c>
      <c r="AB2197" t="str">
        <f>HYPERLINK("Melting_Curves/meltCurve_P12882_MYH1.pdf", "Melting_Curves/meltCurve_P12882_MYH1.pdf")</f>
        <v>Melting_Curves/meltCurve_P12882_MYH1.pdf</v>
      </c>
    </row>
    <row r="2198" spans="1:28" x14ac:dyDescent="0.25">
      <c r="A2198" t="s">
        <v>2202</v>
      </c>
      <c r="B2198">
        <v>0.99999676499088797</v>
      </c>
      <c r="C2198">
        <v>1.0120590026941001</v>
      </c>
      <c r="D2198">
        <v>1.02431213872815</v>
      </c>
      <c r="E2198">
        <v>0.99797906256858904</v>
      </c>
      <c r="F2198">
        <v>0.47939306795013698</v>
      </c>
      <c r="G2198">
        <v>0.19453309790314</v>
      </c>
      <c r="H2198">
        <v>6.06954278993313E-2</v>
      </c>
      <c r="I2198">
        <v>6.1820168929893199E-2</v>
      </c>
      <c r="J2198">
        <v>6.5373305677644003E-2</v>
      </c>
      <c r="K2198">
        <v>5.8921806615727997E-2</v>
      </c>
      <c r="L2198">
        <v>2115.5225229184698</v>
      </c>
      <c r="M2198">
        <v>39.892144328715702</v>
      </c>
      <c r="N2198">
        <v>53.237239271778002</v>
      </c>
      <c r="O2198">
        <v>52.898315370263703</v>
      </c>
      <c r="P2198">
        <v>-0.17503737201216699</v>
      </c>
      <c r="Q2198">
        <v>7.1580337012204495E-2</v>
      </c>
      <c r="R2198">
        <v>0.99536743924029802</v>
      </c>
      <c r="S2198" t="s">
        <v>9201</v>
      </c>
      <c r="T2198" t="s">
        <v>14004</v>
      </c>
      <c r="U2198" t="s">
        <v>14004</v>
      </c>
      <c r="V2198" t="s">
        <v>14004</v>
      </c>
      <c r="W2198" t="s">
        <v>16166</v>
      </c>
      <c r="X2198">
        <v>9</v>
      </c>
      <c r="Y2198" t="s">
        <v>23070</v>
      </c>
      <c r="Z2198" t="s">
        <v>29908</v>
      </c>
      <c r="AA2198">
        <v>0.47827465277250969</v>
      </c>
      <c r="AB2198" t="str">
        <f>HYPERLINK("Melting_Curves/meltCurve_P12931_SRC.pdf", "Melting_Curves/meltCurve_P12931_SRC.pdf")</f>
        <v>Melting_Curves/meltCurve_P12931_SRC.pdf</v>
      </c>
    </row>
    <row r="2199" spans="1:28" x14ac:dyDescent="0.25">
      <c r="A2199" t="s">
        <v>2203</v>
      </c>
      <c r="B2199">
        <v>0.99999676499088797</v>
      </c>
      <c r="C2199">
        <v>1.0557204626241601</v>
      </c>
      <c r="D2199">
        <v>0.96212086922934403</v>
      </c>
      <c r="E2199">
        <v>0.87767359916487797</v>
      </c>
      <c r="F2199">
        <v>0.94820461155805102</v>
      </c>
      <c r="G2199">
        <v>0.65319053061482901</v>
      </c>
      <c r="H2199">
        <v>0.28734710819238102</v>
      </c>
      <c r="I2199">
        <v>0.15540560807482801</v>
      </c>
      <c r="J2199">
        <v>0.102023913103617</v>
      </c>
      <c r="K2199">
        <v>0.10326678568565199</v>
      </c>
      <c r="L2199">
        <v>1513.0336600271501</v>
      </c>
      <c r="M2199">
        <v>26.1304122603241</v>
      </c>
      <c r="N2199">
        <v>58.318302254353398</v>
      </c>
      <c r="O2199">
        <v>57.5672331829741</v>
      </c>
      <c r="P2199">
        <v>-0.103848148964822</v>
      </c>
      <c r="Q2199">
        <v>8.4869683968452306E-2</v>
      </c>
      <c r="R2199">
        <v>0.98798813938971797</v>
      </c>
      <c r="S2199" t="s">
        <v>9202</v>
      </c>
      <c r="T2199" t="s">
        <v>14004</v>
      </c>
      <c r="U2199" t="s">
        <v>14004</v>
      </c>
      <c r="V2199" t="s">
        <v>14004</v>
      </c>
      <c r="W2199" t="s">
        <v>16167</v>
      </c>
      <c r="X2199">
        <v>15</v>
      </c>
      <c r="Y2199" t="s">
        <v>23071</v>
      </c>
      <c r="Z2199" t="s">
        <v>29909</v>
      </c>
      <c r="AA2199">
        <v>0.63849408677143971</v>
      </c>
      <c r="AB2199" t="str">
        <f>HYPERLINK("Melting_Curves/meltCurve_P12955_PEPD.pdf", "Melting_Curves/meltCurve_P12955_PEPD.pdf")</f>
        <v>Melting_Curves/meltCurve_P12955_PEPD.pdf</v>
      </c>
    </row>
    <row r="2200" spans="1:28" x14ac:dyDescent="0.25">
      <c r="A2200" t="s">
        <v>2204</v>
      </c>
      <c r="B2200">
        <v>0.99999676499088797</v>
      </c>
      <c r="C2200">
        <v>0.947960024822467</v>
      </c>
      <c r="D2200">
        <v>0.83788419247068702</v>
      </c>
      <c r="E2200">
        <v>0.354676007179626</v>
      </c>
      <c r="F2200">
        <v>0.18819450879275901</v>
      </c>
      <c r="G2200">
        <v>0.109967137879704</v>
      </c>
      <c r="H2200">
        <v>5.1123898367378601E-2</v>
      </c>
      <c r="I2200">
        <v>4.7979062140763001E-2</v>
      </c>
      <c r="J2200">
        <v>4.6102392832404498E-2</v>
      </c>
      <c r="K2200">
        <v>4.1715465816103199E-2</v>
      </c>
      <c r="L2200">
        <v>1231.3444891265499</v>
      </c>
      <c r="M2200">
        <v>25.416976742972299</v>
      </c>
      <c r="N2200">
        <v>48.678323270748699</v>
      </c>
      <c r="O2200">
        <v>48.148852233738403</v>
      </c>
      <c r="P2200">
        <v>-0.124426816344593</v>
      </c>
      <c r="Q2200">
        <v>5.7176282650785601E-2</v>
      </c>
      <c r="R2200">
        <v>0.99573235227948698</v>
      </c>
      <c r="S2200" t="s">
        <v>9203</v>
      </c>
      <c r="T2200" t="s">
        <v>14004</v>
      </c>
      <c r="U2200" t="s">
        <v>14004</v>
      </c>
      <c r="V2200" t="s">
        <v>14004</v>
      </c>
      <c r="W2200" t="s">
        <v>16168</v>
      </c>
      <c r="X2200">
        <v>42</v>
      </c>
      <c r="Y2200" t="s">
        <v>23072</v>
      </c>
      <c r="Z2200" t="s">
        <v>29910</v>
      </c>
      <c r="AA2200">
        <v>0.33065494376657117</v>
      </c>
      <c r="AB2200" t="str">
        <f>HYPERLINK("Melting_Curves/meltCurve_P12956_XRCC6.pdf", "Melting_Curves/meltCurve_P12956_XRCC6.pdf")</f>
        <v>Melting_Curves/meltCurve_P12956_XRCC6.pdf</v>
      </c>
    </row>
    <row r="2201" spans="1:28" x14ac:dyDescent="0.25">
      <c r="A2201" t="s">
        <v>2205</v>
      </c>
      <c r="B2201">
        <v>0.99999676499088797</v>
      </c>
      <c r="C2201">
        <v>0.96792594871584403</v>
      </c>
      <c r="D2201">
        <v>0.42710158858733699</v>
      </c>
      <c r="E2201">
        <v>0.21595466419234199</v>
      </c>
      <c r="F2201">
        <v>0.169359577598967</v>
      </c>
      <c r="G2201">
        <v>0.11673969548093401</v>
      </c>
      <c r="H2201">
        <v>5.6682690847645399E-2</v>
      </c>
      <c r="I2201">
        <v>5.2324345944912899E-2</v>
      </c>
      <c r="J2201">
        <v>5.0083177892421699E-2</v>
      </c>
      <c r="K2201">
        <v>4.0833589246719398E-2</v>
      </c>
      <c r="L2201">
        <v>1703.1176447590999</v>
      </c>
      <c r="M2201">
        <v>37.400461738022798</v>
      </c>
      <c r="N2201">
        <v>45.783283483526397</v>
      </c>
      <c r="O2201">
        <v>45.407741310430701</v>
      </c>
      <c r="P2201">
        <v>-0.18717545831985599</v>
      </c>
      <c r="Q2201">
        <v>9.1006756758724106E-2</v>
      </c>
      <c r="R2201">
        <v>0.98102656350097495</v>
      </c>
      <c r="S2201" t="s">
        <v>9204</v>
      </c>
      <c r="T2201" t="s">
        <v>14004</v>
      </c>
      <c r="U2201" t="s">
        <v>14004</v>
      </c>
      <c r="V2201" t="s">
        <v>14004</v>
      </c>
      <c r="W2201" t="s">
        <v>16169</v>
      </c>
      <c r="X2201">
        <v>40</v>
      </c>
      <c r="Y2201" t="s">
        <v>23073</v>
      </c>
      <c r="Z2201" t="s">
        <v>29911</v>
      </c>
      <c r="AA2201">
        <v>0.26221783072323979</v>
      </c>
      <c r="AB2201" t="str">
        <f>HYPERLINK("Melting_Curves/meltCurve_P13010_XRCC5.pdf", "Melting_Curves/meltCurve_P13010_XRCC5.pdf")</f>
        <v>Melting_Curves/meltCurve_P13010_XRCC5.pdf</v>
      </c>
    </row>
    <row r="2202" spans="1:28" x14ac:dyDescent="0.25">
      <c r="A2202" t="s">
        <v>2206</v>
      </c>
      <c r="B2202">
        <v>0.99999676499088797</v>
      </c>
      <c r="C2202">
        <v>1.19969564903161</v>
      </c>
      <c r="D2202">
        <v>1.0695345973305701</v>
      </c>
      <c r="E2202">
        <v>0.71387687597461402</v>
      </c>
      <c r="F2202">
        <v>0.24598793710863001</v>
      </c>
      <c r="G2202">
        <v>0.161729499684513</v>
      </c>
      <c r="H2202">
        <v>6.7087578005195395E-2</v>
      </c>
      <c r="I2202">
        <v>7.4606091673226294E-2</v>
      </c>
      <c r="J2202">
        <v>4.4715163433793198E-2</v>
      </c>
      <c r="K2202">
        <v>4.9145869532424502E-2</v>
      </c>
      <c r="L2202">
        <v>1757.6123576617399</v>
      </c>
      <c r="M2202">
        <v>34.518188404850797</v>
      </c>
      <c r="N2202">
        <v>51.151210257854302</v>
      </c>
      <c r="O2202">
        <v>50.748459025899798</v>
      </c>
      <c r="P2202">
        <v>-0.157686914511424</v>
      </c>
      <c r="Q2202">
        <v>7.2681665239011498E-2</v>
      </c>
      <c r="R2202">
        <v>0.97326253750267799</v>
      </c>
      <c r="S2202" t="s">
        <v>9205</v>
      </c>
      <c r="T2202" t="s">
        <v>14004</v>
      </c>
      <c r="U2202" t="s">
        <v>14004</v>
      </c>
      <c r="V2202" t="s">
        <v>14004</v>
      </c>
      <c r="W2202" t="s">
        <v>16170</v>
      </c>
      <c r="X2202">
        <v>6</v>
      </c>
      <c r="Y2202" t="s">
        <v>23074</v>
      </c>
      <c r="Z2202" t="s">
        <v>29912</v>
      </c>
      <c r="AA2202">
        <v>0.41456937968537649</v>
      </c>
      <c r="AB2202" t="str">
        <f>HYPERLINK("Melting_Curves/meltCurve_P13051_UNG.pdf", "Melting_Curves/meltCurve_P13051_UNG.pdf")</f>
        <v>Melting_Curves/meltCurve_P13051_UNG.pdf</v>
      </c>
    </row>
    <row r="2203" spans="1:28" x14ac:dyDescent="0.25">
      <c r="A2203" t="s">
        <v>2207</v>
      </c>
      <c r="B2203">
        <v>0.99999676499088797</v>
      </c>
      <c r="C2203">
        <v>0.874173787250345</v>
      </c>
      <c r="D2203">
        <v>0.75050986334936898</v>
      </c>
      <c r="E2203">
        <v>0.370693845685657</v>
      </c>
      <c r="F2203">
        <v>0.33589235196954298</v>
      </c>
      <c r="G2203">
        <v>0.23558044785047499</v>
      </c>
      <c r="H2203">
        <v>6.91784008350909E-2</v>
      </c>
      <c r="I2203">
        <v>0.222485409385003</v>
      </c>
      <c r="J2203">
        <v>0.16401790485180101</v>
      </c>
      <c r="K2203">
        <v>0.12637097659201499</v>
      </c>
      <c r="L2203">
        <v>838.41655704571804</v>
      </c>
      <c r="M2203">
        <v>17.563439747509499</v>
      </c>
      <c r="N2203">
        <v>48.7309886453817</v>
      </c>
      <c r="O2203">
        <v>47.130519369392204</v>
      </c>
      <c r="P2203">
        <v>-7.9136010415649799E-2</v>
      </c>
      <c r="Q2203">
        <v>0.150617735934267</v>
      </c>
      <c r="R2203">
        <v>0.97225446319220599</v>
      </c>
      <c r="S2203" t="s">
        <v>9206</v>
      </c>
      <c r="T2203" t="s">
        <v>14004</v>
      </c>
      <c r="U2203" t="s">
        <v>14004</v>
      </c>
      <c r="V2203" t="s">
        <v>14004</v>
      </c>
      <c r="W2203" t="s">
        <v>16171</v>
      </c>
      <c r="X2203">
        <v>3</v>
      </c>
      <c r="Y2203" t="s">
        <v>23075</v>
      </c>
      <c r="Z2203" t="s">
        <v>29913</v>
      </c>
      <c r="AA2203">
        <v>0.38566484129500989</v>
      </c>
      <c r="AB2203" t="str">
        <f>HYPERLINK("Melting_Curves/meltCurve_P13056_NR2C1.pdf", "Melting_Curves/meltCurve_P13056_NR2C1.pdf")</f>
        <v>Melting_Curves/meltCurve_P13056_NR2C1.pdf</v>
      </c>
    </row>
    <row r="2204" spans="1:28" x14ac:dyDescent="0.25">
      <c r="A2204" t="s">
        <v>2208</v>
      </c>
      <c r="B2204">
        <v>0.99999676499088797</v>
      </c>
      <c r="C2204">
        <v>0.95175133801818701</v>
      </c>
      <c r="D2204">
        <v>0.96224071859333105</v>
      </c>
      <c r="E2204">
        <v>0.96184865991812196</v>
      </c>
      <c r="F2204">
        <v>0.97813661108281502</v>
      </c>
      <c r="G2204">
        <v>0.77437164053204799</v>
      </c>
      <c r="H2204">
        <v>0.604672155308558</v>
      </c>
      <c r="I2204">
        <v>0.53282184684655498</v>
      </c>
      <c r="J2204">
        <v>0.49740355612463499</v>
      </c>
      <c r="K2204">
        <v>0.70071446998148901</v>
      </c>
      <c r="L2204">
        <v>2597.3020300380299</v>
      </c>
      <c r="M2204">
        <v>45.872909363941197</v>
      </c>
      <c r="O2204">
        <v>56.512232901336702</v>
      </c>
      <c r="P2204">
        <v>-8.5443974499394296E-2</v>
      </c>
      <c r="Q2204">
        <v>0.57895637629727403</v>
      </c>
      <c r="R2204">
        <v>0.91896088583442603</v>
      </c>
      <c r="S2204" t="s">
        <v>9207</v>
      </c>
      <c r="T2204" t="s">
        <v>14004</v>
      </c>
      <c r="U2204" t="s">
        <v>14004</v>
      </c>
      <c r="V2204" t="s">
        <v>14004</v>
      </c>
      <c r="W2204" t="s">
        <v>16172</v>
      </c>
      <c r="X2204">
        <v>16</v>
      </c>
      <c r="Y2204" t="s">
        <v>23076</v>
      </c>
      <c r="Z2204" t="s">
        <v>29914</v>
      </c>
      <c r="AA2204">
        <v>0.81345403731074606</v>
      </c>
      <c r="AB2204" t="str">
        <f>HYPERLINK("Melting_Curves/meltCurve_P13073_COX4I1.pdf", "Melting_Curves/meltCurve_P13073_COX4I1.pdf")</f>
        <v>Melting_Curves/meltCurve_P13073_COX4I1.pdf</v>
      </c>
    </row>
    <row r="2205" spans="1:28" x14ac:dyDescent="0.25">
      <c r="A2205" t="s">
        <v>2209</v>
      </c>
      <c r="B2205">
        <v>0.99999676499088797</v>
      </c>
      <c r="C2205">
        <v>1.0036667471146099</v>
      </c>
      <c r="D2205">
        <v>0.98158041493815196</v>
      </c>
      <c r="E2205">
        <v>0.85194400712085905</v>
      </c>
      <c r="F2205">
        <v>0.63076595900536003</v>
      </c>
      <c r="G2205">
        <v>0.40287760809317502</v>
      </c>
      <c r="H2205">
        <v>0.22229690023645801</v>
      </c>
      <c r="I2205">
        <v>0.196822674370078</v>
      </c>
      <c r="J2205">
        <v>0.26188721573684698</v>
      </c>
      <c r="K2205">
        <v>0.201045275882927</v>
      </c>
      <c r="L2205">
        <v>1110.3144593018201</v>
      </c>
      <c r="M2205">
        <v>20.7466371300556</v>
      </c>
      <c r="N2205">
        <v>54.856441914575797</v>
      </c>
      <c r="O2205">
        <v>53.028007564248497</v>
      </c>
      <c r="P2205">
        <v>-7.8383979141801702E-2</v>
      </c>
      <c r="Q2205">
        <v>0.19863055024533699</v>
      </c>
      <c r="R2205">
        <v>0.99501816845149604</v>
      </c>
      <c r="S2205" t="s">
        <v>9208</v>
      </c>
      <c r="T2205" t="s">
        <v>14004</v>
      </c>
      <c r="U2205" t="s">
        <v>14004</v>
      </c>
      <c r="V2205" t="s">
        <v>14004</v>
      </c>
      <c r="W2205" t="s">
        <v>16173</v>
      </c>
      <c r="X2205">
        <v>2</v>
      </c>
      <c r="Y2205" t="s">
        <v>23077</v>
      </c>
      <c r="Z2205" t="s">
        <v>29915</v>
      </c>
      <c r="AA2205">
        <v>0.57003279257870942</v>
      </c>
      <c r="AB2205" t="str">
        <f>HYPERLINK("Melting_Curves/meltCurve_P13284_IFI30.pdf", "Melting_Curves/meltCurve_P13284_IFI30.pdf")</f>
        <v>Melting_Curves/meltCurve_P13284_IFI30.pdf</v>
      </c>
    </row>
    <row r="2206" spans="1:28" x14ac:dyDescent="0.25">
      <c r="A2206" t="s">
        <v>2210</v>
      </c>
      <c r="B2206">
        <v>0.99999676499088797</v>
      </c>
      <c r="C2206">
        <v>0.93558024727097899</v>
      </c>
      <c r="D2206">
        <v>0.91983632618937505</v>
      </c>
      <c r="E2206">
        <v>0.83716812410973895</v>
      </c>
      <c r="F2206">
        <v>0.31266801458253202</v>
      </c>
      <c r="G2206">
        <v>0.15515437021509501</v>
      </c>
      <c r="H2206">
        <v>7.0079095976529795E-2</v>
      </c>
      <c r="I2206">
        <v>5.9900690025773598E-2</v>
      </c>
      <c r="J2206">
        <v>5.1207024032403098E-2</v>
      </c>
      <c r="K2206">
        <v>3.5551255888923203E-2</v>
      </c>
      <c r="L2206">
        <v>1607.2162875440799</v>
      </c>
      <c r="M2206">
        <v>31.049845001854401</v>
      </c>
      <c r="N2206">
        <v>51.964986907198302</v>
      </c>
      <c r="O2206">
        <v>51.549178421110398</v>
      </c>
      <c r="P2206">
        <v>-0.142003132477385</v>
      </c>
      <c r="Q2206">
        <v>5.6986984998742801E-2</v>
      </c>
      <c r="R2206">
        <v>0.99283519656678798</v>
      </c>
      <c r="S2206" t="s">
        <v>9209</v>
      </c>
      <c r="T2206" t="s">
        <v>14004</v>
      </c>
      <c r="U2206" t="s">
        <v>14004</v>
      </c>
      <c r="V2206" t="s">
        <v>14004</v>
      </c>
      <c r="W2206" t="s">
        <v>16174</v>
      </c>
      <c r="X2206">
        <v>34</v>
      </c>
      <c r="Y2206" t="s">
        <v>23078</v>
      </c>
      <c r="Z2206" t="s">
        <v>29916</v>
      </c>
      <c r="AA2206">
        <v>0.43233080833091042</v>
      </c>
      <c r="AB2206" t="str">
        <f>HYPERLINK("Melting_Curves/meltCurve_P13489_RNH1.pdf", "Melting_Curves/meltCurve_P13489_RNH1.pdf")</f>
        <v>Melting_Curves/meltCurve_P13489_RNH1.pdf</v>
      </c>
    </row>
    <row r="2207" spans="1:28" x14ac:dyDescent="0.25">
      <c r="A2207" t="s">
        <v>2211</v>
      </c>
      <c r="B2207">
        <v>0.99999676499088797</v>
      </c>
      <c r="C2207">
        <v>0.62734978339935399</v>
      </c>
      <c r="D2207">
        <v>0.82366455606751199</v>
      </c>
      <c r="E2207">
        <v>0.57240367657163904</v>
      </c>
      <c r="F2207">
        <v>0.51797899672651204</v>
      </c>
      <c r="G2207">
        <v>0.30072249509492299</v>
      </c>
      <c r="H2207">
        <v>0.23565679592959499</v>
      </c>
      <c r="I2207">
        <v>3.02267380267917E-2</v>
      </c>
      <c r="J2207">
        <v>0</v>
      </c>
      <c r="K2207">
        <v>0</v>
      </c>
      <c r="L2207">
        <v>492.54767110738101</v>
      </c>
      <c r="M2207">
        <v>9.6020206866660107</v>
      </c>
      <c r="N2207">
        <v>51.296237553913301</v>
      </c>
      <c r="O2207">
        <v>49.219399248550403</v>
      </c>
      <c r="P2207">
        <v>-4.8799227388001097E-2</v>
      </c>
      <c r="Q2207">
        <v>0</v>
      </c>
      <c r="R2207">
        <v>0.90728723089183405</v>
      </c>
      <c r="S2207" t="s">
        <v>9210</v>
      </c>
      <c r="T2207" t="s">
        <v>14004</v>
      </c>
      <c r="U2207" t="s">
        <v>14004</v>
      </c>
      <c r="V2207" t="s">
        <v>14004</v>
      </c>
      <c r="W2207" t="s">
        <v>16175</v>
      </c>
      <c r="X2207">
        <v>1</v>
      </c>
      <c r="Y2207" t="s">
        <v>23079</v>
      </c>
      <c r="Z2207" t="s">
        <v>29917</v>
      </c>
      <c r="AA2207">
        <v>0.41904074763167992</v>
      </c>
      <c r="AB2207" t="str">
        <f>HYPERLINK("Melting_Curves/meltCurve_P13498_CYBA.pdf", "Melting_Curves/meltCurve_P13498_CYBA.pdf")</f>
        <v>Melting_Curves/meltCurve_P13498_CYBA.pdf</v>
      </c>
    </row>
    <row r="2208" spans="1:28" x14ac:dyDescent="0.25">
      <c r="A2208" t="s">
        <v>2212</v>
      </c>
      <c r="B2208">
        <v>0.99999676499088797</v>
      </c>
      <c r="C2208">
        <v>1.0262714126286001</v>
      </c>
      <c r="D2208">
        <v>1.0120860514240799</v>
      </c>
      <c r="E2208">
        <v>1.16170562022723</v>
      </c>
      <c r="F2208">
        <v>1.0636137324530801</v>
      </c>
      <c r="G2208">
        <v>0.96314068988117596</v>
      </c>
      <c r="H2208">
        <v>0.68608618819925404</v>
      </c>
      <c r="I2208">
        <v>0.56344542404599496</v>
      </c>
      <c r="J2208">
        <v>0.41820550801950301</v>
      </c>
      <c r="K2208">
        <v>0.673262534127963</v>
      </c>
      <c r="L2208">
        <v>3160.5401292213601</v>
      </c>
      <c r="M2208">
        <v>52.838162490496103</v>
      </c>
      <c r="O2208">
        <v>59.730001367805897</v>
      </c>
      <c r="P2208">
        <v>-0.100124249708818</v>
      </c>
      <c r="Q2208">
        <v>0.54726540965765003</v>
      </c>
      <c r="R2208">
        <v>0.88584414096840103</v>
      </c>
      <c r="S2208" t="s">
        <v>9211</v>
      </c>
      <c r="T2208" t="s">
        <v>14004</v>
      </c>
      <c r="U2208" t="s">
        <v>14004</v>
      </c>
      <c r="V2208" t="s">
        <v>14004</v>
      </c>
      <c r="W2208" t="s">
        <v>16176</v>
      </c>
      <c r="X2208">
        <v>7</v>
      </c>
      <c r="Y2208" t="s">
        <v>23080</v>
      </c>
      <c r="Z2208" t="s">
        <v>29918</v>
      </c>
      <c r="AA2208">
        <v>0.84736166246292066</v>
      </c>
      <c r="AB2208" t="str">
        <f>HYPERLINK("Melting_Curves/meltCurve_P13598_ICAM2.pdf", "Melting_Curves/meltCurve_P13598_ICAM2.pdf")</f>
        <v>Melting_Curves/meltCurve_P13598_ICAM2.pdf</v>
      </c>
    </row>
    <row r="2209" spans="1:28" x14ac:dyDescent="0.25">
      <c r="A2209" t="s">
        <v>2213</v>
      </c>
      <c r="B2209">
        <v>0.99999676499088797</v>
      </c>
      <c r="C2209">
        <v>1.0553914743449</v>
      </c>
      <c r="D2209">
        <v>1.06682030775306</v>
      </c>
      <c r="E2209">
        <v>1.08643123421999</v>
      </c>
      <c r="F2209">
        <v>0.87211697970637403</v>
      </c>
      <c r="G2209">
        <v>0.72061957210094696</v>
      </c>
      <c r="H2209">
        <v>0.44123683190976398</v>
      </c>
      <c r="I2209">
        <v>0.39401644599466201</v>
      </c>
      <c r="J2209">
        <v>0.33170571600144599</v>
      </c>
      <c r="K2209">
        <v>0.36924126660829498</v>
      </c>
      <c r="L2209">
        <v>1530.6238775946399</v>
      </c>
      <c r="M2209">
        <v>26.778997415683701</v>
      </c>
      <c r="N2209">
        <v>59.777047411383201</v>
      </c>
      <c r="O2209">
        <v>56.841737151131198</v>
      </c>
      <c r="P2209">
        <v>-7.7104559642262094E-2</v>
      </c>
      <c r="Q2209">
        <v>0.34535080897516401</v>
      </c>
      <c r="R2209">
        <v>0.97686386938763103</v>
      </c>
      <c r="S2209" t="s">
        <v>9212</v>
      </c>
      <c r="T2209" t="s">
        <v>14004</v>
      </c>
      <c r="U2209" t="s">
        <v>14004</v>
      </c>
      <c r="V2209" t="s">
        <v>14004</v>
      </c>
      <c r="W2209" t="s">
        <v>16177</v>
      </c>
      <c r="X2209">
        <v>35</v>
      </c>
      <c r="Y2209" t="s">
        <v>23081</v>
      </c>
      <c r="Z2209" t="s">
        <v>29919</v>
      </c>
      <c r="AA2209">
        <v>0.72502955251052492</v>
      </c>
      <c r="AB2209" t="str">
        <f>HYPERLINK("Melting_Curves/meltCurve_P13612_ITGA4.pdf", "Melting_Curves/meltCurve_P13612_ITGA4.pdf")</f>
        <v>Melting_Curves/meltCurve_P13612_ITGA4.pdf</v>
      </c>
    </row>
    <row r="2210" spans="1:28" x14ac:dyDescent="0.25">
      <c r="A2210" t="s">
        <v>2214</v>
      </c>
      <c r="B2210">
        <v>0.99999676499088797</v>
      </c>
      <c r="C2210">
        <v>1.0090015427758301</v>
      </c>
      <c r="D2210">
        <v>1.0102143496035301</v>
      </c>
      <c r="E2210">
        <v>0.95228456031220998</v>
      </c>
      <c r="F2210">
        <v>0.86464633963475601</v>
      </c>
      <c r="G2210">
        <v>0.56766644393524301</v>
      </c>
      <c r="H2210">
        <v>0.14155459882127899</v>
      </c>
      <c r="I2210">
        <v>9.6357893938017303E-2</v>
      </c>
      <c r="J2210">
        <v>8.7767999727356799E-2</v>
      </c>
      <c r="K2210">
        <v>7.4310269920192407E-2</v>
      </c>
      <c r="L2210">
        <v>1693.9601765636501</v>
      </c>
      <c r="M2210">
        <v>29.795874852491998</v>
      </c>
      <c r="N2210">
        <v>57.110097587007402</v>
      </c>
      <c r="O2210">
        <v>56.5979285335995</v>
      </c>
      <c r="P2210">
        <v>-0.123327348920676</v>
      </c>
      <c r="Q2210">
        <v>6.2954088360073004E-2</v>
      </c>
      <c r="R2210">
        <v>0.99702455543707702</v>
      </c>
      <c r="S2210" t="s">
        <v>9213</v>
      </c>
      <c r="T2210" t="s">
        <v>14004</v>
      </c>
      <c r="U2210" t="s">
        <v>14004</v>
      </c>
      <c r="V2210" t="s">
        <v>14004</v>
      </c>
      <c r="W2210" t="s">
        <v>16178</v>
      </c>
      <c r="X2210">
        <v>32</v>
      </c>
      <c r="Y2210" t="s">
        <v>23082</v>
      </c>
      <c r="Z2210" t="s">
        <v>29920</v>
      </c>
      <c r="AA2210">
        <v>0.59564961992392673</v>
      </c>
      <c r="AB2210" t="str">
        <f>HYPERLINK("Melting_Curves/meltCurve_P13637_ATP1A3.pdf", "Melting_Curves/meltCurve_P13637_ATP1A3.pdf")</f>
        <v>Melting_Curves/meltCurve_P13637_ATP1A3.pdf</v>
      </c>
    </row>
    <row r="2211" spans="1:28" x14ac:dyDescent="0.25">
      <c r="A2211" t="s">
        <v>2215</v>
      </c>
      <c r="B2211">
        <v>0.99999676499088797</v>
      </c>
      <c r="C2211">
        <v>1.01226757153667</v>
      </c>
      <c r="D2211">
        <v>0.98781449365821505</v>
      </c>
      <c r="E2211">
        <v>0.94447659258480698</v>
      </c>
      <c r="F2211">
        <v>0.87340345671148301</v>
      </c>
      <c r="G2211">
        <v>0.74648159299513295</v>
      </c>
      <c r="H2211">
        <v>0.173908587579373</v>
      </c>
      <c r="I2211">
        <v>0.110691905322019</v>
      </c>
      <c r="J2211">
        <v>9.8381921155547003E-2</v>
      </c>
      <c r="K2211">
        <v>7.8317349159282595E-2</v>
      </c>
      <c r="L2211">
        <v>2328.2224709878901</v>
      </c>
      <c r="M2211">
        <v>40.168870031809099</v>
      </c>
      <c r="N2211">
        <v>58.216358771572303</v>
      </c>
      <c r="O2211">
        <v>57.817772643210702</v>
      </c>
      <c r="P2211">
        <v>-0.159651693369186</v>
      </c>
      <c r="Q2211">
        <v>8.0811975101587399E-2</v>
      </c>
      <c r="R2211">
        <v>0.99051345644693201</v>
      </c>
      <c r="S2211" t="s">
        <v>9214</v>
      </c>
      <c r="T2211" t="s">
        <v>14004</v>
      </c>
      <c r="U2211" t="s">
        <v>14004</v>
      </c>
      <c r="V2211" t="s">
        <v>14004</v>
      </c>
      <c r="W2211" t="s">
        <v>16179</v>
      </c>
      <c r="X2211">
        <v>77</v>
      </c>
      <c r="Y2211" t="s">
        <v>23083</v>
      </c>
      <c r="Z2211" t="s">
        <v>29921</v>
      </c>
      <c r="AA2211">
        <v>0.63470958489090079</v>
      </c>
      <c r="AB2211" t="str">
        <f>HYPERLINK("Melting_Curves/meltCurve_P13639_EEF2.pdf", "Melting_Curves/meltCurve_P13639_EEF2.pdf")</f>
        <v>Melting_Curves/meltCurve_P13639_EEF2.pdf</v>
      </c>
    </row>
    <row r="2212" spans="1:28" x14ac:dyDescent="0.25">
      <c r="A2212" t="s">
        <v>2216</v>
      </c>
      <c r="B2212">
        <v>0.99999676499088797</v>
      </c>
      <c r="C2212">
        <v>0.97608332845082801</v>
      </c>
      <c r="D2212">
        <v>0.95995680342676004</v>
      </c>
      <c r="E2212">
        <v>0.73878030826077801</v>
      </c>
      <c r="F2212">
        <v>0.34060167815485298</v>
      </c>
      <c r="G2212">
        <v>0.23521839241711701</v>
      </c>
      <c r="H2212">
        <v>0.117322352917111</v>
      </c>
      <c r="I2212">
        <v>0.11285011464354699</v>
      </c>
      <c r="J2212">
        <v>0.106595690836152</v>
      </c>
      <c r="K2212">
        <v>0.109547057694348</v>
      </c>
      <c r="L2212">
        <v>1262.1832292138499</v>
      </c>
      <c r="M2212">
        <v>24.621763140925101</v>
      </c>
      <c r="N2212">
        <v>51.794446700539403</v>
      </c>
      <c r="O2212">
        <v>50.928343287849302</v>
      </c>
      <c r="P2212">
        <v>-0.107372758546619</v>
      </c>
      <c r="Q2212">
        <v>0.111641429321196</v>
      </c>
      <c r="R2212">
        <v>0.99720851434647495</v>
      </c>
      <c r="S2212" t="s">
        <v>9215</v>
      </c>
      <c r="T2212" t="s">
        <v>14004</v>
      </c>
      <c r="U2212" t="s">
        <v>14004</v>
      </c>
      <c r="V2212" t="s">
        <v>14004</v>
      </c>
      <c r="W2212" t="s">
        <v>16180</v>
      </c>
      <c r="X2212">
        <v>52</v>
      </c>
      <c r="Y2212" t="s">
        <v>23084</v>
      </c>
      <c r="Z2212" t="s">
        <v>29922</v>
      </c>
      <c r="AA2212">
        <v>0.45344984095291002</v>
      </c>
      <c r="AB2212" t="str">
        <f>HYPERLINK("Melting_Curves/meltCurve_P13667_PDIA4.pdf", "Melting_Curves/meltCurve_P13667_PDIA4.pdf")</f>
        <v>Melting_Curves/meltCurve_P13667_PDIA4.pdf</v>
      </c>
    </row>
    <row r="2213" spans="1:28" x14ac:dyDescent="0.25">
      <c r="A2213" t="s">
        <v>2217</v>
      </c>
      <c r="B2213">
        <v>0.99999676499088797</v>
      </c>
      <c r="C2213">
        <v>0.99276706974003004</v>
      </c>
      <c r="D2213">
        <v>0.93214478631813202</v>
      </c>
      <c r="E2213">
        <v>0.73470706693688603</v>
      </c>
      <c r="F2213">
        <v>0.52673537929210801</v>
      </c>
      <c r="G2213">
        <v>0.34732504551881199</v>
      </c>
      <c r="H2213">
        <v>0.15032606796735401</v>
      </c>
      <c r="I2213">
        <v>0.15085340046707299</v>
      </c>
      <c r="J2213">
        <v>0.16856008450094001</v>
      </c>
      <c r="K2213">
        <v>0.145722787131496</v>
      </c>
      <c r="L2213">
        <v>869.22663451971403</v>
      </c>
      <c r="M2213">
        <v>16.546371064915</v>
      </c>
      <c r="N2213">
        <v>53.419320061911897</v>
      </c>
      <c r="O2213">
        <v>51.783435072302801</v>
      </c>
      <c r="P2213">
        <v>-7.0296387891190401E-2</v>
      </c>
      <c r="Q2213">
        <v>0.12006368309089099</v>
      </c>
      <c r="R2213">
        <v>0.995340235181297</v>
      </c>
      <c r="S2213" t="s">
        <v>9216</v>
      </c>
      <c r="T2213" t="s">
        <v>14004</v>
      </c>
      <c r="U2213" t="s">
        <v>14004</v>
      </c>
      <c r="V2213" t="s">
        <v>14004</v>
      </c>
      <c r="W2213" t="s">
        <v>16181</v>
      </c>
      <c r="X2213">
        <v>16</v>
      </c>
      <c r="Y2213" t="s">
        <v>23085</v>
      </c>
      <c r="Z2213" t="s">
        <v>29923</v>
      </c>
      <c r="AA2213">
        <v>0.5042990654251327</v>
      </c>
      <c r="AB2213" t="str">
        <f>HYPERLINK("Melting_Curves/meltCurve_P13674_2_P4HA1.pdf", "Melting_Curves/meltCurve_P13674_2_P4HA1.pdf")</f>
        <v>Melting_Curves/meltCurve_P13674_2_P4HA1.pdf</v>
      </c>
    </row>
    <row r="2214" spans="1:28" x14ac:dyDescent="0.25">
      <c r="A2214" t="s">
        <v>2218</v>
      </c>
      <c r="B2214">
        <v>0.99999676499088797</v>
      </c>
      <c r="C2214">
        <v>0.90947378240604904</v>
      </c>
      <c r="D2214">
        <v>0.85521745858597398</v>
      </c>
      <c r="E2214">
        <v>0.81066736251543203</v>
      </c>
      <c r="F2214">
        <v>0.45535819649776099</v>
      </c>
      <c r="G2214">
        <v>0.20500730582697901</v>
      </c>
      <c r="H2214">
        <v>0.10635014379564001</v>
      </c>
      <c r="I2214">
        <v>9.7194560227572002E-2</v>
      </c>
      <c r="J2214">
        <v>9.3346446587429494E-2</v>
      </c>
      <c r="K2214">
        <v>0.113840900713517</v>
      </c>
      <c r="L2214">
        <v>1037.95484460685</v>
      </c>
      <c r="M2214">
        <v>19.886897725503701</v>
      </c>
      <c r="N2214">
        <v>52.634706786585298</v>
      </c>
      <c r="O2214">
        <v>51.673744276290797</v>
      </c>
      <c r="P2214">
        <v>-8.8820813347967306E-2</v>
      </c>
      <c r="Q2214">
        <v>7.6869325728905605E-2</v>
      </c>
      <c r="R2214">
        <v>0.98644862864123395</v>
      </c>
      <c r="S2214" t="s">
        <v>9217</v>
      </c>
      <c r="T2214" t="s">
        <v>14004</v>
      </c>
      <c r="U2214" t="s">
        <v>14004</v>
      </c>
      <c r="V2214" t="s">
        <v>14004</v>
      </c>
      <c r="W2214" t="s">
        <v>16182</v>
      </c>
      <c r="X2214">
        <v>12</v>
      </c>
      <c r="Y2214" t="s">
        <v>23086</v>
      </c>
      <c r="Z2214" t="s">
        <v>29924</v>
      </c>
      <c r="AA2214">
        <v>0.46495026038368947</v>
      </c>
      <c r="AB2214" t="str">
        <f>HYPERLINK("Melting_Curves/meltCurve_P13693_TPT1.pdf", "Melting_Curves/meltCurve_P13693_TPT1.pdf")</f>
        <v>Melting_Curves/meltCurve_P13693_TPT1.pdf</v>
      </c>
    </row>
    <row r="2215" spans="1:28" x14ac:dyDescent="0.25">
      <c r="A2215" t="s">
        <v>2219</v>
      </c>
      <c r="B2215">
        <v>0.99999676499088797</v>
      </c>
      <c r="C2215">
        <v>0.959215328678649</v>
      </c>
      <c r="D2215">
        <v>1.0358902344692</v>
      </c>
      <c r="E2215">
        <v>0.95833782900156705</v>
      </c>
      <c r="F2215">
        <v>0.84335034343958204</v>
      </c>
      <c r="G2215">
        <v>0.52606568122972697</v>
      </c>
      <c r="H2215">
        <v>0.15657123764237199</v>
      </c>
      <c r="I2215">
        <v>0.13129921100176201</v>
      </c>
      <c r="J2215">
        <v>0.130239766443668</v>
      </c>
      <c r="K2215">
        <v>0.13144840646330899</v>
      </c>
      <c r="L2215">
        <v>1664.40899208512</v>
      </c>
      <c r="M2215">
        <v>29.565179308330901</v>
      </c>
      <c r="N2215">
        <v>56.775887313802698</v>
      </c>
      <c r="O2215">
        <v>56.040587401009802</v>
      </c>
      <c r="P2215">
        <v>-0.11731772901795</v>
      </c>
      <c r="Q2215">
        <v>0.110506453136426</v>
      </c>
      <c r="R2215">
        <v>0.99517752396883397</v>
      </c>
      <c r="S2215" t="s">
        <v>9218</v>
      </c>
      <c r="T2215" t="s">
        <v>14004</v>
      </c>
      <c r="U2215" t="s">
        <v>14004</v>
      </c>
      <c r="V2215" t="s">
        <v>14004</v>
      </c>
      <c r="W2215" t="s">
        <v>16183</v>
      </c>
      <c r="X2215">
        <v>54</v>
      </c>
      <c r="Y2215" t="s">
        <v>23087</v>
      </c>
      <c r="Z2215" t="s">
        <v>29925</v>
      </c>
      <c r="AA2215">
        <v>0.59977958702818457</v>
      </c>
      <c r="AB2215" t="str">
        <f>HYPERLINK("Melting_Curves/meltCurve_P13796_LCP1.pdf", "Melting_Curves/meltCurve_P13796_LCP1.pdf")</f>
        <v>Melting_Curves/meltCurve_P13796_LCP1.pdf</v>
      </c>
    </row>
    <row r="2216" spans="1:28" x14ac:dyDescent="0.25">
      <c r="A2216" t="s">
        <v>2220</v>
      </c>
      <c r="B2216">
        <v>0.99999676499088797</v>
      </c>
      <c r="C2216">
        <v>0.97156941349692805</v>
      </c>
      <c r="D2216">
        <v>0.96699903026338496</v>
      </c>
      <c r="E2216">
        <v>0.85524175771340805</v>
      </c>
      <c r="F2216">
        <v>0.51617085913892202</v>
      </c>
      <c r="G2216">
        <v>0.30416147672687699</v>
      </c>
      <c r="H2216">
        <v>0.157665881004355</v>
      </c>
      <c r="I2216">
        <v>6.8032728406119805E-2</v>
      </c>
      <c r="J2216">
        <v>4.7138474507200601E-2</v>
      </c>
      <c r="K2216">
        <v>4.2514197968111699E-2</v>
      </c>
      <c r="L2216">
        <v>991.80550836681596</v>
      </c>
      <c r="M2216">
        <v>18.487563335356601</v>
      </c>
      <c r="N2216">
        <v>53.847187898784703</v>
      </c>
      <c r="O2216">
        <v>53.031297190991999</v>
      </c>
      <c r="P2216">
        <v>-8.4265728373906001E-2</v>
      </c>
      <c r="Q2216">
        <v>3.3182757555683201E-2</v>
      </c>
      <c r="R2216">
        <v>0.99747518309268501</v>
      </c>
      <c r="S2216" t="s">
        <v>9219</v>
      </c>
      <c r="T2216" t="s">
        <v>14004</v>
      </c>
      <c r="U2216" t="s">
        <v>14004</v>
      </c>
      <c r="V2216" t="s">
        <v>14004</v>
      </c>
      <c r="W2216" t="s">
        <v>16184</v>
      </c>
      <c r="X2216">
        <v>15</v>
      </c>
      <c r="Y2216" t="s">
        <v>23088</v>
      </c>
      <c r="Z2216" t="s">
        <v>29926</v>
      </c>
      <c r="AA2216">
        <v>0.48797408327467612</v>
      </c>
      <c r="AB2216" t="str">
        <f>HYPERLINK("Melting_Curves/meltCurve_P13804_ETFA.pdf", "Melting_Curves/meltCurve_P13804_ETFA.pdf")</f>
        <v>Melting_Curves/meltCurve_P13804_ETFA.pdf</v>
      </c>
    </row>
    <row r="2217" spans="1:28" x14ac:dyDescent="0.25">
      <c r="A2217" t="s">
        <v>2221</v>
      </c>
      <c r="B2217">
        <v>0.99999676499088797</v>
      </c>
      <c r="C2217">
        <v>1.00847187504762</v>
      </c>
      <c r="D2217">
        <v>1.0719452648968899</v>
      </c>
      <c r="E2217">
        <v>1.39236684406658</v>
      </c>
      <c r="F2217">
        <v>1.59168509775985</v>
      </c>
      <c r="G2217">
        <v>1.36966231336876</v>
      </c>
      <c r="H2217">
        <v>0.22456467494969001</v>
      </c>
      <c r="I2217">
        <v>0.122686497256063</v>
      </c>
      <c r="J2217">
        <v>0.103334352386334</v>
      </c>
      <c r="K2217">
        <v>7.2116346412867696E-2</v>
      </c>
      <c r="L2217">
        <v>15000</v>
      </c>
      <c r="M2217">
        <v>248.53414388372099</v>
      </c>
      <c r="N2217">
        <v>60.407739512169101</v>
      </c>
      <c r="O2217">
        <v>60.349972418911499</v>
      </c>
      <c r="P2217">
        <v>-0.92723800204587103</v>
      </c>
      <c r="Q2217">
        <v>9.9378669402740996E-2</v>
      </c>
      <c r="R2217">
        <v>0.80172932105397898</v>
      </c>
      <c r="S2217" t="s">
        <v>9220</v>
      </c>
      <c r="T2217" t="s">
        <v>14004</v>
      </c>
      <c r="U2217" t="s">
        <v>14004</v>
      </c>
      <c r="V2217" t="s">
        <v>14004</v>
      </c>
      <c r="W2217" t="s">
        <v>16185</v>
      </c>
      <c r="X2217">
        <v>10</v>
      </c>
      <c r="Y2217" t="s">
        <v>23089</v>
      </c>
      <c r="Z2217" t="s">
        <v>29927</v>
      </c>
      <c r="AA2217">
        <v>0.71051315435496476</v>
      </c>
      <c r="AB2217" t="str">
        <f>HYPERLINK("Melting_Curves/meltCurve_P13807_2_GYS1.pdf", "Melting_Curves/meltCurve_P13807_2_GYS1.pdf")</f>
        <v>Melting_Curves/meltCurve_P13807_2_GYS1.pdf</v>
      </c>
    </row>
    <row r="2218" spans="1:28" x14ac:dyDescent="0.25">
      <c r="A2218" t="s">
        <v>2222</v>
      </c>
      <c r="B2218">
        <v>0.99999676499088797</v>
      </c>
      <c r="C2218">
        <v>1.01226606425045</v>
      </c>
      <c r="D2218">
        <v>0.90559730106604996</v>
      </c>
      <c r="E2218">
        <v>0.80221212135753694</v>
      </c>
      <c r="F2218">
        <v>0.42878223850362701</v>
      </c>
      <c r="G2218">
        <v>0.19867602612141599</v>
      </c>
      <c r="H2218">
        <v>0.10227898303767601</v>
      </c>
      <c r="I2218">
        <v>9.98087508399777E-2</v>
      </c>
      <c r="J2218">
        <v>0.10715601379756901</v>
      </c>
      <c r="K2218">
        <v>8.6541263151365205E-2</v>
      </c>
      <c r="L2218">
        <v>1211.54781315283</v>
      </c>
      <c r="M2218">
        <v>23.2664734736267</v>
      </c>
      <c r="N2218">
        <v>52.4983753915484</v>
      </c>
      <c r="O2218">
        <v>51.692583612300197</v>
      </c>
      <c r="P2218">
        <v>-0.10285219555667099</v>
      </c>
      <c r="Q2218">
        <v>8.5963646396694807E-2</v>
      </c>
      <c r="R2218">
        <v>0.99721425995360102</v>
      </c>
      <c r="S2218" t="s">
        <v>9221</v>
      </c>
      <c r="T2218" t="s">
        <v>14004</v>
      </c>
      <c r="U2218" t="s">
        <v>14004</v>
      </c>
      <c r="V2218" t="s">
        <v>14004</v>
      </c>
      <c r="W2218" t="s">
        <v>16186</v>
      </c>
      <c r="X2218">
        <v>17</v>
      </c>
      <c r="Y2218" t="s">
        <v>23090</v>
      </c>
      <c r="Z2218" t="s">
        <v>29928</v>
      </c>
      <c r="AA2218">
        <v>0.46336749986000703</v>
      </c>
      <c r="AB2218" t="str">
        <f>HYPERLINK("Melting_Curves/meltCurve_P13861_PRKAR2A.pdf", "Melting_Curves/meltCurve_P13861_PRKAR2A.pdf")</f>
        <v>Melting_Curves/meltCurve_P13861_PRKAR2A.pdf</v>
      </c>
    </row>
    <row r="2219" spans="1:28" x14ac:dyDescent="0.25">
      <c r="A2219" t="s">
        <v>2223</v>
      </c>
      <c r="B2219">
        <v>0.99999676499088797</v>
      </c>
      <c r="C2219">
        <v>1.16674999588003</v>
      </c>
      <c r="D2219">
        <v>1.04034519416515</v>
      </c>
      <c r="E2219">
        <v>0.92554833484159005</v>
      </c>
      <c r="F2219">
        <v>0.85017362144390995</v>
      </c>
      <c r="G2219">
        <v>0.73889714635422898</v>
      </c>
      <c r="H2219">
        <v>0.53091160868777598</v>
      </c>
      <c r="I2219">
        <v>0.55695732817948196</v>
      </c>
      <c r="J2219">
        <v>0.36030016617632699</v>
      </c>
      <c r="K2219">
        <v>0.130879451048975</v>
      </c>
      <c r="L2219">
        <v>700.85536069824002</v>
      </c>
      <c r="M2219">
        <v>11.192128106795501</v>
      </c>
      <c r="N2219">
        <v>62.620384094692902</v>
      </c>
      <c r="O2219">
        <v>60.721047681149798</v>
      </c>
      <c r="P2219">
        <v>-4.6094643394104899E-2</v>
      </c>
      <c r="Q2219">
        <v>0</v>
      </c>
      <c r="R2219">
        <v>0.93490061278642</v>
      </c>
      <c r="S2219" t="s">
        <v>9222</v>
      </c>
      <c r="T2219" t="s">
        <v>14004</v>
      </c>
      <c r="U2219" t="s">
        <v>14004</v>
      </c>
      <c r="V2219" t="s">
        <v>14004</v>
      </c>
      <c r="W2219" t="s">
        <v>16187</v>
      </c>
      <c r="X2219">
        <v>14</v>
      </c>
      <c r="Y2219" t="s">
        <v>23091</v>
      </c>
      <c r="Z2219" t="s">
        <v>29929</v>
      </c>
      <c r="AA2219">
        <v>0.73375091188755348</v>
      </c>
      <c r="AB2219" t="str">
        <f>HYPERLINK("Melting_Curves/meltCurve_P13929_2_ENO3.pdf", "Melting_Curves/meltCurve_P13929_2_ENO3.pdf")</f>
        <v>Melting_Curves/meltCurve_P13929_2_ENO3.pdf</v>
      </c>
    </row>
    <row r="2220" spans="1:28" x14ac:dyDescent="0.25">
      <c r="A2220" t="s">
        <v>2224</v>
      </c>
      <c r="B2220">
        <v>0.99999676499088797</v>
      </c>
      <c r="C2220">
        <v>0.94658016599336103</v>
      </c>
      <c r="D2220">
        <v>0.99794097410327598</v>
      </c>
      <c r="E2220">
        <v>1.0698902731975899</v>
      </c>
      <c r="F2220">
        <v>0.74434168183148397</v>
      </c>
      <c r="G2220">
        <v>0.43328724314243999</v>
      </c>
      <c r="H2220">
        <v>0.145244649939822</v>
      </c>
      <c r="I2220">
        <v>0.15319694109528001</v>
      </c>
      <c r="J2220">
        <v>0.129489379545286</v>
      </c>
      <c r="K2220">
        <v>0.15536486963914101</v>
      </c>
      <c r="L2220">
        <v>1653.2069334923201</v>
      </c>
      <c r="M2220">
        <v>29.928313340635</v>
      </c>
      <c r="N2220">
        <v>55.812718560221697</v>
      </c>
      <c r="O2220">
        <v>54.994023817244603</v>
      </c>
      <c r="P2220">
        <v>-0.118035550929819</v>
      </c>
      <c r="Q2220">
        <v>0.13243249374403401</v>
      </c>
      <c r="R2220">
        <v>0.98820720493603398</v>
      </c>
      <c r="S2220" t="s">
        <v>9223</v>
      </c>
      <c r="T2220" t="s">
        <v>14004</v>
      </c>
      <c r="U2220" t="s">
        <v>14004</v>
      </c>
      <c r="V2220" t="s">
        <v>14004</v>
      </c>
      <c r="W2220" t="s">
        <v>16188</v>
      </c>
      <c r="X2220">
        <v>14</v>
      </c>
      <c r="Y2220" t="s">
        <v>23092</v>
      </c>
      <c r="Z2220" t="s">
        <v>29930</v>
      </c>
      <c r="AA2220">
        <v>0.57891559379973512</v>
      </c>
      <c r="AB2220" t="str">
        <f>HYPERLINK("Melting_Curves/meltCurve_P13984_GTF2F2.pdf", "Melting_Curves/meltCurve_P13984_GTF2F2.pdf")</f>
        <v>Melting_Curves/meltCurve_P13984_GTF2F2.pdf</v>
      </c>
    </row>
    <row r="2221" spans="1:28" x14ac:dyDescent="0.25">
      <c r="A2221" t="s">
        <v>2225</v>
      </c>
      <c r="B2221">
        <v>0.99999676499088797</v>
      </c>
      <c r="C2221">
        <v>0.84100889660935696</v>
      </c>
      <c r="D2221">
        <v>0.54607154145827796</v>
      </c>
      <c r="E2221">
        <v>0.31548434306194301</v>
      </c>
      <c r="F2221">
        <v>0.19354598718239199</v>
      </c>
      <c r="G2221">
        <v>7.4047724280481397E-2</v>
      </c>
      <c r="H2221">
        <v>6.1676094274991801E-2</v>
      </c>
      <c r="I2221">
        <v>5.62043834560658E-2</v>
      </c>
      <c r="J2221">
        <v>0.12941869952966101</v>
      </c>
      <c r="K2221">
        <v>0.11133697551921801</v>
      </c>
      <c r="L2221">
        <v>875.22907726169501</v>
      </c>
      <c r="M2221">
        <v>18.875262353943199</v>
      </c>
      <c r="N2221">
        <v>46.831369568467203</v>
      </c>
      <c r="O2221">
        <v>45.858047279687497</v>
      </c>
      <c r="P2221">
        <v>-9.4158489580410398E-2</v>
      </c>
      <c r="Q2221">
        <v>8.4993341970215602E-2</v>
      </c>
      <c r="R2221">
        <v>0.99007699734080901</v>
      </c>
      <c r="S2221" t="s">
        <v>9224</v>
      </c>
      <c r="T2221" t="s">
        <v>14004</v>
      </c>
      <c r="U2221" t="s">
        <v>14004</v>
      </c>
      <c r="V2221" t="s">
        <v>14004</v>
      </c>
      <c r="W2221" t="s">
        <v>16189</v>
      </c>
      <c r="X2221">
        <v>2</v>
      </c>
      <c r="Y2221" t="s">
        <v>23093</v>
      </c>
      <c r="Z2221" t="s">
        <v>29931</v>
      </c>
      <c r="AA2221">
        <v>0.29499144476880912</v>
      </c>
      <c r="AB2221" t="str">
        <f>HYPERLINK("Melting_Curves/meltCurve_P13994_CCDC130.pdf", "Melting_Curves/meltCurve_P13994_CCDC130.pdf")</f>
        <v>Melting_Curves/meltCurve_P13994_CCDC130.pdf</v>
      </c>
    </row>
    <row r="2222" spans="1:28" x14ac:dyDescent="0.25">
      <c r="A2222" t="s">
        <v>2226</v>
      </c>
      <c r="B2222">
        <v>0.99999676499088797</v>
      </c>
      <c r="C2222">
        <v>0.88186817962347996</v>
      </c>
      <c r="D2222">
        <v>0.83950489059042199</v>
      </c>
      <c r="E2222">
        <v>0.70504323678661596</v>
      </c>
      <c r="F2222">
        <v>0.47723809701218201</v>
      </c>
      <c r="G2222">
        <v>0.213616392052356</v>
      </c>
      <c r="H2222">
        <v>6.3753539516727895E-2</v>
      </c>
      <c r="I2222">
        <v>5.3736009577604903E-2</v>
      </c>
      <c r="J2222">
        <v>4.7892125634070998E-2</v>
      </c>
      <c r="K2222">
        <v>3.6132105662573299E-2</v>
      </c>
      <c r="L2222">
        <v>753.13216735126502</v>
      </c>
      <c r="M2222">
        <v>14.4283022543461</v>
      </c>
      <c r="N2222">
        <v>52.198228894450999</v>
      </c>
      <c r="O2222">
        <v>51.226277705997397</v>
      </c>
      <c r="P2222">
        <v>-7.0422852030243302E-2</v>
      </c>
      <c r="Q2222">
        <v>0</v>
      </c>
      <c r="R2222">
        <v>0.99048394887314795</v>
      </c>
      <c r="S2222" t="s">
        <v>9225</v>
      </c>
      <c r="T2222" t="s">
        <v>14004</v>
      </c>
      <c r="U2222" t="s">
        <v>14004</v>
      </c>
      <c r="V2222" t="s">
        <v>14004</v>
      </c>
      <c r="W2222" t="s">
        <v>16190</v>
      </c>
      <c r="X2222">
        <v>18</v>
      </c>
      <c r="Y2222" t="s">
        <v>23094</v>
      </c>
      <c r="Z2222" t="s">
        <v>29932</v>
      </c>
      <c r="AA2222">
        <v>0.43012350076602479</v>
      </c>
      <c r="AB2222" t="str">
        <f>HYPERLINK("Melting_Curves/meltCurve_P13995_MTHFD2.pdf", "Melting_Curves/meltCurve_P13995_MTHFD2.pdf")</f>
        <v>Melting_Curves/meltCurve_P13995_MTHFD2.pdf</v>
      </c>
    </row>
    <row r="2223" spans="1:28" x14ac:dyDescent="0.25">
      <c r="A2223" t="s">
        <v>2227</v>
      </c>
      <c r="B2223">
        <v>0.99999676499088797</v>
      </c>
      <c r="C2223">
        <v>0.55416687055725</v>
      </c>
      <c r="D2223">
        <v>0.59230271912493804</v>
      </c>
      <c r="E2223">
        <v>0.54483363036542498</v>
      </c>
      <c r="F2223">
        <v>0.42643121121682098</v>
      </c>
      <c r="G2223">
        <v>0.72703095164995102</v>
      </c>
      <c r="H2223">
        <v>0.33848540008782702</v>
      </c>
      <c r="I2223">
        <v>0.25951257504754999</v>
      </c>
      <c r="J2223">
        <v>0.17589763351646001</v>
      </c>
      <c r="K2223">
        <v>0.67657129326611698</v>
      </c>
      <c r="L2223">
        <v>3502.4552237356102</v>
      </c>
      <c r="M2223">
        <v>83.260109939795399</v>
      </c>
      <c r="N2223">
        <v>43.493166951294803</v>
      </c>
      <c r="O2223">
        <v>42.0421761459084</v>
      </c>
      <c r="P2223">
        <v>-0.26367404761216401</v>
      </c>
      <c r="Q2223">
        <v>0.46743142608129801</v>
      </c>
      <c r="R2223">
        <v>0.47504856957330499</v>
      </c>
      <c r="S2223" t="s">
        <v>9226</v>
      </c>
      <c r="T2223" t="s">
        <v>14004</v>
      </c>
      <c r="U2223" t="s">
        <v>14004</v>
      </c>
      <c r="V2223" t="s">
        <v>14004</v>
      </c>
      <c r="W2223" t="s">
        <v>16191</v>
      </c>
      <c r="X2223">
        <v>3</v>
      </c>
      <c r="Y2223" t="s">
        <v>23095</v>
      </c>
      <c r="Z2223" t="s">
        <v>29933</v>
      </c>
      <c r="AA2223">
        <v>0.50457705374188899</v>
      </c>
      <c r="AB2223" t="str">
        <f>HYPERLINK("Melting_Curves/meltCurve_P14136_3_GFAP.pdf", "Melting_Curves/meltCurve_P14136_3_GFAP.pdf")</f>
        <v>Melting_Curves/meltCurve_P14136_3_GFAP.pdf</v>
      </c>
    </row>
    <row r="2224" spans="1:28" x14ac:dyDescent="0.25">
      <c r="A2224" t="s">
        <v>2228</v>
      </c>
      <c r="B2224">
        <v>0.99999676499088797</v>
      </c>
      <c r="C2224">
        <v>0.94270773693057397</v>
      </c>
      <c r="D2224">
        <v>0.92874279965630302</v>
      </c>
      <c r="E2224">
        <v>0.97636480394425296</v>
      </c>
      <c r="F2224">
        <v>0.90779856234108303</v>
      </c>
      <c r="G2224">
        <v>0.92628179868491201</v>
      </c>
      <c r="H2224">
        <v>0.72176724167986706</v>
      </c>
      <c r="I2224">
        <v>0.70372272346334797</v>
      </c>
      <c r="J2224">
        <v>0.58896824372871304</v>
      </c>
      <c r="K2224">
        <v>0.73928395029114802</v>
      </c>
      <c r="L2224">
        <v>1454.1151737605701</v>
      </c>
      <c r="M2224">
        <v>24.984617104679401</v>
      </c>
      <c r="O2224">
        <v>57.8314119900595</v>
      </c>
      <c r="P2224">
        <v>-3.6874669993471602E-2</v>
      </c>
      <c r="Q2224">
        <v>0.65859225027915003</v>
      </c>
      <c r="R2224">
        <v>0.84567228114928095</v>
      </c>
      <c r="S2224" t="s">
        <v>9227</v>
      </c>
      <c r="T2224" t="s">
        <v>14004</v>
      </c>
      <c r="U2224" t="s">
        <v>14004</v>
      </c>
      <c r="V2224" t="s">
        <v>14004</v>
      </c>
      <c r="W2224" t="s">
        <v>16192</v>
      </c>
      <c r="X2224">
        <v>8</v>
      </c>
      <c r="Y2224" t="s">
        <v>23096</v>
      </c>
      <c r="Z2224" t="s">
        <v>29934</v>
      </c>
      <c r="AA2224">
        <v>0.86866133130718148</v>
      </c>
      <c r="AB2224" t="str">
        <f>HYPERLINK("Melting_Curves/meltCurve_P14151_SELL.pdf", "Melting_Curves/meltCurve_P14151_SELL.pdf")</f>
        <v>Melting_Curves/meltCurve_P14151_SELL.pdf</v>
      </c>
    </row>
    <row r="2225" spans="1:28" x14ac:dyDescent="0.25">
      <c r="A2225" t="s">
        <v>2229</v>
      </c>
      <c r="B2225">
        <v>0.99999676499088797</v>
      </c>
      <c r="C2225">
        <v>0.87911551001974997</v>
      </c>
      <c r="D2225">
        <v>0.81806272255141599</v>
      </c>
      <c r="E2225">
        <v>0.680284058546749</v>
      </c>
      <c r="F2225">
        <v>0.80649757457014204</v>
      </c>
      <c r="G2225">
        <v>0.60774275808642697</v>
      </c>
      <c r="H2225">
        <v>0.38404021229753099</v>
      </c>
      <c r="I2225">
        <v>0.31832781629879098</v>
      </c>
      <c r="J2225">
        <v>0.227962360753247</v>
      </c>
      <c r="K2225">
        <v>0.15526381746332199</v>
      </c>
      <c r="L2225">
        <v>453.28557497036297</v>
      </c>
      <c r="M2225">
        <v>7.8239634258864701</v>
      </c>
      <c r="N2225">
        <v>57.935549281445503</v>
      </c>
      <c r="O2225">
        <v>54.516456197967202</v>
      </c>
      <c r="P2225">
        <v>-3.5922995942665001E-2</v>
      </c>
      <c r="Q2225">
        <v>0</v>
      </c>
      <c r="R2225">
        <v>0.93894077568623402</v>
      </c>
      <c r="S2225" t="s">
        <v>9228</v>
      </c>
      <c r="T2225" t="s">
        <v>14004</v>
      </c>
      <c r="U2225" t="s">
        <v>14004</v>
      </c>
      <c r="V2225" t="s">
        <v>14004</v>
      </c>
      <c r="W2225" t="s">
        <v>16193</v>
      </c>
      <c r="X2225">
        <v>4</v>
      </c>
      <c r="Y2225" t="s">
        <v>23097</v>
      </c>
      <c r="Z2225" t="s">
        <v>29935</v>
      </c>
      <c r="AA2225">
        <v>0.60122181886772286</v>
      </c>
      <c r="AB2225" t="str">
        <f>HYPERLINK("Melting_Curves/meltCurve_P14174_MIF.pdf", "Melting_Curves/meltCurve_P14174_MIF.pdf")</f>
        <v>Melting_Curves/meltCurve_P14174_MIF.pdf</v>
      </c>
    </row>
    <row r="2226" spans="1:28" x14ac:dyDescent="0.25">
      <c r="A2226" t="s">
        <v>2230</v>
      </c>
      <c r="B2226">
        <v>0.99999676499088797</v>
      </c>
      <c r="C2226">
        <v>1.1018958569163699</v>
      </c>
      <c r="D2226">
        <v>0.88006244419983903</v>
      </c>
      <c r="E2226">
        <v>0.79928897598755499</v>
      </c>
      <c r="F2226">
        <v>0.807928247265013</v>
      </c>
      <c r="G2226">
        <v>0.54200909624621096</v>
      </c>
      <c r="H2226">
        <v>0.28553423453189197</v>
      </c>
      <c r="I2226">
        <v>0.30616146618011297</v>
      </c>
      <c r="J2226">
        <v>0.25731680557237802</v>
      </c>
      <c r="K2226">
        <v>0.42647947110475198</v>
      </c>
      <c r="L2226">
        <v>965.85119008595802</v>
      </c>
      <c r="M2226">
        <v>17.7312883883837</v>
      </c>
      <c r="N2226">
        <v>57.201189065780802</v>
      </c>
      <c r="O2226">
        <v>53.7928939037972</v>
      </c>
      <c r="P2226">
        <v>-5.8884696274284401E-2</v>
      </c>
      <c r="Q2226">
        <v>0.28546367959566099</v>
      </c>
      <c r="R2226">
        <v>0.92471165174370396</v>
      </c>
      <c r="S2226" t="s">
        <v>9229</v>
      </c>
      <c r="T2226" t="s">
        <v>14004</v>
      </c>
      <c r="U2226" t="s">
        <v>14004</v>
      </c>
      <c r="V2226" t="s">
        <v>14004</v>
      </c>
      <c r="W2226" t="s">
        <v>16194</v>
      </c>
      <c r="X2226">
        <v>4</v>
      </c>
      <c r="Y2226" t="s">
        <v>23098</v>
      </c>
      <c r="Z2226" t="s">
        <v>29936</v>
      </c>
      <c r="AA2226">
        <v>0.64165799219702557</v>
      </c>
      <c r="AB2226" t="str">
        <f>HYPERLINK("Melting_Curves/meltCurve_P14209_3_CD99.pdf", "Melting_Curves/meltCurve_P14209_3_CD99.pdf")</f>
        <v>Melting_Curves/meltCurve_P14209_3_CD99.pdf</v>
      </c>
    </row>
    <row r="2227" spans="1:28" x14ac:dyDescent="0.25">
      <c r="A2227" t="s">
        <v>2231</v>
      </c>
      <c r="B2227">
        <v>0.99999676499088797</v>
      </c>
      <c r="C2227">
        <v>0.99188873563616198</v>
      </c>
      <c r="D2227">
        <v>0.94497464920446295</v>
      </c>
      <c r="E2227">
        <v>0.858511176653455</v>
      </c>
      <c r="F2227">
        <v>0.65957819165568299</v>
      </c>
      <c r="G2227">
        <v>0.49720174874586398</v>
      </c>
      <c r="H2227">
        <v>0.28545478138275099</v>
      </c>
      <c r="I2227">
        <v>0.336138654039773</v>
      </c>
      <c r="J2227">
        <v>0.32166947988228201</v>
      </c>
      <c r="K2227">
        <v>0.354697585356892</v>
      </c>
      <c r="L2227">
        <v>1037.3889331472301</v>
      </c>
      <c r="M2227">
        <v>19.499885115151901</v>
      </c>
      <c r="N2227">
        <v>55.9434108194177</v>
      </c>
      <c r="O2227">
        <v>52.649731042955302</v>
      </c>
      <c r="P2227">
        <v>-6.4090007059177501E-2</v>
      </c>
      <c r="Q2227">
        <v>0.30785232322536399</v>
      </c>
      <c r="R2227">
        <v>0.98831528672055702</v>
      </c>
      <c r="S2227" t="s">
        <v>9230</v>
      </c>
      <c r="T2227" t="s">
        <v>14004</v>
      </c>
      <c r="U2227" t="s">
        <v>14004</v>
      </c>
      <c r="V2227" t="s">
        <v>14004</v>
      </c>
      <c r="W2227" t="s">
        <v>16195</v>
      </c>
      <c r="X2227">
        <v>43</v>
      </c>
      <c r="Y2227" t="s">
        <v>23099</v>
      </c>
      <c r="Z2227" t="s">
        <v>29937</v>
      </c>
      <c r="AA2227">
        <v>0.6223057182522802</v>
      </c>
      <c r="AB2227" t="str">
        <f>HYPERLINK("Melting_Curves/meltCurve_P14317_HCLS1.pdf", "Melting_Curves/meltCurve_P14317_HCLS1.pdf")</f>
        <v>Melting_Curves/meltCurve_P14317_HCLS1.pdf</v>
      </c>
    </row>
    <row r="2228" spans="1:28" x14ac:dyDescent="0.25">
      <c r="A2228" t="s">
        <v>2232</v>
      </c>
      <c r="B2228">
        <v>0.99999676499088797</v>
      </c>
      <c r="C2228">
        <v>1.04266644822738</v>
      </c>
      <c r="D2228">
        <v>0.68448216378722204</v>
      </c>
      <c r="E2228">
        <v>0.27541782145877503</v>
      </c>
      <c r="F2228">
        <v>0.18819976458908999</v>
      </c>
      <c r="G2228">
        <v>0.13470891662068099</v>
      </c>
      <c r="H2228">
        <v>6.5577877146264299E-2</v>
      </c>
      <c r="I2228">
        <v>6.9073539281890403E-2</v>
      </c>
      <c r="J2228">
        <v>6.6303925070116898E-2</v>
      </c>
      <c r="K2228">
        <v>4.9695477721429598E-2</v>
      </c>
      <c r="L2228">
        <v>1326.8203715776999</v>
      </c>
      <c r="M2228">
        <v>28.049911834542101</v>
      </c>
      <c r="N2228">
        <v>47.619244751280597</v>
      </c>
      <c r="O2228">
        <v>47.063671598515299</v>
      </c>
      <c r="P2228">
        <v>-0.13630697682176601</v>
      </c>
      <c r="Q2228">
        <v>8.5194871366642E-2</v>
      </c>
      <c r="R2228">
        <v>0.98768683716507</v>
      </c>
      <c r="S2228" t="s">
        <v>9231</v>
      </c>
      <c r="T2228" t="s">
        <v>14004</v>
      </c>
      <c r="U2228" t="s">
        <v>14004</v>
      </c>
      <c r="V2228" t="s">
        <v>14004</v>
      </c>
      <c r="W2228" t="s">
        <v>16196</v>
      </c>
      <c r="X2228">
        <v>15</v>
      </c>
      <c r="Y2228" t="s">
        <v>23100</v>
      </c>
      <c r="Z2228" t="s">
        <v>29938</v>
      </c>
      <c r="AA2228">
        <v>0.3141964168849663</v>
      </c>
      <c r="AB2228" t="str">
        <f>HYPERLINK("Melting_Curves/meltCurve_P14324_2_FDPS.pdf", "Melting_Curves/meltCurve_P14324_2_FDPS.pdf")</f>
        <v>Melting_Curves/meltCurve_P14324_2_FDPS.pdf</v>
      </c>
    </row>
    <row r="2229" spans="1:28" x14ac:dyDescent="0.25">
      <c r="A2229" t="s">
        <v>2233</v>
      </c>
      <c r="B2229">
        <v>0.99999676499088797</v>
      </c>
      <c r="C2229">
        <v>1.0023954399374899</v>
      </c>
      <c r="D2229">
        <v>0.97882326455404001</v>
      </c>
      <c r="E2229">
        <v>0.90808787472418695</v>
      </c>
      <c r="F2229">
        <v>0.27459845369609698</v>
      </c>
      <c r="G2229">
        <v>0.181707775419337</v>
      </c>
      <c r="H2229">
        <v>7.6747124816238202E-2</v>
      </c>
      <c r="I2229">
        <v>9.0578556531387702E-2</v>
      </c>
      <c r="J2229">
        <v>8.30985451770654E-2</v>
      </c>
      <c r="K2229">
        <v>7.0181014007758794E-2</v>
      </c>
      <c r="L2229">
        <v>2490.2263187941799</v>
      </c>
      <c r="M2229">
        <v>48.135371359588</v>
      </c>
      <c r="N2229">
        <v>51.9642920900151</v>
      </c>
      <c r="O2229">
        <v>51.644759379505501</v>
      </c>
      <c r="P2229">
        <v>-0.210615088822798</v>
      </c>
      <c r="Q2229">
        <v>9.6119606640593894E-2</v>
      </c>
      <c r="R2229">
        <v>0.99584990163279496</v>
      </c>
      <c r="S2229" t="s">
        <v>9232</v>
      </c>
      <c r="T2229" t="s">
        <v>14004</v>
      </c>
      <c r="U2229" t="s">
        <v>14004</v>
      </c>
      <c r="V2229" t="s">
        <v>14004</v>
      </c>
      <c r="W2229" t="s">
        <v>16197</v>
      </c>
      <c r="X2229">
        <v>21</v>
      </c>
      <c r="Y2229" t="s">
        <v>23101</v>
      </c>
      <c r="Z2229" t="s">
        <v>29939</v>
      </c>
      <c r="AA2229">
        <v>0.4518780749107193</v>
      </c>
      <c r="AB2229" t="str">
        <f>HYPERLINK("Melting_Curves/meltCurve_P14550_AKR1A1.pdf", "Melting_Curves/meltCurve_P14550_AKR1A1.pdf")</f>
        <v>Melting_Curves/meltCurve_P14550_AKR1A1.pdf</v>
      </c>
    </row>
    <row r="2230" spans="1:28" x14ac:dyDescent="0.25">
      <c r="A2230" t="s">
        <v>2234</v>
      </c>
      <c r="B2230">
        <v>0.99999676499088797</v>
      </c>
      <c r="C2230">
        <v>0.90518133091896003</v>
      </c>
      <c r="D2230">
        <v>0.96090472886078804</v>
      </c>
      <c r="E2230">
        <v>0.93664460415283901</v>
      </c>
      <c r="F2230">
        <v>0.97029617278852698</v>
      </c>
      <c r="G2230">
        <v>0.80801702279196197</v>
      </c>
      <c r="H2230">
        <v>0.32002344233586799</v>
      </c>
      <c r="I2230">
        <v>0.101909359740711</v>
      </c>
      <c r="J2230">
        <v>8.4863287800517606E-2</v>
      </c>
      <c r="K2230">
        <v>6.5668797076163896E-2</v>
      </c>
      <c r="L2230">
        <v>2023.57234846642</v>
      </c>
      <c r="M2230">
        <v>34.269027443568703</v>
      </c>
      <c r="N2230">
        <v>59.265278619479403</v>
      </c>
      <c r="O2230">
        <v>58.849603982264803</v>
      </c>
      <c r="P2230">
        <v>-0.13704490875255401</v>
      </c>
      <c r="Q2230">
        <v>5.8624246213533897E-2</v>
      </c>
      <c r="R2230">
        <v>0.99037217177677395</v>
      </c>
      <c r="S2230" t="s">
        <v>9233</v>
      </c>
      <c r="T2230" t="s">
        <v>14004</v>
      </c>
      <c r="U2230" t="s">
        <v>14004</v>
      </c>
      <c r="V2230" t="s">
        <v>14004</v>
      </c>
      <c r="W2230" t="s">
        <v>16198</v>
      </c>
      <c r="X2230">
        <v>64</v>
      </c>
      <c r="Y2230" t="s">
        <v>21958</v>
      </c>
      <c r="Z2230" t="s">
        <v>29940</v>
      </c>
      <c r="AA2230">
        <v>0.66125515439101312</v>
      </c>
      <c r="AB2230" t="str">
        <f>HYPERLINK("Melting_Curves/meltCurve_P14618_PKM.pdf", "Melting_Curves/meltCurve_P14618_PKM.pdf")</f>
        <v>Melting_Curves/meltCurve_P14618_PKM.pdf</v>
      </c>
    </row>
    <row r="2231" spans="1:28" x14ac:dyDescent="0.25">
      <c r="A2231" t="s">
        <v>2235</v>
      </c>
      <c r="B2231">
        <v>0.99999676499088797</v>
      </c>
      <c r="C2231">
        <v>1.01022213890875</v>
      </c>
      <c r="D2231">
        <v>1.01553319971741</v>
      </c>
      <c r="E2231">
        <v>1.0596112742953001</v>
      </c>
      <c r="F2231">
        <v>0.99505538758743695</v>
      </c>
      <c r="G2231">
        <v>0.89798529283145001</v>
      </c>
      <c r="H2231">
        <v>0.412437561095581</v>
      </c>
      <c r="I2231">
        <v>0.13361732418932501</v>
      </c>
      <c r="J2231">
        <v>0.13789445628697</v>
      </c>
      <c r="K2231">
        <v>0.10630740777634599</v>
      </c>
      <c r="L2231">
        <v>2465.1675539665298</v>
      </c>
      <c r="M2231">
        <v>41.245721828092101</v>
      </c>
      <c r="N2231">
        <v>60.115232622698798</v>
      </c>
      <c r="O2231">
        <v>59.627855917422899</v>
      </c>
      <c r="P2231">
        <v>-0.15459300761875</v>
      </c>
      <c r="Q2231">
        <v>0.10603747004026599</v>
      </c>
      <c r="R2231">
        <v>0.99667942621666905</v>
      </c>
      <c r="S2231" t="s">
        <v>9234</v>
      </c>
      <c r="T2231" t="s">
        <v>14004</v>
      </c>
      <c r="U2231" t="s">
        <v>14004</v>
      </c>
      <c r="V2231" t="s">
        <v>14004</v>
      </c>
      <c r="W2231" t="s">
        <v>16199</v>
      </c>
      <c r="X2231">
        <v>63</v>
      </c>
      <c r="Y2231" t="s">
        <v>21958</v>
      </c>
      <c r="Z2231" t="s">
        <v>29941</v>
      </c>
      <c r="AA2231">
        <v>0.69841567283243</v>
      </c>
      <c r="AB2231" t="str">
        <f>HYPERLINK("Melting_Curves/meltCurve_P14618_2_PKM.pdf", "Melting_Curves/meltCurve_P14618_2_PKM.pdf")</f>
        <v>Melting_Curves/meltCurve_P14618_2_PKM.pdf</v>
      </c>
    </row>
    <row r="2232" spans="1:28" x14ac:dyDescent="0.25">
      <c r="A2232" t="s">
        <v>2236</v>
      </c>
      <c r="B2232">
        <v>0.99999676499088797</v>
      </c>
      <c r="C2232">
        <v>0.83636265112138297</v>
      </c>
      <c r="D2232">
        <v>0.95665030789024996</v>
      </c>
      <c r="E2232">
        <v>1.3339197550840001</v>
      </c>
      <c r="F2232">
        <v>1.24516786389486</v>
      </c>
      <c r="G2232">
        <v>0.53109316727331601</v>
      </c>
      <c r="H2232">
        <v>0.23799711227513201</v>
      </c>
      <c r="I2232">
        <v>0.25815236548312598</v>
      </c>
      <c r="J2232">
        <v>0.35244176865413002</v>
      </c>
      <c r="K2232">
        <v>0.40787877611185003</v>
      </c>
      <c r="L2232">
        <v>14156.228894436301</v>
      </c>
      <c r="M2232">
        <v>250</v>
      </c>
      <c r="N2232">
        <v>56.849926045414499</v>
      </c>
      <c r="O2232">
        <v>56.621308365770801</v>
      </c>
      <c r="P2232">
        <v>-0.75709429621308399</v>
      </c>
      <c r="Q2232">
        <v>0.314117484926419</v>
      </c>
      <c r="R2232">
        <v>0.85508113088973403</v>
      </c>
      <c r="S2232" t="s">
        <v>9235</v>
      </c>
      <c r="T2232" t="s">
        <v>14004</v>
      </c>
      <c r="U2232" t="s">
        <v>14004</v>
      </c>
      <c r="V2232" t="s">
        <v>14004</v>
      </c>
      <c r="W2232" t="s">
        <v>16200</v>
      </c>
      <c r="X2232">
        <v>2</v>
      </c>
      <c r="Y2232" t="s">
        <v>23102</v>
      </c>
      <c r="Z2232" t="s">
        <v>29942</v>
      </c>
      <c r="AA2232">
        <v>0.69427694205963708</v>
      </c>
      <c r="AB2232" t="str">
        <f>HYPERLINK("Melting_Curves/meltCurve_P14621_ACYP2.pdf", "Melting_Curves/meltCurve_P14621_ACYP2.pdf")</f>
        <v>Melting_Curves/meltCurve_P14621_ACYP2.pdf</v>
      </c>
    </row>
    <row r="2233" spans="1:28" x14ac:dyDescent="0.25">
      <c r="A2233" t="s">
        <v>2237</v>
      </c>
      <c r="B2233">
        <v>0.99999676499088797</v>
      </c>
      <c r="C2233">
        <v>0.963766142312524</v>
      </c>
      <c r="D2233">
        <v>0.96857577337608403</v>
      </c>
      <c r="E2233">
        <v>0.974268195045914</v>
      </c>
      <c r="F2233">
        <v>0.66607445767949702</v>
      </c>
      <c r="G2233">
        <v>0.29101636159588201</v>
      </c>
      <c r="H2233">
        <v>0.14862041035576201</v>
      </c>
      <c r="I2233">
        <v>0.14428561412485599</v>
      </c>
      <c r="J2233">
        <v>0.145907905753145</v>
      </c>
      <c r="K2233">
        <v>0.13431704991385399</v>
      </c>
      <c r="L2233">
        <v>1764.35960677614</v>
      </c>
      <c r="M2233">
        <v>32.6664473469936</v>
      </c>
      <c r="N2233">
        <v>54.5481055729432</v>
      </c>
      <c r="O2233">
        <v>53.8101592155543</v>
      </c>
      <c r="P2233">
        <v>-0.13090834751188199</v>
      </c>
      <c r="Q2233">
        <v>0.137443124453657</v>
      </c>
      <c r="R2233">
        <v>0.99809585810927803</v>
      </c>
      <c r="S2233" t="s">
        <v>9236</v>
      </c>
      <c r="T2233" t="s">
        <v>14004</v>
      </c>
      <c r="U2233" t="s">
        <v>14004</v>
      </c>
      <c r="V2233" t="s">
        <v>14004</v>
      </c>
      <c r="W2233" t="s">
        <v>16201</v>
      </c>
      <c r="X2233">
        <v>71</v>
      </c>
      <c r="Y2233" t="s">
        <v>23103</v>
      </c>
      <c r="Z2233" t="s">
        <v>29943</v>
      </c>
      <c r="AA2233">
        <v>0.54509842369853057</v>
      </c>
      <c r="AB2233" t="str">
        <f>HYPERLINK("Melting_Curves/meltCurve_P14625_HSP90B1.pdf", "Melting_Curves/meltCurve_P14625_HSP90B1.pdf")</f>
        <v>Melting_Curves/meltCurve_P14625_HSP90B1.pdf</v>
      </c>
    </row>
    <row r="2234" spans="1:28" x14ac:dyDescent="0.25">
      <c r="A2234" t="s">
        <v>2238</v>
      </c>
      <c r="B2234">
        <v>0.99999676499088797</v>
      </c>
      <c r="C2234">
        <v>0.92280974635115998</v>
      </c>
      <c r="D2234">
        <v>0.92690154716249296</v>
      </c>
      <c r="E2234">
        <v>0.93505867354295102</v>
      </c>
      <c r="F2234">
        <v>0.65844292626753298</v>
      </c>
      <c r="G2234">
        <v>0.50449456896558698</v>
      </c>
      <c r="H2234">
        <v>0.15516256580614701</v>
      </c>
      <c r="I2234">
        <v>0.103684241948051</v>
      </c>
      <c r="J2234">
        <v>7.0376643915613601E-2</v>
      </c>
      <c r="K2234">
        <v>8.1314888561104595E-2</v>
      </c>
      <c r="L2234">
        <v>962.80229110751304</v>
      </c>
      <c r="M2234">
        <v>17.2613636457789</v>
      </c>
      <c r="N2234">
        <v>55.919632573503897</v>
      </c>
      <c r="O2234">
        <v>55.045405289921099</v>
      </c>
      <c r="P2234">
        <v>-7.6722343548335001E-2</v>
      </c>
      <c r="Q2234">
        <v>2.1406001670920501E-2</v>
      </c>
      <c r="R2234">
        <v>0.98613601033130405</v>
      </c>
      <c r="S2234" t="s">
        <v>9237</v>
      </c>
      <c r="T2234" t="s">
        <v>14004</v>
      </c>
      <c r="U2234" t="s">
        <v>14004</v>
      </c>
      <c r="V2234" t="s">
        <v>14004</v>
      </c>
      <c r="W2234" t="s">
        <v>16202</v>
      </c>
      <c r="X2234">
        <v>10</v>
      </c>
      <c r="Y2234" t="s">
        <v>23104</v>
      </c>
      <c r="Z2234" t="s">
        <v>29944</v>
      </c>
      <c r="AA2234">
        <v>0.55142020638311418</v>
      </c>
      <c r="AB2234" t="str">
        <f>HYPERLINK("Melting_Curves/meltCurve_P14635_CCNB1.pdf", "Melting_Curves/meltCurve_P14635_CCNB1.pdf")</f>
        <v>Melting_Curves/meltCurve_P14635_CCNB1.pdf</v>
      </c>
    </row>
    <row r="2235" spans="1:28" x14ac:dyDescent="0.25">
      <c r="A2235" t="s">
        <v>2239</v>
      </c>
      <c r="B2235">
        <v>0.99999676499088797</v>
      </c>
      <c r="C2235">
        <v>0.89308455424066702</v>
      </c>
      <c r="D2235">
        <v>0.92986118751394597</v>
      </c>
      <c r="E2235">
        <v>0.82020946445234999</v>
      </c>
      <c r="F2235">
        <v>0.86074170245006898</v>
      </c>
      <c r="G2235">
        <v>0.69396904712449503</v>
      </c>
      <c r="H2235">
        <v>0.48453509824393298</v>
      </c>
      <c r="I2235">
        <v>0.44021475855789299</v>
      </c>
      <c r="J2235">
        <v>0.41560583934105799</v>
      </c>
      <c r="K2235">
        <v>0.63643484378611304</v>
      </c>
      <c r="L2235">
        <v>710.59449453940897</v>
      </c>
      <c r="M2235">
        <v>13.0557194625466</v>
      </c>
      <c r="N2235">
        <v>66.009704399610399</v>
      </c>
      <c r="O2235">
        <v>53.198379223064101</v>
      </c>
      <c r="P2235">
        <v>-3.3787156897806897E-2</v>
      </c>
      <c r="Q2235">
        <v>0.44940307844784</v>
      </c>
      <c r="R2235">
        <v>0.84125186579365097</v>
      </c>
      <c r="S2235" t="s">
        <v>9238</v>
      </c>
      <c r="T2235" t="s">
        <v>14004</v>
      </c>
      <c r="U2235" t="s">
        <v>14004</v>
      </c>
      <c r="V2235" t="s">
        <v>14004</v>
      </c>
      <c r="W2235" t="s">
        <v>16203</v>
      </c>
      <c r="X2235">
        <v>9</v>
      </c>
      <c r="Y2235" t="s">
        <v>23105</v>
      </c>
      <c r="Z2235" t="s">
        <v>29945</v>
      </c>
      <c r="AA2235">
        <v>0.72697695813069052</v>
      </c>
      <c r="AB2235" t="str">
        <f>HYPERLINK("Melting_Curves/meltCurve_P14649_MYL6B.pdf", "Melting_Curves/meltCurve_P14649_MYL6B.pdf")</f>
        <v>Melting_Curves/meltCurve_P14649_MYL6B.pdf</v>
      </c>
    </row>
    <row r="2236" spans="1:28" x14ac:dyDescent="0.25">
      <c r="A2236" t="s">
        <v>2240</v>
      </c>
      <c r="B2236">
        <v>0.99999676499088797</v>
      </c>
      <c r="C2236">
        <v>1.01908985378776</v>
      </c>
      <c r="D2236">
        <v>0.952571060222833</v>
      </c>
      <c r="E2236">
        <v>0.82244276243571102</v>
      </c>
      <c r="F2236">
        <v>0.97906808725204197</v>
      </c>
      <c r="G2236">
        <v>0.79617649509289701</v>
      </c>
      <c r="H2236">
        <v>0.54167219986094395</v>
      </c>
      <c r="I2236">
        <v>0.43910278650372198</v>
      </c>
      <c r="J2236">
        <v>0.318936503309599</v>
      </c>
      <c r="K2236">
        <v>0.25161348080947699</v>
      </c>
      <c r="L2236">
        <v>820.66115943950501</v>
      </c>
      <c r="M2236">
        <v>13.3732793582159</v>
      </c>
      <c r="N2236">
        <v>62.439642563846803</v>
      </c>
      <c r="O2236">
        <v>60.042306377587501</v>
      </c>
      <c r="P2236">
        <v>-4.9969997840471903E-2</v>
      </c>
      <c r="Q2236">
        <v>0.102736382214852</v>
      </c>
      <c r="R2236">
        <v>0.961584879913716</v>
      </c>
      <c r="S2236" t="s">
        <v>9239</v>
      </c>
      <c r="T2236" t="s">
        <v>14004</v>
      </c>
      <c r="U2236" t="s">
        <v>14004</v>
      </c>
      <c r="V2236" t="s">
        <v>14004</v>
      </c>
      <c r="W2236" t="s">
        <v>16204</v>
      </c>
      <c r="X2236">
        <v>12</v>
      </c>
      <c r="Y2236" t="s">
        <v>21011</v>
      </c>
      <c r="Z2236" t="s">
        <v>29946</v>
      </c>
      <c r="AA2236">
        <v>0.73942319749092944</v>
      </c>
      <c r="AB2236" t="str">
        <f>HYPERLINK("Melting_Curves/meltCurve_P14678_2_SNRPB.pdf", "Melting_Curves/meltCurve_P14678_2_SNRPB.pdf")</f>
        <v>Melting_Curves/meltCurve_P14678_2_SNRPB.pdf</v>
      </c>
    </row>
    <row r="2237" spans="1:28" x14ac:dyDescent="0.25">
      <c r="A2237" t="s">
        <v>2241</v>
      </c>
      <c r="B2237">
        <v>0.99999676499088797</v>
      </c>
      <c r="C2237">
        <v>0.90764063575289899</v>
      </c>
      <c r="D2237">
        <v>0.80120222161338095</v>
      </c>
      <c r="E2237">
        <v>0.53719473980849897</v>
      </c>
      <c r="F2237">
        <v>0.35838461016274997</v>
      </c>
      <c r="G2237">
        <v>0.18670658764349499</v>
      </c>
      <c r="H2237">
        <v>0.102386295828681</v>
      </c>
      <c r="I2237">
        <v>7.6647478699495994E-2</v>
      </c>
      <c r="J2237">
        <v>6.5538736500501404E-2</v>
      </c>
      <c r="K2237">
        <v>6.2535601152434103E-2</v>
      </c>
      <c r="L2237">
        <v>712.25792086031004</v>
      </c>
      <c r="M2237">
        <v>14.199499809948801</v>
      </c>
      <c r="N2237">
        <v>50.4436986694285</v>
      </c>
      <c r="O2237">
        <v>49.197350766988698</v>
      </c>
      <c r="P2237">
        <v>-6.9402676849474196E-2</v>
      </c>
      <c r="Q2237">
        <v>3.8275929854321301E-2</v>
      </c>
      <c r="R2237">
        <v>0.99833317315953296</v>
      </c>
      <c r="S2237" t="s">
        <v>9240</v>
      </c>
      <c r="T2237" t="s">
        <v>14004</v>
      </c>
      <c r="U2237" t="s">
        <v>14004</v>
      </c>
      <c r="V2237" t="s">
        <v>14004</v>
      </c>
      <c r="W2237" t="s">
        <v>16205</v>
      </c>
      <c r="X2237">
        <v>35</v>
      </c>
      <c r="Y2237" t="s">
        <v>23106</v>
      </c>
      <c r="Z2237" t="s">
        <v>29947</v>
      </c>
      <c r="AA2237">
        <v>0.38909013645853241</v>
      </c>
      <c r="AB2237" t="str">
        <f>HYPERLINK("Melting_Curves/meltCurve_P14735_IDE.pdf", "Melting_Curves/meltCurve_P14735_IDE.pdf")</f>
        <v>Melting_Curves/meltCurve_P14735_IDE.pdf</v>
      </c>
    </row>
    <row r="2238" spans="1:28" x14ac:dyDescent="0.25">
      <c r="A2238" t="s">
        <v>2242</v>
      </c>
      <c r="B2238">
        <v>0.99999676499088797</v>
      </c>
      <c r="C2238">
        <v>0.94399353593552104</v>
      </c>
      <c r="D2238">
        <v>0.96992547555720598</v>
      </c>
      <c r="E2238">
        <v>0.85327565576282605</v>
      </c>
      <c r="F2238">
        <v>0.67632457977256299</v>
      </c>
      <c r="G2238">
        <v>0.51807459521725796</v>
      </c>
      <c r="H2238">
        <v>0.31151678811081401</v>
      </c>
      <c r="I2238">
        <v>0.22286644498525399</v>
      </c>
      <c r="J2238">
        <v>0.20461800389867901</v>
      </c>
      <c r="K2238">
        <v>0.26214242022907203</v>
      </c>
      <c r="L2238">
        <v>845.199683189844</v>
      </c>
      <c r="M2238">
        <v>15.427590840125999</v>
      </c>
      <c r="N2238">
        <v>56.436291745073703</v>
      </c>
      <c r="O2238">
        <v>53.889213293606701</v>
      </c>
      <c r="P2238">
        <v>-5.85762146546124E-2</v>
      </c>
      <c r="Q2238">
        <v>0.181637486733009</v>
      </c>
      <c r="R2238">
        <v>0.99119282064591796</v>
      </c>
      <c r="S2238" t="s">
        <v>9241</v>
      </c>
      <c r="T2238" t="s">
        <v>14004</v>
      </c>
      <c r="U2238" t="s">
        <v>14004</v>
      </c>
      <c r="V2238" t="s">
        <v>14004</v>
      </c>
      <c r="W2238" t="s">
        <v>16206</v>
      </c>
      <c r="X2238">
        <v>9</v>
      </c>
      <c r="Y2238" t="s">
        <v>23107</v>
      </c>
      <c r="Z2238" t="s">
        <v>29948</v>
      </c>
      <c r="AA2238">
        <v>0.60046995517207569</v>
      </c>
      <c r="AB2238" t="str">
        <f>HYPERLINK("Melting_Curves/meltCurve_P14854_COX6B1.pdf", "Melting_Curves/meltCurve_P14854_COX6B1.pdf")</f>
        <v>Melting_Curves/meltCurve_P14854_COX6B1.pdf</v>
      </c>
    </row>
    <row r="2239" spans="1:28" x14ac:dyDescent="0.25">
      <c r="A2239" t="s">
        <v>2243</v>
      </c>
      <c r="B2239">
        <v>0.99999676499088797</v>
      </c>
      <c r="C2239">
        <v>1.03563614930819</v>
      </c>
      <c r="D2239">
        <v>0.79064310984531305</v>
      </c>
      <c r="E2239">
        <v>0.33745247683818902</v>
      </c>
      <c r="F2239">
        <v>0.24551822252445599</v>
      </c>
      <c r="G2239">
        <v>0.21318411378555199</v>
      </c>
      <c r="H2239">
        <v>0.12231587302932199</v>
      </c>
      <c r="I2239">
        <v>0.208731975195593</v>
      </c>
      <c r="J2239">
        <v>0.205910397561889</v>
      </c>
      <c r="K2239">
        <v>0.16290605869297101</v>
      </c>
      <c r="L2239">
        <v>1641.4877304838501</v>
      </c>
      <c r="M2239">
        <v>34.5647807160273</v>
      </c>
      <c r="N2239">
        <v>48.149781560083497</v>
      </c>
      <c r="O2239">
        <v>47.332064027431699</v>
      </c>
      <c r="P2239">
        <v>-0.14813591113455299</v>
      </c>
      <c r="Q2239">
        <v>0.18858997026167901</v>
      </c>
      <c r="R2239">
        <v>0.99077948251207404</v>
      </c>
      <c r="S2239" t="s">
        <v>9242</v>
      </c>
      <c r="T2239" t="s">
        <v>14004</v>
      </c>
      <c r="U2239" t="s">
        <v>14004</v>
      </c>
      <c r="V2239" t="s">
        <v>14004</v>
      </c>
      <c r="W2239" t="s">
        <v>16207</v>
      </c>
      <c r="X2239">
        <v>24</v>
      </c>
      <c r="Y2239" t="s">
        <v>23108</v>
      </c>
      <c r="Z2239" t="s">
        <v>29949</v>
      </c>
      <c r="AA2239">
        <v>0.394793493537547</v>
      </c>
      <c r="AB2239" t="str">
        <f>HYPERLINK("Melting_Curves/meltCurve_P14866_HNRNPL.pdf", "Melting_Curves/meltCurve_P14866_HNRNPL.pdf")</f>
        <v>Melting_Curves/meltCurve_P14866_HNRNPL.pdf</v>
      </c>
    </row>
    <row r="2240" spans="1:28" x14ac:dyDescent="0.25">
      <c r="A2240" t="s">
        <v>2244</v>
      </c>
      <c r="B2240">
        <v>0.99999676499088797</v>
      </c>
      <c r="C2240">
        <v>0.981271122926336</v>
      </c>
      <c r="D2240">
        <v>0.96471882697967903</v>
      </c>
      <c r="E2240">
        <v>0.98359043815468705</v>
      </c>
      <c r="F2240">
        <v>0.99745281137603503</v>
      </c>
      <c r="G2240">
        <v>0.85509656488872199</v>
      </c>
      <c r="H2240">
        <v>0.68265002302880895</v>
      </c>
      <c r="I2240">
        <v>0.27570578634937698</v>
      </c>
      <c r="J2240">
        <v>0.156721542269813</v>
      </c>
      <c r="K2240">
        <v>0.119279354343585</v>
      </c>
      <c r="L2240">
        <v>1721.3557429683201</v>
      </c>
      <c r="M2240">
        <v>27.9031878765927</v>
      </c>
      <c r="N2240">
        <v>62.022618967661799</v>
      </c>
      <c r="O2240">
        <v>61.376050279888702</v>
      </c>
      <c r="P2240">
        <v>-0.105765760299023</v>
      </c>
      <c r="Q2240">
        <v>6.9435731291401598E-2</v>
      </c>
      <c r="R2240">
        <v>0.99073822198668204</v>
      </c>
      <c r="S2240" t="s">
        <v>9243</v>
      </c>
      <c r="T2240" t="s">
        <v>14004</v>
      </c>
      <c r="U2240" t="s">
        <v>14004</v>
      </c>
      <c r="V2240" t="s">
        <v>14004</v>
      </c>
      <c r="W2240" t="s">
        <v>16208</v>
      </c>
      <c r="X2240">
        <v>42</v>
      </c>
      <c r="Y2240" t="s">
        <v>23109</v>
      </c>
      <c r="Z2240" t="s">
        <v>29950</v>
      </c>
      <c r="AA2240">
        <v>0.74702098659155658</v>
      </c>
      <c r="AB2240" t="str">
        <f>HYPERLINK("Melting_Curves/meltCurve_P14868_DARS.pdf", "Melting_Curves/meltCurve_P14868_DARS.pdf")</f>
        <v>Melting_Curves/meltCurve_P14868_DARS.pdf</v>
      </c>
    </row>
    <row r="2241" spans="1:28" x14ac:dyDescent="0.25">
      <c r="A2241" t="s">
        <v>2245</v>
      </c>
      <c r="B2241">
        <v>0.99999676499088797</v>
      </c>
      <c r="C2241">
        <v>0.40858896596016198</v>
      </c>
      <c r="D2241">
        <v>0.25179812459783701</v>
      </c>
      <c r="E2241">
        <v>0.133472147676652</v>
      </c>
      <c r="F2241">
        <v>0.12544050641319601</v>
      </c>
      <c r="G2241">
        <v>8.8835748534139294E-2</v>
      </c>
      <c r="H2241">
        <v>4.7021980891939097E-2</v>
      </c>
      <c r="I2241">
        <v>4.2217371567308301E-2</v>
      </c>
      <c r="J2241">
        <v>4.6973215761951299E-2</v>
      </c>
      <c r="K2241">
        <v>3.9903942789566202E-2</v>
      </c>
      <c r="L2241">
        <v>1713.3662519320601</v>
      </c>
      <c r="M2241">
        <v>40.352089904379298</v>
      </c>
      <c r="N2241">
        <v>42.666295732057897</v>
      </c>
      <c r="O2241">
        <v>42.356528219524002</v>
      </c>
      <c r="P2241">
        <v>-0.2170990575091</v>
      </c>
      <c r="Q2241">
        <v>8.8469136203111906E-2</v>
      </c>
      <c r="R2241">
        <v>0.95853768248207305</v>
      </c>
      <c r="S2241" t="s">
        <v>9244</v>
      </c>
      <c r="T2241" t="s">
        <v>14004</v>
      </c>
      <c r="U2241" t="s">
        <v>14004</v>
      </c>
      <c r="V2241" t="s">
        <v>14004</v>
      </c>
      <c r="W2241" t="s">
        <v>16209</v>
      </c>
      <c r="X2241">
        <v>5</v>
      </c>
      <c r="Y2241" t="s">
        <v>23110</v>
      </c>
      <c r="Z2241" t="s">
        <v>29951</v>
      </c>
      <c r="AA2241">
        <v>0.1680321666598201</v>
      </c>
      <c r="AB2241" t="str">
        <f>HYPERLINK("Melting_Curves/meltCurve_P14921_ETS1.pdf", "Melting_Curves/meltCurve_P14921_ETS1.pdf")</f>
        <v>Melting_Curves/meltCurve_P14921_ETS1.pdf</v>
      </c>
    </row>
    <row r="2242" spans="1:28" x14ac:dyDescent="0.25">
      <c r="A2242" t="s">
        <v>2246</v>
      </c>
      <c r="B2242">
        <v>0.99999676499088797</v>
      </c>
      <c r="C2242">
        <v>1.1611024124310001</v>
      </c>
      <c r="D2242">
        <v>1.1057444024294001</v>
      </c>
      <c r="E2242">
        <v>0.84335117342399601</v>
      </c>
      <c r="F2242">
        <v>2.10071492376863</v>
      </c>
      <c r="G2242">
        <v>0.360702408357714</v>
      </c>
      <c r="H2242">
        <v>0.50786809024297797</v>
      </c>
      <c r="I2242">
        <v>0.181725050731814</v>
      </c>
      <c r="J2242">
        <v>0.21808662108406199</v>
      </c>
      <c r="K2242">
        <v>0.218112578166343</v>
      </c>
      <c r="L2242">
        <v>14081.4229525805</v>
      </c>
      <c r="M2242">
        <v>250</v>
      </c>
      <c r="N2242">
        <v>56.5127745074088</v>
      </c>
      <c r="O2242">
        <v>56.322087861810097</v>
      </c>
      <c r="P2242">
        <v>-0.79737026987682302</v>
      </c>
      <c r="Q2242">
        <v>0.281447073128682</v>
      </c>
      <c r="R2242">
        <v>0.59148518788633098</v>
      </c>
      <c r="S2242" t="s">
        <v>9245</v>
      </c>
      <c r="T2242" t="s">
        <v>14004</v>
      </c>
      <c r="U2242" t="s">
        <v>14004</v>
      </c>
      <c r="V2242" t="s">
        <v>14004</v>
      </c>
      <c r="W2242" t="s">
        <v>16210</v>
      </c>
      <c r="X2242">
        <v>6</v>
      </c>
      <c r="Y2242" t="s">
        <v>23111</v>
      </c>
      <c r="Z2242" t="s">
        <v>29952</v>
      </c>
      <c r="AA2242">
        <v>0.67254722371434217</v>
      </c>
      <c r="AB2242" t="str">
        <f>HYPERLINK("Melting_Curves/meltCurve_P14923_JUP.pdf", "Melting_Curves/meltCurve_P14923_JUP.pdf")</f>
        <v>Melting_Curves/meltCurve_P14923_JUP.pdf</v>
      </c>
    </row>
    <row r="2243" spans="1:28" x14ac:dyDescent="0.25">
      <c r="A2243" t="s">
        <v>2247</v>
      </c>
      <c r="B2243">
        <v>0.99999676499088797</v>
      </c>
      <c r="C2243">
        <v>0.91925112494994898</v>
      </c>
      <c r="D2243">
        <v>0.90721511988110903</v>
      </c>
      <c r="E2243">
        <v>0.81389579343382201</v>
      </c>
      <c r="F2243">
        <v>0.81207461044710805</v>
      </c>
      <c r="G2243">
        <v>0.778061401186805</v>
      </c>
      <c r="H2243">
        <v>0.53063066417050797</v>
      </c>
      <c r="I2243">
        <v>0.48996738841395299</v>
      </c>
      <c r="J2243">
        <v>0.48263882221070697</v>
      </c>
      <c r="K2243">
        <v>0.51198609583546095</v>
      </c>
      <c r="L2243">
        <v>440.32560222347797</v>
      </c>
      <c r="M2243">
        <v>7.5632409105851703</v>
      </c>
      <c r="N2243">
        <v>66.721586154121297</v>
      </c>
      <c r="O2243">
        <v>54.5668068700937</v>
      </c>
      <c r="P2243">
        <v>-2.3967761357988102E-2</v>
      </c>
      <c r="Q2243">
        <v>0.30927815579696499</v>
      </c>
      <c r="R2243">
        <v>0.93496416755544798</v>
      </c>
      <c r="S2243" t="s">
        <v>9246</v>
      </c>
      <c r="T2243" t="s">
        <v>14004</v>
      </c>
      <c r="U2243" t="s">
        <v>14004</v>
      </c>
      <c r="V2243" t="s">
        <v>14004</v>
      </c>
      <c r="W2243" t="s">
        <v>14432</v>
      </c>
      <c r="X2243">
        <v>13</v>
      </c>
      <c r="Y2243" t="s">
        <v>21370</v>
      </c>
      <c r="Z2243" t="s">
        <v>29953</v>
      </c>
      <c r="AA2243">
        <v>0.72838815314786642</v>
      </c>
      <c r="AB2243" t="str">
        <f>HYPERLINK("Melting_Curves/meltCurve_P14927_UQCRB.pdf", "Melting_Curves/meltCurve_P14927_UQCRB.pdf")</f>
        <v>Melting_Curves/meltCurve_P14927_UQCRB.pdf</v>
      </c>
    </row>
    <row r="2244" spans="1:28" x14ac:dyDescent="0.25">
      <c r="A2244" t="s">
        <v>2248</v>
      </c>
      <c r="B2244">
        <v>0.99999676499088797</v>
      </c>
      <c r="C2244">
        <v>1.0276276680777401</v>
      </c>
      <c r="D2244">
        <v>0.987648442514928</v>
      </c>
      <c r="E2244">
        <v>0.84502781855725795</v>
      </c>
      <c r="F2244">
        <v>0.31261282282354502</v>
      </c>
      <c r="G2244">
        <v>0.19440787109237301</v>
      </c>
      <c r="H2244">
        <v>0.111209182666102</v>
      </c>
      <c r="I2244">
        <v>9.6714523423747201E-2</v>
      </c>
      <c r="J2244">
        <v>8.2505758999262602E-2</v>
      </c>
      <c r="K2244">
        <v>6.7821087898869106E-2</v>
      </c>
      <c r="L2244">
        <v>1844.9573547592399</v>
      </c>
      <c r="M2244">
        <v>35.722031134839597</v>
      </c>
      <c r="N2244">
        <v>51.970373808302703</v>
      </c>
      <c r="O2244">
        <v>51.486552501751397</v>
      </c>
      <c r="P2244">
        <v>-0.156197741423037</v>
      </c>
      <c r="Q2244">
        <v>9.9484963511987698E-2</v>
      </c>
      <c r="R2244">
        <v>0.99611856114577002</v>
      </c>
      <c r="S2244" t="s">
        <v>9247</v>
      </c>
      <c r="T2244" t="s">
        <v>14004</v>
      </c>
      <c r="U2244" t="s">
        <v>14004</v>
      </c>
      <c r="V2244" t="s">
        <v>14004</v>
      </c>
      <c r="W2244" t="s">
        <v>16211</v>
      </c>
      <c r="X2244">
        <v>10</v>
      </c>
      <c r="Y2244" t="s">
        <v>21999</v>
      </c>
      <c r="Z2244" t="s">
        <v>29954</v>
      </c>
      <c r="AA2244">
        <v>0.45314773811407472</v>
      </c>
      <c r="AB2244" t="str">
        <f>HYPERLINK("Melting_Curves/meltCurve_P15056_BRAF.pdf", "Melting_Curves/meltCurve_P15056_BRAF.pdf")</f>
        <v>Melting_Curves/meltCurve_P15056_BRAF.pdf</v>
      </c>
    </row>
    <row r="2245" spans="1:28" x14ac:dyDescent="0.25">
      <c r="A2245" t="s">
        <v>2249</v>
      </c>
      <c r="B2245">
        <v>0.99999676499088797</v>
      </c>
      <c r="C2245">
        <v>0.85795997482033304</v>
      </c>
      <c r="D2245">
        <v>0.88743188732530998</v>
      </c>
      <c r="E2245">
        <v>1.04469682542083</v>
      </c>
      <c r="F2245">
        <v>1.0762034542595</v>
      </c>
      <c r="G2245">
        <v>0.647120887704562</v>
      </c>
      <c r="H2245">
        <v>0.56928821692131304</v>
      </c>
      <c r="I2245">
        <v>0.37405169867502103</v>
      </c>
      <c r="J2245">
        <v>0.25772310257332798</v>
      </c>
      <c r="K2245">
        <v>0.43024952642294301</v>
      </c>
      <c r="L2245">
        <v>1730.00728261466</v>
      </c>
      <c r="M2245">
        <v>30.0890600574097</v>
      </c>
      <c r="N2245">
        <v>60.055378353839203</v>
      </c>
      <c r="O2245">
        <v>57.244048209951799</v>
      </c>
      <c r="P2245">
        <v>-8.3931903891184795E-2</v>
      </c>
      <c r="Q2245">
        <v>0.36128665292036599</v>
      </c>
      <c r="R2245">
        <v>0.89041740142945203</v>
      </c>
      <c r="S2245" t="s">
        <v>9248</v>
      </c>
      <c r="T2245" t="s">
        <v>14004</v>
      </c>
      <c r="U2245" t="s">
        <v>14004</v>
      </c>
      <c r="V2245" t="s">
        <v>14004</v>
      </c>
      <c r="W2245" t="s">
        <v>16212</v>
      </c>
      <c r="X2245">
        <v>1</v>
      </c>
      <c r="Y2245" t="s">
        <v>23112</v>
      </c>
      <c r="Z2245" t="s">
        <v>29955</v>
      </c>
      <c r="AA2245">
        <v>0.73800305818095646</v>
      </c>
      <c r="AB2245" t="str">
        <f>HYPERLINK("Melting_Curves/meltCurve_P15090_FABP4.pdf", "Melting_Curves/meltCurve_P15090_FABP4.pdf")</f>
        <v>Melting_Curves/meltCurve_P15090_FABP4.pdf</v>
      </c>
    </row>
    <row r="2246" spans="1:28" x14ac:dyDescent="0.25">
      <c r="A2246" t="s">
        <v>2250</v>
      </c>
      <c r="B2246">
        <v>0.99999676499088797</v>
      </c>
      <c r="C2246">
        <v>1.1605255777780501</v>
      </c>
      <c r="D2246">
        <v>1.22770610060375</v>
      </c>
      <c r="E2246">
        <v>1.4908463011031301</v>
      </c>
      <c r="F2246">
        <v>1.3400246576693</v>
      </c>
      <c r="G2246">
        <v>1.33643987259164</v>
      </c>
      <c r="H2246">
        <v>0.34553081929371199</v>
      </c>
      <c r="I2246">
        <v>0.112951318545307</v>
      </c>
      <c r="J2246">
        <v>0.100871320492674</v>
      </c>
      <c r="K2246">
        <v>8.4300485919110602E-2</v>
      </c>
      <c r="L2246">
        <v>15000</v>
      </c>
      <c r="M2246">
        <v>247.68837996321599</v>
      </c>
      <c r="N2246">
        <v>60.614194165952497</v>
      </c>
      <c r="O2246">
        <v>60.556018396987703</v>
      </c>
      <c r="P2246">
        <v>-0.92094329798068997</v>
      </c>
      <c r="Q2246">
        <v>9.9373829949580203E-2</v>
      </c>
      <c r="R2246">
        <v>0.82245145625225402</v>
      </c>
      <c r="S2246" t="s">
        <v>9249</v>
      </c>
      <c r="T2246" t="s">
        <v>14004</v>
      </c>
      <c r="U2246" t="s">
        <v>14004</v>
      </c>
      <c r="V2246" t="s">
        <v>14004</v>
      </c>
      <c r="W2246" t="s">
        <v>16213</v>
      </c>
      <c r="X2246">
        <v>13</v>
      </c>
      <c r="Y2246" t="s">
        <v>23113</v>
      </c>
      <c r="Z2246" t="s">
        <v>29956</v>
      </c>
      <c r="AA2246">
        <v>0.71669947588619509</v>
      </c>
      <c r="AB2246" t="str">
        <f>HYPERLINK("Melting_Curves/meltCurve_P15104_GLUL.pdf", "Melting_Curves/meltCurve_P15104_GLUL.pdf")</f>
        <v>Melting_Curves/meltCurve_P15104_GLUL.pdf</v>
      </c>
    </row>
    <row r="2247" spans="1:28" x14ac:dyDescent="0.25">
      <c r="A2247" t="s">
        <v>2251</v>
      </c>
      <c r="B2247">
        <v>0.99999676499088797</v>
      </c>
      <c r="C2247">
        <v>0.98253994521134203</v>
      </c>
      <c r="D2247">
        <v>0.98628856046576796</v>
      </c>
      <c r="E2247">
        <v>0.89794861299246498</v>
      </c>
      <c r="F2247">
        <v>0.77076271572024402</v>
      </c>
      <c r="G2247">
        <v>0.48910105653410602</v>
      </c>
      <c r="H2247">
        <v>7.7197677719205895E-2</v>
      </c>
      <c r="I2247">
        <v>6.6400865546808394E-2</v>
      </c>
      <c r="J2247">
        <v>6.4960934686869198E-2</v>
      </c>
      <c r="K2247">
        <v>5.5228077219650902E-2</v>
      </c>
      <c r="L2247">
        <v>1322.3189750025299</v>
      </c>
      <c r="M2247">
        <v>23.6000580095934</v>
      </c>
      <c r="N2247">
        <v>56.140533869909</v>
      </c>
      <c r="O2247">
        <v>55.632679504208703</v>
      </c>
      <c r="P2247">
        <v>-0.103654207767337</v>
      </c>
      <c r="Q2247">
        <v>2.2635649248351701E-2</v>
      </c>
      <c r="R2247">
        <v>0.99161705924393995</v>
      </c>
      <c r="S2247" t="s">
        <v>9250</v>
      </c>
      <c r="T2247" t="s">
        <v>14004</v>
      </c>
      <c r="U2247" t="s">
        <v>14004</v>
      </c>
      <c r="V2247" t="s">
        <v>14004</v>
      </c>
      <c r="W2247" t="s">
        <v>16214</v>
      </c>
      <c r="X2247">
        <v>22</v>
      </c>
      <c r="Y2247" t="s">
        <v>23114</v>
      </c>
      <c r="Z2247" t="s">
        <v>29957</v>
      </c>
      <c r="AA2247">
        <v>0.55473317149058532</v>
      </c>
      <c r="AB2247" t="str">
        <f>HYPERLINK("Melting_Curves/meltCurve_P15121_AKR1B1.pdf", "Melting_Curves/meltCurve_P15121_AKR1B1.pdf")</f>
        <v>Melting_Curves/meltCurve_P15121_AKR1B1.pdf</v>
      </c>
    </row>
    <row r="2248" spans="1:28" x14ac:dyDescent="0.25">
      <c r="A2248" t="s">
        <v>2252</v>
      </c>
      <c r="B2248">
        <v>0.99999676499088797</v>
      </c>
      <c r="C2248">
        <v>0.97943059263988697</v>
      </c>
      <c r="D2248">
        <v>0.992928004125049</v>
      </c>
      <c r="E2248">
        <v>1.0021709458430801</v>
      </c>
      <c r="F2248">
        <v>0.91306727659520903</v>
      </c>
      <c r="G2248">
        <v>0.79302883249238898</v>
      </c>
      <c r="H2248">
        <v>0.53608344377151995</v>
      </c>
      <c r="I2248">
        <v>0.56900503284593595</v>
      </c>
      <c r="J2248">
        <v>0.51795980527375296</v>
      </c>
      <c r="K2248">
        <v>0.47990534158878201</v>
      </c>
      <c r="L2248">
        <v>1532.2124082632499</v>
      </c>
      <c r="M2248">
        <v>26.836949086575199</v>
      </c>
      <c r="O2248">
        <v>56.779206758565103</v>
      </c>
      <c r="P2248">
        <v>-5.9177182119485201E-2</v>
      </c>
      <c r="Q2248">
        <v>0.49919801262212399</v>
      </c>
      <c r="R2248">
        <v>0.98615689946551</v>
      </c>
      <c r="S2248" t="s">
        <v>9251</v>
      </c>
      <c r="T2248" t="s">
        <v>14004</v>
      </c>
      <c r="U2248" t="s">
        <v>14004</v>
      </c>
      <c r="V2248" t="s">
        <v>14004</v>
      </c>
      <c r="W2248" t="s">
        <v>16215</v>
      </c>
      <c r="X2248">
        <v>4</v>
      </c>
      <c r="Y2248" t="s">
        <v>23115</v>
      </c>
      <c r="Z2248" t="s">
        <v>29958</v>
      </c>
      <c r="AA2248">
        <v>0.78856806155344994</v>
      </c>
      <c r="AB2248" t="str">
        <f>HYPERLINK("Melting_Curves/meltCurve_P15151_3_PVR.pdf", "Melting_Curves/meltCurve_P15151_3_PVR.pdf")</f>
        <v>Melting_Curves/meltCurve_P15151_3_PVR.pdf</v>
      </c>
    </row>
    <row r="2249" spans="1:28" x14ac:dyDescent="0.25">
      <c r="A2249" t="s">
        <v>2253</v>
      </c>
      <c r="B2249">
        <v>0.99999676499088797</v>
      </c>
      <c r="C2249">
        <v>0.94127407029599597</v>
      </c>
      <c r="D2249">
        <v>0.84927577794611997</v>
      </c>
      <c r="E2249">
        <v>0.69976805164994005</v>
      </c>
      <c r="F2249">
        <v>0.341192765703277</v>
      </c>
      <c r="G2249">
        <v>0.16207579704283201</v>
      </c>
      <c r="H2249">
        <v>5.1197565983254603E-2</v>
      </c>
      <c r="I2249">
        <v>4.4159568241660202E-2</v>
      </c>
      <c r="J2249">
        <v>3.8107012224998502E-2</v>
      </c>
      <c r="K2249">
        <v>3.3296997144246901E-2</v>
      </c>
      <c r="L2249">
        <v>914.41846938764502</v>
      </c>
      <c r="M2249">
        <v>17.809736286394799</v>
      </c>
      <c r="N2249">
        <v>51.423388252441299</v>
      </c>
      <c r="O2249">
        <v>50.709538603641803</v>
      </c>
      <c r="P2249">
        <v>-8.6612683626461406E-2</v>
      </c>
      <c r="Q2249">
        <v>1.3603977710722699E-2</v>
      </c>
      <c r="R2249">
        <v>0.99645314885036396</v>
      </c>
      <c r="S2249" t="s">
        <v>9252</v>
      </c>
      <c r="T2249" t="s">
        <v>14004</v>
      </c>
      <c r="U2249" t="s">
        <v>14004</v>
      </c>
      <c r="V2249" t="s">
        <v>14004</v>
      </c>
      <c r="W2249" t="s">
        <v>16216</v>
      </c>
      <c r="X2249">
        <v>12</v>
      </c>
      <c r="Y2249" t="s">
        <v>23116</v>
      </c>
      <c r="Z2249" t="s">
        <v>29959</v>
      </c>
      <c r="AA2249">
        <v>0.40345109466796458</v>
      </c>
      <c r="AB2249" t="str">
        <f>HYPERLINK("Melting_Curves/meltCurve_P15153_RAC2.pdf", "Melting_Curves/meltCurve_P15153_RAC2.pdf")</f>
        <v>Melting_Curves/meltCurve_P15153_RAC2.pdf</v>
      </c>
    </row>
    <row r="2250" spans="1:28" x14ac:dyDescent="0.25">
      <c r="A2250" t="s">
        <v>2254</v>
      </c>
      <c r="B2250">
        <v>0.99999676499088797</v>
      </c>
      <c r="C2250">
        <v>0.96029274526839703</v>
      </c>
      <c r="D2250">
        <v>0.95702588424258495</v>
      </c>
      <c r="E2250">
        <v>0.96134265661684204</v>
      </c>
      <c r="F2250">
        <v>0.59999515171551898</v>
      </c>
      <c r="G2250">
        <v>0.209179702192369</v>
      </c>
      <c r="H2250">
        <v>9.5579593658419199E-2</v>
      </c>
      <c r="I2250">
        <v>7.7821635835921305E-2</v>
      </c>
      <c r="J2250">
        <v>7.0253026845180505E-2</v>
      </c>
      <c r="K2250">
        <v>6.0669830819162003E-2</v>
      </c>
      <c r="L2250">
        <v>1756.1292218677399</v>
      </c>
      <c r="M2250">
        <v>32.697641754372903</v>
      </c>
      <c r="N2250">
        <v>53.956857655712497</v>
      </c>
      <c r="O2250">
        <v>53.5084180755617</v>
      </c>
      <c r="P2250">
        <v>-0.14208163937236601</v>
      </c>
      <c r="Q2250">
        <v>6.9959723652816899E-2</v>
      </c>
      <c r="R2250">
        <v>0.99783467215704302</v>
      </c>
      <c r="S2250" t="s">
        <v>9253</v>
      </c>
      <c r="T2250" t="s">
        <v>14004</v>
      </c>
      <c r="U2250" t="s">
        <v>14004</v>
      </c>
      <c r="V2250" t="s">
        <v>14004</v>
      </c>
      <c r="W2250" t="s">
        <v>16217</v>
      </c>
      <c r="X2250">
        <v>39</v>
      </c>
      <c r="Y2250" t="s">
        <v>23117</v>
      </c>
      <c r="Z2250" t="s">
        <v>29960</v>
      </c>
      <c r="AA2250">
        <v>0.50007555468038467</v>
      </c>
      <c r="AB2250" t="str">
        <f>HYPERLINK("Melting_Curves/meltCurve_P15170_2_GSPT1.pdf", "Melting_Curves/meltCurve_P15170_2_GSPT1.pdf")</f>
        <v>Melting_Curves/meltCurve_P15170_2_GSPT1.pdf</v>
      </c>
    </row>
    <row r="2251" spans="1:28" x14ac:dyDescent="0.25">
      <c r="A2251" t="s">
        <v>2255</v>
      </c>
      <c r="B2251">
        <v>0.99999676499088797</v>
      </c>
      <c r="C2251">
        <v>0.94116340659320796</v>
      </c>
      <c r="D2251">
        <v>0.993183538201169</v>
      </c>
      <c r="E2251">
        <v>1.0660924800217899</v>
      </c>
      <c r="F2251">
        <v>0.95798338851111897</v>
      </c>
      <c r="G2251">
        <v>0.76213098017851</v>
      </c>
      <c r="H2251">
        <v>0.50018037391308701</v>
      </c>
      <c r="I2251">
        <v>0.49033611977786601</v>
      </c>
      <c r="J2251">
        <v>0.40367963567030901</v>
      </c>
      <c r="K2251">
        <v>0.28810687390293399</v>
      </c>
      <c r="L2251">
        <v>1309.6288430931299</v>
      </c>
      <c r="M2251">
        <v>22.376699656937699</v>
      </c>
      <c r="N2251">
        <v>61.596617720367099</v>
      </c>
      <c r="O2251">
        <v>58.065022862063998</v>
      </c>
      <c r="P2251">
        <v>-6.3964112840767196E-2</v>
      </c>
      <c r="Q2251">
        <v>0.336094880137289</v>
      </c>
      <c r="R2251">
        <v>0.97192186762023003</v>
      </c>
      <c r="S2251" t="s">
        <v>9254</v>
      </c>
      <c r="T2251" t="s">
        <v>14004</v>
      </c>
      <c r="U2251" t="s">
        <v>14004</v>
      </c>
      <c r="V2251" t="s">
        <v>14004</v>
      </c>
      <c r="W2251" t="s">
        <v>16218</v>
      </c>
      <c r="X2251">
        <v>6</v>
      </c>
      <c r="Y2251" t="s">
        <v>23118</v>
      </c>
      <c r="Z2251" t="s">
        <v>29961</v>
      </c>
      <c r="AA2251">
        <v>0.75249126381073606</v>
      </c>
      <c r="AB2251" t="str">
        <f>HYPERLINK("Melting_Curves/meltCurve_P15289_ARSA.pdf", "Melting_Curves/meltCurve_P15289_ARSA.pdf")</f>
        <v>Melting_Curves/meltCurve_P15289_ARSA.pdf</v>
      </c>
    </row>
    <row r="2252" spans="1:28" x14ac:dyDescent="0.25">
      <c r="A2252" t="s">
        <v>2256</v>
      </c>
      <c r="B2252">
        <v>0.99999676499088797</v>
      </c>
      <c r="C2252">
        <v>0.89273655789633799</v>
      </c>
      <c r="D2252">
        <v>0.89594516930364898</v>
      </c>
      <c r="E2252">
        <v>0.74741095885366304</v>
      </c>
      <c r="F2252">
        <v>0.19028028514897499</v>
      </c>
      <c r="G2252">
        <v>0.114764125380954</v>
      </c>
      <c r="H2252">
        <v>4.7268659458500999E-2</v>
      </c>
      <c r="I2252">
        <v>4.9548342084041297E-2</v>
      </c>
      <c r="J2252">
        <v>4.68531266882855E-2</v>
      </c>
      <c r="K2252">
        <v>3.9824161508825097E-2</v>
      </c>
      <c r="L2252">
        <v>1745.40606561197</v>
      </c>
      <c r="M2252">
        <v>34.318602661620901</v>
      </c>
      <c r="N2252">
        <v>51.013884437405302</v>
      </c>
      <c r="O2252">
        <v>50.687138419932197</v>
      </c>
      <c r="P2252">
        <v>-0.160888306693066</v>
      </c>
      <c r="Q2252">
        <v>4.9502585259243302E-2</v>
      </c>
      <c r="R2252">
        <v>0.98689434663076603</v>
      </c>
      <c r="S2252" t="s">
        <v>9255</v>
      </c>
      <c r="T2252" t="s">
        <v>14004</v>
      </c>
      <c r="U2252" t="s">
        <v>14004</v>
      </c>
      <c r="V2252" t="s">
        <v>14004</v>
      </c>
      <c r="W2252" t="s">
        <v>16219</v>
      </c>
      <c r="X2252">
        <v>60</v>
      </c>
      <c r="Y2252" t="s">
        <v>23119</v>
      </c>
      <c r="Z2252" t="s">
        <v>29962</v>
      </c>
      <c r="AA2252">
        <v>0.39809719523544912</v>
      </c>
      <c r="AB2252" t="str">
        <f>HYPERLINK("Melting_Curves/meltCurve_P15311_EZR.pdf", "Melting_Curves/meltCurve_P15311_EZR.pdf")</f>
        <v>Melting_Curves/meltCurve_P15311_EZR.pdf</v>
      </c>
    </row>
    <row r="2253" spans="1:28" x14ac:dyDescent="0.25">
      <c r="A2253" t="s">
        <v>2257</v>
      </c>
      <c r="B2253">
        <v>0.99999676499088797</v>
      </c>
      <c r="C2253">
        <v>0.89308028278211904</v>
      </c>
      <c r="D2253">
        <v>0.88819376796565996</v>
      </c>
      <c r="E2253">
        <v>0.75332559254317699</v>
      </c>
      <c r="F2253">
        <v>0.26934704339568999</v>
      </c>
      <c r="G2253">
        <v>0.17583309829673499</v>
      </c>
      <c r="H2253">
        <v>8.4034400695484499E-2</v>
      </c>
      <c r="I2253">
        <v>6.4882239049001797E-2</v>
      </c>
      <c r="J2253">
        <v>6.6912318441111104E-2</v>
      </c>
      <c r="K2253">
        <v>5.48509216374315E-2</v>
      </c>
      <c r="L2253">
        <v>1240.30158549509</v>
      </c>
      <c r="M2253">
        <v>24.263786627784299</v>
      </c>
      <c r="N2253">
        <v>51.399094586812403</v>
      </c>
      <c r="O2253">
        <v>50.773972823114597</v>
      </c>
      <c r="P2253">
        <v>-0.112032780514299</v>
      </c>
      <c r="Q2253">
        <v>6.2262902784889398E-2</v>
      </c>
      <c r="R2253">
        <v>0.98640733432071603</v>
      </c>
      <c r="S2253" t="s">
        <v>9256</v>
      </c>
      <c r="T2253" t="s">
        <v>14004</v>
      </c>
      <c r="U2253" t="s">
        <v>14004</v>
      </c>
      <c r="V2253" t="s">
        <v>14004</v>
      </c>
      <c r="W2253" t="s">
        <v>16220</v>
      </c>
      <c r="X2253">
        <v>14</v>
      </c>
      <c r="Y2253" t="s">
        <v>23120</v>
      </c>
      <c r="Z2253" t="s">
        <v>29963</v>
      </c>
      <c r="AA2253">
        <v>0.41876290476304151</v>
      </c>
      <c r="AB2253" t="str">
        <f>HYPERLINK("Melting_Curves/meltCurve_P15374_UCHL3.pdf", "Melting_Curves/meltCurve_P15374_UCHL3.pdf")</f>
        <v>Melting_Curves/meltCurve_P15374_UCHL3.pdf</v>
      </c>
    </row>
    <row r="2254" spans="1:28" x14ac:dyDescent="0.25">
      <c r="A2254" t="s">
        <v>2258</v>
      </c>
      <c r="B2254">
        <v>0.99999676499088797</v>
      </c>
      <c r="C2254">
        <v>0.90547969349042901</v>
      </c>
      <c r="D2254">
        <v>0.84380513739172902</v>
      </c>
      <c r="E2254">
        <v>0.62130010105087896</v>
      </c>
      <c r="F2254">
        <v>0.287165542063615</v>
      </c>
      <c r="G2254">
        <v>0.128656678607036</v>
      </c>
      <c r="H2254">
        <v>6.1368749273994098E-2</v>
      </c>
      <c r="I2254">
        <v>6.7580811694045395E-2</v>
      </c>
      <c r="J2254">
        <v>5.5362739658572302E-2</v>
      </c>
      <c r="K2254">
        <v>4.7547628122875801E-2</v>
      </c>
      <c r="L2254">
        <v>915.33335151942003</v>
      </c>
      <c r="M2254">
        <v>18.164789485628699</v>
      </c>
      <c r="N2254">
        <v>50.592757980211402</v>
      </c>
      <c r="O2254">
        <v>49.791723580846302</v>
      </c>
      <c r="P2254">
        <v>-8.8014051866242393E-2</v>
      </c>
      <c r="Q2254">
        <v>3.50204481484001E-2</v>
      </c>
      <c r="R2254">
        <v>0.99610590351039296</v>
      </c>
      <c r="S2254" t="s">
        <v>9257</v>
      </c>
      <c r="T2254" t="s">
        <v>14004</v>
      </c>
      <c r="U2254" t="s">
        <v>14004</v>
      </c>
      <c r="V2254" t="s">
        <v>14004</v>
      </c>
      <c r="W2254" t="s">
        <v>16221</v>
      </c>
      <c r="X2254">
        <v>5</v>
      </c>
      <c r="Y2254" t="s">
        <v>23121</v>
      </c>
      <c r="Z2254" t="s">
        <v>29964</v>
      </c>
      <c r="AA2254">
        <v>0.38534223829794773</v>
      </c>
      <c r="AB2254" t="str">
        <f>HYPERLINK("Melting_Curves/meltCurve_P15428_HPGD.pdf", "Melting_Curves/meltCurve_P15428_HPGD.pdf")</f>
        <v>Melting_Curves/meltCurve_P15428_HPGD.pdf</v>
      </c>
    </row>
    <row r="2255" spans="1:28" x14ac:dyDescent="0.25">
      <c r="A2255" t="s">
        <v>2259</v>
      </c>
      <c r="B2255">
        <v>0.99999676499088797</v>
      </c>
      <c r="C2255">
        <v>0.73823818293628096</v>
      </c>
      <c r="D2255">
        <v>0.29331583628668301</v>
      </c>
      <c r="E2255">
        <v>0.16434596365788301</v>
      </c>
      <c r="F2255">
        <v>0.116800148153074</v>
      </c>
      <c r="G2255">
        <v>8.7717077441182997E-2</v>
      </c>
      <c r="H2255">
        <v>4.5068785436565797E-2</v>
      </c>
      <c r="I2255">
        <v>4.7182433757213899E-2</v>
      </c>
      <c r="J2255">
        <v>4.0935870640804298E-2</v>
      </c>
      <c r="K2255">
        <v>3.94094029072607E-2</v>
      </c>
      <c r="L2255">
        <v>1257.38290241905</v>
      </c>
      <c r="M2255">
        <v>28.3558507809819</v>
      </c>
      <c r="N2255">
        <v>44.569483128911898</v>
      </c>
      <c r="O2255">
        <v>44.124177340408401</v>
      </c>
      <c r="P2255">
        <v>-0.14988086584931501</v>
      </c>
      <c r="Q2255">
        <v>6.7096445699913299E-2</v>
      </c>
      <c r="R2255">
        <v>0.990838435056133</v>
      </c>
      <c r="S2255" t="s">
        <v>9258</v>
      </c>
      <c r="T2255" t="s">
        <v>14004</v>
      </c>
      <c r="U2255" t="s">
        <v>14004</v>
      </c>
      <c r="V2255" t="s">
        <v>14004</v>
      </c>
      <c r="W2255" t="s">
        <v>16222</v>
      </c>
      <c r="X2255">
        <v>17</v>
      </c>
      <c r="Y2255" t="s">
        <v>23122</v>
      </c>
      <c r="Z2255" t="s">
        <v>29965</v>
      </c>
      <c r="AA2255">
        <v>0.20956346401712481</v>
      </c>
      <c r="AB2255" t="str">
        <f>HYPERLINK("Melting_Curves/meltCurve_P15498_VAV1.pdf", "Melting_Curves/meltCurve_P15498_VAV1.pdf")</f>
        <v>Melting_Curves/meltCurve_P15498_VAV1.pdf</v>
      </c>
    </row>
    <row r="2256" spans="1:28" x14ac:dyDescent="0.25">
      <c r="A2256" t="s">
        <v>2260</v>
      </c>
      <c r="B2256">
        <v>0.99999676499088797</v>
      </c>
      <c r="C2256">
        <v>0.95140579006622195</v>
      </c>
      <c r="D2256">
        <v>1.0080874938656299</v>
      </c>
      <c r="E2256">
        <v>1.05553924108581</v>
      </c>
      <c r="F2256">
        <v>1.0096397217888999</v>
      </c>
      <c r="G2256">
        <v>0.797146541569275</v>
      </c>
      <c r="H2256">
        <v>0.58633762518878696</v>
      </c>
      <c r="I2256">
        <v>0.55526451143165501</v>
      </c>
      <c r="J2256">
        <v>0.41149825692833403</v>
      </c>
      <c r="K2256">
        <v>0.59555379312894896</v>
      </c>
      <c r="L2256">
        <v>2245.5299278222001</v>
      </c>
      <c r="M2256">
        <v>39.116561283360397</v>
      </c>
      <c r="O2256">
        <v>57.256699393043903</v>
      </c>
      <c r="P2256">
        <v>-8.1798137908264498E-2</v>
      </c>
      <c r="Q2256">
        <v>0.52107440143389305</v>
      </c>
      <c r="R2256">
        <v>0.95031451128804501</v>
      </c>
      <c r="S2256" t="s">
        <v>9259</v>
      </c>
      <c r="T2256" t="s">
        <v>14004</v>
      </c>
      <c r="U2256" t="s">
        <v>14004</v>
      </c>
      <c r="V2256" t="s">
        <v>14004</v>
      </c>
      <c r="W2256" t="s">
        <v>16223</v>
      </c>
      <c r="X2256">
        <v>6</v>
      </c>
      <c r="Y2256" t="s">
        <v>23123</v>
      </c>
      <c r="Z2256" t="s">
        <v>29966</v>
      </c>
      <c r="AA2256">
        <v>0.80090482865764379</v>
      </c>
      <c r="AB2256" t="str">
        <f>HYPERLINK("Melting_Curves/meltCurve_P15529_16_CD46.pdf", "Melting_Curves/meltCurve_P15529_16_CD46.pdf")</f>
        <v>Melting_Curves/meltCurve_P15529_16_CD46.pdf</v>
      </c>
    </row>
    <row r="2257" spans="1:28" x14ac:dyDescent="0.25">
      <c r="A2257" t="s">
        <v>2261</v>
      </c>
      <c r="B2257">
        <v>0.99999676499088797</v>
      </c>
      <c r="C2257">
        <v>1.0685890985431401</v>
      </c>
      <c r="D2257">
        <v>1.0667009919469399</v>
      </c>
      <c r="E2257">
        <v>1.0494935658228299</v>
      </c>
      <c r="F2257">
        <v>1.166450206021</v>
      </c>
      <c r="G2257">
        <v>0.93980603595066003</v>
      </c>
      <c r="H2257">
        <v>0.58946604078506704</v>
      </c>
      <c r="I2257">
        <v>0.46000586925407899</v>
      </c>
      <c r="J2257">
        <v>0.27798035117120501</v>
      </c>
      <c r="K2257">
        <v>0.246222485685994</v>
      </c>
      <c r="L2257">
        <v>1854.9695311257401</v>
      </c>
      <c r="M2257">
        <v>30.438180143091198</v>
      </c>
      <c r="N2257">
        <v>62.370933408589302</v>
      </c>
      <c r="O2257">
        <v>60.6809702093488</v>
      </c>
      <c r="P2257">
        <v>-9.3924193534644193E-2</v>
      </c>
      <c r="Q2257">
        <v>0.25102285556690401</v>
      </c>
      <c r="R2257">
        <v>0.95587606495903898</v>
      </c>
      <c r="S2257" t="s">
        <v>9260</v>
      </c>
      <c r="T2257" t="s">
        <v>14004</v>
      </c>
      <c r="U2257" t="s">
        <v>14004</v>
      </c>
      <c r="V2257" t="s">
        <v>14004</v>
      </c>
      <c r="W2257" t="s">
        <v>16224</v>
      </c>
      <c r="X2257">
        <v>13</v>
      </c>
      <c r="Y2257" t="s">
        <v>23124</v>
      </c>
      <c r="Z2257" t="s">
        <v>29967</v>
      </c>
      <c r="AA2257">
        <v>0.7779683480583649</v>
      </c>
      <c r="AB2257" t="str">
        <f>HYPERLINK("Melting_Curves/meltCurve_P15531_NME1.pdf", "Melting_Curves/meltCurve_P15531_NME1.pdf")</f>
        <v>Melting_Curves/meltCurve_P15531_NME1.pdf</v>
      </c>
    </row>
    <row r="2258" spans="1:28" x14ac:dyDescent="0.25">
      <c r="A2258" t="s">
        <v>2262</v>
      </c>
      <c r="B2258">
        <v>0.99999676499088797</v>
      </c>
      <c r="C2258">
        <v>1.07732895643102</v>
      </c>
      <c r="D2258">
        <v>1.0704321330658699</v>
      </c>
      <c r="E2258">
        <v>0.97681440584763402</v>
      </c>
      <c r="F2258">
        <v>1.32902819571376</v>
      </c>
      <c r="G2258">
        <v>0.91530480850989304</v>
      </c>
      <c r="H2258">
        <v>0.57285750752722797</v>
      </c>
      <c r="I2258">
        <v>0.548199916614039</v>
      </c>
      <c r="J2258">
        <v>0.483625990437685</v>
      </c>
      <c r="K2258">
        <v>0.378816197004262</v>
      </c>
      <c r="L2258">
        <v>2758.6415792663302</v>
      </c>
      <c r="M2258">
        <v>46.597395976960598</v>
      </c>
      <c r="N2258">
        <v>62.612788986632701</v>
      </c>
      <c r="O2258">
        <v>59.092891719322701</v>
      </c>
      <c r="P2258">
        <v>-0.10635250514968</v>
      </c>
      <c r="Q2258">
        <v>0.46051314588223402</v>
      </c>
      <c r="R2258">
        <v>0.84979509192175195</v>
      </c>
      <c r="S2258" t="s">
        <v>9261</v>
      </c>
      <c r="T2258" t="s">
        <v>14004</v>
      </c>
      <c r="U2258" t="s">
        <v>14004</v>
      </c>
      <c r="V2258" t="s">
        <v>14004</v>
      </c>
      <c r="W2258" t="s">
        <v>16225</v>
      </c>
      <c r="X2258">
        <v>2</v>
      </c>
      <c r="Y2258" t="s">
        <v>23125</v>
      </c>
      <c r="Z2258" t="s">
        <v>29968</v>
      </c>
      <c r="AA2258">
        <v>0.80741198087501154</v>
      </c>
      <c r="AB2258" t="str">
        <f>HYPERLINK("Melting_Curves/meltCurve_P15813_CD1D.pdf", "Melting_Curves/meltCurve_P15813_CD1D.pdf")</f>
        <v>Melting_Curves/meltCurve_P15813_CD1D.pdf</v>
      </c>
    </row>
    <row r="2259" spans="1:28" x14ac:dyDescent="0.25">
      <c r="A2259" t="s">
        <v>2263</v>
      </c>
      <c r="B2259">
        <v>0.99999676499088797</v>
      </c>
      <c r="C2259">
        <v>1.0312240299547</v>
      </c>
      <c r="D2259">
        <v>0.986540942143872</v>
      </c>
      <c r="E2259">
        <v>1.0078546556086301</v>
      </c>
      <c r="F2259">
        <v>0.92016523455676003</v>
      </c>
      <c r="G2259">
        <v>0.82172806252667796</v>
      </c>
      <c r="H2259">
        <v>0.556711119847216</v>
      </c>
      <c r="I2259">
        <v>0.42699152079751601</v>
      </c>
      <c r="J2259">
        <v>0.28526653265825902</v>
      </c>
      <c r="K2259">
        <v>0.199183646246235</v>
      </c>
      <c r="L2259">
        <v>994.81595107634496</v>
      </c>
      <c r="M2259">
        <v>16.2144905435356</v>
      </c>
      <c r="N2259">
        <v>62.223528606487299</v>
      </c>
      <c r="O2259">
        <v>60.443055429745797</v>
      </c>
      <c r="P2259">
        <v>-6.0267564040405203E-2</v>
      </c>
      <c r="Q2259">
        <v>0.10142480435209</v>
      </c>
      <c r="R2259">
        <v>0.99637972322600699</v>
      </c>
      <c r="S2259" t="s">
        <v>9262</v>
      </c>
      <c r="T2259" t="s">
        <v>14004</v>
      </c>
      <c r="U2259" t="s">
        <v>14004</v>
      </c>
      <c r="V2259" t="s">
        <v>14004</v>
      </c>
      <c r="W2259" t="s">
        <v>16226</v>
      </c>
      <c r="X2259">
        <v>7</v>
      </c>
      <c r="Y2259" t="s">
        <v>23126</v>
      </c>
      <c r="Z2259" t="s">
        <v>29969</v>
      </c>
      <c r="AA2259">
        <v>0.74317145874793666</v>
      </c>
      <c r="AB2259" t="str">
        <f>HYPERLINK("Melting_Curves/meltCurve_P15848_ARSB.pdf", "Melting_Curves/meltCurve_P15848_ARSB.pdf")</f>
        <v>Melting_Curves/meltCurve_P15848_ARSB.pdf</v>
      </c>
    </row>
    <row r="2260" spans="1:28" x14ac:dyDescent="0.25">
      <c r="A2260" t="s">
        <v>2264</v>
      </c>
      <c r="B2260">
        <v>0.99999676499088797</v>
      </c>
      <c r="C2260">
        <v>1.0179523961340999</v>
      </c>
      <c r="D2260">
        <v>0.95237027992406198</v>
      </c>
      <c r="E2260">
        <v>0.79443747908795503</v>
      </c>
      <c r="F2260">
        <v>0.363303861875856</v>
      </c>
      <c r="G2260">
        <v>0.26746468853443101</v>
      </c>
      <c r="H2260">
        <v>7.9103821573808797E-2</v>
      </c>
      <c r="I2260">
        <v>7.9221839348657605E-2</v>
      </c>
      <c r="J2260">
        <v>7.8631768359826201E-2</v>
      </c>
      <c r="K2260">
        <v>7.3955637164417304E-2</v>
      </c>
      <c r="L2260">
        <v>1192.1021299347101</v>
      </c>
      <c r="M2260">
        <v>22.942730898771199</v>
      </c>
      <c r="N2260">
        <v>52.332299753019001</v>
      </c>
      <c r="O2260">
        <v>51.569978883665399</v>
      </c>
      <c r="P2260">
        <v>-0.10284681328946001</v>
      </c>
      <c r="Q2260">
        <v>7.5313608236864796E-2</v>
      </c>
      <c r="R2260">
        <v>0.993001714896662</v>
      </c>
      <c r="S2260" t="s">
        <v>9263</v>
      </c>
      <c r="T2260" t="s">
        <v>14004</v>
      </c>
      <c r="U2260" t="s">
        <v>14004</v>
      </c>
      <c r="V2260" t="s">
        <v>14004</v>
      </c>
      <c r="W2260" t="s">
        <v>16227</v>
      </c>
      <c r="X2260">
        <v>12</v>
      </c>
      <c r="Y2260" t="s">
        <v>23127</v>
      </c>
      <c r="Z2260" t="s">
        <v>29970</v>
      </c>
      <c r="AA2260">
        <v>0.45389138704441739</v>
      </c>
      <c r="AB2260" t="str">
        <f>HYPERLINK("Melting_Curves/meltCurve_P15880_RPS2.pdf", "Melting_Curves/meltCurve_P15880_RPS2.pdf")</f>
        <v>Melting_Curves/meltCurve_P15880_RPS2.pdf</v>
      </c>
    </row>
    <row r="2261" spans="1:28" x14ac:dyDescent="0.25">
      <c r="A2261" t="s">
        <v>2265</v>
      </c>
      <c r="B2261">
        <v>0.99999676499088797</v>
      </c>
      <c r="C2261">
        <v>1.0021682218216299</v>
      </c>
      <c r="D2261">
        <v>1.0232578487119199</v>
      </c>
      <c r="E2261">
        <v>0.71910928451421396</v>
      </c>
      <c r="F2261">
        <v>0.290725580612052</v>
      </c>
      <c r="G2261">
        <v>0.18555638157596099</v>
      </c>
      <c r="H2261">
        <v>9.2617246849108395E-2</v>
      </c>
      <c r="I2261">
        <v>7.2565309770197498E-2</v>
      </c>
      <c r="J2261">
        <v>6.9946162899036796E-2</v>
      </c>
      <c r="K2261">
        <v>7.0317307767284606E-2</v>
      </c>
      <c r="L2261">
        <v>1490.23996090228</v>
      </c>
      <c r="M2261">
        <v>29.1668605337155</v>
      </c>
      <c r="N2261">
        <v>51.416656033599999</v>
      </c>
      <c r="O2261">
        <v>50.855226990663198</v>
      </c>
      <c r="P2261">
        <v>-0.13137841809051001</v>
      </c>
      <c r="Q2261">
        <v>8.3723043070314807E-2</v>
      </c>
      <c r="R2261">
        <v>0.99556552024224498</v>
      </c>
      <c r="S2261" t="s">
        <v>9264</v>
      </c>
      <c r="T2261" t="s">
        <v>14004</v>
      </c>
      <c r="U2261" t="s">
        <v>14004</v>
      </c>
      <c r="V2261" t="s">
        <v>14004</v>
      </c>
      <c r="W2261" t="s">
        <v>16228</v>
      </c>
      <c r="X2261">
        <v>8</v>
      </c>
      <c r="Y2261" t="s">
        <v>23128</v>
      </c>
      <c r="Z2261" t="s">
        <v>29971</v>
      </c>
      <c r="AA2261">
        <v>0.42865419533466931</v>
      </c>
      <c r="AB2261" t="str">
        <f>HYPERLINK("Melting_Curves/meltCurve_P15882_CHN1.pdf", "Melting_Curves/meltCurve_P15882_CHN1.pdf")</f>
        <v>Melting_Curves/meltCurve_P15882_CHN1.pdf</v>
      </c>
    </row>
    <row r="2262" spans="1:28" x14ac:dyDescent="0.25">
      <c r="A2262" t="s">
        <v>2266</v>
      </c>
      <c r="B2262">
        <v>0.99999676499088797</v>
      </c>
      <c r="C2262">
        <v>0.96332450965077698</v>
      </c>
      <c r="D2262">
        <v>0.90453080243811401</v>
      </c>
      <c r="E2262">
        <v>0.79524744983028195</v>
      </c>
      <c r="F2262">
        <v>0.58555486973072601</v>
      </c>
      <c r="G2262">
        <v>0.36372094176777497</v>
      </c>
      <c r="H2262">
        <v>0.208843374614226</v>
      </c>
      <c r="I2262">
        <v>0.20953530667502901</v>
      </c>
      <c r="J2262">
        <v>0.190453136056251</v>
      </c>
      <c r="K2262">
        <v>0.139053687994868</v>
      </c>
      <c r="L2262">
        <v>817.67470833797495</v>
      </c>
      <c r="M2262">
        <v>15.3566696828626</v>
      </c>
      <c r="N2262">
        <v>54.318001519243502</v>
      </c>
      <c r="O2262">
        <v>52.3671494374939</v>
      </c>
      <c r="P2262">
        <v>-6.3731132934563894E-2</v>
      </c>
      <c r="Q2262">
        <v>0.13077199021833</v>
      </c>
      <c r="R2262">
        <v>0.99683885815391104</v>
      </c>
      <c r="S2262" t="s">
        <v>9265</v>
      </c>
      <c r="T2262" t="s">
        <v>14004</v>
      </c>
      <c r="U2262" t="s">
        <v>14004</v>
      </c>
      <c r="V2262" t="s">
        <v>14004</v>
      </c>
      <c r="W2262" t="s">
        <v>16229</v>
      </c>
      <c r="X2262">
        <v>3</v>
      </c>
      <c r="Y2262" t="s">
        <v>23129</v>
      </c>
      <c r="Z2262" t="s">
        <v>29972</v>
      </c>
      <c r="AA2262">
        <v>0.53247261257447709</v>
      </c>
      <c r="AB2262" t="str">
        <f>HYPERLINK("Melting_Curves/meltCurve_P15907_ST6GAL1.pdf", "Melting_Curves/meltCurve_P15907_ST6GAL1.pdf")</f>
        <v>Melting_Curves/meltCurve_P15907_ST6GAL1.pdf</v>
      </c>
    </row>
    <row r="2263" spans="1:28" x14ac:dyDescent="0.25">
      <c r="A2263" t="s">
        <v>2267</v>
      </c>
      <c r="B2263">
        <v>0.99999676499088797</v>
      </c>
      <c r="C2263">
        <v>0.88445922000629595</v>
      </c>
      <c r="D2263">
        <v>0.75568377261938602</v>
      </c>
      <c r="E2263">
        <v>0.52260254867964795</v>
      </c>
      <c r="F2263">
        <v>0.45271459823712301</v>
      </c>
      <c r="G2263">
        <v>0.30770828105160503</v>
      </c>
      <c r="H2263">
        <v>0.22520662422797899</v>
      </c>
      <c r="I2263">
        <v>0.24933428115661199</v>
      </c>
      <c r="J2263">
        <v>0.238666294256969</v>
      </c>
      <c r="K2263">
        <v>0.25089922246012702</v>
      </c>
      <c r="L2263">
        <v>679.01573678059106</v>
      </c>
      <c r="M2263">
        <v>13.9849212333691</v>
      </c>
      <c r="N2263">
        <v>50.685604739994602</v>
      </c>
      <c r="O2263">
        <v>47.592968112714203</v>
      </c>
      <c r="P2263">
        <v>-5.7133469360613101E-2</v>
      </c>
      <c r="Q2263">
        <v>0.222365275781164</v>
      </c>
      <c r="R2263">
        <v>0.99046695347195701</v>
      </c>
      <c r="S2263" t="s">
        <v>9266</v>
      </c>
      <c r="T2263" t="s">
        <v>14004</v>
      </c>
      <c r="U2263" t="s">
        <v>14004</v>
      </c>
      <c r="V2263" t="s">
        <v>14004</v>
      </c>
      <c r="W2263" t="s">
        <v>16230</v>
      </c>
      <c r="X2263">
        <v>12</v>
      </c>
      <c r="Y2263" t="s">
        <v>23130</v>
      </c>
      <c r="Z2263" t="s">
        <v>29973</v>
      </c>
      <c r="AA2263">
        <v>0.46638846787539878</v>
      </c>
      <c r="AB2263" t="str">
        <f>HYPERLINK("Melting_Curves/meltCurve_P15923_2_TCF3.pdf", "Melting_Curves/meltCurve_P15923_2_TCF3.pdf")</f>
        <v>Melting_Curves/meltCurve_P15923_2_TCF3.pdf</v>
      </c>
    </row>
    <row r="2264" spans="1:28" x14ac:dyDescent="0.25">
      <c r="A2264" t="s">
        <v>2268</v>
      </c>
      <c r="B2264">
        <v>0.99999676499088797</v>
      </c>
      <c r="C2264">
        <v>1.2805009545241399</v>
      </c>
      <c r="D2264">
        <v>1.3372879474650501</v>
      </c>
      <c r="E2264">
        <v>0.92163964808058596</v>
      </c>
      <c r="F2264">
        <v>3.17253563939521</v>
      </c>
      <c r="G2264">
        <v>0.524745467449657</v>
      </c>
      <c r="H2264">
        <v>0.72330780392424998</v>
      </c>
      <c r="I2264">
        <v>0.51381298488039795</v>
      </c>
      <c r="J2264">
        <v>0.460046888309736</v>
      </c>
      <c r="K2264">
        <v>0.39087353815051501</v>
      </c>
      <c r="L2264">
        <v>13937.1036774521</v>
      </c>
      <c r="M2264">
        <v>250</v>
      </c>
      <c r="O2264">
        <v>55.744855908178899</v>
      </c>
      <c r="P2264">
        <v>-0.53633066141811203</v>
      </c>
      <c r="Q2264">
        <v>0.52163726822981604</v>
      </c>
      <c r="R2264">
        <v>0.18483207287980499</v>
      </c>
      <c r="S2264" t="s">
        <v>9267</v>
      </c>
      <c r="T2264" t="s">
        <v>14004</v>
      </c>
      <c r="U2264" t="s">
        <v>14004</v>
      </c>
      <c r="V2264" t="s">
        <v>14004</v>
      </c>
      <c r="W2264" t="s">
        <v>16231</v>
      </c>
      <c r="X2264">
        <v>5</v>
      </c>
      <c r="Y2264" t="s">
        <v>23131</v>
      </c>
      <c r="Z2264" t="s">
        <v>29974</v>
      </c>
      <c r="AA2264">
        <v>0.77279922614596386</v>
      </c>
      <c r="AB2264" t="str">
        <f>HYPERLINK("Melting_Curves/meltCurve_P15924_DSP.pdf", "Melting_Curves/meltCurve_P15924_DSP.pdf")</f>
        <v>Melting_Curves/meltCurve_P15924_DSP.pdf</v>
      </c>
    </row>
    <row r="2265" spans="1:28" x14ac:dyDescent="0.25">
      <c r="A2265" t="s">
        <v>2269</v>
      </c>
      <c r="B2265">
        <v>0.99999676499088797</v>
      </c>
      <c r="C2265">
        <v>1.03644963750365</v>
      </c>
      <c r="D2265">
        <v>0.866382359375924</v>
      </c>
      <c r="E2265">
        <v>0.54036503466093599</v>
      </c>
      <c r="F2265">
        <v>0.55172736916319698</v>
      </c>
      <c r="G2265">
        <v>0.47173585869175599</v>
      </c>
      <c r="H2265">
        <v>0.162540563116157</v>
      </c>
      <c r="I2265">
        <v>9.6002680345496902E-2</v>
      </c>
      <c r="J2265">
        <v>8.5165658010709105E-2</v>
      </c>
      <c r="K2265">
        <v>7.4122505306070605E-2</v>
      </c>
      <c r="L2265">
        <v>578.24845524049795</v>
      </c>
      <c r="M2265">
        <v>10.8266598592239</v>
      </c>
      <c r="N2265">
        <v>53.409680579384499</v>
      </c>
      <c r="O2265">
        <v>51.6844098396815</v>
      </c>
      <c r="P2265">
        <v>-5.2387877277089399E-2</v>
      </c>
      <c r="Q2265">
        <v>0</v>
      </c>
      <c r="R2265">
        <v>0.95511529433921505</v>
      </c>
      <c r="S2265" t="s">
        <v>9268</v>
      </c>
      <c r="T2265" t="s">
        <v>14004</v>
      </c>
      <c r="U2265" t="s">
        <v>14004</v>
      </c>
      <c r="V2265" t="s">
        <v>14004</v>
      </c>
      <c r="W2265" t="s">
        <v>16232</v>
      </c>
      <c r="X2265">
        <v>11</v>
      </c>
      <c r="Y2265" t="s">
        <v>23132</v>
      </c>
      <c r="Z2265" t="s">
        <v>29975</v>
      </c>
      <c r="AA2265">
        <v>0.47743664049742301</v>
      </c>
      <c r="AB2265" t="str">
        <f>HYPERLINK("Melting_Curves/meltCurve_P15927_RPA2.pdf", "Melting_Curves/meltCurve_P15927_RPA2.pdf")</f>
        <v>Melting_Curves/meltCurve_P15927_RPA2.pdf</v>
      </c>
    </row>
    <row r="2266" spans="1:28" x14ac:dyDescent="0.25">
      <c r="A2266" t="s">
        <v>2270</v>
      </c>
      <c r="B2266">
        <v>0.99999676499088797</v>
      </c>
      <c r="C2266">
        <v>0.89365495100938896</v>
      </c>
      <c r="D2266">
        <v>1.0152569226531001</v>
      </c>
      <c r="E2266">
        <v>0.89959997829766203</v>
      </c>
      <c r="F2266">
        <v>0.84476508955056395</v>
      </c>
      <c r="G2266">
        <v>0.70401840261780702</v>
      </c>
      <c r="H2266">
        <v>0.63116960454628701</v>
      </c>
      <c r="I2266">
        <v>0.517961258694427</v>
      </c>
      <c r="J2266">
        <v>0.41481758424986598</v>
      </c>
      <c r="K2266">
        <v>0.30042954916772002</v>
      </c>
      <c r="L2266">
        <v>519.888764355381</v>
      </c>
      <c r="M2266">
        <v>8.1256717564694902</v>
      </c>
      <c r="N2266">
        <v>63.981017431016198</v>
      </c>
      <c r="O2266">
        <v>60.455798663965801</v>
      </c>
      <c r="P2266">
        <v>-3.3637556773497702E-2</v>
      </c>
      <c r="Q2266">
        <v>0</v>
      </c>
      <c r="R2266">
        <v>0.97454507595629802</v>
      </c>
      <c r="S2266" t="s">
        <v>9269</v>
      </c>
      <c r="T2266" t="s">
        <v>14004</v>
      </c>
      <c r="U2266" t="s">
        <v>14004</v>
      </c>
      <c r="V2266" t="s">
        <v>14004</v>
      </c>
      <c r="W2266" t="s">
        <v>16233</v>
      </c>
      <c r="X2266">
        <v>2</v>
      </c>
      <c r="Y2266" t="s">
        <v>23133</v>
      </c>
      <c r="Z2266" t="s">
        <v>29976</v>
      </c>
      <c r="AA2266">
        <v>0.73937916713720031</v>
      </c>
      <c r="AB2266" t="str">
        <f>HYPERLINK("Melting_Curves/meltCurve_P16035_TIMP2.pdf", "Melting_Curves/meltCurve_P16035_TIMP2.pdf")</f>
        <v>Melting_Curves/meltCurve_P16035_TIMP2.pdf</v>
      </c>
    </row>
    <row r="2267" spans="1:28" x14ac:dyDescent="0.25">
      <c r="A2267" t="s">
        <v>2271</v>
      </c>
      <c r="B2267">
        <v>0.99999676499088797</v>
      </c>
      <c r="C2267">
        <v>0.94874058769748204</v>
      </c>
      <c r="D2267">
        <v>1.02183879677832</v>
      </c>
      <c r="E2267">
        <v>1.0506227615402901</v>
      </c>
      <c r="F2267">
        <v>0.96973871284483604</v>
      </c>
      <c r="G2267">
        <v>0.86220334462200199</v>
      </c>
      <c r="H2267">
        <v>0.67707556336527897</v>
      </c>
      <c r="I2267">
        <v>0.65118023030245598</v>
      </c>
      <c r="J2267">
        <v>0.59653016590838204</v>
      </c>
      <c r="K2267">
        <v>0.85011616274212598</v>
      </c>
      <c r="L2267">
        <v>14211.4182134446</v>
      </c>
      <c r="M2267">
        <v>250</v>
      </c>
      <c r="O2267">
        <v>56.842051697540199</v>
      </c>
      <c r="P2267">
        <v>-0.33676054413205597</v>
      </c>
      <c r="Q2267">
        <v>0.69372552519241804</v>
      </c>
      <c r="R2267">
        <v>0.82870770831629204</v>
      </c>
      <c r="S2267" t="s">
        <v>9270</v>
      </c>
      <c r="T2267" t="s">
        <v>14004</v>
      </c>
      <c r="U2267" t="s">
        <v>14004</v>
      </c>
      <c r="V2267" t="s">
        <v>14004</v>
      </c>
      <c r="W2267" t="s">
        <v>16234</v>
      </c>
      <c r="X2267">
        <v>10</v>
      </c>
      <c r="Y2267" t="s">
        <v>23134</v>
      </c>
      <c r="Z2267" t="s">
        <v>29977</v>
      </c>
      <c r="AA2267">
        <v>0.86573606700493677</v>
      </c>
      <c r="AB2267" t="str">
        <f>HYPERLINK("Melting_Curves/meltCurve_P16150_SPN.pdf", "Melting_Curves/meltCurve_P16150_SPN.pdf")</f>
        <v>Melting_Curves/meltCurve_P16150_SPN.pdf</v>
      </c>
    </row>
    <row r="2268" spans="1:28" x14ac:dyDescent="0.25">
      <c r="A2268" t="s">
        <v>2272</v>
      </c>
      <c r="B2268">
        <v>0.99999676499088797</v>
      </c>
      <c r="C2268">
        <v>1.10556468838261</v>
      </c>
      <c r="D2268">
        <v>1.1204601570852899</v>
      </c>
      <c r="E2268">
        <v>1.2773087470478499</v>
      </c>
      <c r="F2268">
        <v>0.88862609629340195</v>
      </c>
      <c r="G2268">
        <v>0.58684944441162501</v>
      </c>
      <c r="H2268">
        <v>0.286007789615985</v>
      </c>
      <c r="I2268">
        <v>0.17190708956494399</v>
      </c>
      <c r="J2268">
        <v>0.16506046753437301</v>
      </c>
      <c r="K2268">
        <v>0.119139704417217</v>
      </c>
      <c r="L2268">
        <v>1778.7796426207401</v>
      </c>
      <c r="M2268">
        <v>31.185588802490201</v>
      </c>
      <c r="N2268">
        <v>57.678235947790803</v>
      </c>
      <c r="O2268">
        <v>56.8055138933953</v>
      </c>
      <c r="P2268">
        <v>-0.117181875920537</v>
      </c>
      <c r="Q2268">
        <v>0.14620313509632499</v>
      </c>
      <c r="R2268">
        <v>0.94134805297392699</v>
      </c>
      <c r="S2268" t="s">
        <v>9271</v>
      </c>
      <c r="T2268" t="s">
        <v>14004</v>
      </c>
      <c r="U2268" t="s">
        <v>14004</v>
      </c>
      <c r="V2268" t="s">
        <v>14004</v>
      </c>
      <c r="W2268" t="s">
        <v>16235</v>
      </c>
      <c r="X2268">
        <v>12</v>
      </c>
      <c r="Y2268" t="s">
        <v>23135</v>
      </c>
      <c r="Z2268" t="s">
        <v>29978</v>
      </c>
      <c r="AA2268">
        <v>0.63642446715204715</v>
      </c>
      <c r="AB2268" t="str">
        <f>HYPERLINK("Melting_Curves/meltCurve_P16219_ACADS.pdf", "Melting_Curves/meltCurve_P16219_ACADS.pdf")</f>
        <v>Melting_Curves/meltCurve_P16219_ACADS.pdf</v>
      </c>
    </row>
    <row r="2269" spans="1:28" x14ac:dyDescent="0.25">
      <c r="A2269" t="s">
        <v>2273</v>
      </c>
      <c r="B2269">
        <v>0.99999676499088797</v>
      </c>
      <c r="C2269">
        <v>0.78525912581055701</v>
      </c>
      <c r="D2269">
        <v>0.88773419271391196</v>
      </c>
      <c r="E2269">
        <v>0.72998536898014699</v>
      </c>
      <c r="F2269">
        <v>0.64116582228330199</v>
      </c>
      <c r="G2269">
        <v>0.49567484863092098</v>
      </c>
      <c r="H2269">
        <v>0.37351635056218202</v>
      </c>
      <c r="I2269">
        <v>0.29757835290853701</v>
      </c>
      <c r="J2269">
        <v>0.29415234967001702</v>
      </c>
      <c r="K2269">
        <v>0.36759032002876901</v>
      </c>
      <c r="L2269">
        <v>468.63139528785399</v>
      </c>
      <c r="M2269">
        <v>8.8286986349321204</v>
      </c>
      <c r="N2269">
        <v>56.562545594897898</v>
      </c>
      <c r="O2269">
        <v>50.568702673066902</v>
      </c>
      <c r="P2269">
        <v>-3.4523541833576803E-2</v>
      </c>
      <c r="Q2269">
        <v>0.209646454926084</v>
      </c>
      <c r="R2269">
        <v>0.94568761404114399</v>
      </c>
      <c r="S2269" t="s">
        <v>9272</v>
      </c>
      <c r="T2269" t="s">
        <v>14004</v>
      </c>
      <c r="U2269" t="s">
        <v>14004</v>
      </c>
      <c r="V2269" t="s">
        <v>14004</v>
      </c>
      <c r="W2269" t="s">
        <v>16236</v>
      </c>
      <c r="X2269">
        <v>7</v>
      </c>
      <c r="Y2269" t="s">
        <v>23136</v>
      </c>
      <c r="Z2269" t="s">
        <v>29979</v>
      </c>
      <c r="AA2269">
        <v>0.5839081063064534</v>
      </c>
      <c r="AB2269" t="str">
        <f>HYPERLINK("Melting_Curves/meltCurve_P16220_CREB1.pdf", "Melting_Curves/meltCurve_P16220_CREB1.pdf")</f>
        <v>Melting_Curves/meltCurve_P16220_CREB1.pdf</v>
      </c>
    </row>
    <row r="2270" spans="1:28" x14ac:dyDescent="0.25">
      <c r="A2270" t="s">
        <v>2274</v>
      </c>
      <c r="B2270">
        <v>0.99999676499088797</v>
      </c>
      <c r="C2270">
        <v>0.98454062230663697</v>
      </c>
      <c r="D2270">
        <v>0.95555880257818904</v>
      </c>
      <c r="E2270">
        <v>1.14371836840644</v>
      </c>
      <c r="F2270">
        <v>1.20735549530897</v>
      </c>
      <c r="G2270">
        <v>1.14407970291506</v>
      </c>
      <c r="H2270">
        <v>0.201563808874998</v>
      </c>
      <c r="I2270">
        <v>0.179269544395946</v>
      </c>
      <c r="J2270">
        <v>0.17975676696589399</v>
      </c>
      <c r="K2270">
        <v>0.16640046640534201</v>
      </c>
      <c r="L2270">
        <v>14992.7782271047</v>
      </c>
      <c r="M2270">
        <v>250</v>
      </c>
      <c r="N2270">
        <v>60.074732050863602</v>
      </c>
      <c r="O2270">
        <v>59.967275137118897</v>
      </c>
      <c r="P2270">
        <v>-0.85969715921406598</v>
      </c>
      <c r="Q2270">
        <v>0.175140863422238</v>
      </c>
      <c r="R2270">
        <v>0.95574806765634901</v>
      </c>
      <c r="S2270" t="s">
        <v>9273</v>
      </c>
      <c r="T2270" t="s">
        <v>14004</v>
      </c>
      <c r="U2270" t="s">
        <v>14004</v>
      </c>
      <c r="V2270" t="s">
        <v>14004</v>
      </c>
      <c r="W2270" t="s">
        <v>16237</v>
      </c>
      <c r="X2270">
        <v>13</v>
      </c>
      <c r="Y2270" t="s">
        <v>23137</v>
      </c>
      <c r="Z2270" t="s">
        <v>29980</v>
      </c>
      <c r="AA2270">
        <v>0.72433951017285281</v>
      </c>
      <c r="AB2270" t="str">
        <f>HYPERLINK("Melting_Curves/meltCurve_P16278_3_GLB1.pdf", "Melting_Curves/meltCurve_P16278_3_GLB1.pdf")</f>
        <v>Melting_Curves/meltCurve_P16278_3_GLB1.pdf</v>
      </c>
    </row>
    <row r="2271" spans="1:28" x14ac:dyDescent="0.25">
      <c r="A2271" t="s">
        <v>2275</v>
      </c>
      <c r="B2271">
        <v>0.99999676499088797</v>
      </c>
      <c r="C2271">
        <v>0.98308839796951297</v>
      </c>
      <c r="D2271">
        <v>1.03802642469882</v>
      </c>
      <c r="E2271">
        <v>1.0464712652118999</v>
      </c>
      <c r="F2271">
        <v>1.0192219186440099</v>
      </c>
      <c r="G2271">
        <v>0.94494648231578404</v>
      </c>
      <c r="H2271">
        <v>0.70476031020202501</v>
      </c>
      <c r="I2271">
        <v>0.70001106141629299</v>
      </c>
      <c r="J2271">
        <v>0.60683256433771104</v>
      </c>
      <c r="K2271">
        <v>0.74925502619223106</v>
      </c>
      <c r="L2271">
        <v>3701.8134124204398</v>
      </c>
      <c r="M2271">
        <v>63.606289369739898</v>
      </c>
      <c r="O2271">
        <v>58.141412754144497</v>
      </c>
      <c r="P2271">
        <v>-8.6134766154924602E-2</v>
      </c>
      <c r="Q2271">
        <v>0.685062885143077</v>
      </c>
      <c r="R2271">
        <v>0.94245529784101301</v>
      </c>
      <c r="S2271" t="s">
        <v>9274</v>
      </c>
      <c r="T2271" t="s">
        <v>14004</v>
      </c>
      <c r="U2271" t="s">
        <v>14004</v>
      </c>
      <c r="V2271" t="s">
        <v>14004</v>
      </c>
      <c r="W2271" t="s">
        <v>16238</v>
      </c>
      <c r="X2271">
        <v>34</v>
      </c>
      <c r="Y2271" t="s">
        <v>23138</v>
      </c>
      <c r="Z2271" t="s">
        <v>29981</v>
      </c>
      <c r="AA2271">
        <v>0.87661095529348187</v>
      </c>
      <c r="AB2271" t="str">
        <f>HYPERLINK("Melting_Curves/meltCurve_P16284_3_PECAM1.pdf", "Melting_Curves/meltCurve_P16284_3_PECAM1.pdf")</f>
        <v>Melting_Curves/meltCurve_P16284_3_PECAM1.pdf</v>
      </c>
    </row>
    <row r="2272" spans="1:28" x14ac:dyDescent="0.25">
      <c r="A2272" t="s">
        <v>2276</v>
      </c>
      <c r="B2272">
        <v>0.99999676499088797</v>
      </c>
      <c r="C2272">
        <v>0.98764496194085205</v>
      </c>
      <c r="D2272">
        <v>0.95863011022403199</v>
      </c>
      <c r="E2272">
        <v>0.78984422871148297</v>
      </c>
      <c r="F2272">
        <v>0.35156201282914101</v>
      </c>
      <c r="G2272">
        <v>0.16240948716102499</v>
      </c>
      <c r="H2272">
        <v>7.9236594881825106E-2</v>
      </c>
      <c r="I2272">
        <v>9.4396005369750596E-2</v>
      </c>
      <c r="J2272">
        <v>9.6741053057435702E-2</v>
      </c>
      <c r="K2272">
        <v>9.3841573782594306E-2</v>
      </c>
      <c r="L2272">
        <v>1488.26471547297</v>
      </c>
      <c r="M2272">
        <v>28.844253546924499</v>
      </c>
      <c r="N2272">
        <v>51.9501466021879</v>
      </c>
      <c r="O2272">
        <v>51.350501169432803</v>
      </c>
      <c r="P2272">
        <v>-0.12791399999701</v>
      </c>
      <c r="Q2272">
        <v>8.9122477591546498E-2</v>
      </c>
      <c r="R2272">
        <v>0.99930626018268698</v>
      </c>
      <c r="S2272" t="s">
        <v>9275</v>
      </c>
      <c r="T2272" t="s">
        <v>14004</v>
      </c>
      <c r="U2272" t="s">
        <v>14004</v>
      </c>
      <c r="V2272" t="s">
        <v>14004</v>
      </c>
      <c r="W2272" t="s">
        <v>16239</v>
      </c>
      <c r="X2272">
        <v>17</v>
      </c>
      <c r="Y2272" t="s">
        <v>23139</v>
      </c>
      <c r="Z2272" t="s">
        <v>29982</v>
      </c>
      <c r="AA2272">
        <v>0.44747696691015348</v>
      </c>
      <c r="AB2272" t="str">
        <f>HYPERLINK("Melting_Curves/meltCurve_P16298_PPP3CB.pdf", "Melting_Curves/meltCurve_P16298_PPP3CB.pdf")</f>
        <v>Melting_Curves/meltCurve_P16298_PPP3CB.pdf</v>
      </c>
    </row>
    <row r="2273" spans="1:28" x14ac:dyDescent="0.25">
      <c r="A2273" t="s">
        <v>2277</v>
      </c>
      <c r="B2273">
        <v>0.99999676499088797</v>
      </c>
      <c r="C2273">
        <v>0.88080718371074995</v>
      </c>
      <c r="D2273">
        <v>0.68151644918617904</v>
      </c>
      <c r="E2273">
        <v>0.28091868288183203</v>
      </c>
      <c r="F2273">
        <v>0.219208108192714</v>
      </c>
      <c r="G2273">
        <v>0.14013797944763601</v>
      </c>
      <c r="H2273">
        <v>7.1238125177572997E-2</v>
      </c>
      <c r="I2273">
        <v>7.25275043676432E-2</v>
      </c>
      <c r="J2273">
        <v>6.18356655685844E-2</v>
      </c>
      <c r="K2273">
        <v>5.8441107001006E-2</v>
      </c>
      <c r="L2273">
        <v>938.02894913381704</v>
      </c>
      <c r="M2273">
        <v>19.854696061138402</v>
      </c>
      <c r="N2273">
        <v>47.629782341005999</v>
      </c>
      <c r="O2273">
        <v>46.773254577530899</v>
      </c>
      <c r="P2273">
        <v>-9.8256504170680006E-2</v>
      </c>
      <c r="Q2273">
        <v>7.4149006563438494E-2</v>
      </c>
      <c r="R2273">
        <v>0.99257486148646101</v>
      </c>
      <c r="S2273" t="s">
        <v>9276</v>
      </c>
      <c r="T2273" t="s">
        <v>14004</v>
      </c>
      <c r="U2273" t="s">
        <v>14004</v>
      </c>
      <c r="V2273" t="s">
        <v>14004</v>
      </c>
      <c r="W2273" t="s">
        <v>16240</v>
      </c>
      <c r="X2273">
        <v>15</v>
      </c>
      <c r="Y2273" t="s">
        <v>23140</v>
      </c>
      <c r="Z2273" t="s">
        <v>29983</v>
      </c>
      <c r="AA2273">
        <v>0.31137899518468048</v>
      </c>
      <c r="AB2273" t="str">
        <f>HYPERLINK("Melting_Curves/meltCurve_P16333_NCK1.pdf", "Melting_Curves/meltCurve_P16333_NCK1.pdf")</f>
        <v>Melting_Curves/meltCurve_P16333_NCK1.pdf</v>
      </c>
    </row>
    <row r="2274" spans="1:28" x14ac:dyDescent="0.25">
      <c r="A2274" t="s">
        <v>2278</v>
      </c>
      <c r="B2274">
        <v>0.99999676499088797</v>
      </c>
      <c r="C2274">
        <v>0.85831228968108297</v>
      </c>
      <c r="D2274">
        <v>0.44159726405268601</v>
      </c>
      <c r="E2274">
        <v>0.32816107328484101</v>
      </c>
      <c r="F2274">
        <v>0.24299849364773199</v>
      </c>
      <c r="G2274">
        <v>0.175596369534439</v>
      </c>
      <c r="H2274">
        <v>8.2692407573855695E-2</v>
      </c>
      <c r="I2274">
        <v>9.2717174394398499E-2</v>
      </c>
      <c r="J2274">
        <v>8.6445339003496102E-2</v>
      </c>
      <c r="K2274">
        <v>7.9018506759427107E-2</v>
      </c>
      <c r="L2274">
        <v>837.17001516499101</v>
      </c>
      <c r="M2274">
        <v>18.2510286888709</v>
      </c>
      <c r="N2274">
        <v>46.4793898321645</v>
      </c>
      <c r="O2274">
        <v>45.329697875230302</v>
      </c>
      <c r="P2274">
        <v>-8.9946958912946004E-2</v>
      </c>
      <c r="Q2274">
        <v>0.10644423269716401</v>
      </c>
      <c r="R2274">
        <v>0.972663917441978</v>
      </c>
      <c r="S2274" t="s">
        <v>9277</v>
      </c>
      <c r="T2274" t="s">
        <v>14004</v>
      </c>
      <c r="U2274" t="s">
        <v>14004</v>
      </c>
      <c r="V2274" t="s">
        <v>14004</v>
      </c>
      <c r="W2274" t="s">
        <v>16241</v>
      </c>
      <c r="X2274">
        <v>9</v>
      </c>
      <c r="Y2274" t="s">
        <v>23141</v>
      </c>
      <c r="Z2274" t="s">
        <v>29984</v>
      </c>
      <c r="AA2274">
        <v>0.29845471725107409</v>
      </c>
      <c r="AB2274" t="str">
        <f>HYPERLINK("Melting_Curves/meltCurve_P16383_GCFC2.pdf", "Melting_Curves/meltCurve_P16383_GCFC2.pdf")</f>
        <v>Melting_Curves/meltCurve_P16383_GCFC2.pdf</v>
      </c>
    </row>
    <row r="2275" spans="1:28" x14ac:dyDescent="0.25">
      <c r="A2275" t="s">
        <v>2279</v>
      </c>
      <c r="B2275">
        <v>0.99999676499088797</v>
      </c>
      <c r="C2275">
        <v>1.21682491033019</v>
      </c>
      <c r="D2275">
        <v>0.92887358504904205</v>
      </c>
      <c r="E2275">
        <v>1.4235165515619801</v>
      </c>
      <c r="F2275">
        <v>1.28318454350494</v>
      </c>
      <c r="G2275">
        <v>1.03153290909205</v>
      </c>
      <c r="H2275">
        <v>0.61312098576068896</v>
      </c>
      <c r="I2275">
        <v>0.42789119741232101</v>
      </c>
      <c r="J2275">
        <v>0.283179322670564</v>
      </c>
      <c r="K2275">
        <v>0.15497116297889499</v>
      </c>
      <c r="L2275">
        <v>2067.1262677168702</v>
      </c>
      <c r="M2275">
        <v>33.589127685587599</v>
      </c>
      <c r="N2275">
        <v>62.489853426618097</v>
      </c>
      <c r="O2275">
        <v>61.3246213581372</v>
      </c>
      <c r="P2275">
        <v>-0.10959033196720699</v>
      </c>
      <c r="Q2275">
        <v>0.19967463848038899</v>
      </c>
      <c r="R2275">
        <v>0.80992447449130101</v>
      </c>
      <c r="S2275" t="s">
        <v>9278</v>
      </c>
      <c r="T2275" t="s">
        <v>14004</v>
      </c>
      <c r="U2275" t="s">
        <v>14004</v>
      </c>
      <c r="V2275" t="s">
        <v>14004</v>
      </c>
      <c r="W2275" t="s">
        <v>16242</v>
      </c>
      <c r="X2275">
        <v>2</v>
      </c>
      <c r="Y2275" t="s">
        <v>23142</v>
      </c>
      <c r="Z2275" t="s">
        <v>29985</v>
      </c>
      <c r="AA2275">
        <v>0.77803151150702976</v>
      </c>
      <c r="AB2275" t="str">
        <f>HYPERLINK("Melting_Curves/meltCurve_P16389_2_KCNA2.pdf", "Melting_Curves/meltCurve_P16389_2_KCNA2.pdf")</f>
        <v>Melting_Curves/meltCurve_P16389_2_KCNA2.pdf</v>
      </c>
    </row>
    <row r="2276" spans="1:28" x14ac:dyDescent="0.25">
      <c r="A2276" t="s">
        <v>2280</v>
      </c>
      <c r="B2276">
        <v>0.99999676499088797</v>
      </c>
      <c r="C2276">
        <v>1.14712113814552</v>
      </c>
      <c r="D2276">
        <v>1.19761139403129</v>
      </c>
      <c r="E2276">
        <v>0.94930155270754202</v>
      </c>
      <c r="F2276">
        <v>0.68142321959541596</v>
      </c>
      <c r="G2276">
        <v>1.03657426349548</v>
      </c>
      <c r="H2276">
        <v>0.80037036498812497</v>
      </c>
      <c r="I2276">
        <v>0.49547138062480001</v>
      </c>
      <c r="J2276">
        <v>0.35919636422873003</v>
      </c>
      <c r="K2276">
        <v>0.45264714798174299</v>
      </c>
      <c r="L2276">
        <v>3266.1865944768901</v>
      </c>
      <c r="M2276">
        <v>52.996474826894399</v>
      </c>
      <c r="N2276">
        <v>63.6580122505312</v>
      </c>
      <c r="O2276">
        <v>61.542701234170302</v>
      </c>
      <c r="P2276">
        <v>-0.12754073179151201</v>
      </c>
      <c r="Q2276">
        <v>0.40756850255579502</v>
      </c>
      <c r="R2276">
        <v>0.78967095346677796</v>
      </c>
      <c r="S2276" t="s">
        <v>9279</v>
      </c>
      <c r="T2276" t="s">
        <v>14004</v>
      </c>
      <c r="U2276" t="s">
        <v>14004</v>
      </c>
      <c r="V2276" t="s">
        <v>14004</v>
      </c>
      <c r="W2276" t="s">
        <v>16243</v>
      </c>
      <c r="X2276">
        <v>13</v>
      </c>
      <c r="Y2276" t="s">
        <v>23143</v>
      </c>
      <c r="Z2276" t="s">
        <v>29986</v>
      </c>
      <c r="AA2276">
        <v>0.83609465632941549</v>
      </c>
      <c r="AB2276" t="str">
        <f>HYPERLINK("Melting_Curves/meltCurve_P16401_HIST1H1B.pdf", "Melting_Curves/meltCurve_P16401_HIST1H1B.pdf")</f>
        <v>Melting_Curves/meltCurve_P16401_HIST1H1B.pdf</v>
      </c>
    </row>
    <row r="2277" spans="1:28" x14ac:dyDescent="0.25">
      <c r="A2277" t="s">
        <v>2281</v>
      </c>
      <c r="B2277">
        <v>0.99999676499088797</v>
      </c>
      <c r="C2277">
        <v>1.0450059273886401</v>
      </c>
      <c r="D2277">
        <v>1.0624268435530999</v>
      </c>
      <c r="E2277">
        <v>1.10046134532752</v>
      </c>
      <c r="F2277">
        <v>0.67026503240396695</v>
      </c>
      <c r="G2277">
        <v>0.32754361853365099</v>
      </c>
      <c r="H2277">
        <v>9.7041698260846507E-2</v>
      </c>
      <c r="I2277">
        <v>8.6434509303113305E-2</v>
      </c>
      <c r="J2277">
        <v>8.0586642539527395E-2</v>
      </c>
      <c r="K2277">
        <v>6.7199277288253298E-2</v>
      </c>
      <c r="L2277">
        <v>1742.7615198825599</v>
      </c>
      <c r="M2277">
        <v>31.8957192365203</v>
      </c>
      <c r="N2277">
        <v>54.923478532580397</v>
      </c>
      <c r="O2277">
        <v>54.4259398790254</v>
      </c>
      <c r="P2277">
        <v>-0.13536799335841601</v>
      </c>
      <c r="Q2277">
        <v>7.6052833040995194E-2</v>
      </c>
      <c r="R2277">
        <v>0.98487584415495999</v>
      </c>
      <c r="S2277" t="s">
        <v>9280</v>
      </c>
      <c r="T2277" t="s">
        <v>14004</v>
      </c>
      <c r="U2277" t="s">
        <v>14004</v>
      </c>
      <c r="V2277" t="s">
        <v>14004</v>
      </c>
      <c r="W2277" t="s">
        <v>16244</v>
      </c>
      <c r="X2277">
        <v>29</v>
      </c>
      <c r="Y2277" t="s">
        <v>23144</v>
      </c>
      <c r="Z2277" t="s">
        <v>29987</v>
      </c>
      <c r="AA2277">
        <v>0.5323512960285518</v>
      </c>
      <c r="AB2277" t="str">
        <f>HYPERLINK("Melting_Curves/meltCurve_P16435_POR.pdf", "Melting_Curves/meltCurve_P16435_POR.pdf")</f>
        <v>Melting_Curves/meltCurve_P16435_POR.pdf</v>
      </c>
    </row>
    <row r="2278" spans="1:28" x14ac:dyDescent="0.25">
      <c r="A2278" t="s">
        <v>2282</v>
      </c>
      <c r="B2278">
        <v>0.99999676499088797</v>
      </c>
      <c r="C2278">
        <v>0.83365824353930396</v>
      </c>
      <c r="D2278">
        <v>0.64020549079594702</v>
      </c>
      <c r="E2278">
        <v>0.35581360784398602</v>
      </c>
      <c r="F2278">
        <v>0.16576122716769601</v>
      </c>
      <c r="G2278">
        <v>9.01555957307862E-2</v>
      </c>
      <c r="H2278">
        <v>4.8949934518432402E-2</v>
      </c>
      <c r="I2278">
        <v>4.0676750464366002E-2</v>
      </c>
      <c r="J2278">
        <v>3.1536609913199898E-2</v>
      </c>
      <c r="K2278">
        <v>3.6801648125175897E-2</v>
      </c>
      <c r="L2278">
        <v>782.44724410991398</v>
      </c>
      <c r="M2278">
        <v>16.4780530538502</v>
      </c>
      <c r="N2278">
        <v>47.645292852661697</v>
      </c>
      <c r="O2278">
        <v>46.8014142946082</v>
      </c>
      <c r="P2278">
        <v>-8.5642563473358302E-2</v>
      </c>
      <c r="Q2278">
        <v>2.7091075400070299E-2</v>
      </c>
      <c r="R2278">
        <v>0.99797045302865295</v>
      </c>
      <c r="S2278" t="s">
        <v>9281</v>
      </c>
      <c r="T2278" t="s">
        <v>14004</v>
      </c>
      <c r="U2278" t="s">
        <v>14004</v>
      </c>
      <c r="V2278" t="s">
        <v>14004</v>
      </c>
      <c r="W2278" t="s">
        <v>16245</v>
      </c>
      <c r="X2278">
        <v>5</v>
      </c>
      <c r="Y2278" t="s">
        <v>23145</v>
      </c>
      <c r="Z2278" t="s">
        <v>29988</v>
      </c>
      <c r="AA2278">
        <v>0.29098584658792048</v>
      </c>
      <c r="AB2278" t="str">
        <f>HYPERLINK("Melting_Curves/meltCurve_P16455_MGMT.pdf", "Melting_Curves/meltCurve_P16455_MGMT.pdf")</f>
        <v>Melting_Curves/meltCurve_P16455_MGMT.pdf</v>
      </c>
    </row>
    <row r="2279" spans="1:28" x14ac:dyDescent="0.25">
      <c r="A2279" t="s">
        <v>2283</v>
      </c>
      <c r="B2279">
        <v>0.99999676499088797</v>
      </c>
      <c r="C2279">
        <v>0.95657127163146105</v>
      </c>
      <c r="D2279">
        <v>0.73280827027433104</v>
      </c>
      <c r="E2279">
        <v>0.261441491053237</v>
      </c>
      <c r="F2279">
        <v>0.222944932091176</v>
      </c>
      <c r="G2279">
        <v>0.195273714309354</v>
      </c>
      <c r="H2279">
        <v>0.102925494377284</v>
      </c>
      <c r="I2279">
        <v>9.7793429713520702E-2</v>
      </c>
      <c r="J2279">
        <v>8.5586248724869807E-2</v>
      </c>
      <c r="K2279">
        <v>7.1959646014001205E-2</v>
      </c>
      <c r="L2279">
        <v>1342.09167423036</v>
      </c>
      <c r="M2279">
        <v>28.407045676831501</v>
      </c>
      <c r="N2279">
        <v>47.692922636672499</v>
      </c>
      <c r="O2279">
        <v>47.012733039478398</v>
      </c>
      <c r="P2279">
        <v>-0.133375677297218</v>
      </c>
      <c r="Q2279">
        <v>0.11707713125071</v>
      </c>
      <c r="R2279">
        <v>0.98777810789647302</v>
      </c>
      <c r="S2279" t="s">
        <v>9282</v>
      </c>
      <c r="T2279" t="s">
        <v>14004</v>
      </c>
      <c r="U2279" t="s">
        <v>14004</v>
      </c>
      <c r="V2279" t="s">
        <v>14004</v>
      </c>
      <c r="W2279" t="s">
        <v>16246</v>
      </c>
      <c r="X2279">
        <v>10</v>
      </c>
      <c r="Y2279" t="s">
        <v>23146</v>
      </c>
      <c r="Z2279" t="s">
        <v>29989</v>
      </c>
      <c r="AA2279">
        <v>0.33625451689227781</v>
      </c>
      <c r="AB2279" t="str">
        <f>HYPERLINK("Melting_Curves/meltCurve_P16591_3_FER.pdf", "Melting_Curves/meltCurve_P16591_3_FER.pdf")</f>
        <v>Melting_Curves/meltCurve_P16591_3_FER.pdf</v>
      </c>
    </row>
    <row r="2280" spans="1:28" x14ac:dyDescent="0.25">
      <c r="A2280" t="s">
        <v>2284</v>
      </c>
      <c r="B2280">
        <v>0.99999676499088797</v>
      </c>
      <c r="C2280">
        <v>1.0544759042916301</v>
      </c>
      <c r="D2280">
        <v>1.11440109913917</v>
      </c>
      <c r="E2280">
        <v>1.19309348985287</v>
      </c>
      <c r="F2280">
        <v>0.360561685413333</v>
      </c>
      <c r="G2280">
        <v>0.155910106721077</v>
      </c>
      <c r="H2280">
        <v>7.3984076826372799E-2</v>
      </c>
      <c r="I2280">
        <v>6.6852252675230303E-2</v>
      </c>
      <c r="J2280">
        <v>6.6020274304221097E-2</v>
      </c>
      <c r="K2280">
        <v>5.7098396990480603E-2</v>
      </c>
      <c r="L2280">
        <v>13255.415293625199</v>
      </c>
      <c r="M2280">
        <v>250</v>
      </c>
      <c r="N2280">
        <v>53.0606838154185</v>
      </c>
      <c r="O2280">
        <v>53.0182704587355</v>
      </c>
      <c r="P2280">
        <v>-1.0798483128751299</v>
      </c>
      <c r="Q2280">
        <v>8.3973002608160097E-2</v>
      </c>
      <c r="R2280">
        <v>0.97398706718194406</v>
      </c>
      <c r="S2280" t="s">
        <v>9283</v>
      </c>
      <c r="T2280" t="s">
        <v>14004</v>
      </c>
      <c r="U2280" t="s">
        <v>14004</v>
      </c>
      <c r="V2280" t="s">
        <v>14004</v>
      </c>
      <c r="W2280" t="s">
        <v>16247</v>
      </c>
      <c r="X2280">
        <v>39</v>
      </c>
      <c r="Y2280" t="s">
        <v>23147</v>
      </c>
      <c r="Z2280" t="s">
        <v>29990</v>
      </c>
      <c r="AA2280">
        <v>0.48166468048424332</v>
      </c>
      <c r="AB2280" t="str">
        <f>HYPERLINK("Melting_Curves/meltCurve_P16615_ATP2A2.pdf", "Melting_Curves/meltCurve_P16615_ATP2A2.pdf")</f>
        <v>Melting_Curves/meltCurve_P16615_ATP2A2.pdf</v>
      </c>
    </row>
    <row r="2281" spans="1:28" x14ac:dyDescent="0.25">
      <c r="A2281" t="s">
        <v>2285</v>
      </c>
      <c r="B2281">
        <v>0.99999676499088797</v>
      </c>
      <c r="C2281">
        <v>0.89283043307069399</v>
      </c>
      <c r="D2281">
        <v>0.38416009494647801</v>
      </c>
      <c r="E2281">
        <v>0.19727887216227899</v>
      </c>
      <c r="F2281">
        <v>0.20180720659728801</v>
      </c>
      <c r="G2281">
        <v>0.109267033909967</v>
      </c>
      <c r="H2281">
        <v>6.0970674932477299E-2</v>
      </c>
      <c r="I2281">
        <v>5.98501421178885E-2</v>
      </c>
      <c r="J2281">
        <v>5.4155232909294998E-2</v>
      </c>
      <c r="K2281">
        <v>4.5981036090546198E-2</v>
      </c>
      <c r="L2281">
        <v>1476.73430774292</v>
      </c>
      <c r="M2281">
        <v>32.693643407060499</v>
      </c>
      <c r="N2281">
        <v>45.456989888071099</v>
      </c>
      <c r="O2281">
        <v>45.000868087750298</v>
      </c>
      <c r="P2281">
        <v>-0.164630808709707</v>
      </c>
      <c r="Q2281">
        <v>9.3585950918039507E-2</v>
      </c>
      <c r="R2281">
        <v>0.98079073729891897</v>
      </c>
      <c r="S2281" t="s">
        <v>9284</v>
      </c>
      <c r="T2281" t="s">
        <v>14004</v>
      </c>
      <c r="U2281" t="s">
        <v>14004</v>
      </c>
      <c r="V2281" t="s">
        <v>14004</v>
      </c>
      <c r="W2281" t="s">
        <v>16248</v>
      </c>
      <c r="X2281">
        <v>15</v>
      </c>
      <c r="Y2281" t="s">
        <v>23148</v>
      </c>
      <c r="Z2281" t="s">
        <v>29991</v>
      </c>
      <c r="AA2281">
        <v>0.2544634902255527</v>
      </c>
      <c r="AB2281" t="str">
        <f>HYPERLINK("Melting_Curves/meltCurve_P16885_PLCG2.pdf", "Melting_Curves/meltCurve_P16885_PLCG2.pdf")</f>
        <v>Melting_Curves/meltCurve_P16885_PLCG2.pdf</v>
      </c>
    </row>
    <row r="2282" spans="1:28" x14ac:dyDescent="0.25">
      <c r="A2282" t="s">
        <v>2286</v>
      </c>
      <c r="B2282">
        <v>0.99999676499088797</v>
      </c>
      <c r="C2282">
        <v>0.97399768579883605</v>
      </c>
      <c r="D2282">
        <v>0.95202327923723795</v>
      </c>
      <c r="E2282">
        <v>0.90688644416970998</v>
      </c>
      <c r="F2282">
        <v>0.94175186679041001</v>
      </c>
      <c r="G2282">
        <v>0.80339711079882903</v>
      </c>
      <c r="H2282">
        <v>0.59660022888561504</v>
      </c>
      <c r="I2282">
        <v>0.59106434373518102</v>
      </c>
      <c r="J2282">
        <v>0.51227630315969497</v>
      </c>
      <c r="K2282">
        <v>0.40333233755901898</v>
      </c>
      <c r="L2282">
        <v>617.49304431536098</v>
      </c>
      <c r="M2282">
        <v>9.8885372215946106</v>
      </c>
      <c r="N2282">
        <v>66.4249322123121</v>
      </c>
      <c r="O2282">
        <v>60.052431260652597</v>
      </c>
      <c r="P2282">
        <v>-3.19814174603026E-2</v>
      </c>
      <c r="Q2282">
        <v>0.22351008295139899</v>
      </c>
      <c r="R2282">
        <v>0.97159228915282203</v>
      </c>
      <c r="S2282" t="s">
        <v>9285</v>
      </c>
      <c r="T2282" t="s">
        <v>14004</v>
      </c>
      <c r="U2282" t="s">
        <v>14004</v>
      </c>
      <c r="V2282" t="s">
        <v>14004</v>
      </c>
      <c r="W2282" t="s">
        <v>16249</v>
      </c>
      <c r="X2282">
        <v>18</v>
      </c>
      <c r="Y2282" t="s">
        <v>23149</v>
      </c>
      <c r="Z2282" t="s">
        <v>29992</v>
      </c>
      <c r="AA2282">
        <v>0.78405017192874915</v>
      </c>
      <c r="AB2282" t="str">
        <f>HYPERLINK("Melting_Curves/meltCurve_P16930_FAH.pdf", "Melting_Curves/meltCurve_P16930_FAH.pdf")</f>
        <v>Melting_Curves/meltCurve_P16930_FAH.pdf</v>
      </c>
    </row>
    <row r="2283" spans="1:28" x14ac:dyDescent="0.25">
      <c r="A2283" t="s">
        <v>2287</v>
      </c>
      <c r="B2283">
        <v>0.99999676499088797</v>
      </c>
      <c r="C2283">
        <v>0.72123501685505997</v>
      </c>
      <c r="D2283">
        <v>0.92009231600028296</v>
      </c>
      <c r="E2283">
        <v>0.63621154015369297</v>
      </c>
      <c r="F2283">
        <v>0.58893724953224402</v>
      </c>
      <c r="G2283">
        <v>0.60348764430111601</v>
      </c>
      <c r="H2283">
        <v>0.45039570415427499</v>
      </c>
      <c r="I2283">
        <v>0.50959534618987001</v>
      </c>
      <c r="J2283">
        <v>0.49047486818575797</v>
      </c>
      <c r="K2283">
        <v>0.36757872817287501</v>
      </c>
      <c r="L2283">
        <v>378.14516617925699</v>
      </c>
      <c r="M2283">
        <v>7.4965125307954903</v>
      </c>
      <c r="N2283">
        <v>60.546457942987601</v>
      </c>
      <c r="O2283">
        <v>47.227530663036902</v>
      </c>
      <c r="P2283">
        <v>-2.5557361312300901E-2</v>
      </c>
      <c r="Q2283">
        <v>0.35688754686794699</v>
      </c>
      <c r="R2283">
        <v>0.83363335896066904</v>
      </c>
      <c r="S2283" t="s">
        <v>9286</v>
      </c>
      <c r="T2283" t="s">
        <v>14004</v>
      </c>
      <c r="U2283" t="s">
        <v>14004</v>
      </c>
      <c r="V2283" t="s">
        <v>14004</v>
      </c>
      <c r="W2283" t="s">
        <v>14246</v>
      </c>
      <c r="X2283">
        <v>35</v>
      </c>
      <c r="Y2283" t="s">
        <v>20951</v>
      </c>
      <c r="Z2283" t="s">
        <v>29993</v>
      </c>
      <c r="AA2283">
        <v>0.61987460797501215</v>
      </c>
      <c r="AB2283" t="str">
        <f>HYPERLINK("Melting_Curves/meltCurve_P16949_STMN1.pdf", "Melting_Curves/meltCurve_P16949_STMN1.pdf")</f>
        <v>Melting_Curves/meltCurve_P16949_STMN1.pdf</v>
      </c>
    </row>
    <row r="2284" spans="1:28" x14ac:dyDescent="0.25">
      <c r="A2284" t="s">
        <v>2288</v>
      </c>
      <c r="B2284">
        <v>0.99999676499088797</v>
      </c>
      <c r="C2284">
        <v>1.04097898955017</v>
      </c>
      <c r="D2284">
        <v>1.07300721293436</v>
      </c>
      <c r="E2284">
        <v>1.0293842938597899</v>
      </c>
      <c r="F2284">
        <v>0.92916676854535596</v>
      </c>
      <c r="G2284">
        <v>0.72782224579270305</v>
      </c>
      <c r="H2284">
        <v>0.54530415664097298</v>
      </c>
      <c r="I2284">
        <v>0.39144076860461102</v>
      </c>
      <c r="J2284">
        <v>0.35838937867344201</v>
      </c>
      <c r="K2284">
        <v>0.53166834934618501</v>
      </c>
      <c r="L2284">
        <v>1692.36732030607</v>
      </c>
      <c r="M2284">
        <v>29.658424406981599</v>
      </c>
      <c r="N2284">
        <v>61.037414975720303</v>
      </c>
      <c r="O2284">
        <v>56.804408908014899</v>
      </c>
      <c r="P2284">
        <v>-7.4721685713424094E-2</v>
      </c>
      <c r="Q2284">
        <v>0.42754986976382298</v>
      </c>
      <c r="R2284">
        <v>0.95973220534769699</v>
      </c>
      <c r="S2284" t="s">
        <v>9287</v>
      </c>
      <c r="T2284" t="s">
        <v>14004</v>
      </c>
      <c r="U2284" t="s">
        <v>14004</v>
      </c>
      <c r="V2284" t="s">
        <v>14004</v>
      </c>
      <c r="W2284" t="s">
        <v>16250</v>
      </c>
      <c r="X2284">
        <v>11</v>
      </c>
      <c r="Y2284" t="s">
        <v>23150</v>
      </c>
      <c r="Z2284" t="s">
        <v>29994</v>
      </c>
      <c r="AA2284">
        <v>0.75700773290528212</v>
      </c>
      <c r="AB2284" t="str">
        <f>HYPERLINK("Melting_Curves/meltCurve_P16989_YBX3.pdf", "Melting_Curves/meltCurve_P16989_YBX3.pdf")</f>
        <v>Melting_Curves/meltCurve_P16989_YBX3.pdf</v>
      </c>
    </row>
    <row r="2285" spans="1:28" x14ac:dyDescent="0.25">
      <c r="A2285" t="s">
        <v>2289</v>
      </c>
      <c r="B2285">
        <v>0.99999676499088797</v>
      </c>
      <c r="C2285">
        <v>1.0101047149878399</v>
      </c>
      <c r="D2285">
        <v>0.96029514148925599</v>
      </c>
      <c r="E2285">
        <v>0.48825621174914302</v>
      </c>
      <c r="F2285">
        <v>0.27766027380560299</v>
      </c>
      <c r="G2285">
        <v>0.30975978356059802</v>
      </c>
      <c r="H2285">
        <v>0.189005971153551</v>
      </c>
      <c r="I2285">
        <v>0.25493000925540399</v>
      </c>
      <c r="J2285">
        <v>0.24228153067282901</v>
      </c>
      <c r="K2285">
        <v>8.5474571242589198E-2</v>
      </c>
      <c r="L2285">
        <v>1961.2916365951601</v>
      </c>
      <c r="M2285">
        <v>40.122161848941801</v>
      </c>
      <c r="N2285">
        <v>49.599389056530597</v>
      </c>
      <c r="O2285">
        <v>48.762034560712699</v>
      </c>
      <c r="P2285">
        <v>-0.16046743828006901</v>
      </c>
      <c r="Q2285">
        <v>0.219912122486002</v>
      </c>
      <c r="R2285">
        <v>0.97514618812957599</v>
      </c>
      <c r="S2285" t="s">
        <v>9288</v>
      </c>
      <c r="T2285" t="s">
        <v>14004</v>
      </c>
      <c r="U2285" t="s">
        <v>14004</v>
      </c>
      <c r="V2285" t="s">
        <v>14004</v>
      </c>
      <c r="W2285" t="s">
        <v>16251</v>
      </c>
      <c r="X2285">
        <v>2</v>
      </c>
      <c r="Y2285" t="s">
        <v>23151</v>
      </c>
      <c r="Z2285" t="s">
        <v>29995</v>
      </c>
      <c r="AA2285">
        <v>0.45351895873794218</v>
      </c>
      <c r="AB2285" t="str">
        <f>HYPERLINK("Melting_Curves/meltCurve_P17026_ZNF22.pdf", "Melting_Curves/meltCurve_P17026_ZNF22.pdf")</f>
        <v>Melting_Curves/meltCurve_P17026_ZNF22.pdf</v>
      </c>
    </row>
    <row r="2286" spans="1:28" x14ac:dyDescent="0.25">
      <c r="A2286" t="s">
        <v>2290</v>
      </c>
      <c r="B2286">
        <v>0.99999676499088797</v>
      </c>
      <c r="C2286">
        <v>1.0113879056255899</v>
      </c>
      <c r="D2286">
        <v>0.81385484852500101</v>
      </c>
      <c r="E2286">
        <v>0.65866467868333101</v>
      </c>
      <c r="F2286">
        <v>0.40689920003074698</v>
      </c>
      <c r="G2286">
        <v>0.27335397365610598</v>
      </c>
      <c r="H2286">
        <v>0.103764549932494</v>
      </c>
      <c r="I2286">
        <v>0.119937970807229</v>
      </c>
      <c r="J2286">
        <v>0.12554616170070601</v>
      </c>
      <c r="K2286">
        <v>0.116448555685114</v>
      </c>
      <c r="L2286">
        <v>798.434818600124</v>
      </c>
      <c r="M2286">
        <v>15.633834100678</v>
      </c>
      <c r="N2286">
        <v>51.713453952555099</v>
      </c>
      <c r="O2286">
        <v>50.257256794436799</v>
      </c>
      <c r="P2286">
        <v>-7.0910518010117898E-2</v>
      </c>
      <c r="Q2286">
        <v>8.8269198671775198E-2</v>
      </c>
      <c r="R2286">
        <v>0.992225390089991</v>
      </c>
      <c r="S2286" t="s">
        <v>9289</v>
      </c>
      <c r="T2286" t="s">
        <v>14004</v>
      </c>
      <c r="U2286" t="s">
        <v>14004</v>
      </c>
      <c r="V2286" t="s">
        <v>14004</v>
      </c>
      <c r="W2286" t="s">
        <v>16252</v>
      </c>
      <c r="X2286">
        <v>8</v>
      </c>
      <c r="Y2286" t="s">
        <v>23152</v>
      </c>
      <c r="Z2286" t="s">
        <v>29996</v>
      </c>
      <c r="AA2286">
        <v>0.44434628441850837</v>
      </c>
      <c r="AB2286" t="str">
        <f>HYPERLINK("Melting_Curves/meltCurve_P17028_ZNF24.pdf", "Melting_Curves/meltCurve_P17028_ZNF24.pdf")</f>
        <v>Melting_Curves/meltCurve_P17028_ZNF24.pdf</v>
      </c>
    </row>
    <row r="2287" spans="1:28" x14ac:dyDescent="0.25">
      <c r="A2287" t="s">
        <v>2291</v>
      </c>
      <c r="B2287">
        <v>0.99999676499088797</v>
      </c>
      <c r="C2287">
        <v>0.99378859283812604</v>
      </c>
      <c r="D2287">
        <v>0.94620761752084603</v>
      </c>
      <c r="E2287">
        <v>1.1425489556647499</v>
      </c>
      <c r="F2287">
        <v>1.1629650082324099</v>
      </c>
      <c r="G2287">
        <v>0.944571872587879</v>
      </c>
      <c r="H2287">
        <v>0.40710682218557998</v>
      </c>
      <c r="I2287">
        <v>0.16943723202359701</v>
      </c>
      <c r="J2287">
        <v>0.121555208672462</v>
      </c>
      <c r="K2287">
        <v>0.115419877185061</v>
      </c>
      <c r="L2287">
        <v>3028.2112726086398</v>
      </c>
      <c r="M2287">
        <v>50.5259753403693</v>
      </c>
      <c r="N2287">
        <v>60.267123355678699</v>
      </c>
      <c r="O2287">
        <v>59.840098094145901</v>
      </c>
      <c r="P2287">
        <v>-0.185353019370636</v>
      </c>
      <c r="Q2287">
        <v>0.121914462708882</v>
      </c>
      <c r="R2287">
        <v>0.97111070802704502</v>
      </c>
      <c r="S2287" t="s">
        <v>9290</v>
      </c>
      <c r="T2287" t="s">
        <v>14004</v>
      </c>
      <c r="U2287" t="s">
        <v>14004</v>
      </c>
      <c r="V2287" t="s">
        <v>14004</v>
      </c>
      <c r="W2287" t="s">
        <v>16253</v>
      </c>
      <c r="X2287">
        <v>8</v>
      </c>
      <c r="Y2287" t="s">
        <v>23153</v>
      </c>
      <c r="Z2287" t="s">
        <v>29997</v>
      </c>
      <c r="AA2287">
        <v>0.70760408233671079</v>
      </c>
      <c r="AB2287" t="str">
        <f>HYPERLINK("Melting_Curves/meltCurve_P17050_NAGA.pdf", "Melting_Curves/meltCurve_P17050_NAGA.pdf")</f>
        <v>Melting_Curves/meltCurve_P17050_NAGA.pdf</v>
      </c>
    </row>
    <row r="2288" spans="1:28" x14ac:dyDescent="0.25">
      <c r="A2288" t="s">
        <v>2292</v>
      </c>
      <c r="B2288">
        <v>0.99999676499088797</v>
      </c>
      <c r="C2288">
        <v>1.22297481970935</v>
      </c>
      <c r="D2288">
        <v>0.897229082947269</v>
      </c>
      <c r="E2288">
        <v>0.57368832750014598</v>
      </c>
      <c r="F2288">
        <v>0.66005448866571503</v>
      </c>
      <c r="G2288">
        <v>0.60246985055915303</v>
      </c>
      <c r="H2288">
        <v>0.24782273116663101</v>
      </c>
      <c r="I2288">
        <v>9.6622987137312794E-2</v>
      </c>
      <c r="J2288">
        <v>8.7031803567808499E-2</v>
      </c>
      <c r="K2288">
        <v>9.5386570103968102E-2</v>
      </c>
      <c r="L2288">
        <v>632.92527503474105</v>
      </c>
      <c r="M2288">
        <v>11.3960841020111</v>
      </c>
      <c r="N2288">
        <v>55.538838548491697</v>
      </c>
      <c r="O2288">
        <v>53.911173378740102</v>
      </c>
      <c r="P2288">
        <v>-5.28621317808423E-2</v>
      </c>
      <c r="Q2288">
        <v>0</v>
      </c>
      <c r="R2288">
        <v>0.89808930389135</v>
      </c>
      <c r="S2288" t="s">
        <v>9291</v>
      </c>
      <c r="T2288" t="s">
        <v>14004</v>
      </c>
      <c r="U2288" t="s">
        <v>14004</v>
      </c>
      <c r="V2288" t="s">
        <v>14004</v>
      </c>
      <c r="W2288" t="s">
        <v>16254</v>
      </c>
      <c r="X2288">
        <v>17</v>
      </c>
      <c r="Y2288" t="s">
        <v>23154</v>
      </c>
      <c r="Z2288" t="s">
        <v>29998</v>
      </c>
      <c r="AA2288">
        <v>0.54037507329392009</v>
      </c>
      <c r="AB2288" t="str">
        <f>HYPERLINK("Melting_Curves/meltCurve_P17066_HSPA6.pdf", "Melting_Curves/meltCurve_P17066_HSPA6.pdf")</f>
        <v>Melting_Curves/meltCurve_P17066_HSPA6.pdf</v>
      </c>
    </row>
    <row r="2289" spans="1:28" x14ac:dyDescent="0.25">
      <c r="A2289" t="s">
        <v>2293</v>
      </c>
      <c r="B2289">
        <v>0.99999676499088797</v>
      </c>
      <c r="C2289">
        <v>1.20630168922673</v>
      </c>
      <c r="D2289">
        <v>1.1761608986179799</v>
      </c>
      <c r="E2289">
        <v>0.80360030718702602</v>
      </c>
      <c r="F2289">
        <v>0.43955704039584798</v>
      </c>
      <c r="G2289">
        <v>0.90931209205869401</v>
      </c>
      <c r="H2289">
        <v>0.66596001554866802</v>
      </c>
      <c r="I2289">
        <v>0.71970891497362</v>
      </c>
      <c r="J2289">
        <v>0.57060699734145603</v>
      </c>
      <c r="K2289">
        <v>0.52175583234929301</v>
      </c>
      <c r="L2289">
        <v>12391.5943155638</v>
      </c>
      <c r="M2289">
        <v>250</v>
      </c>
      <c r="O2289">
        <v>49.563203668697099</v>
      </c>
      <c r="P2289">
        <v>-0.45671882669068697</v>
      </c>
      <c r="Q2289">
        <v>0.63781681655834399</v>
      </c>
      <c r="R2289">
        <v>0.67009362039299902</v>
      </c>
      <c r="S2289" t="s">
        <v>9292</v>
      </c>
      <c r="T2289" t="s">
        <v>14004</v>
      </c>
      <c r="U2289" t="s">
        <v>14004</v>
      </c>
      <c r="V2289" t="s">
        <v>14004</v>
      </c>
      <c r="W2289" t="s">
        <v>16255</v>
      </c>
      <c r="X2289">
        <v>5</v>
      </c>
      <c r="Y2289" t="s">
        <v>23155</v>
      </c>
      <c r="Z2289" t="s">
        <v>29999</v>
      </c>
      <c r="AA2289">
        <v>0.75334102125727631</v>
      </c>
      <c r="AB2289" t="str">
        <f>HYPERLINK("Melting_Curves/meltCurve_P17096_HMGA1.pdf", "Melting_Curves/meltCurve_P17096_HMGA1.pdf")</f>
        <v>Melting_Curves/meltCurve_P17096_HMGA1.pdf</v>
      </c>
    </row>
    <row r="2290" spans="1:28" x14ac:dyDescent="0.25">
      <c r="A2290" t="s">
        <v>2294</v>
      </c>
      <c r="B2290">
        <v>0.99999676499088797</v>
      </c>
      <c r="C2290">
        <v>0.95484029499831102</v>
      </c>
      <c r="D2290">
        <v>0.89007914714026004</v>
      </c>
      <c r="E2290">
        <v>0.57125843435089096</v>
      </c>
      <c r="F2290">
        <v>0.42193305233890399</v>
      </c>
      <c r="G2290">
        <v>0.25849804580276198</v>
      </c>
      <c r="H2290">
        <v>0.132880286207639</v>
      </c>
      <c r="I2290">
        <v>0.17251854607955899</v>
      </c>
      <c r="J2290">
        <v>0.18592386206900099</v>
      </c>
      <c r="K2290">
        <v>0.20189685670111199</v>
      </c>
      <c r="L2290">
        <v>914.63012203873302</v>
      </c>
      <c r="M2290">
        <v>18.279649321160999</v>
      </c>
      <c r="N2290">
        <v>51.160595188485303</v>
      </c>
      <c r="O2290">
        <v>49.4481488807536</v>
      </c>
      <c r="P2290">
        <v>-7.7125339053701295E-2</v>
      </c>
      <c r="Q2290">
        <v>0.165513962837262</v>
      </c>
      <c r="R2290">
        <v>0.99042288478556295</v>
      </c>
      <c r="S2290" t="s">
        <v>9293</v>
      </c>
      <c r="T2290" t="s">
        <v>14004</v>
      </c>
      <c r="U2290" t="s">
        <v>14004</v>
      </c>
      <c r="V2290" t="s">
        <v>14004</v>
      </c>
      <c r="W2290" t="s">
        <v>16256</v>
      </c>
      <c r="X2290">
        <v>4</v>
      </c>
      <c r="Y2290" t="s">
        <v>23156</v>
      </c>
      <c r="Z2290" t="s">
        <v>30000</v>
      </c>
      <c r="AA2290">
        <v>0.45847532708957828</v>
      </c>
      <c r="AB2290" t="str">
        <f>HYPERLINK("Melting_Curves/meltCurve_P17098_ZNF8.pdf", "Melting_Curves/meltCurve_P17098_ZNF8.pdf")</f>
        <v>Melting_Curves/meltCurve_P17098_ZNF8.pdf</v>
      </c>
    </row>
    <row r="2291" spans="1:28" x14ac:dyDescent="0.25">
      <c r="A2291" t="s">
        <v>2295</v>
      </c>
      <c r="B2291">
        <v>0.99999676499088797</v>
      </c>
      <c r="C2291">
        <v>1.0551870701952899</v>
      </c>
      <c r="D2291">
        <v>1.03899375025187</v>
      </c>
      <c r="E2291">
        <v>1.0419752561801201</v>
      </c>
      <c r="F2291">
        <v>0.71021055400340205</v>
      </c>
      <c r="G2291">
        <v>0.34405713371056101</v>
      </c>
      <c r="H2291">
        <v>0.14911424032409001</v>
      </c>
      <c r="I2291">
        <v>0.14998569671701101</v>
      </c>
      <c r="J2291">
        <v>0.172862675518341</v>
      </c>
      <c r="K2291">
        <v>0.12402658636934499</v>
      </c>
      <c r="L2291">
        <v>1830.8798090502</v>
      </c>
      <c r="M2291">
        <v>33.5938377835894</v>
      </c>
      <c r="N2291">
        <v>55.0583301773774</v>
      </c>
      <c r="O2291">
        <v>54.308428765119103</v>
      </c>
      <c r="P2291">
        <v>-0.13233677550533801</v>
      </c>
      <c r="Q2291">
        <v>0.14425109268500499</v>
      </c>
      <c r="R2291">
        <v>0.99215034530684398</v>
      </c>
      <c r="S2291" t="s">
        <v>9294</v>
      </c>
      <c r="T2291" t="s">
        <v>14004</v>
      </c>
      <c r="U2291" t="s">
        <v>14004</v>
      </c>
      <c r="V2291" t="s">
        <v>14004</v>
      </c>
      <c r="W2291" t="s">
        <v>16257</v>
      </c>
      <c r="X2291">
        <v>3</v>
      </c>
      <c r="Y2291" t="s">
        <v>23157</v>
      </c>
      <c r="Z2291" t="s">
        <v>30001</v>
      </c>
      <c r="AA2291">
        <v>0.56241673164618267</v>
      </c>
      <c r="AB2291" t="str">
        <f>HYPERLINK("Melting_Curves/meltCurve_P17152_TMEM11.pdf", "Melting_Curves/meltCurve_P17152_TMEM11.pdf")</f>
        <v>Melting_Curves/meltCurve_P17152_TMEM11.pdf</v>
      </c>
    </row>
    <row r="2292" spans="1:28" x14ac:dyDescent="0.25">
      <c r="A2292" t="s">
        <v>2296</v>
      </c>
      <c r="B2292">
        <v>0.99999676499088797</v>
      </c>
      <c r="C2292">
        <v>1.0376069858104799</v>
      </c>
      <c r="D2292">
        <v>1.04101772059304</v>
      </c>
      <c r="E2292">
        <v>1.00789616223333</v>
      </c>
      <c r="F2292">
        <v>0.96833158451830303</v>
      </c>
      <c r="G2292">
        <v>0.95751431534630904</v>
      </c>
      <c r="H2292">
        <v>0.66171217107062996</v>
      </c>
      <c r="I2292">
        <v>0.67973427179772705</v>
      </c>
      <c r="J2292">
        <v>0.56928015569972701</v>
      </c>
      <c r="K2292">
        <v>0.44940424377917798</v>
      </c>
      <c r="L2292">
        <v>1109.66904017053</v>
      </c>
      <c r="M2292">
        <v>17.969049098984399</v>
      </c>
      <c r="N2292">
        <v>69.051897078244096</v>
      </c>
      <c r="O2292">
        <v>61.004866242012099</v>
      </c>
      <c r="P2292">
        <v>-4.2333580618968102E-2</v>
      </c>
      <c r="Q2292">
        <v>0.42513905520772499</v>
      </c>
      <c r="R2292">
        <v>0.95414351740192704</v>
      </c>
      <c r="S2292" t="s">
        <v>9295</v>
      </c>
      <c r="T2292" t="s">
        <v>14004</v>
      </c>
      <c r="U2292" t="s">
        <v>14004</v>
      </c>
      <c r="V2292" t="s">
        <v>14004</v>
      </c>
      <c r="W2292" t="s">
        <v>16258</v>
      </c>
      <c r="X2292">
        <v>23</v>
      </c>
      <c r="Y2292" t="s">
        <v>23158</v>
      </c>
      <c r="Z2292" t="s">
        <v>30002</v>
      </c>
      <c r="AA2292">
        <v>0.84343020756549714</v>
      </c>
      <c r="AB2292" t="str">
        <f>HYPERLINK("Melting_Curves/meltCurve_P17174_GOT1.pdf", "Melting_Curves/meltCurve_P17174_GOT1.pdf")</f>
        <v>Melting_Curves/meltCurve_P17174_GOT1.pdf</v>
      </c>
    </row>
    <row r="2293" spans="1:28" x14ac:dyDescent="0.25">
      <c r="A2293" t="s">
        <v>2297</v>
      </c>
      <c r="B2293">
        <v>0.99999676499088797</v>
      </c>
      <c r="C2293">
        <v>0.91038219759435801</v>
      </c>
      <c r="D2293">
        <v>0.79056231607945504</v>
      </c>
      <c r="E2293">
        <v>0.83482083770693605</v>
      </c>
      <c r="F2293">
        <v>0.97188164672976796</v>
      </c>
      <c r="G2293">
        <v>0.50048389589350195</v>
      </c>
      <c r="H2293">
        <v>0.31144456113761199</v>
      </c>
      <c r="I2293">
        <v>0.20688605975341001</v>
      </c>
      <c r="J2293">
        <v>0.139900274201085</v>
      </c>
      <c r="K2293">
        <v>0.20491943237802601</v>
      </c>
      <c r="L2293">
        <v>1889.5615865114701</v>
      </c>
      <c r="M2293">
        <v>33.538856079169101</v>
      </c>
      <c r="N2293">
        <v>57.1541304607697</v>
      </c>
      <c r="O2293">
        <v>56.140311901922402</v>
      </c>
      <c r="P2293">
        <v>-0.12097546948228299</v>
      </c>
      <c r="Q2293">
        <v>0.19000550824231399</v>
      </c>
      <c r="R2293">
        <v>0.91887985923409399</v>
      </c>
      <c r="S2293" t="s">
        <v>9296</v>
      </c>
      <c r="T2293" t="s">
        <v>14004</v>
      </c>
      <c r="U2293" t="s">
        <v>14004</v>
      </c>
      <c r="V2293" t="s">
        <v>14004</v>
      </c>
      <c r="W2293" t="s">
        <v>16259</v>
      </c>
      <c r="X2293">
        <v>3</v>
      </c>
      <c r="Y2293" t="s">
        <v>23159</v>
      </c>
      <c r="Z2293" t="s">
        <v>30003</v>
      </c>
      <c r="AA2293">
        <v>0.635564590892019</v>
      </c>
      <c r="AB2293" t="str">
        <f>HYPERLINK("Melting_Curves/meltCurve_P17181_IFNAR1.pdf", "Melting_Curves/meltCurve_P17181_IFNAR1.pdf")</f>
        <v>Melting_Curves/meltCurve_P17181_IFNAR1.pdf</v>
      </c>
    </row>
    <row r="2294" spans="1:28" x14ac:dyDescent="0.25">
      <c r="A2294" t="s">
        <v>2298</v>
      </c>
      <c r="B2294">
        <v>0.99999676499088797</v>
      </c>
      <c r="C2294">
        <v>1.0399866469119401</v>
      </c>
      <c r="D2294">
        <v>0.97517455468812897</v>
      </c>
      <c r="E2294">
        <v>0.63205322371079797</v>
      </c>
      <c r="F2294">
        <v>0.18263742988991999</v>
      </c>
      <c r="G2294">
        <v>0.14477761414322299</v>
      </c>
      <c r="H2294">
        <v>7.0006692683489205E-2</v>
      </c>
      <c r="I2294">
        <v>7.0712704363015494E-2</v>
      </c>
      <c r="J2294">
        <v>7.2622949505651804E-2</v>
      </c>
      <c r="K2294">
        <v>5.4963789077302601E-2</v>
      </c>
      <c r="L2294">
        <v>1756.9612239273099</v>
      </c>
      <c r="M2294">
        <v>35.0008417875951</v>
      </c>
      <c r="N2294">
        <v>50.440221440365697</v>
      </c>
      <c r="O2294">
        <v>50.034668639673399</v>
      </c>
      <c r="P2294">
        <v>-0.16133928181131099</v>
      </c>
      <c r="Q2294">
        <v>7.7447447784322401E-2</v>
      </c>
      <c r="R2294">
        <v>0.99686321482088203</v>
      </c>
      <c r="S2294" t="s">
        <v>9297</v>
      </c>
      <c r="T2294" t="s">
        <v>14004</v>
      </c>
      <c r="U2294" t="s">
        <v>14004</v>
      </c>
      <c r="V2294" t="s">
        <v>14004</v>
      </c>
      <c r="W2294" t="s">
        <v>16260</v>
      </c>
      <c r="X2294">
        <v>37</v>
      </c>
      <c r="Y2294" t="s">
        <v>23160</v>
      </c>
      <c r="Z2294" t="s">
        <v>30004</v>
      </c>
      <c r="AA2294">
        <v>0.39523649335962729</v>
      </c>
      <c r="AB2294" t="str">
        <f>HYPERLINK("Melting_Curves/meltCurve_P17252_PRKCA.pdf", "Melting_Curves/meltCurve_P17252_PRKCA.pdf")</f>
        <v>Melting_Curves/meltCurve_P17252_PRKCA.pdf</v>
      </c>
    </row>
    <row r="2295" spans="1:28" x14ac:dyDescent="0.25">
      <c r="A2295" t="s">
        <v>2299</v>
      </c>
      <c r="B2295">
        <v>0.99999676499088797</v>
      </c>
      <c r="C2295">
        <v>0.89930444283231903</v>
      </c>
      <c r="D2295">
        <v>0.89831614393640102</v>
      </c>
      <c r="E2295">
        <v>0.74894191828913803</v>
      </c>
      <c r="F2295">
        <v>0.53390126019901796</v>
      </c>
      <c r="G2295">
        <v>0.60561178621545997</v>
      </c>
      <c r="H2295">
        <v>0.393847424621943</v>
      </c>
      <c r="I2295">
        <v>0.44255415744405602</v>
      </c>
      <c r="J2295">
        <v>0.43221114600043298</v>
      </c>
      <c r="K2295">
        <v>0.42018233770493502</v>
      </c>
      <c r="L2295">
        <v>668.69446038486797</v>
      </c>
      <c r="M2295">
        <v>13.268788885575001</v>
      </c>
      <c r="N2295">
        <v>57.4880531804396</v>
      </c>
      <c r="O2295">
        <v>49.292623624790203</v>
      </c>
      <c r="P2295">
        <v>-4.0201820619087301E-2</v>
      </c>
      <c r="Q2295">
        <v>0.40270963905610002</v>
      </c>
      <c r="R2295">
        <v>0.95560898209448697</v>
      </c>
      <c r="S2295" t="s">
        <v>9298</v>
      </c>
      <c r="T2295" t="s">
        <v>14004</v>
      </c>
      <c r="U2295" t="s">
        <v>14004</v>
      </c>
      <c r="V2295" t="s">
        <v>14004</v>
      </c>
      <c r="W2295" t="s">
        <v>16261</v>
      </c>
      <c r="X2295">
        <v>5</v>
      </c>
      <c r="Y2295" t="s">
        <v>23161</v>
      </c>
      <c r="Z2295" t="s">
        <v>30005</v>
      </c>
      <c r="AA2295">
        <v>0.62695389501586918</v>
      </c>
      <c r="AB2295" t="str">
        <f>HYPERLINK("Melting_Curves/meltCurve_P17275_JUNB.pdf", "Melting_Curves/meltCurve_P17275_JUNB.pdf")</f>
        <v>Melting_Curves/meltCurve_P17275_JUNB.pdf</v>
      </c>
    </row>
    <row r="2296" spans="1:28" x14ac:dyDescent="0.25">
      <c r="A2296" t="s">
        <v>2300</v>
      </c>
      <c r="B2296">
        <v>0.99999676499088797</v>
      </c>
      <c r="C2296">
        <v>0.852731854433325</v>
      </c>
      <c r="D2296">
        <v>0.60702227682872001</v>
      </c>
      <c r="E2296">
        <v>0.38781309160453598</v>
      </c>
      <c r="F2296">
        <v>0.27419701806309799</v>
      </c>
      <c r="G2296">
        <v>0.21836218043814001</v>
      </c>
      <c r="H2296">
        <v>0.123512118319061</v>
      </c>
      <c r="I2296">
        <v>0.111683020103285</v>
      </c>
      <c r="J2296">
        <v>0.12206108189405999</v>
      </c>
      <c r="K2296">
        <v>0.110290942953851</v>
      </c>
      <c r="L2296">
        <v>722.41698150744401</v>
      </c>
      <c r="M2296">
        <v>15.323822837201</v>
      </c>
      <c r="N2296">
        <v>47.960129320867203</v>
      </c>
      <c r="O2296">
        <v>46.362425015836898</v>
      </c>
      <c r="P2296">
        <v>-7.3147892877570203E-2</v>
      </c>
      <c r="Q2296">
        <v>0.11484287380128499</v>
      </c>
      <c r="R2296">
        <v>0.99213305134970098</v>
      </c>
      <c r="S2296" t="s">
        <v>9299</v>
      </c>
      <c r="T2296" t="s">
        <v>14004</v>
      </c>
      <c r="U2296" t="s">
        <v>14004</v>
      </c>
      <c r="V2296" t="s">
        <v>14004</v>
      </c>
      <c r="W2296" t="s">
        <v>16262</v>
      </c>
      <c r="X2296">
        <v>10</v>
      </c>
      <c r="Y2296" t="s">
        <v>23162</v>
      </c>
      <c r="Z2296" t="s">
        <v>30006</v>
      </c>
      <c r="AA2296">
        <v>0.3484252440188052</v>
      </c>
      <c r="AB2296" t="str">
        <f>HYPERLINK("Melting_Curves/meltCurve_P17480_UBTF.pdf", "Melting_Curves/meltCurve_P17480_UBTF.pdf")</f>
        <v>Melting_Curves/meltCurve_P17480_UBTF.pdf</v>
      </c>
    </row>
    <row r="2297" spans="1:28" x14ac:dyDescent="0.25">
      <c r="A2297" t="s">
        <v>2301</v>
      </c>
      <c r="B2297">
        <v>0.99999676499088797</v>
      </c>
      <c r="C2297">
        <v>0.912611315427998</v>
      </c>
      <c r="D2297">
        <v>0.59058956273190699</v>
      </c>
      <c r="E2297">
        <v>0.33012680034018499</v>
      </c>
      <c r="F2297">
        <v>0.23235302573251401</v>
      </c>
      <c r="G2297">
        <v>0.20476832135611001</v>
      </c>
      <c r="H2297">
        <v>0.130722659079995</v>
      </c>
      <c r="I2297">
        <v>9.4782419685584901E-2</v>
      </c>
      <c r="J2297">
        <v>0.122182712183157</v>
      </c>
      <c r="K2297">
        <v>9.5992440305924603E-2</v>
      </c>
      <c r="L2297">
        <v>926.98396381708994</v>
      </c>
      <c r="M2297">
        <v>19.847491043694902</v>
      </c>
      <c r="N2297">
        <v>47.394428567273501</v>
      </c>
      <c r="O2297">
        <v>46.238961533709897</v>
      </c>
      <c r="P2297">
        <v>-9.3863207377219093E-2</v>
      </c>
      <c r="Q2297">
        <v>0.12533193863414599</v>
      </c>
      <c r="R2297">
        <v>0.99008520663581101</v>
      </c>
      <c r="S2297" t="s">
        <v>9300</v>
      </c>
      <c r="T2297" t="s">
        <v>14004</v>
      </c>
      <c r="U2297" t="s">
        <v>14004</v>
      </c>
      <c r="V2297" t="s">
        <v>14004</v>
      </c>
      <c r="W2297" t="s">
        <v>16263</v>
      </c>
      <c r="X2297">
        <v>2</v>
      </c>
      <c r="Y2297" t="s">
        <v>23163</v>
      </c>
      <c r="Z2297" t="s">
        <v>30007</v>
      </c>
      <c r="AA2297">
        <v>0.33402612785636632</v>
      </c>
      <c r="AB2297" t="str">
        <f>HYPERLINK("Melting_Curves/meltCurve_P17483_HOXB4.pdf", "Melting_Curves/meltCurve_P17483_HOXB4.pdf")</f>
        <v>Melting_Curves/meltCurve_P17483_HOXB4.pdf</v>
      </c>
    </row>
    <row r="2298" spans="1:28" x14ac:dyDescent="0.25">
      <c r="A2298" t="s">
        <v>2302</v>
      </c>
      <c r="B2298">
        <v>0.99999676499088797</v>
      </c>
      <c r="C2298">
        <v>0.98638347770947699</v>
      </c>
      <c r="D2298">
        <v>0.95332345188524403</v>
      </c>
      <c r="E2298">
        <v>0.82373877817178698</v>
      </c>
      <c r="F2298">
        <v>0.66935927684637198</v>
      </c>
      <c r="G2298">
        <v>0.60098612535376805</v>
      </c>
      <c r="H2298">
        <v>0.51688101574696099</v>
      </c>
      <c r="I2298">
        <v>0.69142952347314202</v>
      </c>
      <c r="J2298">
        <v>0.65334519792864199</v>
      </c>
      <c r="K2298">
        <v>0.77749740605222994</v>
      </c>
      <c r="L2298">
        <v>1729.33870195492</v>
      </c>
      <c r="M2298">
        <v>34.979937854420498</v>
      </c>
      <c r="O2298">
        <v>49.277274410821498</v>
      </c>
      <c r="P2298">
        <v>-6.2628792041506606E-2</v>
      </c>
      <c r="Q2298">
        <v>0.64709310758329197</v>
      </c>
      <c r="R2298">
        <v>0.84790167767639901</v>
      </c>
      <c r="S2298" t="s">
        <v>9301</v>
      </c>
      <c r="T2298" t="s">
        <v>14004</v>
      </c>
      <c r="U2298" t="s">
        <v>14004</v>
      </c>
      <c r="V2298" t="s">
        <v>14004</v>
      </c>
      <c r="W2298" t="s">
        <v>16264</v>
      </c>
      <c r="X2298">
        <v>7</v>
      </c>
      <c r="Y2298" t="s">
        <v>23164</v>
      </c>
      <c r="Z2298" t="s">
        <v>30008</v>
      </c>
      <c r="AA2298">
        <v>0.75970103350411933</v>
      </c>
      <c r="AB2298" t="str">
        <f>HYPERLINK("Melting_Curves/meltCurve_P17535_JUND.pdf", "Melting_Curves/meltCurve_P17535_JUND.pdf")</f>
        <v>Melting_Curves/meltCurve_P17535_JUND.pdf</v>
      </c>
    </row>
    <row r="2299" spans="1:28" x14ac:dyDescent="0.25">
      <c r="A2299" t="s">
        <v>2303</v>
      </c>
      <c r="B2299">
        <v>0.99999676499088797</v>
      </c>
      <c r="C2299">
        <v>1.01399634927131</v>
      </c>
      <c r="D2299">
        <v>1.0041725894629101</v>
      </c>
      <c r="E2299">
        <v>0.90852413378395602</v>
      </c>
      <c r="F2299">
        <v>0.60512377213296498</v>
      </c>
      <c r="G2299">
        <v>0.68903714056912002</v>
      </c>
      <c r="H2299">
        <v>0.42146745106901001</v>
      </c>
      <c r="I2299">
        <v>0.49476967783110898</v>
      </c>
      <c r="J2299">
        <v>0.61309317510690697</v>
      </c>
      <c r="K2299">
        <v>0.47218399068128702</v>
      </c>
      <c r="L2299">
        <v>1547.3698358746101</v>
      </c>
      <c r="M2299">
        <v>30.018538449438601</v>
      </c>
      <c r="O2299">
        <v>51.3199864924986</v>
      </c>
      <c r="P2299">
        <v>-6.9717509781137402E-2</v>
      </c>
      <c r="Q2299">
        <v>0.52324399269171096</v>
      </c>
      <c r="R2299">
        <v>0.91021577404345</v>
      </c>
      <c r="S2299" t="s">
        <v>9302</v>
      </c>
      <c r="T2299" t="s">
        <v>14004</v>
      </c>
      <c r="U2299" t="s">
        <v>14004</v>
      </c>
      <c r="V2299" t="s">
        <v>14004</v>
      </c>
      <c r="W2299" t="s">
        <v>16265</v>
      </c>
      <c r="X2299">
        <v>5</v>
      </c>
      <c r="Y2299" t="s">
        <v>21456</v>
      </c>
      <c r="Z2299" t="s">
        <v>30009</v>
      </c>
      <c r="AA2299">
        <v>0.70977026565060808</v>
      </c>
      <c r="AB2299" t="str">
        <f>HYPERLINK("Melting_Curves/meltCurve_P17542_3_TAL1.pdf", "Melting_Curves/meltCurve_P17542_3_TAL1.pdf")</f>
        <v>Melting_Curves/meltCurve_P17542_3_TAL1.pdf</v>
      </c>
    </row>
    <row r="2300" spans="1:28" x14ac:dyDescent="0.25">
      <c r="A2300" t="s">
        <v>2304</v>
      </c>
      <c r="B2300">
        <v>0.99999676499088797</v>
      </c>
      <c r="C2300">
        <v>0.85635044002012795</v>
      </c>
      <c r="D2300">
        <v>0.753910366546517</v>
      </c>
      <c r="E2300">
        <v>0.51251166932135706</v>
      </c>
      <c r="F2300">
        <v>0.396565507550732</v>
      </c>
      <c r="G2300">
        <v>0.26813692971887698</v>
      </c>
      <c r="H2300">
        <v>0.17043502794360599</v>
      </c>
      <c r="I2300">
        <v>0.16391540856724399</v>
      </c>
      <c r="J2300">
        <v>0.18378138075023301</v>
      </c>
      <c r="K2300">
        <v>0.26639569756393799</v>
      </c>
      <c r="L2300">
        <v>698.96168604862396</v>
      </c>
      <c r="M2300">
        <v>14.407941348542399</v>
      </c>
      <c r="N2300">
        <v>50.056293118096299</v>
      </c>
      <c r="O2300">
        <v>47.606427591347199</v>
      </c>
      <c r="P2300">
        <v>-6.2095015178095202E-2</v>
      </c>
      <c r="Q2300">
        <v>0.17940469320403299</v>
      </c>
      <c r="R2300">
        <v>0.98315335408073501</v>
      </c>
      <c r="S2300" t="s">
        <v>9303</v>
      </c>
      <c r="T2300" t="s">
        <v>14004</v>
      </c>
      <c r="U2300" t="s">
        <v>14004</v>
      </c>
      <c r="V2300" t="s">
        <v>14004</v>
      </c>
      <c r="W2300" t="s">
        <v>16266</v>
      </c>
      <c r="X2300">
        <v>9</v>
      </c>
      <c r="Y2300" t="s">
        <v>23165</v>
      </c>
      <c r="Z2300" t="s">
        <v>30010</v>
      </c>
      <c r="AA2300">
        <v>0.43454081117603949</v>
      </c>
      <c r="AB2300" t="str">
        <f>HYPERLINK("Melting_Curves/meltCurve_P17544_4_ATF7.pdf", "Melting_Curves/meltCurve_P17544_4_ATF7.pdf")</f>
        <v>Melting_Curves/meltCurve_P17544_4_ATF7.pdf</v>
      </c>
    </row>
    <row r="2301" spans="1:28" x14ac:dyDescent="0.25">
      <c r="A2301" t="s">
        <v>2305</v>
      </c>
      <c r="B2301">
        <v>0.99999676499088797</v>
      </c>
      <c r="C2301">
        <v>1.02130230296742</v>
      </c>
      <c r="D2301">
        <v>1.0441080689739399</v>
      </c>
      <c r="E2301">
        <v>0.93473393752869105</v>
      </c>
      <c r="F2301">
        <v>0.54562081827250697</v>
      </c>
      <c r="G2301">
        <v>0.29222008882122802</v>
      </c>
      <c r="H2301">
        <v>0.15273651155360299</v>
      </c>
      <c r="I2301">
        <v>0.15999217143677</v>
      </c>
      <c r="J2301">
        <v>0.12240356069463899</v>
      </c>
      <c r="K2301">
        <v>0.102862386135947</v>
      </c>
      <c r="L2301">
        <v>1520.8307618998999</v>
      </c>
      <c r="M2301">
        <v>28.536600414941699</v>
      </c>
      <c r="N2301">
        <v>53.863025761606899</v>
      </c>
      <c r="O2301">
        <v>53.034388563150998</v>
      </c>
      <c r="P2301">
        <v>-0.117015798862302</v>
      </c>
      <c r="Q2301">
        <v>0.13012599952480799</v>
      </c>
      <c r="R2301">
        <v>0.99514898366011495</v>
      </c>
      <c r="S2301" t="s">
        <v>9304</v>
      </c>
      <c r="T2301" t="s">
        <v>14004</v>
      </c>
      <c r="U2301" t="s">
        <v>14004</v>
      </c>
      <c r="V2301" t="s">
        <v>14004</v>
      </c>
      <c r="W2301" t="s">
        <v>16267</v>
      </c>
      <c r="X2301">
        <v>9</v>
      </c>
      <c r="Y2301" t="s">
        <v>23166</v>
      </c>
      <c r="Z2301" t="s">
        <v>30011</v>
      </c>
      <c r="AA2301">
        <v>0.52183878096152359</v>
      </c>
      <c r="AB2301" t="str">
        <f>HYPERLINK("Melting_Curves/meltCurve_P17568_NDUFB7.pdf", "Melting_Curves/meltCurve_P17568_NDUFB7.pdf")</f>
        <v>Melting_Curves/meltCurve_P17568_NDUFB7.pdf</v>
      </c>
    </row>
    <row r="2302" spans="1:28" x14ac:dyDescent="0.25">
      <c r="A2302" t="s">
        <v>2306</v>
      </c>
      <c r="B2302">
        <v>0.99999676499088797</v>
      </c>
      <c r="C2302">
        <v>0.99485975408459104</v>
      </c>
      <c r="D2302">
        <v>0.59951080483604602</v>
      </c>
      <c r="E2302">
        <v>0.54273898664961995</v>
      </c>
      <c r="F2302">
        <v>0.34433443806188802</v>
      </c>
      <c r="G2302">
        <v>0.20070009163240199</v>
      </c>
      <c r="H2302">
        <v>8.8187900969753194E-2</v>
      </c>
      <c r="I2302">
        <v>8.09801616046575E-2</v>
      </c>
      <c r="J2302">
        <v>0.10189706965189201</v>
      </c>
      <c r="K2302">
        <v>6.3685258424286198E-2</v>
      </c>
      <c r="L2302">
        <v>650.21765115871301</v>
      </c>
      <c r="M2302">
        <v>13.1816915651863</v>
      </c>
      <c r="N2302">
        <v>49.722185765595398</v>
      </c>
      <c r="O2302">
        <v>48.233509186828798</v>
      </c>
      <c r="P2302">
        <v>-6.4937983492693502E-2</v>
      </c>
      <c r="Q2302">
        <v>4.9693179150316701E-2</v>
      </c>
      <c r="R2302">
        <v>0.96978885923622904</v>
      </c>
      <c r="S2302" t="s">
        <v>9305</v>
      </c>
      <c r="T2302" t="s">
        <v>14004</v>
      </c>
      <c r="U2302" t="s">
        <v>14004</v>
      </c>
      <c r="V2302" t="s">
        <v>14004</v>
      </c>
      <c r="W2302" t="s">
        <v>16268</v>
      </c>
      <c r="X2302">
        <v>6</v>
      </c>
      <c r="Y2302" t="s">
        <v>23167</v>
      </c>
      <c r="Z2302" t="s">
        <v>30012</v>
      </c>
      <c r="AA2302">
        <v>0.37436967746635791</v>
      </c>
      <c r="AB2302" t="str">
        <f>HYPERLINK("Melting_Curves/meltCurve_P17600_2_SYN1.pdf", "Melting_Curves/meltCurve_P17600_2_SYN1.pdf")</f>
        <v>Melting_Curves/meltCurve_P17600_2_SYN1.pdf</v>
      </c>
    </row>
    <row r="2303" spans="1:28" x14ac:dyDescent="0.25">
      <c r="A2303" t="s">
        <v>2307</v>
      </c>
      <c r="B2303">
        <v>0.99999676499088797</v>
      </c>
      <c r="C2303">
        <v>0.94526992680515898</v>
      </c>
      <c r="D2303">
        <v>0.93359040697104201</v>
      </c>
      <c r="E2303">
        <v>0.88356921386875298</v>
      </c>
      <c r="F2303">
        <v>0.425486457661927</v>
      </c>
      <c r="G2303">
        <v>0.156448210274932</v>
      </c>
      <c r="H2303">
        <v>7.3488660292056293E-2</v>
      </c>
      <c r="I2303">
        <v>5.86949012973512E-2</v>
      </c>
      <c r="J2303">
        <v>4.7293219149039403E-2</v>
      </c>
      <c r="K2303">
        <v>4.8068531946108599E-2</v>
      </c>
      <c r="L2303">
        <v>1561.6144041816301</v>
      </c>
      <c r="M2303">
        <v>29.7273236782558</v>
      </c>
      <c r="N2303">
        <v>52.728278029230403</v>
      </c>
      <c r="O2303">
        <v>52.295292972833799</v>
      </c>
      <c r="P2303">
        <v>-0.13464442986533401</v>
      </c>
      <c r="Q2303">
        <v>5.2559014979488103E-2</v>
      </c>
      <c r="R2303">
        <v>0.99606188038382604</v>
      </c>
      <c r="S2303" t="s">
        <v>9306</v>
      </c>
      <c r="T2303" t="s">
        <v>14004</v>
      </c>
      <c r="U2303" t="s">
        <v>14004</v>
      </c>
      <c r="V2303" t="s">
        <v>14004</v>
      </c>
      <c r="W2303" t="s">
        <v>16269</v>
      </c>
      <c r="X2303">
        <v>15</v>
      </c>
      <c r="Y2303" t="s">
        <v>23168</v>
      </c>
      <c r="Z2303" t="s">
        <v>30013</v>
      </c>
      <c r="AA2303">
        <v>0.45452746892367818</v>
      </c>
      <c r="AB2303" t="str">
        <f>HYPERLINK("Melting_Curves/meltCurve_P17612_PRKACA.pdf", "Melting_Curves/meltCurve_P17612_PRKACA.pdf")</f>
        <v>Melting_Curves/meltCurve_P17612_PRKACA.pdf</v>
      </c>
    </row>
    <row r="2304" spans="1:28" x14ac:dyDescent="0.25">
      <c r="A2304" t="s">
        <v>2308</v>
      </c>
      <c r="B2304">
        <v>0.99999676499088797</v>
      </c>
      <c r="C2304">
        <v>1.0541730326586201</v>
      </c>
      <c r="D2304">
        <v>1.0336859208795199</v>
      </c>
      <c r="E2304">
        <v>0.53474035357317695</v>
      </c>
      <c r="F2304">
        <v>0.23543560645980099</v>
      </c>
      <c r="G2304">
        <v>0.183095454457679</v>
      </c>
      <c r="H2304">
        <v>8.9050188109360301E-2</v>
      </c>
      <c r="I2304">
        <v>0.102381069812907</v>
      </c>
      <c r="J2304">
        <v>8.4961266219359899E-2</v>
      </c>
      <c r="K2304">
        <v>7.0248809933234194E-2</v>
      </c>
      <c r="L2304">
        <v>1795.8684247861599</v>
      </c>
      <c r="M2304">
        <v>36.142816300893998</v>
      </c>
      <c r="N2304">
        <v>50.033144160684799</v>
      </c>
      <c r="O2304">
        <v>49.536741812515601</v>
      </c>
      <c r="P2304">
        <v>-0.16228472517656001</v>
      </c>
      <c r="Q2304">
        <v>0.11030385885788201</v>
      </c>
      <c r="R2304">
        <v>0.98781077978530096</v>
      </c>
      <c r="S2304" t="s">
        <v>9307</v>
      </c>
      <c r="T2304" t="s">
        <v>14004</v>
      </c>
      <c r="U2304" t="s">
        <v>14004</v>
      </c>
      <c r="V2304" t="s">
        <v>14004</v>
      </c>
      <c r="W2304" t="s">
        <v>16270</v>
      </c>
      <c r="X2304">
        <v>17</v>
      </c>
      <c r="Y2304" t="s">
        <v>23169</v>
      </c>
      <c r="Z2304" t="s">
        <v>30014</v>
      </c>
      <c r="AA2304">
        <v>0.40137273699334508</v>
      </c>
      <c r="AB2304" t="str">
        <f>HYPERLINK("Melting_Curves/meltCurve_P17706_2_PTPN2.pdf", "Melting_Curves/meltCurve_P17706_2_PTPN2.pdf")</f>
        <v>Melting_Curves/meltCurve_P17706_2_PTPN2.pdf</v>
      </c>
    </row>
    <row r="2305" spans="1:28" x14ac:dyDescent="0.25">
      <c r="A2305" t="s">
        <v>2309</v>
      </c>
      <c r="B2305">
        <v>0.99999676499088797</v>
      </c>
      <c r="C2305">
        <v>0.97874226551162002</v>
      </c>
      <c r="D2305">
        <v>1.0229782709733499</v>
      </c>
      <c r="E2305">
        <v>1.2532695398955001</v>
      </c>
      <c r="F2305">
        <v>0.89153477899631395</v>
      </c>
      <c r="G2305">
        <v>0.490095638771741</v>
      </c>
      <c r="H2305">
        <v>0.27417581411616998</v>
      </c>
      <c r="I2305">
        <v>0.15748612175523799</v>
      </c>
      <c r="J2305">
        <v>0.12187473953552901</v>
      </c>
      <c r="K2305">
        <v>0.16222481379752701</v>
      </c>
      <c r="L2305">
        <v>2023.5945614779</v>
      </c>
      <c r="M2305">
        <v>35.9742987155498</v>
      </c>
      <c r="N2305">
        <v>56.855318310615999</v>
      </c>
      <c r="O2305">
        <v>56.078146819053899</v>
      </c>
      <c r="P2305">
        <v>-0.134899138051852</v>
      </c>
      <c r="Q2305">
        <v>0.15885840565251799</v>
      </c>
      <c r="R2305">
        <v>0.95652815584625495</v>
      </c>
      <c r="S2305" t="s">
        <v>9308</v>
      </c>
      <c r="T2305" t="s">
        <v>14004</v>
      </c>
      <c r="U2305" t="s">
        <v>14004</v>
      </c>
      <c r="V2305" t="s">
        <v>14004</v>
      </c>
      <c r="W2305" t="s">
        <v>16271</v>
      </c>
      <c r="X2305">
        <v>5</v>
      </c>
      <c r="Y2305" t="s">
        <v>23170</v>
      </c>
      <c r="Z2305" t="s">
        <v>30015</v>
      </c>
      <c r="AA2305">
        <v>0.61849894602997846</v>
      </c>
      <c r="AB2305" t="str">
        <f>HYPERLINK("Melting_Curves/meltCurve_P17707_AMD1.pdf", "Melting_Curves/meltCurve_P17707_AMD1.pdf")</f>
        <v>Melting_Curves/meltCurve_P17707_AMD1.pdf</v>
      </c>
    </row>
    <row r="2306" spans="1:28" x14ac:dyDescent="0.25">
      <c r="A2306" t="s">
        <v>2310</v>
      </c>
      <c r="B2306">
        <v>0.99999676499088797</v>
      </c>
      <c r="C2306">
        <v>1.0501536299896701</v>
      </c>
      <c r="D2306">
        <v>1.0244526652822199</v>
      </c>
      <c r="E2306">
        <v>1.0073220071675499</v>
      </c>
      <c r="F2306">
        <v>0.96984267568606497</v>
      </c>
      <c r="G2306">
        <v>0.820461097641762</v>
      </c>
      <c r="H2306">
        <v>0.39578442369302003</v>
      </c>
      <c r="I2306">
        <v>0.18321437515362901</v>
      </c>
      <c r="J2306">
        <v>0.140307477886222</v>
      </c>
      <c r="K2306">
        <v>0.109385013719157</v>
      </c>
      <c r="L2306">
        <v>1835.61050547683</v>
      </c>
      <c r="M2306">
        <v>30.937591835687499</v>
      </c>
      <c r="N2306">
        <v>59.7931016848624</v>
      </c>
      <c r="O2306">
        <v>59.086445263442101</v>
      </c>
      <c r="P2306">
        <v>-0.11702688740283899</v>
      </c>
      <c r="Q2306">
        <v>0.105985672819948</v>
      </c>
      <c r="R2306">
        <v>0.99773613354060797</v>
      </c>
      <c r="S2306" t="s">
        <v>9309</v>
      </c>
      <c r="T2306" t="s">
        <v>14004</v>
      </c>
      <c r="U2306" t="s">
        <v>14004</v>
      </c>
      <c r="V2306" t="s">
        <v>14004</v>
      </c>
      <c r="W2306" t="s">
        <v>16272</v>
      </c>
      <c r="X2306">
        <v>43</v>
      </c>
      <c r="Y2306" t="s">
        <v>23171</v>
      </c>
      <c r="Z2306" t="s">
        <v>30016</v>
      </c>
      <c r="AA2306">
        <v>0.68750575272204228</v>
      </c>
      <c r="AB2306" t="str">
        <f>HYPERLINK("Melting_Curves/meltCurve_P17812_CTPS1.pdf", "Melting_Curves/meltCurve_P17812_CTPS1.pdf")</f>
        <v>Melting_Curves/meltCurve_P17812_CTPS1.pdf</v>
      </c>
    </row>
    <row r="2307" spans="1:28" x14ac:dyDescent="0.25">
      <c r="A2307" t="s">
        <v>2311</v>
      </c>
      <c r="B2307">
        <v>0.99999676499088797</v>
      </c>
      <c r="C2307">
        <v>1.01579164085736</v>
      </c>
      <c r="D2307">
        <v>0.89733682404333703</v>
      </c>
      <c r="E2307">
        <v>0.47285625477279902</v>
      </c>
      <c r="F2307">
        <v>0.195944216710775</v>
      </c>
      <c r="G2307">
        <v>0.14220269223757001</v>
      </c>
      <c r="H2307">
        <v>6.7830738975233104E-2</v>
      </c>
      <c r="I2307">
        <v>7.2709361423829902E-2</v>
      </c>
      <c r="J2307">
        <v>7.5457757644111695E-2</v>
      </c>
      <c r="K2307">
        <v>5.7105043816398901E-2</v>
      </c>
      <c r="L2307">
        <v>1357.9558409229301</v>
      </c>
      <c r="M2307">
        <v>27.5887439535495</v>
      </c>
      <c r="N2307">
        <v>49.525431598132798</v>
      </c>
      <c r="O2307">
        <v>48.964956294609998</v>
      </c>
      <c r="P2307">
        <v>-0.129887250607711</v>
      </c>
      <c r="Q2307">
        <v>7.7904519076633302E-2</v>
      </c>
      <c r="R2307">
        <v>0.99730742586353505</v>
      </c>
      <c r="S2307" t="s">
        <v>9310</v>
      </c>
      <c r="T2307" t="s">
        <v>14004</v>
      </c>
      <c r="U2307" t="s">
        <v>14004</v>
      </c>
      <c r="V2307" t="s">
        <v>14004</v>
      </c>
      <c r="W2307" t="s">
        <v>16273</v>
      </c>
      <c r="X2307">
        <v>60</v>
      </c>
      <c r="Y2307" t="s">
        <v>23172</v>
      </c>
      <c r="Z2307" t="s">
        <v>30017</v>
      </c>
      <c r="AA2307">
        <v>0.36802513283644989</v>
      </c>
      <c r="AB2307" t="str">
        <f>HYPERLINK("Melting_Curves/meltCurve_P17844_DDX5.pdf", "Melting_Curves/meltCurve_P17844_DDX5.pdf")</f>
        <v>Melting_Curves/meltCurve_P17844_DDX5.pdf</v>
      </c>
    </row>
    <row r="2308" spans="1:28" x14ac:dyDescent="0.25">
      <c r="A2308" t="s">
        <v>2312</v>
      </c>
      <c r="B2308">
        <v>0.99999676499088797</v>
      </c>
      <c r="C2308">
        <v>1.1361327999256601</v>
      </c>
      <c r="D2308">
        <v>1.0845174090927201</v>
      </c>
      <c r="E2308">
        <v>1.08143283915463</v>
      </c>
      <c r="F2308">
        <v>1.0348586180109101</v>
      </c>
      <c r="G2308">
        <v>1.0167290351935701</v>
      </c>
      <c r="H2308">
        <v>0.63204073832338903</v>
      </c>
      <c r="I2308">
        <v>0.482666722462681</v>
      </c>
      <c r="J2308">
        <v>0.249555674412516</v>
      </c>
      <c r="K2308">
        <v>0.156819453676808</v>
      </c>
      <c r="L2308">
        <v>1594.0274945972201</v>
      </c>
      <c r="M2308">
        <v>25.510513606911001</v>
      </c>
      <c r="N2308">
        <v>63.1598959924873</v>
      </c>
      <c r="O2308">
        <v>62.104948831704498</v>
      </c>
      <c r="P2308">
        <v>-9.04432261817983E-2</v>
      </c>
      <c r="Q2308">
        <v>0.119280415730755</v>
      </c>
      <c r="R2308">
        <v>0.96037178737823703</v>
      </c>
      <c r="S2308" t="s">
        <v>9311</v>
      </c>
      <c r="T2308" t="s">
        <v>14004</v>
      </c>
      <c r="U2308" t="s">
        <v>14004</v>
      </c>
      <c r="V2308" t="s">
        <v>14004</v>
      </c>
      <c r="W2308" t="s">
        <v>16274</v>
      </c>
      <c r="X2308">
        <v>35</v>
      </c>
      <c r="Y2308" t="s">
        <v>23173</v>
      </c>
      <c r="Z2308" t="s">
        <v>30018</v>
      </c>
      <c r="AA2308">
        <v>0.78262321977692595</v>
      </c>
      <c r="AB2308" t="str">
        <f>HYPERLINK("Melting_Curves/meltCurve_P17858_PFKL.pdf", "Melting_Curves/meltCurve_P17858_PFKL.pdf")</f>
        <v>Melting_Curves/meltCurve_P17858_PFKL.pdf</v>
      </c>
    </row>
    <row r="2309" spans="1:28" x14ac:dyDescent="0.25">
      <c r="A2309" t="s">
        <v>2313</v>
      </c>
      <c r="B2309">
        <v>0.99999676499088797</v>
      </c>
      <c r="C2309">
        <v>0.97609802870456297</v>
      </c>
      <c r="D2309">
        <v>0.98913520360502105</v>
      </c>
      <c r="E2309">
        <v>0.95663530741773795</v>
      </c>
      <c r="F2309">
        <v>0.96958952779320695</v>
      </c>
      <c r="G2309">
        <v>1.0086002279702899</v>
      </c>
      <c r="H2309">
        <v>0.70379784201635298</v>
      </c>
      <c r="I2309">
        <v>0.81708876757137605</v>
      </c>
      <c r="J2309">
        <v>0.68788959085410395</v>
      </c>
      <c r="K2309">
        <v>0.814103085773068</v>
      </c>
      <c r="L2309">
        <v>14632.4806025735</v>
      </c>
      <c r="M2309">
        <v>250</v>
      </c>
      <c r="O2309">
        <v>58.526177012776998</v>
      </c>
      <c r="P2309">
        <v>-0.260869755831803</v>
      </c>
      <c r="Q2309">
        <v>0.75571664871251898</v>
      </c>
      <c r="R2309">
        <v>0.87177403101909101</v>
      </c>
      <c r="S2309" t="s">
        <v>9312</v>
      </c>
      <c r="T2309" t="s">
        <v>14004</v>
      </c>
      <c r="U2309" t="s">
        <v>14004</v>
      </c>
      <c r="V2309" t="s">
        <v>14004</v>
      </c>
      <c r="W2309" t="s">
        <v>16275</v>
      </c>
      <c r="X2309">
        <v>6</v>
      </c>
      <c r="Y2309" t="s">
        <v>23174</v>
      </c>
      <c r="Z2309" t="s">
        <v>30019</v>
      </c>
      <c r="AA2309">
        <v>0.90662679279533576</v>
      </c>
      <c r="AB2309" t="str">
        <f>HYPERLINK("Melting_Curves/meltCurve_P17900_GM2A.pdf", "Melting_Curves/meltCurve_P17900_GM2A.pdf")</f>
        <v>Melting_Curves/meltCurve_P17900_GM2A.pdf</v>
      </c>
    </row>
    <row r="2310" spans="1:28" x14ac:dyDescent="0.25">
      <c r="A2310" t="s">
        <v>2314</v>
      </c>
      <c r="B2310">
        <v>0.99999676499088797</v>
      </c>
      <c r="C2310">
        <v>0.95707352165769</v>
      </c>
      <c r="D2310">
        <v>1.0193487982717799</v>
      </c>
      <c r="E2310">
        <v>1.07363686925582</v>
      </c>
      <c r="F2310">
        <v>1.0878314538521201</v>
      </c>
      <c r="G2310">
        <v>0.82312088456521504</v>
      </c>
      <c r="H2310">
        <v>0.34941622207338402</v>
      </c>
      <c r="I2310">
        <v>0.154534202383349</v>
      </c>
      <c r="J2310">
        <v>9.8977729761279304E-2</v>
      </c>
      <c r="K2310">
        <v>6.9390843960059095E-2</v>
      </c>
      <c r="L2310">
        <v>2143.6754608195001</v>
      </c>
      <c r="M2310">
        <v>36.157307707558402</v>
      </c>
      <c r="N2310">
        <v>59.581176721892398</v>
      </c>
      <c r="O2310">
        <v>59.107006353219901</v>
      </c>
      <c r="P2310">
        <v>-0.14044893433829</v>
      </c>
      <c r="Q2310">
        <v>8.1625316018949901E-2</v>
      </c>
      <c r="R2310">
        <v>0.98896882616828596</v>
      </c>
      <c r="S2310" t="s">
        <v>9313</v>
      </c>
      <c r="T2310" t="s">
        <v>14004</v>
      </c>
      <c r="U2310" t="s">
        <v>14004</v>
      </c>
      <c r="V2310" t="s">
        <v>14004</v>
      </c>
      <c r="W2310" t="s">
        <v>16276</v>
      </c>
      <c r="X2310">
        <v>43</v>
      </c>
      <c r="Y2310" t="s">
        <v>21637</v>
      </c>
      <c r="Z2310" t="s">
        <v>30020</v>
      </c>
      <c r="AA2310">
        <v>0.67638345501372077</v>
      </c>
      <c r="AB2310" t="str">
        <f>HYPERLINK("Melting_Curves/meltCurve_P17987_TCP1.pdf", "Melting_Curves/meltCurve_P17987_TCP1.pdf")</f>
        <v>Melting_Curves/meltCurve_P17987_TCP1.pdf</v>
      </c>
    </row>
    <row r="2311" spans="1:28" x14ac:dyDescent="0.25">
      <c r="A2311" t="s">
        <v>2315</v>
      </c>
      <c r="B2311">
        <v>0.99999676499088797</v>
      </c>
      <c r="C2311">
        <v>0.94758001468761099</v>
      </c>
      <c r="D2311">
        <v>0.82741132881972901</v>
      </c>
      <c r="E2311">
        <v>0.26567510035366099</v>
      </c>
      <c r="F2311">
        <v>0.15381477137237001</v>
      </c>
      <c r="G2311">
        <v>0.101427068798067</v>
      </c>
      <c r="H2311">
        <v>5.05303410027007E-2</v>
      </c>
      <c r="I2311">
        <v>4.5845826431067702E-2</v>
      </c>
      <c r="J2311">
        <v>4.6700073991363798E-2</v>
      </c>
      <c r="K2311">
        <v>3.3681895610247897E-2</v>
      </c>
      <c r="L2311">
        <v>1566.4376965428301</v>
      </c>
      <c r="M2311">
        <v>32.704086550020001</v>
      </c>
      <c r="N2311">
        <v>48.091837422776102</v>
      </c>
      <c r="O2311">
        <v>47.7192873742828</v>
      </c>
      <c r="P2311">
        <v>-0.16072160350451301</v>
      </c>
      <c r="Q2311">
        <v>6.19539434911206E-2</v>
      </c>
      <c r="R2311">
        <v>0.99459876237603895</v>
      </c>
      <c r="S2311" t="s">
        <v>9314</v>
      </c>
      <c r="T2311" t="s">
        <v>14004</v>
      </c>
      <c r="U2311" t="s">
        <v>14004</v>
      </c>
      <c r="V2311" t="s">
        <v>14004</v>
      </c>
      <c r="W2311" t="s">
        <v>16277</v>
      </c>
      <c r="X2311">
        <v>13</v>
      </c>
      <c r="Y2311" t="s">
        <v>23175</v>
      </c>
      <c r="Z2311" t="s">
        <v>30021</v>
      </c>
      <c r="AA2311">
        <v>0.31360076642451917</v>
      </c>
      <c r="AB2311" t="str">
        <f>HYPERLINK("Melting_Curves/meltCurve_P18031_PTPN1.pdf", "Melting_Curves/meltCurve_P18031_PTPN1.pdf")</f>
        <v>Melting_Curves/meltCurve_P18031_PTPN1.pdf</v>
      </c>
    </row>
    <row r="2312" spans="1:28" x14ac:dyDescent="0.25">
      <c r="A2312" t="s">
        <v>2316</v>
      </c>
      <c r="B2312">
        <v>0.99999676499088797</v>
      </c>
      <c r="C2312">
        <v>1.0100353186959401</v>
      </c>
      <c r="D2312">
        <v>1.01639986580694</v>
      </c>
      <c r="E2312">
        <v>0.90273868304821603</v>
      </c>
      <c r="F2312">
        <v>0.81237434555788202</v>
      </c>
      <c r="G2312">
        <v>0.69448049338391804</v>
      </c>
      <c r="H2312">
        <v>0.35736838126678699</v>
      </c>
      <c r="I2312">
        <v>0.28214981976511799</v>
      </c>
      <c r="J2312">
        <v>0.23250322621875699</v>
      </c>
      <c r="K2312">
        <v>0.189758412418534</v>
      </c>
      <c r="L2312">
        <v>954.99734317862305</v>
      </c>
      <c r="M2312">
        <v>16.513538374130501</v>
      </c>
      <c r="N2312">
        <v>58.999035834876999</v>
      </c>
      <c r="O2312">
        <v>57.003062098380198</v>
      </c>
      <c r="P2312">
        <v>-6.2331426800834498E-2</v>
      </c>
      <c r="Q2312">
        <v>0.139412524961816</v>
      </c>
      <c r="R2312">
        <v>0.99108200172865601</v>
      </c>
      <c r="S2312" t="s">
        <v>9315</v>
      </c>
      <c r="T2312" t="s">
        <v>14004</v>
      </c>
      <c r="U2312" t="s">
        <v>14004</v>
      </c>
      <c r="V2312" t="s">
        <v>14004</v>
      </c>
      <c r="W2312" t="s">
        <v>16278</v>
      </c>
      <c r="X2312">
        <v>10</v>
      </c>
      <c r="Y2312" t="s">
        <v>23176</v>
      </c>
      <c r="Z2312" t="s">
        <v>30022</v>
      </c>
      <c r="AA2312">
        <v>0.66241165035202465</v>
      </c>
      <c r="AB2312" t="str">
        <f>HYPERLINK("Melting_Curves/meltCurve_P18065_IGFBP2.pdf", "Melting_Curves/meltCurve_P18065_IGFBP2.pdf")</f>
        <v>Melting_Curves/meltCurve_P18065_IGFBP2.pdf</v>
      </c>
    </row>
    <row r="2313" spans="1:28" x14ac:dyDescent="0.25">
      <c r="A2313" t="s">
        <v>2317</v>
      </c>
      <c r="B2313">
        <v>0.99999676499088797</v>
      </c>
      <c r="C2313">
        <v>1.01705380752299</v>
      </c>
      <c r="D2313">
        <v>0.95418003273766205</v>
      </c>
      <c r="E2313">
        <v>0.70195743025190105</v>
      </c>
      <c r="F2313">
        <v>0.39959656078365902</v>
      </c>
      <c r="G2313">
        <v>0.255188061210255</v>
      </c>
      <c r="H2313">
        <v>0.125025484140705</v>
      </c>
      <c r="I2313">
        <v>0.10471596404517</v>
      </c>
      <c r="J2313">
        <v>8.13283991147154E-2</v>
      </c>
      <c r="K2313">
        <v>6.5227443726680601E-2</v>
      </c>
      <c r="L2313">
        <v>993.03864133893205</v>
      </c>
      <c r="M2313">
        <v>19.196579340498001</v>
      </c>
      <c r="N2313">
        <v>52.179754534112497</v>
      </c>
      <c r="O2313">
        <v>51.178423469105297</v>
      </c>
      <c r="P2313">
        <v>-8.6625817631165003E-2</v>
      </c>
      <c r="Q2313">
        <v>7.6251445210875096E-2</v>
      </c>
      <c r="R2313">
        <v>0.99688886005330701</v>
      </c>
      <c r="S2313" t="s">
        <v>9316</v>
      </c>
      <c r="T2313" t="s">
        <v>14004</v>
      </c>
      <c r="U2313" t="s">
        <v>14004</v>
      </c>
      <c r="V2313" t="s">
        <v>14004</v>
      </c>
      <c r="W2313" t="s">
        <v>16279</v>
      </c>
      <c r="X2313">
        <v>10</v>
      </c>
      <c r="Y2313" t="s">
        <v>23177</v>
      </c>
      <c r="Z2313" t="s">
        <v>30023</v>
      </c>
      <c r="AA2313">
        <v>0.45121276213941808</v>
      </c>
      <c r="AB2313" t="str">
        <f>HYPERLINK("Melting_Curves/meltCurve_P18074_ERCC2.pdf", "Melting_Curves/meltCurve_P18074_ERCC2.pdf")</f>
        <v>Melting_Curves/meltCurve_P18074_ERCC2.pdf</v>
      </c>
    </row>
    <row r="2314" spans="1:28" x14ac:dyDescent="0.25">
      <c r="A2314" t="s">
        <v>2318</v>
      </c>
      <c r="B2314">
        <v>0.99999676499088797</v>
      </c>
      <c r="C2314">
        <v>0.87277234312227003</v>
      </c>
      <c r="D2314">
        <v>0.99791011282292197</v>
      </c>
      <c r="E2314">
        <v>1.11737657714608</v>
      </c>
      <c r="F2314">
        <v>1.7116226402116801</v>
      </c>
      <c r="G2314">
        <v>0.84622451756843897</v>
      </c>
      <c r="H2314">
        <v>0.30929565155149302</v>
      </c>
      <c r="I2314">
        <v>0.251599606951525</v>
      </c>
      <c r="J2314">
        <v>0.28460080274146798</v>
      </c>
      <c r="K2314">
        <v>0.242586666299825</v>
      </c>
      <c r="L2314">
        <v>10568.2665276065</v>
      </c>
      <c r="M2314">
        <v>184.74344780918199</v>
      </c>
      <c r="N2314">
        <v>57.4493081335889</v>
      </c>
      <c r="O2314">
        <v>57.198392214247697</v>
      </c>
      <c r="P2314">
        <v>-0.58782290634260004</v>
      </c>
      <c r="Q2314">
        <v>0.27201694266566301</v>
      </c>
      <c r="R2314">
        <v>0.74600082654460698</v>
      </c>
      <c r="S2314" t="s">
        <v>9317</v>
      </c>
      <c r="T2314" t="s">
        <v>14004</v>
      </c>
      <c r="U2314" t="s">
        <v>14004</v>
      </c>
      <c r="V2314" t="s">
        <v>14004</v>
      </c>
      <c r="W2314" t="s">
        <v>16280</v>
      </c>
      <c r="X2314">
        <v>2</v>
      </c>
      <c r="Y2314" t="s">
        <v>23178</v>
      </c>
      <c r="Z2314" t="s">
        <v>30024</v>
      </c>
      <c r="AA2314">
        <v>0.68965139732437963</v>
      </c>
      <c r="AB2314" t="str">
        <f>HYPERLINK("Melting_Curves/meltCurve_P18077_RPL35A.pdf", "Melting_Curves/meltCurve_P18077_RPL35A.pdf")</f>
        <v>Melting_Curves/meltCurve_P18077_RPL35A.pdf</v>
      </c>
    </row>
    <row r="2315" spans="1:28" x14ac:dyDescent="0.25">
      <c r="A2315" t="s">
        <v>2319</v>
      </c>
      <c r="B2315">
        <v>0.99999676499088797</v>
      </c>
      <c r="C2315">
        <v>0.95039687492679503</v>
      </c>
      <c r="D2315">
        <v>1.07230126271441</v>
      </c>
      <c r="E2315">
        <v>1.0380737277332199</v>
      </c>
      <c r="F2315">
        <v>1.2041181301661401</v>
      </c>
      <c r="G2315">
        <v>1.99136543580519</v>
      </c>
      <c r="H2315">
        <v>1.30049037968784</v>
      </c>
      <c r="I2315">
        <v>0.57058268586534999</v>
      </c>
      <c r="J2315">
        <v>0.34174715819483298</v>
      </c>
      <c r="K2315">
        <v>0.39950782196596701</v>
      </c>
      <c r="L2315">
        <v>15000</v>
      </c>
      <c r="M2315">
        <v>235.13922203607399</v>
      </c>
      <c r="N2315">
        <v>64.160870371975406</v>
      </c>
      <c r="O2315">
        <v>63.7873740165968</v>
      </c>
      <c r="P2315">
        <v>-0.58001846544942604</v>
      </c>
      <c r="Q2315">
        <v>0.37062208524604801</v>
      </c>
      <c r="R2315">
        <v>0.464130265916114</v>
      </c>
      <c r="S2315" t="s">
        <v>9318</v>
      </c>
      <c r="T2315" t="s">
        <v>14004</v>
      </c>
      <c r="U2315" t="s">
        <v>14004</v>
      </c>
      <c r="V2315" t="s">
        <v>14004</v>
      </c>
      <c r="W2315" t="s">
        <v>16281</v>
      </c>
      <c r="X2315">
        <v>2</v>
      </c>
      <c r="Y2315" t="s">
        <v>23179</v>
      </c>
      <c r="Z2315" t="s">
        <v>30025</v>
      </c>
      <c r="AA2315">
        <v>0.86984026983937435</v>
      </c>
      <c r="AB2315" t="str">
        <f>HYPERLINK("Melting_Curves/meltCurve_P18084_ITGB5.pdf", "Melting_Curves/meltCurve_P18084_ITGB5.pdf")</f>
        <v>Melting_Curves/meltCurve_P18084_ITGB5.pdf</v>
      </c>
    </row>
    <row r="2316" spans="1:28" x14ac:dyDescent="0.25">
      <c r="A2316" t="s">
        <v>2320</v>
      </c>
      <c r="B2316">
        <v>0.99999676499088797</v>
      </c>
      <c r="C2316">
        <v>0.94013081971078405</v>
      </c>
      <c r="D2316">
        <v>1.01569654604147</v>
      </c>
      <c r="E2316">
        <v>1.3000404685136799</v>
      </c>
      <c r="F2316">
        <v>0.95268060302330204</v>
      </c>
      <c r="G2316">
        <v>0.36864566815107203</v>
      </c>
      <c r="H2316">
        <v>0.13027096054251699</v>
      </c>
      <c r="I2316">
        <v>0.109073594949561</v>
      </c>
      <c r="J2316">
        <v>0.10032547332084001</v>
      </c>
      <c r="K2316">
        <v>7.2804043402532201E-2</v>
      </c>
      <c r="L2316">
        <v>3221.858538894</v>
      </c>
      <c r="M2316">
        <v>57.573608266121198</v>
      </c>
      <c r="N2316">
        <v>56.179469794358802</v>
      </c>
      <c r="O2316">
        <v>55.8932743527265</v>
      </c>
      <c r="P2316">
        <v>-0.23165402766410301</v>
      </c>
      <c r="Q2316">
        <v>0.100428134293631</v>
      </c>
      <c r="R2316">
        <v>0.954663049237509</v>
      </c>
      <c r="S2316" t="s">
        <v>9319</v>
      </c>
      <c r="T2316" t="s">
        <v>14004</v>
      </c>
      <c r="U2316" t="s">
        <v>14004</v>
      </c>
      <c r="V2316" t="s">
        <v>14004</v>
      </c>
      <c r="W2316" t="s">
        <v>16282</v>
      </c>
      <c r="X2316">
        <v>10</v>
      </c>
      <c r="Y2316" t="s">
        <v>23180</v>
      </c>
      <c r="Z2316" t="s">
        <v>30026</v>
      </c>
      <c r="AA2316">
        <v>0.5806928864831844</v>
      </c>
      <c r="AB2316" t="str">
        <f>HYPERLINK("Melting_Curves/meltCurve_P18085_ARF4.pdf", "Melting_Curves/meltCurve_P18085_ARF4.pdf")</f>
        <v>Melting_Curves/meltCurve_P18085_ARF4.pdf</v>
      </c>
    </row>
    <row r="2317" spans="1:28" x14ac:dyDescent="0.25">
      <c r="A2317" t="s">
        <v>2321</v>
      </c>
      <c r="B2317">
        <v>0.99999676499088797</v>
      </c>
      <c r="C2317">
        <v>1.1478214513317</v>
      </c>
      <c r="D2317">
        <v>1.20480440549773</v>
      </c>
      <c r="E2317">
        <v>1.1478286398836199</v>
      </c>
      <c r="F2317">
        <v>1.6420631621333099</v>
      </c>
      <c r="G2317">
        <v>1.0759860302056401</v>
      </c>
      <c r="H2317">
        <v>0.24007898290410401</v>
      </c>
      <c r="I2317">
        <v>0.23715940386533699</v>
      </c>
      <c r="J2317">
        <v>0.21519057680102399</v>
      </c>
      <c r="K2317">
        <v>0.204423288144118</v>
      </c>
      <c r="L2317">
        <v>14982.2662300545</v>
      </c>
      <c r="M2317">
        <v>250</v>
      </c>
      <c r="N2317">
        <v>60.0674603336752</v>
      </c>
      <c r="O2317">
        <v>59.925213665266703</v>
      </c>
      <c r="P2317">
        <v>-0.81463669203526701</v>
      </c>
      <c r="Q2317">
        <v>0.21892334369317201</v>
      </c>
      <c r="R2317">
        <v>0.80278687640322599</v>
      </c>
      <c r="S2317" t="s">
        <v>9320</v>
      </c>
      <c r="T2317" t="s">
        <v>14004</v>
      </c>
      <c r="U2317" t="s">
        <v>14004</v>
      </c>
      <c r="V2317" t="s">
        <v>14004</v>
      </c>
      <c r="W2317" t="s">
        <v>16283</v>
      </c>
      <c r="X2317">
        <v>9</v>
      </c>
      <c r="Y2317" t="s">
        <v>23181</v>
      </c>
      <c r="Z2317" t="s">
        <v>30027</v>
      </c>
      <c r="AA2317">
        <v>0.73787640613969019</v>
      </c>
      <c r="AB2317" t="str">
        <f>HYPERLINK("Melting_Curves/meltCurve_P18124_RPL7.pdf", "Melting_Curves/meltCurve_P18124_RPL7.pdf")</f>
        <v>Melting_Curves/meltCurve_P18124_RPL7.pdf</v>
      </c>
    </row>
    <row r="2318" spans="1:28" x14ac:dyDescent="0.25">
      <c r="A2318" t="s">
        <v>2322</v>
      </c>
      <c r="B2318">
        <v>0.99999676499088797</v>
      </c>
      <c r="C2318">
        <v>1.0306437984244901</v>
      </c>
      <c r="D2318">
        <v>0.934255682073307</v>
      </c>
      <c r="E2318">
        <v>0.76555535965013499</v>
      </c>
      <c r="F2318">
        <v>0.55660684043541098</v>
      </c>
      <c r="G2318">
        <v>0.44525093687825301</v>
      </c>
      <c r="H2318">
        <v>0.307185762324029</v>
      </c>
      <c r="I2318">
        <v>0.34953920246110398</v>
      </c>
      <c r="J2318">
        <v>0.34935119479642102</v>
      </c>
      <c r="K2318">
        <v>0.35326246947682399</v>
      </c>
      <c r="L2318">
        <v>1026.02978614313</v>
      </c>
      <c r="M2318">
        <v>20.003860101443699</v>
      </c>
      <c r="N2318">
        <v>54.282974094489603</v>
      </c>
      <c r="O2318">
        <v>50.787250661810603</v>
      </c>
      <c r="P2318">
        <v>-6.5586721986379701E-2</v>
      </c>
      <c r="Q2318">
        <v>0.33395632719544199</v>
      </c>
      <c r="R2318">
        <v>0.99207937483520103</v>
      </c>
      <c r="S2318" t="s">
        <v>9321</v>
      </c>
      <c r="T2318" t="s">
        <v>14004</v>
      </c>
      <c r="U2318" t="s">
        <v>14004</v>
      </c>
      <c r="V2318" t="s">
        <v>14004</v>
      </c>
      <c r="W2318" t="s">
        <v>16284</v>
      </c>
      <c r="X2318">
        <v>3</v>
      </c>
      <c r="Y2318" t="s">
        <v>23182</v>
      </c>
      <c r="Z2318" t="s">
        <v>30028</v>
      </c>
      <c r="AA2318">
        <v>0.59388162286101243</v>
      </c>
      <c r="AB2318" t="str">
        <f>HYPERLINK("Melting_Curves/meltCurve_P18146_EGR1.pdf", "Melting_Curves/meltCurve_P18146_EGR1.pdf")</f>
        <v>Melting_Curves/meltCurve_P18146_EGR1.pdf</v>
      </c>
    </row>
    <row r="2319" spans="1:28" x14ac:dyDescent="0.25">
      <c r="A2319" t="s">
        <v>2323</v>
      </c>
      <c r="B2319">
        <v>0.99999676499088797</v>
      </c>
      <c r="C2319">
        <v>0.92975271782415103</v>
      </c>
      <c r="D2319">
        <v>0.95118758163696404</v>
      </c>
      <c r="E2319">
        <v>0.94665863769330705</v>
      </c>
      <c r="F2319">
        <v>0.97606310156875398</v>
      </c>
      <c r="G2319">
        <v>0.856956444779578</v>
      </c>
      <c r="H2319">
        <v>0.41677592646224698</v>
      </c>
      <c r="I2319">
        <v>0.22588587075224401</v>
      </c>
      <c r="J2319">
        <v>0.14181521408212999</v>
      </c>
      <c r="K2319">
        <v>0.109146512262499</v>
      </c>
      <c r="L2319">
        <v>1849.02149235209</v>
      </c>
      <c r="M2319">
        <v>30.992714055226401</v>
      </c>
      <c r="N2319">
        <v>60.149742217658201</v>
      </c>
      <c r="O2319">
        <v>59.413147956224698</v>
      </c>
      <c r="P2319">
        <v>-0.11586697237485601</v>
      </c>
      <c r="Q2319">
        <v>0.11153544563487899</v>
      </c>
      <c r="R2319">
        <v>0.99181878381028399</v>
      </c>
      <c r="S2319" t="s">
        <v>9322</v>
      </c>
      <c r="T2319" t="s">
        <v>14004</v>
      </c>
      <c r="U2319" t="s">
        <v>14004</v>
      </c>
      <c r="V2319" t="s">
        <v>14004</v>
      </c>
      <c r="W2319" t="s">
        <v>16285</v>
      </c>
      <c r="X2319">
        <v>44</v>
      </c>
      <c r="Y2319" t="s">
        <v>23183</v>
      </c>
      <c r="Z2319" t="s">
        <v>30029</v>
      </c>
      <c r="AA2319">
        <v>0.69904239799688062</v>
      </c>
      <c r="AB2319" t="str">
        <f>HYPERLINK("Melting_Curves/meltCurve_P18206_2_VCL.pdf", "Melting_Curves/meltCurve_P18206_2_VCL.pdf")</f>
        <v>Melting_Curves/meltCurve_P18206_2_VCL.pdf</v>
      </c>
    </row>
    <row r="2320" spans="1:28" x14ac:dyDescent="0.25">
      <c r="A2320" t="s">
        <v>2324</v>
      </c>
      <c r="B2320">
        <v>0.99999676499088797</v>
      </c>
      <c r="C2320">
        <v>0.83544824910033699</v>
      </c>
      <c r="D2320">
        <v>1.46916252538947</v>
      </c>
      <c r="E2320">
        <v>0.85086433653872595</v>
      </c>
      <c r="F2320">
        <v>0.209902528960667</v>
      </c>
      <c r="G2320">
        <v>0.17897905152485399</v>
      </c>
      <c r="H2320">
        <v>5.90616048062855E-2</v>
      </c>
      <c r="I2320">
        <v>6.7391462312977504E-2</v>
      </c>
      <c r="J2320">
        <v>2.6185865343280299E-2</v>
      </c>
      <c r="K2320">
        <v>4.32386072440561E-2</v>
      </c>
      <c r="L2320">
        <v>2604.9944645540299</v>
      </c>
      <c r="M2320">
        <v>50.725189333977603</v>
      </c>
      <c r="N2320">
        <v>51.515773367214102</v>
      </c>
      <c r="O2320">
        <v>51.275429069735502</v>
      </c>
      <c r="P2320">
        <v>-0.22921766643765701</v>
      </c>
      <c r="Q2320">
        <v>7.3184565507924904E-2</v>
      </c>
      <c r="R2320">
        <v>0.891355535668091</v>
      </c>
      <c r="S2320" t="s">
        <v>9323</v>
      </c>
      <c r="T2320" t="s">
        <v>14004</v>
      </c>
      <c r="U2320" t="s">
        <v>14004</v>
      </c>
      <c r="V2320" t="s">
        <v>14004</v>
      </c>
      <c r="W2320" t="s">
        <v>16286</v>
      </c>
      <c r="X2320">
        <v>1</v>
      </c>
      <c r="Y2320" t="s">
        <v>23184</v>
      </c>
      <c r="Z2320" t="s">
        <v>30030</v>
      </c>
      <c r="AA2320">
        <v>0.42602515674891878</v>
      </c>
      <c r="AB2320" t="str">
        <f>HYPERLINK("Melting_Curves/meltCurve_P18583_2_SON.pdf", "Melting_Curves/meltCurve_P18583_2_SON.pdf")</f>
        <v>Melting_Curves/meltCurve_P18583_2_SON.pdf</v>
      </c>
    </row>
    <row r="2321" spans="1:28" x14ac:dyDescent="0.25">
      <c r="A2321" t="s">
        <v>2325</v>
      </c>
      <c r="B2321">
        <v>0.99999676499088797</v>
      </c>
      <c r="C2321">
        <v>0.92268730900921903</v>
      </c>
      <c r="D2321">
        <v>0.84915356556063004</v>
      </c>
      <c r="E2321">
        <v>0.59184006002476697</v>
      </c>
      <c r="F2321">
        <v>0.42785242078330199</v>
      </c>
      <c r="G2321">
        <v>0.315023836174878</v>
      </c>
      <c r="H2321">
        <v>0.205110357071495</v>
      </c>
      <c r="I2321">
        <v>0.24316285728279999</v>
      </c>
      <c r="J2321">
        <v>0.25423839852862301</v>
      </c>
      <c r="K2321">
        <v>0.358899611608195</v>
      </c>
      <c r="L2321">
        <v>916.88334202474903</v>
      </c>
      <c r="M2321">
        <v>18.655568964509801</v>
      </c>
      <c r="N2321">
        <v>51.164042543935999</v>
      </c>
      <c r="O2321">
        <v>48.5936878742978</v>
      </c>
      <c r="P2321">
        <v>-7.1000281908684904E-2</v>
      </c>
      <c r="Q2321">
        <v>0.260270721866532</v>
      </c>
      <c r="R2321">
        <v>0.97888865878401399</v>
      </c>
      <c r="S2321" t="s">
        <v>9324</v>
      </c>
      <c r="T2321" t="s">
        <v>14004</v>
      </c>
      <c r="U2321" t="s">
        <v>14004</v>
      </c>
      <c r="V2321" t="s">
        <v>14004</v>
      </c>
      <c r="W2321" t="s">
        <v>16287</v>
      </c>
      <c r="X2321">
        <v>20</v>
      </c>
      <c r="Y2321" t="s">
        <v>20956</v>
      </c>
      <c r="Z2321" t="s">
        <v>30031</v>
      </c>
      <c r="AA2321">
        <v>0.49773907991811478</v>
      </c>
      <c r="AB2321" t="str">
        <f>HYPERLINK("Melting_Curves/meltCurve_P18615_NELFE.pdf", "Melting_Curves/meltCurve_P18615_NELFE.pdf")</f>
        <v>Melting_Curves/meltCurve_P18615_NELFE.pdf</v>
      </c>
    </row>
    <row r="2322" spans="1:28" x14ac:dyDescent="0.25">
      <c r="A2322" t="s">
        <v>2326</v>
      </c>
      <c r="B2322">
        <v>0.99999676499088797</v>
      </c>
      <c r="C2322">
        <v>1.02243058298138</v>
      </c>
      <c r="D2322">
        <v>0.98265299045611698</v>
      </c>
      <c r="E2322">
        <v>0.96004262638045301</v>
      </c>
      <c r="F2322">
        <v>0.99523852362349796</v>
      </c>
      <c r="G2322">
        <v>0.85635020841105103</v>
      </c>
      <c r="H2322">
        <v>0.54170014768055896</v>
      </c>
      <c r="I2322">
        <v>0.39861379796263402</v>
      </c>
      <c r="J2322">
        <v>0.25107833966170101</v>
      </c>
      <c r="K2322">
        <v>0.18405898177719099</v>
      </c>
      <c r="L2322">
        <v>1308.4349986986599</v>
      </c>
      <c r="M2322">
        <v>21.521476711267798</v>
      </c>
      <c r="N2322">
        <v>61.820113571172399</v>
      </c>
      <c r="O2322">
        <v>60.279111566964801</v>
      </c>
      <c r="P2322">
        <v>-7.5883235524124099E-2</v>
      </c>
      <c r="Q2322">
        <v>0.149860977194471</v>
      </c>
      <c r="R2322">
        <v>0.99476518180310702</v>
      </c>
      <c r="S2322" t="s">
        <v>9325</v>
      </c>
      <c r="T2322" t="s">
        <v>14004</v>
      </c>
      <c r="U2322" t="s">
        <v>14004</v>
      </c>
      <c r="V2322" t="s">
        <v>14004</v>
      </c>
      <c r="W2322" t="s">
        <v>16288</v>
      </c>
      <c r="X2322">
        <v>30</v>
      </c>
      <c r="Y2322" t="s">
        <v>23185</v>
      </c>
      <c r="Z2322" t="s">
        <v>30032</v>
      </c>
      <c r="AA2322">
        <v>0.74494115452314225</v>
      </c>
      <c r="AB2322" t="str">
        <f>HYPERLINK("Melting_Curves/meltCurve_P18669_PGAM1.pdf", "Melting_Curves/meltCurve_P18669_PGAM1.pdf")</f>
        <v>Melting_Curves/meltCurve_P18669_PGAM1.pdf</v>
      </c>
    </row>
    <row r="2323" spans="1:28" x14ac:dyDescent="0.25">
      <c r="A2323" t="s">
        <v>2327</v>
      </c>
      <c r="B2323">
        <v>0.99999676499088797</v>
      </c>
      <c r="C2323">
        <v>1.04397272173373</v>
      </c>
      <c r="D2323">
        <v>0.88132818685187697</v>
      </c>
      <c r="E2323">
        <v>0.388042462703658</v>
      </c>
      <c r="F2323">
        <v>0.164001413439987</v>
      </c>
      <c r="G2323">
        <v>0.102772308238989</v>
      </c>
      <c r="H2323">
        <v>4.7304772979305798E-2</v>
      </c>
      <c r="I2323">
        <v>4.9158950340676501E-2</v>
      </c>
      <c r="J2323">
        <v>5.2127480174052901E-2</v>
      </c>
      <c r="K2323">
        <v>5.2559237059378497E-2</v>
      </c>
      <c r="L2323">
        <v>1524.08580267089</v>
      </c>
      <c r="M2323">
        <v>31.27339316063</v>
      </c>
      <c r="N2323">
        <v>48.945170003245103</v>
      </c>
      <c r="O2323">
        <v>48.536315900321803</v>
      </c>
      <c r="P2323">
        <v>-0.15092928324920099</v>
      </c>
      <c r="Q2323">
        <v>6.3036395674730503E-2</v>
      </c>
      <c r="R2323">
        <v>0.99591791702177102</v>
      </c>
      <c r="S2323" t="s">
        <v>9326</v>
      </c>
      <c r="T2323" t="s">
        <v>14004</v>
      </c>
      <c r="U2323" t="s">
        <v>14004</v>
      </c>
      <c r="V2323" t="s">
        <v>14004</v>
      </c>
      <c r="W2323" t="s">
        <v>16289</v>
      </c>
      <c r="X2323">
        <v>17</v>
      </c>
      <c r="Y2323" t="s">
        <v>23186</v>
      </c>
      <c r="Z2323" t="s">
        <v>30033</v>
      </c>
      <c r="AA2323">
        <v>0.34104612411171431</v>
      </c>
      <c r="AB2323" t="str">
        <f>HYPERLINK("Melting_Curves/meltCurve_P18754_2_RCC1.pdf", "Melting_Curves/meltCurve_P18754_2_RCC1.pdf")</f>
        <v>Melting_Curves/meltCurve_P18754_2_RCC1.pdf</v>
      </c>
    </row>
    <row r="2324" spans="1:28" x14ac:dyDescent="0.25">
      <c r="A2324" t="s">
        <v>2328</v>
      </c>
      <c r="B2324">
        <v>0.99999676499088797</v>
      </c>
      <c r="C2324">
        <v>0.95982472641211103</v>
      </c>
      <c r="D2324">
        <v>0.95621723788553603</v>
      </c>
      <c r="E2324">
        <v>0.68197523078629896</v>
      </c>
      <c r="F2324">
        <v>0.42080595887606898</v>
      </c>
      <c r="G2324">
        <v>0.462605669058538</v>
      </c>
      <c r="H2324">
        <v>0.28566820035345297</v>
      </c>
      <c r="I2324">
        <v>0.358151098934263</v>
      </c>
      <c r="J2324">
        <v>0.34515484813625702</v>
      </c>
      <c r="K2324">
        <v>0.29603603292146602</v>
      </c>
      <c r="L2324">
        <v>1245.68796489442</v>
      </c>
      <c r="M2324">
        <v>24.984952969988498</v>
      </c>
      <c r="N2324">
        <v>52.1791326809835</v>
      </c>
      <c r="O2324">
        <v>49.541426744735197</v>
      </c>
      <c r="P2324">
        <v>-8.3782916949810299E-2</v>
      </c>
      <c r="Q2324">
        <v>0.33549298619467399</v>
      </c>
      <c r="R2324">
        <v>0.97783934646916004</v>
      </c>
      <c r="S2324" t="s">
        <v>9327</v>
      </c>
      <c r="T2324" t="s">
        <v>14004</v>
      </c>
      <c r="U2324" t="s">
        <v>14004</v>
      </c>
      <c r="V2324" t="s">
        <v>14004</v>
      </c>
      <c r="W2324" t="s">
        <v>16290</v>
      </c>
      <c r="X2324">
        <v>8</v>
      </c>
      <c r="Y2324" t="s">
        <v>23187</v>
      </c>
      <c r="Z2324" t="s">
        <v>30034</v>
      </c>
      <c r="AA2324">
        <v>0.55977747936882316</v>
      </c>
      <c r="AB2324" t="str">
        <f>HYPERLINK("Melting_Curves/meltCurve_P18846_ATF1.pdf", "Melting_Curves/meltCurve_P18846_ATF1.pdf")</f>
        <v>Melting_Curves/meltCurve_P18846_ATF1.pdf</v>
      </c>
    </row>
    <row r="2325" spans="1:28" x14ac:dyDescent="0.25">
      <c r="A2325" t="s">
        <v>2329</v>
      </c>
      <c r="B2325">
        <v>0.99999676499088797</v>
      </c>
      <c r="C2325">
        <v>0.95802084515863095</v>
      </c>
      <c r="D2325">
        <v>0.89212285016910897</v>
      </c>
      <c r="E2325">
        <v>0.49659053860278302</v>
      </c>
      <c r="F2325">
        <v>0.239188606159323</v>
      </c>
      <c r="G2325">
        <v>0.16876884413025001</v>
      </c>
      <c r="H2325">
        <v>9.1664556043868695E-2</v>
      </c>
      <c r="I2325">
        <v>9.52947013741378E-2</v>
      </c>
      <c r="J2325">
        <v>9.1628416380519204E-2</v>
      </c>
      <c r="K2325">
        <v>7.4018496415538496E-2</v>
      </c>
      <c r="L2325">
        <v>1166.32529920616</v>
      </c>
      <c r="M2325">
        <v>23.631853498778401</v>
      </c>
      <c r="N2325">
        <v>49.7842643785403</v>
      </c>
      <c r="O2325">
        <v>49.004631912431698</v>
      </c>
      <c r="P2325">
        <v>-0.109424411860197</v>
      </c>
      <c r="Q2325">
        <v>9.2375725191933905E-2</v>
      </c>
      <c r="R2325">
        <v>0.997379026844321</v>
      </c>
      <c r="S2325" t="s">
        <v>9328</v>
      </c>
      <c r="T2325" t="s">
        <v>14004</v>
      </c>
      <c r="U2325" t="s">
        <v>14004</v>
      </c>
      <c r="V2325" t="s">
        <v>14004</v>
      </c>
      <c r="W2325" t="s">
        <v>16291</v>
      </c>
      <c r="X2325">
        <v>44</v>
      </c>
      <c r="Y2325" t="s">
        <v>23188</v>
      </c>
      <c r="Z2325" t="s">
        <v>30035</v>
      </c>
      <c r="AA2325">
        <v>0.38441621424547751</v>
      </c>
      <c r="AB2325" t="str">
        <f>HYPERLINK("Melting_Curves/meltCurve_P18858_LIG1.pdf", "Melting_Curves/meltCurve_P18858_LIG1.pdf")</f>
        <v>Melting_Curves/meltCurve_P18858_LIG1.pdf</v>
      </c>
    </row>
    <row r="2326" spans="1:28" x14ac:dyDescent="0.25">
      <c r="A2326" t="s">
        <v>2330</v>
      </c>
      <c r="B2326">
        <v>0.99999676499088797</v>
      </c>
      <c r="C2326">
        <v>0.95505171581188197</v>
      </c>
      <c r="D2326">
        <v>1.0499842297012101</v>
      </c>
      <c r="E2326">
        <v>0.99519443053608803</v>
      </c>
      <c r="F2326">
        <v>1.0827755315156899</v>
      </c>
      <c r="G2326">
        <v>1.0780240568399</v>
      </c>
      <c r="H2326">
        <v>0.79743134125171999</v>
      </c>
      <c r="I2326">
        <v>0.85955941064129404</v>
      </c>
      <c r="J2326">
        <v>0.89596027334367501</v>
      </c>
      <c r="K2326">
        <v>1.03553323060842</v>
      </c>
      <c r="L2326">
        <v>2886.6859495990402</v>
      </c>
      <c r="M2326">
        <v>49.294565161827201</v>
      </c>
      <c r="O2326">
        <v>58.463790835416297</v>
      </c>
      <c r="P2326">
        <v>-2.06573213004645E-2</v>
      </c>
      <c r="Q2326">
        <v>0.90200102543245797</v>
      </c>
      <c r="R2326">
        <v>0.35270297551430602</v>
      </c>
      <c r="S2326" t="s">
        <v>9329</v>
      </c>
      <c r="T2326" t="s">
        <v>14004</v>
      </c>
      <c r="U2326" t="s">
        <v>14004</v>
      </c>
      <c r="V2326" t="s">
        <v>14004</v>
      </c>
      <c r="W2326" t="s">
        <v>16292</v>
      </c>
      <c r="X2326">
        <v>10</v>
      </c>
      <c r="Y2326" t="s">
        <v>23189</v>
      </c>
      <c r="Z2326" t="s">
        <v>30036</v>
      </c>
      <c r="AA2326">
        <v>0.96288810408239478</v>
      </c>
      <c r="AB2326" t="str">
        <f>HYPERLINK("Melting_Curves/meltCurve_P18859_ATP5J.pdf", "Melting_Curves/meltCurve_P18859_ATP5J.pdf")</f>
        <v>Melting_Curves/meltCurve_P18859_ATP5J.pdf</v>
      </c>
    </row>
    <row r="2327" spans="1:28" x14ac:dyDescent="0.25">
      <c r="A2327" t="s">
        <v>2331</v>
      </c>
      <c r="B2327">
        <v>0.99999676499088797</v>
      </c>
      <c r="C2327">
        <v>0.93590640482296705</v>
      </c>
      <c r="D2327">
        <v>0.69639692277344301</v>
      </c>
      <c r="E2327">
        <v>0.25544450422577297</v>
      </c>
      <c r="F2327">
        <v>0.188424165192976</v>
      </c>
      <c r="G2327">
        <v>0.12450063749047199</v>
      </c>
      <c r="H2327">
        <v>6.84270473133618E-2</v>
      </c>
      <c r="I2327">
        <v>7.7972331134750605E-2</v>
      </c>
      <c r="J2327">
        <v>8.3494213178388593E-2</v>
      </c>
      <c r="K2327">
        <v>7.3993654382993906E-2</v>
      </c>
      <c r="L2327">
        <v>1229.4410399899</v>
      </c>
      <c r="M2327">
        <v>26.081034928537001</v>
      </c>
      <c r="N2327">
        <v>47.496882981430097</v>
      </c>
      <c r="O2327">
        <v>46.864743552049397</v>
      </c>
      <c r="P2327">
        <v>-0.126728065115569</v>
      </c>
      <c r="Q2327">
        <v>8.9144603212607906E-2</v>
      </c>
      <c r="R2327">
        <v>0.99557229312514395</v>
      </c>
      <c r="S2327" t="s">
        <v>9330</v>
      </c>
      <c r="T2327" t="s">
        <v>14004</v>
      </c>
      <c r="U2327" t="s">
        <v>14004</v>
      </c>
      <c r="V2327" t="s">
        <v>14004</v>
      </c>
      <c r="W2327" t="s">
        <v>16293</v>
      </c>
      <c r="X2327">
        <v>21</v>
      </c>
      <c r="Y2327" t="s">
        <v>23190</v>
      </c>
      <c r="Z2327" t="s">
        <v>30037</v>
      </c>
      <c r="AA2327">
        <v>0.3133002478964485</v>
      </c>
      <c r="AB2327" t="str">
        <f>HYPERLINK("Melting_Curves/meltCurve_P18887_XRCC1.pdf", "Melting_Curves/meltCurve_P18887_XRCC1.pdf")</f>
        <v>Melting_Curves/meltCurve_P18887_XRCC1.pdf</v>
      </c>
    </row>
    <row r="2328" spans="1:28" x14ac:dyDescent="0.25">
      <c r="A2328" t="s">
        <v>2332</v>
      </c>
      <c r="B2328">
        <v>0.99999676499088797</v>
      </c>
      <c r="C2328">
        <v>1.04421598921336</v>
      </c>
      <c r="D2328">
        <v>0.89187588234188198</v>
      </c>
      <c r="E2328">
        <v>0.92522986957946096</v>
      </c>
      <c r="F2328">
        <v>0.86893047425812997</v>
      </c>
      <c r="G2328">
        <v>0.85035245741657595</v>
      </c>
      <c r="H2328">
        <v>0.47470868066136701</v>
      </c>
      <c r="I2328">
        <v>0.50563317826518195</v>
      </c>
      <c r="J2328">
        <v>0.47921831108817198</v>
      </c>
      <c r="K2328">
        <v>0.483206286950008</v>
      </c>
      <c r="L2328">
        <v>3447.9874280006402</v>
      </c>
      <c r="M2328">
        <v>59.882655440875297</v>
      </c>
      <c r="N2328">
        <v>60.895725665979199</v>
      </c>
      <c r="O2328">
        <v>57.514958457932401</v>
      </c>
      <c r="P2328">
        <v>-0.13513466861419399</v>
      </c>
      <c r="Q2328">
        <v>0.48083386939649497</v>
      </c>
      <c r="R2328">
        <v>0.92695577924591199</v>
      </c>
      <c r="S2328" t="s">
        <v>9331</v>
      </c>
      <c r="T2328" t="s">
        <v>14004</v>
      </c>
      <c r="U2328" t="s">
        <v>14004</v>
      </c>
      <c r="V2328" t="s">
        <v>14004</v>
      </c>
      <c r="W2328" t="s">
        <v>16294</v>
      </c>
      <c r="X2328">
        <v>2</v>
      </c>
      <c r="Y2328" t="s">
        <v>23191</v>
      </c>
      <c r="Z2328" t="s">
        <v>30038</v>
      </c>
      <c r="AA2328">
        <v>0.78596617414971182</v>
      </c>
      <c r="AB2328" t="str">
        <f>HYPERLINK("Melting_Curves/meltCurve_P19022_CDH2.pdf", "Melting_Curves/meltCurve_P19022_CDH2.pdf")</f>
        <v>Melting_Curves/meltCurve_P19022_CDH2.pdf</v>
      </c>
    </row>
    <row r="2329" spans="1:28" x14ac:dyDescent="0.25">
      <c r="A2329" t="s">
        <v>2333</v>
      </c>
      <c r="B2329">
        <v>0.99999676499088797</v>
      </c>
      <c r="C2329">
        <v>0.98986503008246296</v>
      </c>
      <c r="D2329">
        <v>0.80618437967352896</v>
      </c>
      <c r="E2329">
        <v>0.30073082968231601</v>
      </c>
      <c r="F2329">
        <v>0.153344217290317</v>
      </c>
      <c r="G2329">
        <v>0.105000292263602</v>
      </c>
      <c r="H2329">
        <v>5.0336107993556999E-2</v>
      </c>
      <c r="I2329">
        <v>4.53581223931845E-2</v>
      </c>
      <c r="J2329">
        <v>4.0081965059542701E-2</v>
      </c>
      <c r="K2329">
        <v>3.4844001640528699E-2</v>
      </c>
      <c r="L2329">
        <v>1412.8937839904199</v>
      </c>
      <c r="M2329">
        <v>29.421453599378999</v>
      </c>
      <c r="N2329">
        <v>48.225078698158299</v>
      </c>
      <c r="O2329">
        <v>47.802363940668897</v>
      </c>
      <c r="P2329">
        <v>-0.14492954375671099</v>
      </c>
      <c r="Q2329">
        <v>5.8112557660444403E-2</v>
      </c>
      <c r="R2329">
        <v>0.99645299171483603</v>
      </c>
      <c r="S2329" t="s">
        <v>9332</v>
      </c>
      <c r="T2329" t="s">
        <v>14004</v>
      </c>
      <c r="U2329" t="s">
        <v>14004</v>
      </c>
      <c r="V2329" t="s">
        <v>14004</v>
      </c>
      <c r="W2329" t="s">
        <v>16295</v>
      </c>
      <c r="X2329">
        <v>30</v>
      </c>
      <c r="Y2329" t="s">
        <v>23192</v>
      </c>
      <c r="Z2329" t="s">
        <v>30039</v>
      </c>
      <c r="AA2329">
        <v>0.31589662678647062</v>
      </c>
      <c r="AB2329" t="str">
        <f>HYPERLINK("Melting_Curves/meltCurve_P19174_PLCG1.pdf", "Melting_Curves/meltCurve_P19174_PLCG1.pdf")</f>
        <v>Melting_Curves/meltCurve_P19174_PLCG1.pdf</v>
      </c>
    </row>
    <row r="2330" spans="1:28" x14ac:dyDescent="0.25">
      <c r="A2330" t="s">
        <v>2334</v>
      </c>
      <c r="B2330">
        <v>0.99999676499088797</v>
      </c>
      <c r="C2330">
        <v>0.86849744885673097</v>
      </c>
      <c r="D2330">
        <v>0.91307500725553004</v>
      </c>
      <c r="E2330">
        <v>0.83315407275381603</v>
      </c>
      <c r="F2330">
        <v>0.43617693230424898</v>
      </c>
      <c r="G2330">
        <v>0.27643151491680101</v>
      </c>
      <c r="H2330">
        <v>0.169366573940708</v>
      </c>
      <c r="I2330">
        <v>0.15406262932689199</v>
      </c>
      <c r="J2330">
        <v>0.15702011994595</v>
      </c>
      <c r="K2330">
        <v>0.19869409730344301</v>
      </c>
      <c r="L2330">
        <v>1232.1358012297201</v>
      </c>
      <c r="M2330">
        <v>23.738594653818001</v>
      </c>
      <c r="N2330">
        <v>52.772433600860801</v>
      </c>
      <c r="O2330">
        <v>51.540199217823002</v>
      </c>
      <c r="P2330">
        <v>-9.6535330954263296E-2</v>
      </c>
      <c r="Q2330">
        <v>0.161640677846526</v>
      </c>
      <c r="R2330">
        <v>0.98018517019697005</v>
      </c>
      <c r="S2330" t="s">
        <v>9333</v>
      </c>
      <c r="T2330" t="s">
        <v>14004</v>
      </c>
      <c r="U2330" t="s">
        <v>14004</v>
      </c>
      <c r="V2330" t="s">
        <v>14004</v>
      </c>
      <c r="W2330" t="s">
        <v>16296</v>
      </c>
      <c r="X2330">
        <v>42</v>
      </c>
      <c r="Y2330" t="s">
        <v>23193</v>
      </c>
      <c r="Z2330" t="s">
        <v>30040</v>
      </c>
      <c r="AA2330">
        <v>0.50275502123800908</v>
      </c>
      <c r="AB2330" t="str">
        <f>HYPERLINK("Melting_Curves/meltCurve_P19338_NCL.pdf", "Melting_Curves/meltCurve_P19338_NCL.pdf")</f>
        <v>Melting_Curves/meltCurve_P19338_NCL.pdf</v>
      </c>
    </row>
    <row r="2331" spans="1:28" x14ac:dyDescent="0.25">
      <c r="A2331" t="s">
        <v>2335</v>
      </c>
      <c r="B2331">
        <v>0.99999676499088797</v>
      </c>
      <c r="C2331">
        <v>1.07056906647003</v>
      </c>
      <c r="D2331">
        <v>0.98007959292274305</v>
      </c>
      <c r="E2331">
        <v>1.0504836774402</v>
      </c>
      <c r="F2331">
        <v>0.95871613911539399</v>
      </c>
      <c r="G2331">
        <v>0.90550179171993594</v>
      </c>
      <c r="H2331">
        <v>0.61813672746878701</v>
      </c>
      <c r="I2331">
        <v>0.26904107790651999</v>
      </c>
      <c r="J2331">
        <v>0.151174522173153</v>
      </c>
      <c r="K2331">
        <v>0.12111101001996299</v>
      </c>
      <c r="L2331">
        <v>1859.8871877930301</v>
      </c>
      <c r="M2331">
        <v>30.3538199638426</v>
      </c>
      <c r="N2331">
        <v>61.685337047613899</v>
      </c>
      <c r="O2331">
        <v>61.009463864536102</v>
      </c>
      <c r="P2331">
        <v>-0.112975698948883</v>
      </c>
      <c r="Q2331">
        <v>9.1706417666786402E-2</v>
      </c>
      <c r="R2331">
        <v>0.99256364121958995</v>
      </c>
      <c r="S2331" t="s">
        <v>9334</v>
      </c>
      <c r="T2331" t="s">
        <v>14004</v>
      </c>
      <c r="U2331" t="s">
        <v>14004</v>
      </c>
      <c r="V2331" t="s">
        <v>14004</v>
      </c>
      <c r="W2331" t="s">
        <v>16297</v>
      </c>
      <c r="X2331">
        <v>8</v>
      </c>
      <c r="Y2331" t="s">
        <v>23194</v>
      </c>
      <c r="Z2331" t="s">
        <v>30041</v>
      </c>
      <c r="AA2331">
        <v>0.740575157600602</v>
      </c>
      <c r="AB2331" t="str">
        <f>HYPERLINK("Melting_Curves/meltCurve_P19387_POLR2C.pdf", "Melting_Curves/meltCurve_P19387_POLR2C.pdf")</f>
        <v>Melting_Curves/meltCurve_P19387_POLR2C.pdf</v>
      </c>
    </row>
    <row r="2332" spans="1:28" x14ac:dyDescent="0.25">
      <c r="A2332" t="s">
        <v>2336</v>
      </c>
      <c r="B2332">
        <v>0.99999676499088797</v>
      </c>
      <c r="C2332">
        <v>1.0059870482767601</v>
      </c>
      <c r="D2332">
        <v>0.85513662501952903</v>
      </c>
      <c r="E2332">
        <v>0.79267187557887198</v>
      </c>
      <c r="F2332">
        <v>0.72221613881053703</v>
      </c>
      <c r="G2332">
        <v>0.61003838990006098</v>
      </c>
      <c r="H2332">
        <v>0.38701961425541398</v>
      </c>
      <c r="I2332">
        <v>0.231879209483416</v>
      </c>
      <c r="J2332">
        <v>0.15923340800940899</v>
      </c>
      <c r="K2332">
        <v>0.13166584527958999</v>
      </c>
      <c r="L2332">
        <v>594.12813849964004</v>
      </c>
      <c r="M2332">
        <v>10.292528519319101</v>
      </c>
      <c r="N2332">
        <v>57.724215547627203</v>
      </c>
      <c r="O2332">
        <v>55.672564499307803</v>
      </c>
      <c r="P2332">
        <v>-4.6239165611102501E-2</v>
      </c>
      <c r="Q2332">
        <v>0</v>
      </c>
      <c r="R2332">
        <v>0.98325617623421502</v>
      </c>
      <c r="S2332" t="s">
        <v>9335</v>
      </c>
      <c r="T2332" t="s">
        <v>14004</v>
      </c>
      <c r="U2332" t="s">
        <v>14004</v>
      </c>
      <c r="V2332" t="s">
        <v>14004</v>
      </c>
      <c r="W2332" t="s">
        <v>16298</v>
      </c>
      <c r="X2332">
        <v>8</v>
      </c>
      <c r="Y2332" t="s">
        <v>23195</v>
      </c>
      <c r="Z2332" t="s">
        <v>30042</v>
      </c>
      <c r="AA2332">
        <v>0.60291274650235394</v>
      </c>
      <c r="AB2332" t="str">
        <f>HYPERLINK("Melting_Curves/meltCurve_P19388_POLR2E.pdf", "Melting_Curves/meltCurve_P19388_POLR2E.pdf")</f>
        <v>Melting_Curves/meltCurve_P19388_POLR2E.pdf</v>
      </c>
    </row>
    <row r="2333" spans="1:28" x14ac:dyDescent="0.25">
      <c r="A2333" t="s">
        <v>2337</v>
      </c>
      <c r="B2333">
        <v>0.99999676499088797</v>
      </c>
      <c r="C2333">
        <v>1.2962930378599999</v>
      </c>
      <c r="D2333">
        <v>1.1769687571406799</v>
      </c>
      <c r="E2333">
        <v>0.48645835157328898</v>
      </c>
      <c r="F2333">
        <v>0.484544165019476</v>
      </c>
      <c r="G2333">
        <v>0.35957070481609399</v>
      </c>
      <c r="H2333">
        <v>0.20142527875533101</v>
      </c>
      <c r="I2333">
        <v>0.163434469732925</v>
      </c>
      <c r="J2333">
        <v>0.16020955767561201</v>
      </c>
      <c r="K2333">
        <v>0.13800974240852901</v>
      </c>
      <c r="L2333">
        <v>1259.3920614681499</v>
      </c>
      <c r="M2333">
        <v>24.961421252280299</v>
      </c>
      <c r="N2333">
        <v>51.489672013034202</v>
      </c>
      <c r="O2333">
        <v>50.133062906580101</v>
      </c>
      <c r="P2333">
        <v>-9.9901727982295505E-2</v>
      </c>
      <c r="Q2333">
        <v>0.19743163818131201</v>
      </c>
      <c r="R2333">
        <v>0.874616854645482</v>
      </c>
      <c r="S2333" t="s">
        <v>9336</v>
      </c>
      <c r="T2333" t="s">
        <v>14004</v>
      </c>
      <c r="U2333" t="s">
        <v>14004</v>
      </c>
      <c r="V2333" t="s">
        <v>14004</v>
      </c>
      <c r="W2333" t="s">
        <v>16299</v>
      </c>
      <c r="X2333">
        <v>2</v>
      </c>
      <c r="Y2333" t="s">
        <v>23196</v>
      </c>
      <c r="Z2333" t="s">
        <v>30043</v>
      </c>
      <c r="AA2333">
        <v>0.48431720130607853</v>
      </c>
      <c r="AB2333" t="str">
        <f>HYPERLINK("Melting_Curves/meltCurve_P19397_CD53.pdf", "Melting_Curves/meltCurve_P19397_CD53.pdf")</f>
        <v>Melting_Curves/meltCurve_P19397_CD53.pdf</v>
      </c>
    </row>
    <row r="2334" spans="1:28" x14ac:dyDescent="0.25">
      <c r="A2334" t="s">
        <v>2338</v>
      </c>
      <c r="B2334">
        <v>0.99999676499088797</v>
      </c>
      <c r="C2334">
        <v>0.97518939868482502</v>
      </c>
      <c r="D2334">
        <v>0.81414112119737103</v>
      </c>
      <c r="E2334">
        <v>0.42205211894910799</v>
      </c>
      <c r="F2334">
        <v>0.23967741058220601</v>
      </c>
      <c r="G2334">
        <v>0.16750245449116899</v>
      </c>
      <c r="H2334">
        <v>9.7748879083577794E-2</v>
      </c>
      <c r="I2334">
        <v>0.144434869405208</v>
      </c>
      <c r="J2334">
        <v>0.16395353518984199</v>
      </c>
      <c r="K2334">
        <v>0.111690580587935</v>
      </c>
      <c r="L2334">
        <v>1195.2792308775399</v>
      </c>
      <c r="M2334">
        <v>24.7176922923882</v>
      </c>
      <c r="N2334">
        <v>48.97331029291</v>
      </c>
      <c r="O2334">
        <v>48.044049711167403</v>
      </c>
      <c r="P2334">
        <v>-0.11143496304787701</v>
      </c>
      <c r="Q2334">
        <v>0.13362274661151</v>
      </c>
      <c r="R2334">
        <v>0.99656890021161804</v>
      </c>
      <c r="S2334" t="s">
        <v>9337</v>
      </c>
      <c r="T2334" t="s">
        <v>14004</v>
      </c>
      <c r="U2334" t="s">
        <v>14004</v>
      </c>
      <c r="V2334" t="s">
        <v>14004</v>
      </c>
      <c r="W2334" t="s">
        <v>16300</v>
      </c>
      <c r="X2334">
        <v>7</v>
      </c>
      <c r="Y2334" t="s">
        <v>23197</v>
      </c>
      <c r="Z2334" t="s">
        <v>30044</v>
      </c>
      <c r="AA2334">
        <v>0.3828148275647888</v>
      </c>
      <c r="AB2334" t="str">
        <f>HYPERLINK("Melting_Curves/meltCurve_P19447_ERCC3.pdf", "Melting_Curves/meltCurve_P19447_ERCC3.pdf")</f>
        <v>Melting_Curves/meltCurve_P19447_ERCC3.pdf</v>
      </c>
    </row>
    <row r="2335" spans="1:28" x14ac:dyDescent="0.25">
      <c r="A2335" t="s">
        <v>2339</v>
      </c>
      <c r="B2335">
        <v>0.99999676499088797</v>
      </c>
      <c r="C2335">
        <v>0.98733616849724604</v>
      </c>
      <c r="D2335">
        <v>0.57438176557461795</v>
      </c>
      <c r="E2335">
        <v>0.27083901319412901</v>
      </c>
      <c r="F2335">
        <v>0.169575359392729</v>
      </c>
      <c r="G2335">
        <v>0.15842897640714401</v>
      </c>
      <c r="H2335">
        <v>7.0441586614856805E-2</v>
      </c>
      <c r="I2335">
        <v>8.8428186083979204E-2</v>
      </c>
      <c r="J2335">
        <v>7.8627790738669198E-2</v>
      </c>
      <c r="K2335">
        <v>6.9298099082980902E-2</v>
      </c>
      <c r="L2335">
        <v>1235.99263532636</v>
      </c>
      <c r="M2335">
        <v>26.552854339821302</v>
      </c>
      <c r="N2335">
        <v>46.942234664287803</v>
      </c>
      <c r="O2335">
        <v>46.286784294498702</v>
      </c>
      <c r="P2335">
        <v>-0.12909647155204201</v>
      </c>
      <c r="Q2335">
        <v>9.9848743159090106E-2</v>
      </c>
      <c r="R2335">
        <v>0.98826509618566305</v>
      </c>
      <c r="S2335" t="s">
        <v>9338</v>
      </c>
      <c r="T2335" t="s">
        <v>14004</v>
      </c>
      <c r="U2335" t="s">
        <v>14004</v>
      </c>
      <c r="V2335" t="s">
        <v>14004</v>
      </c>
      <c r="W2335" t="s">
        <v>16301</v>
      </c>
      <c r="X2335">
        <v>6</v>
      </c>
      <c r="Y2335" t="s">
        <v>23198</v>
      </c>
      <c r="Z2335" t="s">
        <v>30045</v>
      </c>
      <c r="AA2335">
        <v>0.30343591734796782</v>
      </c>
      <c r="AB2335" t="str">
        <f>HYPERLINK("Melting_Curves/meltCurve_P19525_EIF2AK2.pdf", "Melting_Curves/meltCurve_P19525_EIF2AK2.pdf")</f>
        <v>Melting_Curves/meltCurve_P19525_EIF2AK2.pdf</v>
      </c>
    </row>
    <row r="2336" spans="1:28" x14ac:dyDescent="0.25">
      <c r="A2336" t="s">
        <v>2340</v>
      </c>
      <c r="B2336">
        <v>0.99999676499088797</v>
      </c>
      <c r="C2336">
        <v>0.98586196264399695</v>
      </c>
      <c r="D2336">
        <v>0.77943399394187696</v>
      </c>
      <c r="E2336">
        <v>0.51625676049549796</v>
      </c>
      <c r="F2336">
        <v>0.271407172537935</v>
      </c>
      <c r="G2336">
        <v>0.27083723956078998</v>
      </c>
      <c r="H2336">
        <v>0.18523104994380901</v>
      </c>
      <c r="I2336">
        <v>0.20280076067955</v>
      </c>
      <c r="J2336">
        <v>0.21539300057885999</v>
      </c>
      <c r="K2336">
        <v>0.185159213383086</v>
      </c>
      <c r="L2336">
        <v>1046.07750444514</v>
      </c>
      <c r="M2336">
        <v>21.610592939957701</v>
      </c>
      <c r="N2336">
        <v>49.567672144131897</v>
      </c>
      <c r="O2336">
        <v>47.996998514806798</v>
      </c>
      <c r="P2336">
        <v>-9.01960800370704E-2</v>
      </c>
      <c r="Q2336">
        <v>0.198719289713367</v>
      </c>
      <c r="R2336">
        <v>0.994624477393934</v>
      </c>
      <c r="S2336" t="s">
        <v>9339</v>
      </c>
      <c r="T2336" t="s">
        <v>14004</v>
      </c>
      <c r="U2336" t="s">
        <v>14004</v>
      </c>
      <c r="V2336" t="s">
        <v>14004</v>
      </c>
      <c r="W2336" t="s">
        <v>16302</v>
      </c>
      <c r="X2336">
        <v>1</v>
      </c>
      <c r="Y2336" t="s">
        <v>23199</v>
      </c>
      <c r="Z2336" t="s">
        <v>30046</v>
      </c>
      <c r="AA2336">
        <v>0.43284676330685379</v>
      </c>
      <c r="AB2336" t="str">
        <f>HYPERLINK("Melting_Curves/meltCurve_P19532_TFE3.pdf", "Melting_Curves/meltCurve_P19532_TFE3.pdf")</f>
        <v>Melting_Curves/meltCurve_P19532_TFE3.pdf</v>
      </c>
    </row>
    <row r="2337" spans="1:28" x14ac:dyDescent="0.25">
      <c r="A2337" t="s">
        <v>2341</v>
      </c>
      <c r="B2337">
        <v>0.99999676499088797</v>
      </c>
      <c r="C2337">
        <v>0.96254153708106704</v>
      </c>
      <c r="D2337">
        <v>0.94266176287583803</v>
      </c>
      <c r="E2337">
        <v>0.89952982776985602</v>
      </c>
      <c r="F2337">
        <v>0.27710513764543399</v>
      </c>
      <c r="G2337">
        <v>0.206069842474848</v>
      </c>
      <c r="H2337">
        <v>9.2464030545878304E-2</v>
      </c>
      <c r="I2337">
        <v>9.0625076074642902E-2</v>
      </c>
      <c r="J2337">
        <v>0.10104730506764301</v>
      </c>
      <c r="K2337">
        <v>7.0891242713416305E-2</v>
      </c>
      <c r="L2337">
        <v>2391.9047026048902</v>
      </c>
      <c r="M2337">
        <v>46.299110768797398</v>
      </c>
      <c r="N2337">
        <v>51.9319698612086</v>
      </c>
      <c r="O2337">
        <v>51.565891721100201</v>
      </c>
      <c r="P2337">
        <v>-0.20045715276206899</v>
      </c>
      <c r="Q2337">
        <v>0.106959860534239</v>
      </c>
      <c r="R2337">
        <v>0.99138030607670602</v>
      </c>
      <c r="S2337" t="s">
        <v>9340</v>
      </c>
      <c r="T2337" t="s">
        <v>14004</v>
      </c>
      <c r="U2337" t="s">
        <v>14004</v>
      </c>
      <c r="V2337" t="s">
        <v>14004</v>
      </c>
      <c r="W2337" t="s">
        <v>16303</v>
      </c>
      <c r="X2337">
        <v>17</v>
      </c>
      <c r="Y2337" t="s">
        <v>23200</v>
      </c>
      <c r="Z2337" t="s">
        <v>30047</v>
      </c>
      <c r="AA2337">
        <v>0.45648970417229812</v>
      </c>
      <c r="AB2337" t="str">
        <f>HYPERLINK("Melting_Curves/meltCurve_P19623_SRM.pdf", "Melting_Curves/meltCurve_P19623_SRM.pdf")</f>
        <v>Melting_Curves/meltCurve_P19623_SRM.pdf</v>
      </c>
    </row>
    <row r="2338" spans="1:28" x14ac:dyDescent="0.25">
      <c r="A2338" t="s">
        <v>2342</v>
      </c>
      <c r="B2338">
        <v>0.99999676499088797</v>
      </c>
      <c r="C2338">
        <v>1.0600508575993901</v>
      </c>
      <c r="D2338">
        <v>1.11030011057185</v>
      </c>
      <c r="E2338">
        <v>1.28972392563821</v>
      </c>
      <c r="F2338">
        <v>0.61213781313569704</v>
      </c>
      <c r="G2338">
        <v>0.34083227972968999</v>
      </c>
      <c r="H2338">
        <v>0.15532143760761</v>
      </c>
      <c r="I2338">
        <v>0.239470287289267</v>
      </c>
      <c r="J2338">
        <v>0.24915486291536401</v>
      </c>
      <c r="K2338">
        <v>0.21111203248031299</v>
      </c>
      <c r="L2338">
        <v>7292.6161890372796</v>
      </c>
      <c r="M2338">
        <v>137.117680329812</v>
      </c>
      <c r="N2338">
        <v>53.438665256796497</v>
      </c>
      <c r="O2338">
        <v>53.173762255124799</v>
      </c>
      <c r="P2338">
        <v>-0.49050160033297002</v>
      </c>
      <c r="Q2338">
        <v>0.239140474931888</v>
      </c>
      <c r="R2338">
        <v>0.933352779469246</v>
      </c>
      <c r="S2338" t="s">
        <v>9341</v>
      </c>
      <c r="T2338" t="s">
        <v>14004</v>
      </c>
      <c r="U2338" t="s">
        <v>14004</v>
      </c>
      <c r="V2338" t="s">
        <v>14004</v>
      </c>
      <c r="W2338" t="s">
        <v>14505</v>
      </c>
      <c r="X2338">
        <v>15</v>
      </c>
      <c r="Y2338" t="s">
        <v>23201</v>
      </c>
      <c r="Z2338" t="s">
        <v>30048</v>
      </c>
      <c r="AA2338">
        <v>0.57377672488718057</v>
      </c>
      <c r="AB2338" t="str">
        <f>HYPERLINK("Melting_Curves/meltCurve_P19784_CSNK2A2.pdf", "Melting_Curves/meltCurve_P19784_CSNK2A2.pdf")</f>
        <v>Melting_Curves/meltCurve_P19784_CSNK2A2.pdf</v>
      </c>
    </row>
    <row r="2339" spans="1:28" x14ac:dyDescent="0.25">
      <c r="A2339" t="s">
        <v>2343</v>
      </c>
      <c r="B2339">
        <v>0.99999676499088797</v>
      </c>
      <c r="C2339">
        <v>0.79395238990029504</v>
      </c>
      <c r="D2339">
        <v>0.98260180849158196</v>
      </c>
      <c r="E2339">
        <v>0.725307810444207</v>
      </c>
      <c r="F2339">
        <v>0.80167677883333499</v>
      </c>
      <c r="G2339">
        <v>0.88008812413027904</v>
      </c>
      <c r="H2339">
        <v>0.87611681617989501</v>
      </c>
      <c r="I2339">
        <v>0.72589737186247305</v>
      </c>
      <c r="J2339">
        <v>0.96553595632984301</v>
      </c>
      <c r="K2339">
        <v>0.70421864322771699</v>
      </c>
      <c r="L2339">
        <v>10253.057322586001</v>
      </c>
      <c r="M2339">
        <v>250</v>
      </c>
      <c r="O2339">
        <v>41.009604799081501</v>
      </c>
      <c r="P2339">
        <v>-0.26155899238859498</v>
      </c>
      <c r="Q2339">
        <v>0.82837710573025103</v>
      </c>
      <c r="R2339">
        <v>0.23562858651789501</v>
      </c>
      <c r="S2339" t="s">
        <v>9342</v>
      </c>
      <c r="T2339" t="s">
        <v>14004</v>
      </c>
      <c r="U2339" t="s">
        <v>14004</v>
      </c>
      <c r="V2339" t="s">
        <v>14004</v>
      </c>
      <c r="W2339" t="s">
        <v>16304</v>
      </c>
      <c r="X2339">
        <v>2</v>
      </c>
      <c r="Y2339" t="s">
        <v>23202</v>
      </c>
      <c r="Z2339" t="s">
        <v>30049</v>
      </c>
      <c r="AA2339">
        <v>0.83418176527247212</v>
      </c>
      <c r="AB2339" t="str">
        <f>HYPERLINK("Melting_Curves/meltCurve_P19835_CEL.pdf", "Melting_Curves/meltCurve_P19835_CEL.pdf")</f>
        <v>Melting_Curves/meltCurve_P19835_CEL.pdf</v>
      </c>
    </row>
    <row r="2340" spans="1:28" x14ac:dyDescent="0.25">
      <c r="A2340" t="s">
        <v>2344</v>
      </c>
      <c r="B2340">
        <v>0.99999676499088797</v>
      </c>
      <c r="C2340">
        <v>0.77949602439570398</v>
      </c>
      <c r="D2340">
        <v>0.49061684273675299</v>
      </c>
      <c r="E2340">
        <v>0.21059111530000699</v>
      </c>
      <c r="F2340">
        <v>0.15190547453741801</v>
      </c>
      <c r="G2340">
        <v>0.110071609986075</v>
      </c>
      <c r="H2340">
        <v>6.7065559995038396E-2</v>
      </c>
      <c r="I2340">
        <v>7.2662808415009994E-2</v>
      </c>
      <c r="J2340">
        <v>6.8967622450047894E-2</v>
      </c>
      <c r="K2340">
        <v>4.3128383121671297E-2</v>
      </c>
      <c r="L2340">
        <v>932.47458914991796</v>
      </c>
      <c r="M2340">
        <v>20.461537154077099</v>
      </c>
      <c r="N2340">
        <v>45.918796561416002</v>
      </c>
      <c r="O2340">
        <v>45.143488665725698</v>
      </c>
      <c r="P2340">
        <v>-0.105205666403766</v>
      </c>
      <c r="Q2340">
        <v>7.1583138354238907E-2</v>
      </c>
      <c r="R2340">
        <v>0.99468736832612803</v>
      </c>
      <c r="S2340" t="s">
        <v>9343</v>
      </c>
      <c r="T2340" t="s">
        <v>14004</v>
      </c>
      <c r="U2340" t="s">
        <v>14004</v>
      </c>
      <c r="V2340" t="s">
        <v>14004</v>
      </c>
      <c r="W2340" t="s">
        <v>16305</v>
      </c>
      <c r="X2340">
        <v>7</v>
      </c>
      <c r="Y2340" t="s">
        <v>23203</v>
      </c>
      <c r="Z2340" t="s">
        <v>30050</v>
      </c>
      <c r="AA2340">
        <v>0.25810271776736532</v>
      </c>
      <c r="AB2340" t="str">
        <f>HYPERLINK("Melting_Curves/meltCurve_P19838_NFKB1.pdf", "Melting_Curves/meltCurve_P19838_NFKB1.pdf")</f>
        <v>Melting_Curves/meltCurve_P19838_NFKB1.pdf</v>
      </c>
    </row>
    <row r="2341" spans="1:28" x14ac:dyDescent="0.25">
      <c r="A2341" t="s">
        <v>2345</v>
      </c>
      <c r="B2341">
        <v>0.99999676499088797</v>
      </c>
      <c r="C2341">
        <v>1.03820031150888</v>
      </c>
      <c r="D2341">
        <v>1.0110985690855501</v>
      </c>
      <c r="E2341">
        <v>0.89866251503681305</v>
      </c>
      <c r="F2341">
        <v>0.82341902159613201</v>
      </c>
      <c r="G2341">
        <v>0.562951925226989</v>
      </c>
      <c r="H2341">
        <v>0.16774016084052701</v>
      </c>
      <c r="I2341">
        <v>0.16863684598508</v>
      </c>
      <c r="J2341">
        <v>0.14325704993776101</v>
      </c>
      <c r="K2341">
        <v>0.14702476387291499</v>
      </c>
      <c r="L2341">
        <v>1417.13088057286</v>
      </c>
      <c r="M2341">
        <v>25.152177532080099</v>
      </c>
      <c r="N2341">
        <v>56.954363884827799</v>
      </c>
      <c r="O2341">
        <v>55.989741686122002</v>
      </c>
      <c r="P2341">
        <v>-9.9007881440304799E-2</v>
      </c>
      <c r="Q2341">
        <v>0.118429720070874</v>
      </c>
      <c r="R2341">
        <v>0.98943360215414</v>
      </c>
      <c r="S2341" t="s">
        <v>9344</v>
      </c>
      <c r="T2341" t="s">
        <v>14004</v>
      </c>
      <c r="U2341" t="s">
        <v>14004</v>
      </c>
      <c r="V2341" t="s">
        <v>14004</v>
      </c>
      <c r="W2341" t="s">
        <v>16306</v>
      </c>
      <c r="X2341">
        <v>19</v>
      </c>
      <c r="Y2341" t="s">
        <v>23204</v>
      </c>
      <c r="Z2341" t="s">
        <v>30051</v>
      </c>
      <c r="AA2341">
        <v>0.60663152794190878</v>
      </c>
      <c r="AB2341" t="str">
        <f>HYPERLINK("Melting_Curves/meltCurve_P20020_5_ATP2B1.pdf", "Melting_Curves/meltCurve_P20020_5_ATP2B1.pdf")</f>
        <v>Melting_Curves/meltCurve_P20020_5_ATP2B1.pdf</v>
      </c>
    </row>
    <row r="2342" spans="1:28" x14ac:dyDescent="0.25">
      <c r="A2342" t="s">
        <v>2346</v>
      </c>
      <c r="B2342">
        <v>0.99999676499088797</v>
      </c>
      <c r="C2342">
        <v>0.96100649754525402</v>
      </c>
      <c r="D2342">
        <v>1.01642885936825</v>
      </c>
      <c r="E2342">
        <v>1.06340377661407</v>
      </c>
      <c r="F2342">
        <v>0.74798962203672303</v>
      </c>
      <c r="G2342">
        <v>0.400298278310734</v>
      </c>
      <c r="H2342">
        <v>0.11640615943023599</v>
      </c>
      <c r="I2342">
        <v>8.5305454864544494E-2</v>
      </c>
      <c r="J2342">
        <v>6.9036600082924199E-2</v>
      </c>
      <c r="K2342">
        <v>6.2030872254690901E-2</v>
      </c>
      <c r="L2342">
        <v>1602.1504324453999</v>
      </c>
      <c r="M2342">
        <v>28.8820391691272</v>
      </c>
      <c r="N2342">
        <v>55.724420996342303</v>
      </c>
      <c r="O2342">
        <v>55.208324355041199</v>
      </c>
      <c r="P2342">
        <v>-0.122774856725481</v>
      </c>
      <c r="Q2342">
        <v>6.1265525900980201E-2</v>
      </c>
      <c r="R2342">
        <v>0.99279233200219497</v>
      </c>
      <c r="S2342" t="s">
        <v>9345</v>
      </c>
      <c r="T2342" t="s">
        <v>14004</v>
      </c>
      <c r="U2342" t="s">
        <v>14004</v>
      </c>
      <c r="V2342" t="s">
        <v>14004</v>
      </c>
      <c r="W2342" t="s">
        <v>16307</v>
      </c>
      <c r="X2342">
        <v>29</v>
      </c>
      <c r="Y2342" t="s">
        <v>23205</v>
      </c>
      <c r="Z2342" t="s">
        <v>30052</v>
      </c>
      <c r="AA2342">
        <v>0.55211025243795875</v>
      </c>
      <c r="AB2342" t="str">
        <f>HYPERLINK("Melting_Curves/meltCurve_P20042_EIF2S2.pdf", "Melting_Curves/meltCurve_P20042_EIF2S2.pdf")</f>
        <v>Melting_Curves/meltCurve_P20042_EIF2S2.pdf</v>
      </c>
    </row>
    <row r="2343" spans="1:28" x14ac:dyDescent="0.25">
      <c r="A2343" t="s">
        <v>2347</v>
      </c>
      <c r="B2343">
        <v>0.99999676499088797</v>
      </c>
      <c r="C2343">
        <v>1.2641942489714499</v>
      </c>
      <c r="D2343">
        <v>1.1835589695814599</v>
      </c>
      <c r="E2343">
        <v>1.0410715793854901</v>
      </c>
      <c r="F2343">
        <v>2.4908404499976999</v>
      </c>
      <c r="G2343">
        <v>0.72744826711196298</v>
      </c>
      <c r="H2343">
        <v>0.60956899424501099</v>
      </c>
      <c r="I2343">
        <v>0.26554712255669999</v>
      </c>
      <c r="J2343">
        <v>0.72166960459905605</v>
      </c>
      <c r="K2343">
        <v>0.38096536987637197</v>
      </c>
      <c r="L2343">
        <v>14191.097063344399</v>
      </c>
      <c r="M2343">
        <v>250</v>
      </c>
      <c r="N2343">
        <v>57.804546735047197</v>
      </c>
      <c r="O2343">
        <v>56.7607557277993</v>
      </c>
      <c r="P2343">
        <v>-0.55668113455672597</v>
      </c>
      <c r="Q2343">
        <v>0.49443773041010602</v>
      </c>
      <c r="R2343">
        <v>0.30658051318123097</v>
      </c>
      <c r="S2343" t="s">
        <v>9346</v>
      </c>
      <c r="T2343" t="s">
        <v>14004</v>
      </c>
      <c r="U2343" t="s">
        <v>14004</v>
      </c>
      <c r="V2343" t="s">
        <v>14004</v>
      </c>
      <c r="W2343" t="s">
        <v>16308</v>
      </c>
      <c r="X2343">
        <v>1</v>
      </c>
      <c r="Y2343" t="s">
        <v>23206</v>
      </c>
      <c r="Z2343" t="s">
        <v>30053</v>
      </c>
      <c r="AA2343">
        <v>0.77700283395793202</v>
      </c>
      <c r="AB2343" t="str">
        <f>HYPERLINK("Melting_Curves/meltCurve_P20061_TCN1.pdf", "Melting_Curves/meltCurve_P20061_TCN1.pdf")</f>
        <v>Melting_Curves/meltCurve_P20061_TCN1.pdf</v>
      </c>
    </row>
    <row r="2344" spans="1:28" x14ac:dyDescent="0.25">
      <c r="A2344" t="s">
        <v>2348</v>
      </c>
      <c r="B2344">
        <v>0.99999676499088797</v>
      </c>
      <c r="C2344">
        <v>0.97911603490645005</v>
      </c>
      <c r="D2344">
        <v>0.99385777860205204</v>
      </c>
      <c r="E2344">
        <v>1.0192365956171701</v>
      </c>
      <c r="F2344">
        <v>0.95280934772244996</v>
      </c>
      <c r="G2344">
        <v>0.74294893339831902</v>
      </c>
      <c r="H2344">
        <v>0.47887388952962701</v>
      </c>
      <c r="I2344">
        <v>0.26408192874202602</v>
      </c>
      <c r="J2344">
        <v>0.135966844859503</v>
      </c>
      <c r="K2344">
        <v>0.12759309622509599</v>
      </c>
      <c r="L2344">
        <v>1236.75326223007</v>
      </c>
      <c r="M2344">
        <v>20.660777037748701</v>
      </c>
      <c r="N2344">
        <v>60.290541080648801</v>
      </c>
      <c r="O2344">
        <v>59.307649333855203</v>
      </c>
      <c r="P2344">
        <v>-8.1120220381410604E-2</v>
      </c>
      <c r="Q2344">
        <v>6.8590452264983406E-2</v>
      </c>
      <c r="R2344">
        <v>0.99723099949451099</v>
      </c>
      <c r="S2344" t="s">
        <v>9347</v>
      </c>
      <c r="T2344" t="s">
        <v>14004</v>
      </c>
      <c r="U2344" t="s">
        <v>14004</v>
      </c>
      <c r="V2344" t="s">
        <v>14004</v>
      </c>
      <c r="W2344" t="s">
        <v>16309</v>
      </c>
      <c r="X2344">
        <v>9</v>
      </c>
      <c r="Y2344" t="s">
        <v>23207</v>
      </c>
      <c r="Z2344" t="s">
        <v>30054</v>
      </c>
      <c r="AA2344">
        <v>0.6931455401273483</v>
      </c>
      <c r="AB2344" t="str">
        <f>HYPERLINK("Melting_Curves/meltCurve_P20248_CCNA2.pdf", "Melting_Curves/meltCurve_P20248_CCNA2.pdf")</f>
        <v>Melting_Curves/meltCurve_P20248_CCNA2.pdf</v>
      </c>
    </row>
    <row r="2345" spans="1:28" x14ac:dyDescent="0.25">
      <c r="A2345" t="s">
        <v>2349</v>
      </c>
      <c r="B2345">
        <v>0.99999676499088797</v>
      </c>
      <c r="C2345">
        <v>1.00165355284935</v>
      </c>
      <c r="D2345">
        <v>1.0573862030394401</v>
      </c>
      <c r="E2345">
        <v>0.83505879222262502</v>
      </c>
      <c r="F2345">
        <v>0.67980590214632697</v>
      </c>
      <c r="G2345">
        <v>0.77034952217737995</v>
      </c>
      <c r="H2345">
        <v>0.53187283278236397</v>
      </c>
      <c r="I2345">
        <v>0.60380008275895602</v>
      </c>
      <c r="J2345">
        <v>0.580769937013346</v>
      </c>
      <c r="K2345">
        <v>0.487474058055273</v>
      </c>
      <c r="L2345">
        <v>792.70428379124701</v>
      </c>
      <c r="M2345">
        <v>14.976773991464199</v>
      </c>
      <c r="O2345">
        <v>52.012155356749403</v>
      </c>
      <c r="P2345">
        <v>-3.36603092358514E-2</v>
      </c>
      <c r="Q2345">
        <v>0.53245811253233899</v>
      </c>
      <c r="R2345">
        <v>0.89904186239901596</v>
      </c>
      <c r="S2345" t="s">
        <v>9348</v>
      </c>
      <c r="T2345" t="s">
        <v>14004</v>
      </c>
      <c r="U2345" t="s">
        <v>14004</v>
      </c>
      <c r="V2345" t="s">
        <v>14004</v>
      </c>
      <c r="W2345" t="s">
        <v>16310</v>
      </c>
      <c r="X2345">
        <v>12</v>
      </c>
      <c r="Y2345" t="s">
        <v>23208</v>
      </c>
      <c r="Z2345" t="s">
        <v>30055</v>
      </c>
      <c r="AA2345">
        <v>0.74406445377140973</v>
      </c>
      <c r="AB2345" t="str">
        <f>HYPERLINK("Melting_Curves/meltCurve_P20290_BTF3.pdf", "Melting_Curves/meltCurve_P20290_BTF3.pdf")</f>
        <v>Melting_Curves/meltCurve_P20290_BTF3.pdf</v>
      </c>
    </row>
    <row r="2346" spans="1:28" x14ac:dyDescent="0.25">
      <c r="A2346" t="s">
        <v>2350</v>
      </c>
      <c r="B2346">
        <v>0.99999676499088797</v>
      </c>
      <c r="C2346">
        <v>0.78273918996566705</v>
      </c>
      <c r="D2346">
        <v>0.79540739790495296</v>
      </c>
      <c r="E2346">
        <v>0.63792766335245599</v>
      </c>
      <c r="F2346">
        <v>0.520570132794688</v>
      </c>
      <c r="G2346">
        <v>0.56623877669397205</v>
      </c>
      <c r="H2346">
        <v>0.359076609600469</v>
      </c>
      <c r="I2346">
        <v>0.45180789375779201</v>
      </c>
      <c r="J2346">
        <v>0.41322498878603298</v>
      </c>
      <c r="K2346">
        <v>0.42160723612212703</v>
      </c>
      <c r="L2346">
        <v>508.41356649336501</v>
      </c>
      <c r="M2346">
        <v>10.6093741145542</v>
      </c>
      <c r="N2346">
        <v>55.821285029851303</v>
      </c>
      <c r="O2346">
        <v>46.312641067204197</v>
      </c>
      <c r="P2346">
        <v>-3.5028616999367698E-2</v>
      </c>
      <c r="Q2346">
        <v>0.38860144880457598</v>
      </c>
      <c r="R2346">
        <v>0.92872473092807295</v>
      </c>
      <c r="S2346" t="s">
        <v>9349</v>
      </c>
      <c r="T2346" t="s">
        <v>14004</v>
      </c>
      <c r="U2346" t="s">
        <v>14004</v>
      </c>
      <c r="V2346" t="s">
        <v>14004</v>
      </c>
      <c r="W2346" t="s">
        <v>16311</v>
      </c>
      <c r="X2346">
        <v>10</v>
      </c>
      <c r="Y2346" t="s">
        <v>23208</v>
      </c>
      <c r="Z2346" t="s">
        <v>30056</v>
      </c>
      <c r="AA2346">
        <v>0.57969257846613431</v>
      </c>
      <c r="AB2346" t="str">
        <f>HYPERLINK("Melting_Curves/meltCurve_P20290_2_BTF3.pdf", "Melting_Curves/meltCurve_P20290_2_BTF3.pdf")</f>
        <v>Melting_Curves/meltCurve_P20290_2_BTF3.pdf</v>
      </c>
    </row>
    <row r="2347" spans="1:28" x14ac:dyDescent="0.25">
      <c r="A2347" t="s">
        <v>2351</v>
      </c>
      <c r="B2347">
        <v>0.99999676499088797</v>
      </c>
      <c r="C2347">
        <v>0.93580226159413404</v>
      </c>
      <c r="D2347">
        <v>0.98165934391643594</v>
      </c>
      <c r="E2347">
        <v>1.0409765882670301</v>
      </c>
      <c r="F2347">
        <v>0.99397474611008696</v>
      </c>
      <c r="G2347">
        <v>0.90190388401340105</v>
      </c>
      <c r="H2347">
        <v>0.58127794766424501</v>
      </c>
      <c r="I2347">
        <v>0.325517593732013</v>
      </c>
      <c r="J2347">
        <v>0.148988651701567</v>
      </c>
      <c r="K2347">
        <v>9.8375597096906395E-2</v>
      </c>
      <c r="L2347">
        <v>1566.77560239278</v>
      </c>
      <c r="M2347">
        <v>25.489920953711099</v>
      </c>
      <c r="N2347">
        <v>61.764335472631799</v>
      </c>
      <c r="O2347">
        <v>61.091907397884803</v>
      </c>
      <c r="P2347">
        <v>-9.8278153402824198E-2</v>
      </c>
      <c r="Q2347">
        <v>5.7835482600684197E-2</v>
      </c>
      <c r="R2347">
        <v>0.99460007335849798</v>
      </c>
      <c r="S2347" t="s">
        <v>9350</v>
      </c>
      <c r="T2347" t="s">
        <v>14004</v>
      </c>
      <c r="U2347" t="s">
        <v>14004</v>
      </c>
      <c r="V2347" t="s">
        <v>14004</v>
      </c>
      <c r="W2347" t="s">
        <v>16312</v>
      </c>
      <c r="X2347">
        <v>10</v>
      </c>
      <c r="Y2347" t="s">
        <v>23209</v>
      </c>
      <c r="Z2347" t="s">
        <v>30057</v>
      </c>
      <c r="AA2347">
        <v>0.73724431845746763</v>
      </c>
      <c r="AB2347" t="str">
        <f>HYPERLINK("Melting_Curves/meltCurve_P20336_RAB3A.pdf", "Melting_Curves/meltCurve_P20336_RAB3A.pdf")</f>
        <v>Melting_Curves/meltCurve_P20336_RAB3A.pdf</v>
      </c>
    </row>
    <row r="2348" spans="1:28" x14ac:dyDescent="0.25">
      <c r="A2348" t="s">
        <v>2352</v>
      </c>
      <c r="B2348">
        <v>0.99999676499088797</v>
      </c>
      <c r="C2348">
        <v>0.96189546035925699</v>
      </c>
      <c r="D2348">
        <v>0.94796264002793196</v>
      </c>
      <c r="E2348">
        <v>0.908471657371686</v>
      </c>
      <c r="F2348">
        <v>0.653568681440584</v>
      </c>
      <c r="G2348">
        <v>0.447562532352557</v>
      </c>
      <c r="H2348">
        <v>0.17543009546244501</v>
      </c>
      <c r="I2348">
        <v>0.15280892167638399</v>
      </c>
      <c r="J2348">
        <v>0.15100403663758899</v>
      </c>
      <c r="K2348">
        <v>9.7646121185340107E-2</v>
      </c>
      <c r="L2348">
        <v>1005.57724514924</v>
      </c>
      <c r="M2348">
        <v>18.3107974185424</v>
      </c>
      <c r="N2348">
        <v>55.511737208382499</v>
      </c>
      <c r="O2348">
        <v>54.274742463150503</v>
      </c>
      <c r="P2348">
        <v>-7.6836517022736098E-2</v>
      </c>
      <c r="Q2348">
        <v>8.9042474818289502E-2</v>
      </c>
      <c r="R2348">
        <v>0.99465467902555105</v>
      </c>
      <c r="S2348" t="s">
        <v>9351</v>
      </c>
      <c r="T2348" t="s">
        <v>14004</v>
      </c>
      <c r="U2348" t="s">
        <v>14004</v>
      </c>
      <c r="V2348" t="s">
        <v>14004</v>
      </c>
      <c r="W2348" t="s">
        <v>16313</v>
      </c>
      <c r="X2348">
        <v>3</v>
      </c>
      <c r="Y2348" t="s">
        <v>23210</v>
      </c>
      <c r="Z2348" t="s">
        <v>30058</v>
      </c>
      <c r="AA2348">
        <v>0.55581676604759456</v>
      </c>
      <c r="AB2348" t="str">
        <f>HYPERLINK("Melting_Curves/meltCurve_P20337_RAB3B.pdf", "Melting_Curves/meltCurve_P20337_RAB3B.pdf")</f>
        <v>Melting_Curves/meltCurve_P20337_RAB3B.pdf</v>
      </c>
    </row>
    <row r="2349" spans="1:28" x14ac:dyDescent="0.25">
      <c r="A2349" t="s">
        <v>2353</v>
      </c>
      <c r="B2349">
        <v>0.99999676499088797</v>
      </c>
      <c r="C2349">
        <v>1.040722076385</v>
      </c>
      <c r="D2349">
        <v>1.01089726705282</v>
      </c>
      <c r="E2349">
        <v>1.0846582945919001</v>
      </c>
      <c r="F2349">
        <v>1.1383288673624099</v>
      </c>
      <c r="G2349">
        <v>0.923072803567623</v>
      </c>
      <c r="H2349">
        <v>0.67194916642789504</v>
      </c>
      <c r="I2349">
        <v>0.52774341190933105</v>
      </c>
      <c r="J2349">
        <v>0.294535883023264</v>
      </c>
      <c r="K2349">
        <v>0.16814215885835901</v>
      </c>
      <c r="L2349">
        <v>1347.2145582662699</v>
      </c>
      <c r="M2349">
        <v>21.264270447302099</v>
      </c>
      <c r="N2349">
        <v>63.827912774121302</v>
      </c>
      <c r="O2349">
        <v>62.803449989676999</v>
      </c>
      <c r="P2349">
        <v>-7.8488235621808705E-2</v>
      </c>
      <c r="Q2349">
        <v>7.2772122759165295E-2</v>
      </c>
      <c r="R2349">
        <v>0.96491160431152601</v>
      </c>
      <c r="S2349" t="s">
        <v>9352</v>
      </c>
      <c r="T2349" t="s">
        <v>14004</v>
      </c>
      <c r="U2349" t="s">
        <v>14004</v>
      </c>
      <c r="V2349" t="s">
        <v>14004</v>
      </c>
      <c r="W2349" t="s">
        <v>16314</v>
      </c>
      <c r="X2349">
        <v>7</v>
      </c>
      <c r="Y2349" t="s">
        <v>23211</v>
      </c>
      <c r="Z2349" t="s">
        <v>30059</v>
      </c>
      <c r="AA2349">
        <v>0.7935248918003327</v>
      </c>
      <c r="AB2349" t="str">
        <f>HYPERLINK("Melting_Curves/meltCurve_P20338_RAB4A.pdf", "Melting_Curves/meltCurve_P20338_RAB4A.pdf")</f>
        <v>Melting_Curves/meltCurve_P20338_RAB4A.pdf</v>
      </c>
    </row>
    <row r="2350" spans="1:28" x14ac:dyDescent="0.25">
      <c r="A2350" t="s">
        <v>2354</v>
      </c>
      <c r="B2350">
        <v>0.99999676499088797</v>
      </c>
      <c r="C2350">
        <v>1.03720922544401</v>
      </c>
      <c r="D2350">
        <v>1.0785681640604901</v>
      </c>
      <c r="E2350">
        <v>1.1228559326372001</v>
      </c>
      <c r="F2350">
        <v>1.13336646593478</v>
      </c>
      <c r="G2350">
        <v>1.00851711970864</v>
      </c>
      <c r="H2350">
        <v>0.76678963884626195</v>
      </c>
      <c r="I2350">
        <v>0.60021785894300606</v>
      </c>
      <c r="J2350">
        <v>0.40848572552384799</v>
      </c>
      <c r="K2350">
        <v>0.46088190915753902</v>
      </c>
      <c r="L2350">
        <v>2191.7973436090601</v>
      </c>
      <c r="M2350">
        <v>35.454720554650201</v>
      </c>
      <c r="N2350">
        <v>65.357369456587904</v>
      </c>
      <c r="O2350">
        <v>61.6239466991724</v>
      </c>
      <c r="P2350">
        <v>-8.2470465207192506E-2</v>
      </c>
      <c r="Q2350">
        <v>0.42663340606774303</v>
      </c>
      <c r="R2350">
        <v>0.93199080584126204</v>
      </c>
      <c r="S2350" t="s">
        <v>9353</v>
      </c>
      <c r="T2350" t="s">
        <v>14004</v>
      </c>
      <c r="U2350" t="s">
        <v>14004</v>
      </c>
      <c r="V2350" t="s">
        <v>14004</v>
      </c>
      <c r="W2350" t="s">
        <v>16315</v>
      </c>
      <c r="X2350">
        <v>18</v>
      </c>
      <c r="Y2350" t="s">
        <v>23212</v>
      </c>
      <c r="Z2350" t="s">
        <v>30060</v>
      </c>
      <c r="AA2350">
        <v>0.84606117665809677</v>
      </c>
      <c r="AB2350" t="str">
        <f>HYPERLINK("Melting_Curves/meltCurve_P20340_RAB6A.pdf", "Melting_Curves/meltCurve_P20340_RAB6A.pdf")</f>
        <v>Melting_Curves/meltCurve_P20340_RAB6A.pdf</v>
      </c>
    </row>
    <row r="2351" spans="1:28" x14ac:dyDescent="0.25">
      <c r="A2351" t="s">
        <v>2355</v>
      </c>
      <c r="B2351">
        <v>0.99999676499088797</v>
      </c>
      <c r="C2351">
        <v>0.94272730395273796</v>
      </c>
      <c r="D2351">
        <v>0.96940511590002998</v>
      </c>
      <c r="E2351">
        <v>1.2963432822465799</v>
      </c>
      <c r="F2351">
        <v>1.1534288142427001</v>
      </c>
      <c r="G2351">
        <v>1.10793408338505</v>
      </c>
      <c r="H2351">
        <v>0.80942788871512805</v>
      </c>
      <c r="I2351">
        <v>0.78713773686325905</v>
      </c>
      <c r="J2351">
        <v>0.66835411091308805</v>
      </c>
      <c r="K2351">
        <v>0.89314757221888397</v>
      </c>
      <c r="L2351">
        <v>15000</v>
      </c>
      <c r="M2351">
        <v>248.68158563766499</v>
      </c>
      <c r="O2351">
        <v>60.3141871684468</v>
      </c>
      <c r="P2351">
        <v>-0.22380228768461999</v>
      </c>
      <c r="Q2351">
        <v>0.78287970142417895</v>
      </c>
      <c r="R2351">
        <v>0.51797743246028105</v>
      </c>
      <c r="S2351" t="s">
        <v>9354</v>
      </c>
      <c r="T2351" t="s">
        <v>14004</v>
      </c>
      <c r="U2351" t="s">
        <v>14004</v>
      </c>
      <c r="V2351" t="s">
        <v>14004</v>
      </c>
      <c r="W2351" t="s">
        <v>16316</v>
      </c>
      <c r="X2351">
        <v>18</v>
      </c>
      <c r="Y2351" t="s">
        <v>23212</v>
      </c>
      <c r="Z2351" t="s">
        <v>30061</v>
      </c>
      <c r="AA2351">
        <v>0.92995197237071403</v>
      </c>
      <c r="AB2351" t="str">
        <f>HYPERLINK("Melting_Curves/meltCurve_P20340_2_RAB6A.pdf", "Melting_Curves/meltCurve_P20340_2_RAB6A.pdf")</f>
        <v>Melting_Curves/meltCurve_P20340_2_RAB6A.pdf</v>
      </c>
    </row>
    <row r="2352" spans="1:28" x14ac:dyDescent="0.25">
      <c r="A2352" t="s">
        <v>2356</v>
      </c>
      <c r="B2352">
        <v>0.99999676499088797</v>
      </c>
      <c r="C2352">
        <v>1.06580294128894</v>
      </c>
      <c r="D2352">
        <v>1.0444640762557</v>
      </c>
      <c r="E2352">
        <v>1.0001627575610199</v>
      </c>
      <c r="F2352">
        <v>1.0159160094183299</v>
      </c>
      <c r="G2352">
        <v>1.18044349368992</v>
      </c>
      <c r="H2352">
        <v>0.76577814840550995</v>
      </c>
      <c r="I2352">
        <v>0.71371727350858205</v>
      </c>
      <c r="J2352">
        <v>0.46199207705121698</v>
      </c>
      <c r="K2352">
        <v>0.30015631384934399</v>
      </c>
      <c r="L2352">
        <v>1558.54693431909</v>
      </c>
      <c r="M2352">
        <v>23.889561545431601</v>
      </c>
      <c r="N2352">
        <v>66.417895962738697</v>
      </c>
      <c r="O2352">
        <v>64.787681148847398</v>
      </c>
      <c r="P2352">
        <v>-7.6263401303982695E-2</v>
      </c>
      <c r="Q2352">
        <v>0.172718282597319</v>
      </c>
      <c r="R2352">
        <v>0.91707621443125897</v>
      </c>
      <c r="S2352" t="s">
        <v>9355</v>
      </c>
      <c r="T2352" t="s">
        <v>14004</v>
      </c>
      <c r="U2352" t="s">
        <v>14004</v>
      </c>
      <c r="V2352" t="s">
        <v>14004</v>
      </c>
      <c r="W2352" t="s">
        <v>16317</v>
      </c>
      <c r="X2352">
        <v>18</v>
      </c>
      <c r="Y2352" t="s">
        <v>23213</v>
      </c>
      <c r="Z2352" t="s">
        <v>30062</v>
      </c>
      <c r="AA2352">
        <v>0.86206187588009831</v>
      </c>
      <c r="AB2352" t="str">
        <f>HYPERLINK("Melting_Curves/meltCurve_P20618_PSMB1.pdf", "Melting_Curves/meltCurve_P20618_PSMB1.pdf")</f>
        <v>Melting_Curves/meltCurve_P20618_PSMB1.pdf</v>
      </c>
    </row>
    <row r="2353" spans="1:28" x14ac:dyDescent="0.25">
      <c r="A2353" t="s">
        <v>2357</v>
      </c>
      <c r="B2353">
        <v>0.99999676499088797</v>
      </c>
      <c r="C2353">
        <v>0.92320324420639499</v>
      </c>
      <c r="D2353">
        <v>0.92931367265498799</v>
      </c>
      <c r="E2353">
        <v>1.0147248828756199</v>
      </c>
      <c r="F2353">
        <v>0.92375441316239504</v>
      </c>
      <c r="G2353">
        <v>0.89997204448384005</v>
      </c>
      <c r="H2353">
        <v>0.64400898137302298</v>
      </c>
      <c r="I2353">
        <v>0.54122714106163805</v>
      </c>
      <c r="J2353">
        <v>0.39141714718186899</v>
      </c>
      <c r="K2353">
        <v>0.44229954358470902</v>
      </c>
      <c r="L2353">
        <v>1362.93293903525</v>
      </c>
      <c r="M2353">
        <v>22.641593514470799</v>
      </c>
      <c r="N2353">
        <v>64.4323888324992</v>
      </c>
      <c r="O2353">
        <v>59.732316652740899</v>
      </c>
      <c r="P2353">
        <v>-5.8075117190554103E-2</v>
      </c>
      <c r="Q2353">
        <v>0.387164755612115</v>
      </c>
      <c r="R2353">
        <v>0.96460642315690603</v>
      </c>
      <c r="S2353" t="s">
        <v>9356</v>
      </c>
      <c r="T2353" t="s">
        <v>14004</v>
      </c>
      <c r="U2353" t="s">
        <v>14004</v>
      </c>
      <c r="V2353" t="s">
        <v>14004</v>
      </c>
      <c r="W2353" t="s">
        <v>16318</v>
      </c>
      <c r="X2353">
        <v>12</v>
      </c>
      <c r="Y2353" t="s">
        <v>23214</v>
      </c>
      <c r="Z2353" t="s">
        <v>30063</v>
      </c>
      <c r="AA2353">
        <v>0.80445002641509622</v>
      </c>
      <c r="AB2353" t="str">
        <f>HYPERLINK("Melting_Curves/meltCurve_P20645_M6PR.pdf", "Melting_Curves/meltCurve_P20645_M6PR.pdf")</f>
        <v>Melting_Curves/meltCurve_P20645_M6PR.pdf</v>
      </c>
    </row>
    <row r="2354" spans="1:28" x14ac:dyDescent="0.25">
      <c r="A2354" t="s">
        <v>2358</v>
      </c>
      <c r="B2354">
        <v>0.99999676499088797</v>
      </c>
      <c r="C2354">
        <v>0.90019715432594105</v>
      </c>
      <c r="D2354">
        <v>1.12663501719016</v>
      </c>
      <c r="E2354">
        <v>0.97122662534424598</v>
      </c>
      <c r="F2354">
        <v>0.87943791263698801</v>
      </c>
      <c r="G2354">
        <v>1.1065596074769</v>
      </c>
      <c r="H2354">
        <v>1.2715454047236601</v>
      </c>
      <c r="I2354">
        <v>1.7627809668143</v>
      </c>
      <c r="J2354">
        <v>2.9975706093949501</v>
      </c>
      <c r="K2354">
        <v>4.3969559794718398</v>
      </c>
      <c r="L2354">
        <v>15000</v>
      </c>
      <c r="M2354">
        <v>246.883349854248</v>
      </c>
      <c r="O2354">
        <v>60.753439460451098</v>
      </c>
      <c r="P2354">
        <v>0.50796156924089397</v>
      </c>
      <c r="Q2354">
        <v>1.5</v>
      </c>
      <c r="R2354">
        <v>0.112863319517839</v>
      </c>
      <c r="S2354" t="s">
        <v>9357</v>
      </c>
      <c r="T2354" t="s">
        <v>14004</v>
      </c>
      <c r="U2354" t="s">
        <v>14004</v>
      </c>
      <c r="V2354" t="s">
        <v>14004</v>
      </c>
      <c r="W2354" t="s">
        <v>16319</v>
      </c>
      <c r="X2354">
        <v>7</v>
      </c>
      <c r="Y2354" t="s">
        <v>23215</v>
      </c>
      <c r="Z2354" t="s">
        <v>30064</v>
      </c>
      <c r="AA2354">
        <v>1.153988018926108</v>
      </c>
      <c r="AB2354" t="str">
        <f>HYPERLINK("Melting_Curves/meltCurve_P20671_HIST1H2AD.pdf", "Melting_Curves/meltCurve_P20671_HIST1H2AD.pdf")</f>
        <v>Melting_Curves/meltCurve_P20671_HIST1H2AD.pdf</v>
      </c>
    </row>
    <row r="2355" spans="1:28" x14ac:dyDescent="0.25">
      <c r="A2355" t="s">
        <v>2359</v>
      </c>
      <c r="B2355">
        <v>0.99999676499088797</v>
      </c>
      <c r="C2355">
        <v>0.91404071497418504</v>
      </c>
      <c r="D2355">
        <v>0.84215193409225997</v>
      </c>
      <c r="E2355">
        <v>0.81877279600016695</v>
      </c>
      <c r="F2355">
        <v>0.75744415780820495</v>
      </c>
      <c r="G2355">
        <v>0.59287394695713203</v>
      </c>
      <c r="H2355">
        <v>0.44589356292879501</v>
      </c>
      <c r="I2355">
        <v>0.42460181128787999</v>
      </c>
      <c r="J2355">
        <v>0.33134769853964102</v>
      </c>
      <c r="K2355">
        <v>0.28520687208629603</v>
      </c>
      <c r="L2355">
        <v>402.65743114685301</v>
      </c>
      <c r="M2355">
        <v>6.6824733153492</v>
      </c>
      <c r="N2355">
        <v>60.255748624496299</v>
      </c>
      <c r="O2355">
        <v>55.546977978980202</v>
      </c>
      <c r="P2355">
        <v>-3.0141842176019899E-2</v>
      </c>
      <c r="Q2355">
        <v>0</v>
      </c>
      <c r="R2355">
        <v>0.98608181397586503</v>
      </c>
      <c r="S2355" t="s">
        <v>9358</v>
      </c>
      <c r="T2355" t="s">
        <v>14004</v>
      </c>
      <c r="U2355" t="s">
        <v>14004</v>
      </c>
      <c r="V2355" t="s">
        <v>14004</v>
      </c>
      <c r="W2355" t="s">
        <v>16320</v>
      </c>
      <c r="X2355">
        <v>11</v>
      </c>
      <c r="Y2355" t="s">
        <v>23216</v>
      </c>
      <c r="Z2355" t="s">
        <v>30065</v>
      </c>
      <c r="AA2355">
        <v>0.64568671652280885</v>
      </c>
      <c r="AB2355" t="str">
        <f>HYPERLINK("Melting_Curves/meltCurve_P20674_COX5A.pdf", "Melting_Curves/meltCurve_P20674_COX5A.pdf")</f>
        <v>Melting_Curves/meltCurve_P20674_COX5A.pdf</v>
      </c>
    </row>
    <row r="2356" spans="1:28" x14ac:dyDescent="0.25">
      <c r="A2356" t="s">
        <v>2360</v>
      </c>
      <c r="B2356">
        <v>0.99999676499088797</v>
      </c>
      <c r="C2356">
        <v>0.99538531303078803</v>
      </c>
      <c r="D2356">
        <v>1.0768059745565</v>
      </c>
      <c r="E2356">
        <v>0.59150917482796295</v>
      </c>
      <c r="F2356">
        <v>0.262358330370488</v>
      </c>
      <c r="G2356">
        <v>0.17742860629007201</v>
      </c>
      <c r="H2356">
        <v>8.8811521870276106E-2</v>
      </c>
      <c r="I2356">
        <v>8.5683946615004197E-2</v>
      </c>
      <c r="J2356">
        <v>8.5418912337773101E-2</v>
      </c>
      <c r="K2356">
        <v>7.3380754523856506E-2</v>
      </c>
      <c r="L2356">
        <v>1628.1165921991601</v>
      </c>
      <c r="M2356">
        <v>32.429492769749899</v>
      </c>
      <c r="N2356">
        <v>50.555601834297903</v>
      </c>
      <c r="O2356">
        <v>50.0150581927292</v>
      </c>
      <c r="P2356">
        <v>-0.145767951664203</v>
      </c>
      <c r="Q2356">
        <v>0.100749644440654</v>
      </c>
      <c r="R2356">
        <v>0.98626082090660006</v>
      </c>
      <c r="S2356" t="s">
        <v>9359</v>
      </c>
      <c r="T2356" t="s">
        <v>14004</v>
      </c>
      <c r="U2356" t="s">
        <v>14004</v>
      </c>
      <c r="V2356" t="s">
        <v>14004</v>
      </c>
      <c r="W2356" t="s">
        <v>16321</v>
      </c>
      <c r="X2356">
        <v>74</v>
      </c>
      <c r="Y2356" t="s">
        <v>23217</v>
      </c>
      <c r="Z2356" t="s">
        <v>30066</v>
      </c>
      <c r="AA2356">
        <v>0.41140729375945001</v>
      </c>
      <c r="AB2356" t="str">
        <f>HYPERLINK("Melting_Curves/meltCurve_P20700_LMNB1.pdf", "Melting_Curves/meltCurve_P20700_LMNB1.pdf")</f>
        <v>Melting_Curves/meltCurve_P20700_LMNB1.pdf</v>
      </c>
    </row>
    <row r="2357" spans="1:28" x14ac:dyDescent="0.25">
      <c r="A2357" t="s">
        <v>2361</v>
      </c>
      <c r="B2357">
        <v>0.99999676499088797</v>
      </c>
      <c r="C2357">
        <v>0.96085706063676202</v>
      </c>
      <c r="D2357">
        <v>1.00092249463686</v>
      </c>
      <c r="E2357">
        <v>0.98960242716614499</v>
      </c>
      <c r="F2357">
        <v>0.86504198453488501</v>
      </c>
      <c r="G2357">
        <v>0.70091139471127895</v>
      </c>
      <c r="H2357">
        <v>0.42375348869463397</v>
      </c>
      <c r="I2357">
        <v>0.33668817213463698</v>
      </c>
      <c r="J2357">
        <v>0.28902505195270201</v>
      </c>
      <c r="K2357">
        <v>0.35251156360297597</v>
      </c>
      <c r="L2357">
        <v>1357.89793779351</v>
      </c>
      <c r="M2357">
        <v>23.769011030511098</v>
      </c>
      <c r="N2357">
        <v>59.418047901913702</v>
      </c>
      <c r="O2357">
        <v>56.729152337732799</v>
      </c>
      <c r="P2357">
        <v>-7.3336515922520898E-2</v>
      </c>
      <c r="Q2357">
        <v>0.29988672648611497</v>
      </c>
      <c r="R2357">
        <v>0.99241608397608405</v>
      </c>
      <c r="S2357" t="s">
        <v>9360</v>
      </c>
      <c r="T2357" t="s">
        <v>14004</v>
      </c>
      <c r="U2357" t="s">
        <v>14004</v>
      </c>
      <c r="V2357" t="s">
        <v>14004</v>
      </c>
      <c r="W2357" t="s">
        <v>16322</v>
      </c>
      <c r="X2357">
        <v>25</v>
      </c>
      <c r="Y2357" t="s">
        <v>23218</v>
      </c>
      <c r="Z2357" t="s">
        <v>30067</v>
      </c>
      <c r="AA2357">
        <v>0.70640289681469626</v>
      </c>
      <c r="AB2357" t="str">
        <f>HYPERLINK("Melting_Curves/meltCurve_P20701_ITGAL.pdf", "Melting_Curves/meltCurve_P20701_ITGAL.pdf")</f>
        <v>Melting_Curves/meltCurve_P20701_ITGAL.pdf</v>
      </c>
    </row>
    <row r="2358" spans="1:28" x14ac:dyDescent="0.25">
      <c r="A2358" t="s">
        <v>2362</v>
      </c>
      <c r="B2358">
        <v>0.99999676499088797</v>
      </c>
      <c r="C2358">
        <v>1.0925275894337201</v>
      </c>
      <c r="D2358">
        <v>0.959587107724447</v>
      </c>
      <c r="E2358">
        <v>0.60592428712374702</v>
      </c>
      <c r="F2358">
        <v>0.36848411117907598</v>
      </c>
      <c r="G2358">
        <v>0.29272991335763898</v>
      </c>
      <c r="H2358">
        <v>0.159081160997573</v>
      </c>
      <c r="I2358">
        <v>0.16774446558719</v>
      </c>
      <c r="J2358">
        <v>0.206131590162828</v>
      </c>
      <c r="K2358">
        <v>0.12551030009272701</v>
      </c>
      <c r="L2358">
        <v>1185.2345030128699</v>
      </c>
      <c r="M2358">
        <v>23.5698578099326</v>
      </c>
      <c r="N2358">
        <v>51.217959007232103</v>
      </c>
      <c r="O2358">
        <v>49.928242159204302</v>
      </c>
      <c r="P2358">
        <v>-9.7440751788072696E-2</v>
      </c>
      <c r="Q2358">
        <v>0.17437553880133499</v>
      </c>
      <c r="R2358">
        <v>0.98169360089690905</v>
      </c>
      <c r="S2358" t="s">
        <v>9361</v>
      </c>
      <c r="T2358" t="s">
        <v>14004</v>
      </c>
      <c r="U2358" t="s">
        <v>14004</v>
      </c>
      <c r="V2358" t="s">
        <v>14004</v>
      </c>
      <c r="W2358" t="s">
        <v>16323</v>
      </c>
      <c r="X2358">
        <v>1</v>
      </c>
      <c r="Y2358" t="s">
        <v>23219</v>
      </c>
      <c r="Z2358" t="s">
        <v>30068</v>
      </c>
      <c r="AA2358">
        <v>0.46577805031281161</v>
      </c>
      <c r="AB2358" t="str">
        <f>HYPERLINK("Melting_Curves/meltCurve_P20774_OGN.pdf", "Melting_Curves/meltCurve_P20774_OGN.pdf")</f>
        <v>Melting_Curves/meltCurve_P20774_OGN.pdf</v>
      </c>
    </row>
    <row r="2359" spans="1:28" x14ac:dyDescent="0.25">
      <c r="A2359" t="s">
        <v>2363</v>
      </c>
      <c r="B2359">
        <v>0.99999676499088797</v>
      </c>
      <c r="C2359">
        <v>1.0029032184672</v>
      </c>
      <c r="D2359">
        <v>1.06166870137961</v>
      </c>
      <c r="E2359">
        <v>0.88030323207737204</v>
      </c>
      <c r="F2359">
        <v>0.71134221671968401</v>
      </c>
      <c r="G2359">
        <v>0.64296013703180199</v>
      </c>
      <c r="H2359">
        <v>0.44912846229824999</v>
      </c>
      <c r="I2359">
        <v>0.46786964492504701</v>
      </c>
      <c r="J2359">
        <v>0.45930314216527501</v>
      </c>
      <c r="K2359">
        <v>0.57487958754356905</v>
      </c>
      <c r="L2359">
        <v>1189.4819124583601</v>
      </c>
      <c r="M2359">
        <v>22.483258268792198</v>
      </c>
      <c r="N2359">
        <v>63.572871508904498</v>
      </c>
      <c r="O2359">
        <v>52.492045220551198</v>
      </c>
      <c r="P2359">
        <v>-5.4771653233016103E-2</v>
      </c>
      <c r="Q2359">
        <v>0.48850540974339601</v>
      </c>
      <c r="R2359">
        <v>0.95344450630162103</v>
      </c>
      <c r="S2359" t="s">
        <v>9362</v>
      </c>
      <c r="T2359" t="s">
        <v>14004</v>
      </c>
      <c r="U2359" t="s">
        <v>14004</v>
      </c>
      <c r="V2359" t="s">
        <v>14004</v>
      </c>
      <c r="W2359" t="s">
        <v>16324</v>
      </c>
      <c r="X2359">
        <v>3</v>
      </c>
      <c r="Y2359" t="s">
        <v>23220</v>
      </c>
      <c r="Z2359" t="s">
        <v>30069</v>
      </c>
      <c r="AA2359">
        <v>0.71426344106700346</v>
      </c>
      <c r="AB2359" t="str">
        <f>HYPERLINK("Melting_Curves/meltCurve_P20962_PTMS.pdf", "Melting_Curves/meltCurve_P20962_PTMS.pdf")</f>
        <v>Melting_Curves/meltCurve_P20962_PTMS.pdf</v>
      </c>
    </row>
    <row r="2360" spans="1:28" x14ac:dyDescent="0.25">
      <c r="A2360" t="s">
        <v>2364</v>
      </c>
      <c r="B2360">
        <v>0.99999676499088797</v>
      </c>
      <c r="C2360">
        <v>0.97335832529111499</v>
      </c>
      <c r="D2360">
        <v>0.97239224857454598</v>
      </c>
      <c r="E2360">
        <v>0.98567671691026604</v>
      </c>
      <c r="F2360">
        <v>0.80006492056643796</v>
      </c>
      <c r="G2360">
        <v>0.742072413820276</v>
      </c>
      <c r="H2360">
        <v>0.53912648145157105</v>
      </c>
      <c r="I2360">
        <v>0.54109273450758399</v>
      </c>
      <c r="J2360">
        <v>0.49353672333732401</v>
      </c>
      <c r="K2360">
        <v>0.60197388917432004</v>
      </c>
      <c r="L2360">
        <v>1156.7694080525901</v>
      </c>
      <c r="M2360">
        <v>21.056741966547602</v>
      </c>
      <c r="O2360">
        <v>54.447560426931197</v>
      </c>
      <c r="P2360">
        <v>-4.5570598103990299E-2</v>
      </c>
      <c r="Q2360">
        <v>0.52867518461664698</v>
      </c>
      <c r="R2360">
        <v>0.96026821214370905</v>
      </c>
      <c r="S2360" t="s">
        <v>9363</v>
      </c>
      <c r="T2360" t="s">
        <v>14004</v>
      </c>
      <c r="U2360" t="s">
        <v>14004</v>
      </c>
      <c r="V2360" t="s">
        <v>14004</v>
      </c>
      <c r="W2360" t="s">
        <v>16325</v>
      </c>
      <c r="X2360">
        <v>18</v>
      </c>
      <c r="Y2360" t="s">
        <v>23221</v>
      </c>
      <c r="Z2360" t="s">
        <v>30070</v>
      </c>
      <c r="AA2360">
        <v>0.76913655706919448</v>
      </c>
      <c r="AB2360" t="str">
        <f>HYPERLINK("Melting_Curves/meltCurve_P20963_CD247.pdf", "Melting_Curves/meltCurve_P20963_CD247.pdf")</f>
        <v>Melting_Curves/meltCurve_P20963_CD247.pdf</v>
      </c>
    </row>
    <row r="2361" spans="1:28" x14ac:dyDescent="0.25">
      <c r="A2361" t="s">
        <v>2365</v>
      </c>
      <c r="B2361">
        <v>0.99999676499088797</v>
      </c>
      <c r="C2361">
        <v>0.96251897061674196</v>
      </c>
      <c r="D2361">
        <v>0.79675546817811205</v>
      </c>
      <c r="E2361">
        <v>0.63644776500341205</v>
      </c>
      <c r="F2361">
        <v>0.31365733068736301</v>
      </c>
      <c r="G2361">
        <v>0.22301839502163701</v>
      </c>
      <c r="H2361">
        <v>0.117988047890607</v>
      </c>
      <c r="I2361">
        <v>0.13465237590107901</v>
      </c>
      <c r="J2361">
        <v>0.15752563327787</v>
      </c>
      <c r="K2361">
        <v>0.114730862285238</v>
      </c>
      <c r="L2361">
        <v>873.41923661364001</v>
      </c>
      <c r="M2361">
        <v>17.462849882941001</v>
      </c>
      <c r="N2361">
        <v>50.765080597678597</v>
      </c>
      <c r="O2361">
        <v>49.373781795860303</v>
      </c>
      <c r="P2361">
        <v>-7.8381483787348993E-2</v>
      </c>
      <c r="Q2361">
        <v>0.11359816172357499</v>
      </c>
      <c r="R2361">
        <v>0.99347656073014101</v>
      </c>
      <c r="S2361" t="s">
        <v>9364</v>
      </c>
      <c r="T2361" t="s">
        <v>14004</v>
      </c>
      <c r="U2361" t="s">
        <v>14004</v>
      </c>
      <c r="V2361" t="s">
        <v>14004</v>
      </c>
      <c r="W2361" t="s">
        <v>16326</v>
      </c>
      <c r="X2361">
        <v>18</v>
      </c>
      <c r="Y2361" t="s">
        <v>23222</v>
      </c>
      <c r="Z2361" t="s">
        <v>30071</v>
      </c>
      <c r="AA2361">
        <v>0.42553672542000348</v>
      </c>
      <c r="AB2361" t="str">
        <f>HYPERLINK("Melting_Curves/meltCurve_P21127_8_CDK11B.pdf", "Melting_Curves/meltCurve_P21127_8_CDK11B.pdf")</f>
        <v>Melting_Curves/meltCurve_P21127_8_CDK11B.pdf</v>
      </c>
    </row>
    <row r="2362" spans="1:28" x14ac:dyDescent="0.25">
      <c r="A2362" t="s">
        <v>2366</v>
      </c>
      <c r="B2362">
        <v>0.99999676499088797</v>
      </c>
      <c r="C2362">
        <v>0.99793272051310999</v>
      </c>
      <c r="D2362">
        <v>0.84764407593681301</v>
      </c>
      <c r="E2362">
        <v>0.45246266483036102</v>
      </c>
      <c r="F2362">
        <v>0.25920543968501197</v>
      </c>
      <c r="G2362">
        <v>0.153133690298555</v>
      </c>
      <c r="H2362">
        <v>8.1076239459795099E-2</v>
      </c>
      <c r="I2362">
        <v>9.8309103168025005E-2</v>
      </c>
      <c r="J2362">
        <v>9.7579168455034102E-2</v>
      </c>
      <c r="K2362">
        <v>0.102214553268253</v>
      </c>
      <c r="L2362">
        <v>1135.5971299914499</v>
      </c>
      <c r="M2362">
        <v>23.190633450648999</v>
      </c>
      <c r="N2362">
        <v>49.441147656635401</v>
      </c>
      <c r="O2362">
        <v>48.608167866302701</v>
      </c>
      <c r="P2362">
        <v>-0.107404060859697</v>
      </c>
      <c r="Q2362">
        <v>9.9529550352941906E-2</v>
      </c>
      <c r="R2362">
        <v>0.996639527832195</v>
      </c>
      <c r="S2362" t="s">
        <v>9365</v>
      </c>
      <c r="T2362" t="s">
        <v>14004</v>
      </c>
      <c r="U2362" t="s">
        <v>14004</v>
      </c>
      <c r="V2362" t="s">
        <v>14004</v>
      </c>
      <c r="W2362" t="s">
        <v>16327</v>
      </c>
      <c r="X2362">
        <v>12</v>
      </c>
      <c r="Y2362" t="s">
        <v>23223</v>
      </c>
      <c r="Z2362" t="s">
        <v>30072</v>
      </c>
      <c r="AA2362">
        <v>0.37802225789807758</v>
      </c>
      <c r="AB2362" t="str">
        <f>HYPERLINK("Melting_Curves/meltCurve_P21266_GSTM3.pdf", "Melting_Curves/meltCurve_P21266_GSTM3.pdf")</f>
        <v>Melting_Curves/meltCurve_P21266_GSTM3.pdf</v>
      </c>
    </row>
    <row r="2363" spans="1:28" x14ac:dyDescent="0.25">
      <c r="A2363" t="s">
        <v>2367</v>
      </c>
      <c r="B2363">
        <v>0.99999676499088797</v>
      </c>
      <c r="C2363">
        <v>0.96003535640972504</v>
      </c>
      <c r="D2363">
        <v>0.97072453027727601</v>
      </c>
      <c r="E2363">
        <v>0.97402721381119595</v>
      </c>
      <c r="F2363">
        <v>0.83014270637369902</v>
      </c>
      <c r="G2363">
        <v>0.68364599092202505</v>
      </c>
      <c r="H2363">
        <v>0.35084322393428802</v>
      </c>
      <c r="I2363">
        <v>0.18735817595190801</v>
      </c>
      <c r="J2363">
        <v>0.14346681038164899</v>
      </c>
      <c r="K2363">
        <v>0.108126612977856</v>
      </c>
      <c r="L2363">
        <v>1088.1954995277699</v>
      </c>
      <c r="M2363">
        <v>18.6471307774775</v>
      </c>
      <c r="N2363">
        <v>58.746627068973503</v>
      </c>
      <c r="O2363">
        <v>57.69853443177</v>
      </c>
      <c r="P2363">
        <v>-7.6102255512328396E-2</v>
      </c>
      <c r="Q2363">
        <v>5.8128540350471401E-2</v>
      </c>
      <c r="R2363">
        <v>0.995683337891757</v>
      </c>
      <c r="S2363" t="s">
        <v>9366</v>
      </c>
      <c r="T2363" t="s">
        <v>14004</v>
      </c>
      <c r="U2363" t="s">
        <v>14004</v>
      </c>
      <c r="V2363" t="s">
        <v>14004</v>
      </c>
      <c r="W2363" t="s">
        <v>16328</v>
      </c>
      <c r="X2363">
        <v>27</v>
      </c>
      <c r="Y2363" t="s">
        <v>23224</v>
      </c>
      <c r="Z2363" t="s">
        <v>30073</v>
      </c>
      <c r="AA2363">
        <v>0.64532584187762287</v>
      </c>
      <c r="AB2363" t="str">
        <f>HYPERLINK("Melting_Curves/meltCurve_P21281_ATP6V1B2.pdf", "Melting_Curves/meltCurve_P21281_ATP6V1B2.pdf")</f>
        <v>Melting_Curves/meltCurve_P21281_ATP6V1B2.pdf</v>
      </c>
    </row>
    <row r="2364" spans="1:28" x14ac:dyDescent="0.25">
      <c r="A2364" t="s">
        <v>2368</v>
      </c>
      <c r="B2364">
        <v>0.99999676499088797</v>
      </c>
      <c r="C2364">
        <v>0.96410674762033599</v>
      </c>
      <c r="D2364">
        <v>0.89400244225193704</v>
      </c>
      <c r="E2364">
        <v>0.68112134706570904</v>
      </c>
      <c r="F2364">
        <v>0.43067775722951801</v>
      </c>
      <c r="G2364">
        <v>0.25786250300388802</v>
      </c>
      <c r="H2364">
        <v>7.6040735081380303E-2</v>
      </c>
      <c r="I2364">
        <v>6.8351149146558196E-2</v>
      </c>
      <c r="J2364">
        <v>6.7983709724575403E-2</v>
      </c>
      <c r="K2364">
        <v>6.5400294848843896E-2</v>
      </c>
      <c r="L2364">
        <v>826.48730525739597</v>
      </c>
      <c r="M2364">
        <v>15.9052892984922</v>
      </c>
      <c r="N2364">
        <v>52.178384952634403</v>
      </c>
      <c r="O2364">
        <v>51.162442474947298</v>
      </c>
      <c r="P2364">
        <v>-7.52567476528406E-2</v>
      </c>
      <c r="Q2364">
        <v>3.17661433457474E-2</v>
      </c>
      <c r="R2364">
        <v>0.99768537553162995</v>
      </c>
      <c r="S2364" t="s">
        <v>9367</v>
      </c>
      <c r="T2364" t="s">
        <v>14004</v>
      </c>
      <c r="U2364" t="s">
        <v>14004</v>
      </c>
      <c r="V2364" t="s">
        <v>14004</v>
      </c>
      <c r="W2364" t="s">
        <v>16329</v>
      </c>
      <c r="X2364">
        <v>18</v>
      </c>
      <c r="Y2364" t="s">
        <v>23225</v>
      </c>
      <c r="Z2364" t="s">
        <v>30074</v>
      </c>
      <c r="AA2364">
        <v>0.43764418118588888</v>
      </c>
      <c r="AB2364" t="str">
        <f>HYPERLINK("Melting_Curves/meltCurve_P21283_ATP6V1C1.pdf", "Melting_Curves/meltCurve_P21283_ATP6V1C1.pdf")</f>
        <v>Melting_Curves/meltCurve_P21283_ATP6V1C1.pdf</v>
      </c>
    </row>
    <row r="2365" spans="1:28" x14ac:dyDescent="0.25">
      <c r="A2365" t="s">
        <v>2369</v>
      </c>
      <c r="B2365">
        <v>0.99999676499088797</v>
      </c>
      <c r="C2365">
        <v>1.12038700523998</v>
      </c>
      <c r="D2365">
        <v>1.0015521014189199</v>
      </c>
      <c r="E2365">
        <v>0.78455115183853397</v>
      </c>
      <c r="F2365">
        <v>0.66943596675378902</v>
      </c>
      <c r="G2365">
        <v>0.63935706706073903</v>
      </c>
      <c r="H2365">
        <v>0.36557545210126402</v>
      </c>
      <c r="I2365">
        <v>0.39722890524147297</v>
      </c>
      <c r="J2365">
        <v>0.43758398976698298</v>
      </c>
      <c r="K2365">
        <v>0.45004897735344401</v>
      </c>
      <c r="L2365">
        <v>920.09701513583002</v>
      </c>
      <c r="M2365">
        <v>17.454836639033001</v>
      </c>
      <c r="N2365">
        <v>58.272396719049901</v>
      </c>
      <c r="O2365">
        <v>52.0357203406639</v>
      </c>
      <c r="P2365">
        <v>-4.9863482799094E-2</v>
      </c>
      <c r="Q2365">
        <v>0.40542836049097197</v>
      </c>
      <c r="R2365">
        <v>0.93499897919689001</v>
      </c>
      <c r="S2365" t="s">
        <v>9368</v>
      </c>
      <c r="T2365" t="s">
        <v>14004</v>
      </c>
      <c r="U2365" t="s">
        <v>14004</v>
      </c>
      <c r="V2365" t="s">
        <v>14004</v>
      </c>
      <c r="W2365" t="s">
        <v>16330</v>
      </c>
      <c r="X2365">
        <v>11</v>
      </c>
      <c r="Y2365" t="s">
        <v>23226</v>
      </c>
      <c r="Z2365" t="s">
        <v>30075</v>
      </c>
      <c r="AA2365">
        <v>0.66767330803279124</v>
      </c>
      <c r="AB2365" t="str">
        <f>HYPERLINK("Melting_Curves/meltCurve_P21291_CSRP1.pdf", "Melting_Curves/meltCurve_P21291_CSRP1.pdf")</f>
        <v>Melting_Curves/meltCurve_P21291_CSRP1.pdf</v>
      </c>
    </row>
    <row r="2366" spans="1:28" x14ac:dyDescent="0.25">
      <c r="A2366" t="s">
        <v>2370</v>
      </c>
      <c r="B2366">
        <v>0.99999676499088797</v>
      </c>
      <c r="C2366">
        <v>0.98828830804527601</v>
      </c>
      <c r="D2366">
        <v>0.97316169436454103</v>
      </c>
      <c r="E2366">
        <v>0.50765833862304599</v>
      </c>
      <c r="F2366">
        <v>0.21204550878394099</v>
      </c>
      <c r="G2366">
        <v>0.13614029860939</v>
      </c>
      <c r="H2366">
        <v>7.3931899021558306E-2</v>
      </c>
      <c r="I2366">
        <v>7.3899738785469293E-2</v>
      </c>
      <c r="J2366">
        <v>7.3303224901272696E-2</v>
      </c>
      <c r="K2366">
        <v>6.8017704883727104E-2</v>
      </c>
      <c r="L2366">
        <v>1556.6912535689701</v>
      </c>
      <c r="M2366">
        <v>31.4128772314406</v>
      </c>
      <c r="N2366">
        <v>49.849809613313397</v>
      </c>
      <c r="O2366">
        <v>49.356297364826901</v>
      </c>
      <c r="P2366">
        <v>-0.145659373524541</v>
      </c>
      <c r="Q2366">
        <v>8.4557806281445699E-2</v>
      </c>
      <c r="R2366">
        <v>0.99616843297899205</v>
      </c>
      <c r="S2366" t="s">
        <v>9369</v>
      </c>
      <c r="T2366" t="s">
        <v>14004</v>
      </c>
      <c r="U2366" t="s">
        <v>14004</v>
      </c>
      <c r="V2366" t="s">
        <v>14004</v>
      </c>
      <c r="W2366" t="s">
        <v>16331</v>
      </c>
      <c r="X2366">
        <v>131</v>
      </c>
      <c r="Y2366" t="s">
        <v>23227</v>
      </c>
      <c r="Z2366" t="s">
        <v>30076</v>
      </c>
      <c r="AA2366">
        <v>0.38127152141517051</v>
      </c>
      <c r="AB2366" t="str">
        <f>HYPERLINK("Melting_Curves/meltCurve_P21333_2_FLNA.pdf", "Melting_Curves/meltCurve_P21333_2_FLNA.pdf")</f>
        <v>Melting_Curves/meltCurve_P21333_2_FLNA.pdf</v>
      </c>
    </row>
    <row r="2367" spans="1:28" x14ac:dyDescent="0.25">
      <c r="A2367" t="s">
        <v>2371</v>
      </c>
      <c r="B2367">
        <v>0.99999676499088797</v>
      </c>
      <c r="C2367">
        <v>0.99265584881079705</v>
      </c>
      <c r="D2367">
        <v>0.96461986660093102</v>
      </c>
      <c r="E2367">
        <v>0.951010582713953</v>
      </c>
      <c r="F2367">
        <v>0.576348727703487</v>
      </c>
      <c r="G2367">
        <v>0.216041939627374</v>
      </c>
      <c r="H2367">
        <v>8.0982583881488102E-2</v>
      </c>
      <c r="I2367">
        <v>6.4805997560160006E-2</v>
      </c>
      <c r="J2367">
        <v>6.0694252584564998E-2</v>
      </c>
      <c r="K2367">
        <v>5.2726341332144801E-2</v>
      </c>
      <c r="L2367">
        <v>1634.1806543835701</v>
      </c>
      <c r="M2367">
        <v>30.462965300144301</v>
      </c>
      <c r="N2367">
        <v>53.861388425974603</v>
      </c>
      <c r="O2367">
        <v>53.415255842963397</v>
      </c>
      <c r="P2367">
        <v>-0.13435909851487901</v>
      </c>
      <c r="Q2367">
        <v>5.7638578408449499E-2</v>
      </c>
      <c r="R2367">
        <v>0.99897748208037396</v>
      </c>
      <c r="S2367" t="s">
        <v>9370</v>
      </c>
      <c r="T2367" t="s">
        <v>14004</v>
      </c>
      <c r="U2367" t="s">
        <v>14004</v>
      </c>
      <c r="V2367" t="s">
        <v>14004</v>
      </c>
      <c r="W2367" t="s">
        <v>16332</v>
      </c>
      <c r="X2367">
        <v>45</v>
      </c>
      <c r="Y2367" t="s">
        <v>23228</v>
      </c>
      <c r="Z2367" t="s">
        <v>30077</v>
      </c>
      <c r="AA2367">
        <v>0.49223373555383582</v>
      </c>
      <c r="AB2367" t="str">
        <f>HYPERLINK("Melting_Curves/meltCurve_P21399_ACO1.pdf", "Melting_Curves/meltCurve_P21399_ACO1.pdf")</f>
        <v>Melting_Curves/meltCurve_P21399_ACO1.pdf</v>
      </c>
    </row>
    <row r="2368" spans="1:28" x14ac:dyDescent="0.25">
      <c r="A2368" t="s">
        <v>2372</v>
      </c>
      <c r="B2368">
        <v>0.99999676499088797</v>
      </c>
      <c r="C2368">
        <v>0.85592452720623702</v>
      </c>
      <c r="D2368">
        <v>0.91318585358680704</v>
      </c>
      <c r="E2368">
        <v>0.85048414401086203</v>
      </c>
      <c r="F2368">
        <v>0.71633169139435104</v>
      </c>
      <c r="G2368">
        <v>0.63681057155357101</v>
      </c>
      <c r="H2368">
        <v>0.38024493498717199</v>
      </c>
      <c r="I2368">
        <v>0.315491513654099</v>
      </c>
      <c r="J2368">
        <v>0.192550406647614</v>
      </c>
      <c r="K2368">
        <v>0.11463386698873899</v>
      </c>
      <c r="L2368">
        <v>585.08428425646298</v>
      </c>
      <c r="M2368">
        <v>10.0231784757099</v>
      </c>
      <c r="N2368">
        <v>58.3731265696115</v>
      </c>
      <c r="O2368">
        <v>56.192315057514897</v>
      </c>
      <c r="P2368">
        <v>-4.4614688992314702E-2</v>
      </c>
      <c r="Q2368">
        <v>0</v>
      </c>
      <c r="R2368">
        <v>0.97571010687060999</v>
      </c>
      <c r="S2368" t="s">
        <v>9371</v>
      </c>
      <c r="T2368" t="s">
        <v>14004</v>
      </c>
      <c r="U2368" t="s">
        <v>14004</v>
      </c>
      <c r="V2368" t="s">
        <v>14004</v>
      </c>
      <c r="W2368" t="s">
        <v>16333</v>
      </c>
      <c r="X2368">
        <v>1</v>
      </c>
      <c r="Y2368" t="s">
        <v>23229</v>
      </c>
      <c r="Z2368" t="s">
        <v>30078</v>
      </c>
      <c r="AA2368">
        <v>0.62003935863274362</v>
      </c>
      <c r="AB2368" t="str">
        <f>HYPERLINK("Melting_Curves/meltCurve_P21549_AGXT.pdf", "Melting_Curves/meltCurve_P21549_AGXT.pdf")</f>
        <v>Melting_Curves/meltCurve_P21549_AGXT.pdf</v>
      </c>
    </row>
    <row r="2369" spans="1:28" x14ac:dyDescent="0.25">
      <c r="A2369" t="s">
        <v>2373</v>
      </c>
      <c r="B2369">
        <v>0.99999676499088797</v>
      </c>
      <c r="C2369">
        <v>0.929517643221064</v>
      </c>
      <c r="D2369">
        <v>0.89826760442782105</v>
      </c>
      <c r="E2369">
        <v>0.75100338778386</v>
      </c>
      <c r="F2369">
        <v>0.37586763905821502</v>
      </c>
      <c r="G2369">
        <v>0.27659442878002</v>
      </c>
      <c r="H2369">
        <v>0.163123425050725</v>
      </c>
      <c r="I2369">
        <v>0.124306697960058</v>
      </c>
      <c r="J2369">
        <v>0.109044949150506</v>
      </c>
      <c r="K2369">
        <v>9.3938950470187299E-2</v>
      </c>
      <c r="L2369">
        <v>922.17660436409903</v>
      </c>
      <c r="M2369">
        <v>17.868121732717</v>
      </c>
      <c r="N2369">
        <v>52.240682081344701</v>
      </c>
      <c r="O2369">
        <v>50.976741480336102</v>
      </c>
      <c r="P2369">
        <v>-7.9133333190615898E-2</v>
      </c>
      <c r="Q2369">
        <v>9.6994154255895706E-2</v>
      </c>
      <c r="R2369">
        <v>0.99323931115506003</v>
      </c>
      <c r="S2369" t="s">
        <v>9372</v>
      </c>
      <c r="T2369" t="s">
        <v>14004</v>
      </c>
      <c r="U2369" t="s">
        <v>14004</v>
      </c>
      <c r="V2369" t="s">
        <v>14004</v>
      </c>
      <c r="W2369" t="s">
        <v>16334</v>
      </c>
      <c r="X2369">
        <v>6</v>
      </c>
      <c r="Y2369" t="s">
        <v>23230</v>
      </c>
      <c r="Z2369" t="s">
        <v>30079</v>
      </c>
      <c r="AA2369">
        <v>0.46176082483332309</v>
      </c>
      <c r="AB2369" t="str">
        <f>HYPERLINK("Melting_Curves/meltCurve_P21580_TNFAIP3.pdf", "Melting_Curves/meltCurve_P21580_TNFAIP3.pdf")</f>
        <v>Melting_Curves/meltCurve_P21580_TNFAIP3.pdf</v>
      </c>
    </row>
    <row r="2370" spans="1:28" x14ac:dyDescent="0.25">
      <c r="A2370" t="s">
        <v>2374</v>
      </c>
      <c r="B2370">
        <v>0.99999676499088797</v>
      </c>
      <c r="C2370">
        <v>0.91840229690525599</v>
      </c>
      <c r="D2370">
        <v>0.95352556364356</v>
      </c>
      <c r="E2370">
        <v>0.92062042775984798</v>
      </c>
      <c r="F2370">
        <v>0.936942049921762</v>
      </c>
      <c r="G2370">
        <v>0.80916755165427301</v>
      </c>
      <c r="H2370">
        <v>0.74020867005875401</v>
      </c>
      <c r="I2370">
        <v>0.644531277405335</v>
      </c>
      <c r="J2370">
        <v>0.59353825152512896</v>
      </c>
      <c r="K2370">
        <v>0.50654757835308595</v>
      </c>
      <c r="L2370">
        <v>442.71246854894503</v>
      </c>
      <c r="M2370">
        <v>6.2660015681471499</v>
      </c>
      <c r="O2370">
        <v>64.479359442387704</v>
      </c>
      <c r="P2370">
        <v>-2.4361955660272602E-2</v>
      </c>
      <c r="Q2370">
        <v>0</v>
      </c>
      <c r="R2370">
        <v>0.97125287184048503</v>
      </c>
      <c r="S2370" t="s">
        <v>9373</v>
      </c>
      <c r="T2370" t="s">
        <v>14004</v>
      </c>
      <c r="U2370" t="s">
        <v>14004</v>
      </c>
      <c r="V2370" t="s">
        <v>14004</v>
      </c>
      <c r="W2370" t="s">
        <v>16335</v>
      </c>
      <c r="X2370">
        <v>30</v>
      </c>
      <c r="Y2370" t="s">
        <v>23231</v>
      </c>
      <c r="Z2370" t="s">
        <v>30080</v>
      </c>
      <c r="AA2370">
        <v>0.81769567528763998</v>
      </c>
      <c r="AB2370" t="str">
        <f>HYPERLINK("Melting_Curves/meltCurve_P21796_VDAC1.pdf", "Melting_Curves/meltCurve_P21796_VDAC1.pdf")</f>
        <v>Melting_Curves/meltCurve_P21796_VDAC1.pdf</v>
      </c>
    </row>
    <row r="2371" spans="1:28" x14ac:dyDescent="0.25">
      <c r="A2371" t="s">
        <v>2375</v>
      </c>
      <c r="B2371">
        <v>0.99999676499088797</v>
      </c>
      <c r="C2371">
        <v>0.96770547518118699</v>
      </c>
      <c r="D2371">
        <v>0.967436670348095</v>
      </c>
      <c r="E2371">
        <v>1.01881769730452</v>
      </c>
      <c r="F2371">
        <v>0.99474721670418098</v>
      </c>
      <c r="G2371">
        <v>0.78105565727905502</v>
      </c>
      <c r="H2371">
        <v>0.39996995479941999</v>
      </c>
      <c r="I2371">
        <v>0.15527744916692801</v>
      </c>
      <c r="J2371">
        <v>0.110711129794987</v>
      </c>
      <c r="K2371">
        <v>0.10089987238776101</v>
      </c>
      <c r="L2371">
        <v>1728.82163271176</v>
      </c>
      <c r="M2371">
        <v>29.158123959103001</v>
      </c>
      <c r="N2371">
        <v>59.651252123435299</v>
      </c>
      <c r="O2371">
        <v>59.014465950591699</v>
      </c>
      <c r="P2371">
        <v>-0.113556321898129</v>
      </c>
      <c r="Q2371">
        <v>8.0679304653298603E-2</v>
      </c>
      <c r="R2371">
        <v>0.99696578002464598</v>
      </c>
      <c r="S2371" t="s">
        <v>9374</v>
      </c>
      <c r="T2371" t="s">
        <v>14004</v>
      </c>
      <c r="U2371" t="s">
        <v>14004</v>
      </c>
      <c r="V2371" t="s">
        <v>14004</v>
      </c>
      <c r="W2371" t="s">
        <v>16336</v>
      </c>
      <c r="X2371">
        <v>18</v>
      </c>
      <c r="Y2371" t="s">
        <v>23232</v>
      </c>
      <c r="Z2371" t="s">
        <v>30081</v>
      </c>
      <c r="AA2371">
        <v>0.67789954154488619</v>
      </c>
      <c r="AB2371" t="str">
        <f>HYPERLINK("Melting_Curves/meltCurve_P21912_SDHB.pdf", "Melting_Curves/meltCurve_P21912_SDHB.pdf")</f>
        <v>Melting_Curves/meltCurve_P21912_SDHB.pdf</v>
      </c>
    </row>
    <row r="2372" spans="1:28" x14ac:dyDescent="0.25">
      <c r="A2372" t="s">
        <v>2376</v>
      </c>
      <c r="B2372">
        <v>0.99999676499088797</v>
      </c>
      <c r="C2372">
        <v>1.06596499112614</v>
      </c>
      <c r="D2372">
        <v>0.98701985899395295</v>
      </c>
      <c r="E2372">
        <v>1.0650543445382099</v>
      </c>
      <c r="F2372">
        <v>0.75221859722131201</v>
      </c>
      <c r="G2372">
        <v>0.335048969821228</v>
      </c>
      <c r="H2372">
        <v>0.122936579324102</v>
      </c>
      <c r="I2372">
        <v>6.6192059035175596E-2</v>
      </c>
      <c r="J2372">
        <v>6.5546109650937406E-2</v>
      </c>
      <c r="K2372">
        <v>4.3021141128752702E-2</v>
      </c>
      <c r="L2372">
        <v>1749.7871008581601</v>
      </c>
      <c r="M2372">
        <v>31.7185307776017</v>
      </c>
      <c r="N2372">
        <v>55.384102126512801</v>
      </c>
      <c r="O2372">
        <v>54.948191443671497</v>
      </c>
      <c r="P2372">
        <v>-0.13584150646290899</v>
      </c>
      <c r="Q2372">
        <v>5.86945927426826E-2</v>
      </c>
      <c r="R2372">
        <v>0.99267243512617298</v>
      </c>
      <c r="S2372" t="s">
        <v>9375</v>
      </c>
      <c r="T2372" t="s">
        <v>14004</v>
      </c>
      <c r="U2372" t="s">
        <v>14004</v>
      </c>
      <c r="V2372" t="s">
        <v>14004</v>
      </c>
      <c r="W2372" t="s">
        <v>16337</v>
      </c>
      <c r="X2372">
        <v>4</v>
      </c>
      <c r="Y2372" t="s">
        <v>23233</v>
      </c>
      <c r="Z2372" t="s">
        <v>30082</v>
      </c>
      <c r="AA2372">
        <v>0.54018367611591378</v>
      </c>
      <c r="AB2372" t="str">
        <f>HYPERLINK("Melting_Curves/meltCurve_P21953_BCKDHB.pdf", "Melting_Curves/meltCurve_P21953_BCKDHB.pdf")</f>
        <v>Melting_Curves/meltCurve_P21953_BCKDHB.pdf</v>
      </c>
    </row>
    <row r="2373" spans="1:28" x14ac:dyDescent="0.25">
      <c r="A2373" t="s">
        <v>2377</v>
      </c>
      <c r="B2373">
        <v>0.99999676499088797</v>
      </c>
      <c r="C2373">
        <v>0.91597013961236495</v>
      </c>
      <c r="D2373">
        <v>0.89356857261404099</v>
      </c>
      <c r="E2373">
        <v>0.85450948278398398</v>
      </c>
      <c r="F2373">
        <v>0.59428523670260802</v>
      </c>
      <c r="G2373">
        <v>0.323014689188247</v>
      </c>
      <c r="H2373">
        <v>0.16096550377612501</v>
      </c>
      <c r="I2373">
        <v>0.14299831527587101</v>
      </c>
      <c r="J2373">
        <v>0.105213680722375</v>
      </c>
      <c r="K2373">
        <v>8.7719456637534901E-2</v>
      </c>
      <c r="L2373">
        <v>915.34843106541905</v>
      </c>
      <c r="M2373">
        <v>17.006691740172599</v>
      </c>
      <c r="N2373">
        <v>54.289650123819598</v>
      </c>
      <c r="O2373">
        <v>53.095185582055898</v>
      </c>
      <c r="P2373">
        <v>-7.4633861838581506E-2</v>
      </c>
      <c r="Q2373">
        <v>6.8024656926841606E-2</v>
      </c>
      <c r="R2373">
        <v>0.99176997090866303</v>
      </c>
      <c r="S2373" t="s">
        <v>9376</v>
      </c>
      <c r="T2373" t="s">
        <v>14004</v>
      </c>
      <c r="U2373" t="s">
        <v>14004</v>
      </c>
      <c r="V2373" t="s">
        <v>14004</v>
      </c>
      <c r="W2373" t="s">
        <v>16338</v>
      </c>
      <c r="X2373">
        <v>14</v>
      </c>
      <c r="Y2373" t="s">
        <v>23234</v>
      </c>
      <c r="Z2373" t="s">
        <v>30083</v>
      </c>
      <c r="AA2373">
        <v>0.5137298906414034</v>
      </c>
      <c r="AB2373" t="str">
        <f>HYPERLINK("Melting_Curves/meltCurve_P21964_2_COMT.pdf", "Melting_Curves/meltCurve_P21964_2_COMT.pdf")</f>
        <v>Melting_Curves/meltCurve_P21964_2_COMT.pdf</v>
      </c>
    </row>
    <row r="2374" spans="1:28" x14ac:dyDescent="0.25">
      <c r="A2374" t="s">
        <v>2378</v>
      </c>
      <c r="B2374">
        <v>0.99999676499088797</v>
      </c>
      <c r="C2374">
        <v>1.02493821197049</v>
      </c>
      <c r="D2374">
        <v>1.0411916495551901</v>
      </c>
      <c r="E2374">
        <v>1.07552177522413</v>
      </c>
      <c r="F2374">
        <v>0.355498448285133</v>
      </c>
      <c r="G2374">
        <v>0.17205086101345701</v>
      </c>
      <c r="H2374">
        <v>6.9753523921449803E-2</v>
      </c>
      <c r="I2374">
        <v>6.3656544295002795E-2</v>
      </c>
      <c r="J2374">
        <v>6.1473867807352603E-2</v>
      </c>
      <c r="K2374">
        <v>5.6644800484083199E-2</v>
      </c>
      <c r="L2374">
        <v>9982.4669677383099</v>
      </c>
      <c r="M2374">
        <v>188.50750279680199</v>
      </c>
      <c r="N2374">
        <v>53.0074790276526</v>
      </c>
      <c r="O2374">
        <v>52.949320490907901</v>
      </c>
      <c r="P2374">
        <v>-0.81463788163460404</v>
      </c>
      <c r="Q2374">
        <v>8.4715068970762697E-2</v>
      </c>
      <c r="R2374">
        <v>0.99135828395713599</v>
      </c>
      <c r="S2374" t="s">
        <v>9377</v>
      </c>
      <c r="T2374" t="s">
        <v>14004</v>
      </c>
      <c r="U2374" t="s">
        <v>14004</v>
      </c>
      <c r="V2374" t="s">
        <v>14004</v>
      </c>
      <c r="W2374" t="s">
        <v>16339</v>
      </c>
      <c r="X2374">
        <v>21</v>
      </c>
      <c r="Y2374" t="s">
        <v>23235</v>
      </c>
      <c r="Z2374" t="s">
        <v>30084</v>
      </c>
      <c r="AA2374">
        <v>0.480123688647418</v>
      </c>
      <c r="AB2374" t="str">
        <f>HYPERLINK("Melting_Curves/meltCurve_P22033_MUT.pdf", "Melting_Curves/meltCurve_P22033_MUT.pdf")</f>
        <v>Melting_Curves/meltCurve_P22033_MUT.pdf</v>
      </c>
    </row>
    <row r="2375" spans="1:28" x14ac:dyDescent="0.25">
      <c r="A2375" t="s">
        <v>2379</v>
      </c>
      <c r="B2375">
        <v>0.99999676499088797</v>
      </c>
      <c r="C2375">
        <v>1.05714745308614</v>
      </c>
      <c r="D2375">
        <v>1.0364100418247399</v>
      </c>
      <c r="E2375">
        <v>0.95930731318074902</v>
      </c>
      <c r="F2375">
        <v>0.26778126630412002</v>
      </c>
      <c r="G2375">
        <v>0.167988975192258</v>
      </c>
      <c r="H2375">
        <v>8.1279733157238895E-2</v>
      </c>
      <c r="I2375">
        <v>7.8858262955081998E-2</v>
      </c>
      <c r="J2375">
        <v>7.1358085475464503E-2</v>
      </c>
      <c r="K2375">
        <v>5.6100492699755297E-2</v>
      </c>
      <c r="L2375">
        <v>3131.2826903607902</v>
      </c>
      <c r="M2375">
        <v>60.235363005571998</v>
      </c>
      <c r="N2375">
        <v>52.154232127860901</v>
      </c>
      <c r="O2375">
        <v>51.926902326103303</v>
      </c>
      <c r="P2375">
        <v>-0.26413743999400802</v>
      </c>
      <c r="Q2375">
        <v>8.9183640420815904E-2</v>
      </c>
      <c r="R2375">
        <v>0.99402955076378796</v>
      </c>
      <c r="S2375" t="s">
        <v>9378</v>
      </c>
      <c r="T2375" t="s">
        <v>14004</v>
      </c>
      <c r="U2375" t="s">
        <v>14004</v>
      </c>
      <c r="V2375" t="s">
        <v>14004</v>
      </c>
      <c r="W2375" t="s">
        <v>16340</v>
      </c>
      <c r="X2375">
        <v>32</v>
      </c>
      <c r="Y2375" t="s">
        <v>23236</v>
      </c>
      <c r="Z2375" t="s">
        <v>30085</v>
      </c>
      <c r="AA2375">
        <v>0.4544647775490448</v>
      </c>
      <c r="AB2375" t="str">
        <f>HYPERLINK("Melting_Curves/meltCurve_P22059_OSBP.pdf", "Melting_Curves/meltCurve_P22059_OSBP.pdf")</f>
        <v>Melting_Curves/meltCurve_P22059_OSBP.pdf</v>
      </c>
    </row>
    <row r="2376" spans="1:28" x14ac:dyDescent="0.25">
      <c r="A2376" t="s">
        <v>2380</v>
      </c>
      <c r="B2376">
        <v>0.99999676499088797</v>
      </c>
      <c r="C2376">
        <v>1.07499695736054</v>
      </c>
      <c r="D2376">
        <v>1.1599919549822</v>
      </c>
      <c r="E2376">
        <v>0.97962889738556302</v>
      </c>
      <c r="F2376">
        <v>0.34667087557828902</v>
      </c>
      <c r="G2376">
        <v>0.23296030968899101</v>
      </c>
      <c r="H2376">
        <v>9.5021289022355404E-2</v>
      </c>
      <c r="I2376">
        <v>0.13818958055324501</v>
      </c>
      <c r="J2376">
        <v>0.12729034184412599</v>
      </c>
      <c r="K2376">
        <v>0.11387585243816099</v>
      </c>
      <c r="L2376">
        <v>3179.0837395613098</v>
      </c>
      <c r="M2376">
        <v>60.866182658136502</v>
      </c>
      <c r="N2376">
        <v>52.5122507864277</v>
      </c>
      <c r="O2376">
        <v>52.174390576680402</v>
      </c>
      <c r="P2376">
        <v>-0.25104539206825599</v>
      </c>
      <c r="Q2376">
        <v>0.13921717718246199</v>
      </c>
      <c r="R2376">
        <v>0.97815560583983896</v>
      </c>
      <c r="S2376" t="s">
        <v>9379</v>
      </c>
      <c r="T2376" t="s">
        <v>14004</v>
      </c>
      <c r="U2376" t="s">
        <v>14004</v>
      </c>
      <c r="V2376" t="s">
        <v>14004</v>
      </c>
      <c r="W2376" t="s">
        <v>16341</v>
      </c>
      <c r="X2376">
        <v>18</v>
      </c>
      <c r="Y2376" t="s">
        <v>23237</v>
      </c>
      <c r="Z2376" t="s">
        <v>30086</v>
      </c>
      <c r="AA2376">
        <v>0.49148575430644759</v>
      </c>
      <c r="AB2376" t="str">
        <f>HYPERLINK("Melting_Curves/meltCurve_P22087_FBL.pdf", "Melting_Curves/meltCurve_P22087_FBL.pdf")</f>
        <v>Melting_Curves/meltCurve_P22087_FBL.pdf</v>
      </c>
    </row>
    <row r="2377" spans="1:28" x14ac:dyDescent="0.25">
      <c r="A2377" t="s">
        <v>2381</v>
      </c>
      <c r="B2377">
        <v>0.99999676499088797</v>
      </c>
      <c r="C2377">
        <v>1.05158077349996</v>
      </c>
      <c r="D2377">
        <v>0.97994626287355402</v>
      </c>
      <c r="E2377">
        <v>0.67445425721916097</v>
      </c>
      <c r="F2377">
        <v>0.27543339405324402</v>
      </c>
      <c r="G2377">
        <v>0.150581166461528</v>
      </c>
      <c r="H2377">
        <v>6.50981317209538E-2</v>
      </c>
      <c r="I2377">
        <v>5.8592680450168903E-2</v>
      </c>
      <c r="J2377">
        <v>5.0393665979331599E-2</v>
      </c>
      <c r="K2377">
        <v>4.6443069510340801E-2</v>
      </c>
      <c r="L2377">
        <v>1374.6775828932</v>
      </c>
      <c r="M2377">
        <v>27.014291796572401</v>
      </c>
      <c r="N2377">
        <v>51.122257304536802</v>
      </c>
      <c r="O2377">
        <v>50.610650372512701</v>
      </c>
      <c r="P2377">
        <v>-0.12564496383815801</v>
      </c>
      <c r="Q2377">
        <v>5.8437588940015397E-2</v>
      </c>
      <c r="R2377">
        <v>0.99640304984677897</v>
      </c>
      <c r="S2377" t="s">
        <v>9380</v>
      </c>
      <c r="T2377" t="s">
        <v>14004</v>
      </c>
      <c r="U2377" t="s">
        <v>14004</v>
      </c>
      <c r="V2377" t="s">
        <v>14004</v>
      </c>
      <c r="W2377" t="s">
        <v>16342</v>
      </c>
      <c r="X2377">
        <v>46</v>
      </c>
      <c r="Y2377" t="s">
        <v>23238</v>
      </c>
      <c r="Z2377" t="s">
        <v>30087</v>
      </c>
      <c r="AA2377">
        <v>0.40741829511022509</v>
      </c>
      <c r="AB2377" t="str">
        <f>HYPERLINK("Melting_Curves/meltCurve_P22102_GART.pdf", "Melting_Curves/meltCurve_P22102_GART.pdf")</f>
        <v>Melting_Curves/meltCurve_P22102_GART.pdf</v>
      </c>
    </row>
    <row r="2378" spans="1:28" x14ac:dyDescent="0.25">
      <c r="A2378" t="s">
        <v>2382</v>
      </c>
      <c r="B2378">
        <v>0.99999676499088797</v>
      </c>
      <c r="C2378">
        <v>1.0577792611421399</v>
      </c>
      <c r="D2378">
        <v>1.0205779083251301</v>
      </c>
      <c r="E2378">
        <v>1.00455592471614</v>
      </c>
      <c r="F2378">
        <v>1.1018437741793801</v>
      </c>
      <c r="G2378">
        <v>0.99870322634534903</v>
      </c>
      <c r="H2378">
        <v>0.66814413756884705</v>
      </c>
      <c r="I2378">
        <v>0.63252869883632801</v>
      </c>
      <c r="J2378">
        <v>0.55568632068674495</v>
      </c>
      <c r="K2378">
        <v>0.62680180775335104</v>
      </c>
      <c r="L2378">
        <v>5205.5291687193403</v>
      </c>
      <c r="M2378">
        <v>87.2514735686009</v>
      </c>
      <c r="O2378">
        <v>59.629897505944797</v>
      </c>
      <c r="P2378">
        <v>-0.14471216440875301</v>
      </c>
      <c r="Q2378">
        <v>0.60440000012818296</v>
      </c>
      <c r="R2378">
        <v>0.95748739226827395</v>
      </c>
      <c r="S2378" t="s">
        <v>9381</v>
      </c>
      <c r="T2378" t="s">
        <v>14004</v>
      </c>
      <c r="U2378" t="s">
        <v>14004</v>
      </c>
      <c r="V2378" t="s">
        <v>14004</v>
      </c>
      <c r="W2378" t="s">
        <v>16343</v>
      </c>
      <c r="X2378">
        <v>38</v>
      </c>
      <c r="Y2378" t="s">
        <v>23239</v>
      </c>
      <c r="Z2378" t="s">
        <v>30088</v>
      </c>
      <c r="AA2378">
        <v>0.86400649814213026</v>
      </c>
      <c r="AB2378" t="str">
        <f>HYPERLINK("Melting_Curves/meltCurve_P22234_PAICS.pdf", "Melting_Curves/meltCurve_P22234_PAICS.pdf")</f>
        <v>Melting_Curves/meltCurve_P22234_PAICS.pdf</v>
      </c>
    </row>
    <row r="2379" spans="1:28" x14ac:dyDescent="0.25">
      <c r="A2379" t="s">
        <v>2383</v>
      </c>
      <c r="B2379">
        <v>0.99999676499088797</v>
      </c>
      <c r="C2379">
        <v>0.97489337014113797</v>
      </c>
      <c r="D2379">
        <v>1.0021736301000399</v>
      </c>
      <c r="E2379">
        <v>1.0688414162592299</v>
      </c>
      <c r="F2379">
        <v>0.862438900637159</v>
      </c>
      <c r="G2379">
        <v>0.50718945875692101</v>
      </c>
      <c r="H2379">
        <v>0.17401700705932899</v>
      </c>
      <c r="I2379">
        <v>0.13320105291537301</v>
      </c>
      <c r="J2379">
        <v>0.114381061452814</v>
      </c>
      <c r="K2379">
        <v>0.115121148025268</v>
      </c>
      <c r="L2379">
        <v>1835.0526503021699</v>
      </c>
      <c r="M2379">
        <v>32.571499204924599</v>
      </c>
      <c r="N2379">
        <v>56.775222747106</v>
      </c>
      <c r="O2379">
        <v>56.1281190156025</v>
      </c>
      <c r="P2379">
        <v>-0.12902403994324399</v>
      </c>
      <c r="Q2379">
        <v>0.110652831768854</v>
      </c>
      <c r="R2379">
        <v>0.99522653397559502</v>
      </c>
      <c r="S2379" t="s">
        <v>9382</v>
      </c>
      <c r="T2379" t="s">
        <v>14004</v>
      </c>
      <c r="U2379" t="s">
        <v>14004</v>
      </c>
      <c r="V2379" t="s">
        <v>14004</v>
      </c>
      <c r="W2379" t="s">
        <v>16344</v>
      </c>
      <c r="X2379">
        <v>27</v>
      </c>
      <c r="Y2379" t="s">
        <v>23240</v>
      </c>
      <c r="Z2379" t="s">
        <v>30089</v>
      </c>
      <c r="AA2379">
        <v>0.60012692296947001</v>
      </c>
      <c r="AB2379" t="str">
        <f>HYPERLINK("Melting_Curves/meltCurve_P22307_SCP2.pdf", "Melting_Curves/meltCurve_P22307_SCP2.pdf")</f>
        <v>Melting_Curves/meltCurve_P22307_SCP2.pdf</v>
      </c>
    </row>
    <row r="2380" spans="1:28" x14ac:dyDescent="0.25">
      <c r="A2380" t="s">
        <v>2384</v>
      </c>
      <c r="B2380">
        <v>0.99999676499088797</v>
      </c>
      <c r="C2380">
        <v>1.01804742542174</v>
      </c>
      <c r="D2380">
        <v>0.88424698286661796</v>
      </c>
      <c r="E2380">
        <v>0.313726219718442</v>
      </c>
      <c r="F2380">
        <v>0.23061984776563599</v>
      </c>
      <c r="G2380">
        <v>0.153417067541117</v>
      </c>
      <c r="H2380">
        <v>8.6271900583732894E-2</v>
      </c>
      <c r="I2380">
        <v>8.1672373319834402E-2</v>
      </c>
      <c r="J2380">
        <v>7.6596252469862999E-2</v>
      </c>
      <c r="K2380">
        <v>6.8408606386775303E-2</v>
      </c>
      <c r="L2380">
        <v>1759.6488702629999</v>
      </c>
      <c r="M2380">
        <v>36.507518637379</v>
      </c>
      <c r="N2380">
        <v>48.520639094829797</v>
      </c>
      <c r="O2380">
        <v>48.055692065432503</v>
      </c>
      <c r="P2380">
        <v>-0.16954810904366999</v>
      </c>
      <c r="Q2380">
        <v>0.10728225584081801</v>
      </c>
      <c r="R2380">
        <v>0.98900779093860403</v>
      </c>
      <c r="S2380" t="s">
        <v>9383</v>
      </c>
      <c r="T2380" t="s">
        <v>14004</v>
      </c>
      <c r="U2380" t="s">
        <v>14004</v>
      </c>
      <c r="V2380" t="s">
        <v>14004</v>
      </c>
      <c r="W2380" t="s">
        <v>16345</v>
      </c>
      <c r="X2380">
        <v>57</v>
      </c>
      <c r="Y2380" t="s">
        <v>23241</v>
      </c>
      <c r="Z2380" t="s">
        <v>30090</v>
      </c>
      <c r="AA2380">
        <v>0.35487224903556652</v>
      </c>
      <c r="AB2380" t="str">
        <f>HYPERLINK("Melting_Curves/meltCurve_P22314_UBA1.pdf", "Melting_Curves/meltCurve_P22314_UBA1.pdf")</f>
        <v>Melting_Curves/meltCurve_P22314_UBA1.pdf</v>
      </c>
    </row>
    <row r="2381" spans="1:28" x14ac:dyDescent="0.25">
      <c r="A2381" t="s">
        <v>2385</v>
      </c>
      <c r="B2381">
        <v>0.99999676499088797</v>
      </c>
      <c r="C2381">
        <v>0.95164364294440396</v>
      </c>
      <c r="D2381">
        <v>0.80667208179378902</v>
      </c>
      <c r="E2381">
        <v>0.54324697619103202</v>
      </c>
      <c r="F2381">
        <v>0.296785191000636</v>
      </c>
      <c r="G2381">
        <v>9.3277425039399606E-2</v>
      </c>
      <c r="H2381">
        <v>3.7144593041146902E-2</v>
      </c>
      <c r="I2381">
        <v>3.46232534408027E-2</v>
      </c>
      <c r="J2381">
        <v>5.3961258479953901E-2</v>
      </c>
      <c r="K2381">
        <v>2.39321179652477E-2</v>
      </c>
      <c r="L2381">
        <v>870.304244088225</v>
      </c>
      <c r="M2381">
        <v>17.406795021603301</v>
      </c>
      <c r="N2381">
        <v>50.083425355379703</v>
      </c>
      <c r="O2381">
        <v>49.352073020756599</v>
      </c>
      <c r="P2381">
        <v>-8.6890825267454896E-2</v>
      </c>
      <c r="Q2381">
        <v>1.46373715089443E-2</v>
      </c>
      <c r="R2381">
        <v>0.99782350273345599</v>
      </c>
      <c r="S2381" t="s">
        <v>9384</v>
      </c>
      <c r="T2381" t="s">
        <v>14004</v>
      </c>
      <c r="U2381" t="s">
        <v>14004</v>
      </c>
      <c r="V2381" t="s">
        <v>14004</v>
      </c>
      <c r="W2381" t="s">
        <v>16346</v>
      </c>
      <c r="X2381">
        <v>17</v>
      </c>
      <c r="Y2381" t="s">
        <v>22124</v>
      </c>
      <c r="Z2381" t="s">
        <v>30091</v>
      </c>
      <c r="AA2381">
        <v>0.36092723331096721</v>
      </c>
      <c r="AB2381" t="str">
        <f>HYPERLINK("Melting_Curves/meltCurve_P22570_5_FDXR.pdf", "Melting_Curves/meltCurve_P22570_5_FDXR.pdf")</f>
        <v>Melting_Curves/meltCurve_P22570_5_FDXR.pdf</v>
      </c>
    </row>
    <row r="2382" spans="1:28" x14ac:dyDescent="0.25">
      <c r="A2382" t="s">
        <v>2386</v>
      </c>
      <c r="B2382">
        <v>0.99999676499088797</v>
      </c>
      <c r="C2382">
        <v>0.84293556061414598</v>
      </c>
      <c r="D2382">
        <v>0.86813008972858796</v>
      </c>
      <c r="E2382">
        <v>0.662971696930444</v>
      </c>
      <c r="F2382">
        <v>0.31728436994355202</v>
      </c>
      <c r="G2382">
        <v>0.240935723410763</v>
      </c>
      <c r="H2382">
        <v>0.15054446296041299</v>
      </c>
      <c r="I2382">
        <v>0.17090418957930101</v>
      </c>
      <c r="J2382">
        <v>0.20347687925656999</v>
      </c>
      <c r="K2382">
        <v>0.24418694139015301</v>
      </c>
      <c r="L2382">
        <v>996.11861773478404</v>
      </c>
      <c r="M2382">
        <v>19.988451319804</v>
      </c>
      <c r="N2382">
        <v>50.964964978089199</v>
      </c>
      <c r="O2382">
        <v>49.3439660306896</v>
      </c>
      <c r="P2382">
        <v>-8.3142213664015294E-2</v>
      </c>
      <c r="Q2382">
        <v>0.179039634288784</v>
      </c>
      <c r="R2382">
        <v>0.97237661655191399</v>
      </c>
      <c r="S2382" t="s">
        <v>9385</v>
      </c>
      <c r="T2382" t="s">
        <v>14004</v>
      </c>
      <c r="U2382" t="s">
        <v>14004</v>
      </c>
      <c r="V2382" t="s">
        <v>14004</v>
      </c>
      <c r="W2382" t="s">
        <v>16347</v>
      </c>
      <c r="X2382">
        <v>30</v>
      </c>
      <c r="Y2382" t="s">
        <v>23242</v>
      </c>
      <c r="Z2382" t="s">
        <v>30092</v>
      </c>
      <c r="AA2382">
        <v>0.45961941864588779</v>
      </c>
      <c r="AB2382" t="str">
        <f>HYPERLINK("Melting_Curves/meltCurve_P22626_HNRNPA2B1.pdf", "Melting_Curves/meltCurve_P22626_HNRNPA2B1.pdf")</f>
        <v>Melting_Curves/meltCurve_P22626_HNRNPA2B1.pdf</v>
      </c>
    </row>
    <row r="2383" spans="1:28" x14ac:dyDescent="0.25">
      <c r="A2383" t="s">
        <v>2387</v>
      </c>
      <c r="B2383">
        <v>0.99999676499088797</v>
      </c>
      <c r="C2383">
        <v>0.86525831363053796</v>
      </c>
      <c r="D2383">
        <v>0.84533071582697406</v>
      </c>
      <c r="E2383">
        <v>0.59074830133074896</v>
      </c>
      <c r="F2383">
        <v>0.324968607662802</v>
      </c>
      <c r="G2383">
        <v>0.222884823151346</v>
      </c>
      <c r="H2383">
        <v>9.9173442401456993E-2</v>
      </c>
      <c r="I2383">
        <v>0.10821379852865699</v>
      </c>
      <c r="J2383">
        <v>0.129201708398646</v>
      </c>
      <c r="K2383">
        <v>9.8288993728577398E-2</v>
      </c>
      <c r="L2383">
        <v>787.85014403219805</v>
      </c>
      <c r="M2383">
        <v>15.7334899811189</v>
      </c>
      <c r="N2383">
        <v>50.664884134913699</v>
      </c>
      <c r="O2383">
        <v>49.286697931316198</v>
      </c>
      <c r="P2383">
        <v>-7.3130090562343195E-2</v>
      </c>
      <c r="Q2383">
        <v>8.3727849803944501E-2</v>
      </c>
      <c r="R2383">
        <v>0.99188439202749201</v>
      </c>
      <c r="S2383" t="s">
        <v>9386</v>
      </c>
      <c r="T2383" t="s">
        <v>14004</v>
      </c>
      <c r="U2383" t="s">
        <v>14004</v>
      </c>
      <c r="V2383" t="s">
        <v>14004</v>
      </c>
      <c r="W2383" t="s">
        <v>16348</v>
      </c>
      <c r="X2383">
        <v>4</v>
      </c>
      <c r="Y2383" t="s">
        <v>23243</v>
      </c>
      <c r="Z2383" t="s">
        <v>30093</v>
      </c>
      <c r="AA2383">
        <v>0.41145361639384381</v>
      </c>
      <c r="AB2383" t="str">
        <f>HYPERLINK("Melting_Curves/meltCurve_P22670_RFX1.pdf", "Melting_Curves/meltCurve_P22670_RFX1.pdf")</f>
        <v>Melting_Curves/meltCurve_P22670_RFX1.pdf</v>
      </c>
    </row>
    <row r="2384" spans="1:28" x14ac:dyDescent="0.25">
      <c r="A2384" t="s">
        <v>2388</v>
      </c>
      <c r="B2384">
        <v>0.99999676499088797</v>
      </c>
      <c r="C2384">
        <v>0.94348082353721696</v>
      </c>
      <c r="D2384">
        <v>0.97255380028739802</v>
      </c>
      <c r="E2384">
        <v>1.05474737311262</v>
      </c>
      <c r="F2384">
        <v>0.93155685289888501</v>
      </c>
      <c r="G2384">
        <v>0.394319789899094</v>
      </c>
      <c r="H2384">
        <v>0.175132093431111</v>
      </c>
      <c r="I2384">
        <v>0.158471162949648</v>
      </c>
      <c r="J2384">
        <v>0.163258933297803</v>
      </c>
      <c r="K2384">
        <v>0.14990890654878899</v>
      </c>
      <c r="L2384">
        <v>2852.4095180997201</v>
      </c>
      <c r="M2384">
        <v>51.160441024888897</v>
      </c>
      <c r="N2384">
        <v>56.172293336566199</v>
      </c>
      <c r="O2384">
        <v>55.669211773033602</v>
      </c>
      <c r="P2384">
        <v>-0.193373442765644</v>
      </c>
      <c r="Q2384">
        <v>0.15833886002623301</v>
      </c>
      <c r="R2384">
        <v>0.99531780672596903</v>
      </c>
      <c r="S2384" t="s">
        <v>9387</v>
      </c>
      <c r="T2384" t="s">
        <v>14004</v>
      </c>
      <c r="U2384" t="s">
        <v>14004</v>
      </c>
      <c r="V2384" t="s">
        <v>14004</v>
      </c>
      <c r="W2384" t="s">
        <v>16349</v>
      </c>
      <c r="X2384">
        <v>27</v>
      </c>
      <c r="Y2384" t="s">
        <v>23244</v>
      </c>
      <c r="Z2384" t="s">
        <v>30094</v>
      </c>
      <c r="AA2384">
        <v>0.60230389234309678</v>
      </c>
      <c r="AB2384" t="str">
        <f>HYPERLINK("Melting_Curves/meltCurve_P22681_CBL.pdf", "Melting_Curves/meltCurve_P22681_CBL.pdf")</f>
        <v>Melting_Curves/meltCurve_P22681_CBL.pdf</v>
      </c>
    </row>
    <row r="2385" spans="1:28" x14ac:dyDescent="0.25">
      <c r="A2385" t="s">
        <v>2389</v>
      </c>
      <c r="B2385">
        <v>0.99999676499088797</v>
      </c>
      <c r="C2385">
        <v>1.05252426863332</v>
      </c>
      <c r="D2385">
        <v>0.970002941856282</v>
      </c>
      <c r="E2385">
        <v>0.70221242005040696</v>
      </c>
      <c r="F2385">
        <v>0.38537918505024799</v>
      </c>
      <c r="G2385">
        <v>0.238218518120591</v>
      </c>
      <c r="H2385">
        <v>0.129208378596748</v>
      </c>
      <c r="I2385">
        <v>0.117267276339521</v>
      </c>
      <c r="J2385">
        <v>0.116710002024748</v>
      </c>
      <c r="K2385">
        <v>0.10166005986947101</v>
      </c>
      <c r="L2385">
        <v>1153.47319083718</v>
      </c>
      <c r="M2385">
        <v>22.4627903982778</v>
      </c>
      <c r="N2385">
        <v>51.933065130671203</v>
      </c>
      <c r="O2385">
        <v>50.948634547629602</v>
      </c>
      <c r="P2385">
        <v>-9.7947412317253901E-2</v>
      </c>
      <c r="Q2385">
        <v>0.111386862991824</v>
      </c>
      <c r="R2385">
        <v>0.99541194463184401</v>
      </c>
      <c r="S2385" t="s">
        <v>9388</v>
      </c>
      <c r="T2385" t="s">
        <v>14004</v>
      </c>
      <c r="U2385" t="s">
        <v>14004</v>
      </c>
      <c r="V2385" t="s">
        <v>14004</v>
      </c>
      <c r="W2385" t="s">
        <v>16350</v>
      </c>
      <c r="X2385">
        <v>12</v>
      </c>
      <c r="Y2385" t="s">
        <v>23245</v>
      </c>
      <c r="Z2385" t="s">
        <v>30095</v>
      </c>
      <c r="AA2385">
        <v>0.45749971791406951</v>
      </c>
      <c r="AB2385" t="str">
        <f>HYPERLINK("Melting_Curves/meltCurve_P22694_4_PRKACB.pdf", "Melting_Curves/meltCurve_P22694_4_PRKACB.pdf")</f>
        <v>Melting_Curves/meltCurve_P22694_4_PRKACB.pdf</v>
      </c>
    </row>
    <row r="2386" spans="1:28" x14ac:dyDescent="0.25">
      <c r="A2386" t="s">
        <v>2390</v>
      </c>
      <c r="B2386">
        <v>0.99999676499088797</v>
      </c>
      <c r="C2386">
        <v>1.10087691820721</v>
      </c>
      <c r="D2386">
        <v>1.09334442133979</v>
      </c>
      <c r="E2386">
        <v>1.0365854049518199</v>
      </c>
      <c r="F2386">
        <v>0.86771347043548697</v>
      </c>
      <c r="G2386">
        <v>0.78432015705749003</v>
      </c>
      <c r="H2386">
        <v>0.301439957916323</v>
      </c>
      <c r="I2386">
        <v>0.119182464883061</v>
      </c>
      <c r="J2386">
        <v>0.11765015617981101</v>
      </c>
      <c r="K2386">
        <v>0.10409474204337101</v>
      </c>
      <c r="L2386">
        <v>1836.5825589429601</v>
      </c>
      <c r="M2386">
        <v>31.3419482633524</v>
      </c>
      <c r="N2386">
        <v>58.9546208252955</v>
      </c>
      <c r="O2386">
        <v>58.361232370407301</v>
      </c>
      <c r="P2386">
        <v>-0.122672545824085</v>
      </c>
      <c r="Q2386">
        <v>8.6300539826298706E-2</v>
      </c>
      <c r="R2386">
        <v>0.98150640192183003</v>
      </c>
      <c r="S2386" t="s">
        <v>9389</v>
      </c>
      <c r="T2386" t="s">
        <v>14004</v>
      </c>
      <c r="U2386" t="s">
        <v>14004</v>
      </c>
      <c r="V2386" t="s">
        <v>14004</v>
      </c>
      <c r="W2386" t="s">
        <v>16351</v>
      </c>
      <c r="X2386">
        <v>20</v>
      </c>
      <c r="Y2386" t="s">
        <v>23246</v>
      </c>
      <c r="Z2386" t="s">
        <v>30096</v>
      </c>
      <c r="AA2386">
        <v>0.65827017770087293</v>
      </c>
      <c r="AB2386" t="str">
        <f>HYPERLINK("Melting_Curves/meltCurve_P22695_UQCRC2.pdf", "Melting_Curves/meltCurve_P22695_UQCRC2.pdf")</f>
        <v>Melting_Curves/meltCurve_P22695_UQCRC2.pdf</v>
      </c>
    </row>
    <row r="2387" spans="1:28" x14ac:dyDescent="0.25">
      <c r="A2387" t="s">
        <v>2391</v>
      </c>
      <c r="B2387">
        <v>0.99999676499088797</v>
      </c>
      <c r="C2387">
        <v>1.00339597137366</v>
      </c>
      <c r="D2387">
        <v>0.95796330610556002</v>
      </c>
      <c r="E2387">
        <v>0.73076176241844604</v>
      </c>
      <c r="F2387">
        <v>0.29690389341617901</v>
      </c>
      <c r="G2387">
        <v>0.19433121661355601</v>
      </c>
      <c r="H2387">
        <v>7.2885367811013804E-2</v>
      </c>
      <c r="I2387">
        <v>5.6151628892489799E-2</v>
      </c>
      <c r="J2387">
        <v>4.9484971095255299E-2</v>
      </c>
      <c r="K2387">
        <v>4.4917665361009697E-2</v>
      </c>
      <c r="L2387">
        <v>1279.1704229194199</v>
      </c>
      <c r="M2387">
        <v>24.931784537323299</v>
      </c>
      <c r="N2387">
        <v>51.55718740903</v>
      </c>
      <c r="O2387">
        <v>50.980148602708198</v>
      </c>
      <c r="P2387">
        <v>-0.115293315229393</v>
      </c>
      <c r="Q2387">
        <v>5.7012475816569902E-2</v>
      </c>
      <c r="R2387">
        <v>0.996703340342313</v>
      </c>
      <c r="S2387" t="s">
        <v>9390</v>
      </c>
      <c r="T2387" t="s">
        <v>14004</v>
      </c>
      <c r="U2387" t="s">
        <v>14004</v>
      </c>
      <c r="V2387" t="s">
        <v>14004</v>
      </c>
      <c r="W2387" t="s">
        <v>16352</v>
      </c>
      <c r="X2387">
        <v>21</v>
      </c>
      <c r="Y2387" t="s">
        <v>23247</v>
      </c>
      <c r="Z2387" t="s">
        <v>30097</v>
      </c>
      <c r="AA2387">
        <v>0.42101164176974659</v>
      </c>
      <c r="AB2387" t="str">
        <f>HYPERLINK("Melting_Curves/meltCurve_P22830_FECH.pdf", "Melting_Curves/meltCurve_P22830_FECH.pdf")</f>
        <v>Melting_Curves/meltCurve_P22830_FECH.pdf</v>
      </c>
    </row>
    <row r="2388" spans="1:28" x14ac:dyDescent="0.25">
      <c r="A2388" t="s">
        <v>2392</v>
      </c>
      <c r="B2388">
        <v>0.99999676499088797</v>
      </c>
      <c r="C2388">
        <v>0.95757168479287502</v>
      </c>
      <c r="D2388">
        <v>0.65381152750321603</v>
      </c>
      <c r="E2388">
        <v>0.25010331561128901</v>
      </c>
      <c r="F2388">
        <v>0.218035434784045</v>
      </c>
      <c r="G2388">
        <v>0.11212711803696999</v>
      </c>
      <c r="H2388">
        <v>8.9704448107813903E-2</v>
      </c>
      <c r="I2388">
        <v>7.95144276827605E-2</v>
      </c>
      <c r="J2388">
        <v>7.5247693326331994E-2</v>
      </c>
      <c r="K2388">
        <v>8.5238966865105001E-2</v>
      </c>
      <c r="L2388">
        <v>1219.43130712794</v>
      </c>
      <c r="M2388">
        <v>25.994650635768199</v>
      </c>
      <c r="N2388">
        <v>47.303932203484798</v>
      </c>
      <c r="O2388">
        <v>46.6358675309638</v>
      </c>
      <c r="P2388">
        <v>-0.12581501258540301</v>
      </c>
      <c r="Q2388">
        <v>9.7133442982808099E-2</v>
      </c>
      <c r="R2388">
        <v>0.99253783716371302</v>
      </c>
      <c r="S2388" t="s">
        <v>9391</v>
      </c>
      <c r="T2388" t="s">
        <v>14004</v>
      </c>
      <c r="U2388" t="s">
        <v>14004</v>
      </c>
      <c r="V2388" t="s">
        <v>14004</v>
      </c>
      <c r="W2388" t="s">
        <v>16353</v>
      </c>
      <c r="X2388">
        <v>4</v>
      </c>
      <c r="Y2388" t="s">
        <v>23248</v>
      </c>
      <c r="Z2388" t="s">
        <v>30098</v>
      </c>
      <c r="AA2388">
        <v>0.31252840153586081</v>
      </c>
      <c r="AB2388" t="str">
        <f>HYPERLINK("Melting_Curves/meltCurve_P23025_XPA.pdf", "Melting_Curves/meltCurve_P23025_XPA.pdf")</f>
        <v>Melting_Curves/meltCurve_P23025_XPA.pdf</v>
      </c>
    </row>
    <row r="2389" spans="1:28" x14ac:dyDescent="0.25">
      <c r="A2389" t="s">
        <v>2393</v>
      </c>
      <c r="B2389">
        <v>0.99999676499088797</v>
      </c>
      <c r="C2389">
        <v>1.1287666236737699</v>
      </c>
      <c r="D2389">
        <v>0.95336605435772803</v>
      </c>
      <c r="E2389">
        <v>0.59085522350193498</v>
      </c>
      <c r="F2389">
        <v>0.51561959660803802</v>
      </c>
      <c r="G2389">
        <v>0.340345348976619</v>
      </c>
      <c r="H2389">
        <v>0.15901011062644199</v>
      </c>
      <c r="I2389">
        <v>8.6282285988387594E-2</v>
      </c>
      <c r="J2389">
        <v>9.9975041899371397E-2</v>
      </c>
      <c r="K2389">
        <v>0.13875040573845801</v>
      </c>
      <c r="L2389">
        <v>821.28876670368402</v>
      </c>
      <c r="M2389">
        <v>15.7606381022736</v>
      </c>
      <c r="N2389">
        <v>52.764129733952998</v>
      </c>
      <c r="O2389">
        <v>51.292809930842601</v>
      </c>
      <c r="P2389">
        <v>-7.0007026925518107E-2</v>
      </c>
      <c r="Q2389">
        <v>8.8727338839939093E-2</v>
      </c>
      <c r="R2389">
        <v>0.96364066531207704</v>
      </c>
      <c r="S2389" t="s">
        <v>9392</v>
      </c>
      <c r="T2389" t="s">
        <v>14004</v>
      </c>
      <c r="U2389" t="s">
        <v>14004</v>
      </c>
      <c r="V2389" t="s">
        <v>14004</v>
      </c>
      <c r="W2389" t="s">
        <v>16354</v>
      </c>
      <c r="X2389">
        <v>3</v>
      </c>
      <c r="Y2389" t="s">
        <v>23249</v>
      </c>
      <c r="Z2389" t="s">
        <v>30099</v>
      </c>
      <c r="AA2389">
        <v>0.47538723631859908</v>
      </c>
      <c r="AB2389" t="str">
        <f>HYPERLINK("Melting_Curves/meltCurve_P23109_2_AMPD1.pdf", "Melting_Curves/meltCurve_P23109_2_AMPD1.pdf")</f>
        <v>Melting_Curves/meltCurve_P23109_2_AMPD1.pdf</v>
      </c>
    </row>
    <row r="2390" spans="1:28" x14ac:dyDescent="0.25">
      <c r="A2390" t="s">
        <v>2394</v>
      </c>
      <c r="B2390">
        <v>0.99999676499088797</v>
      </c>
      <c r="C2390">
        <v>1.0328623480605099</v>
      </c>
      <c r="D2390">
        <v>1.01824332826421</v>
      </c>
      <c r="E2390">
        <v>0.95144722847454899</v>
      </c>
      <c r="F2390">
        <v>0.63127776707217897</v>
      </c>
      <c r="G2390">
        <v>0.35643420283931398</v>
      </c>
      <c r="H2390">
        <v>0.168385651372777</v>
      </c>
      <c r="I2390">
        <v>0.147437098205492</v>
      </c>
      <c r="J2390">
        <v>0.146094758405861</v>
      </c>
      <c r="K2390">
        <v>0.16215650021032199</v>
      </c>
      <c r="L2390">
        <v>1437.2846909055099</v>
      </c>
      <c r="M2390">
        <v>26.6137018215985</v>
      </c>
      <c r="N2390">
        <v>54.708227754283797</v>
      </c>
      <c r="O2390">
        <v>53.703292371387299</v>
      </c>
      <c r="P2390">
        <v>-0.105955933855782</v>
      </c>
      <c r="Q2390">
        <v>0.14478300749508</v>
      </c>
      <c r="R2390">
        <v>0.99681145214051703</v>
      </c>
      <c r="S2390" t="s">
        <v>9393</v>
      </c>
      <c r="T2390" t="s">
        <v>14004</v>
      </c>
      <c r="U2390" t="s">
        <v>14004</v>
      </c>
      <c r="V2390" t="s">
        <v>14004</v>
      </c>
      <c r="W2390" t="s">
        <v>16355</v>
      </c>
      <c r="X2390">
        <v>32</v>
      </c>
      <c r="Y2390" t="s">
        <v>23250</v>
      </c>
      <c r="Z2390" t="s">
        <v>30100</v>
      </c>
      <c r="AA2390">
        <v>0.55109167022317151</v>
      </c>
      <c r="AB2390" t="str">
        <f>HYPERLINK("Melting_Curves/meltCurve_P23193_TCEA1.pdf", "Melting_Curves/meltCurve_P23193_TCEA1.pdf")</f>
        <v>Melting_Curves/meltCurve_P23193_TCEA1.pdf</v>
      </c>
    </row>
    <row r="2391" spans="1:28" x14ac:dyDescent="0.25">
      <c r="A2391" t="s">
        <v>2395</v>
      </c>
      <c r="B2391">
        <v>0.99999676499088797</v>
      </c>
      <c r="C2391">
        <v>0.894438290703088</v>
      </c>
      <c r="D2391">
        <v>0.70585566499213004</v>
      </c>
      <c r="E2391">
        <v>0.31552117285685699</v>
      </c>
      <c r="F2391">
        <v>0.19381381441394699</v>
      </c>
      <c r="G2391">
        <v>0.121680820515713</v>
      </c>
      <c r="H2391">
        <v>7.4472221008683406E-2</v>
      </c>
      <c r="I2391">
        <v>8.5825459058249107E-2</v>
      </c>
      <c r="J2391">
        <v>8.8160809852994501E-2</v>
      </c>
      <c r="K2391">
        <v>9.2873426792454097E-2</v>
      </c>
      <c r="L2391">
        <v>1019.58297959584</v>
      </c>
      <c r="M2391">
        <v>21.5118062472968</v>
      </c>
      <c r="N2391">
        <v>47.821641785148003</v>
      </c>
      <c r="O2391">
        <v>46.9925515501156</v>
      </c>
      <c r="P2391">
        <v>-0.104483017246589</v>
      </c>
      <c r="Q2391">
        <v>8.7049362730793903E-2</v>
      </c>
      <c r="R2391">
        <v>0.99759787561522795</v>
      </c>
      <c r="S2391" t="s">
        <v>9394</v>
      </c>
      <c r="T2391" t="s">
        <v>14004</v>
      </c>
      <c r="U2391" t="s">
        <v>14004</v>
      </c>
      <c r="V2391" t="s">
        <v>14004</v>
      </c>
      <c r="W2391" t="s">
        <v>16356</v>
      </c>
      <c r="X2391">
        <v>52</v>
      </c>
      <c r="Y2391" t="s">
        <v>23251</v>
      </c>
      <c r="Z2391" t="s">
        <v>30101</v>
      </c>
      <c r="AA2391">
        <v>0.3233772313376283</v>
      </c>
      <c r="AB2391" t="str">
        <f>HYPERLINK("Melting_Curves/meltCurve_P23246_SFPQ.pdf", "Melting_Curves/meltCurve_P23246_SFPQ.pdf")</f>
        <v>Melting_Curves/meltCurve_P23246_SFPQ.pdf</v>
      </c>
    </row>
    <row r="2392" spans="1:28" x14ac:dyDescent="0.25">
      <c r="A2392" t="s">
        <v>2396</v>
      </c>
      <c r="B2392">
        <v>0.99999676499088797</v>
      </c>
      <c r="C2392">
        <v>0.99353331352552199</v>
      </c>
      <c r="D2392">
        <v>0.94563852159888795</v>
      </c>
      <c r="E2392">
        <v>0.86184054221504802</v>
      </c>
      <c r="F2392">
        <v>0.76136939842662299</v>
      </c>
      <c r="G2392">
        <v>0.58805781792019696</v>
      </c>
      <c r="H2392">
        <v>0.22007606622228201</v>
      </c>
      <c r="I2392">
        <v>0.103321443865034</v>
      </c>
      <c r="J2392">
        <v>8.8282416565320002E-2</v>
      </c>
      <c r="K2392">
        <v>6.6942476139137896E-2</v>
      </c>
      <c r="L2392">
        <v>937.97362222468701</v>
      </c>
      <c r="M2392">
        <v>16.446225522150399</v>
      </c>
      <c r="N2392">
        <v>57.032759469188299</v>
      </c>
      <c r="O2392">
        <v>56.209541001977499</v>
      </c>
      <c r="P2392">
        <v>-7.3152099265038198E-2</v>
      </c>
      <c r="Q2392">
        <v>0</v>
      </c>
      <c r="R2392">
        <v>0.99028976264464497</v>
      </c>
      <c r="S2392" t="s">
        <v>9395</v>
      </c>
      <c r="T2392" t="s">
        <v>14004</v>
      </c>
      <c r="U2392" t="s">
        <v>14004</v>
      </c>
      <c r="V2392" t="s">
        <v>14004</v>
      </c>
      <c r="W2392" t="s">
        <v>16357</v>
      </c>
      <c r="X2392">
        <v>20</v>
      </c>
      <c r="Y2392" t="s">
        <v>23252</v>
      </c>
      <c r="Z2392" t="s">
        <v>30102</v>
      </c>
      <c r="AA2392">
        <v>0.5825671934901393</v>
      </c>
      <c r="AB2392" t="str">
        <f>HYPERLINK("Melting_Curves/meltCurve_P23258_TUBG1.pdf", "Melting_Curves/meltCurve_P23258_TUBG1.pdf")</f>
        <v>Melting_Curves/meltCurve_P23258_TUBG1.pdf</v>
      </c>
    </row>
    <row r="2393" spans="1:28" x14ac:dyDescent="0.25">
      <c r="A2393" t="s">
        <v>2397</v>
      </c>
      <c r="B2393">
        <v>0.99999676499088797</v>
      </c>
      <c r="C2393">
        <v>0.94716470527573704</v>
      </c>
      <c r="D2393">
        <v>0.96186544072300095</v>
      </c>
      <c r="E2393">
        <v>0.87531397333726002</v>
      </c>
      <c r="F2393">
        <v>0.35109515065118602</v>
      </c>
      <c r="G2393">
        <v>0.27110531244339697</v>
      </c>
      <c r="H2393">
        <v>0.145249628628562</v>
      </c>
      <c r="I2393">
        <v>0.18493626333115901</v>
      </c>
      <c r="J2393">
        <v>0.17666657808090999</v>
      </c>
      <c r="K2393">
        <v>0.16534673887639501</v>
      </c>
      <c r="L2393">
        <v>2053.4845942888501</v>
      </c>
      <c r="M2393">
        <v>39.808073049536098</v>
      </c>
      <c r="N2393">
        <v>52.174816713548502</v>
      </c>
      <c r="O2393">
        <v>51.454963911095298</v>
      </c>
      <c r="P2393">
        <v>-0.158349360913246</v>
      </c>
      <c r="Q2393">
        <v>0.18128732933792899</v>
      </c>
      <c r="R2393">
        <v>0.99180804324902105</v>
      </c>
      <c r="S2393" t="s">
        <v>9396</v>
      </c>
      <c r="T2393" t="s">
        <v>14004</v>
      </c>
      <c r="U2393" t="s">
        <v>14004</v>
      </c>
      <c r="V2393" t="s">
        <v>14004</v>
      </c>
      <c r="W2393" t="s">
        <v>16358</v>
      </c>
      <c r="X2393">
        <v>21</v>
      </c>
      <c r="Y2393" t="s">
        <v>23253</v>
      </c>
      <c r="Z2393" t="s">
        <v>30103</v>
      </c>
      <c r="AA2393">
        <v>0.50038349344217425</v>
      </c>
      <c r="AB2393" t="str">
        <f>HYPERLINK("Melting_Curves/meltCurve_P23284_PPIB.pdf", "Melting_Curves/meltCurve_P23284_PPIB.pdf")</f>
        <v>Melting_Curves/meltCurve_P23284_PPIB.pdf</v>
      </c>
    </row>
    <row r="2394" spans="1:28" x14ac:dyDescent="0.25">
      <c r="A2394" t="s">
        <v>2398</v>
      </c>
      <c r="B2394">
        <v>0.99999676499088797</v>
      </c>
      <c r="C2394">
        <v>0.99986215908537401</v>
      </c>
      <c r="D2394">
        <v>0.96025824645574298</v>
      </c>
      <c r="E2394">
        <v>0.95187704201132695</v>
      </c>
      <c r="F2394">
        <v>0.61317129144361304</v>
      </c>
      <c r="G2394">
        <v>0.29214963204990302</v>
      </c>
      <c r="H2394">
        <v>0.123525341599692</v>
      </c>
      <c r="I2394">
        <v>9.7182986533252302E-2</v>
      </c>
      <c r="J2394">
        <v>9.4864590388162098E-2</v>
      </c>
      <c r="K2394">
        <v>8.7547828071039294E-2</v>
      </c>
      <c r="L2394">
        <v>1451.7560913227401</v>
      </c>
      <c r="M2394">
        <v>26.899958299470299</v>
      </c>
      <c r="N2394">
        <v>54.3557231206509</v>
      </c>
      <c r="O2394">
        <v>53.673101853863599</v>
      </c>
      <c r="P2394">
        <v>-0.114376824355763</v>
      </c>
      <c r="Q2394">
        <v>8.7151444196249095E-2</v>
      </c>
      <c r="R2394">
        <v>0.99844292236465204</v>
      </c>
      <c r="S2394" t="s">
        <v>9397</v>
      </c>
      <c r="T2394" t="s">
        <v>14004</v>
      </c>
      <c r="U2394" t="s">
        <v>14004</v>
      </c>
      <c r="V2394" t="s">
        <v>14004</v>
      </c>
      <c r="W2394" t="s">
        <v>16359</v>
      </c>
      <c r="X2394">
        <v>31</v>
      </c>
      <c r="Y2394" t="s">
        <v>23254</v>
      </c>
      <c r="Z2394" t="s">
        <v>30104</v>
      </c>
      <c r="AA2394">
        <v>0.51957213860655549</v>
      </c>
      <c r="AB2394" t="str">
        <f>HYPERLINK("Melting_Curves/meltCurve_P23368_ME2.pdf", "Melting_Curves/meltCurve_P23368_ME2.pdf")</f>
        <v>Melting_Curves/meltCurve_P23368_ME2.pdf</v>
      </c>
    </row>
    <row r="2395" spans="1:28" x14ac:dyDescent="0.25">
      <c r="A2395" t="s">
        <v>2399</v>
      </c>
      <c r="B2395">
        <v>0.99999676499088797</v>
      </c>
      <c r="C2395">
        <v>0.93269347771577504</v>
      </c>
      <c r="D2395">
        <v>0.91563878921707298</v>
      </c>
      <c r="E2395">
        <v>0.57490921914599702</v>
      </c>
      <c r="F2395">
        <v>0.55310279148423802</v>
      </c>
      <c r="G2395">
        <v>0.12995336192284501</v>
      </c>
      <c r="H2395">
        <v>0</v>
      </c>
      <c r="I2395">
        <v>0</v>
      </c>
      <c r="J2395">
        <v>0</v>
      </c>
      <c r="K2395">
        <v>0</v>
      </c>
      <c r="L2395">
        <v>873.17861549221095</v>
      </c>
      <c r="M2395">
        <v>16.846486485123901</v>
      </c>
      <c r="N2395">
        <v>51.831472822001501</v>
      </c>
      <c r="O2395">
        <v>51.117678538372701</v>
      </c>
      <c r="P2395">
        <v>-8.2395978531879202E-2</v>
      </c>
      <c r="Q2395">
        <v>0</v>
      </c>
      <c r="R2395">
        <v>0.97018526825089901</v>
      </c>
      <c r="S2395" t="s">
        <v>9398</v>
      </c>
      <c r="T2395" t="s">
        <v>14004</v>
      </c>
      <c r="U2395" t="s">
        <v>14004</v>
      </c>
      <c r="V2395" t="s">
        <v>14004</v>
      </c>
      <c r="W2395" t="s">
        <v>16360</v>
      </c>
      <c r="X2395">
        <v>2</v>
      </c>
      <c r="Y2395" t="s">
        <v>23255</v>
      </c>
      <c r="Z2395" t="s">
        <v>30105</v>
      </c>
      <c r="AA2395">
        <v>0.41304154549460559</v>
      </c>
      <c r="AB2395" t="str">
        <f>HYPERLINK("Melting_Curves/meltCurve_P23378_GLDC.pdf", "Melting_Curves/meltCurve_P23378_GLDC.pdf")</f>
        <v>Melting_Curves/meltCurve_P23378_GLDC.pdf</v>
      </c>
    </row>
    <row r="2396" spans="1:28" x14ac:dyDescent="0.25">
      <c r="A2396" t="s">
        <v>2400</v>
      </c>
      <c r="B2396">
        <v>0.99999676499088797</v>
      </c>
      <c r="C2396">
        <v>1.0301467467799901</v>
      </c>
      <c r="D2396">
        <v>1.01103960952895</v>
      </c>
      <c r="E2396">
        <v>1.04837771801197</v>
      </c>
      <c r="F2396">
        <v>0.92935111870968501</v>
      </c>
      <c r="G2396">
        <v>0.67687451075902405</v>
      </c>
      <c r="H2396">
        <v>0.34648516811408198</v>
      </c>
      <c r="I2396">
        <v>0.27528161581336702</v>
      </c>
      <c r="J2396">
        <v>0.22496219874169801</v>
      </c>
      <c r="K2396">
        <v>0.250727081972274</v>
      </c>
      <c r="L2396">
        <v>1799.46004723741</v>
      </c>
      <c r="M2396">
        <v>31.377422486585498</v>
      </c>
      <c r="N2396">
        <v>58.548876925269603</v>
      </c>
      <c r="O2396">
        <v>57.117448306057398</v>
      </c>
      <c r="P2396">
        <v>-0.10476559857336</v>
      </c>
      <c r="Q2396">
        <v>0.23716983350542001</v>
      </c>
      <c r="R2396">
        <v>0.99609836262215401</v>
      </c>
      <c r="S2396" t="s">
        <v>9399</v>
      </c>
      <c r="T2396" t="s">
        <v>14004</v>
      </c>
      <c r="U2396" t="s">
        <v>14004</v>
      </c>
      <c r="V2396" t="s">
        <v>14004</v>
      </c>
      <c r="W2396" t="s">
        <v>16361</v>
      </c>
      <c r="X2396">
        <v>29</v>
      </c>
      <c r="Y2396" t="s">
        <v>23256</v>
      </c>
      <c r="Z2396" t="s">
        <v>30106</v>
      </c>
      <c r="AA2396">
        <v>0.68299571086735944</v>
      </c>
      <c r="AB2396" t="str">
        <f>HYPERLINK("Melting_Curves/meltCurve_P23381_WARS.pdf", "Melting_Curves/meltCurve_P23381_WARS.pdf")</f>
        <v>Melting_Curves/meltCurve_P23381_WARS.pdf</v>
      </c>
    </row>
    <row r="2397" spans="1:28" x14ac:dyDescent="0.25">
      <c r="A2397" t="s">
        <v>2401</v>
      </c>
      <c r="B2397">
        <v>0.99999676499088797</v>
      </c>
      <c r="C2397">
        <v>1.00422353494575</v>
      </c>
      <c r="D2397">
        <v>0.93289216977242695</v>
      </c>
      <c r="E2397">
        <v>0.81158895295481004</v>
      </c>
      <c r="F2397">
        <v>0.57105091188381296</v>
      </c>
      <c r="G2397">
        <v>0.28977851503449997</v>
      </c>
      <c r="H2397">
        <v>0.101761331997464</v>
      </c>
      <c r="I2397">
        <v>9.6078419776940302E-2</v>
      </c>
      <c r="J2397">
        <v>8.6373366002495094E-2</v>
      </c>
      <c r="K2397">
        <v>7.5578934418468705E-2</v>
      </c>
      <c r="L2397">
        <v>1013.80111442591</v>
      </c>
      <c r="M2397">
        <v>18.958730352412701</v>
      </c>
      <c r="N2397">
        <v>53.793666686440503</v>
      </c>
      <c r="O2397">
        <v>52.889814495993001</v>
      </c>
      <c r="P2397">
        <v>-8.4845217290501304E-2</v>
      </c>
      <c r="Q2397">
        <v>5.32556632182309E-2</v>
      </c>
      <c r="R2397">
        <v>0.99782051128017801</v>
      </c>
      <c r="S2397" t="s">
        <v>9400</v>
      </c>
      <c r="T2397" t="s">
        <v>14004</v>
      </c>
      <c r="U2397" t="s">
        <v>14004</v>
      </c>
      <c r="V2397" t="s">
        <v>14004</v>
      </c>
      <c r="W2397" t="s">
        <v>16362</v>
      </c>
      <c r="X2397">
        <v>30</v>
      </c>
      <c r="Y2397" t="s">
        <v>23257</v>
      </c>
      <c r="Z2397" t="s">
        <v>30107</v>
      </c>
      <c r="AA2397">
        <v>0.49261669789364398</v>
      </c>
      <c r="AB2397" t="str">
        <f>HYPERLINK("Melting_Curves/meltCurve_P23396_RPS3.pdf", "Melting_Curves/meltCurve_P23396_RPS3.pdf")</f>
        <v>Melting_Curves/meltCurve_P23396_RPS3.pdf</v>
      </c>
    </row>
    <row r="2398" spans="1:28" x14ac:dyDescent="0.25">
      <c r="A2398" t="s">
        <v>2402</v>
      </c>
      <c r="B2398">
        <v>0.99999676499088797</v>
      </c>
      <c r="C2398">
        <v>1.2748866475421801</v>
      </c>
      <c r="D2398">
        <v>1.0145199032330801</v>
      </c>
      <c r="E2398">
        <v>0.667779648170578</v>
      </c>
      <c r="F2398">
        <v>0.59940429095954195</v>
      </c>
      <c r="G2398">
        <v>0.60929315737159695</v>
      </c>
      <c r="H2398">
        <v>0.33363656511475898</v>
      </c>
      <c r="I2398">
        <v>0.45874024918440398</v>
      </c>
      <c r="J2398">
        <v>0.37868311977228197</v>
      </c>
      <c r="K2398">
        <v>0.17338180315924101</v>
      </c>
      <c r="L2398">
        <v>752.62510892548096</v>
      </c>
      <c r="M2398">
        <v>14.1531099573528</v>
      </c>
      <c r="N2398">
        <v>56.667834879691398</v>
      </c>
      <c r="O2398">
        <v>52.149485976317798</v>
      </c>
      <c r="P2398">
        <v>-4.8118075551898599E-2</v>
      </c>
      <c r="Q2398">
        <v>0.29089345312610998</v>
      </c>
      <c r="R2398">
        <v>0.84404225869282301</v>
      </c>
      <c r="S2398" t="s">
        <v>9401</v>
      </c>
      <c r="T2398" t="s">
        <v>14004</v>
      </c>
      <c r="U2398" t="s">
        <v>14004</v>
      </c>
      <c r="V2398" t="s">
        <v>14004</v>
      </c>
      <c r="W2398" t="s">
        <v>16363</v>
      </c>
      <c r="X2398">
        <v>3</v>
      </c>
      <c r="Y2398" t="s">
        <v>23258</v>
      </c>
      <c r="Z2398" t="s">
        <v>30108</v>
      </c>
      <c r="AA2398">
        <v>0.61872517274674643</v>
      </c>
      <c r="AB2398" t="str">
        <f>HYPERLINK("Melting_Curves/meltCurve_P23434_GCSH.pdf", "Melting_Curves/meltCurve_P23434_GCSH.pdf")</f>
        <v>Melting_Curves/meltCurve_P23434_GCSH.pdf</v>
      </c>
    </row>
    <row r="2399" spans="1:28" x14ac:dyDescent="0.25">
      <c r="A2399" t="s">
        <v>2403</v>
      </c>
      <c r="B2399">
        <v>0.99999676499088797</v>
      </c>
      <c r="C2399">
        <v>1.0136447302577001</v>
      </c>
      <c r="D2399">
        <v>0.71391804802488701</v>
      </c>
      <c r="E2399">
        <v>0.350787550443242</v>
      </c>
      <c r="F2399">
        <v>0.31953038240156201</v>
      </c>
      <c r="G2399">
        <v>0.19005461546152899</v>
      </c>
      <c r="H2399">
        <v>0.10463250013862101</v>
      </c>
      <c r="I2399">
        <v>0.12560977854290101</v>
      </c>
      <c r="J2399">
        <v>0.12522552805779999</v>
      </c>
      <c r="K2399">
        <v>0.114117930485284</v>
      </c>
      <c r="L2399">
        <v>1035.5081488922201</v>
      </c>
      <c r="M2399">
        <v>21.687401342692802</v>
      </c>
      <c r="N2399">
        <v>48.448911055140002</v>
      </c>
      <c r="O2399">
        <v>47.346590503252301</v>
      </c>
      <c r="P2399">
        <v>-9.9078187004712298E-2</v>
      </c>
      <c r="Q2399">
        <v>0.13481496387456501</v>
      </c>
      <c r="R2399">
        <v>0.98090047087658405</v>
      </c>
      <c r="S2399" t="s">
        <v>9402</v>
      </c>
      <c r="T2399" t="s">
        <v>14004</v>
      </c>
      <c r="U2399" t="s">
        <v>14004</v>
      </c>
      <c r="V2399" t="s">
        <v>14004</v>
      </c>
      <c r="W2399" t="s">
        <v>16364</v>
      </c>
      <c r="X2399">
        <v>2</v>
      </c>
      <c r="Y2399" t="s">
        <v>23259</v>
      </c>
      <c r="Z2399" t="s">
        <v>30109</v>
      </c>
      <c r="AA2399">
        <v>0.36862496511658221</v>
      </c>
      <c r="AB2399" t="str">
        <f>HYPERLINK("Melting_Curves/meltCurve_P23458_JAK1.pdf", "Melting_Curves/meltCurve_P23458_JAK1.pdf")</f>
        <v>Melting_Curves/meltCurve_P23458_JAK1.pdf</v>
      </c>
    </row>
    <row r="2400" spans="1:28" x14ac:dyDescent="0.25">
      <c r="A2400" t="s">
        <v>2404</v>
      </c>
      <c r="B2400">
        <v>0.99999676499088797</v>
      </c>
      <c r="C2400">
        <v>0.95454159503373803</v>
      </c>
      <c r="D2400">
        <v>0.65856578587381098</v>
      </c>
      <c r="E2400">
        <v>0.25248075124837899</v>
      </c>
      <c r="F2400">
        <v>0.166026199152735</v>
      </c>
      <c r="G2400">
        <v>0.12574128294975101</v>
      </c>
      <c r="H2400">
        <v>7.4921006739704601E-2</v>
      </c>
      <c r="I2400">
        <v>7.6773336380806703E-2</v>
      </c>
      <c r="J2400">
        <v>5.5656994789167899E-2</v>
      </c>
      <c r="K2400">
        <v>7.3277195062863107E-2</v>
      </c>
      <c r="L2400">
        <v>1239.02399917548</v>
      </c>
      <c r="M2400">
        <v>26.380607225534899</v>
      </c>
      <c r="N2400">
        <v>47.298621723567599</v>
      </c>
      <c r="O2400">
        <v>46.699834690773102</v>
      </c>
      <c r="P2400">
        <v>-0.129309454681345</v>
      </c>
      <c r="Q2400">
        <v>8.4378230388137299E-2</v>
      </c>
      <c r="R2400">
        <v>0.99625628652762599</v>
      </c>
      <c r="S2400" t="s">
        <v>9403</v>
      </c>
      <c r="T2400" t="s">
        <v>14004</v>
      </c>
      <c r="U2400" t="s">
        <v>14004</v>
      </c>
      <c r="V2400" t="s">
        <v>14004</v>
      </c>
      <c r="W2400" t="s">
        <v>16365</v>
      </c>
      <c r="X2400">
        <v>3</v>
      </c>
      <c r="Y2400" t="s">
        <v>23260</v>
      </c>
      <c r="Z2400" t="s">
        <v>30110</v>
      </c>
      <c r="AA2400">
        <v>0.30429001501565389</v>
      </c>
      <c r="AB2400" t="str">
        <f>HYPERLINK("Melting_Curves/meltCurve_P23469_3_PTPRE.pdf", "Melting_Curves/meltCurve_P23469_3_PTPRE.pdf")</f>
        <v>Melting_Curves/meltCurve_P23469_3_PTPRE.pdf</v>
      </c>
    </row>
    <row r="2401" spans="1:28" x14ac:dyDescent="0.25">
      <c r="A2401" t="s">
        <v>2405</v>
      </c>
      <c r="B2401">
        <v>0.99999676499088797</v>
      </c>
      <c r="C2401">
        <v>0.93326024719853296</v>
      </c>
      <c r="D2401">
        <v>0.908078358892355</v>
      </c>
      <c r="E2401">
        <v>0.69150091174148398</v>
      </c>
      <c r="F2401">
        <v>0.55815418241484005</v>
      </c>
      <c r="G2401">
        <v>0.43604310943802399</v>
      </c>
      <c r="H2401">
        <v>0.24809649075698201</v>
      </c>
      <c r="I2401">
        <v>0.27547132241663702</v>
      </c>
      <c r="J2401">
        <v>0.29472759002196403</v>
      </c>
      <c r="K2401">
        <v>0.24527875260777099</v>
      </c>
      <c r="L2401">
        <v>710.24106077212696</v>
      </c>
      <c r="M2401">
        <v>13.733470674395701</v>
      </c>
      <c r="N2401">
        <v>54.0940344822356</v>
      </c>
      <c r="O2401">
        <v>50.656525707445098</v>
      </c>
      <c r="P2401">
        <v>-5.2425589357602297E-2</v>
      </c>
      <c r="Q2401">
        <v>0.226613707378122</v>
      </c>
      <c r="R2401">
        <v>0.98832264994947305</v>
      </c>
      <c r="S2401" t="s">
        <v>9404</v>
      </c>
      <c r="T2401" t="s">
        <v>14004</v>
      </c>
      <c r="U2401" t="s">
        <v>14004</v>
      </c>
      <c r="V2401" t="s">
        <v>14004</v>
      </c>
      <c r="W2401" t="s">
        <v>16366</v>
      </c>
      <c r="X2401">
        <v>10</v>
      </c>
      <c r="Y2401" t="s">
        <v>23261</v>
      </c>
      <c r="Z2401" t="s">
        <v>30111</v>
      </c>
      <c r="AA2401">
        <v>0.54861156689837776</v>
      </c>
      <c r="AB2401" t="str">
        <f>HYPERLINK("Melting_Curves/meltCurve_P23497_SP100.pdf", "Melting_Curves/meltCurve_P23497_SP100.pdf")</f>
        <v>Melting_Curves/meltCurve_P23497_SP100.pdf</v>
      </c>
    </row>
    <row r="2402" spans="1:28" x14ac:dyDescent="0.25">
      <c r="A2402" t="s">
        <v>2406</v>
      </c>
      <c r="B2402">
        <v>0.99999676499088797</v>
      </c>
      <c r="C2402">
        <v>0.97667820764272995</v>
      </c>
      <c r="D2402">
        <v>1.00185400432044</v>
      </c>
      <c r="E2402">
        <v>0.94793163848107298</v>
      </c>
      <c r="F2402">
        <v>0.63150340260167703</v>
      </c>
      <c r="G2402">
        <v>0.70212603665389495</v>
      </c>
      <c r="H2402">
        <v>0.29198062537352099</v>
      </c>
      <c r="I2402">
        <v>0.28843889127981498</v>
      </c>
      <c r="J2402">
        <v>0.28831424948563</v>
      </c>
      <c r="K2402">
        <v>0.287810043397976</v>
      </c>
      <c r="L2402">
        <v>899.72114825283404</v>
      </c>
      <c r="M2402">
        <v>16.1722452106705</v>
      </c>
      <c r="N2402">
        <v>57.837712103332102</v>
      </c>
      <c r="O2402">
        <v>54.803870348976901</v>
      </c>
      <c r="P2402">
        <v>-5.6807742136585702E-2</v>
      </c>
      <c r="Q2402">
        <v>0.23002650875539801</v>
      </c>
      <c r="R2402">
        <v>0.94791532462978301</v>
      </c>
      <c r="S2402" t="s">
        <v>9405</v>
      </c>
      <c r="T2402" t="s">
        <v>14004</v>
      </c>
      <c r="U2402" t="s">
        <v>14004</v>
      </c>
      <c r="V2402" t="s">
        <v>14004</v>
      </c>
      <c r="W2402" t="s">
        <v>16367</v>
      </c>
      <c r="X2402">
        <v>4</v>
      </c>
      <c r="Y2402" t="s">
        <v>23262</v>
      </c>
      <c r="Z2402" t="s">
        <v>30112</v>
      </c>
      <c r="AA2402">
        <v>0.6443787175291843</v>
      </c>
      <c r="AB2402" t="str">
        <f>HYPERLINK("Melting_Curves/meltCurve_P23511_2_NFYA.pdf", "Melting_Curves/meltCurve_P23511_2_NFYA.pdf")</f>
        <v>Melting_Curves/meltCurve_P23511_2_NFYA.pdf</v>
      </c>
    </row>
    <row r="2403" spans="1:28" x14ac:dyDescent="0.25">
      <c r="A2403" t="s">
        <v>2407</v>
      </c>
      <c r="B2403">
        <v>0.99999676499088797</v>
      </c>
      <c r="C2403">
        <v>1.02941795237829</v>
      </c>
      <c r="D2403">
        <v>1.0252382994775</v>
      </c>
      <c r="E2403">
        <v>1.0399548950039501</v>
      </c>
      <c r="F2403">
        <v>0.96192032737766697</v>
      </c>
      <c r="G2403">
        <v>0.90676401157350495</v>
      </c>
      <c r="H2403">
        <v>0.50487006844634297</v>
      </c>
      <c r="I2403">
        <v>0.14368908035627601</v>
      </c>
      <c r="J2403">
        <v>0.109204784589854</v>
      </c>
      <c r="K2403">
        <v>8.3938628686135996E-2</v>
      </c>
      <c r="L2403">
        <v>2277.9232059802998</v>
      </c>
      <c r="M2403">
        <v>37.676664026303101</v>
      </c>
      <c r="N2403">
        <v>60.712868290874503</v>
      </c>
      <c r="O2403">
        <v>60.2902206566947</v>
      </c>
      <c r="P2403">
        <v>-0.144876641451268</v>
      </c>
      <c r="Q2403">
        <v>7.2675680877175006E-2</v>
      </c>
      <c r="R2403">
        <v>0.99622111221383602</v>
      </c>
      <c r="S2403" t="s">
        <v>9406</v>
      </c>
      <c r="T2403" t="s">
        <v>14004</v>
      </c>
      <c r="U2403" t="s">
        <v>14004</v>
      </c>
      <c r="V2403" t="s">
        <v>14004</v>
      </c>
      <c r="W2403" t="s">
        <v>16368</v>
      </c>
      <c r="X2403">
        <v>33</v>
      </c>
      <c r="Y2403" t="s">
        <v>23263</v>
      </c>
      <c r="Z2403" t="s">
        <v>30113</v>
      </c>
      <c r="AA2403">
        <v>0.70906183921564048</v>
      </c>
      <c r="AB2403" t="str">
        <f>HYPERLINK("Melting_Curves/meltCurve_P23526_AHCY.pdf", "Melting_Curves/meltCurve_P23526_AHCY.pdf")</f>
        <v>Melting_Curves/meltCurve_P23526_AHCY.pdf</v>
      </c>
    </row>
    <row r="2404" spans="1:28" x14ac:dyDescent="0.25">
      <c r="A2404" t="s">
        <v>2408</v>
      </c>
      <c r="B2404">
        <v>0.99999676499088797</v>
      </c>
      <c r="C2404">
        <v>1.3754644179689</v>
      </c>
      <c r="D2404">
        <v>1.0407143379196799</v>
      </c>
      <c r="E2404">
        <v>0.20739603014010499</v>
      </c>
      <c r="F2404">
        <v>0.14795689778593901</v>
      </c>
      <c r="G2404">
        <v>0.151495221687416</v>
      </c>
      <c r="H2404">
        <v>0.156728684879477</v>
      </c>
      <c r="I2404">
        <v>0.59847725606260105</v>
      </c>
      <c r="J2404">
        <v>0.89599673924010703</v>
      </c>
      <c r="K2404">
        <v>0.106244849396237</v>
      </c>
      <c r="L2404">
        <v>11909.710994744501</v>
      </c>
      <c r="M2404">
        <v>250</v>
      </c>
      <c r="N2404">
        <v>47.838064451477798</v>
      </c>
      <c r="O2404">
        <v>47.635795416441397</v>
      </c>
      <c r="P2404">
        <v>-0.88763669261136102</v>
      </c>
      <c r="Q2404">
        <v>0.32346752260567002</v>
      </c>
      <c r="R2404">
        <v>0.65817030293289203</v>
      </c>
      <c r="S2404" t="s">
        <v>9407</v>
      </c>
      <c r="T2404" t="s">
        <v>14004</v>
      </c>
      <c r="U2404" t="s">
        <v>14004</v>
      </c>
      <c r="V2404" t="s">
        <v>14004</v>
      </c>
      <c r="W2404" t="s">
        <v>16369</v>
      </c>
      <c r="X2404">
        <v>11</v>
      </c>
      <c r="Y2404" t="s">
        <v>23264</v>
      </c>
      <c r="Z2404" t="s">
        <v>30114</v>
      </c>
      <c r="AA2404">
        <v>0.49578828577841583</v>
      </c>
      <c r="AB2404" t="str">
        <f>HYPERLINK("Melting_Curves/meltCurve_P23527_HIST1H2BO.pdf", "Melting_Curves/meltCurve_P23527_HIST1H2BO.pdf")</f>
        <v>Melting_Curves/meltCurve_P23527_HIST1H2BO.pdf</v>
      </c>
    </row>
    <row r="2405" spans="1:28" x14ac:dyDescent="0.25">
      <c r="A2405" t="s">
        <v>2409</v>
      </c>
      <c r="B2405">
        <v>0.99999676499088797</v>
      </c>
      <c r="C2405">
        <v>0.89004703011021002</v>
      </c>
      <c r="D2405">
        <v>0.86705792076745203</v>
      </c>
      <c r="E2405">
        <v>0.72058504740343898</v>
      </c>
      <c r="F2405">
        <v>0.44985529398406598</v>
      </c>
      <c r="G2405">
        <v>0.20843997089771599</v>
      </c>
      <c r="H2405">
        <v>0.10489817256131501</v>
      </c>
      <c r="I2405">
        <v>0.103478284356037</v>
      </c>
      <c r="J2405">
        <v>0.114942206303269</v>
      </c>
      <c r="K2405">
        <v>0.110254112025382</v>
      </c>
      <c r="L2405">
        <v>854.70770405852704</v>
      </c>
      <c r="M2405">
        <v>16.5425291369327</v>
      </c>
      <c r="N2405">
        <v>52.155382101163703</v>
      </c>
      <c r="O2405">
        <v>50.929972975111802</v>
      </c>
      <c r="P2405">
        <v>-7.5384396056736802E-2</v>
      </c>
      <c r="Q2405">
        <v>7.1711200693518704E-2</v>
      </c>
      <c r="R2405">
        <v>0.99028527499397101</v>
      </c>
      <c r="S2405" t="s">
        <v>9408</v>
      </c>
      <c r="T2405" t="s">
        <v>14004</v>
      </c>
      <c r="U2405" t="s">
        <v>14004</v>
      </c>
      <c r="V2405" t="s">
        <v>14004</v>
      </c>
      <c r="W2405" t="s">
        <v>16370</v>
      </c>
      <c r="X2405">
        <v>24</v>
      </c>
      <c r="Y2405" t="s">
        <v>23265</v>
      </c>
      <c r="Z2405" t="s">
        <v>30115</v>
      </c>
      <c r="AA2405">
        <v>0.45064630181202431</v>
      </c>
      <c r="AB2405" t="str">
        <f>HYPERLINK("Melting_Curves/meltCurve_P23528_CFL1.pdf", "Melting_Curves/meltCurve_P23528_CFL1.pdf")</f>
        <v>Melting_Curves/meltCurve_P23528_CFL1.pdf</v>
      </c>
    </row>
    <row r="2406" spans="1:28" x14ac:dyDescent="0.25">
      <c r="A2406" t="s">
        <v>2410</v>
      </c>
      <c r="B2406">
        <v>0.99999676499088797</v>
      </c>
      <c r="C2406">
        <v>1.08590142851241</v>
      </c>
      <c r="D2406">
        <v>1.0545663733831601</v>
      </c>
      <c r="E2406">
        <v>0.81027169800357302</v>
      </c>
      <c r="F2406">
        <v>0.39403330196648001</v>
      </c>
      <c r="G2406">
        <v>0.389664499066388</v>
      </c>
      <c r="H2406">
        <v>0.17626153916441101</v>
      </c>
      <c r="I2406">
        <v>0.17014185304405199</v>
      </c>
      <c r="J2406">
        <v>0.16470472148405499</v>
      </c>
      <c r="K2406">
        <v>0.12972011473761</v>
      </c>
      <c r="L2406">
        <v>1292.09345843234</v>
      </c>
      <c r="M2406">
        <v>24.877259341398801</v>
      </c>
      <c r="N2406">
        <v>52.826581995985499</v>
      </c>
      <c r="O2406">
        <v>51.6066138901786</v>
      </c>
      <c r="P2406">
        <v>-9.9924981066786406E-2</v>
      </c>
      <c r="Q2406">
        <v>0.170854130101563</v>
      </c>
      <c r="R2406">
        <v>0.97260595890958201</v>
      </c>
      <c r="S2406" t="s">
        <v>9409</v>
      </c>
      <c r="T2406" t="s">
        <v>14004</v>
      </c>
      <c r="U2406" t="s">
        <v>14004</v>
      </c>
      <c r="V2406" t="s">
        <v>14004</v>
      </c>
      <c r="W2406" t="s">
        <v>16371</v>
      </c>
      <c r="X2406">
        <v>5</v>
      </c>
      <c r="Y2406" t="s">
        <v>23266</v>
      </c>
      <c r="Z2406" t="s">
        <v>30116</v>
      </c>
      <c r="AA2406">
        <v>0.50845610905037864</v>
      </c>
      <c r="AB2406" t="str">
        <f>HYPERLINK("Melting_Curves/meltCurve_P23610_F8A1.pdf", "Melting_Curves/meltCurve_P23610_F8A1.pdf")</f>
        <v>Melting_Curves/meltCurve_P23610_F8A1.pdf</v>
      </c>
    </row>
    <row r="2407" spans="1:28" x14ac:dyDescent="0.25">
      <c r="A2407" t="s">
        <v>2411</v>
      </c>
      <c r="B2407">
        <v>0.99999676499088797</v>
      </c>
      <c r="C2407">
        <v>0.97619837233852003</v>
      </c>
      <c r="D2407">
        <v>0.99878083628272496</v>
      </c>
      <c r="E2407">
        <v>0.95351054051148798</v>
      </c>
      <c r="F2407">
        <v>0.92770219000281096</v>
      </c>
      <c r="G2407">
        <v>0.68540203202567396</v>
      </c>
      <c r="H2407">
        <v>0.18899612843413399</v>
      </c>
      <c r="I2407">
        <v>0.10285420430780801</v>
      </c>
      <c r="J2407">
        <v>8.6094330222191304E-2</v>
      </c>
      <c r="K2407">
        <v>7.3965773387467099E-2</v>
      </c>
      <c r="L2407">
        <v>2070.0331718309699</v>
      </c>
      <c r="M2407">
        <v>35.843873115799802</v>
      </c>
      <c r="N2407">
        <v>58.0052283140733</v>
      </c>
      <c r="O2407">
        <v>57.572515174300499</v>
      </c>
      <c r="P2407">
        <v>-0.144348807329329</v>
      </c>
      <c r="Q2407">
        <v>7.2589496497953696E-2</v>
      </c>
      <c r="R2407">
        <v>0.99761301996277996</v>
      </c>
      <c r="S2407" t="s">
        <v>9410</v>
      </c>
      <c r="T2407" t="s">
        <v>14004</v>
      </c>
      <c r="U2407" t="s">
        <v>14004</v>
      </c>
      <c r="V2407" t="s">
        <v>14004</v>
      </c>
      <c r="W2407" t="s">
        <v>16372</v>
      </c>
      <c r="X2407">
        <v>30</v>
      </c>
      <c r="Y2407" t="s">
        <v>23267</v>
      </c>
      <c r="Z2407" t="s">
        <v>30117</v>
      </c>
      <c r="AA2407">
        <v>0.62582351172833584</v>
      </c>
      <c r="AB2407" t="str">
        <f>HYPERLINK("Melting_Curves/meltCurve_P23634_7_ATP2B4.pdf", "Melting_Curves/meltCurve_P23634_7_ATP2B4.pdf")</f>
        <v>Melting_Curves/meltCurve_P23634_7_ATP2B4.pdf</v>
      </c>
    </row>
    <row r="2408" spans="1:28" x14ac:dyDescent="0.25">
      <c r="A2408" t="s">
        <v>2412</v>
      </c>
      <c r="B2408">
        <v>0.99999676499088797</v>
      </c>
      <c r="C2408">
        <v>1.0070446440235199</v>
      </c>
      <c r="D2408">
        <v>0.85822455399744102</v>
      </c>
      <c r="E2408">
        <v>0.39970059187009199</v>
      </c>
      <c r="F2408">
        <v>0.16732148336393901</v>
      </c>
      <c r="G2408">
        <v>0.106094720658195</v>
      </c>
      <c r="H2408">
        <v>5.5846379702855199E-2</v>
      </c>
      <c r="I2408">
        <v>5.3449283715755101E-2</v>
      </c>
      <c r="J2408">
        <v>4.2927700793583497E-2</v>
      </c>
      <c r="K2408">
        <v>4.0129252034437297E-2</v>
      </c>
      <c r="L2408">
        <v>1347.1815572688099</v>
      </c>
      <c r="M2408">
        <v>27.6350455534009</v>
      </c>
      <c r="N2408">
        <v>48.964845302375402</v>
      </c>
      <c r="O2408">
        <v>48.495913132155898</v>
      </c>
      <c r="P2408">
        <v>-0.13429333952727901</v>
      </c>
      <c r="Q2408">
        <v>5.7339329998447798E-2</v>
      </c>
      <c r="R2408">
        <v>0.99782586500578796</v>
      </c>
      <c r="S2408" t="s">
        <v>9411</v>
      </c>
      <c r="T2408" t="s">
        <v>14004</v>
      </c>
      <c r="U2408" t="s">
        <v>14004</v>
      </c>
      <c r="V2408" t="s">
        <v>14004</v>
      </c>
      <c r="W2408" t="s">
        <v>16373</v>
      </c>
      <c r="X2408">
        <v>26</v>
      </c>
      <c r="Y2408" t="s">
        <v>23268</v>
      </c>
      <c r="Z2408" t="s">
        <v>30118</v>
      </c>
      <c r="AA2408">
        <v>0.33902914090096092</v>
      </c>
      <c r="AB2408" t="str">
        <f>HYPERLINK("Melting_Curves/meltCurve_P23743_DGKA.pdf", "Melting_Curves/meltCurve_P23743_DGKA.pdf")</f>
        <v>Melting_Curves/meltCurve_P23743_DGKA.pdf</v>
      </c>
    </row>
    <row r="2409" spans="1:28" x14ac:dyDescent="0.25">
      <c r="A2409" t="s">
        <v>2413</v>
      </c>
      <c r="B2409">
        <v>0.99999676499088797</v>
      </c>
      <c r="C2409">
        <v>0.94644067967946699</v>
      </c>
      <c r="D2409">
        <v>1.08368625446953</v>
      </c>
      <c r="E2409">
        <v>1.2703347952675399</v>
      </c>
      <c r="F2409">
        <v>1.21780911589184</v>
      </c>
      <c r="G2409">
        <v>1.4062194669792001</v>
      </c>
      <c r="H2409">
        <v>0.73867005096542804</v>
      </c>
      <c r="I2409">
        <v>0.754718026476353</v>
      </c>
      <c r="J2409">
        <v>0.65712999953341</v>
      </c>
      <c r="K2409">
        <v>0.99446049863294095</v>
      </c>
      <c r="L2409">
        <v>14747.928418970399</v>
      </c>
      <c r="M2409">
        <v>250</v>
      </c>
      <c r="O2409">
        <v>58.9879372489047</v>
      </c>
      <c r="P2409">
        <v>-0.22650104516655201</v>
      </c>
      <c r="Q2409">
        <v>0.78622672433596796</v>
      </c>
      <c r="R2409">
        <v>0.33691106454895597</v>
      </c>
      <c r="S2409" t="s">
        <v>9412</v>
      </c>
      <c r="T2409" t="s">
        <v>14004</v>
      </c>
      <c r="U2409" t="s">
        <v>14004</v>
      </c>
      <c r="V2409" t="s">
        <v>14004</v>
      </c>
      <c r="W2409" t="s">
        <v>16374</v>
      </c>
      <c r="X2409">
        <v>2</v>
      </c>
      <c r="Y2409" t="s">
        <v>23269</v>
      </c>
      <c r="Z2409" t="s">
        <v>30119</v>
      </c>
      <c r="AA2409">
        <v>0.92157955095028599</v>
      </c>
      <c r="AB2409" t="str">
        <f>HYPERLINK("Melting_Curves/meltCurve_P23771_GATA3.pdf", "Melting_Curves/meltCurve_P23771_GATA3.pdf")</f>
        <v>Melting_Curves/meltCurve_P23771_GATA3.pdf</v>
      </c>
    </row>
    <row r="2410" spans="1:28" x14ac:dyDescent="0.25">
      <c r="A2410" t="s">
        <v>2414</v>
      </c>
      <c r="B2410">
        <v>0.99999676499088797</v>
      </c>
      <c r="C2410">
        <v>0.99138512355429798</v>
      </c>
      <c r="D2410">
        <v>0.83645503026124701</v>
      </c>
      <c r="E2410">
        <v>0.28220179532920298</v>
      </c>
      <c r="F2410">
        <v>0.16117139538480499</v>
      </c>
      <c r="G2410">
        <v>0.11610592794354101</v>
      </c>
      <c r="H2410">
        <v>6.20353906069624E-2</v>
      </c>
      <c r="I2410">
        <v>6.5008087526388994E-2</v>
      </c>
      <c r="J2410">
        <v>7.3455427694563702E-2</v>
      </c>
      <c r="K2410">
        <v>5.13702043491365E-2</v>
      </c>
      <c r="L2410">
        <v>1666.7590751320899</v>
      </c>
      <c r="M2410">
        <v>34.766512773742399</v>
      </c>
      <c r="N2410">
        <v>48.184516164831997</v>
      </c>
      <c r="O2410">
        <v>47.7837249559445</v>
      </c>
      <c r="P2410">
        <v>-0.167269069780971</v>
      </c>
      <c r="Q2410">
        <v>8.0412774437615103E-2</v>
      </c>
      <c r="R2410">
        <v>0.99623068321490205</v>
      </c>
      <c r="S2410" t="s">
        <v>9413</v>
      </c>
      <c r="T2410" t="s">
        <v>14004</v>
      </c>
      <c r="U2410" t="s">
        <v>14004</v>
      </c>
      <c r="V2410" t="s">
        <v>14004</v>
      </c>
      <c r="W2410" t="s">
        <v>16375</v>
      </c>
      <c r="X2410">
        <v>13</v>
      </c>
      <c r="Y2410" t="s">
        <v>23270</v>
      </c>
      <c r="Z2410" t="s">
        <v>30120</v>
      </c>
      <c r="AA2410">
        <v>0.32791639862359517</v>
      </c>
      <c r="AB2410" t="str">
        <f>HYPERLINK("Melting_Curves/meltCurve_P23786_CPT2.pdf", "Melting_Curves/meltCurve_P23786_CPT2.pdf")</f>
        <v>Melting_Curves/meltCurve_P23786_CPT2.pdf</v>
      </c>
    </row>
    <row r="2411" spans="1:28" x14ac:dyDescent="0.25">
      <c r="A2411" t="s">
        <v>2415</v>
      </c>
      <c r="B2411">
        <v>0.99999676499088797</v>
      </c>
      <c r="C2411">
        <v>0.91151272605653799</v>
      </c>
      <c r="D2411">
        <v>0.923321255256773</v>
      </c>
      <c r="E2411">
        <v>0.93528936065127499</v>
      </c>
      <c r="F2411">
        <v>0.83154959681883001</v>
      </c>
      <c r="G2411">
        <v>0.63291706668556402</v>
      </c>
      <c r="H2411">
        <v>0.216457472537193</v>
      </c>
      <c r="I2411">
        <v>0.117628904804117</v>
      </c>
      <c r="J2411">
        <v>9.8726446803016801E-2</v>
      </c>
      <c r="K2411">
        <v>9.2339860566061999E-2</v>
      </c>
      <c r="L2411">
        <v>1314.77720330893</v>
      </c>
      <c r="M2411">
        <v>22.9256049607474</v>
      </c>
      <c r="N2411">
        <v>57.6469871544748</v>
      </c>
      <c r="O2411">
        <v>56.918719123183998</v>
      </c>
      <c r="P2411">
        <v>-9.5082686353210599E-2</v>
      </c>
      <c r="Q2411">
        <v>5.57488695325341E-2</v>
      </c>
      <c r="R2411">
        <v>0.984991160682407</v>
      </c>
      <c r="S2411" t="s">
        <v>9414</v>
      </c>
      <c r="T2411" t="s">
        <v>14004</v>
      </c>
      <c r="U2411" t="s">
        <v>14004</v>
      </c>
      <c r="V2411" t="s">
        <v>14004</v>
      </c>
      <c r="W2411" t="s">
        <v>16376</v>
      </c>
      <c r="X2411">
        <v>19</v>
      </c>
      <c r="Y2411" t="s">
        <v>23271</v>
      </c>
      <c r="Z2411" t="s">
        <v>30121</v>
      </c>
      <c r="AA2411">
        <v>0.61136378314503925</v>
      </c>
      <c r="AB2411" t="str">
        <f>HYPERLINK("Melting_Curves/meltCurve_P23919_DTYMK.pdf", "Melting_Curves/meltCurve_P23919_DTYMK.pdf")</f>
        <v>Melting_Curves/meltCurve_P23919_DTYMK.pdf</v>
      </c>
    </row>
    <row r="2412" spans="1:28" x14ac:dyDescent="0.25">
      <c r="A2412" t="s">
        <v>2416</v>
      </c>
      <c r="B2412">
        <v>0.99999676499088797</v>
      </c>
      <c r="C2412">
        <v>0.98143687253185996</v>
      </c>
      <c r="D2412">
        <v>0.98264198910979395</v>
      </c>
      <c r="E2412">
        <v>1.10405879101631</v>
      </c>
      <c r="F2412">
        <v>0.90268671872172901</v>
      </c>
      <c r="G2412">
        <v>0.46408544555025399</v>
      </c>
      <c r="H2412">
        <v>0.10960206144199899</v>
      </c>
      <c r="I2412">
        <v>8.9440264951517204E-2</v>
      </c>
      <c r="J2412">
        <v>7.0947193605352302E-2</v>
      </c>
      <c r="K2412">
        <v>6.3938550976442896E-2</v>
      </c>
      <c r="L2412">
        <v>2236.73690417938</v>
      </c>
      <c r="M2412">
        <v>39.704136746601797</v>
      </c>
      <c r="N2412">
        <v>56.548328347041398</v>
      </c>
      <c r="O2412">
        <v>56.192766165603203</v>
      </c>
      <c r="P2412">
        <v>-0.16436273780039101</v>
      </c>
      <c r="Q2412">
        <v>6.9519897961579799E-2</v>
      </c>
      <c r="R2412">
        <v>0.99315410445181695</v>
      </c>
      <c r="S2412" t="s">
        <v>9415</v>
      </c>
      <c r="T2412" t="s">
        <v>14004</v>
      </c>
      <c r="U2412" t="s">
        <v>14004</v>
      </c>
      <c r="V2412" t="s">
        <v>14004</v>
      </c>
      <c r="W2412" t="s">
        <v>16377</v>
      </c>
      <c r="X2412">
        <v>32</v>
      </c>
      <c r="Y2412" t="s">
        <v>23272</v>
      </c>
      <c r="Z2412" t="s">
        <v>30122</v>
      </c>
      <c r="AA2412">
        <v>0.57981753777383227</v>
      </c>
      <c r="AB2412" t="str">
        <f>HYPERLINK("Melting_Curves/meltCurve_P23921_RRM1.pdf", "Melting_Curves/meltCurve_P23921_RRM1.pdf")</f>
        <v>Melting_Curves/meltCurve_P23921_RRM1.pdf</v>
      </c>
    </row>
    <row r="2413" spans="1:28" x14ac:dyDescent="0.25">
      <c r="A2413" t="s">
        <v>2417</v>
      </c>
      <c r="B2413">
        <v>0.99999676499088797</v>
      </c>
      <c r="C2413">
        <v>0.954789550374193</v>
      </c>
      <c r="D2413">
        <v>0.95692235059670105</v>
      </c>
      <c r="E2413">
        <v>0.85347004357561795</v>
      </c>
      <c r="F2413">
        <v>0.69868219858690295</v>
      </c>
      <c r="G2413">
        <v>0.69338221806547196</v>
      </c>
      <c r="H2413">
        <v>0.46695475046102097</v>
      </c>
      <c r="I2413">
        <v>0.45855062581322797</v>
      </c>
      <c r="J2413">
        <v>0.36704206964352498</v>
      </c>
      <c r="K2413">
        <v>0.423441560793682</v>
      </c>
      <c r="L2413">
        <v>612.65522533282001</v>
      </c>
      <c r="M2413">
        <v>11.0356324268558</v>
      </c>
      <c r="N2413">
        <v>61.253537849568303</v>
      </c>
      <c r="O2413">
        <v>53.786603127298598</v>
      </c>
      <c r="P2413">
        <v>-3.4780860550602498E-2</v>
      </c>
      <c r="Q2413">
        <v>0.32215169029970098</v>
      </c>
      <c r="R2413">
        <v>0.97522350183938</v>
      </c>
      <c r="S2413" t="s">
        <v>9416</v>
      </c>
      <c r="T2413" t="s">
        <v>14004</v>
      </c>
      <c r="U2413" t="s">
        <v>14004</v>
      </c>
      <c r="V2413" t="s">
        <v>14004</v>
      </c>
      <c r="W2413" t="s">
        <v>16378</v>
      </c>
      <c r="X2413">
        <v>8</v>
      </c>
      <c r="Y2413" t="s">
        <v>23273</v>
      </c>
      <c r="Z2413" t="s">
        <v>30123</v>
      </c>
      <c r="AA2413">
        <v>0.68819043874410513</v>
      </c>
      <c r="AB2413" t="str">
        <f>HYPERLINK("Melting_Curves/meltCurve_P24001_2_IL32.pdf", "Melting_Curves/meltCurve_P24001_2_IL32.pdf")</f>
        <v>Melting_Curves/meltCurve_P24001_2_IL32.pdf</v>
      </c>
    </row>
    <row r="2414" spans="1:28" x14ac:dyDescent="0.25">
      <c r="A2414" t="s">
        <v>2418</v>
      </c>
      <c r="B2414">
        <v>0.99999676499088797</v>
      </c>
      <c r="C2414">
        <v>1.0066328567598799</v>
      </c>
      <c r="D2414">
        <v>0.88107841847269597</v>
      </c>
      <c r="E2414">
        <v>0.75302440798581305</v>
      </c>
      <c r="F2414">
        <v>0.94237760444211804</v>
      </c>
      <c r="G2414">
        <v>0.604334477524615</v>
      </c>
      <c r="H2414">
        <v>0.40267207346150302</v>
      </c>
      <c r="I2414">
        <v>0.209681804779108</v>
      </c>
      <c r="J2414">
        <v>0.19124971874775501</v>
      </c>
      <c r="K2414">
        <v>5.95413772173271E-2</v>
      </c>
      <c r="L2414">
        <v>794.25751859054503</v>
      </c>
      <c r="M2414">
        <v>13.507526580522301</v>
      </c>
      <c r="N2414">
        <v>58.801107326483603</v>
      </c>
      <c r="O2414">
        <v>57.557211219363403</v>
      </c>
      <c r="P2414">
        <v>-5.8678949595741201E-2</v>
      </c>
      <c r="Q2414">
        <v>0</v>
      </c>
      <c r="R2414">
        <v>0.94773221985379297</v>
      </c>
      <c r="S2414" t="s">
        <v>9417</v>
      </c>
      <c r="T2414" t="s">
        <v>14004</v>
      </c>
      <c r="U2414" t="s">
        <v>14004</v>
      </c>
      <c r="V2414" t="s">
        <v>14004</v>
      </c>
      <c r="W2414" t="s">
        <v>16379</v>
      </c>
      <c r="X2414">
        <v>2</v>
      </c>
      <c r="Y2414" t="s">
        <v>23274</v>
      </c>
      <c r="Z2414" t="s">
        <v>30124</v>
      </c>
      <c r="AA2414">
        <v>0.63716539579889953</v>
      </c>
      <c r="AB2414" t="str">
        <f>HYPERLINK("Melting_Curves/meltCurve_P24298_GPT.pdf", "Melting_Curves/meltCurve_P24298_GPT.pdf")</f>
        <v>Melting_Curves/meltCurve_P24298_GPT.pdf</v>
      </c>
    </row>
    <row r="2415" spans="1:28" x14ac:dyDescent="0.25">
      <c r="A2415" t="s">
        <v>2419</v>
      </c>
      <c r="B2415">
        <v>0.99999676499088797</v>
      </c>
      <c r="C2415">
        <v>1.22837390071872</v>
      </c>
      <c r="D2415">
        <v>1.2525726791760301</v>
      </c>
      <c r="E2415">
        <v>0.776185556059096</v>
      </c>
      <c r="F2415">
        <v>0.72431149642879</v>
      </c>
      <c r="G2415">
        <v>0.71264283389335303</v>
      </c>
      <c r="H2415">
        <v>0.74351255440568997</v>
      </c>
      <c r="I2415">
        <v>0.58517795626685898</v>
      </c>
      <c r="J2415">
        <v>0.42660498077353698</v>
      </c>
      <c r="K2415">
        <v>0.31857031006564801</v>
      </c>
      <c r="L2415">
        <v>530.82576169253798</v>
      </c>
      <c r="M2415">
        <v>8.1555941580600297</v>
      </c>
      <c r="N2415">
        <v>65.087317956068006</v>
      </c>
      <c r="O2415">
        <v>61.525088199036801</v>
      </c>
      <c r="P2415">
        <v>-3.31741821866244E-2</v>
      </c>
      <c r="Q2415">
        <v>0</v>
      </c>
      <c r="R2415">
        <v>0.76662189751462595</v>
      </c>
      <c r="S2415" t="s">
        <v>9418</v>
      </c>
      <c r="T2415" t="s">
        <v>14004</v>
      </c>
      <c r="U2415" t="s">
        <v>14004</v>
      </c>
      <c r="V2415" t="s">
        <v>14004</v>
      </c>
      <c r="W2415" t="s">
        <v>16380</v>
      </c>
      <c r="X2415">
        <v>2</v>
      </c>
      <c r="Y2415" t="s">
        <v>23275</v>
      </c>
      <c r="Z2415" t="s">
        <v>30125</v>
      </c>
      <c r="AA2415">
        <v>0.7614575500876154</v>
      </c>
      <c r="AB2415" t="str">
        <f>HYPERLINK("Melting_Curves/meltCurve_P24311_COX7B.pdf", "Melting_Curves/meltCurve_P24311_COX7B.pdf")</f>
        <v>Melting_Curves/meltCurve_P24311_COX7B.pdf</v>
      </c>
    </row>
    <row r="2416" spans="1:28" x14ac:dyDescent="0.25">
      <c r="A2416" t="s">
        <v>2420</v>
      </c>
      <c r="B2416">
        <v>0.99999676499088797</v>
      </c>
      <c r="C2416">
        <v>0.94064166533634497</v>
      </c>
      <c r="D2416">
        <v>0.943712292571531</v>
      </c>
      <c r="E2416">
        <v>0.61854024314088196</v>
      </c>
      <c r="F2416">
        <v>0.182187073510099</v>
      </c>
      <c r="G2416">
        <v>0.12901152273882799</v>
      </c>
      <c r="H2416">
        <v>6.8739828167401096E-2</v>
      </c>
      <c r="I2416">
        <v>7.7997899331767206E-2</v>
      </c>
      <c r="J2416">
        <v>8.51658223278694E-2</v>
      </c>
      <c r="K2416">
        <v>0.104030987044512</v>
      </c>
      <c r="L2416">
        <v>1659.9480124921299</v>
      </c>
      <c r="M2416">
        <v>33.170786762519299</v>
      </c>
      <c r="N2416">
        <v>50.330508837867498</v>
      </c>
      <c r="O2416">
        <v>49.861639238592197</v>
      </c>
      <c r="P2416">
        <v>-0.15193542419671399</v>
      </c>
      <c r="Q2416">
        <v>8.64592676495132E-2</v>
      </c>
      <c r="R2416">
        <v>0.99672343989819301</v>
      </c>
      <c r="S2416" t="s">
        <v>9419</v>
      </c>
      <c r="T2416" t="s">
        <v>14004</v>
      </c>
      <c r="U2416" t="s">
        <v>14004</v>
      </c>
      <c r="V2416" t="s">
        <v>14004</v>
      </c>
      <c r="W2416" t="s">
        <v>16381</v>
      </c>
      <c r="X2416">
        <v>11</v>
      </c>
      <c r="Y2416" t="s">
        <v>23276</v>
      </c>
      <c r="Z2416" t="s">
        <v>30126</v>
      </c>
      <c r="AA2416">
        <v>0.39688033300424269</v>
      </c>
      <c r="AB2416" t="str">
        <f>HYPERLINK("Melting_Curves/meltCurve_P24534_EEF1B2.pdf", "Melting_Curves/meltCurve_P24534_EEF1B2.pdf")</f>
        <v>Melting_Curves/meltCurve_P24534_EEF1B2.pdf</v>
      </c>
    </row>
    <row r="2417" spans="1:28" x14ac:dyDescent="0.25">
      <c r="A2417" t="s">
        <v>2421</v>
      </c>
      <c r="B2417">
        <v>0.99999676499088797</v>
      </c>
      <c r="C2417">
        <v>0.74032979505031005</v>
      </c>
      <c r="D2417">
        <v>0.71852180305820001</v>
      </c>
      <c r="E2417">
        <v>0.68096166248221401</v>
      </c>
      <c r="F2417">
        <v>0.45834589178591301</v>
      </c>
      <c r="G2417">
        <v>0.27899813907670901</v>
      </c>
      <c r="H2417">
        <v>0.188998835958337</v>
      </c>
      <c r="I2417">
        <v>0.221008165387688</v>
      </c>
      <c r="J2417">
        <v>0.21666009467950101</v>
      </c>
      <c r="K2417">
        <v>0.283387707424332</v>
      </c>
      <c r="L2417">
        <v>510.380319859525</v>
      </c>
      <c r="M2417">
        <v>10.3171996517667</v>
      </c>
      <c r="N2417">
        <v>51.423425189331802</v>
      </c>
      <c r="O2417">
        <v>47.7185548600659</v>
      </c>
      <c r="P2417">
        <v>-4.5304776595899397E-2</v>
      </c>
      <c r="Q2417">
        <v>0.162196760012914</v>
      </c>
      <c r="R2417">
        <v>0.93634011788036497</v>
      </c>
      <c r="S2417" t="s">
        <v>9420</v>
      </c>
      <c r="T2417" t="s">
        <v>14004</v>
      </c>
      <c r="U2417" t="s">
        <v>14004</v>
      </c>
      <c r="V2417" t="s">
        <v>14004</v>
      </c>
      <c r="W2417" t="s">
        <v>16382</v>
      </c>
      <c r="X2417">
        <v>2</v>
      </c>
      <c r="Y2417" t="s">
        <v>23277</v>
      </c>
      <c r="Z2417" t="s">
        <v>30127</v>
      </c>
      <c r="AA2417">
        <v>0.46441004798535518</v>
      </c>
      <c r="AB2417" t="str">
        <f>HYPERLINK("Melting_Curves/meltCurve_P24588_AKAP5.pdf", "Melting_Curves/meltCurve_P24588_AKAP5.pdf")</f>
        <v>Melting_Curves/meltCurve_P24588_AKAP5.pdf</v>
      </c>
    </row>
    <row r="2418" spans="1:28" x14ac:dyDescent="0.25">
      <c r="A2418" t="s">
        <v>2422</v>
      </c>
      <c r="B2418">
        <v>0.99999676499088797</v>
      </c>
      <c r="C2418">
        <v>0.98407175943518499</v>
      </c>
      <c r="D2418">
        <v>0.69324032033078198</v>
      </c>
      <c r="E2418">
        <v>0.41337932979080499</v>
      </c>
      <c r="F2418">
        <v>0.25765457739008601</v>
      </c>
      <c r="G2418">
        <v>0.15335135638880401</v>
      </c>
      <c r="H2418">
        <v>8.2157761646825894E-2</v>
      </c>
      <c r="I2418">
        <v>8.2037766981487306E-2</v>
      </c>
      <c r="J2418">
        <v>7.3090517576292702E-2</v>
      </c>
      <c r="K2418">
        <v>6.1519493397387597E-2</v>
      </c>
      <c r="L2418">
        <v>871.37816419416095</v>
      </c>
      <c r="M2418">
        <v>18.0365238213083</v>
      </c>
      <c r="N2418">
        <v>48.739141591467401</v>
      </c>
      <c r="O2418">
        <v>47.7297317375359</v>
      </c>
      <c r="P2418">
        <v>-8.7568135565246605E-2</v>
      </c>
      <c r="Q2418">
        <v>7.3125379192920406E-2</v>
      </c>
      <c r="R2418">
        <v>0.99261568698496705</v>
      </c>
      <c r="S2418" t="s">
        <v>9421</v>
      </c>
      <c r="T2418" t="s">
        <v>14004</v>
      </c>
      <c r="U2418" t="s">
        <v>14004</v>
      </c>
      <c r="V2418" t="s">
        <v>14004</v>
      </c>
      <c r="W2418" t="s">
        <v>16383</v>
      </c>
      <c r="X2418">
        <v>13</v>
      </c>
      <c r="Y2418" t="s">
        <v>23278</v>
      </c>
      <c r="Z2418" t="s">
        <v>30128</v>
      </c>
      <c r="AA2418">
        <v>0.34616088500912467</v>
      </c>
      <c r="AB2418" t="str">
        <f>HYPERLINK("Melting_Curves/meltCurve_P24666_ACP1.pdf", "Melting_Curves/meltCurve_P24666_ACP1.pdf")</f>
        <v>Melting_Curves/meltCurve_P24666_ACP1.pdf</v>
      </c>
    </row>
    <row r="2419" spans="1:28" x14ac:dyDescent="0.25">
      <c r="A2419" t="s">
        <v>2423</v>
      </c>
      <c r="B2419">
        <v>0.99999676499088797</v>
      </c>
      <c r="C2419">
        <v>1.11483729273646</v>
      </c>
      <c r="D2419">
        <v>0.85933042528084103</v>
      </c>
      <c r="E2419">
        <v>0.63996968150306399</v>
      </c>
      <c r="F2419">
        <v>0.320444816527441</v>
      </c>
      <c r="G2419">
        <v>0.186844592129186</v>
      </c>
      <c r="H2419">
        <v>7.6723957360507702E-2</v>
      </c>
      <c r="I2419">
        <v>9.5965728624585606E-2</v>
      </c>
      <c r="J2419">
        <v>7.3375109070944203E-2</v>
      </c>
      <c r="K2419">
        <v>9.2057695136423506E-2</v>
      </c>
      <c r="L2419">
        <v>1076.4604274435401</v>
      </c>
      <c r="M2419">
        <v>21.262401119571599</v>
      </c>
      <c r="N2419">
        <v>51.039458418573197</v>
      </c>
      <c r="O2419">
        <v>50.185969962887803</v>
      </c>
      <c r="P2419">
        <v>-9.7567455428606495E-2</v>
      </c>
      <c r="Q2419">
        <v>7.8863717622957005E-2</v>
      </c>
      <c r="R2419">
        <v>0.98621322424465696</v>
      </c>
      <c r="S2419" t="s">
        <v>9422</v>
      </c>
      <c r="T2419" t="s">
        <v>14004</v>
      </c>
      <c r="U2419" t="s">
        <v>14004</v>
      </c>
      <c r="V2419" t="s">
        <v>14004</v>
      </c>
      <c r="W2419" t="s">
        <v>16384</v>
      </c>
      <c r="X2419">
        <v>12</v>
      </c>
      <c r="Y2419" t="s">
        <v>23278</v>
      </c>
      <c r="Z2419" t="s">
        <v>30129</v>
      </c>
      <c r="AA2419">
        <v>0.41655602868662001</v>
      </c>
      <c r="AB2419" t="str">
        <f>HYPERLINK("Melting_Curves/meltCurve_P24666_2_ACP1.pdf", "Melting_Curves/meltCurve_P24666_2_ACP1.pdf")</f>
        <v>Melting_Curves/meltCurve_P24666_2_ACP1.pdf</v>
      </c>
    </row>
    <row r="2420" spans="1:28" x14ac:dyDescent="0.25">
      <c r="A2420" t="s">
        <v>2424</v>
      </c>
      <c r="B2420">
        <v>0.99999676499088797</v>
      </c>
      <c r="C2420">
        <v>1.0216761116597399</v>
      </c>
      <c r="D2420">
        <v>1.05410813213979</v>
      </c>
      <c r="E2420">
        <v>1.1300964556772</v>
      </c>
      <c r="F2420">
        <v>0.95277937665161905</v>
      </c>
      <c r="G2420">
        <v>0.75744123029009502</v>
      </c>
      <c r="H2420">
        <v>0.14041367392606699</v>
      </c>
      <c r="I2420">
        <v>9.0193064321822003E-2</v>
      </c>
      <c r="J2420">
        <v>8.0227141712984798E-2</v>
      </c>
      <c r="K2420">
        <v>6.2847108216702197E-2</v>
      </c>
      <c r="L2420">
        <v>2993.5314710561302</v>
      </c>
      <c r="M2420">
        <v>51.687697482068799</v>
      </c>
      <c r="N2420">
        <v>58.094216082454899</v>
      </c>
      <c r="O2420">
        <v>57.829249503418602</v>
      </c>
      <c r="P2420">
        <v>-0.20704596674801801</v>
      </c>
      <c r="Q2420">
        <v>7.3411731306886205E-2</v>
      </c>
      <c r="R2420">
        <v>0.98892441619912297</v>
      </c>
      <c r="S2420" t="s">
        <v>9423</v>
      </c>
      <c r="T2420" t="s">
        <v>14004</v>
      </c>
      <c r="U2420" t="s">
        <v>14004</v>
      </c>
      <c r="V2420" t="s">
        <v>14004</v>
      </c>
      <c r="W2420" t="s">
        <v>16385</v>
      </c>
      <c r="X2420">
        <v>26</v>
      </c>
      <c r="Y2420" t="s">
        <v>23279</v>
      </c>
      <c r="Z2420" t="s">
        <v>30130</v>
      </c>
      <c r="AA2420">
        <v>0.62896955401397225</v>
      </c>
      <c r="AB2420" t="str">
        <f>HYPERLINK("Melting_Curves/meltCurve_P24752_ACAT1.pdf", "Melting_Curves/meltCurve_P24752_ACAT1.pdf")</f>
        <v>Melting_Curves/meltCurve_P24752_ACAT1.pdf</v>
      </c>
    </row>
    <row r="2421" spans="1:28" x14ac:dyDescent="0.25">
      <c r="A2421" t="s">
        <v>2425</v>
      </c>
      <c r="B2421">
        <v>0.99999676499088797</v>
      </c>
      <c r="C2421">
        <v>1.05311275878691</v>
      </c>
      <c r="D2421">
        <v>1.0882684381929599</v>
      </c>
      <c r="E2421">
        <v>1.2854071885910301</v>
      </c>
      <c r="F2421">
        <v>0.98716522574112198</v>
      </c>
      <c r="G2421">
        <v>1.1942703760826101</v>
      </c>
      <c r="H2421">
        <v>0.74264579323453295</v>
      </c>
      <c r="I2421">
        <v>0.35484368014131001</v>
      </c>
      <c r="J2421">
        <v>0.21485036981186001</v>
      </c>
      <c r="K2421">
        <v>0.15892574247979799</v>
      </c>
      <c r="L2421">
        <v>2942.2456891166698</v>
      </c>
      <c r="M2421">
        <v>47.434604219555197</v>
      </c>
      <c r="N2421">
        <v>62.614526053389802</v>
      </c>
      <c r="O2421">
        <v>61.9174676469679</v>
      </c>
      <c r="P2421">
        <v>-0.157142025606511</v>
      </c>
      <c r="Q2421">
        <v>0.17951662170053201</v>
      </c>
      <c r="R2421">
        <v>0.91312930933569503</v>
      </c>
      <c r="S2421" t="s">
        <v>9424</v>
      </c>
      <c r="T2421" t="s">
        <v>14004</v>
      </c>
      <c r="U2421" t="s">
        <v>14004</v>
      </c>
      <c r="V2421" t="s">
        <v>14004</v>
      </c>
      <c r="W2421" t="s">
        <v>16386</v>
      </c>
      <c r="X2421">
        <v>53</v>
      </c>
      <c r="Y2421" t="s">
        <v>23280</v>
      </c>
      <c r="Z2421" t="s">
        <v>30131</v>
      </c>
      <c r="AA2421">
        <v>0.78423468104321281</v>
      </c>
      <c r="AB2421" t="str">
        <f>HYPERLINK("Melting_Curves/meltCurve_P24928_POLR2A.pdf", "Melting_Curves/meltCurve_P24928_POLR2A.pdf")</f>
        <v>Melting_Curves/meltCurve_P24928_POLR2A.pdf</v>
      </c>
    </row>
    <row r="2422" spans="1:28" x14ac:dyDescent="0.25">
      <c r="A2422" t="s">
        <v>2426</v>
      </c>
      <c r="B2422">
        <v>0.99999676499088797</v>
      </c>
      <c r="C2422">
        <v>1.0097199601449001</v>
      </c>
      <c r="D2422">
        <v>0.96340335115206799</v>
      </c>
      <c r="E2422">
        <v>0.69399897027531898</v>
      </c>
      <c r="F2422">
        <v>0.55260756468112204</v>
      </c>
      <c r="G2422">
        <v>0.33515200758279301</v>
      </c>
      <c r="H2422">
        <v>0.41845382926362501</v>
      </c>
      <c r="I2422">
        <v>0.35235734744152603</v>
      </c>
      <c r="J2422">
        <v>0.52333289610663603</v>
      </c>
      <c r="K2422">
        <v>0.55807495626849402</v>
      </c>
      <c r="L2422">
        <v>1583.74361577682</v>
      </c>
      <c r="M2422">
        <v>32.027473142988697</v>
      </c>
      <c r="N2422">
        <v>53.091607214157399</v>
      </c>
      <c r="O2422">
        <v>49.257946520326598</v>
      </c>
      <c r="P2422">
        <v>-9.0307246002151606E-2</v>
      </c>
      <c r="Q2422">
        <v>0.44443607440134603</v>
      </c>
      <c r="R2422">
        <v>0.92672137020982803</v>
      </c>
      <c r="S2422" t="s">
        <v>9425</v>
      </c>
      <c r="T2422" t="s">
        <v>14004</v>
      </c>
      <c r="U2422" t="s">
        <v>14004</v>
      </c>
      <c r="V2422" t="s">
        <v>14004</v>
      </c>
      <c r="W2422" t="s">
        <v>16387</v>
      </c>
      <c r="X2422">
        <v>1</v>
      </c>
      <c r="Y2422" t="s">
        <v>23281</v>
      </c>
      <c r="Z2422" t="s">
        <v>30132</v>
      </c>
      <c r="AA2422">
        <v>0.62241196033741375</v>
      </c>
      <c r="AB2422" t="str">
        <f>HYPERLINK("Melting_Curves/meltCurve_P25054_2_APC.pdf", "Melting_Curves/meltCurve_P25054_2_APC.pdf")</f>
        <v>Melting_Curves/meltCurve_P25054_2_APC.pdf</v>
      </c>
    </row>
    <row r="2423" spans="1:28" x14ac:dyDescent="0.25">
      <c r="A2423" t="s">
        <v>2427</v>
      </c>
      <c r="B2423">
        <v>0.99999676499088797</v>
      </c>
      <c r="C2423">
        <v>1.03494692542869</v>
      </c>
      <c r="D2423">
        <v>0.98512310466810704</v>
      </c>
      <c r="E2423">
        <v>0.94121429100964804</v>
      </c>
      <c r="F2423">
        <v>0.37863412457442602</v>
      </c>
      <c r="G2423">
        <v>0.17535943996472</v>
      </c>
      <c r="H2423">
        <v>8.1123522000669898E-2</v>
      </c>
      <c r="I2423">
        <v>7.4966722345468195E-2</v>
      </c>
      <c r="J2423">
        <v>6.8634870621133104E-2</v>
      </c>
      <c r="K2423">
        <v>5.6408224871876599E-2</v>
      </c>
      <c r="L2423">
        <v>2175.6041539371399</v>
      </c>
      <c r="M2423">
        <v>41.544445097832899</v>
      </c>
      <c r="N2423">
        <v>52.592794787905603</v>
      </c>
      <c r="O2423">
        <v>52.247219627451699</v>
      </c>
      <c r="P2423">
        <v>-0.18262464746193099</v>
      </c>
      <c r="Q2423">
        <v>8.1310476833582307E-2</v>
      </c>
      <c r="R2423">
        <v>0.99636392688561104</v>
      </c>
      <c r="S2423" t="s">
        <v>9426</v>
      </c>
      <c r="T2423" t="s">
        <v>14004</v>
      </c>
      <c r="U2423" t="s">
        <v>14004</v>
      </c>
      <c r="V2423" t="s">
        <v>14004</v>
      </c>
      <c r="W2423" t="s">
        <v>16388</v>
      </c>
      <c r="X2423">
        <v>38</v>
      </c>
      <c r="Y2423" t="s">
        <v>23282</v>
      </c>
      <c r="Z2423" t="s">
        <v>30133</v>
      </c>
      <c r="AA2423">
        <v>0.46313865235921342</v>
      </c>
      <c r="AB2423" t="str">
        <f>HYPERLINK("Melting_Curves/meltCurve_P25098_ADRBK1.pdf", "Melting_Curves/meltCurve_P25098_ADRBK1.pdf")</f>
        <v>Melting_Curves/meltCurve_P25098_ADRBK1.pdf</v>
      </c>
    </row>
    <row r="2424" spans="1:28" x14ac:dyDescent="0.25">
      <c r="A2424" t="s">
        <v>2428</v>
      </c>
      <c r="B2424">
        <v>0.99999676499088797</v>
      </c>
      <c r="C2424">
        <v>0.99967768273433999</v>
      </c>
      <c r="D2424">
        <v>0.993862641023878</v>
      </c>
      <c r="E2424">
        <v>0.89563968679854</v>
      </c>
      <c r="F2424">
        <v>0.707986135882822</v>
      </c>
      <c r="G2424">
        <v>0.82909417026923904</v>
      </c>
      <c r="H2424">
        <v>0.584120556408108</v>
      </c>
      <c r="I2424">
        <v>0.41966072132780602</v>
      </c>
      <c r="J2424">
        <v>0.28757170990469699</v>
      </c>
      <c r="K2424">
        <v>0.25050659583960999</v>
      </c>
      <c r="L2424">
        <v>606.13121406705204</v>
      </c>
      <c r="M2424">
        <v>9.7498185670334294</v>
      </c>
      <c r="N2424">
        <v>62.168435965219999</v>
      </c>
      <c r="O2424">
        <v>59.722282398527298</v>
      </c>
      <c r="P2424">
        <v>-4.0835020312834598E-2</v>
      </c>
      <c r="Q2424">
        <v>0</v>
      </c>
      <c r="R2424">
        <v>0.95671090257123004</v>
      </c>
      <c r="S2424" t="s">
        <v>9427</v>
      </c>
      <c r="T2424" t="s">
        <v>14004</v>
      </c>
      <c r="U2424" t="s">
        <v>14004</v>
      </c>
      <c r="V2424" t="s">
        <v>14004</v>
      </c>
      <c r="W2424" t="s">
        <v>16389</v>
      </c>
      <c r="X2424">
        <v>1</v>
      </c>
      <c r="Y2424" t="s">
        <v>23283</v>
      </c>
      <c r="Z2424" t="s">
        <v>30134</v>
      </c>
      <c r="AA2424">
        <v>0.7145017887034929</v>
      </c>
      <c r="AB2424" t="str">
        <f>HYPERLINK("Melting_Curves/meltCurve_P25116_F2R.pdf", "Melting_Curves/meltCurve_P25116_F2R.pdf")</f>
        <v>Melting_Curves/meltCurve_P25116_F2R.pdf</v>
      </c>
    </row>
    <row r="2425" spans="1:28" x14ac:dyDescent="0.25">
      <c r="A2425" t="s">
        <v>2429</v>
      </c>
      <c r="B2425">
        <v>0.99999676499088797</v>
      </c>
      <c r="C2425">
        <v>1.0429344359056301</v>
      </c>
      <c r="D2425">
        <v>1.0060839251835301</v>
      </c>
      <c r="E2425">
        <v>1.05826179158597</v>
      </c>
      <c r="F2425">
        <v>0.54252066908349295</v>
      </c>
      <c r="G2425">
        <v>0.24501432308565699</v>
      </c>
      <c r="H2425">
        <v>9.5972313862556599E-2</v>
      </c>
      <c r="I2425">
        <v>8.5019866081392004E-2</v>
      </c>
      <c r="J2425">
        <v>7.6800169390291703E-2</v>
      </c>
      <c r="K2425">
        <v>6.9450987285181995E-2</v>
      </c>
      <c r="L2425">
        <v>2028.75804052085</v>
      </c>
      <c r="M2425">
        <v>37.956224466506903</v>
      </c>
      <c r="N2425">
        <v>53.732512417372099</v>
      </c>
      <c r="O2425">
        <v>53.302225000756003</v>
      </c>
      <c r="P2425">
        <v>-0.16191734966252699</v>
      </c>
      <c r="Q2425">
        <v>9.0475104763136596E-2</v>
      </c>
      <c r="R2425">
        <v>0.98948322198280303</v>
      </c>
      <c r="S2425" t="s">
        <v>9428</v>
      </c>
      <c r="T2425" t="s">
        <v>14004</v>
      </c>
      <c r="U2425" t="s">
        <v>14004</v>
      </c>
      <c r="V2425" t="s">
        <v>14004</v>
      </c>
      <c r="W2425" t="s">
        <v>16390</v>
      </c>
      <c r="X2425">
        <v>59</v>
      </c>
      <c r="Y2425" t="s">
        <v>23284</v>
      </c>
      <c r="Z2425" t="s">
        <v>30135</v>
      </c>
      <c r="AA2425">
        <v>0.50197051335291676</v>
      </c>
      <c r="AB2425" t="str">
        <f>HYPERLINK("Melting_Curves/meltCurve_P25205_MCM3.pdf", "Melting_Curves/meltCurve_P25205_MCM3.pdf")</f>
        <v>Melting_Curves/meltCurve_P25205_MCM3.pdf</v>
      </c>
    </row>
    <row r="2426" spans="1:28" x14ac:dyDescent="0.25">
      <c r="A2426" t="s">
        <v>2430</v>
      </c>
      <c r="B2426">
        <v>0.99999676499088797</v>
      </c>
      <c r="C2426">
        <v>0.942250143680331</v>
      </c>
      <c r="D2426">
        <v>0.87737288363178201</v>
      </c>
      <c r="E2426">
        <v>0.60216840684695905</v>
      </c>
      <c r="F2426">
        <v>0.18651525457521301</v>
      </c>
      <c r="G2426">
        <v>0.15702868585334301</v>
      </c>
      <c r="H2426">
        <v>5.15524961899868E-2</v>
      </c>
      <c r="I2426">
        <v>5.7793163831958198E-2</v>
      </c>
      <c r="J2426">
        <v>7.0447810383086701E-2</v>
      </c>
      <c r="K2426">
        <v>4.4670927002280099E-2</v>
      </c>
      <c r="L2426">
        <v>1189.79366743016</v>
      </c>
      <c r="M2426">
        <v>23.8040147384846</v>
      </c>
      <c r="N2426">
        <v>50.230835213541802</v>
      </c>
      <c r="O2426">
        <v>49.634129194436298</v>
      </c>
      <c r="P2426">
        <v>-0.113253596090269</v>
      </c>
      <c r="Q2426">
        <v>5.5427499089573E-2</v>
      </c>
      <c r="R2426">
        <v>0.99438209720327198</v>
      </c>
      <c r="S2426" t="s">
        <v>9429</v>
      </c>
      <c r="T2426" t="s">
        <v>14004</v>
      </c>
      <c r="U2426" t="s">
        <v>14004</v>
      </c>
      <c r="V2426" t="s">
        <v>14004</v>
      </c>
      <c r="W2426" t="s">
        <v>16391</v>
      </c>
      <c r="X2426">
        <v>16</v>
      </c>
      <c r="Y2426" t="s">
        <v>23285</v>
      </c>
      <c r="Z2426" t="s">
        <v>30136</v>
      </c>
      <c r="AA2426">
        <v>0.37906051352862891</v>
      </c>
      <c r="AB2426" t="str">
        <f>HYPERLINK("Melting_Curves/meltCurve_P25325_MPST.pdf", "Melting_Curves/meltCurve_P25325_MPST.pdf")</f>
        <v>Melting_Curves/meltCurve_P25325_MPST.pdf</v>
      </c>
    </row>
    <row r="2427" spans="1:28" x14ac:dyDescent="0.25">
      <c r="A2427" t="s">
        <v>2431</v>
      </c>
      <c r="B2427">
        <v>0.99999676499088797</v>
      </c>
      <c r="C2427">
        <v>0.91224048973059702</v>
      </c>
      <c r="D2427">
        <v>1.00888742153573</v>
      </c>
      <c r="E2427">
        <v>0.87512216191942205</v>
      </c>
      <c r="F2427">
        <v>0.67543099672464602</v>
      </c>
      <c r="G2427">
        <v>0.38334221958070303</v>
      </c>
      <c r="H2427">
        <v>0.12580048126754001</v>
      </c>
      <c r="I2427">
        <v>0.110523448541254</v>
      </c>
      <c r="J2427">
        <v>0.107481223539054</v>
      </c>
      <c r="K2427">
        <v>0.108330785966975</v>
      </c>
      <c r="L2427">
        <v>1166.4361478344399</v>
      </c>
      <c r="M2427">
        <v>21.355207522948898</v>
      </c>
      <c r="N2427">
        <v>55.0616883620525</v>
      </c>
      <c r="O2427">
        <v>54.148494919794302</v>
      </c>
      <c r="P2427">
        <v>-9.0847826694849795E-2</v>
      </c>
      <c r="Q2427">
        <v>7.8604218124607106E-2</v>
      </c>
      <c r="R2427">
        <v>0.991588941860437</v>
      </c>
      <c r="S2427" t="s">
        <v>9430</v>
      </c>
      <c r="T2427" t="s">
        <v>14004</v>
      </c>
      <c r="U2427" t="s">
        <v>14004</v>
      </c>
      <c r="V2427" t="s">
        <v>14004</v>
      </c>
      <c r="W2427" t="s">
        <v>16392</v>
      </c>
      <c r="X2427">
        <v>10</v>
      </c>
      <c r="Y2427" t="s">
        <v>23286</v>
      </c>
      <c r="Z2427" t="s">
        <v>30137</v>
      </c>
      <c r="AA2427">
        <v>0.53881187927547158</v>
      </c>
      <c r="AB2427" t="str">
        <f>HYPERLINK("Melting_Curves/meltCurve_P25398_RPS12.pdf", "Melting_Curves/meltCurve_P25398_RPS12.pdf")</f>
        <v>Melting_Curves/meltCurve_P25398_RPS12.pdf</v>
      </c>
    </row>
    <row r="2428" spans="1:28" x14ac:dyDescent="0.25">
      <c r="A2428" t="s">
        <v>2432</v>
      </c>
      <c r="B2428">
        <v>0.99999676499088797</v>
      </c>
      <c r="C2428">
        <v>0.946076319949958</v>
      </c>
      <c r="D2428">
        <v>1.07678624238147</v>
      </c>
      <c r="E2428">
        <v>1.1186831714116701</v>
      </c>
      <c r="F2428">
        <v>0.98578199781434706</v>
      </c>
      <c r="G2428">
        <v>0.72951686531343996</v>
      </c>
      <c r="H2428">
        <v>0.43739858199195802</v>
      </c>
      <c r="I2428">
        <v>0.32899225007895899</v>
      </c>
      <c r="J2428">
        <v>0.28314047152977601</v>
      </c>
      <c r="K2428">
        <v>0.32434290038107499</v>
      </c>
      <c r="L2428">
        <v>1932.4531752617199</v>
      </c>
      <c r="M2428">
        <v>33.456843000765403</v>
      </c>
      <c r="N2428">
        <v>59.436222153543802</v>
      </c>
      <c r="O2428">
        <v>57.554403025611499</v>
      </c>
      <c r="P2428">
        <v>-0.10094108909857601</v>
      </c>
      <c r="Q2428">
        <v>0.30542411229572097</v>
      </c>
      <c r="R2428">
        <v>0.97553761373161596</v>
      </c>
      <c r="S2428" t="s">
        <v>9431</v>
      </c>
      <c r="T2428" t="s">
        <v>14004</v>
      </c>
      <c r="U2428" t="s">
        <v>14004</v>
      </c>
      <c r="V2428" t="s">
        <v>14004</v>
      </c>
      <c r="W2428" t="s">
        <v>16393</v>
      </c>
      <c r="X2428">
        <v>9</v>
      </c>
      <c r="Y2428" t="s">
        <v>23287</v>
      </c>
      <c r="Z2428" t="s">
        <v>30138</v>
      </c>
      <c r="AA2428">
        <v>0.72040102932993355</v>
      </c>
      <c r="AB2428" t="str">
        <f>HYPERLINK("Melting_Curves/meltCurve_P25445_6_FAS.pdf", "Melting_Curves/meltCurve_P25445_6_FAS.pdf")</f>
        <v>Melting_Curves/meltCurve_P25445_6_FAS.pdf</v>
      </c>
    </row>
    <row r="2429" spans="1:28" x14ac:dyDescent="0.25">
      <c r="A2429" t="s">
        <v>2433</v>
      </c>
      <c r="B2429">
        <v>0.99999676499088797</v>
      </c>
      <c r="C2429">
        <v>0.71115453104969695</v>
      </c>
      <c r="D2429">
        <v>0.48306757859533</v>
      </c>
      <c r="E2429">
        <v>0.290058462534724</v>
      </c>
      <c r="F2429">
        <v>0.19887831687385901</v>
      </c>
      <c r="G2429">
        <v>0.149489232357505</v>
      </c>
      <c r="H2429">
        <v>7.9537240748231902E-2</v>
      </c>
      <c r="I2429">
        <v>7.9015121467375798E-2</v>
      </c>
      <c r="J2429">
        <v>8.5190311449975797E-2</v>
      </c>
      <c r="K2429">
        <v>8.8922535456340795E-2</v>
      </c>
      <c r="L2429">
        <v>745.81984561730997</v>
      </c>
      <c r="M2429">
        <v>16.4007893260627</v>
      </c>
      <c r="N2429">
        <v>46.027832490726198</v>
      </c>
      <c r="O2429">
        <v>44.814688835951102</v>
      </c>
      <c r="P2429">
        <v>-8.3313883310332501E-2</v>
      </c>
      <c r="Q2429">
        <v>8.9453565998092302E-2</v>
      </c>
      <c r="R2429">
        <v>0.98608362105781899</v>
      </c>
      <c r="S2429" t="s">
        <v>9432</v>
      </c>
      <c r="T2429" t="s">
        <v>14004</v>
      </c>
      <c r="U2429" t="s">
        <v>14004</v>
      </c>
      <c r="V2429" t="s">
        <v>14004</v>
      </c>
      <c r="W2429" t="s">
        <v>16394</v>
      </c>
      <c r="X2429">
        <v>13</v>
      </c>
      <c r="Y2429" t="s">
        <v>23288</v>
      </c>
      <c r="Z2429" t="s">
        <v>30139</v>
      </c>
      <c r="AA2429">
        <v>0.27861762848993987</v>
      </c>
      <c r="AB2429" t="str">
        <f>HYPERLINK("Melting_Curves/meltCurve_P25490_YY1.pdf", "Melting_Curves/meltCurve_P25490_YY1.pdf")</f>
        <v>Melting_Curves/meltCurve_P25490_YY1.pdf</v>
      </c>
    </row>
    <row r="2430" spans="1:28" x14ac:dyDescent="0.25">
      <c r="A2430" t="s">
        <v>2434</v>
      </c>
      <c r="B2430">
        <v>0.99999676499088797</v>
      </c>
      <c r="C2430">
        <v>0.92553585092519697</v>
      </c>
      <c r="D2430">
        <v>0.84517432325445896</v>
      </c>
      <c r="E2430">
        <v>0.41825981377515897</v>
      </c>
      <c r="F2430">
        <v>0.225202501931306</v>
      </c>
      <c r="G2430">
        <v>0.14353279877716099</v>
      </c>
      <c r="H2430">
        <v>6.5610084328523596E-2</v>
      </c>
      <c r="I2430">
        <v>6.4711468214710896E-2</v>
      </c>
      <c r="J2430">
        <v>6.0669361624599599E-2</v>
      </c>
      <c r="K2430">
        <v>5.75630023733643E-2</v>
      </c>
      <c r="L2430">
        <v>1049.7174461387499</v>
      </c>
      <c r="M2430">
        <v>21.489314683752902</v>
      </c>
      <c r="N2430">
        <v>49.169081116178297</v>
      </c>
      <c r="O2430">
        <v>48.431240776525499</v>
      </c>
      <c r="P2430">
        <v>-0.103675078440611</v>
      </c>
      <c r="Q2430">
        <v>6.5398067552334904E-2</v>
      </c>
      <c r="R2430">
        <v>0.99558323539129001</v>
      </c>
      <c r="S2430" t="s">
        <v>9433</v>
      </c>
      <c r="T2430" t="s">
        <v>14004</v>
      </c>
      <c r="U2430" t="s">
        <v>14004</v>
      </c>
      <c r="V2430" t="s">
        <v>14004</v>
      </c>
      <c r="W2430" t="s">
        <v>16395</v>
      </c>
      <c r="X2430">
        <v>25</v>
      </c>
      <c r="Y2430" t="s">
        <v>23289</v>
      </c>
      <c r="Z2430" t="s">
        <v>30140</v>
      </c>
      <c r="AA2430">
        <v>0.35236723226396049</v>
      </c>
      <c r="AB2430" t="str">
        <f>HYPERLINK("Melting_Curves/meltCurve_P25685_DNAJB1.pdf", "Melting_Curves/meltCurve_P25685_DNAJB1.pdf")</f>
        <v>Melting_Curves/meltCurve_P25685_DNAJB1.pdf</v>
      </c>
    </row>
    <row r="2431" spans="1:28" x14ac:dyDescent="0.25">
      <c r="A2431" t="s">
        <v>2435</v>
      </c>
      <c r="B2431">
        <v>0.99999676499088797</v>
      </c>
      <c r="C2431">
        <v>0.96866722141361195</v>
      </c>
      <c r="D2431">
        <v>0.89940585529320904</v>
      </c>
      <c r="E2431">
        <v>0.87164752787243904</v>
      </c>
      <c r="F2431">
        <v>0.58947037934211299</v>
      </c>
      <c r="G2431">
        <v>0.385506191397544</v>
      </c>
      <c r="H2431">
        <v>0.209273508921864</v>
      </c>
      <c r="I2431">
        <v>0.195051042510965</v>
      </c>
      <c r="J2431">
        <v>0.13658749003201301</v>
      </c>
      <c r="K2431">
        <v>0.15244673515520901</v>
      </c>
      <c r="L2431">
        <v>917.04452286784397</v>
      </c>
      <c r="M2431">
        <v>17.046240581208401</v>
      </c>
      <c r="N2431">
        <v>54.703646316353399</v>
      </c>
      <c r="O2431">
        <v>53.073450586526</v>
      </c>
      <c r="P2431">
        <v>-7.0423080117732198E-2</v>
      </c>
      <c r="Q2431">
        <v>0.12300489168114299</v>
      </c>
      <c r="R2431">
        <v>0.994704267413277</v>
      </c>
      <c r="S2431" t="s">
        <v>9434</v>
      </c>
      <c r="T2431" t="s">
        <v>14004</v>
      </c>
      <c r="U2431" t="s">
        <v>14004</v>
      </c>
      <c r="V2431" t="s">
        <v>14004</v>
      </c>
      <c r="W2431" t="s">
        <v>16396</v>
      </c>
      <c r="X2431">
        <v>4</v>
      </c>
      <c r="Y2431" t="s">
        <v>23290</v>
      </c>
      <c r="Z2431" t="s">
        <v>30141</v>
      </c>
      <c r="AA2431">
        <v>0.54163639588206314</v>
      </c>
      <c r="AB2431" t="str">
        <f>HYPERLINK("Melting_Curves/meltCurve_P25686_DNAJB2.pdf", "Melting_Curves/meltCurve_P25686_DNAJB2.pdf")</f>
        <v>Melting_Curves/meltCurve_P25686_DNAJB2.pdf</v>
      </c>
    </row>
    <row r="2432" spans="1:28" x14ac:dyDescent="0.25">
      <c r="A2432" t="s">
        <v>2436</v>
      </c>
      <c r="B2432">
        <v>0.99999676499088797</v>
      </c>
      <c r="C2432">
        <v>1.0366216298902799</v>
      </c>
      <c r="D2432">
        <v>1.11839625152179</v>
      </c>
      <c r="E2432">
        <v>1.1265769545686599</v>
      </c>
      <c r="F2432">
        <v>1.1237572913827201</v>
      </c>
      <c r="G2432">
        <v>1.1523593630781701</v>
      </c>
      <c r="H2432">
        <v>0.74425667775996895</v>
      </c>
      <c r="I2432">
        <v>0.43903496248288798</v>
      </c>
      <c r="J2432">
        <v>0.13772010280705099</v>
      </c>
      <c r="K2432">
        <v>0.11571247097886</v>
      </c>
      <c r="L2432">
        <v>2328.04030500607</v>
      </c>
      <c r="M2432">
        <v>37.009685965686899</v>
      </c>
      <c r="N2432">
        <v>63.217522878430103</v>
      </c>
      <c r="O2432">
        <v>62.720744844680297</v>
      </c>
      <c r="P2432">
        <v>-0.13513325793654299</v>
      </c>
      <c r="Q2432">
        <v>8.3955158825097395E-2</v>
      </c>
      <c r="R2432">
        <v>0.94841960395831004</v>
      </c>
      <c r="S2432" t="s">
        <v>9435</v>
      </c>
      <c r="T2432" t="s">
        <v>14004</v>
      </c>
      <c r="U2432" t="s">
        <v>14004</v>
      </c>
      <c r="V2432" t="s">
        <v>14004</v>
      </c>
      <c r="W2432" t="s">
        <v>16397</v>
      </c>
      <c r="X2432">
        <v>51</v>
      </c>
      <c r="Y2432" t="s">
        <v>23291</v>
      </c>
      <c r="Z2432" t="s">
        <v>30142</v>
      </c>
      <c r="AA2432">
        <v>0.78638129557403991</v>
      </c>
      <c r="AB2432" t="str">
        <f>HYPERLINK("Melting_Curves/meltCurve_P25705_ATP5A1.pdf", "Melting_Curves/meltCurve_P25705_ATP5A1.pdf")</f>
        <v>Melting_Curves/meltCurve_P25705_ATP5A1.pdf</v>
      </c>
    </row>
    <row r="2433" spans="1:28" x14ac:dyDescent="0.25">
      <c r="A2433" t="s">
        <v>2437</v>
      </c>
      <c r="B2433">
        <v>0.99999676499088797</v>
      </c>
      <c r="C2433">
        <v>1.10945742029706</v>
      </c>
      <c r="D2433">
        <v>1.1875955577322399</v>
      </c>
      <c r="E2433">
        <v>0.891518120618633</v>
      </c>
      <c r="F2433">
        <v>1.1408771654652401</v>
      </c>
      <c r="G2433">
        <v>1.3396488813559999</v>
      </c>
      <c r="H2433">
        <v>1.04825151236199</v>
      </c>
      <c r="I2433">
        <v>0.80314873942552201</v>
      </c>
      <c r="J2433">
        <v>0.36764168656665502</v>
      </c>
      <c r="K2433">
        <v>0.303066015539459</v>
      </c>
      <c r="L2433">
        <v>4753.3958768150296</v>
      </c>
      <c r="M2433">
        <v>73.312359289780304</v>
      </c>
      <c r="N2433">
        <v>65.686207573031894</v>
      </c>
      <c r="O2433">
        <v>64.789383728100802</v>
      </c>
      <c r="P2433">
        <v>-0.196301454050654</v>
      </c>
      <c r="Q2433">
        <v>0.306078908989246</v>
      </c>
      <c r="R2433">
        <v>0.81320322368104203</v>
      </c>
      <c r="S2433" t="s">
        <v>9436</v>
      </c>
      <c r="T2433" t="s">
        <v>14004</v>
      </c>
      <c r="U2433" t="s">
        <v>14004</v>
      </c>
      <c r="V2433" t="s">
        <v>14004</v>
      </c>
      <c r="W2433" t="s">
        <v>16398</v>
      </c>
      <c r="X2433">
        <v>51</v>
      </c>
      <c r="Y2433" t="s">
        <v>23291</v>
      </c>
      <c r="Z2433" t="s">
        <v>30143</v>
      </c>
      <c r="AA2433">
        <v>0.88139990714122085</v>
      </c>
      <c r="AB2433" t="str">
        <f>HYPERLINK("Melting_Curves/meltCurve_P25705_2_ATP5A1.pdf", "Melting_Curves/meltCurve_P25705_2_ATP5A1.pdf")</f>
        <v>Melting_Curves/meltCurve_P25705_2_ATP5A1.pdf</v>
      </c>
    </row>
    <row r="2434" spans="1:28" x14ac:dyDescent="0.25">
      <c r="A2434" t="s">
        <v>2438</v>
      </c>
      <c r="B2434">
        <v>0.99999676499088797</v>
      </c>
      <c r="C2434">
        <v>1.0594954540767001</v>
      </c>
      <c r="D2434">
        <v>1.01034229505536</v>
      </c>
      <c r="E2434">
        <v>0.78539388465084103</v>
      </c>
      <c r="F2434">
        <v>0.69460743469906405</v>
      </c>
      <c r="G2434">
        <v>0.43065299743327001</v>
      </c>
      <c r="H2434">
        <v>0.27871374132440202</v>
      </c>
      <c r="I2434">
        <v>0.122716652523126</v>
      </c>
      <c r="J2434">
        <v>7.0368779387189606E-2</v>
      </c>
      <c r="K2434">
        <v>0.13752804645083899</v>
      </c>
      <c r="L2434">
        <v>835.48230435734001</v>
      </c>
      <c r="M2434">
        <v>15.0912658699578</v>
      </c>
      <c r="N2434">
        <v>55.7505737264432</v>
      </c>
      <c r="O2434">
        <v>54.417167921999201</v>
      </c>
      <c r="P2434">
        <v>-6.5876684556650994E-2</v>
      </c>
      <c r="Q2434">
        <v>4.9922248910263298E-2</v>
      </c>
      <c r="R2434">
        <v>0.98531791919699097</v>
      </c>
      <c r="S2434" t="s">
        <v>9437</v>
      </c>
      <c r="T2434" t="s">
        <v>14004</v>
      </c>
      <c r="U2434" t="s">
        <v>14004</v>
      </c>
      <c r="V2434" t="s">
        <v>14004</v>
      </c>
      <c r="W2434" t="s">
        <v>16399</v>
      </c>
      <c r="X2434">
        <v>1</v>
      </c>
      <c r="Y2434" t="s">
        <v>23292</v>
      </c>
      <c r="Z2434" t="s">
        <v>30144</v>
      </c>
      <c r="AA2434">
        <v>0.55414468430627228</v>
      </c>
      <c r="AB2434" t="str">
        <f>HYPERLINK("Melting_Curves/meltCurve_P25774_2_CTSS.pdf", "Melting_Curves/meltCurve_P25774_2_CTSS.pdf")</f>
        <v>Melting_Curves/meltCurve_P25774_2_CTSS.pdf</v>
      </c>
    </row>
    <row r="2435" spans="1:28" x14ac:dyDescent="0.25">
      <c r="A2435" t="s">
        <v>2439</v>
      </c>
      <c r="B2435">
        <v>0.99999676499088797</v>
      </c>
      <c r="C2435">
        <v>1.0492506547118099</v>
      </c>
      <c r="D2435">
        <v>1.0678100356570499</v>
      </c>
      <c r="E2435">
        <v>1.1356667753917999</v>
      </c>
      <c r="F2435">
        <v>1.1771018982194601</v>
      </c>
      <c r="G2435">
        <v>1.2463642052728801</v>
      </c>
      <c r="H2435">
        <v>0.79476557085019095</v>
      </c>
      <c r="I2435">
        <v>0.646916183334733</v>
      </c>
      <c r="J2435">
        <v>0.43005202749747301</v>
      </c>
      <c r="K2435">
        <v>0.36656739242431002</v>
      </c>
      <c r="L2435">
        <v>2220.0288153358101</v>
      </c>
      <c r="M2435">
        <v>35.088460305851399</v>
      </c>
      <c r="N2435">
        <v>65.5723919049438</v>
      </c>
      <c r="O2435">
        <v>63.065045130171903</v>
      </c>
      <c r="P2435">
        <v>-8.9830052319268799E-2</v>
      </c>
      <c r="Q2435">
        <v>0.35419043467508698</v>
      </c>
      <c r="R2435">
        <v>0.85289061199451299</v>
      </c>
      <c r="S2435" t="s">
        <v>9438</v>
      </c>
      <c r="T2435" t="s">
        <v>14004</v>
      </c>
      <c r="U2435" t="s">
        <v>14004</v>
      </c>
      <c r="V2435" t="s">
        <v>14004</v>
      </c>
      <c r="W2435" t="s">
        <v>16400</v>
      </c>
      <c r="X2435">
        <v>26</v>
      </c>
      <c r="Y2435" t="s">
        <v>23293</v>
      </c>
      <c r="Z2435" t="s">
        <v>30145</v>
      </c>
      <c r="AA2435">
        <v>0.8570801076390292</v>
      </c>
      <c r="AB2435" t="str">
        <f>HYPERLINK("Melting_Curves/meltCurve_P25786_PSMA1.pdf", "Melting_Curves/meltCurve_P25786_PSMA1.pdf")</f>
        <v>Melting_Curves/meltCurve_P25786_PSMA1.pdf</v>
      </c>
    </row>
    <row r="2436" spans="1:28" x14ac:dyDescent="0.25">
      <c r="A2436" t="s">
        <v>2440</v>
      </c>
      <c r="B2436">
        <v>0.99999676499088797</v>
      </c>
      <c r="C2436">
        <v>1.0393658439600999</v>
      </c>
      <c r="D2436">
        <v>1.05692320526829</v>
      </c>
      <c r="E2436">
        <v>1.27147202358569</v>
      </c>
      <c r="F2436">
        <v>1.2752709561723501</v>
      </c>
      <c r="G2436">
        <v>1.31548230243586</v>
      </c>
      <c r="H2436">
        <v>0.87615354842783599</v>
      </c>
      <c r="I2436">
        <v>0.68916043769419</v>
      </c>
      <c r="J2436">
        <v>0.41780932646091301</v>
      </c>
      <c r="K2436">
        <v>0.330402985360924</v>
      </c>
      <c r="L2436">
        <v>2513.2216020906999</v>
      </c>
      <c r="M2436">
        <v>39.1302486688991</v>
      </c>
      <c r="N2436">
        <v>65.829910978064603</v>
      </c>
      <c r="O2436">
        <v>64.060021693820701</v>
      </c>
      <c r="P2436">
        <v>-0.105803410614496</v>
      </c>
      <c r="Q2436">
        <v>0.307159684476291</v>
      </c>
      <c r="R2436">
        <v>0.76391204223952003</v>
      </c>
      <c r="S2436" t="s">
        <v>9439</v>
      </c>
      <c r="T2436" t="s">
        <v>14004</v>
      </c>
      <c r="U2436" t="s">
        <v>14004</v>
      </c>
      <c r="V2436" t="s">
        <v>14004</v>
      </c>
      <c r="W2436" t="s">
        <v>16401</v>
      </c>
      <c r="X2436">
        <v>15</v>
      </c>
      <c r="Y2436" t="s">
        <v>23294</v>
      </c>
      <c r="Z2436" t="s">
        <v>30146</v>
      </c>
      <c r="AA2436">
        <v>0.86803290354618268</v>
      </c>
      <c r="AB2436" t="str">
        <f>HYPERLINK("Melting_Curves/meltCurve_P25787_PSMA2.pdf", "Melting_Curves/meltCurve_P25787_PSMA2.pdf")</f>
        <v>Melting_Curves/meltCurve_P25787_PSMA2.pdf</v>
      </c>
    </row>
    <row r="2437" spans="1:28" x14ac:dyDescent="0.25">
      <c r="A2437" t="s">
        <v>2441</v>
      </c>
      <c r="B2437">
        <v>0.99999676499088797</v>
      </c>
      <c r="C2437">
        <v>1.0420739603662801</v>
      </c>
      <c r="D2437">
        <v>1.0658032623027101</v>
      </c>
      <c r="E2437">
        <v>1.1189726751623099</v>
      </c>
      <c r="F2437">
        <v>1.1386923850552899</v>
      </c>
      <c r="G2437">
        <v>1.27188626028207</v>
      </c>
      <c r="H2437">
        <v>0.85360868658936295</v>
      </c>
      <c r="I2437">
        <v>0.62138866790271297</v>
      </c>
      <c r="J2437">
        <v>0.45725767298594</v>
      </c>
      <c r="K2437">
        <v>0.45054191643842401</v>
      </c>
      <c r="L2437">
        <v>2889.7048846553998</v>
      </c>
      <c r="M2437">
        <v>46.0956227797178</v>
      </c>
      <c r="N2437">
        <v>65.821984005256198</v>
      </c>
      <c r="O2437">
        <v>62.5717161764656</v>
      </c>
      <c r="P2437">
        <v>-0.102352634412034</v>
      </c>
      <c r="Q2437">
        <v>0.44425336171831098</v>
      </c>
      <c r="R2437">
        <v>0.84825292133827002</v>
      </c>
      <c r="S2437" t="s">
        <v>9440</v>
      </c>
      <c r="T2437" t="s">
        <v>14004</v>
      </c>
      <c r="U2437" t="s">
        <v>14004</v>
      </c>
      <c r="V2437" t="s">
        <v>14004</v>
      </c>
      <c r="W2437" t="s">
        <v>16402</v>
      </c>
      <c r="X2437">
        <v>24</v>
      </c>
      <c r="Y2437" t="s">
        <v>23295</v>
      </c>
      <c r="Z2437" t="s">
        <v>30147</v>
      </c>
      <c r="AA2437">
        <v>0.86611389788568138</v>
      </c>
      <c r="AB2437" t="str">
        <f>HYPERLINK("Melting_Curves/meltCurve_P25788_2_PSMA3.pdf", "Melting_Curves/meltCurve_P25788_2_PSMA3.pdf")</f>
        <v>Melting_Curves/meltCurve_P25788_2_PSMA3.pdf</v>
      </c>
    </row>
    <row r="2438" spans="1:28" x14ac:dyDescent="0.25">
      <c r="A2438" t="s">
        <v>2442</v>
      </c>
      <c r="B2438">
        <v>0.99999676499088797</v>
      </c>
      <c r="C2438">
        <v>1.0324029616841801</v>
      </c>
      <c r="D2438">
        <v>1.1326777453182899</v>
      </c>
      <c r="E2438">
        <v>1.4915420640741599</v>
      </c>
      <c r="F2438">
        <v>1.51176048875755</v>
      </c>
      <c r="G2438">
        <v>1.82153500883777</v>
      </c>
      <c r="H2438">
        <v>1.3637604181843801</v>
      </c>
      <c r="I2438">
        <v>0.92832421393228404</v>
      </c>
      <c r="J2438">
        <v>0.58190118417415904</v>
      </c>
      <c r="K2438">
        <v>0.57690433534792196</v>
      </c>
      <c r="L2438">
        <v>15000</v>
      </c>
      <c r="M2438">
        <v>232.792179581852</v>
      </c>
      <c r="O2438">
        <v>64.430396105946897</v>
      </c>
      <c r="P2438">
        <v>-0.37993147482114697</v>
      </c>
      <c r="Q2438">
        <v>0.57938215216906497</v>
      </c>
      <c r="R2438">
        <v>0.102210031313013</v>
      </c>
      <c r="S2438" t="s">
        <v>9441</v>
      </c>
      <c r="T2438" t="s">
        <v>14004</v>
      </c>
      <c r="U2438" t="s">
        <v>14004</v>
      </c>
      <c r="V2438" t="s">
        <v>14004</v>
      </c>
      <c r="W2438" t="s">
        <v>16403</v>
      </c>
      <c r="X2438">
        <v>17</v>
      </c>
      <c r="Y2438" t="s">
        <v>23296</v>
      </c>
      <c r="Z2438" t="s">
        <v>30148</v>
      </c>
      <c r="AA2438">
        <v>0.92203241012175796</v>
      </c>
      <c r="AB2438" t="str">
        <f>HYPERLINK("Melting_Curves/meltCurve_P25789_PSMA4.pdf", "Melting_Curves/meltCurve_P25789_PSMA4.pdf")</f>
        <v>Melting_Curves/meltCurve_P25789_PSMA4.pdf</v>
      </c>
    </row>
    <row r="2439" spans="1:28" x14ac:dyDescent="0.25">
      <c r="A2439" t="s">
        <v>2443</v>
      </c>
      <c r="B2439">
        <v>0.99999676499088797</v>
      </c>
      <c r="C2439">
        <v>0.64472007458063396</v>
      </c>
      <c r="D2439">
        <v>0.89121652188916001</v>
      </c>
      <c r="E2439">
        <v>1.03647137776062</v>
      </c>
      <c r="F2439">
        <v>2.051145080006</v>
      </c>
      <c r="G2439">
        <v>0.56274716074844899</v>
      </c>
      <c r="H2439">
        <v>0.26701568116398799</v>
      </c>
      <c r="I2439">
        <v>9.4477137529180605E-2</v>
      </c>
      <c r="J2439">
        <v>0.15031764277725601</v>
      </c>
      <c r="K2439">
        <v>0.19031730093937399</v>
      </c>
      <c r="L2439">
        <v>14193.097117712899</v>
      </c>
      <c r="M2439">
        <v>250</v>
      </c>
      <c r="N2439">
        <v>56.870756646323201</v>
      </c>
      <c r="O2439">
        <v>56.76875609431</v>
      </c>
      <c r="P2439">
        <v>-0.90770452359596698</v>
      </c>
      <c r="Q2439">
        <v>0.17553190354536499</v>
      </c>
      <c r="R2439">
        <v>0.606478182846796</v>
      </c>
      <c r="S2439" t="s">
        <v>9442</v>
      </c>
      <c r="T2439" t="s">
        <v>14004</v>
      </c>
      <c r="U2439" t="s">
        <v>14004</v>
      </c>
      <c r="V2439" t="s">
        <v>14004</v>
      </c>
      <c r="W2439" t="s">
        <v>16404</v>
      </c>
      <c r="X2439">
        <v>1</v>
      </c>
      <c r="Y2439" t="s">
        <v>23297</v>
      </c>
      <c r="Z2439" t="s">
        <v>30149</v>
      </c>
      <c r="AA2439">
        <v>0.63655735566103566</v>
      </c>
      <c r="AB2439" t="str">
        <f>HYPERLINK("Melting_Curves/meltCurve_P25815_S100P.pdf", "Melting_Curves/meltCurve_P25815_S100P.pdf")</f>
        <v>Melting_Curves/meltCurve_P25815_S100P.pdf</v>
      </c>
    </row>
    <row r="2440" spans="1:28" x14ac:dyDescent="0.25">
      <c r="A2440" t="s">
        <v>2444</v>
      </c>
      <c r="B2440">
        <v>0.99999676499088797</v>
      </c>
      <c r="C2440">
        <v>1.1579738223359699</v>
      </c>
      <c r="D2440">
        <v>1.1245087564427201</v>
      </c>
      <c r="E2440">
        <v>0.81790564784375996</v>
      </c>
      <c r="F2440">
        <v>0.67261932260635204</v>
      </c>
      <c r="G2440">
        <v>0.55776178474340699</v>
      </c>
      <c r="H2440">
        <v>0.33386096499455198</v>
      </c>
      <c r="I2440">
        <v>0.32085909607208701</v>
      </c>
      <c r="J2440">
        <v>0.33604298541112798</v>
      </c>
      <c r="K2440">
        <v>0.19600427801619999</v>
      </c>
      <c r="L2440">
        <v>932.70040621292105</v>
      </c>
      <c r="M2440">
        <v>17.067262069083501</v>
      </c>
      <c r="N2440">
        <v>56.916121121710098</v>
      </c>
      <c r="O2440">
        <v>53.9148127783535</v>
      </c>
      <c r="P2440">
        <v>-5.9620781475788198E-2</v>
      </c>
      <c r="Q2440">
        <v>0.24668699352543599</v>
      </c>
      <c r="R2440">
        <v>0.94046323272450305</v>
      </c>
      <c r="S2440" t="s">
        <v>9443</v>
      </c>
      <c r="T2440" t="s">
        <v>14004</v>
      </c>
      <c r="U2440" t="s">
        <v>14004</v>
      </c>
      <c r="V2440" t="s">
        <v>14004</v>
      </c>
      <c r="W2440" t="s">
        <v>16405</v>
      </c>
      <c r="X2440">
        <v>1</v>
      </c>
      <c r="Y2440" t="s">
        <v>23298</v>
      </c>
      <c r="Z2440" t="s">
        <v>30150</v>
      </c>
      <c r="AA2440">
        <v>0.62721442969711172</v>
      </c>
      <c r="AB2440" t="str">
        <f>HYPERLINK("Melting_Curves/meltCurve_P26006_ITGA3.pdf", "Melting_Curves/meltCurve_P26006_ITGA3.pdf")</f>
        <v>Melting_Curves/meltCurve_P26006_ITGA3.pdf</v>
      </c>
    </row>
    <row r="2441" spans="1:28" x14ac:dyDescent="0.25">
      <c r="A2441" t="s">
        <v>2445</v>
      </c>
      <c r="B2441">
        <v>0.99999676499088797</v>
      </c>
      <c r="C2441">
        <v>0.86138394923555694</v>
      </c>
      <c r="D2441">
        <v>0.98380863227086701</v>
      </c>
      <c r="E2441">
        <v>0.86734292806605595</v>
      </c>
      <c r="F2441">
        <v>0.199091214508993</v>
      </c>
      <c r="G2441">
        <v>0.137964191761208</v>
      </c>
      <c r="H2441">
        <v>5.7083789856915201E-2</v>
      </c>
      <c r="I2441">
        <v>5.7096995302290197E-2</v>
      </c>
      <c r="J2441">
        <v>5.35594109982949E-2</v>
      </c>
      <c r="K2441">
        <v>4.4886519310178397E-2</v>
      </c>
      <c r="L2441">
        <v>2560.3245176649998</v>
      </c>
      <c r="M2441">
        <v>49.860739564192301</v>
      </c>
      <c r="N2441">
        <v>51.498432539118198</v>
      </c>
      <c r="O2441">
        <v>51.267111123562799</v>
      </c>
      <c r="P2441">
        <v>-0.22681855250379601</v>
      </c>
      <c r="Q2441">
        <v>6.7136016551778005E-2</v>
      </c>
      <c r="R2441">
        <v>0.98581533433352198</v>
      </c>
      <c r="S2441" t="s">
        <v>9444</v>
      </c>
      <c r="T2441" t="s">
        <v>14004</v>
      </c>
      <c r="U2441" t="s">
        <v>14004</v>
      </c>
      <c r="V2441" t="s">
        <v>14004</v>
      </c>
      <c r="W2441" t="s">
        <v>16406</v>
      </c>
      <c r="X2441">
        <v>82</v>
      </c>
      <c r="Y2441" t="s">
        <v>23299</v>
      </c>
      <c r="Z2441" t="s">
        <v>30151</v>
      </c>
      <c r="AA2441">
        <v>0.42217907951331213</v>
      </c>
      <c r="AB2441" t="str">
        <f>HYPERLINK("Melting_Curves/meltCurve_P26038_MSN.pdf", "Melting_Curves/meltCurve_P26038_MSN.pdf")</f>
        <v>Melting_Curves/meltCurve_P26038_MSN.pdf</v>
      </c>
    </row>
    <row r="2442" spans="1:28" x14ac:dyDescent="0.25">
      <c r="A2442" t="s">
        <v>2446</v>
      </c>
      <c r="B2442">
        <v>0.99999676499088797</v>
      </c>
      <c r="C2442">
        <v>0.93186806578688997</v>
      </c>
      <c r="D2442">
        <v>0.89999217594808401</v>
      </c>
      <c r="E2442">
        <v>0.89026425779368801</v>
      </c>
      <c r="F2442">
        <v>0.40242694763946102</v>
      </c>
      <c r="G2442">
        <v>0.15239213091601</v>
      </c>
      <c r="H2442">
        <v>7.1455656835074502E-2</v>
      </c>
      <c r="I2442">
        <v>6.9754083667448993E-2</v>
      </c>
      <c r="J2442">
        <v>6.65804798467E-2</v>
      </c>
      <c r="K2442">
        <v>6.1598647601054803E-2</v>
      </c>
      <c r="L2442">
        <v>1667.1533617529601</v>
      </c>
      <c r="M2442">
        <v>31.847184030485501</v>
      </c>
      <c r="N2442">
        <v>52.581202787429497</v>
      </c>
      <c r="O2442">
        <v>52.1434271778717</v>
      </c>
      <c r="P2442">
        <v>-0.14265597551110001</v>
      </c>
      <c r="Q2442">
        <v>6.5721714525437805E-2</v>
      </c>
      <c r="R2442">
        <v>0.99154740485184201</v>
      </c>
      <c r="S2442" t="s">
        <v>9445</v>
      </c>
      <c r="T2442" t="s">
        <v>14004</v>
      </c>
      <c r="U2442" t="s">
        <v>14004</v>
      </c>
      <c r="V2442" t="s">
        <v>14004</v>
      </c>
      <c r="W2442" t="s">
        <v>16407</v>
      </c>
      <c r="X2442">
        <v>23</v>
      </c>
      <c r="Y2442" t="s">
        <v>23300</v>
      </c>
      <c r="Z2442" t="s">
        <v>30152</v>
      </c>
      <c r="AA2442">
        <v>0.45561858144917061</v>
      </c>
      <c r="AB2442" t="str">
        <f>HYPERLINK("Melting_Curves/meltCurve_P26196_DDX6.pdf", "Melting_Curves/meltCurve_P26196_DDX6.pdf")</f>
        <v>Melting_Curves/meltCurve_P26196_DDX6.pdf</v>
      </c>
    </row>
    <row r="2443" spans="1:28" x14ac:dyDescent="0.25">
      <c r="A2443" t="s">
        <v>2447</v>
      </c>
      <c r="B2443">
        <v>0.99999676499088797</v>
      </c>
      <c r="C2443">
        <v>1.04165648787405</v>
      </c>
      <c r="D2443">
        <v>1.0317758569456801</v>
      </c>
      <c r="E2443">
        <v>0.94752312332459798</v>
      </c>
      <c r="F2443">
        <v>0.399640103317492</v>
      </c>
      <c r="G2443">
        <v>0.195177964223296</v>
      </c>
      <c r="H2443">
        <v>9.2142594089861099E-2</v>
      </c>
      <c r="I2443">
        <v>9.8730636960449702E-2</v>
      </c>
      <c r="J2443">
        <v>0.103143231476088</v>
      </c>
      <c r="K2443">
        <v>8.4645803068825007E-2</v>
      </c>
      <c r="L2443">
        <v>2255.6660182678202</v>
      </c>
      <c r="M2443">
        <v>43.0391025206428</v>
      </c>
      <c r="N2443">
        <v>52.7013193197823</v>
      </c>
      <c r="O2443">
        <v>52.2969111776004</v>
      </c>
      <c r="P2443">
        <v>-0.183943070555661</v>
      </c>
      <c r="Q2443">
        <v>0.105962627722783</v>
      </c>
      <c r="R2443">
        <v>0.99570706533819697</v>
      </c>
      <c r="S2443" t="s">
        <v>9446</v>
      </c>
      <c r="T2443" t="s">
        <v>14004</v>
      </c>
      <c r="U2443" t="s">
        <v>14004</v>
      </c>
      <c r="V2443" t="s">
        <v>14004</v>
      </c>
      <c r="W2443" t="s">
        <v>16408</v>
      </c>
      <c r="X2443">
        <v>79</v>
      </c>
      <c r="Y2443" t="s">
        <v>21600</v>
      </c>
      <c r="Z2443" t="s">
        <v>30153</v>
      </c>
      <c r="AA2443">
        <v>0.47858048803831832</v>
      </c>
      <c r="AB2443" t="str">
        <f>HYPERLINK("Melting_Curves/meltCurve_P26358_DNMT1.pdf", "Melting_Curves/meltCurve_P26358_DNMT1.pdf")</f>
        <v>Melting_Curves/meltCurve_P26358_DNMT1.pdf</v>
      </c>
    </row>
    <row r="2444" spans="1:28" x14ac:dyDescent="0.25">
      <c r="A2444" t="s">
        <v>2448</v>
      </c>
      <c r="B2444">
        <v>0.99999676499088797</v>
      </c>
      <c r="C2444">
        <v>0.95050653564077503</v>
      </c>
      <c r="D2444">
        <v>0.94616537834991499</v>
      </c>
      <c r="E2444">
        <v>0.81992882320439398</v>
      </c>
      <c r="F2444">
        <v>0.32278607055809599</v>
      </c>
      <c r="G2444">
        <v>0.24223083608107801</v>
      </c>
      <c r="H2444">
        <v>9.6301465654093504E-2</v>
      </c>
      <c r="I2444">
        <v>9.9442777442527899E-2</v>
      </c>
      <c r="J2444">
        <v>8.0140103124916706E-2</v>
      </c>
      <c r="K2444">
        <v>6.0589880324560301E-2</v>
      </c>
      <c r="L2444">
        <v>1412.12789658001</v>
      </c>
      <c r="M2444">
        <v>27.3174728569461</v>
      </c>
      <c r="N2444">
        <v>52.071018419786398</v>
      </c>
      <c r="O2444">
        <v>51.418576902012198</v>
      </c>
      <c r="P2444">
        <v>-0.12087990313728</v>
      </c>
      <c r="Q2444">
        <v>8.9899150017014096E-2</v>
      </c>
      <c r="R2444">
        <v>0.99037592443025602</v>
      </c>
      <c r="S2444" t="s">
        <v>9447</v>
      </c>
      <c r="T2444" t="s">
        <v>14004</v>
      </c>
      <c r="U2444" t="s">
        <v>14004</v>
      </c>
      <c r="V2444" t="s">
        <v>14004</v>
      </c>
      <c r="W2444" t="s">
        <v>16409</v>
      </c>
      <c r="X2444">
        <v>14</v>
      </c>
      <c r="Y2444" t="s">
        <v>23301</v>
      </c>
      <c r="Z2444" t="s">
        <v>30154</v>
      </c>
      <c r="AA2444">
        <v>0.45159811067867472</v>
      </c>
      <c r="AB2444" t="str">
        <f>HYPERLINK("Melting_Curves/meltCurve_P26368_2_U2AF2.pdf", "Melting_Curves/meltCurve_P26368_2_U2AF2.pdf")</f>
        <v>Melting_Curves/meltCurve_P26368_2_U2AF2.pdf</v>
      </c>
    </row>
    <row r="2445" spans="1:28" x14ac:dyDescent="0.25">
      <c r="A2445" t="s">
        <v>2449</v>
      </c>
      <c r="B2445">
        <v>0.99999676499088797</v>
      </c>
      <c r="C2445">
        <v>1.01356441305346</v>
      </c>
      <c r="D2445">
        <v>1.0528089758627901</v>
      </c>
      <c r="E2445">
        <v>0.87119083815198795</v>
      </c>
      <c r="F2445">
        <v>0.77229607728695904</v>
      </c>
      <c r="G2445">
        <v>0.60258390465709</v>
      </c>
      <c r="H2445">
        <v>0.22117558922508301</v>
      </c>
      <c r="I2445">
        <v>0.25245566043665901</v>
      </c>
      <c r="J2445">
        <v>0.28195537783228097</v>
      </c>
      <c r="K2445">
        <v>0.21094500600938301</v>
      </c>
      <c r="L2445">
        <v>1147.26340627472</v>
      </c>
      <c r="M2445">
        <v>20.5729794912667</v>
      </c>
      <c r="N2445">
        <v>57.201059609877703</v>
      </c>
      <c r="O2445">
        <v>55.246671725838603</v>
      </c>
      <c r="P2445">
        <v>-7.4326544830032704E-2</v>
      </c>
      <c r="Q2445">
        <v>0.201637319089043</v>
      </c>
      <c r="R2445">
        <v>0.97472970479478205</v>
      </c>
      <c r="S2445" t="s">
        <v>9448</v>
      </c>
      <c r="T2445" t="s">
        <v>14004</v>
      </c>
      <c r="U2445" t="s">
        <v>14004</v>
      </c>
      <c r="V2445" t="s">
        <v>14004</v>
      </c>
      <c r="W2445" t="s">
        <v>16410</v>
      </c>
      <c r="X2445">
        <v>10</v>
      </c>
      <c r="Y2445" t="s">
        <v>23302</v>
      </c>
      <c r="Z2445" t="s">
        <v>30155</v>
      </c>
      <c r="AA2445">
        <v>0.63116313786670475</v>
      </c>
      <c r="AB2445" t="str">
        <f>HYPERLINK("Melting_Curves/meltCurve_P26373_RPL13.pdf", "Melting_Curves/meltCurve_P26373_RPL13.pdf")</f>
        <v>Melting_Curves/meltCurve_P26373_RPL13.pdf</v>
      </c>
    </row>
    <row r="2446" spans="1:28" x14ac:dyDescent="0.25">
      <c r="A2446" t="s">
        <v>2450</v>
      </c>
      <c r="B2446">
        <v>0.99999676499088797</v>
      </c>
      <c r="C2446">
        <v>0.97559305342410696</v>
      </c>
      <c r="D2446">
        <v>1.01816892072306</v>
      </c>
      <c r="E2446">
        <v>1.0124857185776901</v>
      </c>
      <c r="F2446">
        <v>0.91559162529791904</v>
      </c>
      <c r="G2446">
        <v>0.46190570063908398</v>
      </c>
      <c r="H2446">
        <v>0.192691130549904</v>
      </c>
      <c r="I2446">
        <v>0.14191435819933701</v>
      </c>
      <c r="J2446">
        <v>0.13891882215729501</v>
      </c>
      <c r="K2446">
        <v>0.108056796677015</v>
      </c>
      <c r="L2446">
        <v>2177.2339365237399</v>
      </c>
      <c r="M2446">
        <v>38.784823501886599</v>
      </c>
      <c r="N2446">
        <v>56.581147942102803</v>
      </c>
      <c r="O2446">
        <v>55.9876211043117</v>
      </c>
      <c r="P2446">
        <v>-0.15042379701584399</v>
      </c>
      <c r="Q2446">
        <v>0.131428234132109</v>
      </c>
      <c r="R2446">
        <v>0.99854700934537799</v>
      </c>
      <c r="S2446" t="s">
        <v>9449</v>
      </c>
      <c r="T2446" t="s">
        <v>14004</v>
      </c>
      <c r="U2446" t="s">
        <v>14004</v>
      </c>
      <c r="V2446" t="s">
        <v>14004</v>
      </c>
      <c r="W2446" t="s">
        <v>16411</v>
      </c>
      <c r="X2446">
        <v>6</v>
      </c>
      <c r="Y2446" t="s">
        <v>23303</v>
      </c>
      <c r="Z2446" t="s">
        <v>30156</v>
      </c>
      <c r="AA2446">
        <v>0.60216650951414907</v>
      </c>
      <c r="AB2446" t="str">
        <f>HYPERLINK("Melting_Curves/meltCurve_P26374_CHML.pdf", "Melting_Curves/meltCurve_P26374_CHML.pdf")</f>
        <v>Melting_Curves/meltCurve_P26374_CHML.pdf</v>
      </c>
    </row>
    <row r="2447" spans="1:28" x14ac:dyDescent="0.25">
      <c r="A2447" t="s">
        <v>2451</v>
      </c>
      <c r="B2447">
        <v>0.99999676499088797</v>
      </c>
      <c r="C2447">
        <v>0.95498313244845201</v>
      </c>
      <c r="D2447">
        <v>0.96160973456223597</v>
      </c>
      <c r="E2447">
        <v>1.0117451659671599</v>
      </c>
      <c r="F2447">
        <v>0.60673854560938301</v>
      </c>
      <c r="G2447">
        <v>0.41716140907364202</v>
      </c>
      <c r="H2447">
        <v>0.238843763211985</v>
      </c>
      <c r="I2447">
        <v>0.129573814923818</v>
      </c>
      <c r="J2447">
        <v>9.0306446450826999E-2</v>
      </c>
      <c r="K2447">
        <v>6.8682774868299795E-2</v>
      </c>
      <c r="L2447">
        <v>1063.96514669781</v>
      </c>
      <c r="M2447">
        <v>19.330446191890601</v>
      </c>
      <c r="N2447">
        <v>55.488512893727503</v>
      </c>
      <c r="O2447">
        <v>54.462001470322498</v>
      </c>
      <c r="P2447">
        <v>-8.2330824473794695E-2</v>
      </c>
      <c r="Q2447">
        <v>7.2192236039958002E-2</v>
      </c>
      <c r="R2447">
        <v>0.98468291742310698</v>
      </c>
      <c r="S2447" t="s">
        <v>9450</v>
      </c>
      <c r="T2447" t="s">
        <v>14004</v>
      </c>
      <c r="U2447" t="s">
        <v>14004</v>
      </c>
      <c r="V2447" t="s">
        <v>14004</v>
      </c>
      <c r="W2447" t="s">
        <v>16412</v>
      </c>
      <c r="X2447">
        <v>16</v>
      </c>
      <c r="Y2447" t="s">
        <v>23304</v>
      </c>
      <c r="Z2447" t="s">
        <v>30157</v>
      </c>
      <c r="AA2447">
        <v>0.55033397168435905</v>
      </c>
      <c r="AB2447" t="str">
        <f>HYPERLINK("Melting_Curves/meltCurve_P26440_IVD.pdf", "Melting_Curves/meltCurve_P26440_IVD.pdf")</f>
        <v>Melting_Curves/meltCurve_P26440_IVD.pdf</v>
      </c>
    </row>
    <row r="2448" spans="1:28" x14ac:dyDescent="0.25">
      <c r="A2448" t="s">
        <v>2452</v>
      </c>
      <c r="B2448">
        <v>0.99999676499088797</v>
      </c>
      <c r="C2448">
        <v>0.87796587206958099</v>
      </c>
      <c r="D2448">
        <v>0.82991317207498905</v>
      </c>
      <c r="E2448">
        <v>0.71665586700480099</v>
      </c>
      <c r="F2448">
        <v>0.57575394093098098</v>
      </c>
      <c r="G2448">
        <v>0.37092327187288998</v>
      </c>
      <c r="H2448">
        <v>0.18320944721042101</v>
      </c>
      <c r="I2448">
        <v>0.15941900820555799</v>
      </c>
      <c r="J2448">
        <v>0.13115888804249101</v>
      </c>
      <c r="K2448">
        <v>0.117943972153782</v>
      </c>
      <c r="L2448">
        <v>550.66626818021302</v>
      </c>
      <c r="M2448">
        <v>10.2416553671329</v>
      </c>
      <c r="N2448">
        <v>53.842670882036103</v>
      </c>
      <c r="O2448">
        <v>51.838381415707097</v>
      </c>
      <c r="P2448">
        <v>-4.9062525638017898E-2</v>
      </c>
      <c r="Q2448">
        <v>7.1162036516162703E-3</v>
      </c>
      <c r="R2448">
        <v>0.99039799985713395</v>
      </c>
      <c r="S2448" t="s">
        <v>9451</v>
      </c>
      <c r="T2448" t="s">
        <v>14004</v>
      </c>
      <c r="U2448" t="s">
        <v>14004</v>
      </c>
      <c r="V2448" t="s">
        <v>14004</v>
      </c>
      <c r="W2448" t="s">
        <v>16413</v>
      </c>
      <c r="X2448">
        <v>3</v>
      </c>
      <c r="Y2448" t="s">
        <v>23305</v>
      </c>
      <c r="Z2448" t="s">
        <v>30158</v>
      </c>
      <c r="AA2448">
        <v>0.49315899438766408</v>
      </c>
      <c r="AB2448" t="str">
        <f>HYPERLINK("Melting_Curves/meltCurve_P26447_S100A4.pdf", "Melting_Curves/meltCurve_P26447_S100A4.pdf")</f>
        <v>Melting_Curves/meltCurve_P26447_S100A4.pdf</v>
      </c>
    </row>
    <row r="2449" spans="1:28" x14ac:dyDescent="0.25">
      <c r="A2449" t="s">
        <v>2453</v>
      </c>
      <c r="B2449">
        <v>0.99999676499088797</v>
      </c>
      <c r="C2449">
        <v>1.0515211658972701</v>
      </c>
      <c r="D2449">
        <v>1.00019381577575</v>
      </c>
      <c r="E2449">
        <v>0.79207808192281304</v>
      </c>
      <c r="F2449">
        <v>0.39881833955999302</v>
      </c>
      <c r="G2449">
        <v>0.28695608511183401</v>
      </c>
      <c r="H2449">
        <v>0.140175199559154</v>
      </c>
      <c r="I2449">
        <v>0.140941372066091</v>
      </c>
      <c r="J2449">
        <v>0.114191752460173</v>
      </c>
      <c r="K2449">
        <v>0.111732182537975</v>
      </c>
      <c r="L2449">
        <v>1273.94606763104</v>
      </c>
      <c r="M2449">
        <v>24.547717048941401</v>
      </c>
      <c r="N2449">
        <v>52.524585640882499</v>
      </c>
      <c r="O2449">
        <v>51.556012663372002</v>
      </c>
      <c r="P2449">
        <v>-0.103900370121945</v>
      </c>
      <c r="Q2449">
        <v>0.127151492337893</v>
      </c>
      <c r="R2449">
        <v>0.99268886738015505</v>
      </c>
      <c r="S2449" t="s">
        <v>9452</v>
      </c>
      <c r="T2449" t="s">
        <v>14004</v>
      </c>
      <c r="U2449" t="s">
        <v>14004</v>
      </c>
      <c r="V2449" t="s">
        <v>14004</v>
      </c>
      <c r="W2449" t="s">
        <v>16414</v>
      </c>
      <c r="X2449">
        <v>4</v>
      </c>
      <c r="Y2449" t="s">
        <v>23306</v>
      </c>
      <c r="Z2449" t="s">
        <v>30159</v>
      </c>
      <c r="AA2449">
        <v>0.48153098144854162</v>
      </c>
      <c r="AB2449" t="str">
        <f>HYPERLINK("Melting_Curves/meltCurve_P26572_MGAT1.pdf", "Melting_Curves/meltCurve_P26572_MGAT1.pdf")</f>
        <v>Melting_Curves/meltCurve_P26572_MGAT1.pdf</v>
      </c>
    </row>
    <row r="2450" spans="1:28" x14ac:dyDescent="0.25">
      <c r="A2450" t="s">
        <v>2454</v>
      </c>
      <c r="B2450">
        <v>0.99999676499088797</v>
      </c>
      <c r="C2450">
        <v>0.95649409649088502</v>
      </c>
      <c r="D2450">
        <v>0.97060436032336705</v>
      </c>
      <c r="E2450">
        <v>0.97243638881581995</v>
      </c>
      <c r="F2450">
        <v>0.68329025810291699</v>
      </c>
      <c r="G2450">
        <v>0.64275676563231798</v>
      </c>
      <c r="H2450">
        <v>0.39538906577020799</v>
      </c>
      <c r="I2450">
        <v>0.39935983360636301</v>
      </c>
      <c r="J2450">
        <v>0.36121195635764702</v>
      </c>
      <c r="K2450">
        <v>0.402337859464928</v>
      </c>
      <c r="L2450">
        <v>1022.41248724077</v>
      </c>
      <c r="M2450">
        <v>18.740237157249201</v>
      </c>
      <c r="N2450">
        <v>58.573405952660998</v>
      </c>
      <c r="O2450">
        <v>53.947231876227697</v>
      </c>
      <c r="P2450">
        <v>-5.5437839851251398E-2</v>
      </c>
      <c r="Q2450">
        <v>0.36167465165907797</v>
      </c>
      <c r="R2450">
        <v>0.97182664025713295</v>
      </c>
      <c r="S2450" t="s">
        <v>9453</v>
      </c>
      <c r="T2450" t="s">
        <v>14004</v>
      </c>
      <c r="U2450" t="s">
        <v>14004</v>
      </c>
      <c r="V2450" t="s">
        <v>14004</v>
      </c>
      <c r="W2450" t="s">
        <v>16415</v>
      </c>
      <c r="X2450">
        <v>25</v>
      </c>
      <c r="Y2450" t="s">
        <v>23307</v>
      </c>
      <c r="Z2450" t="s">
        <v>30160</v>
      </c>
      <c r="AA2450">
        <v>0.68088638421210368</v>
      </c>
      <c r="AB2450" t="str">
        <f>HYPERLINK("Melting_Curves/meltCurve_P26583_HMGB2.pdf", "Melting_Curves/meltCurve_P26583_HMGB2.pdf")</f>
        <v>Melting_Curves/meltCurve_P26583_HMGB2.pdf</v>
      </c>
    </row>
    <row r="2451" spans="1:28" x14ac:dyDescent="0.25">
      <c r="A2451" t="s">
        <v>2455</v>
      </c>
      <c r="B2451">
        <v>0.99999676499088797</v>
      </c>
      <c r="C2451">
        <v>1.0138275551859599</v>
      </c>
      <c r="D2451">
        <v>0.98341949203912804</v>
      </c>
      <c r="E2451">
        <v>0.38818386064068799</v>
      </c>
      <c r="F2451">
        <v>0.205708545155429</v>
      </c>
      <c r="G2451">
        <v>0.12982535143747001</v>
      </c>
      <c r="H2451">
        <v>5.9062050812780702E-2</v>
      </c>
      <c r="I2451">
        <v>5.8360260962701402E-2</v>
      </c>
      <c r="J2451">
        <v>5.4298154928505697E-2</v>
      </c>
      <c r="K2451">
        <v>5.5091584312875301E-2</v>
      </c>
      <c r="L2451">
        <v>2078.6203122761499</v>
      </c>
      <c r="M2451">
        <v>42.4985149032251</v>
      </c>
      <c r="N2451">
        <v>49.128310669563596</v>
      </c>
      <c r="O2451">
        <v>48.802499269032197</v>
      </c>
      <c r="P2451">
        <v>-0.19900660570724699</v>
      </c>
      <c r="Q2451">
        <v>8.5897101581261806E-2</v>
      </c>
      <c r="R2451">
        <v>0.99036121608472405</v>
      </c>
      <c r="S2451" t="s">
        <v>9454</v>
      </c>
      <c r="T2451" t="s">
        <v>14004</v>
      </c>
      <c r="U2451" t="s">
        <v>14004</v>
      </c>
      <c r="V2451" t="s">
        <v>14004</v>
      </c>
      <c r="W2451" t="s">
        <v>16416</v>
      </c>
      <c r="X2451">
        <v>19</v>
      </c>
      <c r="Y2451" t="s">
        <v>23308</v>
      </c>
      <c r="Z2451" t="s">
        <v>30161</v>
      </c>
      <c r="AA2451">
        <v>0.36013580761066533</v>
      </c>
      <c r="AB2451" t="str">
        <f>HYPERLINK("Melting_Curves/meltCurve_P26599_PTBP1.pdf", "Melting_Curves/meltCurve_P26599_PTBP1.pdf")</f>
        <v>Melting_Curves/meltCurve_P26599_PTBP1.pdf</v>
      </c>
    </row>
    <row r="2452" spans="1:28" x14ac:dyDescent="0.25">
      <c r="A2452" t="s">
        <v>2456</v>
      </c>
      <c r="B2452">
        <v>0.99999676499088797</v>
      </c>
      <c r="C2452">
        <v>1.1942157777537199</v>
      </c>
      <c r="D2452">
        <v>1.12732936829236</v>
      </c>
      <c r="E2452">
        <v>0.93589467528970605</v>
      </c>
      <c r="F2452">
        <v>0.358717354907925</v>
      </c>
      <c r="G2452">
        <v>0.222902855339976</v>
      </c>
      <c r="H2452">
        <v>0.10587422930399799</v>
      </c>
      <c r="I2452">
        <v>9.7710966665125604E-2</v>
      </c>
      <c r="J2452">
        <v>9.7385607183957099E-2</v>
      </c>
      <c r="K2452">
        <v>8.1387076573567002E-2</v>
      </c>
      <c r="L2452">
        <v>2351.6665409679799</v>
      </c>
      <c r="M2452">
        <v>45.073551536591303</v>
      </c>
      <c r="N2452">
        <v>52.474659743430898</v>
      </c>
      <c r="O2452">
        <v>52.071591800198703</v>
      </c>
      <c r="P2452">
        <v>-0.19177432407216199</v>
      </c>
      <c r="Q2452">
        <v>0.11380567460985901</v>
      </c>
      <c r="R2452">
        <v>0.96884917721286001</v>
      </c>
      <c r="S2452" t="s">
        <v>9455</v>
      </c>
      <c r="T2452" t="s">
        <v>14004</v>
      </c>
      <c r="U2452" t="s">
        <v>14004</v>
      </c>
      <c r="V2452" t="s">
        <v>14004</v>
      </c>
      <c r="W2452" t="s">
        <v>16417</v>
      </c>
      <c r="X2452">
        <v>47</v>
      </c>
      <c r="Y2452" t="s">
        <v>23309</v>
      </c>
      <c r="Z2452" t="s">
        <v>30162</v>
      </c>
      <c r="AA2452">
        <v>0.47593502689779321</v>
      </c>
      <c r="AB2452" t="str">
        <f>HYPERLINK("Melting_Curves/meltCurve_P26639_TARS.pdf", "Melting_Curves/meltCurve_P26639_TARS.pdf")</f>
        <v>Melting_Curves/meltCurve_P26639_TARS.pdf</v>
      </c>
    </row>
    <row r="2453" spans="1:28" x14ac:dyDescent="0.25">
      <c r="A2453" t="s">
        <v>2457</v>
      </c>
      <c r="B2453">
        <v>0.99999676499088797</v>
      </c>
      <c r="C2453">
        <v>0.92387706878680598</v>
      </c>
      <c r="D2453">
        <v>0.91697211518592103</v>
      </c>
      <c r="E2453">
        <v>0.51986994675945297</v>
      </c>
      <c r="F2453">
        <v>0.13925740584007901</v>
      </c>
      <c r="G2453">
        <v>9.4141264223520996E-2</v>
      </c>
      <c r="H2453">
        <v>4.0554351505280202E-2</v>
      </c>
      <c r="I2453">
        <v>4.40612416210499E-2</v>
      </c>
      <c r="J2453">
        <v>4.2089134002756899E-2</v>
      </c>
      <c r="K2453">
        <v>3.3976905438295402E-2</v>
      </c>
      <c r="L2453">
        <v>1438.42524164723</v>
      </c>
      <c r="M2453">
        <v>29.0263797994734</v>
      </c>
      <c r="N2453">
        <v>49.706883082784898</v>
      </c>
      <c r="O2453">
        <v>49.322344782609797</v>
      </c>
      <c r="P2453">
        <v>-0.140914564473133</v>
      </c>
      <c r="Q2453">
        <v>4.2224610211977501E-2</v>
      </c>
      <c r="R2453">
        <v>0.99642141264302697</v>
      </c>
      <c r="S2453" t="s">
        <v>9456</v>
      </c>
      <c r="T2453" t="s">
        <v>14004</v>
      </c>
      <c r="U2453" t="s">
        <v>14004</v>
      </c>
      <c r="V2453" t="s">
        <v>14004</v>
      </c>
      <c r="W2453" t="s">
        <v>16418</v>
      </c>
      <c r="X2453">
        <v>24</v>
      </c>
      <c r="Y2453" t="s">
        <v>23310</v>
      </c>
      <c r="Z2453" t="s">
        <v>30163</v>
      </c>
      <c r="AA2453">
        <v>0.35359200054986162</v>
      </c>
      <c r="AB2453" t="str">
        <f>HYPERLINK("Melting_Curves/meltCurve_P26641_EEF1G.pdf", "Melting_Curves/meltCurve_P26641_EEF1G.pdf")</f>
        <v>Melting_Curves/meltCurve_P26641_EEF1G.pdf</v>
      </c>
    </row>
    <row r="2454" spans="1:28" x14ac:dyDescent="0.25">
      <c r="A2454" t="s">
        <v>2458</v>
      </c>
      <c r="B2454">
        <v>0.99999676499088797</v>
      </c>
      <c r="C2454">
        <v>0.85224323044272499</v>
      </c>
      <c r="D2454">
        <v>0.85304174302149505</v>
      </c>
      <c r="E2454">
        <v>0.80380520553769697</v>
      </c>
      <c r="F2454">
        <v>0.55184520105235801</v>
      </c>
      <c r="G2454">
        <v>0.35938869457579697</v>
      </c>
      <c r="H2454">
        <v>0.15842514753745901</v>
      </c>
      <c r="I2454">
        <v>0.124901651638647</v>
      </c>
      <c r="J2454">
        <v>0.109155721440737</v>
      </c>
      <c r="K2454">
        <v>8.7068475813549706E-2</v>
      </c>
      <c r="L2454">
        <v>643.47661311046204</v>
      </c>
      <c r="M2454">
        <v>11.9272562335121</v>
      </c>
      <c r="N2454">
        <v>53.983717493997602</v>
      </c>
      <c r="O2454">
        <v>52.5006057910512</v>
      </c>
      <c r="P2454">
        <v>-5.6599594677326302E-2</v>
      </c>
      <c r="Q2454">
        <v>3.7005277957987402E-3</v>
      </c>
      <c r="R2454">
        <v>0.98341587017688803</v>
      </c>
      <c r="S2454" t="s">
        <v>9457</v>
      </c>
      <c r="T2454" t="s">
        <v>14004</v>
      </c>
      <c r="U2454" t="s">
        <v>14004</v>
      </c>
      <c r="V2454" t="s">
        <v>14004</v>
      </c>
      <c r="W2454" t="s">
        <v>16419</v>
      </c>
      <c r="X2454">
        <v>7</v>
      </c>
      <c r="Y2454" t="s">
        <v>23311</v>
      </c>
      <c r="Z2454" t="s">
        <v>30164</v>
      </c>
      <c r="AA2454">
        <v>0.49327570067063831</v>
      </c>
      <c r="AB2454" t="str">
        <f>HYPERLINK("Melting_Curves/meltCurve_P26885_FKBP2.pdf", "Melting_Curves/meltCurve_P26885_FKBP2.pdf")</f>
        <v>Melting_Curves/meltCurve_P26885_FKBP2.pdf</v>
      </c>
    </row>
    <row r="2455" spans="1:28" x14ac:dyDescent="0.25">
      <c r="A2455" t="s">
        <v>2459</v>
      </c>
      <c r="B2455">
        <v>0.99999676499088797</v>
      </c>
      <c r="C2455">
        <v>1.0202407138549701</v>
      </c>
      <c r="D2455">
        <v>1.05250859174407</v>
      </c>
      <c r="E2455">
        <v>1.0446924264566699</v>
      </c>
      <c r="F2455">
        <v>0.68353789961613298</v>
      </c>
      <c r="G2455">
        <v>0.314662920532846</v>
      </c>
      <c r="H2455">
        <v>9.7136039826875506E-2</v>
      </c>
      <c r="I2455">
        <v>9.6192734241653005E-2</v>
      </c>
      <c r="J2455">
        <v>8.4893940755986094E-2</v>
      </c>
      <c r="K2455">
        <v>8.1139514717840394E-2</v>
      </c>
      <c r="L2455">
        <v>1744.1737938517699</v>
      </c>
      <c r="M2455">
        <v>31.966207305709801</v>
      </c>
      <c r="N2455">
        <v>54.873094760884499</v>
      </c>
      <c r="O2455">
        <v>54.3508468848229</v>
      </c>
      <c r="P2455">
        <v>-0.134888596097305</v>
      </c>
      <c r="Q2455">
        <v>8.2622199909202207E-2</v>
      </c>
      <c r="R2455">
        <v>0.99323620392849798</v>
      </c>
      <c r="S2455" t="s">
        <v>9458</v>
      </c>
      <c r="T2455" t="s">
        <v>14004</v>
      </c>
      <c r="U2455" t="s">
        <v>14004</v>
      </c>
      <c r="V2455" t="s">
        <v>14004</v>
      </c>
      <c r="W2455" t="s">
        <v>16420</v>
      </c>
      <c r="X2455">
        <v>6</v>
      </c>
      <c r="Y2455" t="s">
        <v>23312</v>
      </c>
      <c r="Z2455" t="s">
        <v>30165</v>
      </c>
      <c r="AA2455">
        <v>0.53331519564282059</v>
      </c>
      <c r="AB2455" t="str">
        <f>HYPERLINK("Melting_Curves/meltCurve_P27144_AK4.pdf", "Melting_Curves/meltCurve_P27144_AK4.pdf")</f>
        <v>Melting_Curves/meltCurve_P27144_AK4.pdf</v>
      </c>
    </row>
    <row r="2456" spans="1:28" x14ac:dyDescent="0.25">
      <c r="A2456" t="s">
        <v>2460</v>
      </c>
      <c r="B2456">
        <v>0.99999676499088797</v>
      </c>
      <c r="C2456">
        <v>0.998603765569677</v>
      </c>
      <c r="D2456">
        <v>0.98730761679842005</v>
      </c>
      <c r="E2456">
        <v>0.933718926376362</v>
      </c>
      <c r="F2456">
        <v>0.41243358957721099</v>
      </c>
      <c r="G2456">
        <v>0.18896338221015099</v>
      </c>
      <c r="H2456">
        <v>8.3807019975686098E-2</v>
      </c>
      <c r="I2456">
        <v>7.3744081181911697E-2</v>
      </c>
      <c r="J2456">
        <v>6.8588840102349502E-2</v>
      </c>
      <c r="K2456">
        <v>6.8422793206922794E-2</v>
      </c>
      <c r="L2456">
        <v>1930.18214278768</v>
      </c>
      <c r="M2456">
        <v>36.747822038822399</v>
      </c>
      <c r="N2456">
        <v>52.780210853614498</v>
      </c>
      <c r="O2456">
        <v>52.370257448807003</v>
      </c>
      <c r="P2456">
        <v>-0.161148342795946</v>
      </c>
      <c r="Q2456">
        <v>8.1376253442899393E-2</v>
      </c>
      <c r="R2456">
        <v>0.99734746740265801</v>
      </c>
      <c r="S2456" t="s">
        <v>9459</v>
      </c>
      <c r="T2456" t="s">
        <v>14004</v>
      </c>
      <c r="U2456" t="s">
        <v>14004</v>
      </c>
      <c r="V2456" t="s">
        <v>14004</v>
      </c>
      <c r="W2456" t="s">
        <v>16421</v>
      </c>
      <c r="X2456">
        <v>25</v>
      </c>
      <c r="Y2456" t="s">
        <v>23313</v>
      </c>
      <c r="Z2456" t="s">
        <v>30166</v>
      </c>
      <c r="AA2456">
        <v>0.46885488325494001</v>
      </c>
      <c r="AB2456" t="str">
        <f>HYPERLINK("Melting_Curves/meltCurve_P27348_YWHAQ.pdf", "Melting_Curves/meltCurve_P27348_YWHAQ.pdf")</f>
        <v>Melting_Curves/meltCurve_P27348_YWHAQ.pdf</v>
      </c>
    </row>
    <row r="2457" spans="1:28" x14ac:dyDescent="0.25">
      <c r="A2457" t="s">
        <v>2461</v>
      </c>
      <c r="B2457">
        <v>0.99999676499088797</v>
      </c>
      <c r="C2457">
        <v>0.95502184316507899</v>
      </c>
      <c r="D2457">
        <v>0.889356019238982</v>
      </c>
      <c r="E2457">
        <v>0.68054904220428003</v>
      </c>
      <c r="F2457">
        <v>0.287116979858137</v>
      </c>
      <c r="G2457">
        <v>0.17758322093312001</v>
      </c>
      <c r="H2457">
        <v>8.9603658895366201E-2</v>
      </c>
      <c r="I2457">
        <v>9.5245173089667803E-2</v>
      </c>
      <c r="J2457">
        <v>8.2109225566667096E-2</v>
      </c>
      <c r="K2457">
        <v>7.1020922335962605E-2</v>
      </c>
      <c r="L2457">
        <v>1116.25727145412</v>
      </c>
      <c r="M2457">
        <v>22.010089347817999</v>
      </c>
      <c r="N2457">
        <v>51.098157886015599</v>
      </c>
      <c r="O2457">
        <v>50.302651654980501</v>
      </c>
      <c r="P2457">
        <v>-0.101083497763861</v>
      </c>
      <c r="Q2457">
        <v>7.5941560121163307E-2</v>
      </c>
      <c r="R2457">
        <v>0.99718539625027403</v>
      </c>
      <c r="S2457" t="s">
        <v>9460</v>
      </c>
      <c r="T2457" t="s">
        <v>14004</v>
      </c>
      <c r="U2457" t="s">
        <v>14004</v>
      </c>
      <c r="V2457" t="s">
        <v>14004</v>
      </c>
      <c r="W2457" t="s">
        <v>16422</v>
      </c>
      <c r="X2457">
        <v>17</v>
      </c>
      <c r="Y2457" t="s">
        <v>23314</v>
      </c>
      <c r="Z2457" t="s">
        <v>30167</v>
      </c>
      <c r="AA2457">
        <v>0.41668924566159937</v>
      </c>
      <c r="AB2457" t="str">
        <f>HYPERLINK("Melting_Curves/meltCurve_P27361_MAPK3.pdf", "Melting_Curves/meltCurve_P27361_MAPK3.pdf")</f>
        <v>Melting_Curves/meltCurve_P27361_MAPK3.pdf</v>
      </c>
    </row>
    <row r="2458" spans="1:28" x14ac:dyDescent="0.25">
      <c r="A2458" t="s">
        <v>2462</v>
      </c>
      <c r="B2458">
        <v>0.99999676499088797</v>
      </c>
      <c r="C2458">
        <v>1.32101053626469</v>
      </c>
      <c r="D2458">
        <v>1.5941969275004</v>
      </c>
      <c r="E2458">
        <v>1.76342860948249</v>
      </c>
      <c r="F2458">
        <v>1.3188465111265599</v>
      </c>
      <c r="G2458">
        <v>1.4099228956708001</v>
      </c>
      <c r="H2458">
        <v>0.79995774687403998</v>
      </c>
      <c r="I2458">
        <v>1.2885409243000301</v>
      </c>
      <c r="J2458">
        <v>1.3611264727494701</v>
      </c>
      <c r="K2458">
        <v>1.73776768179455</v>
      </c>
      <c r="L2458">
        <v>1.0000000000000001E-5</v>
      </c>
      <c r="M2458">
        <v>0.93930395357066399</v>
      </c>
      <c r="Q2458">
        <v>1.5</v>
      </c>
      <c r="R2458">
        <v>3.4616782773611001E-9</v>
      </c>
      <c r="S2458" t="s">
        <v>9461</v>
      </c>
      <c r="T2458" t="s">
        <v>14004</v>
      </c>
      <c r="U2458" t="s">
        <v>14004</v>
      </c>
      <c r="V2458" t="s">
        <v>14004</v>
      </c>
      <c r="W2458" t="s">
        <v>16423</v>
      </c>
      <c r="X2458">
        <v>1</v>
      </c>
      <c r="Y2458" t="s">
        <v>23315</v>
      </c>
      <c r="Z2458" t="s">
        <v>30168</v>
      </c>
      <c r="AA2458">
        <v>1.3594795000752129</v>
      </c>
      <c r="AB2458" t="str">
        <f>HYPERLINK("Melting_Curves/meltCurve_P27449_ATP6V0C.pdf", "Melting_Curves/meltCurve_P27449_ATP6V0C.pdf")</f>
        <v>Melting_Curves/meltCurve_P27449_ATP6V0C.pdf</v>
      </c>
    </row>
    <row r="2459" spans="1:28" x14ac:dyDescent="0.25">
      <c r="A2459" t="s">
        <v>2463</v>
      </c>
      <c r="B2459">
        <v>0.99999676499088797</v>
      </c>
      <c r="C2459">
        <v>0.93015553276177099</v>
      </c>
      <c r="D2459">
        <v>0.81679951791660299</v>
      </c>
      <c r="E2459">
        <v>0.54662376627708997</v>
      </c>
      <c r="F2459">
        <v>0.34278397896545998</v>
      </c>
      <c r="G2459">
        <v>0.179299295752644</v>
      </c>
      <c r="H2459">
        <v>8.6908502172499097E-2</v>
      </c>
      <c r="I2459">
        <v>0.100628333767255</v>
      </c>
      <c r="J2459">
        <v>8.2911472255496194E-2</v>
      </c>
      <c r="K2459">
        <v>9.6354192311200598E-2</v>
      </c>
      <c r="L2459">
        <v>808.65681569736296</v>
      </c>
      <c r="M2459">
        <v>16.198751649911301</v>
      </c>
      <c r="N2459">
        <v>50.385705696353199</v>
      </c>
      <c r="O2459">
        <v>49.178737368548603</v>
      </c>
      <c r="P2459">
        <v>-7.6637467692779598E-2</v>
      </c>
      <c r="Q2459">
        <v>6.9397023523837795E-2</v>
      </c>
      <c r="R2459">
        <v>0.99811715309292404</v>
      </c>
      <c r="S2459" t="s">
        <v>9462</v>
      </c>
      <c r="T2459" t="s">
        <v>14004</v>
      </c>
      <c r="U2459" t="s">
        <v>14004</v>
      </c>
      <c r="V2459" t="s">
        <v>14004</v>
      </c>
      <c r="W2459" t="s">
        <v>16424</v>
      </c>
      <c r="X2459">
        <v>10</v>
      </c>
      <c r="Y2459" t="s">
        <v>23316</v>
      </c>
      <c r="Z2459" t="s">
        <v>30169</v>
      </c>
      <c r="AA2459">
        <v>0.39650288625175162</v>
      </c>
      <c r="AB2459" t="str">
        <f>HYPERLINK("Melting_Curves/meltCurve_P27540_2_ARNT.pdf", "Melting_Curves/meltCurve_P27540_2_ARNT.pdf")</f>
        <v>Melting_Curves/meltCurve_P27540_2_ARNT.pdf</v>
      </c>
    </row>
    <row r="2460" spans="1:28" x14ac:dyDescent="0.25">
      <c r="A2460" t="s">
        <v>2464</v>
      </c>
      <c r="B2460">
        <v>0.99999676499088797</v>
      </c>
      <c r="C2460">
        <v>1.0114069395485299</v>
      </c>
      <c r="D2460">
        <v>1.0318766288269401</v>
      </c>
      <c r="E2460">
        <v>0.86900264246450898</v>
      </c>
      <c r="F2460">
        <v>0.69635399887123395</v>
      </c>
      <c r="G2460">
        <v>0.35920440612908799</v>
      </c>
      <c r="H2460">
        <v>0.135576765809168</v>
      </c>
      <c r="I2460">
        <v>0.118705270274175</v>
      </c>
      <c r="J2460">
        <v>6.2211504388320703E-2</v>
      </c>
      <c r="K2460">
        <v>9.77853721963102E-2</v>
      </c>
      <c r="L2460">
        <v>1209.75744894228</v>
      </c>
      <c r="M2460">
        <v>22.100425201490001</v>
      </c>
      <c r="N2460">
        <v>55.099101650179897</v>
      </c>
      <c r="O2460">
        <v>54.296839777193398</v>
      </c>
      <c r="P2460">
        <v>-9.4918602290820595E-2</v>
      </c>
      <c r="Q2460">
        <v>6.7227512722389304E-2</v>
      </c>
      <c r="R2460">
        <v>0.99598777714889897</v>
      </c>
      <c r="S2460" t="s">
        <v>9463</v>
      </c>
      <c r="T2460" t="s">
        <v>14004</v>
      </c>
      <c r="U2460" t="s">
        <v>14004</v>
      </c>
      <c r="V2460" t="s">
        <v>14004</v>
      </c>
      <c r="W2460" t="s">
        <v>16425</v>
      </c>
      <c r="X2460">
        <v>1</v>
      </c>
      <c r="Y2460" t="s">
        <v>23317</v>
      </c>
      <c r="Z2460" t="s">
        <v>30170</v>
      </c>
      <c r="AA2460">
        <v>0.53616635604615992</v>
      </c>
      <c r="AB2460" t="str">
        <f>HYPERLINK("Melting_Curves/meltCurve_P27544_2_CERS1.pdf", "Melting_Curves/meltCurve_P27544_2_CERS1.pdf")</f>
        <v>Melting_Curves/meltCurve_P27544_2_CERS1.pdf</v>
      </c>
    </row>
    <row r="2461" spans="1:28" x14ac:dyDescent="0.25">
      <c r="A2461" t="s">
        <v>2465</v>
      </c>
      <c r="B2461">
        <v>0.99999676499088797</v>
      </c>
      <c r="C2461">
        <v>1.13277330567116</v>
      </c>
      <c r="D2461">
        <v>1.0208368341254701</v>
      </c>
      <c r="E2461">
        <v>0.77888614721680804</v>
      </c>
      <c r="F2461">
        <v>0.526352127919685</v>
      </c>
      <c r="G2461">
        <v>0.45524116580656498</v>
      </c>
      <c r="H2461">
        <v>0.141680133096387</v>
      </c>
      <c r="I2461">
        <v>0.10163044183331101</v>
      </c>
      <c r="J2461">
        <v>9.9456498579520894E-2</v>
      </c>
      <c r="K2461">
        <v>7.7164957578733401E-2</v>
      </c>
      <c r="L2461">
        <v>873.97905788065498</v>
      </c>
      <c r="M2461">
        <v>16.152004573804799</v>
      </c>
      <c r="N2461">
        <v>54.456713320254899</v>
      </c>
      <c r="O2461">
        <v>53.300603109276402</v>
      </c>
      <c r="P2461">
        <v>-7.2059015930236101E-2</v>
      </c>
      <c r="Q2461">
        <v>4.8910903589558803E-2</v>
      </c>
      <c r="R2461">
        <v>0.97150304533354903</v>
      </c>
      <c r="S2461" t="s">
        <v>9464</v>
      </c>
      <c r="T2461" t="s">
        <v>14004</v>
      </c>
      <c r="U2461" t="s">
        <v>14004</v>
      </c>
      <c r="V2461" t="s">
        <v>14004</v>
      </c>
      <c r="W2461" t="s">
        <v>16426</v>
      </c>
      <c r="X2461">
        <v>16</v>
      </c>
      <c r="Y2461" t="s">
        <v>23318</v>
      </c>
      <c r="Z2461" t="s">
        <v>30171</v>
      </c>
      <c r="AA2461">
        <v>0.51388066623230477</v>
      </c>
      <c r="AB2461" t="str">
        <f>HYPERLINK("Melting_Curves/meltCurve_P27635_RPL10.pdf", "Melting_Curves/meltCurve_P27635_RPL10.pdf")</f>
        <v>Melting_Curves/meltCurve_P27635_RPL10.pdf</v>
      </c>
    </row>
    <row r="2462" spans="1:28" x14ac:dyDescent="0.25">
      <c r="A2462" t="s">
        <v>2466</v>
      </c>
      <c r="B2462">
        <v>0.99999676499088797</v>
      </c>
      <c r="C2462">
        <v>0.97567472934565103</v>
      </c>
      <c r="D2462">
        <v>0.877251838930451</v>
      </c>
      <c r="E2462">
        <v>0.52111093735709002</v>
      </c>
      <c r="F2462">
        <v>0.23846788291263199</v>
      </c>
      <c r="G2462">
        <v>0.15125430956800601</v>
      </c>
      <c r="H2462">
        <v>7.2995026114272707E-2</v>
      </c>
      <c r="I2462">
        <v>6.7459693213871394E-2</v>
      </c>
      <c r="J2462">
        <v>6.4819707125373202E-2</v>
      </c>
      <c r="K2462">
        <v>5.1122510937430303E-2</v>
      </c>
      <c r="L2462">
        <v>1091.7639950494499</v>
      </c>
      <c r="M2462">
        <v>21.991001914102402</v>
      </c>
      <c r="N2462">
        <v>49.954821412727398</v>
      </c>
      <c r="O2462">
        <v>49.240876973865198</v>
      </c>
      <c r="P2462">
        <v>-0.104555157142219</v>
      </c>
      <c r="Q2462">
        <v>6.3567371075802598E-2</v>
      </c>
      <c r="R2462">
        <v>0.99873380599193096</v>
      </c>
      <c r="S2462" t="s">
        <v>9465</v>
      </c>
      <c r="T2462" t="s">
        <v>14004</v>
      </c>
      <c r="U2462" t="s">
        <v>14004</v>
      </c>
      <c r="V2462" t="s">
        <v>14004</v>
      </c>
      <c r="W2462" t="s">
        <v>16427</v>
      </c>
      <c r="X2462">
        <v>39</v>
      </c>
      <c r="Y2462" t="s">
        <v>23319</v>
      </c>
      <c r="Z2462" t="s">
        <v>30172</v>
      </c>
      <c r="AA2462">
        <v>0.37546552655505322</v>
      </c>
      <c r="AB2462" t="str">
        <f>HYPERLINK("Melting_Curves/meltCurve_P27694_RPA1.pdf", "Melting_Curves/meltCurve_P27694_RPA1.pdf")</f>
        <v>Melting_Curves/meltCurve_P27694_RPA1.pdf</v>
      </c>
    </row>
    <row r="2463" spans="1:28" x14ac:dyDescent="0.25">
      <c r="A2463" t="s">
        <v>2467</v>
      </c>
      <c r="B2463">
        <v>0.99999676499088797</v>
      </c>
      <c r="C2463">
        <v>0.870086961976551</v>
      </c>
      <c r="D2463">
        <v>0.84740575325915302</v>
      </c>
      <c r="E2463">
        <v>0.57059625521325497</v>
      </c>
      <c r="F2463">
        <v>0.21219817370757901</v>
      </c>
      <c r="G2463">
        <v>0.15269505705848699</v>
      </c>
      <c r="H2463">
        <v>7.7887458282876895E-2</v>
      </c>
      <c r="I2463">
        <v>8.0371098174193203E-2</v>
      </c>
      <c r="J2463">
        <v>7.6095557078313406E-2</v>
      </c>
      <c r="K2463">
        <v>6.5479304027796295E-2</v>
      </c>
      <c r="L2463">
        <v>966.58365702073604</v>
      </c>
      <c r="M2463">
        <v>19.472035412558402</v>
      </c>
      <c r="N2463">
        <v>49.9767990545255</v>
      </c>
      <c r="O2463">
        <v>49.124916149182198</v>
      </c>
      <c r="P2463">
        <v>-9.29974749206854E-2</v>
      </c>
      <c r="Q2463">
        <v>6.15611225260667E-2</v>
      </c>
      <c r="R2463">
        <v>0.99078562994035202</v>
      </c>
      <c r="S2463" t="s">
        <v>9466</v>
      </c>
      <c r="T2463" t="s">
        <v>14004</v>
      </c>
      <c r="U2463" t="s">
        <v>14004</v>
      </c>
      <c r="V2463" t="s">
        <v>14004</v>
      </c>
      <c r="W2463" t="s">
        <v>16428</v>
      </c>
      <c r="X2463">
        <v>26</v>
      </c>
      <c r="Y2463" t="s">
        <v>23320</v>
      </c>
      <c r="Z2463" t="s">
        <v>30173</v>
      </c>
      <c r="AA2463">
        <v>0.37689512834498301</v>
      </c>
      <c r="AB2463" t="str">
        <f>HYPERLINK("Melting_Curves/meltCurve_P27695_APEX1.pdf", "Melting_Curves/meltCurve_P27695_APEX1.pdf")</f>
        <v>Melting_Curves/meltCurve_P27695_APEX1.pdf</v>
      </c>
    </row>
    <row r="2464" spans="1:28" x14ac:dyDescent="0.25">
      <c r="A2464" t="s">
        <v>2468</v>
      </c>
      <c r="B2464">
        <v>0.99999676499088797</v>
      </c>
      <c r="C2464">
        <v>0.91420388949671305</v>
      </c>
      <c r="D2464">
        <v>0.98475427910617297</v>
      </c>
      <c r="E2464">
        <v>1.0232488097471799</v>
      </c>
      <c r="F2464">
        <v>1.3076749454169601</v>
      </c>
      <c r="G2464">
        <v>0.85938344285389701</v>
      </c>
      <c r="H2464">
        <v>0.63506972471577205</v>
      </c>
      <c r="I2464">
        <v>0.54253243040843702</v>
      </c>
      <c r="J2464">
        <v>0.41881340102697101</v>
      </c>
      <c r="K2464">
        <v>1.06535896046913</v>
      </c>
      <c r="L2464">
        <v>14218.261857179799</v>
      </c>
      <c r="M2464">
        <v>250</v>
      </c>
      <c r="O2464">
        <v>56.869412721816197</v>
      </c>
      <c r="P2464">
        <v>-0.36768052398651302</v>
      </c>
      <c r="Q2464">
        <v>0.66544362104574994</v>
      </c>
      <c r="R2464">
        <v>0.47842635378114201</v>
      </c>
      <c r="S2464" t="s">
        <v>9467</v>
      </c>
      <c r="T2464" t="s">
        <v>14004</v>
      </c>
      <c r="U2464" t="s">
        <v>14004</v>
      </c>
      <c r="V2464" t="s">
        <v>14004</v>
      </c>
      <c r="W2464" t="s">
        <v>16429</v>
      </c>
      <c r="X2464">
        <v>5</v>
      </c>
      <c r="Y2464" t="s">
        <v>23321</v>
      </c>
      <c r="Z2464" t="s">
        <v>30174</v>
      </c>
      <c r="AA2464">
        <v>0.85364320187975884</v>
      </c>
      <c r="AB2464" t="str">
        <f>HYPERLINK("Melting_Curves/meltCurve_P27701_CD82.pdf", "Melting_Curves/meltCurve_P27701_CD82.pdf")</f>
        <v>Melting_Curves/meltCurve_P27701_CD82.pdf</v>
      </c>
    </row>
    <row r="2465" spans="1:28" x14ac:dyDescent="0.25">
      <c r="A2465" t="s">
        <v>2469</v>
      </c>
      <c r="B2465">
        <v>0.99999676499088797</v>
      </c>
      <c r="C2465">
        <v>0.86083175304195503</v>
      </c>
      <c r="D2465">
        <v>0.80952863337403602</v>
      </c>
      <c r="E2465">
        <v>0.62022430638428505</v>
      </c>
      <c r="F2465">
        <v>0.31961360883726297</v>
      </c>
      <c r="G2465">
        <v>0.24302384709443001</v>
      </c>
      <c r="H2465">
        <v>0.121824152640928</v>
      </c>
      <c r="I2465">
        <v>0.11711049542367501</v>
      </c>
      <c r="J2465">
        <v>0.114216158625493</v>
      </c>
      <c r="K2465">
        <v>0.123771182987415</v>
      </c>
      <c r="L2465">
        <v>728.94603929907703</v>
      </c>
      <c r="M2465">
        <v>14.5524428927659</v>
      </c>
      <c r="N2465">
        <v>50.749434792875398</v>
      </c>
      <c r="O2465">
        <v>49.173597096798602</v>
      </c>
      <c r="P2465">
        <v>-6.7627821456450701E-2</v>
      </c>
      <c r="Q2465">
        <v>8.6029773932502301E-2</v>
      </c>
      <c r="R2465">
        <v>0.99085920567068597</v>
      </c>
      <c r="S2465" t="s">
        <v>9468</v>
      </c>
      <c r="T2465" t="s">
        <v>14004</v>
      </c>
      <c r="U2465" t="s">
        <v>14004</v>
      </c>
      <c r="V2465" t="s">
        <v>14004</v>
      </c>
      <c r="W2465" t="s">
        <v>16430</v>
      </c>
      <c r="X2465">
        <v>29</v>
      </c>
      <c r="Y2465" t="s">
        <v>22153</v>
      </c>
      <c r="Z2465" t="s">
        <v>30175</v>
      </c>
      <c r="AA2465">
        <v>0.41637096611758928</v>
      </c>
      <c r="AB2465" t="str">
        <f>HYPERLINK("Melting_Curves/meltCurve_P27797_CALR.pdf", "Melting_Curves/meltCurve_P27797_CALR.pdf")</f>
        <v>Melting_Curves/meltCurve_P27797_CALR.pdf</v>
      </c>
    </row>
    <row r="2466" spans="1:28" x14ac:dyDescent="0.25">
      <c r="A2466" t="s">
        <v>2470</v>
      </c>
      <c r="B2466">
        <v>0.99999676499088797</v>
      </c>
      <c r="C2466">
        <v>1.06515933754457</v>
      </c>
      <c r="D2466">
        <v>0.95726685195706696</v>
      </c>
      <c r="E2466">
        <v>0.74594984150884402</v>
      </c>
      <c r="F2466">
        <v>0.45698704105501903</v>
      </c>
      <c r="G2466">
        <v>0.20544206258498701</v>
      </c>
      <c r="H2466">
        <v>4.2394100177460599E-2</v>
      </c>
      <c r="I2466">
        <v>0.15631124379375999</v>
      </c>
      <c r="J2466">
        <v>0.14552503861543301</v>
      </c>
      <c r="K2466">
        <v>0.109832270376194</v>
      </c>
      <c r="L2466">
        <v>1217.28853685437</v>
      </c>
      <c r="M2466">
        <v>23.4631445973918</v>
      </c>
      <c r="N2466">
        <v>52.410012477491499</v>
      </c>
      <c r="O2466">
        <v>51.508422120797299</v>
      </c>
      <c r="P2466">
        <v>-0.101872202617437</v>
      </c>
      <c r="Q2466">
        <v>0.105459125514607</v>
      </c>
      <c r="R2466">
        <v>0.98824718183947802</v>
      </c>
      <c r="S2466" t="s">
        <v>9469</v>
      </c>
      <c r="T2466" t="s">
        <v>14004</v>
      </c>
      <c r="U2466" t="s">
        <v>14004</v>
      </c>
      <c r="V2466" t="s">
        <v>14004</v>
      </c>
      <c r="W2466" t="s">
        <v>16431</v>
      </c>
      <c r="X2466">
        <v>2</v>
      </c>
      <c r="Y2466" t="s">
        <v>23322</v>
      </c>
      <c r="Z2466" t="s">
        <v>30176</v>
      </c>
      <c r="AA2466">
        <v>0.4689343694744173</v>
      </c>
      <c r="AB2466" t="str">
        <f>HYPERLINK("Melting_Curves/meltCurve_P27815_PDE4A.pdf", "Melting_Curves/meltCurve_P27815_PDE4A.pdf")</f>
        <v>Melting_Curves/meltCurve_P27815_PDE4A.pdf</v>
      </c>
    </row>
    <row r="2467" spans="1:28" x14ac:dyDescent="0.25">
      <c r="A2467" t="s">
        <v>2471</v>
      </c>
      <c r="B2467">
        <v>0.99999676499088797</v>
      </c>
      <c r="C2467">
        <v>0.93022163655425405</v>
      </c>
      <c r="D2467">
        <v>0.96881381104655395</v>
      </c>
      <c r="E2467">
        <v>0.81666429454107803</v>
      </c>
      <c r="F2467">
        <v>0.88875331480284603</v>
      </c>
      <c r="G2467">
        <v>0.63998220305050202</v>
      </c>
      <c r="H2467">
        <v>0.39068931373657101</v>
      </c>
      <c r="I2467">
        <v>0.377418822731656</v>
      </c>
      <c r="J2467">
        <v>0.44311593949957001</v>
      </c>
      <c r="K2467">
        <v>0.28047347005158701</v>
      </c>
      <c r="L2467">
        <v>821.87629146786105</v>
      </c>
      <c r="M2467">
        <v>14.53865822963</v>
      </c>
      <c r="N2467">
        <v>59.9143751442911</v>
      </c>
      <c r="O2467">
        <v>55.493178597475598</v>
      </c>
      <c r="P2467">
        <v>-4.7161238758679003E-2</v>
      </c>
      <c r="Q2467">
        <v>0.28003565376905099</v>
      </c>
      <c r="R2467">
        <v>0.94186072127319898</v>
      </c>
      <c r="S2467" t="s">
        <v>9470</v>
      </c>
      <c r="T2467" t="s">
        <v>14004</v>
      </c>
      <c r="U2467" t="s">
        <v>14004</v>
      </c>
      <c r="V2467" t="s">
        <v>14004</v>
      </c>
      <c r="W2467" t="s">
        <v>16432</v>
      </c>
      <c r="X2467">
        <v>38</v>
      </c>
      <c r="Y2467" t="s">
        <v>21451</v>
      </c>
      <c r="Z2467" t="s">
        <v>30177</v>
      </c>
      <c r="AA2467">
        <v>0.68908131048713395</v>
      </c>
      <c r="AB2467" t="str">
        <f>HYPERLINK("Melting_Curves/meltCurve_P27816_5_MAP4.pdf", "Melting_Curves/meltCurve_P27816_5_MAP4.pdf")</f>
        <v>Melting_Curves/meltCurve_P27816_5_MAP4.pdf</v>
      </c>
    </row>
    <row r="2468" spans="1:28" x14ac:dyDescent="0.25">
      <c r="A2468" t="s">
        <v>2472</v>
      </c>
      <c r="B2468">
        <v>0.99999676499088797</v>
      </c>
      <c r="C2468">
        <v>0.97277537249367396</v>
      </c>
      <c r="D2468">
        <v>0.81339302464898899</v>
      </c>
      <c r="E2468">
        <v>0.60046397933277196</v>
      </c>
      <c r="F2468">
        <v>0.350913026318948</v>
      </c>
      <c r="G2468">
        <v>0.252195883399986</v>
      </c>
      <c r="H2468">
        <v>0.128015006980951</v>
      </c>
      <c r="I2468">
        <v>0.114626215114412</v>
      </c>
      <c r="J2468">
        <v>0.10343851079000101</v>
      </c>
      <c r="K2468">
        <v>0.10209029585132599</v>
      </c>
      <c r="L2468">
        <v>788.58600605325205</v>
      </c>
      <c r="M2468">
        <v>15.658830115904101</v>
      </c>
      <c r="N2468">
        <v>50.986283304925998</v>
      </c>
      <c r="O2468">
        <v>49.560582941212402</v>
      </c>
      <c r="P2468">
        <v>-7.2088621783389303E-2</v>
      </c>
      <c r="Q2468">
        <v>8.7428844419172702E-2</v>
      </c>
      <c r="R2468">
        <v>0.99760066110246604</v>
      </c>
      <c r="S2468" t="s">
        <v>9471</v>
      </c>
      <c r="T2468" t="s">
        <v>14004</v>
      </c>
      <c r="U2468" t="s">
        <v>14004</v>
      </c>
      <c r="V2468" t="s">
        <v>14004</v>
      </c>
      <c r="W2468" t="s">
        <v>16433</v>
      </c>
      <c r="X2468">
        <v>30</v>
      </c>
      <c r="Y2468" t="s">
        <v>23323</v>
      </c>
      <c r="Z2468" t="s">
        <v>30178</v>
      </c>
      <c r="AA2468">
        <v>0.42254033877372782</v>
      </c>
      <c r="AB2468" t="str">
        <f>HYPERLINK("Melting_Curves/meltCurve_P27824_CANX.pdf", "Melting_Curves/meltCurve_P27824_CANX.pdf")</f>
        <v>Melting_Curves/meltCurve_P27824_CANX.pdf</v>
      </c>
    </row>
    <row r="2469" spans="1:28" x14ac:dyDescent="0.25">
      <c r="A2469" t="s">
        <v>2473</v>
      </c>
      <c r="B2469">
        <v>0.99999676499088797</v>
      </c>
      <c r="C2469">
        <v>0.97624200383292903</v>
      </c>
      <c r="D2469">
        <v>0.84968529777620305</v>
      </c>
      <c r="E2469">
        <v>0.59341387257071199</v>
      </c>
      <c r="F2469">
        <v>0.18355957024172201</v>
      </c>
      <c r="G2469">
        <v>0.121018927378578</v>
      </c>
      <c r="H2469">
        <v>4.8166275686766E-2</v>
      </c>
      <c r="I2469">
        <v>5.5790463909318001E-2</v>
      </c>
      <c r="J2469">
        <v>5.1853019550884602E-2</v>
      </c>
      <c r="K2469">
        <v>3.8741380754843999E-2</v>
      </c>
      <c r="L2469">
        <v>1164.5397131961399</v>
      </c>
      <c r="M2469">
        <v>23.3314772366003</v>
      </c>
      <c r="N2469">
        <v>50.106482036929698</v>
      </c>
      <c r="O2469">
        <v>49.550479874499104</v>
      </c>
      <c r="P2469">
        <v>-0.112642259678084</v>
      </c>
      <c r="Q2469">
        <v>4.31160026218518E-2</v>
      </c>
      <c r="R2469">
        <v>0.99664693829428497</v>
      </c>
      <c r="S2469" t="s">
        <v>9472</v>
      </c>
      <c r="T2469" t="s">
        <v>14004</v>
      </c>
      <c r="U2469" t="s">
        <v>14004</v>
      </c>
      <c r="V2469" t="s">
        <v>14004</v>
      </c>
      <c r="W2469" t="s">
        <v>16434</v>
      </c>
      <c r="X2469">
        <v>25</v>
      </c>
      <c r="Y2469" t="s">
        <v>23324</v>
      </c>
      <c r="Z2469" t="s">
        <v>30179</v>
      </c>
      <c r="AA2469">
        <v>0.36911373514894391</v>
      </c>
      <c r="AB2469" t="str">
        <f>HYPERLINK("Melting_Curves/meltCurve_P27986_PIK3R1.pdf", "Melting_Curves/meltCurve_P27986_PIK3R1.pdf")</f>
        <v>Melting_Curves/meltCurve_P27986_PIK3R1.pdf</v>
      </c>
    </row>
    <row r="2470" spans="1:28" x14ac:dyDescent="0.25">
      <c r="A2470" t="s">
        <v>2474</v>
      </c>
      <c r="B2470">
        <v>0.99999676499088797</v>
      </c>
      <c r="C2470">
        <v>1.00877290329209</v>
      </c>
      <c r="D2470">
        <v>1.0143529284619199</v>
      </c>
      <c r="E2470">
        <v>1.2049548231647</v>
      </c>
      <c r="F2470">
        <v>1.1114617229189001</v>
      </c>
      <c r="G2470">
        <v>1.2335785487730799</v>
      </c>
      <c r="H2470">
        <v>0.91010680967021795</v>
      </c>
      <c r="I2470">
        <v>0.67530815894920404</v>
      </c>
      <c r="J2470">
        <v>0.46564968839787202</v>
      </c>
      <c r="K2470">
        <v>0.44500351135372701</v>
      </c>
      <c r="L2470">
        <v>2986.4398074769801</v>
      </c>
      <c r="M2470">
        <v>47.025595413654003</v>
      </c>
      <c r="N2470">
        <v>66.336693226742895</v>
      </c>
      <c r="O2470">
        <v>63.392161872516098</v>
      </c>
      <c r="P2470">
        <v>-0.105199774286046</v>
      </c>
      <c r="Q2470">
        <v>0.43274858613168798</v>
      </c>
      <c r="R2470">
        <v>0.84748324397308905</v>
      </c>
      <c r="S2470" t="s">
        <v>9473</v>
      </c>
      <c r="T2470" t="s">
        <v>14004</v>
      </c>
      <c r="U2470" t="s">
        <v>14004</v>
      </c>
      <c r="V2470" t="s">
        <v>14004</v>
      </c>
      <c r="W2470" t="s">
        <v>16435</v>
      </c>
      <c r="X2470">
        <v>15</v>
      </c>
      <c r="Y2470" t="s">
        <v>23325</v>
      </c>
      <c r="Z2470" t="s">
        <v>30180</v>
      </c>
      <c r="AA2470">
        <v>0.87860672522281835</v>
      </c>
      <c r="AB2470" t="str">
        <f>HYPERLINK("Melting_Curves/meltCurve_P28062_PSMB8.pdf", "Melting_Curves/meltCurve_P28062_PSMB8.pdf")</f>
        <v>Melting_Curves/meltCurve_P28062_PSMB8.pdf</v>
      </c>
    </row>
    <row r="2471" spans="1:28" x14ac:dyDescent="0.25">
      <c r="A2471" t="s">
        <v>2475</v>
      </c>
      <c r="B2471">
        <v>0.99999676499088797</v>
      </c>
      <c r="C2471">
        <v>1.0927287001534001</v>
      </c>
      <c r="D2471">
        <v>1.1803937988104301</v>
      </c>
      <c r="E2471">
        <v>1.3689720173898201</v>
      </c>
      <c r="F2471">
        <v>1.47064356343884</v>
      </c>
      <c r="G2471">
        <v>1.58534344584058</v>
      </c>
      <c r="H2471">
        <v>1.11201352895802</v>
      </c>
      <c r="I2471">
        <v>0.84877262310227997</v>
      </c>
      <c r="J2471">
        <v>0.62017711101398798</v>
      </c>
      <c r="K2471">
        <v>0.59092998955967502</v>
      </c>
      <c r="L2471">
        <v>12112.265518222999</v>
      </c>
      <c r="M2471">
        <v>188.77843141615901</v>
      </c>
      <c r="O2471">
        <v>64.154078455673101</v>
      </c>
      <c r="P2471">
        <v>-0.29021398287633998</v>
      </c>
      <c r="Q2471">
        <v>0.60549708227291499</v>
      </c>
      <c r="R2471">
        <v>0.25510875447630199</v>
      </c>
      <c r="S2471" t="s">
        <v>9474</v>
      </c>
      <c r="T2471" t="s">
        <v>14004</v>
      </c>
      <c r="U2471" t="s">
        <v>14004</v>
      </c>
      <c r="V2471" t="s">
        <v>14004</v>
      </c>
      <c r="W2471" t="s">
        <v>16436</v>
      </c>
      <c r="X2471">
        <v>13</v>
      </c>
      <c r="Y2471" t="s">
        <v>23326</v>
      </c>
      <c r="Z2471" t="s">
        <v>30181</v>
      </c>
      <c r="AA2471">
        <v>0.92329816315864321</v>
      </c>
      <c r="AB2471" t="str">
        <f>HYPERLINK("Melting_Curves/meltCurve_P28065_PSMB9.pdf", "Melting_Curves/meltCurve_P28065_PSMB9.pdf")</f>
        <v>Melting_Curves/meltCurve_P28065_PSMB9.pdf</v>
      </c>
    </row>
    <row r="2472" spans="1:28" x14ac:dyDescent="0.25">
      <c r="A2472" t="s">
        <v>2476</v>
      </c>
      <c r="B2472">
        <v>0.99999676499088797</v>
      </c>
      <c r="C2472">
        <v>1.09175040476716</v>
      </c>
      <c r="D2472">
        <v>1.10653140758877</v>
      </c>
      <c r="E2472">
        <v>1.3390643338834101</v>
      </c>
      <c r="F2472">
        <v>1.3689060453215001</v>
      </c>
      <c r="G2472">
        <v>1.5386068816501199</v>
      </c>
      <c r="H2472">
        <v>1.0220039312845399</v>
      </c>
      <c r="I2472">
        <v>0.78764515617578601</v>
      </c>
      <c r="J2472">
        <v>0.51635506387665597</v>
      </c>
      <c r="K2472">
        <v>0.44753314190195398</v>
      </c>
      <c r="L2472">
        <v>4085.0596718010102</v>
      </c>
      <c r="M2472">
        <v>63.322846418303101</v>
      </c>
      <c r="N2472">
        <v>67.101928573632406</v>
      </c>
      <c r="O2472">
        <v>64.447376791280405</v>
      </c>
      <c r="P2472">
        <v>-0.13347670659441599</v>
      </c>
      <c r="Q2472">
        <v>0.4566118714356</v>
      </c>
      <c r="R2472">
        <v>0.50684420820585196</v>
      </c>
      <c r="S2472" t="s">
        <v>9475</v>
      </c>
      <c r="T2472" t="s">
        <v>14004</v>
      </c>
      <c r="U2472" t="s">
        <v>14004</v>
      </c>
      <c r="V2472" t="s">
        <v>14004</v>
      </c>
      <c r="W2472" t="s">
        <v>16437</v>
      </c>
      <c r="X2472">
        <v>17</v>
      </c>
      <c r="Y2472" t="s">
        <v>23327</v>
      </c>
      <c r="Z2472" t="s">
        <v>30182</v>
      </c>
      <c r="AA2472">
        <v>0.90139484961872496</v>
      </c>
      <c r="AB2472" t="str">
        <f>HYPERLINK("Melting_Curves/meltCurve_P28066_PSMA5.pdf", "Melting_Curves/meltCurve_P28066_PSMA5.pdf")</f>
        <v>Melting_Curves/meltCurve_P28066_PSMA5.pdf</v>
      </c>
    </row>
    <row r="2473" spans="1:28" x14ac:dyDescent="0.25">
      <c r="A2473" t="s">
        <v>2477</v>
      </c>
      <c r="B2473">
        <v>0.99999676499088797</v>
      </c>
      <c r="C2473">
        <v>1.0469175850127199</v>
      </c>
      <c r="D2473">
        <v>1.1559006968827501</v>
      </c>
      <c r="E2473">
        <v>1.4135555570426599</v>
      </c>
      <c r="F2473">
        <v>1.60239730429523</v>
      </c>
      <c r="G2473">
        <v>1.5587480762458299</v>
      </c>
      <c r="H2473">
        <v>1.1315671820730899</v>
      </c>
      <c r="I2473">
        <v>0.61507079031821899</v>
      </c>
      <c r="J2473">
        <v>0.361830653892523</v>
      </c>
      <c r="K2473">
        <v>0.39594238229738699</v>
      </c>
      <c r="L2473">
        <v>15000</v>
      </c>
      <c r="M2473">
        <v>234.86340818442201</v>
      </c>
      <c r="N2473">
        <v>64.2548240171012</v>
      </c>
      <c r="O2473">
        <v>63.862265018243903</v>
      </c>
      <c r="P2473">
        <v>-0.57106406247070196</v>
      </c>
      <c r="Q2473">
        <v>0.37888234718117297</v>
      </c>
      <c r="R2473">
        <v>0.50590223627870201</v>
      </c>
      <c r="S2473" t="s">
        <v>9476</v>
      </c>
      <c r="T2473" t="s">
        <v>14004</v>
      </c>
      <c r="U2473" t="s">
        <v>14004</v>
      </c>
      <c r="V2473" t="s">
        <v>14004</v>
      </c>
      <c r="W2473" t="s">
        <v>16438</v>
      </c>
      <c r="X2473">
        <v>11</v>
      </c>
      <c r="Y2473" t="s">
        <v>23328</v>
      </c>
      <c r="Z2473" t="s">
        <v>30183</v>
      </c>
      <c r="AA2473">
        <v>0.87309985432104642</v>
      </c>
      <c r="AB2473" t="str">
        <f>HYPERLINK("Melting_Curves/meltCurve_P28070_PSMB4.pdf", "Melting_Curves/meltCurve_P28070_PSMB4.pdf")</f>
        <v>Melting_Curves/meltCurve_P28070_PSMB4.pdf</v>
      </c>
    </row>
    <row r="2474" spans="1:28" x14ac:dyDescent="0.25">
      <c r="A2474" t="s">
        <v>2478</v>
      </c>
      <c r="B2474">
        <v>0.99999676499088797</v>
      </c>
      <c r="C2474">
        <v>1.0536590893047399</v>
      </c>
      <c r="D2474">
        <v>1.0976193191919601</v>
      </c>
      <c r="E2474">
        <v>1.44957164814368</v>
      </c>
      <c r="F2474">
        <v>2.1073282329705698</v>
      </c>
      <c r="G2474">
        <v>1.8328297494536101</v>
      </c>
      <c r="H2474">
        <v>1.16578664611208</v>
      </c>
      <c r="I2474">
        <v>0.68958205379987703</v>
      </c>
      <c r="J2474">
        <v>0.378189785553943</v>
      </c>
      <c r="K2474">
        <v>0.377535718402707</v>
      </c>
      <c r="L2474">
        <v>15000</v>
      </c>
      <c r="M2474">
        <v>234.37077661109399</v>
      </c>
      <c r="N2474">
        <v>64.388358186366204</v>
      </c>
      <c r="O2474">
        <v>63.996493270210301</v>
      </c>
      <c r="P2474">
        <v>-0.56961062218575997</v>
      </c>
      <c r="Q2474">
        <v>0.377856184834646</v>
      </c>
      <c r="R2474">
        <v>0.25443288809819198</v>
      </c>
      <c r="S2474" t="s">
        <v>9477</v>
      </c>
      <c r="T2474" t="s">
        <v>14004</v>
      </c>
      <c r="U2474" t="s">
        <v>14004</v>
      </c>
      <c r="V2474" t="s">
        <v>14004</v>
      </c>
      <c r="W2474" t="s">
        <v>16439</v>
      </c>
      <c r="X2474">
        <v>10</v>
      </c>
      <c r="Y2474" t="s">
        <v>23329</v>
      </c>
      <c r="Z2474" t="s">
        <v>30184</v>
      </c>
      <c r="AA2474">
        <v>0.87567466698816776</v>
      </c>
      <c r="AB2474" t="str">
        <f>HYPERLINK("Melting_Curves/meltCurve_P28072_PSMB6.pdf", "Melting_Curves/meltCurve_P28072_PSMB6.pdf")</f>
        <v>Melting_Curves/meltCurve_P28072_PSMB6.pdf</v>
      </c>
    </row>
    <row r="2475" spans="1:28" x14ac:dyDescent="0.25">
      <c r="A2475" t="s">
        <v>2479</v>
      </c>
      <c r="B2475">
        <v>0.99999676499088797</v>
      </c>
      <c r="C2475">
        <v>1.01336072500704</v>
      </c>
      <c r="D2475">
        <v>1.07851302805742</v>
      </c>
      <c r="E2475">
        <v>1.43665218587571</v>
      </c>
      <c r="F2475">
        <v>1.3637864474208901</v>
      </c>
      <c r="G2475">
        <v>1.6957969527044701</v>
      </c>
      <c r="H2475">
        <v>1.15267519050934</v>
      </c>
      <c r="I2475">
        <v>0.79591026244593699</v>
      </c>
      <c r="J2475">
        <v>0.45809812621149298</v>
      </c>
      <c r="K2475">
        <v>0.44692596238149201</v>
      </c>
      <c r="L2475">
        <v>15000</v>
      </c>
      <c r="M2475">
        <v>233.85462181400001</v>
      </c>
      <c r="N2475">
        <v>64.794634464031901</v>
      </c>
      <c r="O2475">
        <v>64.137724322220905</v>
      </c>
      <c r="P2475">
        <v>-0.499062039517916</v>
      </c>
      <c r="Q2475">
        <v>0.45250253956999797</v>
      </c>
      <c r="R2475">
        <v>0.42621537279913202</v>
      </c>
      <c r="S2475" t="s">
        <v>9478</v>
      </c>
      <c r="T2475" t="s">
        <v>14004</v>
      </c>
      <c r="U2475" t="s">
        <v>14004</v>
      </c>
      <c r="V2475" t="s">
        <v>14004</v>
      </c>
      <c r="W2475" t="s">
        <v>16440</v>
      </c>
      <c r="X2475">
        <v>14</v>
      </c>
      <c r="Y2475" t="s">
        <v>23330</v>
      </c>
      <c r="Z2475" t="s">
        <v>30185</v>
      </c>
      <c r="AA2475">
        <v>0.89316999108930495</v>
      </c>
      <c r="AB2475" t="str">
        <f>HYPERLINK("Melting_Curves/meltCurve_P28074_PSMB5.pdf", "Melting_Curves/meltCurve_P28074_PSMB5.pdf")</f>
        <v>Melting_Curves/meltCurve_P28074_PSMB5.pdf</v>
      </c>
    </row>
    <row r="2476" spans="1:28" x14ac:dyDescent="0.25">
      <c r="A2476" t="s">
        <v>2480</v>
      </c>
      <c r="B2476">
        <v>0.99999676499088797</v>
      </c>
      <c r="C2476">
        <v>0.91212997992322298</v>
      </c>
      <c r="D2476">
        <v>1.0373982856683699</v>
      </c>
      <c r="E2476">
        <v>1.43705601071962</v>
      </c>
      <c r="F2476">
        <v>0.91215190129092505</v>
      </c>
      <c r="G2476">
        <v>0.36618030299577697</v>
      </c>
      <c r="H2476">
        <v>0.138557671172652</v>
      </c>
      <c r="I2476">
        <v>7.6692693824559094E-2</v>
      </c>
      <c r="J2476">
        <v>6.5075099360816999E-2</v>
      </c>
      <c r="K2476">
        <v>6.5629333456233493E-2</v>
      </c>
      <c r="L2476">
        <v>2741.6057041931999</v>
      </c>
      <c r="M2476">
        <v>49.0570495267946</v>
      </c>
      <c r="N2476">
        <v>56.0883297287616</v>
      </c>
      <c r="O2476">
        <v>55.793438288344497</v>
      </c>
      <c r="P2476">
        <v>-0.20199523976021</v>
      </c>
      <c r="Q2476">
        <v>8.1070002203183694E-2</v>
      </c>
      <c r="R2476">
        <v>0.91347587103666195</v>
      </c>
      <c r="S2476" t="s">
        <v>9479</v>
      </c>
      <c r="T2476" t="s">
        <v>14004</v>
      </c>
      <c r="U2476" t="s">
        <v>14004</v>
      </c>
      <c r="V2476" t="s">
        <v>14004</v>
      </c>
      <c r="W2476" t="s">
        <v>16441</v>
      </c>
      <c r="X2476">
        <v>11</v>
      </c>
      <c r="Y2476" t="s">
        <v>23331</v>
      </c>
      <c r="Z2476" t="s">
        <v>30186</v>
      </c>
      <c r="AA2476">
        <v>0.57002703353216289</v>
      </c>
      <c r="AB2476" t="str">
        <f>HYPERLINK("Melting_Curves/meltCurve_P28161_GSTM2.pdf", "Melting_Curves/meltCurve_P28161_GSTM2.pdf")</f>
        <v>Melting_Curves/meltCurve_P28161_GSTM2.pdf</v>
      </c>
    </row>
    <row r="2477" spans="1:28" x14ac:dyDescent="0.25">
      <c r="A2477" t="s">
        <v>2481</v>
      </c>
      <c r="B2477">
        <v>0.99999676499088797</v>
      </c>
      <c r="C2477">
        <v>0.97278310312270599</v>
      </c>
      <c r="D2477">
        <v>0.92589203619375005</v>
      </c>
      <c r="E2477">
        <v>0.80096845230089697</v>
      </c>
      <c r="F2477">
        <v>0.23725379217960599</v>
      </c>
      <c r="G2477">
        <v>0.173140949912481</v>
      </c>
      <c r="H2477">
        <v>9.2874246698218796E-2</v>
      </c>
      <c r="I2477">
        <v>7.1411114900047507E-2</v>
      </c>
      <c r="J2477">
        <v>6.1338810846436401E-2</v>
      </c>
      <c r="K2477">
        <v>4.7631579341311799E-2</v>
      </c>
      <c r="L2477">
        <v>1855.0277708874401</v>
      </c>
      <c r="M2477">
        <v>36.2396123918775</v>
      </c>
      <c r="N2477">
        <v>51.433180715076404</v>
      </c>
      <c r="O2477">
        <v>51.032731372700603</v>
      </c>
      <c r="P2477">
        <v>-0.16344059886439199</v>
      </c>
      <c r="Q2477">
        <v>7.93726771289371E-2</v>
      </c>
      <c r="R2477">
        <v>0.99283872731882405</v>
      </c>
      <c r="S2477" t="s">
        <v>9480</v>
      </c>
      <c r="T2477" t="s">
        <v>14004</v>
      </c>
      <c r="U2477" t="s">
        <v>14004</v>
      </c>
      <c r="V2477" t="s">
        <v>14004</v>
      </c>
      <c r="W2477" t="s">
        <v>16442</v>
      </c>
      <c r="X2477">
        <v>27</v>
      </c>
      <c r="Y2477" t="s">
        <v>23332</v>
      </c>
      <c r="Z2477" t="s">
        <v>30187</v>
      </c>
      <c r="AA2477">
        <v>0.42667384484644932</v>
      </c>
      <c r="AB2477" t="str">
        <f>HYPERLINK("Melting_Curves/meltCurve_P28331_4_NDUFS1.pdf", "Melting_Curves/meltCurve_P28331_4_NDUFS1.pdf")</f>
        <v>Melting_Curves/meltCurve_P28331_4_NDUFS1.pdf</v>
      </c>
    </row>
    <row r="2478" spans="1:28" x14ac:dyDescent="0.25">
      <c r="A2478" t="s">
        <v>2482</v>
      </c>
      <c r="B2478">
        <v>0.99999676499088797</v>
      </c>
      <c r="C2478">
        <v>0.96882477782773502</v>
      </c>
      <c r="D2478">
        <v>0.92935311229154804</v>
      </c>
      <c r="E2478">
        <v>0.81513326409917997</v>
      </c>
      <c r="F2478">
        <v>0.60751417838958199</v>
      </c>
      <c r="G2478">
        <v>0.50017563463749104</v>
      </c>
      <c r="H2478">
        <v>0.138727127084636</v>
      </c>
      <c r="I2478">
        <v>0.100807334589345</v>
      </c>
      <c r="J2478">
        <v>9.1650335639513997E-2</v>
      </c>
      <c r="K2478">
        <v>6.9004828924959405E-2</v>
      </c>
      <c r="L2478">
        <v>771.99474611410301</v>
      </c>
      <c r="M2478">
        <v>13.977343351949701</v>
      </c>
      <c r="N2478">
        <v>55.2318597959896</v>
      </c>
      <c r="O2478">
        <v>54.138160125916102</v>
      </c>
      <c r="P2478">
        <v>-6.4553379318886203E-2</v>
      </c>
      <c r="Q2478">
        <v>0</v>
      </c>
      <c r="R2478">
        <v>0.98731595382867599</v>
      </c>
      <c r="S2478" t="s">
        <v>9481</v>
      </c>
      <c r="T2478" t="s">
        <v>14004</v>
      </c>
      <c r="U2478" t="s">
        <v>14004</v>
      </c>
      <c r="V2478" t="s">
        <v>14004</v>
      </c>
      <c r="W2478" t="s">
        <v>16443</v>
      </c>
      <c r="X2478">
        <v>17</v>
      </c>
      <c r="Y2478" t="s">
        <v>23333</v>
      </c>
      <c r="Z2478" t="s">
        <v>30188</v>
      </c>
      <c r="AA2478">
        <v>0.5280087855552833</v>
      </c>
      <c r="AB2478" t="str">
        <f>HYPERLINK("Melting_Curves/meltCurve_P28482_MAPK1.pdf", "Melting_Curves/meltCurve_P28482_MAPK1.pdf")</f>
        <v>Melting_Curves/meltCurve_P28482_MAPK1.pdf</v>
      </c>
    </row>
    <row r="2479" spans="1:28" x14ac:dyDescent="0.25">
      <c r="A2479" t="s">
        <v>2483</v>
      </c>
      <c r="B2479">
        <v>0.99999676499088797</v>
      </c>
      <c r="C2479">
        <v>0.91530174284867705</v>
      </c>
      <c r="D2479">
        <v>0.58076502008871</v>
      </c>
      <c r="E2479">
        <v>0.363564599674085</v>
      </c>
      <c r="F2479">
        <v>0.197004591852244</v>
      </c>
      <c r="G2479">
        <v>0.13990028767063201</v>
      </c>
      <c r="H2479">
        <v>8.1271084247407199E-2</v>
      </c>
      <c r="I2479">
        <v>0.102943179201228</v>
      </c>
      <c r="J2479">
        <v>8.3500948240014999E-2</v>
      </c>
      <c r="K2479">
        <v>8.0979094686846304E-2</v>
      </c>
      <c r="L2479">
        <v>877.85617063732798</v>
      </c>
      <c r="M2479">
        <v>18.6737566085746</v>
      </c>
      <c r="N2479">
        <v>47.509388954345397</v>
      </c>
      <c r="O2479">
        <v>46.480993715460698</v>
      </c>
      <c r="P2479">
        <v>-9.1493823172164604E-2</v>
      </c>
      <c r="Q2479">
        <v>8.9086915524659499E-2</v>
      </c>
      <c r="R2479">
        <v>0.99290559654661104</v>
      </c>
      <c r="S2479" t="s">
        <v>9482</v>
      </c>
      <c r="T2479" t="s">
        <v>14004</v>
      </c>
      <c r="U2479" t="s">
        <v>14004</v>
      </c>
      <c r="V2479" t="s">
        <v>14004</v>
      </c>
      <c r="W2479" t="s">
        <v>16444</v>
      </c>
      <c r="X2479">
        <v>8</v>
      </c>
      <c r="Y2479" t="s">
        <v>23334</v>
      </c>
      <c r="Z2479" t="s">
        <v>30189</v>
      </c>
      <c r="AA2479">
        <v>0.31744422146727502</v>
      </c>
      <c r="AB2479" t="str">
        <f>HYPERLINK("Melting_Curves/meltCurve_P28702_RXRB.pdf", "Melting_Curves/meltCurve_P28702_RXRB.pdf")</f>
        <v>Melting_Curves/meltCurve_P28702_RXRB.pdf</v>
      </c>
    </row>
    <row r="2480" spans="1:28" x14ac:dyDescent="0.25">
      <c r="A2480" t="s">
        <v>2484</v>
      </c>
      <c r="B2480">
        <v>0.99999676499088797</v>
      </c>
      <c r="C2480">
        <v>0.94728152695872303</v>
      </c>
      <c r="D2480">
        <v>0.79094466251209905</v>
      </c>
      <c r="E2480">
        <v>0.51691738799782905</v>
      </c>
      <c r="F2480">
        <v>0.23522516140991301</v>
      </c>
      <c r="G2480">
        <v>0.16299728432046601</v>
      </c>
      <c r="H2480">
        <v>7.0157324198752896E-2</v>
      </c>
      <c r="I2480">
        <v>7.2496381866247697E-2</v>
      </c>
      <c r="J2480">
        <v>6.1762930765064901E-2</v>
      </c>
      <c r="K2480">
        <v>5.812809085916E-2</v>
      </c>
      <c r="L2480">
        <v>894.52290063900296</v>
      </c>
      <c r="M2480">
        <v>18.1264503955422</v>
      </c>
      <c r="N2480">
        <v>49.668036551549299</v>
      </c>
      <c r="O2480">
        <v>48.760173646460203</v>
      </c>
      <c r="P2480">
        <v>-8.7834208999499702E-2</v>
      </c>
      <c r="Q2480">
        <v>5.4948843714207302E-2</v>
      </c>
      <c r="R2480">
        <v>0.99863935694768902</v>
      </c>
      <c r="S2480" t="s">
        <v>9483</v>
      </c>
      <c r="T2480" t="s">
        <v>14004</v>
      </c>
      <c r="U2480" t="s">
        <v>14004</v>
      </c>
      <c r="V2480" t="s">
        <v>14004</v>
      </c>
      <c r="W2480" t="s">
        <v>16445</v>
      </c>
      <c r="X2480">
        <v>8</v>
      </c>
      <c r="Y2480" t="s">
        <v>23335</v>
      </c>
      <c r="Z2480" t="s">
        <v>30190</v>
      </c>
      <c r="AA2480">
        <v>0.36550686045037428</v>
      </c>
      <c r="AB2480" t="str">
        <f>HYPERLINK("Melting_Curves/meltCurve_P28715_ERCC5.pdf", "Melting_Curves/meltCurve_P28715_ERCC5.pdf")</f>
        <v>Melting_Curves/meltCurve_P28715_ERCC5.pdf</v>
      </c>
    </row>
    <row r="2481" spans="1:28" x14ac:dyDescent="0.25">
      <c r="A2481" t="s">
        <v>2485</v>
      </c>
      <c r="B2481">
        <v>0.99999676499088797</v>
      </c>
      <c r="C2481">
        <v>1.0952220561330299</v>
      </c>
      <c r="D2481">
        <v>0.78709619343563797</v>
      </c>
      <c r="E2481">
        <v>0.48765790205211701</v>
      </c>
      <c r="F2481">
        <v>0.27928956291589002</v>
      </c>
      <c r="G2481">
        <v>0.23576333747007</v>
      </c>
      <c r="H2481">
        <v>0.123933353977752</v>
      </c>
      <c r="I2481">
        <v>9.6355508081281696E-2</v>
      </c>
      <c r="J2481">
        <v>7.7652663856933701E-2</v>
      </c>
      <c r="K2481">
        <v>8.2668425562053297E-2</v>
      </c>
      <c r="L2481">
        <v>984.10355643693902</v>
      </c>
      <c r="M2481">
        <v>19.9949176032225</v>
      </c>
      <c r="N2481">
        <v>49.790019040015899</v>
      </c>
      <c r="O2481">
        <v>48.7333054912352</v>
      </c>
      <c r="P2481">
        <v>-9.2044997940335493E-2</v>
      </c>
      <c r="Q2481">
        <v>0.102669632218008</v>
      </c>
      <c r="R2481">
        <v>0.97929882395789303</v>
      </c>
      <c r="S2481" t="s">
        <v>9484</v>
      </c>
      <c r="T2481" t="s">
        <v>14004</v>
      </c>
      <c r="U2481" t="s">
        <v>14004</v>
      </c>
      <c r="V2481" t="s">
        <v>14004</v>
      </c>
      <c r="W2481" t="s">
        <v>16446</v>
      </c>
      <c r="X2481">
        <v>1</v>
      </c>
      <c r="Y2481" t="s">
        <v>23336</v>
      </c>
      <c r="Z2481" t="s">
        <v>30191</v>
      </c>
      <c r="AA2481">
        <v>0.3909326405826391</v>
      </c>
      <c r="AB2481" t="str">
        <f>HYPERLINK("Melting_Curves/meltCurve_P28749_RBL1.pdf", "Melting_Curves/meltCurve_P28749_RBL1.pdf")</f>
        <v>Melting_Curves/meltCurve_P28749_RBL1.pdf</v>
      </c>
    </row>
    <row r="2482" spans="1:28" x14ac:dyDescent="0.25">
      <c r="A2482" t="s">
        <v>2486</v>
      </c>
      <c r="B2482">
        <v>0.99999676499088797</v>
      </c>
      <c r="C2482">
        <v>0.93136881011157302</v>
      </c>
      <c r="D2482">
        <v>0.82701795669354194</v>
      </c>
      <c r="E2482">
        <v>0.65220165555388598</v>
      </c>
      <c r="F2482">
        <v>0.52093195142635496</v>
      </c>
      <c r="G2482">
        <v>0.42928681578153699</v>
      </c>
      <c r="H2482">
        <v>0.28998998653873598</v>
      </c>
      <c r="I2482">
        <v>0.33155577430468303</v>
      </c>
      <c r="J2482">
        <v>0.32243436331970599</v>
      </c>
      <c r="K2482">
        <v>0.37398314556599399</v>
      </c>
      <c r="L2482">
        <v>725.58444113069299</v>
      </c>
      <c r="M2482">
        <v>14.6253660787321</v>
      </c>
      <c r="N2482">
        <v>53.220832802497398</v>
      </c>
      <c r="O2482">
        <v>48.711544176637403</v>
      </c>
      <c r="P2482">
        <v>-5.1455297476638601E-2</v>
      </c>
      <c r="Q2482">
        <v>0.31456421858486999</v>
      </c>
      <c r="R2482">
        <v>0.98663586952501703</v>
      </c>
      <c r="S2482" t="s">
        <v>9485</v>
      </c>
      <c r="T2482" t="s">
        <v>14004</v>
      </c>
      <c r="U2482" t="s">
        <v>14004</v>
      </c>
      <c r="V2482" t="s">
        <v>14004</v>
      </c>
      <c r="W2482" t="s">
        <v>16447</v>
      </c>
      <c r="X2482">
        <v>8</v>
      </c>
      <c r="Y2482" t="s">
        <v>23337</v>
      </c>
      <c r="Z2482" t="s">
        <v>30192</v>
      </c>
      <c r="AA2482">
        <v>0.55149211686932997</v>
      </c>
      <c r="AB2482" t="str">
        <f>HYPERLINK("Melting_Curves/meltCurve_P28799_GRN.pdf", "Melting_Curves/meltCurve_P28799_GRN.pdf")</f>
        <v>Melting_Curves/meltCurve_P28799_GRN.pdf</v>
      </c>
    </row>
    <row r="2483" spans="1:28" x14ac:dyDescent="0.25">
      <c r="A2483" t="s">
        <v>2487</v>
      </c>
      <c r="B2483">
        <v>0.99999676499088797</v>
      </c>
      <c r="C2483">
        <v>1.06153002183826</v>
      </c>
      <c r="D2483">
        <v>1.0514215374643501</v>
      </c>
      <c r="E2483">
        <v>0.91899105685397398</v>
      </c>
      <c r="F2483">
        <v>0.78801490596093904</v>
      </c>
      <c r="G2483">
        <v>0.65885533004610497</v>
      </c>
      <c r="H2483">
        <v>0.42874502343258503</v>
      </c>
      <c r="I2483">
        <v>0.38993048039804601</v>
      </c>
      <c r="J2483">
        <v>0.32430596959192798</v>
      </c>
      <c r="K2483">
        <v>0.37458729497065502</v>
      </c>
      <c r="L2483">
        <v>1028.5755846424499</v>
      </c>
      <c r="M2483">
        <v>18.365879158870499</v>
      </c>
      <c r="N2483">
        <v>59.395887150578503</v>
      </c>
      <c r="O2483">
        <v>55.353394501061402</v>
      </c>
      <c r="P2483">
        <v>-5.6010510268130698E-2</v>
      </c>
      <c r="Q2483">
        <v>0.32478472022550597</v>
      </c>
      <c r="R2483">
        <v>0.98334006539954399</v>
      </c>
      <c r="S2483" t="s">
        <v>9486</v>
      </c>
      <c r="T2483" t="s">
        <v>14004</v>
      </c>
      <c r="U2483" t="s">
        <v>14004</v>
      </c>
      <c r="V2483" t="s">
        <v>14004</v>
      </c>
      <c r="W2483" t="s">
        <v>16448</v>
      </c>
      <c r="X2483">
        <v>40</v>
      </c>
      <c r="Y2483" t="s">
        <v>23338</v>
      </c>
      <c r="Z2483" t="s">
        <v>30193</v>
      </c>
      <c r="AA2483">
        <v>0.69471182793491359</v>
      </c>
      <c r="AB2483" t="str">
        <f>HYPERLINK("Melting_Curves/meltCurve_P28838_LAP3.pdf", "Melting_Curves/meltCurve_P28838_LAP3.pdf")</f>
        <v>Melting_Curves/meltCurve_P28838_LAP3.pdf</v>
      </c>
    </row>
    <row r="2484" spans="1:28" x14ac:dyDescent="0.25">
      <c r="A2484" t="s">
        <v>2488</v>
      </c>
      <c r="B2484">
        <v>0.99999676499088797</v>
      </c>
      <c r="C2484">
        <v>0.93209079348658797</v>
      </c>
      <c r="D2484">
        <v>0.96431356287115999</v>
      </c>
      <c r="E2484">
        <v>0.99238319922959195</v>
      </c>
      <c r="F2484">
        <v>0.96051917747905402</v>
      </c>
      <c r="G2484">
        <v>0.80717599190808798</v>
      </c>
      <c r="H2484">
        <v>0.54621610970586998</v>
      </c>
      <c r="I2484">
        <v>0.41595430854364401</v>
      </c>
      <c r="J2484">
        <v>0.33039887015427799</v>
      </c>
      <c r="K2484">
        <v>0.40972329784710898</v>
      </c>
      <c r="L2484">
        <v>1587.6952749787799</v>
      </c>
      <c r="M2484">
        <v>27.078432169734999</v>
      </c>
      <c r="N2484">
        <v>61.500626471758601</v>
      </c>
      <c r="O2484">
        <v>58.316212074806302</v>
      </c>
      <c r="P2484">
        <v>-7.4465573760358297E-2</v>
      </c>
      <c r="Q2484">
        <v>0.35852878442901898</v>
      </c>
      <c r="R2484">
        <v>0.98517987910085203</v>
      </c>
      <c r="S2484" t="s">
        <v>9487</v>
      </c>
      <c r="T2484" t="s">
        <v>14004</v>
      </c>
      <c r="U2484" t="s">
        <v>14004</v>
      </c>
      <c r="V2484" t="s">
        <v>14004</v>
      </c>
      <c r="W2484" t="s">
        <v>16449</v>
      </c>
      <c r="X2484">
        <v>19</v>
      </c>
      <c r="Y2484" t="s">
        <v>23339</v>
      </c>
      <c r="Z2484" t="s">
        <v>30194</v>
      </c>
      <c r="AA2484">
        <v>0.76179635579390659</v>
      </c>
      <c r="AB2484" t="str">
        <f>HYPERLINK("Melting_Curves/meltCurve_P28907_CD38.pdf", "Melting_Curves/meltCurve_P28907_CD38.pdf")</f>
        <v>Melting_Curves/meltCurve_P28907_CD38.pdf</v>
      </c>
    </row>
    <row r="2485" spans="1:28" x14ac:dyDescent="0.25">
      <c r="A2485" t="s">
        <v>2489</v>
      </c>
      <c r="B2485">
        <v>0.99999676499088797</v>
      </c>
      <c r="C2485">
        <v>0.88439334991357599</v>
      </c>
      <c r="D2485">
        <v>0.82472581650919996</v>
      </c>
      <c r="E2485">
        <v>0.75129224368314096</v>
      </c>
      <c r="F2485">
        <v>0.70069209630954699</v>
      </c>
      <c r="G2485">
        <v>0.53230104103542197</v>
      </c>
      <c r="H2485">
        <v>0.37812232213063501</v>
      </c>
      <c r="I2485">
        <v>0.37745648517363301</v>
      </c>
      <c r="J2485">
        <v>0.32983224391225802</v>
      </c>
      <c r="K2485">
        <v>0.37873881135057302</v>
      </c>
      <c r="L2485">
        <v>469.54716680241899</v>
      </c>
      <c r="M2485">
        <v>8.7531393811674398</v>
      </c>
      <c r="N2485">
        <v>57.9654486061143</v>
      </c>
      <c r="O2485">
        <v>51.064322804466997</v>
      </c>
      <c r="P2485">
        <v>-3.2608927529299898E-2</v>
      </c>
      <c r="Q2485">
        <v>0.23967367755567501</v>
      </c>
      <c r="R2485">
        <v>0.971788869911697</v>
      </c>
      <c r="S2485" t="s">
        <v>9488</v>
      </c>
      <c r="T2485" t="s">
        <v>14004</v>
      </c>
      <c r="U2485" t="s">
        <v>14004</v>
      </c>
      <c r="V2485" t="s">
        <v>14004</v>
      </c>
      <c r="W2485" t="s">
        <v>16450</v>
      </c>
      <c r="X2485">
        <v>9</v>
      </c>
      <c r="Y2485" t="s">
        <v>23340</v>
      </c>
      <c r="Z2485" t="s">
        <v>30195</v>
      </c>
      <c r="AA2485">
        <v>0.61183153777891464</v>
      </c>
      <c r="AB2485" t="str">
        <f>HYPERLINK("Melting_Curves/meltCurve_P28908_TNFRSF8.pdf", "Melting_Curves/meltCurve_P28908_TNFRSF8.pdf")</f>
        <v>Melting_Curves/meltCurve_P28908_TNFRSF8.pdf</v>
      </c>
    </row>
    <row r="2486" spans="1:28" x14ac:dyDescent="0.25">
      <c r="A2486" t="s">
        <v>2490</v>
      </c>
      <c r="B2486">
        <v>0.99999676499088797</v>
      </c>
      <c r="C2486">
        <v>1.2196035627158399</v>
      </c>
      <c r="D2486">
        <v>1.23472469587499</v>
      </c>
      <c r="E2486">
        <v>0.66582846341369895</v>
      </c>
      <c r="F2486">
        <v>1.9633077920359701</v>
      </c>
      <c r="G2486">
        <v>0.68619667214940305</v>
      </c>
      <c r="H2486">
        <v>0.65457213289377802</v>
      </c>
      <c r="I2486">
        <v>0.70059497505158497</v>
      </c>
      <c r="J2486">
        <v>0.53757470652785799</v>
      </c>
      <c r="K2486">
        <v>0.36245794047108298</v>
      </c>
      <c r="L2486">
        <v>14146.5233227589</v>
      </c>
      <c r="M2486">
        <v>250</v>
      </c>
      <c r="O2486">
        <v>56.582472154149897</v>
      </c>
      <c r="P2486">
        <v>-0.48181898485633201</v>
      </c>
      <c r="Q2486">
        <v>0.56379985179041203</v>
      </c>
      <c r="R2486">
        <v>0.38695348612755898</v>
      </c>
      <c r="S2486" t="s">
        <v>9489</v>
      </c>
      <c r="T2486" t="s">
        <v>14004</v>
      </c>
      <c r="U2486" t="s">
        <v>14004</v>
      </c>
      <c r="V2486" t="s">
        <v>14004</v>
      </c>
      <c r="W2486" t="s">
        <v>16451</v>
      </c>
      <c r="X2486">
        <v>1</v>
      </c>
      <c r="Y2486" t="s">
        <v>23341</v>
      </c>
      <c r="Z2486" t="s">
        <v>30196</v>
      </c>
      <c r="AA2486">
        <v>0.80500504822182217</v>
      </c>
      <c r="AB2486" t="str">
        <f>HYPERLINK("Melting_Curves/meltCurve_P29016_CD1B.pdf", "Melting_Curves/meltCurve_P29016_CD1B.pdf")</f>
        <v>Melting_Curves/meltCurve_P29016_CD1B.pdf</v>
      </c>
    </row>
    <row r="2487" spans="1:28" x14ac:dyDescent="0.25">
      <c r="A2487" t="s">
        <v>2491</v>
      </c>
      <c r="B2487">
        <v>0.99999676499088797</v>
      </c>
      <c r="C2487">
        <v>0.94133533019656601</v>
      </c>
      <c r="D2487">
        <v>0.854933196623897</v>
      </c>
      <c r="E2487">
        <v>0.44662371358103897</v>
      </c>
      <c r="F2487">
        <v>0.25754478080901</v>
      </c>
      <c r="G2487">
        <v>0.17225911384215101</v>
      </c>
      <c r="H2487">
        <v>8.2914185817477906E-2</v>
      </c>
      <c r="I2487">
        <v>7.9446945909371305E-2</v>
      </c>
      <c r="J2487">
        <v>7.9886593888590193E-2</v>
      </c>
      <c r="K2487">
        <v>7.2476116255941997E-2</v>
      </c>
      <c r="L2487">
        <v>1018.01459571881</v>
      </c>
      <c r="M2487">
        <v>20.747951951549599</v>
      </c>
      <c r="N2487">
        <v>49.490269966618897</v>
      </c>
      <c r="O2487">
        <v>48.616810884090903</v>
      </c>
      <c r="P2487">
        <v>-9.7997534571179698E-2</v>
      </c>
      <c r="Q2487">
        <v>8.1510717720591694E-2</v>
      </c>
      <c r="R2487">
        <v>0.99539424080845296</v>
      </c>
      <c r="S2487" t="s">
        <v>9490</v>
      </c>
      <c r="T2487" t="s">
        <v>14004</v>
      </c>
      <c r="U2487" t="s">
        <v>14004</v>
      </c>
      <c r="V2487" t="s">
        <v>14004</v>
      </c>
      <c r="W2487" t="s">
        <v>16452</v>
      </c>
      <c r="X2487">
        <v>17</v>
      </c>
      <c r="Y2487" t="s">
        <v>23342</v>
      </c>
      <c r="Z2487" t="s">
        <v>30197</v>
      </c>
      <c r="AA2487">
        <v>0.37100542518244872</v>
      </c>
      <c r="AB2487" t="str">
        <f>HYPERLINK("Melting_Curves/meltCurve_P29083_GTF2E1.pdf", "Melting_Curves/meltCurve_P29083_GTF2E1.pdf")</f>
        <v>Melting_Curves/meltCurve_P29083_GTF2E1.pdf</v>
      </c>
    </row>
    <row r="2488" spans="1:28" x14ac:dyDescent="0.25">
      <c r="A2488" t="s">
        <v>2492</v>
      </c>
      <c r="B2488">
        <v>0.99999676499088797</v>
      </c>
      <c r="C2488">
        <v>0.90493095000418999</v>
      </c>
      <c r="D2488">
        <v>0.88287448573377403</v>
      </c>
      <c r="E2488">
        <v>0.53194536119054903</v>
      </c>
      <c r="F2488">
        <v>0.19645874809613001</v>
      </c>
      <c r="G2488">
        <v>0.134060816681906</v>
      </c>
      <c r="H2488">
        <v>8.0425905950831503E-2</v>
      </c>
      <c r="I2488">
        <v>0.10027658495490201</v>
      </c>
      <c r="J2488">
        <v>0.11755415841415</v>
      </c>
      <c r="K2488">
        <v>0.119365744289951</v>
      </c>
      <c r="L2488">
        <v>1263.5280710141601</v>
      </c>
      <c r="M2488">
        <v>25.619440934747001</v>
      </c>
      <c r="N2488">
        <v>49.750095740511703</v>
      </c>
      <c r="O2488">
        <v>49.021571071658002</v>
      </c>
      <c r="P2488">
        <v>-0.117653104233466</v>
      </c>
      <c r="Q2488">
        <v>9.9516798415263397E-2</v>
      </c>
      <c r="R2488">
        <v>0.99400963341341197</v>
      </c>
      <c r="S2488" t="s">
        <v>9491</v>
      </c>
      <c r="T2488" t="s">
        <v>14004</v>
      </c>
      <c r="U2488" t="s">
        <v>14004</v>
      </c>
      <c r="V2488" t="s">
        <v>14004</v>
      </c>
      <c r="W2488" t="s">
        <v>16453</v>
      </c>
      <c r="X2488">
        <v>17</v>
      </c>
      <c r="Y2488" t="s">
        <v>23343</v>
      </c>
      <c r="Z2488" t="s">
        <v>30198</v>
      </c>
      <c r="AA2488">
        <v>0.38684799038800588</v>
      </c>
      <c r="AB2488" t="str">
        <f>HYPERLINK("Melting_Curves/meltCurve_P29084_GTF2E2.pdf", "Melting_Curves/meltCurve_P29084_GTF2E2.pdf")</f>
        <v>Melting_Curves/meltCurve_P29084_GTF2E2.pdf</v>
      </c>
    </row>
    <row r="2489" spans="1:28" x14ac:dyDescent="0.25">
      <c r="A2489" t="s">
        <v>2493</v>
      </c>
      <c r="B2489">
        <v>0.99999676499088797</v>
      </c>
      <c r="C2489">
        <v>1.0244206947253101</v>
      </c>
      <c r="D2489">
        <v>1.0491482537647401</v>
      </c>
      <c r="E2489">
        <v>1.1704141850496299</v>
      </c>
      <c r="F2489">
        <v>1.21589997556441</v>
      </c>
      <c r="G2489">
        <v>1.0381471246007199</v>
      </c>
      <c r="H2489">
        <v>0.13253908298109199</v>
      </c>
      <c r="I2489">
        <v>0.119410796729378</v>
      </c>
      <c r="J2489">
        <v>0.103990055462383</v>
      </c>
      <c r="K2489">
        <v>8.1281900330686899E-2</v>
      </c>
      <c r="L2489">
        <v>14997.399800748701</v>
      </c>
      <c r="M2489">
        <v>250</v>
      </c>
      <c r="N2489">
        <v>60.044139396638499</v>
      </c>
      <c r="O2489">
        <v>59.985760262252803</v>
      </c>
      <c r="P2489">
        <v>-0.93609660321933796</v>
      </c>
      <c r="Q2489">
        <v>0.101560538220373</v>
      </c>
      <c r="R2489">
        <v>0.96508254565267004</v>
      </c>
      <c r="S2489" t="s">
        <v>9492</v>
      </c>
      <c r="T2489" t="s">
        <v>14004</v>
      </c>
      <c r="U2489" t="s">
        <v>14004</v>
      </c>
      <c r="V2489" t="s">
        <v>14004</v>
      </c>
      <c r="W2489" t="s">
        <v>16454</v>
      </c>
      <c r="X2489">
        <v>65</v>
      </c>
      <c r="Y2489" t="s">
        <v>23344</v>
      </c>
      <c r="Z2489" t="s">
        <v>30199</v>
      </c>
      <c r="AA2489">
        <v>0.70030328496160554</v>
      </c>
      <c r="AB2489" t="str">
        <f>HYPERLINK("Melting_Curves/meltCurve_P29144_TPP2.pdf", "Melting_Curves/meltCurve_P29144_TPP2.pdf")</f>
        <v>Melting_Curves/meltCurve_P29144_TPP2.pdf</v>
      </c>
    </row>
    <row r="2490" spans="1:28" x14ac:dyDescent="0.25">
      <c r="A2490" t="s">
        <v>2494</v>
      </c>
      <c r="B2490">
        <v>0.99999676499088797</v>
      </c>
      <c r="C2490">
        <v>1.05252154765474</v>
      </c>
      <c r="D2490">
        <v>1.0407185788296001</v>
      </c>
      <c r="E2490">
        <v>1.00903153268404</v>
      </c>
      <c r="F2490">
        <v>1.0301506543285699</v>
      </c>
      <c r="G2490">
        <v>0.91004855489149805</v>
      </c>
      <c r="H2490">
        <v>0.63016061697032799</v>
      </c>
      <c r="I2490">
        <v>0.652325906459303</v>
      </c>
      <c r="J2490">
        <v>0.62526391382899305</v>
      </c>
      <c r="K2490">
        <v>0.67859494046035995</v>
      </c>
      <c r="L2490">
        <v>14261.039539294101</v>
      </c>
      <c r="M2490">
        <v>250</v>
      </c>
      <c r="O2490">
        <v>57.040497050282397</v>
      </c>
      <c r="P2490">
        <v>-0.38723979411995102</v>
      </c>
      <c r="Q2490">
        <v>0.646586328830702</v>
      </c>
      <c r="R2490">
        <v>0.97800625325994195</v>
      </c>
      <c r="S2490" t="s">
        <v>9493</v>
      </c>
      <c r="T2490" t="s">
        <v>14004</v>
      </c>
      <c r="U2490" t="s">
        <v>14004</v>
      </c>
      <c r="V2490" t="s">
        <v>14004</v>
      </c>
      <c r="W2490" t="s">
        <v>16455</v>
      </c>
      <c r="X2490">
        <v>18</v>
      </c>
      <c r="Y2490" t="s">
        <v>21374</v>
      </c>
      <c r="Z2490" t="s">
        <v>30200</v>
      </c>
      <c r="AA2490">
        <v>0.84740965985282968</v>
      </c>
      <c r="AB2490" t="str">
        <f>HYPERLINK("Melting_Curves/meltCurve_P29218_IMPA1.pdf", "Melting_Curves/meltCurve_P29218_IMPA1.pdf")</f>
        <v>Melting_Curves/meltCurve_P29218_IMPA1.pdf</v>
      </c>
    </row>
    <row r="2491" spans="1:28" x14ac:dyDescent="0.25">
      <c r="A2491" t="s">
        <v>2495</v>
      </c>
      <c r="B2491">
        <v>0.99999676499088797</v>
      </c>
      <c r="C2491">
        <v>0.94922551842529901</v>
      </c>
      <c r="D2491">
        <v>0.82877659926307301</v>
      </c>
      <c r="E2491">
        <v>0.20552209337396099</v>
      </c>
      <c r="F2491">
        <v>0.146083584042459</v>
      </c>
      <c r="G2491">
        <v>9.1139365117988494E-2</v>
      </c>
      <c r="H2491">
        <v>4.5889932533467903E-2</v>
      </c>
      <c r="I2491">
        <v>4.4595910491301301E-2</v>
      </c>
      <c r="J2491">
        <v>4.2152575106754499E-2</v>
      </c>
      <c r="K2491">
        <v>3.8936914241112397E-2</v>
      </c>
      <c r="L2491">
        <v>1897.9594201206901</v>
      </c>
      <c r="M2491">
        <v>39.846022348803103</v>
      </c>
      <c r="N2491">
        <v>47.794342216704898</v>
      </c>
      <c r="O2491">
        <v>47.512842118286898</v>
      </c>
      <c r="P2491">
        <v>-0.196414484325896</v>
      </c>
      <c r="Q2491">
        <v>6.3174674371074699E-2</v>
      </c>
      <c r="R2491">
        <v>0.99400077701561296</v>
      </c>
      <c r="S2491" t="s">
        <v>9494</v>
      </c>
      <c r="T2491" t="s">
        <v>14004</v>
      </c>
      <c r="U2491" t="s">
        <v>14004</v>
      </c>
      <c r="V2491" t="s">
        <v>14004</v>
      </c>
      <c r="W2491" t="s">
        <v>16456</v>
      </c>
      <c r="X2491">
        <v>30</v>
      </c>
      <c r="Y2491" t="s">
        <v>23345</v>
      </c>
      <c r="Z2491" t="s">
        <v>30201</v>
      </c>
      <c r="AA2491">
        <v>0.30463559235861298</v>
      </c>
      <c r="AB2491" t="str">
        <f>HYPERLINK("Melting_Curves/meltCurve_P29350_PTPN6.pdf", "Melting_Curves/meltCurve_P29350_PTPN6.pdf")</f>
        <v>Melting_Curves/meltCurve_P29350_PTPN6.pdf</v>
      </c>
    </row>
    <row r="2492" spans="1:28" x14ac:dyDescent="0.25">
      <c r="A2492" t="s">
        <v>2496</v>
      </c>
      <c r="B2492">
        <v>0.99999676499088797</v>
      </c>
      <c r="C2492">
        <v>0.96105577398386899</v>
      </c>
      <c r="D2492">
        <v>0.93908092499373497</v>
      </c>
      <c r="E2492">
        <v>0.86688161747249703</v>
      </c>
      <c r="F2492">
        <v>0.64676991428264197</v>
      </c>
      <c r="G2492">
        <v>0.349394528976325</v>
      </c>
      <c r="H2492">
        <v>0.15590763080356801</v>
      </c>
      <c r="I2492">
        <v>0.121249932817899</v>
      </c>
      <c r="J2492">
        <v>0.107519652248817</v>
      </c>
      <c r="K2492">
        <v>9.6552645125875997E-2</v>
      </c>
      <c r="L2492">
        <v>1053.6024910625499</v>
      </c>
      <c r="M2492">
        <v>19.405994421227501</v>
      </c>
      <c r="N2492">
        <v>54.7582119751753</v>
      </c>
      <c r="O2492">
        <v>53.725963292535901</v>
      </c>
      <c r="P2492">
        <v>-8.3436426571869504E-2</v>
      </c>
      <c r="Q2492">
        <v>7.6050846988238205E-2</v>
      </c>
      <c r="R2492">
        <v>0.99763384286602397</v>
      </c>
      <c r="S2492" t="s">
        <v>9495</v>
      </c>
      <c r="T2492" t="s">
        <v>14004</v>
      </c>
      <c r="U2492" t="s">
        <v>14004</v>
      </c>
      <c r="V2492" t="s">
        <v>14004</v>
      </c>
      <c r="W2492" t="s">
        <v>16457</v>
      </c>
      <c r="X2492">
        <v>14</v>
      </c>
      <c r="Y2492" t="s">
        <v>23346</v>
      </c>
      <c r="Z2492" t="s">
        <v>30202</v>
      </c>
      <c r="AA2492">
        <v>0.52933730368416054</v>
      </c>
      <c r="AB2492" t="str">
        <f>HYPERLINK("Melting_Curves/meltCurve_P29353_7_SHC1.pdf", "Melting_Curves/meltCurve_P29353_7_SHC1.pdf")</f>
        <v>Melting_Curves/meltCurve_P29353_7_SHC1.pdf</v>
      </c>
    </row>
    <row r="2493" spans="1:28" x14ac:dyDescent="0.25">
      <c r="A2493" t="s">
        <v>2497</v>
      </c>
      <c r="B2493">
        <v>0.99999676499088797</v>
      </c>
      <c r="C2493">
        <v>1.07124689650015</v>
      </c>
      <c r="D2493">
        <v>0.94629058543714795</v>
      </c>
      <c r="E2493">
        <v>0.816801087039009</v>
      </c>
      <c r="F2493">
        <v>0.371000410321431</v>
      </c>
      <c r="G2493">
        <v>0.22565002776078399</v>
      </c>
      <c r="H2493">
        <v>9.8622355164916797E-2</v>
      </c>
      <c r="I2493">
        <v>9.7936563281178196E-2</v>
      </c>
      <c r="J2493">
        <v>9.7600016248572494E-2</v>
      </c>
      <c r="K2493">
        <v>8.1513946992160899E-2</v>
      </c>
      <c r="L2493">
        <v>1387.67892400546</v>
      </c>
      <c r="M2493">
        <v>26.747464385051099</v>
      </c>
      <c r="N2493">
        <v>52.2910420635517</v>
      </c>
      <c r="O2493">
        <v>51.593370957634903</v>
      </c>
      <c r="P2493">
        <v>-0.11734076539804</v>
      </c>
      <c r="Q2493">
        <v>9.4651622198442906E-2</v>
      </c>
      <c r="R2493">
        <v>0.99353025451503996</v>
      </c>
      <c r="S2493" t="s">
        <v>9496</v>
      </c>
      <c r="T2493" t="s">
        <v>14004</v>
      </c>
      <c r="U2493" t="s">
        <v>14004</v>
      </c>
      <c r="V2493" t="s">
        <v>14004</v>
      </c>
      <c r="W2493" t="s">
        <v>16458</v>
      </c>
      <c r="X2493">
        <v>10</v>
      </c>
      <c r="Y2493" t="s">
        <v>23347</v>
      </c>
      <c r="Z2493" t="s">
        <v>30203</v>
      </c>
      <c r="AA2493">
        <v>0.46043225458631593</v>
      </c>
      <c r="AB2493" t="str">
        <f>HYPERLINK("Melting_Curves/meltCurve_P29372_5_MPG.pdf", "Melting_Curves/meltCurve_P29372_5_MPG.pdf")</f>
        <v>Melting_Curves/meltCurve_P29372_5_MPG.pdf</v>
      </c>
    </row>
    <row r="2494" spans="1:28" x14ac:dyDescent="0.25">
      <c r="A2494" t="s">
        <v>2498</v>
      </c>
      <c r="B2494">
        <v>0.99999676499088797</v>
      </c>
      <c r="C2494">
        <v>0.39872242857002299</v>
      </c>
      <c r="D2494">
        <v>0.261427821686951</v>
      </c>
      <c r="E2494">
        <v>0.16451683984804699</v>
      </c>
      <c r="F2494">
        <v>0.16856271704442599</v>
      </c>
      <c r="G2494">
        <v>0.10484169321473701</v>
      </c>
      <c r="H2494">
        <v>5.9417514553071302E-2</v>
      </c>
      <c r="I2494">
        <v>6.3691832365815201E-2</v>
      </c>
      <c r="J2494">
        <v>4.7798208124552301E-2</v>
      </c>
      <c r="K2494">
        <v>7.4413480475259794E-2</v>
      </c>
      <c r="L2494">
        <v>2064.7222673439701</v>
      </c>
      <c r="M2494">
        <v>48.761789292177802</v>
      </c>
      <c r="N2494">
        <v>42.568727702068003</v>
      </c>
      <c r="O2494">
        <v>42.272003262358297</v>
      </c>
      <c r="P2494">
        <v>-0.25553531535787</v>
      </c>
      <c r="Q2494">
        <v>0.113898018625919</v>
      </c>
      <c r="R2494">
        <v>0.95187132315246004</v>
      </c>
      <c r="S2494" t="s">
        <v>9497</v>
      </c>
      <c r="T2494" t="s">
        <v>14004</v>
      </c>
      <c r="U2494" t="s">
        <v>14004</v>
      </c>
      <c r="V2494" t="s">
        <v>14004</v>
      </c>
      <c r="W2494" t="s">
        <v>16459</v>
      </c>
      <c r="X2494">
        <v>4</v>
      </c>
      <c r="Y2494" t="s">
        <v>23348</v>
      </c>
      <c r="Z2494" t="s">
        <v>30204</v>
      </c>
      <c r="AA2494">
        <v>0.1860760987132794</v>
      </c>
      <c r="AB2494" t="str">
        <f>HYPERLINK("Melting_Curves/meltCurve_P29374_3_ARID4A.pdf", "Melting_Curves/meltCurve_P29374_3_ARID4A.pdf")</f>
        <v>Melting_Curves/meltCurve_P29374_3_ARID4A.pdf</v>
      </c>
    </row>
    <row r="2495" spans="1:28" x14ac:dyDescent="0.25">
      <c r="A2495" t="s">
        <v>2499</v>
      </c>
      <c r="B2495">
        <v>0.99999676499088797</v>
      </c>
      <c r="C2495">
        <v>1.00665522120273</v>
      </c>
      <c r="D2495">
        <v>0.962758644158347</v>
      </c>
      <c r="E2495">
        <v>0.91598158868333102</v>
      </c>
      <c r="F2495">
        <v>0.89215037463129498</v>
      </c>
      <c r="G2495">
        <v>0.83253986475038899</v>
      </c>
      <c r="H2495">
        <v>0.61200187856445398</v>
      </c>
      <c r="I2495">
        <v>0.53021224488851904</v>
      </c>
      <c r="J2495">
        <v>0.380081494477294</v>
      </c>
      <c r="K2495">
        <v>0.19664458153560799</v>
      </c>
      <c r="L2495">
        <v>753.15212230834504</v>
      </c>
      <c r="M2495">
        <v>11.8236524671214</v>
      </c>
      <c r="N2495">
        <v>63.698770283270903</v>
      </c>
      <c r="O2495">
        <v>61.958576638372797</v>
      </c>
      <c r="P2495">
        <v>-4.7720061891393897E-2</v>
      </c>
      <c r="Q2495">
        <v>0</v>
      </c>
      <c r="R2495">
        <v>0.98481128712366595</v>
      </c>
      <c r="S2495" t="s">
        <v>9498</v>
      </c>
      <c r="T2495" t="s">
        <v>14004</v>
      </c>
      <c r="U2495" t="s">
        <v>14004</v>
      </c>
      <c r="V2495" t="s">
        <v>14004</v>
      </c>
      <c r="W2495" t="s">
        <v>16460</v>
      </c>
      <c r="X2495">
        <v>45</v>
      </c>
      <c r="Y2495" t="s">
        <v>23349</v>
      </c>
      <c r="Z2495" t="s">
        <v>30205</v>
      </c>
      <c r="AA2495">
        <v>0.76282080145564335</v>
      </c>
      <c r="AB2495" t="str">
        <f>HYPERLINK("Melting_Curves/meltCurve_P29401_TKT.pdf", "Melting_Curves/meltCurve_P29401_TKT.pdf")</f>
        <v>Melting_Curves/meltCurve_P29401_TKT.pdf</v>
      </c>
    </row>
    <row r="2496" spans="1:28" x14ac:dyDescent="0.25">
      <c r="A2496" t="s">
        <v>2500</v>
      </c>
      <c r="B2496">
        <v>0.99999676499088797</v>
      </c>
      <c r="C2496">
        <v>0.93775471703884306</v>
      </c>
      <c r="D2496">
        <v>0.88110112161633303</v>
      </c>
      <c r="E2496">
        <v>0.64825244636361701</v>
      </c>
      <c r="F2496">
        <v>0.32362103053827002</v>
      </c>
      <c r="G2496">
        <v>0.20671398621868001</v>
      </c>
      <c r="H2496">
        <v>0.105867202110698</v>
      </c>
      <c r="I2496">
        <v>0.11763229064884601</v>
      </c>
      <c r="J2496">
        <v>0.108488049504779</v>
      </c>
      <c r="K2496">
        <v>0.138270259867352</v>
      </c>
      <c r="L2496">
        <v>1012.74713766561</v>
      </c>
      <c r="M2496">
        <v>20.074964301954498</v>
      </c>
      <c r="N2496">
        <v>51.059786623160797</v>
      </c>
      <c r="O2496">
        <v>49.955672293046703</v>
      </c>
      <c r="P2496">
        <v>-8.9731775109823497E-2</v>
      </c>
      <c r="Q2496">
        <v>0.106854223812075</v>
      </c>
      <c r="R2496">
        <v>0.99692456358210202</v>
      </c>
      <c r="S2496" t="s">
        <v>9499</v>
      </c>
      <c r="T2496" t="s">
        <v>14004</v>
      </c>
      <c r="U2496" t="s">
        <v>14004</v>
      </c>
      <c r="V2496" t="s">
        <v>14004</v>
      </c>
      <c r="W2496" t="s">
        <v>16461</v>
      </c>
      <c r="X2496">
        <v>24</v>
      </c>
      <c r="Y2496" t="s">
        <v>23350</v>
      </c>
      <c r="Z2496" t="s">
        <v>30206</v>
      </c>
      <c r="AA2496">
        <v>0.43024201453841798</v>
      </c>
      <c r="AB2496" t="str">
        <f>HYPERLINK("Melting_Curves/meltCurve_P29590_PML.pdf", "Melting_Curves/meltCurve_P29590_PML.pdf")</f>
        <v>Melting_Curves/meltCurve_P29590_PML.pdf</v>
      </c>
    </row>
    <row r="2497" spans="1:28" x14ac:dyDescent="0.25">
      <c r="A2497" t="s">
        <v>2501</v>
      </c>
      <c r="B2497">
        <v>0.99999676499088797</v>
      </c>
      <c r="C2497">
        <v>1.4382362506463</v>
      </c>
      <c r="D2497">
        <v>1.8298591742346899</v>
      </c>
      <c r="E2497">
        <v>0.51220630572125303</v>
      </c>
      <c r="F2497">
        <v>0.24777323343033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7523.2713099040302</v>
      </c>
      <c r="M2497">
        <v>151.71384371874601</v>
      </c>
      <c r="N2497">
        <v>49.616748523412703</v>
      </c>
      <c r="O2497">
        <v>49.579968305653402</v>
      </c>
      <c r="P2497">
        <v>-0.733412684185343</v>
      </c>
      <c r="Q2497">
        <v>4.1285607799912798E-2</v>
      </c>
      <c r="R2497">
        <v>0.778783251742456</v>
      </c>
      <c r="S2497" t="s">
        <v>9500</v>
      </c>
      <c r="T2497" t="s">
        <v>14004</v>
      </c>
      <c r="U2497" t="s">
        <v>14004</v>
      </c>
      <c r="V2497" t="s">
        <v>14004</v>
      </c>
      <c r="W2497" t="s">
        <v>16462</v>
      </c>
      <c r="X2497">
        <v>15</v>
      </c>
      <c r="Y2497" t="s">
        <v>21527</v>
      </c>
      <c r="Z2497" t="s">
        <v>30207</v>
      </c>
      <c r="AA2497">
        <v>0.34793532100767488</v>
      </c>
      <c r="AB2497" t="str">
        <f>HYPERLINK("Melting_Curves/meltCurve_P29692_3_EEF1D.pdf", "Melting_Curves/meltCurve_P29692_3_EEF1D.pdf")</f>
        <v>Melting_Curves/meltCurve_P29692_3_EEF1D.pdf</v>
      </c>
    </row>
    <row r="2498" spans="1:28" x14ac:dyDescent="0.25">
      <c r="A2498" t="s">
        <v>2502</v>
      </c>
      <c r="B2498">
        <v>0.99999676499088797</v>
      </c>
      <c r="C2498">
        <v>1.1027560399610401</v>
      </c>
      <c r="D2498">
        <v>0.90468745000027295</v>
      </c>
      <c r="E2498">
        <v>0.60269038285216903</v>
      </c>
      <c r="F2498">
        <v>0.87096413998021904</v>
      </c>
      <c r="G2498">
        <v>0.134693144276816</v>
      </c>
      <c r="H2498">
        <v>9.3176021463950404E-2</v>
      </c>
      <c r="I2498">
        <v>6.8787039583102796E-2</v>
      </c>
      <c r="J2498">
        <v>0.15027671384276001</v>
      </c>
      <c r="K2498">
        <v>8.6547256678134302E-2</v>
      </c>
      <c r="L2498">
        <v>1002.81000266192</v>
      </c>
      <c r="M2498">
        <v>18.626007248864699</v>
      </c>
      <c r="N2498">
        <v>54.118023109391203</v>
      </c>
      <c r="O2498">
        <v>53.230153673613103</v>
      </c>
      <c r="P2498">
        <v>-8.3480560112367402E-2</v>
      </c>
      <c r="Q2498">
        <v>4.57447289494795E-2</v>
      </c>
      <c r="R2498">
        <v>0.88316002858018505</v>
      </c>
      <c r="S2498" t="s">
        <v>9501</v>
      </c>
      <c r="T2498" t="s">
        <v>14004</v>
      </c>
      <c r="U2498" t="s">
        <v>14004</v>
      </c>
      <c r="V2498" t="s">
        <v>14004</v>
      </c>
      <c r="W2498" t="s">
        <v>16463</v>
      </c>
      <c r="X2498">
        <v>1</v>
      </c>
      <c r="Y2498" t="s">
        <v>23351</v>
      </c>
      <c r="Z2498" t="s">
        <v>30208</v>
      </c>
      <c r="AA2498">
        <v>0.50050544005830688</v>
      </c>
      <c r="AB2498" t="str">
        <f>HYPERLINK("Melting_Curves/meltCurve_P29728_2_OAS2.pdf", "Melting_Curves/meltCurve_P29728_2_OAS2.pdf")</f>
        <v>Melting_Curves/meltCurve_P29728_2_OAS2.pdf</v>
      </c>
    </row>
    <row r="2499" spans="1:28" x14ac:dyDescent="0.25">
      <c r="A2499" t="s">
        <v>2503</v>
      </c>
      <c r="B2499">
        <v>0.99999676499088797</v>
      </c>
      <c r="C2499">
        <v>0.95494806350699801</v>
      </c>
      <c r="D2499">
        <v>0.99991053767411398</v>
      </c>
      <c r="E2499">
        <v>1.3303540336422801</v>
      </c>
      <c r="F2499">
        <v>1.3710342684837</v>
      </c>
      <c r="G2499">
        <v>1.12427642705322</v>
      </c>
      <c r="H2499">
        <v>0.77662871038654901</v>
      </c>
      <c r="I2499">
        <v>0.60488339308467798</v>
      </c>
      <c r="J2499">
        <v>0.452911798012751</v>
      </c>
      <c r="K2499">
        <v>0.59696580704427105</v>
      </c>
      <c r="L2499">
        <v>4278.4705694762697</v>
      </c>
      <c r="M2499">
        <v>70.259903708546801</v>
      </c>
      <c r="O2499">
        <v>60.845634614844897</v>
      </c>
      <c r="P2499">
        <v>-0.13134864082508901</v>
      </c>
      <c r="Q2499">
        <v>0.54500423724487101</v>
      </c>
      <c r="R2499">
        <v>0.67993589814981104</v>
      </c>
      <c r="S2499" t="s">
        <v>9502</v>
      </c>
      <c r="T2499" t="s">
        <v>14004</v>
      </c>
      <c r="U2499" t="s">
        <v>14004</v>
      </c>
      <c r="V2499" t="s">
        <v>14004</v>
      </c>
      <c r="W2499" t="s">
        <v>16464</v>
      </c>
      <c r="X2499">
        <v>11</v>
      </c>
      <c r="Y2499" t="s">
        <v>23352</v>
      </c>
      <c r="Z2499" t="s">
        <v>30209</v>
      </c>
      <c r="AA2499">
        <v>0.86252274075062452</v>
      </c>
      <c r="AB2499" t="str">
        <f>HYPERLINK("Melting_Curves/meltCurve_P29965_CD40LG.pdf", "Melting_Curves/meltCurve_P29965_CD40LG.pdf")</f>
        <v>Melting_Curves/meltCurve_P29965_CD40LG.pdf</v>
      </c>
    </row>
    <row r="2500" spans="1:28" x14ac:dyDescent="0.25">
      <c r="A2500" t="s">
        <v>2504</v>
      </c>
      <c r="B2500">
        <v>0.99999676499088797</v>
      </c>
      <c r="C2500">
        <v>0.975957502392788</v>
      </c>
      <c r="D2500">
        <v>1.10620819783224</v>
      </c>
      <c r="E2500">
        <v>1.45317876036413</v>
      </c>
      <c r="F2500">
        <v>1.75597088660653</v>
      </c>
      <c r="G2500">
        <v>1.31615802351235</v>
      </c>
      <c r="H2500">
        <v>1.15817570236453</v>
      </c>
      <c r="I2500">
        <v>1.3050475919184299</v>
      </c>
      <c r="J2500">
        <v>0.73659991905113698</v>
      </c>
      <c r="K2500">
        <v>0.85204060124954595</v>
      </c>
      <c r="L2500">
        <v>5620.6484601572402</v>
      </c>
      <c r="M2500">
        <v>84.986161325701204</v>
      </c>
      <c r="O2500">
        <v>66.099450522016696</v>
      </c>
      <c r="P2500">
        <v>-6.7717867872552601E-2</v>
      </c>
      <c r="Q2500">
        <v>0.78932507086147197</v>
      </c>
      <c r="R2500">
        <v>-0.24942799277438199</v>
      </c>
      <c r="S2500" t="s">
        <v>9503</v>
      </c>
      <c r="T2500" t="s">
        <v>14004</v>
      </c>
      <c r="U2500" t="s">
        <v>14004</v>
      </c>
      <c r="V2500" t="s">
        <v>14004</v>
      </c>
      <c r="W2500" t="s">
        <v>16465</v>
      </c>
      <c r="X2500">
        <v>1</v>
      </c>
      <c r="Y2500" t="s">
        <v>23353</v>
      </c>
      <c r="Z2500" t="s">
        <v>30210</v>
      </c>
      <c r="AA2500">
        <v>0.97301996006540936</v>
      </c>
      <c r="AB2500" t="str">
        <f>HYPERLINK("Melting_Curves/meltCurve_P29966_MARCKS.pdf", "Melting_Curves/meltCurve_P29966_MARCKS.pdf")</f>
        <v>Melting_Curves/meltCurve_P29966_MARCKS.pdf</v>
      </c>
    </row>
    <row r="2501" spans="1:28" x14ac:dyDescent="0.25">
      <c r="A2501" t="s">
        <v>2505</v>
      </c>
      <c r="B2501">
        <v>0.99999676499088797</v>
      </c>
      <c r="C2501">
        <v>0.89836069807292795</v>
      </c>
      <c r="D2501">
        <v>1.0044852415602701</v>
      </c>
      <c r="E2501">
        <v>0.77204694606105495</v>
      </c>
      <c r="F2501">
        <v>0.21453426141047699</v>
      </c>
      <c r="G2501">
        <v>0.12365348022202299</v>
      </c>
      <c r="H2501">
        <v>5.9330401165554901E-2</v>
      </c>
      <c r="I2501">
        <v>5.3029832758286002E-2</v>
      </c>
      <c r="J2501">
        <v>6.0619871418375097E-2</v>
      </c>
      <c r="K2501">
        <v>4.64701395288733E-2</v>
      </c>
      <c r="L2501">
        <v>1977.04969661106</v>
      </c>
      <c r="M2501">
        <v>38.736091988580299</v>
      </c>
      <c r="N2501">
        <v>51.216906168912203</v>
      </c>
      <c r="O2501">
        <v>50.903501210604396</v>
      </c>
      <c r="P2501">
        <v>-0.178265257327583</v>
      </c>
      <c r="Q2501">
        <v>6.2961360232894101E-2</v>
      </c>
      <c r="R2501">
        <v>0.99241755514032404</v>
      </c>
      <c r="S2501" t="s">
        <v>9504</v>
      </c>
      <c r="T2501" t="s">
        <v>14004</v>
      </c>
      <c r="U2501" t="s">
        <v>14004</v>
      </c>
      <c r="V2501" t="s">
        <v>14004</v>
      </c>
      <c r="W2501" t="s">
        <v>16466</v>
      </c>
      <c r="X2501">
        <v>6</v>
      </c>
      <c r="Y2501" t="s">
        <v>23354</v>
      </c>
      <c r="Z2501" t="s">
        <v>30211</v>
      </c>
      <c r="AA2501">
        <v>0.41128539452713109</v>
      </c>
      <c r="AB2501" t="str">
        <f>HYPERLINK("Melting_Curves/meltCurve_P29992_GNA11.pdf", "Melting_Curves/meltCurve_P29992_GNA11.pdf")</f>
        <v>Melting_Curves/meltCurve_P29992_GNA11.pdf</v>
      </c>
    </row>
    <row r="2502" spans="1:28" x14ac:dyDescent="0.25">
      <c r="A2502" t="s">
        <v>2506</v>
      </c>
      <c r="B2502">
        <v>0.99999676499088797</v>
      </c>
      <c r="C2502">
        <v>1.06911877064668</v>
      </c>
      <c r="D2502">
        <v>1.01617780865072</v>
      </c>
      <c r="E2502">
        <v>0.819514722858662</v>
      </c>
      <c r="F2502">
        <v>0.27154270239822398</v>
      </c>
      <c r="G2502">
        <v>0.13292477525038601</v>
      </c>
      <c r="H2502">
        <v>8.2633391306202203E-2</v>
      </c>
      <c r="I2502">
        <v>6.0012742909476897E-2</v>
      </c>
      <c r="J2502">
        <v>4.8472116284370599E-2</v>
      </c>
      <c r="K2502">
        <v>3.3483015500562201E-2</v>
      </c>
      <c r="L2502">
        <v>1909.40097447997</v>
      </c>
      <c r="M2502">
        <v>37.077132466794801</v>
      </c>
      <c r="N2502">
        <v>51.6864940441031</v>
      </c>
      <c r="O2502">
        <v>51.3489545662041</v>
      </c>
      <c r="P2502">
        <v>-0.16910515552512101</v>
      </c>
      <c r="Q2502">
        <v>6.3212494339124597E-2</v>
      </c>
      <c r="R2502">
        <v>0.99536148652192302</v>
      </c>
      <c r="S2502" t="s">
        <v>9505</v>
      </c>
      <c r="T2502" t="s">
        <v>14004</v>
      </c>
      <c r="U2502" t="s">
        <v>14004</v>
      </c>
      <c r="V2502" t="s">
        <v>14004</v>
      </c>
      <c r="W2502" t="s">
        <v>16467</v>
      </c>
      <c r="X2502">
        <v>14</v>
      </c>
      <c r="Y2502" t="s">
        <v>23355</v>
      </c>
      <c r="Z2502" t="s">
        <v>30212</v>
      </c>
      <c r="AA2502">
        <v>0.42613803192196509</v>
      </c>
      <c r="AB2502" t="str">
        <f>HYPERLINK("Melting_Curves/meltCurve_P30038_ALDH4A1.pdf", "Melting_Curves/meltCurve_P30038_ALDH4A1.pdf")</f>
        <v>Melting_Curves/meltCurve_P30038_ALDH4A1.pdf</v>
      </c>
    </row>
    <row r="2503" spans="1:28" x14ac:dyDescent="0.25">
      <c r="A2503" t="s">
        <v>2507</v>
      </c>
      <c r="B2503">
        <v>0.99999676499088797</v>
      </c>
      <c r="C2503">
        <v>0.98155830146932899</v>
      </c>
      <c r="D2503">
        <v>0.98724009781831801</v>
      </c>
      <c r="E2503">
        <v>0.99919834701343402</v>
      </c>
      <c r="F2503">
        <v>0.56761200371331999</v>
      </c>
      <c r="G2503">
        <v>0.385406481096989</v>
      </c>
      <c r="H2503">
        <v>0.20546002422894499</v>
      </c>
      <c r="I2503">
        <v>0.176956906589571</v>
      </c>
      <c r="J2503">
        <v>0.165745667945734</v>
      </c>
      <c r="K2503">
        <v>0.160355088454567</v>
      </c>
      <c r="L2503">
        <v>1427.19398177168</v>
      </c>
      <c r="M2503">
        <v>26.592101202396201</v>
      </c>
      <c r="N2503">
        <v>54.527561188979199</v>
      </c>
      <c r="O2503">
        <v>53.369090055962999</v>
      </c>
      <c r="P2503">
        <v>-0.10327768625309799</v>
      </c>
      <c r="Q2503">
        <v>0.170914999239932</v>
      </c>
      <c r="R2503">
        <v>0.98873662033020904</v>
      </c>
      <c r="S2503" t="s">
        <v>9506</v>
      </c>
      <c r="T2503" t="s">
        <v>14004</v>
      </c>
      <c r="U2503" t="s">
        <v>14004</v>
      </c>
      <c r="V2503" t="s">
        <v>14004</v>
      </c>
      <c r="W2503" t="s">
        <v>16468</v>
      </c>
      <c r="X2503">
        <v>16</v>
      </c>
      <c r="Y2503" t="s">
        <v>23356</v>
      </c>
      <c r="Z2503" t="s">
        <v>30213</v>
      </c>
      <c r="AA2503">
        <v>0.55552833197577844</v>
      </c>
      <c r="AB2503" t="str">
        <f>HYPERLINK("Melting_Curves/meltCurve_P30040_ERP29.pdf", "Melting_Curves/meltCurve_P30040_ERP29.pdf")</f>
        <v>Melting_Curves/meltCurve_P30040_ERP29.pdf</v>
      </c>
    </row>
    <row r="2504" spans="1:28" x14ac:dyDescent="0.25">
      <c r="A2504" t="s">
        <v>2508</v>
      </c>
      <c r="B2504">
        <v>0.99999676499088797</v>
      </c>
      <c r="C2504">
        <v>0.94847213020432697</v>
      </c>
      <c r="D2504">
        <v>0.99547883153764005</v>
      </c>
      <c r="E2504">
        <v>1.0738897043287501</v>
      </c>
      <c r="F2504">
        <v>0.63304858912251205</v>
      </c>
      <c r="G2504">
        <v>0.30812793757012202</v>
      </c>
      <c r="H2504">
        <v>0.154586675730745</v>
      </c>
      <c r="I2504">
        <v>0.12607083710376699</v>
      </c>
      <c r="J2504">
        <v>0.110982565673845</v>
      </c>
      <c r="K2504">
        <v>9.7308314917685504E-2</v>
      </c>
      <c r="L2504">
        <v>1793.98211338275</v>
      </c>
      <c r="M2504">
        <v>33.162613419837697</v>
      </c>
      <c r="N2504">
        <v>54.547049947943997</v>
      </c>
      <c r="O2504">
        <v>53.900951948944702</v>
      </c>
      <c r="P2504">
        <v>-0.135386896194026</v>
      </c>
      <c r="Q2504">
        <v>0.11979789670762001</v>
      </c>
      <c r="R2504">
        <v>0.98753230975389095</v>
      </c>
      <c r="S2504" t="s">
        <v>9507</v>
      </c>
      <c r="T2504" t="s">
        <v>14004</v>
      </c>
      <c r="U2504" t="s">
        <v>14004</v>
      </c>
      <c r="V2504" t="s">
        <v>14004</v>
      </c>
      <c r="W2504" t="s">
        <v>16469</v>
      </c>
      <c r="X2504">
        <v>21</v>
      </c>
      <c r="Y2504" t="s">
        <v>23357</v>
      </c>
      <c r="Z2504" t="s">
        <v>30214</v>
      </c>
      <c r="AA2504">
        <v>0.53815393491926544</v>
      </c>
      <c r="AB2504" t="str">
        <f>HYPERLINK("Melting_Curves/meltCurve_P30041_PRDX6.pdf", "Melting_Curves/meltCurve_P30041_PRDX6.pdf")</f>
        <v>Melting_Curves/meltCurve_P30041_PRDX6.pdf</v>
      </c>
    </row>
    <row r="2505" spans="1:28" x14ac:dyDescent="0.25">
      <c r="A2505" t="s">
        <v>2509</v>
      </c>
      <c r="B2505">
        <v>0.99999676499088797</v>
      </c>
      <c r="C2505">
        <v>0.91813106428829705</v>
      </c>
      <c r="D2505">
        <v>0.87642468377044203</v>
      </c>
      <c r="E2505">
        <v>0.78429525728287197</v>
      </c>
      <c r="F2505">
        <v>0.768259050941971</v>
      </c>
      <c r="G2505">
        <v>0.64374373933562601</v>
      </c>
      <c r="H2505">
        <v>0.39380257827163001</v>
      </c>
      <c r="I2505">
        <v>0.41236927431666498</v>
      </c>
      <c r="J2505">
        <v>0.345895739417027</v>
      </c>
      <c r="K2505">
        <v>0.27797904901605702</v>
      </c>
      <c r="L2505">
        <v>422.03680186992801</v>
      </c>
      <c r="M2505">
        <v>7.0412193687357298</v>
      </c>
      <c r="N2505">
        <v>60.162641587398703</v>
      </c>
      <c r="O2505">
        <v>55.666012706516703</v>
      </c>
      <c r="P2505">
        <v>-3.1269019533318503E-2</v>
      </c>
      <c r="Q2505">
        <v>1.2972731916613999E-2</v>
      </c>
      <c r="R2505">
        <v>0.97482941378246801</v>
      </c>
      <c r="S2505" t="s">
        <v>9508</v>
      </c>
      <c r="T2505" t="s">
        <v>14004</v>
      </c>
      <c r="U2505" t="s">
        <v>14004</v>
      </c>
      <c r="V2505" t="s">
        <v>14004</v>
      </c>
      <c r="W2505" t="s">
        <v>16470</v>
      </c>
      <c r="X2505">
        <v>17</v>
      </c>
      <c r="Y2505" t="s">
        <v>23358</v>
      </c>
      <c r="Z2505" t="s">
        <v>30215</v>
      </c>
      <c r="AA2505">
        <v>0.64699778564507382</v>
      </c>
      <c r="AB2505" t="str">
        <f>HYPERLINK("Melting_Curves/meltCurve_P30042_C21orf33.pdf", "Melting_Curves/meltCurve_P30042_C21orf33.pdf")</f>
        <v>Melting_Curves/meltCurve_P30042_C21orf33.pdf</v>
      </c>
    </row>
    <row r="2506" spans="1:28" x14ac:dyDescent="0.25">
      <c r="A2506" t="s">
        <v>2510</v>
      </c>
      <c r="B2506">
        <v>0.99999676499088797</v>
      </c>
      <c r="C2506">
        <v>0.87574472180962604</v>
      </c>
      <c r="D2506">
        <v>0.87911652363461801</v>
      </c>
      <c r="E2506">
        <v>0.76579490582132304</v>
      </c>
      <c r="F2506">
        <v>0.29934360956264</v>
      </c>
      <c r="G2506">
        <v>0.23268370311543701</v>
      </c>
      <c r="H2506">
        <v>9.8039821253257303E-2</v>
      </c>
      <c r="I2506">
        <v>0.110145469124799</v>
      </c>
      <c r="J2506">
        <v>0.121605237908905</v>
      </c>
      <c r="K2506">
        <v>8.5889152938088506E-2</v>
      </c>
      <c r="L2506">
        <v>1120.4429964815999</v>
      </c>
      <c r="M2506">
        <v>21.911787914040499</v>
      </c>
      <c r="N2506">
        <v>51.635472637406302</v>
      </c>
      <c r="O2506">
        <v>50.714061548016197</v>
      </c>
      <c r="P2506">
        <v>-9.7670774141681405E-2</v>
      </c>
      <c r="Q2506">
        <v>9.5798040702465198E-2</v>
      </c>
      <c r="R2506">
        <v>0.97918619690127295</v>
      </c>
      <c r="S2506" t="s">
        <v>9509</v>
      </c>
      <c r="T2506" t="s">
        <v>14004</v>
      </c>
      <c r="U2506" t="s">
        <v>14004</v>
      </c>
      <c r="V2506" t="s">
        <v>14004</v>
      </c>
      <c r="W2506" t="s">
        <v>16471</v>
      </c>
      <c r="X2506">
        <v>8</v>
      </c>
      <c r="Y2506" t="s">
        <v>23359</v>
      </c>
      <c r="Z2506" t="s">
        <v>30216</v>
      </c>
      <c r="AA2506">
        <v>0.44194741261300391</v>
      </c>
      <c r="AB2506" t="str">
        <f>HYPERLINK("Melting_Curves/meltCurve_P30043_BLVRB.pdf", "Melting_Curves/meltCurve_P30043_BLVRB.pdf")</f>
        <v>Melting_Curves/meltCurve_P30043_BLVRB.pdf</v>
      </c>
    </row>
    <row r="2507" spans="1:28" x14ac:dyDescent="0.25">
      <c r="A2507" t="s">
        <v>2511</v>
      </c>
      <c r="B2507">
        <v>0.99999676499088797</v>
      </c>
      <c r="C2507">
        <v>0.95332931161115897</v>
      </c>
      <c r="D2507">
        <v>0.94595606803338095</v>
      </c>
      <c r="E2507">
        <v>0.96074443264188003</v>
      </c>
      <c r="F2507">
        <v>0.97025020250410998</v>
      </c>
      <c r="G2507">
        <v>0.73537085954358095</v>
      </c>
      <c r="H2507">
        <v>0.234530536050198</v>
      </c>
      <c r="I2507">
        <v>0.16562070534830201</v>
      </c>
      <c r="J2507">
        <v>0.13770952632401301</v>
      </c>
      <c r="K2507">
        <v>0.13465438901386101</v>
      </c>
      <c r="L2507">
        <v>2418.0943008825502</v>
      </c>
      <c r="M2507">
        <v>41.774922170556302</v>
      </c>
      <c r="N2507">
        <v>58.335166230731801</v>
      </c>
      <c r="O2507">
        <v>57.751711312627101</v>
      </c>
      <c r="P2507">
        <v>-0.155868940740651</v>
      </c>
      <c r="Q2507">
        <v>0.13807799094463699</v>
      </c>
      <c r="R2507">
        <v>0.99522492247220096</v>
      </c>
      <c r="S2507" t="s">
        <v>9510</v>
      </c>
      <c r="T2507" t="s">
        <v>14004</v>
      </c>
      <c r="U2507" t="s">
        <v>14004</v>
      </c>
      <c r="V2507" t="s">
        <v>14004</v>
      </c>
      <c r="W2507" t="s">
        <v>16472</v>
      </c>
      <c r="X2507">
        <v>10</v>
      </c>
      <c r="Y2507" t="s">
        <v>23360</v>
      </c>
      <c r="Z2507" t="s">
        <v>30217</v>
      </c>
      <c r="AA2507">
        <v>0.65501035644635686</v>
      </c>
      <c r="AB2507" t="str">
        <f>HYPERLINK("Melting_Curves/meltCurve_P30044_2_PRDX5.pdf", "Melting_Curves/meltCurve_P30044_2_PRDX5.pdf")</f>
        <v>Melting_Curves/meltCurve_P30044_2_PRDX5.pdf</v>
      </c>
    </row>
    <row r="2508" spans="1:28" x14ac:dyDescent="0.25">
      <c r="A2508" t="s">
        <v>2512</v>
      </c>
      <c r="B2508">
        <v>0.99999676499088797</v>
      </c>
      <c r="C2508">
        <v>0.91971586603848499</v>
      </c>
      <c r="D2508">
        <v>0.86525690464610305</v>
      </c>
      <c r="E2508">
        <v>0.90685589950075196</v>
      </c>
      <c r="F2508">
        <v>0.78392497771126701</v>
      </c>
      <c r="G2508">
        <v>1.0026650583799299</v>
      </c>
      <c r="H2508">
        <v>0.559163646035021</v>
      </c>
      <c r="I2508">
        <v>0.66677776789848098</v>
      </c>
      <c r="J2508">
        <v>0.498248752642865</v>
      </c>
      <c r="K2508">
        <v>0.56135152260999899</v>
      </c>
      <c r="L2508">
        <v>352.66318963155499</v>
      </c>
      <c r="M2508">
        <v>4.9693471989777098</v>
      </c>
      <c r="O2508">
        <v>61.849478934584802</v>
      </c>
      <c r="P2508">
        <v>-2.0212163473054798E-2</v>
      </c>
      <c r="Q2508">
        <v>0</v>
      </c>
      <c r="R2508">
        <v>0.72782471651325698</v>
      </c>
      <c r="S2508" t="s">
        <v>9511</v>
      </c>
      <c r="T2508" t="s">
        <v>14004</v>
      </c>
      <c r="U2508" t="s">
        <v>14004</v>
      </c>
      <c r="V2508" t="s">
        <v>14004</v>
      </c>
      <c r="W2508" t="s">
        <v>16473</v>
      </c>
      <c r="X2508">
        <v>10</v>
      </c>
      <c r="Y2508" t="s">
        <v>23361</v>
      </c>
      <c r="Z2508" t="s">
        <v>30218</v>
      </c>
      <c r="AA2508">
        <v>0.78716311166432107</v>
      </c>
      <c r="AB2508" t="str">
        <f>HYPERLINK("Melting_Curves/meltCurve_P30046_DDT.pdf", "Melting_Curves/meltCurve_P30046_DDT.pdf")</f>
        <v>Melting_Curves/meltCurve_P30046_DDT.pdf</v>
      </c>
    </row>
    <row r="2509" spans="1:28" x14ac:dyDescent="0.25">
      <c r="A2509" t="s">
        <v>2513</v>
      </c>
      <c r="B2509">
        <v>0.99999676499088797</v>
      </c>
      <c r="C2509">
        <v>1.0885616562426801</v>
      </c>
      <c r="D2509">
        <v>0.94794381367063296</v>
      </c>
      <c r="E2509">
        <v>0.74602030587508095</v>
      </c>
      <c r="F2509">
        <v>0.62597470236826003</v>
      </c>
      <c r="G2509">
        <v>0.59787032065185597</v>
      </c>
      <c r="H2509">
        <v>0.37164811419923399</v>
      </c>
      <c r="I2509">
        <v>0.421044895047961</v>
      </c>
      <c r="J2509">
        <v>0.263496252626998</v>
      </c>
      <c r="K2509">
        <v>0.14033957016002099</v>
      </c>
      <c r="L2509">
        <v>505.30064179567199</v>
      </c>
      <c r="M2509">
        <v>8.7311431482985906</v>
      </c>
      <c r="N2509">
        <v>58.238150937932303</v>
      </c>
      <c r="O2509">
        <v>55.078102194080898</v>
      </c>
      <c r="P2509">
        <v>-3.8607574442836801E-2</v>
      </c>
      <c r="Q2509">
        <v>2.6610154919902301E-2</v>
      </c>
      <c r="R2509">
        <v>0.95094028088201898</v>
      </c>
      <c r="S2509" t="s">
        <v>9512</v>
      </c>
      <c r="T2509" t="s">
        <v>14004</v>
      </c>
      <c r="U2509" t="s">
        <v>14004</v>
      </c>
      <c r="V2509" t="s">
        <v>14004</v>
      </c>
      <c r="W2509" t="s">
        <v>16474</v>
      </c>
      <c r="X2509">
        <v>5</v>
      </c>
      <c r="Y2509" t="s">
        <v>23362</v>
      </c>
      <c r="Z2509" t="s">
        <v>30219</v>
      </c>
      <c r="AA2509">
        <v>0.61374576245428247</v>
      </c>
      <c r="AB2509" t="str">
        <f>HYPERLINK("Melting_Curves/meltCurve_P30049_ATP5D.pdf", "Melting_Curves/meltCurve_P30049_ATP5D.pdf")</f>
        <v>Melting_Curves/meltCurve_P30049_ATP5D.pdf</v>
      </c>
    </row>
    <row r="2510" spans="1:28" x14ac:dyDescent="0.25">
      <c r="A2510" t="s">
        <v>2514</v>
      </c>
      <c r="B2510">
        <v>0.99999676499088797</v>
      </c>
      <c r="C2510">
        <v>0.861846508502355</v>
      </c>
      <c r="D2510">
        <v>0.88097035604498997</v>
      </c>
      <c r="E2510">
        <v>0.74207685231583898</v>
      </c>
      <c r="F2510">
        <v>0.82045026818244704</v>
      </c>
      <c r="G2510">
        <v>0.80043184402226197</v>
      </c>
      <c r="H2510">
        <v>0.39524161647152201</v>
      </c>
      <c r="I2510">
        <v>0.13104743154194801</v>
      </c>
      <c r="J2510">
        <v>9.5905021111511904E-2</v>
      </c>
      <c r="K2510">
        <v>7.1523554265920997E-2</v>
      </c>
      <c r="L2510">
        <v>1010.05615048731</v>
      </c>
      <c r="M2510">
        <v>17.072427488168199</v>
      </c>
      <c r="N2510">
        <v>59.163007651925</v>
      </c>
      <c r="O2510">
        <v>58.369170319808198</v>
      </c>
      <c r="P2510">
        <v>-7.3127067552467104E-2</v>
      </c>
      <c r="Q2510">
        <v>0</v>
      </c>
      <c r="R2510">
        <v>0.91087604895607399</v>
      </c>
      <c r="S2510" t="s">
        <v>9513</v>
      </c>
      <c r="T2510" t="s">
        <v>14004</v>
      </c>
      <c r="U2510" t="s">
        <v>14004</v>
      </c>
      <c r="V2510" t="s">
        <v>14004</v>
      </c>
      <c r="W2510" t="s">
        <v>16475</v>
      </c>
      <c r="X2510">
        <v>14</v>
      </c>
      <c r="Y2510" t="s">
        <v>23363</v>
      </c>
      <c r="Z2510" t="s">
        <v>30220</v>
      </c>
      <c r="AA2510">
        <v>0.64908053963482204</v>
      </c>
      <c r="AB2510" t="str">
        <f>HYPERLINK("Melting_Curves/meltCurve_P30050_RPL12.pdf", "Melting_Curves/meltCurve_P30050_RPL12.pdf")</f>
        <v>Melting_Curves/meltCurve_P30050_RPL12.pdf</v>
      </c>
    </row>
    <row r="2511" spans="1:28" x14ac:dyDescent="0.25">
      <c r="A2511" t="s">
        <v>2515</v>
      </c>
      <c r="B2511">
        <v>0.99999676499088797</v>
      </c>
      <c r="C2511">
        <v>0.94378742143333905</v>
      </c>
      <c r="D2511">
        <v>0.95621337559040498</v>
      </c>
      <c r="E2511">
        <v>1.0437344508917099</v>
      </c>
      <c r="F2511">
        <v>0.36993403657896901</v>
      </c>
      <c r="G2511">
        <v>0.13277964919185001</v>
      </c>
      <c r="H2511">
        <v>5.9640923127340199E-2</v>
      </c>
      <c r="I2511">
        <v>6.4242004822943802E-2</v>
      </c>
      <c r="J2511">
        <v>6.5886785817535598E-2</v>
      </c>
      <c r="K2511">
        <v>6.4963940793434205E-2</v>
      </c>
      <c r="L2511">
        <v>8310.5367744021496</v>
      </c>
      <c r="M2511">
        <v>156.980616071772</v>
      </c>
      <c r="N2511">
        <v>52.996747267125698</v>
      </c>
      <c r="O2511">
        <v>52.931291983602499</v>
      </c>
      <c r="P2511">
        <v>-0.68397676677213703</v>
      </c>
      <c r="Q2511">
        <v>7.7496815231707497E-2</v>
      </c>
      <c r="R2511">
        <v>0.99416081846697402</v>
      </c>
      <c r="S2511" t="s">
        <v>9514</v>
      </c>
      <c r="T2511" t="s">
        <v>14004</v>
      </c>
      <c r="U2511" t="s">
        <v>14004</v>
      </c>
      <c r="V2511" t="s">
        <v>14004</v>
      </c>
      <c r="W2511" t="s">
        <v>16476</v>
      </c>
      <c r="X2511">
        <v>17</v>
      </c>
      <c r="Y2511" t="s">
        <v>23364</v>
      </c>
      <c r="Z2511" t="s">
        <v>30221</v>
      </c>
      <c r="AA2511">
        <v>0.47561730118662959</v>
      </c>
      <c r="AB2511" t="str">
        <f>HYPERLINK("Melting_Curves/meltCurve_P30084_ECHS1.pdf", "Melting_Curves/meltCurve_P30084_ECHS1.pdf")</f>
        <v>Melting_Curves/meltCurve_P30084_ECHS1.pdf</v>
      </c>
    </row>
    <row r="2512" spans="1:28" x14ac:dyDescent="0.25">
      <c r="A2512" t="s">
        <v>2516</v>
      </c>
      <c r="B2512">
        <v>0.99999676499088797</v>
      </c>
      <c r="C2512">
        <v>1.05518782650431</v>
      </c>
      <c r="D2512">
        <v>1.02473588120755</v>
      </c>
      <c r="E2512">
        <v>0.91673992197798604</v>
      </c>
      <c r="F2512">
        <v>0.45947932555434001</v>
      </c>
      <c r="G2512">
        <v>0.201659996367616</v>
      </c>
      <c r="H2512">
        <v>9.3784067930379994E-2</v>
      </c>
      <c r="I2512">
        <v>8.9821051878712505E-2</v>
      </c>
      <c r="J2512">
        <v>8.0489192910389404E-2</v>
      </c>
      <c r="K2512">
        <v>8.70515688120852E-2</v>
      </c>
      <c r="L2512">
        <v>1757.3715872090199</v>
      </c>
      <c r="M2512">
        <v>33.332224955899001</v>
      </c>
      <c r="N2512">
        <v>53.0395631925484</v>
      </c>
      <c r="O2512">
        <v>52.5342168566455</v>
      </c>
      <c r="P2512">
        <v>-0.144310256410072</v>
      </c>
      <c r="Q2512">
        <v>9.0226490013878294E-2</v>
      </c>
      <c r="R2512">
        <v>0.99656338269629197</v>
      </c>
      <c r="S2512" t="s">
        <v>9515</v>
      </c>
      <c r="T2512" t="s">
        <v>14004</v>
      </c>
      <c r="U2512" t="s">
        <v>14004</v>
      </c>
      <c r="V2512" t="s">
        <v>14004</v>
      </c>
      <c r="W2512" t="s">
        <v>16477</v>
      </c>
      <c r="X2512">
        <v>14</v>
      </c>
      <c r="Y2512" t="s">
        <v>23365</v>
      </c>
      <c r="Z2512" t="s">
        <v>30222</v>
      </c>
      <c r="AA2512">
        <v>0.48082940372738697</v>
      </c>
      <c r="AB2512" t="str">
        <f>HYPERLINK("Melting_Curves/meltCurve_P30085_CMPK1.pdf", "Melting_Curves/meltCurve_P30085_CMPK1.pdf")</f>
        <v>Melting_Curves/meltCurve_P30085_CMPK1.pdf</v>
      </c>
    </row>
    <row r="2513" spans="1:28" x14ac:dyDescent="0.25">
      <c r="A2513" t="s">
        <v>2517</v>
      </c>
      <c r="B2513">
        <v>0.99999676499088797</v>
      </c>
      <c r="C2513">
        <v>0.92259584127532601</v>
      </c>
      <c r="D2513">
        <v>0.89719461475666296</v>
      </c>
      <c r="E2513">
        <v>0.82463384968903297</v>
      </c>
      <c r="F2513">
        <v>0.80270946579239699</v>
      </c>
      <c r="G2513">
        <v>0.62216803274483601</v>
      </c>
      <c r="H2513">
        <v>0.30916972186499903</v>
      </c>
      <c r="I2513">
        <v>0.16963699022578599</v>
      </c>
      <c r="J2513">
        <v>0.136834050679771</v>
      </c>
      <c r="K2513">
        <v>0.13168394502844299</v>
      </c>
      <c r="L2513">
        <v>747.54054995992203</v>
      </c>
      <c r="M2513">
        <v>12.9296839072759</v>
      </c>
      <c r="N2513">
        <v>57.815841093823799</v>
      </c>
      <c r="O2513">
        <v>56.485244209192402</v>
      </c>
      <c r="P2513">
        <v>-5.7236262234966202E-2</v>
      </c>
      <c r="Q2513">
        <v>0</v>
      </c>
      <c r="R2513">
        <v>0.97722861400128003</v>
      </c>
      <c r="S2513" t="s">
        <v>9516</v>
      </c>
      <c r="T2513" t="s">
        <v>14004</v>
      </c>
      <c r="U2513" t="s">
        <v>14004</v>
      </c>
      <c r="V2513" t="s">
        <v>14004</v>
      </c>
      <c r="W2513" t="s">
        <v>16478</v>
      </c>
      <c r="X2513">
        <v>18</v>
      </c>
      <c r="Y2513" t="s">
        <v>23366</v>
      </c>
      <c r="Z2513" t="s">
        <v>30223</v>
      </c>
      <c r="AA2513">
        <v>0.60779786565023508</v>
      </c>
      <c r="AB2513" t="str">
        <f>HYPERLINK("Melting_Curves/meltCurve_P30086_PEBP1.pdf", "Melting_Curves/meltCurve_P30086_PEBP1.pdf")</f>
        <v>Melting_Curves/meltCurve_P30086_PEBP1.pdf</v>
      </c>
    </row>
    <row r="2514" spans="1:28" x14ac:dyDescent="0.25">
      <c r="A2514" t="s">
        <v>2518</v>
      </c>
      <c r="B2514">
        <v>0.99999676499088797</v>
      </c>
      <c r="C2514">
        <v>0.98368893427316995</v>
      </c>
      <c r="D2514">
        <v>0.98317525591571697</v>
      </c>
      <c r="E2514">
        <v>1.09563458643074</v>
      </c>
      <c r="F2514">
        <v>0.531735977511958</v>
      </c>
      <c r="G2514">
        <v>0.20642321645470499</v>
      </c>
      <c r="H2514">
        <v>8.8832472851014602E-2</v>
      </c>
      <c r="I2514">
        <v>8.1023995640736396E-2</v>
      </c>
      <c r="J2514">
        <v>7.4828016220446394E-2</v>
      </c>
      <c r="K2514">
        <v>6.0484425176557603E-2</v>
      </c>
      <c r="L2514">
        <v>2773.76538706675</v>
      </c>
      <c r="M2514">
        <v>52.111806571082496</v>
      </c>
      <c r="N2514">
        <v>53.438920899220001</v>
      </c>
      <c r="O2514">
        <v>53.148987853996204</v>
      </c>
      <c r="P2514">
        <v>-0.222258295768167</v>
      </c>
      <c r="Q2514">
        <v>9.3273043309118495E-2</v>
      </c>
      <c r="R2514">
        <v>0.98811759181869496</v>
      </c>
      <c r="S2514" t="s">
        <v>9517</v>
      </c>
      <c r="T2514" t="s">
        <v>14004</v>
      </c>
      <c r="U2514" t="s">
        <v>14004</v>
      </c>
      <c r="V2514" t="s">
        <v>14004</v>
      </c>
      <c r="W2514" t="s">
        <v>16479</v>
      </c>
      <c r="X2514">
        <v>36</v>
      </c>
      <c r="Y2514" t="s">
        <v>23367</v>
      </c>
      <c r="Z2514" t="s">
        <v>30224</v>
      </c>
      <c r="AA2514">
        <v>0.49501365396369301</v>
      </c>
      <c r="AB2514" t="str">
        <f>HYPERLINK("Melting_Curves/meltCurve_P30153_PPP2R1A.pdf", "Melting_Curves/meltCurve_P30153_PPP2R1A.pdf")</f>
        <v>Melting_Curves/meltCurve_P30153_PPP2R1A.pdf</v>
      </c>
    </row>
    <row r="2515" spans="1:28" x14ac:dyDescent="0.25">
      <c r="A2515" t="s">
        <v>2519</v>
      </c>
      <c r="B2515">
        <v>0.99999676499088797</v>
      </c>
      <c r="C2515">
        <v>0.84632649543270799</v>
      </c>
      <c r="D2515">
        <v>0.58597231919430004</v>
      </c>
      <c r="E2515">
        <v>0.27703498641295699</v>
      </c>
      <c r="F2515">
        <v>0.211009685248507</v>
      </c>
      <c r="G2515">
        <v>0.13048271261643499</v>
      </c>
      <c r="H2515">
        <v>6.4730282017448196E-2</v>
      </c>
      <c r="I2515">
        <v>6.2969544992028503E-2</v>
      </c>
      <c r="J2515">
        <v>5.11137478724965E-2</v>
      </c>
      <c r="K2515">
        <v>3.9896968836025899E-2</v>
      </c>
      <c r="L2515">
        <v>830.49766606941398</v>
      </c>
      <c r="M2515">
        <v>17.770624582926999</v>
      </c>
      <c r="N2515">
        <v>47.076801513311203</v>
      </c>
      <c r="O2515">
        <v>46.154559047566302</v>
      </c>
      <c r="P2515">
        <v>-9.0423832962289494E-2</v>
      </c>
      <c r="Q2515">
        <v>6.0639895397408598E-2</v>
      </c>
      <c r="R2515">
        <v>0.99313913245873997</v>
      </c>
      <c r="S2515" t="s">
        <v>9518</v>
      </c>
      <c r="T2515" t="s">
        <v>14004</v>
      </c>
      <c r="U2515" t="s">
        <v>14004</v>
      </c>
      <c r="V2515" t="s">
        <v>14004</v>
      </c>
      <c r="W2515" t="s">
        <v>16480</v>
      </c>
      <c r="X2515">
        <v>21</v>
      </c>
      <c r="Y2515" t="s">
        <v>23368</v>
      </c>
      <c r="Z2515" t="s">
        <v>30225</v>
      </c>
      <c r="AA2515">
        <v>0.28957897531295262</v>
      </c>
      <c r="AB2515" t="str">
        <f>HYPERLINK("Melting_Curves/meltCurve_P30154_PPP2R1B.pdf", "Melting_Curves/meltCurve_P30154_PPP2R1B.pdf")</f>
        <v>Melting_Curves/meltCurve_P30154_PPP2R1B.pdf</v>
      </c>
    </row>
    <row r="2516" spans="1:28" x14ac:dyDescent="0.25">
      <c r="A2516" t="s">
        <v>2520</v>
      </c>
      <c r="B2516">
        <v>0.99999676499088797</v>
      </c>
      <c r="C2516">
        <v>0.998130829777922</v>
      </c>
      <c r="D2516">
        <v>1.0404651608423701</v>
      </c>
      <c r="E2516">
        <v>0.90263052826409096</v>
      </c>
      <c r="F2516">
        <v>0.853964242919801</v>
      </c>
      <c r="G2516">
        <v>0.656067881476186</v>
      </c>
      <c r="H2516">
        <v>0.46886625412588601</v>
      </c>
      <c r="I2516">
        <v>0.46860512872653898</v>
      </c>
      <c r="J2516">
        <v>0.45002656380659201</v>
      </c>
      <c r="K2516">
        <v>0.39071012321013499</v>
      </c>
      <c r="L2516">
        <v>1092.95454452891</v>
      </c>
      <c r="M2516">
        <v>19.591845163483299</v>
      </c>
      <c r="N2516">
        <v>60.881238276600598</v>
      </c>
      <c r="O2516">
        <v>55.214753664712802</v>
      </c>
      <c r="P2516">
        <v>-5.2962740975930199E-2</v>
      </c>
      <c r="Q2516">
        <v>0.40297176627791098</v>
      </c>
      <c r="R2516">
        <v>0.98694216041943705</v>
      </c>
      <c r="S2516" t="s">
        <v>9519</v>
      </c>
      <c r="T2516" t="s">
        <v>14004</v>
      </c>
      <c r="U2516" t="s">
        <v>14004</v>
      </c>
      <c r="V2516" t="s">
        <v>14004</v>
      </c>
      <c r="W2516" t="s">
        <v>16481</v>
      </c>
      <c r="X2516">
        <v>8</v>
      </c>
      <c r="Y2516" t="s">
        <v>23369</v>
      </c>
      <c r="Z2516" t="s">
        <v>30226</v>
      </c>
      <c r="AA2516">
        <v>0.7251101963641815</v>
      </c>
      <c r="AB2516" t="str">
        <f>HYPERLINK("Melting_Curves/meltCurve_P30203_5_CD6.pdf", "Melting_Curves/meltCurve_P30203_5_CD6.pdf")</f>
        <v>Melting_Curves/meltCurve_P30203_5_CD6.pdf</v>
      </c>
    </row>
    <row r="2517" spans="1:28" x14ac:dyDescent="0.25">
      <c r="A2517" t="s">
        <v>2521</v>
      </c>
      <c r="B2517">
        <v>0.99999676499088797</v>
      </c>
      <c r="C2517">
        <v>0.94885579243283302</v>
      </c>
      <c r="D2517">
        <v>0.91185968094217795</v>
      </c>
      <c r="E2517">
        <v>0.94816630458347395</v>
      </c>
      <c r="F2517">
        <v>0.76999053176293797</v>
      </c>
      <c r="G2517">
        <v>0.21961515055875599</v>
      </c>
      <c r="H2517">
        <v>0.103642503510426</v>
      </c>
      <c r="I2517">
        <v>6.1620817548959803E-2</v>
      </c>
      <c r="J2517">
        <v>4.6386764936330697E-2</v>
      </c>
      <c r="K2517">
        <v>4.1334435756525303E-2</v>
      </c>
      <c r="L2517">
        <v>2130.5517180716702</v>
      </c>
      <c r="M2517">
        <v>38.976362755979501</v>
      </c>
      <c r="N2517">
        <v>54.828044957441101</v>
      </c>
      <c r="O2517">
        <v>54.519364537197298</v>
      </c>
      <c r="P2517">
        <v>-0.16881529548010199</v>
      </c>
      <c r="Q2517">
        <v>5.54602611105042E-2</v>
      </c>
      <c r="R2517">
        <v>0.99254444771304395</v>
      </c>
      <c r="S2517" t="s">
        <v>9520</v>
      </c>
      <c r="T2517" t="s">
        <v>14004</v>
      </c>
      <c r="U2517" t="s">
        <v>14004</v>
      </c>
      <c r="V2517" t="s">
        <v>14004</v>
      </c>
      <c r="W2517" t="s">
        <v>16482</v>
      </c>
      <c r="X2517">
        <v>18</v>
      </c>
      <c r="Y2517" t="s">
        <v>21835</v>
      </c>
      <c r="Z2517" t="s">
        <v>30227</v>
      </c>
      <c r="AA2517">
        <v>0.52085563801201007</v>
      </c>
      <c r="AB2517" t="str">
        <f>HYPERLINK("Melting_Curves/meltCurve_P30260_CDC27.pdf", "Melting_Curves/meltCurve_P30260_CDC27.pdf")</f>
        <v>Melting_Curves/meltCurve_P30260_CDC27.pdf</v>
      </c>
    </row>
    <row r="2518" spans="1:28" x14ac:dyDescent="0.25">
      <c r="A2518" t="s">
        <v>2522</v>
      </c>
      <c r="B2518">
        <v>0.99999676499088797</v>
      </c>
      <c r="C2518">
        <v>1.09317276719227</v>
      </c>
      <c r="D2518">
        <v>1.0714805685923701</v>
      </c>
      <c r="E2518">
        <v>0.88883940182024601</v>
      </c>
      <c r="F2518">
        <v>0.49417935334080998</v>
      </c>
      <c r="G2518">
        <v>0.241802370512331</v>
      </c>
      <c r="H2518">
        <v>7.3786683432965003E-2</v>
      </c>
      <c r="I2518">
        <v>3.32334423542937E-2</v>
      </c>
      <c r="J2518">
        <v>3.6989665442856701E-2</v>
      </c>
      <c r="K2518">
        <v>7.3563452945152397E-3</v>
      </c>
      <c r="L2518">
        <v>1350.19629965692</v>
      </c>
      <c r="M2518">
        <v>25.303559024336799</v>
      </c>
      <c r="N2518">
        <v>53.476223457792699</v>
      </c>
      <c r="O2518">
        <v>53.0300074578657</v>
      </c>
      <c r="P2518">
        <v>-0.116097137768466</v>
      </c>
      <c r="Q2518">
        <v>2.6768818581660001E-2</v>
      </c>
      <c r="R2518">
        <v>0.98961272072916895</v>
      </c>
      <c r="S2518" t="s">
        <v>9521</v>
      </c>
      <c r="T2518" t="s">
        <v>14004</v>
      </c>
      <c r="U2518" t="s">
        <v>14004</v>
      </c>
      <c r="V2518" t="s">
        <v>14004</v>
      </c>
      <c r="W2518" t="s">
        <v>16483</v>
      </c>
      <c r="X2518">
        <v>7</v>
      </c>
      <c r="Y2518" t="s">
        <v>23370</v>
      </c>
      <c r="Z2518" t="s">
        <v>30228</v>
      </c>
      <c r="AA2518">
        <v>0.46896078626029242</v>
      </c>
      <c r="AB2518" t="str">
        <f>HYPERLINK("Melting_Curves/meltCurve_P30281_CCND3.pdf", "Melting_Curves/meltCurve_P30281_CCND3.pdf")</f>
        <v>Melting_Curves/meltCurve_P30281_CCND3.pdf</v>
      </c>
    </row>
    <row r="2519" spans="1:28" x14ac:dyDescent="0.25">
      <c r="A2519" t="s">
        <v>2523</v>
      </c>
      <c r="B2519">
        <v>0.99999676499088797</v>
      </c>
      <c r="C2519">
        <v>0.88068983147664803</v>
      </c>
      <c r="D2519">
        <v>0.67342282068652703</v>
      </c>
      <c r="E2519">
        <v>0.69276399044897397</v>
      </c>
      <c r="F2519">
        <v>0.64077083338470198</v>
      </c>
      <c r="G2519">
        <v>0.43506255617363998</v>
      </c>
      <c r="H2519">
        <v>0.16367812092322101</v>
      </c>
      <c r="I2519">
        <v>0.12988573246398899</v>
      </c>
      <c r="J2519">
        <v>0.13234448469370699</v>
      </c>
      <c r="K2519">
        <v>0.116691780775526</v>
      </c>
      <c r="L2519">
        <v>481.850065901628</v>
      </c>
      <c r="M2519">
        <v>8.9873866655706696</v>
      </c>
      <c r="N2519">
        <v>53.614034902494303</v>
      </c>
      <c r="O2519">
        <v>51.159208089037101</v>
      </c>
      <c r="P2519">
        <v>-4.39507794300018E-2</v>
      </c>
      <c r="Q2519">
        <v>0</v>
      </c>
      <c r="R2519">
        <v>0.94681878428150701</v>
      </c>
      <c r="S2519" t="s">
        <v>9522</v>
      </c>
      <c r="T2519" t="s">
        <v>14004</v>
      </c>
      <c r="U2519" t="s">
        <v>14004</v>
      </c>
      <c r="V2519" t="s">
        <v>14004</v>
      </c>
      <c r="W2519" t="s">
        <v>16484</v>
      </c>
      <c r="X2519">
        <v>4</v>
      </c>
      <c r="Y2519" t="s">
        <v>23371</v>
      </c>
      <c r="Z2519" t="s">
        <v>30229</v>
      </c>
      <c r="AA2519">
        <v>0.48808161498742197</v>
      </c>
      <c r="AB2519" t="str">
        <f>HYPERLINK("Melting_Curves/meltCurve_P30291_WEE1.pdf", "Melting_Curves/meltCurve_P30291_WEE1.pdf")</f>
        <v>Melting_Curves/meltCurve_P30291_WEE1.pdf</v>
      </c>
    </row>
    <row r="2520" spans="1:28" x14ac:dyDescent="0.25">
      <c r="A2520" t="s">
        <v>2524</v>
      </c>
      <c r="B2520">
        <v>0.99999676499088797</v>
      </c>
      <c r="C2520">
        <v>0.97293195960525702</v>
      </c>
      <c r="D2520">
        <v>0.94992024108541695</v>
      </c>
      <c r="E2520">
        <v>0.85764454999971995</v>
      </c>
      <c r="F2520">
        <v>0.376758161838952</v>
      </c>
      <c r="G2520">
        <v>0.19152752033446099</v>
      </c>
      <c r="H2520">
        <v>0.100133723365357</v>
      </c>
      <c r="I2520">
        <v>9.7546366694787195E-2</v>
      </c>
      <c r="J2520">
        <v>8.0926113377593506E-2</v>
      </c>
      <c r="K2520">
        <v>6.9280390309197595E-2</v>
      </c>
      <c r="L2520">
        <v>1576.8261368348501</v>
      </c>
      <c r="M2520">
        <v>30.290737231950299</v>
      </c>
      <c r="N2520">
        <v>52.392276881308902</v>
      </c>
      <c r="O2520">
        <v>51.831073818795801</v>
      </c>
      <c r="P2520">
        <v>-0.133209632332003</v>
      </c>
      <c r="Q2520">
        <v>8.82552704578147E-2</v>
      </c>
      <c r="R2520">
        <v>0.99703730515689304</v>
      </c>
      <c r="S2520" t="s">
        <v>9523</v>
      </c>
      <c r="T2520" t="s">
        <v>14004</v>
      </c>
      <c r="U2520" t="s">
        <v>14004</v>
      </c>
      <c r="V2520" t="s">
        <v>14004</v>
      </c>
      <c r="W2520" t="s">
        <v>16485</v>
      </c>
      <c r="X2520">
        <v>12</v>
      </c>
      <c r="Y2520" t="s">
        <v>23372</v>
      </c>
      <c r="Z2520" t="s">
        <v>30230</v>
      </c>
      <c r="AA2520">
        <v>0.46038677208839351</v>
      </c>
      <c r="AB2520" t="str">
        <f>HYPERLINK("Melting_Curves/meltCurve_P30405_PPIF.pdf", "Melting_Curves/meltCurve_P30405_PPIF.pdf")</f>
        <v>Melting_Curves/meltCurve_P30405_PPIF.pdf</v>
      </c>
    </row>
    <row r="2521" spans="1:28" x14ac:dyDescent="0.25">
      <c r="A2521" t="s">
        <v>2525</v>
      </c>
      <c r="B2521">
        <v>0.99999676499088797</v>
      </c>
      <c r="C2521">
        <v>1.0100930884155901</v>
      </c>
      <c r="D2521">
        <v>0.94645601910546695</v>
      </c>
      <c r="E2521">
        <v>0.68962860148467597</v>
      </c>
      <c r="F2521">
        <v>0.25581551646899903</v>
      </c>
      <c r="G2521">
        <v>0.17249684285891601</v>
      </c>
      <c r="H2521">
        <v>9.1591929665288202E-2</v>
      </c>
      <c r="I2521">
        <v>8.7203512720653395E-2</v>
      </c>
      <c r="J2521">
        <v>6.1922578539428598E-2</v>
      </c>
      <c r="K2521">
        <v>5.2057073259457798E-2</v>
      </c>
      <c r="L2521">
        <v>1388.97256863648</v>
      </c>
      <c r="M2521">
        <v>27.3653435700998</v>
      </c>
      <c r="N2521">
        <v>51.067429291171997</v>
      </c>
      <c r="O2521">
        <v>50.487915733207103</v>
      </c>
      <c r="P2521">
        <v>-0.12511125237658399</v>
      </c>
      <c r="Q2521">
        <v>7.6708749269227494E-2</v>
      </c>
      <c r="R2521">
        <v>0.99733160186652103</v>
      </c>
      <c r="S2521" t="s">
        <v>9524</v>
      </c>
      <c r="T2521" t="s">
        <v>14004</v>
      </c>
      <c r="U2521" t="s">
        <v>14004</v>
      </c>
      <c r="V2521" t="s">
        <v>14004</v>
      </c>
      <c r="W2521" t="s">
        <v>16486</v>
      </c>
      <c r="X2521">
        <v>19</v>
      </c>
      <c r="Y2521" t="s">
        <v>23373</v>
      </c>
      <c r="Z2521" t="s">
        <v>30231</v>
      </c>
      <c r="AA2521">
        <v>0.41470934325222619</v>
      </c>
      <c r="AB2521" t="str">
        <f>HYPERLINK("Melting_Curves/meltCurve_P30419_NMT1.pdf", "Melting_Curves/meltCurve_P30419_NMT1.pdf")</f>
        <v>Melting_Curves/meltCurve_P30419_NMT1.pdf</v>
      </c>
    </row>
    <row r="2522" spans="1:28" x14ac:dyDescent="0.25">
      <c r="A2522" t="s">
        <v>2526</v>
      </c>
      <c r="B2522">
        <v>0.99999676499088797</v>
      </c>
      <c r="C2522">
        <v>1.2772937190492699</v>
      </c>
      <c r="D2522">
        <v>1.14307664794794</v>
      </c>
      <c r="E2522">
        <v>0.67344821428735002</v>
      </c>
      <c r="F2522">
        <v>0.52612317558154698</v>
      </c>
      <c r="G2522">
        <v>0.79962958597394196</v>
      </c>
      <c r="H2522">
        <v>0.402375486174468</v>
      </c>
      <c r="I2522">
        <v>0.54271146225838196</v>
      </c>
      <c r="J2522">
        <v>0.485808515071594</v>
      </c>
      <c r="K2522">
        <v>0.21816579973483699</v>
      </c>
      <c r="L2522">
        <v>752.93796948564295</v>
      </c>
      <c r="M2522">
        <v>14.1459817998785</v>
      </c>
      <c r="N2522">
        <v>59.297551399465199</v>
      </c>
      <c r="O2522">
        <v>52.196467909656299</v>
      </c>
      <c r="P2522">
        <v>-4.1841626324028602E-2</v>
      </c>
      <c r="Q2522">
        <v>0.38252211630765898</v>
      </c>
      <c r="R2522">
        <v>0.71786793695613504</v>
      </c>
      <c r="S2522" t="s">
        <v>9525</v>
      </c>
      <c r="T2522" t="s">
        <v>14004</v>
      </c>
      <c r="U2522" t="s">
        <v>14004</v>
      </c>
      <c r="V2522" t="s">
        <v>14004</v>
      </c>
      <c r="W2522" t="s">
        <v>16487</v>
      </c>
      <c r="X2522">
        <v>20</v>
      </c>
      <c r="Y2522" t="s">
        <v>22860</v>
      </c>
      <c r="Z2522" t="s">
        <v>30232</v>
      </c>
      <c r="AA2522">
        <v>0.66897146861425294</v>
      </c>
      <c r="AB2522" t="str">
        <f>HYPERLINK("Melting_Curves/meltCurve_P30493_HLA_B.pdf", "Melting_Curves/meltCurve_P30493_HLA_B.pdf")</f>
        <v>Melting_Curves/meltCurve_P30493_HLA_B.pdf</v>
      </c>
    </row>
    <row r="2523" spans="1:28" x14ac:dyDescent="0.25">
      <c r="A2523" t="s">
        <v>2527</v>
      </c>
      <c r="B2523">
        <v>0.99999676499088797</v>
      </c>
      <c r="C2523">
        <v>1.0003178958143599</v>
      </c>
      <c r="D2523">
        <v>0.99588267930667396</v>
      </c>
      <c r="E2523">
        <v>0.921000083982911</v>
      </c>
      <c r="F2523">
        <v>0.97918757938026002</v>
      </c>
      <c r="G2523">
        <v>0.85729638838308198</v>
      </c>
      <c r="H2523">
        <v>0.48689614117306301</v>
      </c>
      <c r="I2523">
        <v>0.406991493354593</v>
      </c>
      <c r="J2523">
        <v>0.32240360816853803</v>
      </c>
      <c r="K2523">
        <v>0.27272100823863299</v>
      </c>
      <c r="L2523">
        <v>1722.5280416099399</v>
      </c>
      <c r="M2523">
        <v>29.095299690852698</v>
      </c>
      <c r="N2523">
        <v>61.052853648907401</v>
      </c>
      <c r="O2523">
        <v>58.925399976501602</v>
      </c>
      <c r="P2523">
        <v>-8.7281488790947007E-2</v>
      </c>
      <c r="Q2523">
        <v>0.29293604359136399</v>
      </c>
      <c r="R2523">
        <v>0.98878938888664603</v>
      </c>
      <c r="S2523" t="s">
        <v>9526</v>
      </c>
      <c r="T2523" t="s">
        <v>14004</v>
      </c>
      <c r="U2523" t="s">
        <v>14004</v>
      </c>
      <c r="V2523" t="s">
        <v>14004</v>
      </c>
      <c r="W2523" t="s">
        <v>16488</v>
      </c>
      <c r="X2523">
        <v>20</v>
      </c>
      <c r="Y2523" t="s">
        <v>22860</v>
      </c>
      <c r="Z2523" t="s">
        <v>30233</v>
      </c>
      <c r="AA2523">
        <v>0.7502217122149144</v>
      </c>
      <c r="AB2523" t="str">
        <f>HYPERLINK("Melting_Curves/meltCurve_P30495_HLA_B.pdf", "Melting_Curves/meltCurve_P30495_HLA_B.pdf")</f>
        <v>Melting_Curves/meltCurve_P30495_HLA_B.pdf</v>
      </c>
    </row>
    <row r="2524" spans="1:28" x14ac:dyDescent="0.25">
      <c r="A2524" t="s">
        <v>2528</v>
      </c>
      <c r="B2524">
        <v>0.99999676499088797</v>
      </c>
      <c r="C2524">
        <v>0.94754277932182895</v>
      </c>
      <c r="D2524">
        <v>0.94734892032017903</v>
      </c>
      <c r="E2524">
        <v>0.84115518362782005</v>
      </c>
      <c r="F2524">
        <v>0.79395223450922703</v>
      </c>
      <c r="G2524">
        <v>0.57834519200500101</v>
      </c>
      <c r="H2524">
        <v>0.32655493650926398</v>
      </c>
      <c r="I2524">
        <v>0.30116377140288503</v>
      </c>
      <c r="J2524">
        <v>0.255308183421177</v>
      </c>
      <c r="K2524">
        <v>0.223118649601313</v>
      </c>
      <c r="L2524">
        <v>777.65136301440702</v>
      </c>
      <c r="M2524">
        <v>13.7959586627808</v>
      </c>
      <c r="N2524">
        <v>57.989069320411801</v>
      </c>
      <c r="O2524">
        <v>55.223274080384698</v>
      </c>
      <c r="P2524">
        <v>-5.2470115705180599E-2</v>
      </c>
      <c r="Q2524">
        <v>0.159995515086226</v>
      </c>
      <c r="R2524">
        <v>0.98806945376416999</v>
      </c>
      <c r="S2524" t="s">
        <v>9527</v>
      </c>
      <c r="T2524" t="s">
        <v>14004</v>
      </c>
      <c r="U2524" t="s">
        <v>14004</v>
      </c>
      <c r="V2524" t="s">
        <v>14004</v>
      </c>
      <c r="W2524" t="s">
        <v>16489</v>
      </c>
      <c r="X2524">
        <v>14</v>
      </c>
      <c r="Y2524" t="s">
        <v>21602</v>
      </c>
      <c r="Z2524" t="s">
        <v>30234</v>
      </c>
      <c r="AA2524">
        <v>0.63347507485848797</v>
      </c>
      <c r="AB2524" t="str">
        <f>HYPERLINK("Melting_Curves/meltCurve_P30504_HLA_C.pdf", "Melting_Curves/meltCurve_P30504_HLA_C.pdf")</f>
        <v>Melting_Curves/meltCurve_P30504_HLA_C.pdf</v>
      </c>
    </row>
    <row r="2525" spans="1:28" x14ac:dyDescent="0.25">
      <c r="A2525" t="s">
        <v>2529</v>
      </c>
      <c r="B2525">
        <v>0.99999676499088797</v>
      </c>
      <c r="C2525">
        <v>0.94439670796740405</v>
      </c>
      <c r="D2525">
        <v>0.88368912886126405</v>
      </c>
      <c r="E2525">
        <v>0.39540996847010101</v>
      </c>
      <c r="F2525">
        <v>0.197198682524205</v>
      </c>
      <c r="G2525">
        <v>0.14357034558106599</v>
      </c>
      <c r="H2525">
        <v>7.2453714762198404E-2</v>
      </c>
      <c r="I2525">
        <v>7.1910378931932001E-2</v>
      </c>
      <c r="J2525">
        <v>5.8862192567223803E-2</v>
      </c>
      <c r="K2525">
        <v>5.7227921160813003E-2</v>
      </c>
      <c r="L2525">
        <v>1322.43996474608</v>
      </c>
      <c r="M2525">
        <v>27.144973857210001</v>
      </c>
      <c r="N2525">
        <v>49.026168170322698</v>
      </c>
      <c r="O2525">
        <v>48.455582622985403</v>
      </c>
      <c r="P2525">
        <v>-0.129056935666647</v>
      </c>
      <c r="Q2525">
        <v>7.8508216464032402E-2</v>
      </c>
      <c r="R2525">
        <v>0.99442555800814803</v>
      </c>
      <c r="S2525" t="s">
        <v>9528</v>
      </c>
      <c r="T2525" t="s">
        <v>14004</v>
      </c>
      <c r="U2525" t="s">
        <v>14004</v>
      </c>
      <c r="V2525" t="s">
        <v>14004</v>
      </c>
      <c r="W2525" t="s">
        <v>16490</v>
      </c>
      <c r="X2525">
        <v>23</v>
      </c>
      <c r="Y2525" t="s">
        <v>23374</v>
      </c>
      <c r="Z2525" t="s">
        <v>30235</v>
      </c>
      <c r="AA2525">
        <v>0.35315704573727941</v>
      </c>
      <c r="AB2525" t="str">
        <f>HYPERLINK("Melting_Curves/meltCurve_P30519_HMOX2.pdf", "Melting_Curves/meltCurve_P30519_HMOX2.pdf")</f>
        <v>Melting_Curves/meltCurve_P30519_HMOX2.pdf</v>
      </c>
    </row>
    <row r="2526" spans="1:28" x14ac:dyDescent="0.25">
      <c r="A2526" t="s">
        <v>2530</v>
      </c>
      <c r="B2526">
        <v>0.99999676499088797</v>
      </c>
      <c r="C2526">
        <v>0.92782714558328705</v>
      </c>
      <c r="D2526">
        <v>0.92484353094680205</v>
      </c>
      <c r="E2526">
        <v>0.99486766501584201</v>
      </c>
      <c r="F2526">
        <v>0.93790040452006695</v>
      </c>
      <c r="G2526">
        <v>0.74668736246805401</v>
      </c>
      <c r="H2526">
        <v>0.27560107234897702</v>
      </c>
      <c r="I2526">
        <v>9.9432206899300393E-2</v>
      </c>
      <c r="J2526">
        <v>7.1479904785571702E-2</v>
      </c>
      <c r="K2526">
        <v>5.6727588867161997E-2</v>
      </c>
      <c r="L2526">
        <v>1830.9773945405</v>
      </c>
      <c r="M2526">
        <v>31.264591114598801</v>
      </c>
      <c r="N2526">
        <v>58.752098573333598</v>
      </c>
      <c r="O2526">
        <v>58.325899972450799</v>
      </c>
      <c r="P2526">
        <v>-0.127624642361962</v>
      </c>
      <c r="Q2526">
        <v>4.7640706421855E-2</v>
      </c>
      <c r="R2526">
        <v>0.99272685895952895</v>
      </c>
      <c r="S2526" t="s">
        <v>9529</v>
      </c>
      <c r="T2526" t="s">
        <v>14004</v>
      </c>
      <c r="U2526" t="s">
        <v>14004</v>
      </c>
      <c r="V2526" t="s">
        <v>14004</v>
      </c>
      <c r="W2526" t="s">
        <v>16491</v>
      </c>
      <c r="X2526">
        <v>30</v>
      </c>
      <c r="Y2526" t="s">
        <v>23375</v>
      </c>
      <c r="Z2526" t="s">
        <v>30236</v>
      </c>
      <c r="AA2526">
        <v>0.6427501957098305</v>
      </c>
      <c r="AB2526" t="str">
        <f>HYPERLINK("Melting_Curves/meltCurve_P30520_ADSS.pdf", "Melting_Curves/meltCurve_P30520_ADSS.pdf")</f>
        <v>Melting_Curves/meltCurve_P30520_ADSS.pdf</v>
      </c>
    </row>
    <row r="2527" spans="1:28" x14ac:dyDescent="0.25">
      <c r="A2527" t="s">
        <v>2531</v>
      </c>
      <c r="B2527">
        <v>0.99999676499088797</v>
      </c>
      <c r="C2527">
        <v>0.899256444156043</v>
      </c>
      <c r="D2527">
        <v>0.89575862697257702</v>
      </c>
      <c r="E2527">
        <v>0.75702507844519495</v>
      </c>
      <c r="F2527">
        <v>0.618315145972267</v>
      </c>
      <c r="G2527">
        <v>0.50225903472034095</v>
      </c>
      <c r="H2527">
        <v>0.26868754719333898</v>
      </c>
      <c r="I2527">
        <v>0.30911326244500198</v>
      </c>
      <c r="J2527">
        <v>0.28170927276427099</v>
      </c>
      <c r="K2527">
        <v>0.332676716716307</v>
      </c>
      <c r="L2527">
        <v>658.62869098032002</v>
      </c>
      <c r="M2527">
        <v>12.5126659606199</v>
      </c>
      <c r="N2527">
        <v>55.591216013476</v>
      </c>
      <c r="O2527">
        <v>51.346771931140097</v>
      </c>
      <c r="P2527">
        <v>-4.6136726000532001E-2</v>
      </c>
      <c r="Q2527">
        <v>0.24285151818981901</v>
      </c>
      <c r="R2527">
        <v>0.97539105245149904</v>
      </c>
      <c r="S2527" t="s">
        <v>9530</v>
      </c>
      <c r="T2527" t="s">
        <v>14004</v>
      </c>
      <c r="U2527" t="s">
        <v>14004</v>
      </c>
      <c r="V2527" t="s">
        <v>14004</v>
      </c>
      <c r="W2527" t="s">
        <v>16492</v>
      </c>
      <c r="X2527">
        <v>30</v>
      </c>
      <c r="Y2527" t="s">
        <v>23376</v>
      </c>
      <c r="Z2527" t="s">
        <v>30237</v>
      </c>
      <c r="AA2527">
        <v>0.58285604422094905</v>
      </c>
      <c r="AB2527" t="str">
        <f>HYPERLINK("Melting_Curves/meltCurve_P30533_LRPAP1.pdf", "Melting_Curves/meltCurve_P30533_LRPAP1.pdf")</f>
        <v>Melting_Curves/meltCurve_P30533_LRPAP1.pdf</v>
      </c>
    </row>
    <row r="2528" spans="1:28" x14ac:dyDescent="0.25">
      <c r="A2528" t="s">
        <v>2532</v>
      </c>
      <c r="B2528">
        <v>0.99999676499088797</v>
      </c>
      <c r="C2528">
        <v>1.1080589892280199</v>
      </c>
      <c r="D2528">
        <v>1.06136260739411</v>
      </c>
      <c r="E2528">
        <v>1.0740820647109</v>
      </c>
      <c r="F2528">
        <v>1.0604524618292299</v>
      </c>
      <c r="G2528">
        <v>0.99464644115937395</v>
      </c>
      <c r="H2528">
        <v>0.48685873044581301</v>
      </c>
      <c r="I2528">
        <v>0.110629416699592</v>
      </c>
      <c r="J2528">
        <v>8.5864041380994793E-2</v>
      </c>
      <c r="K2528">
        <v>6.2297115657844897E-2</v>
      </c>
      <c r="L2528">
        <v>3837.23427645623</v>
      </c>
      <c r="M2528">
        <v>63.327228357957601</v>
      </c>
      <c r="N2528">
        <v>60.749781604630499</v>
      </c>
      <c r="O2528">
        <v>60.533406628124901</v>
      </c>
      <c r="P2528">
        <v>-0.24190835165042399</v>
      </c>
      <c r="Q2528">
        <v>7.5056101189424504E-2</v>
      </c>
      <c r="R2528">
        <v>0.98701454302020297</v>
      </c>
      <c r="S2528" t="s">
        <v>9531</v>
      </c>
      <c r="T2528" t="s">
        <v>14004</v>
      </c>
      <c r="U2528" t="s">
        <v>14004</v>
      </c>
      <c r="V2528" t="s">
        <v>14004</v>
      </c>
      <c r="W2528" t="s">
        <v>16493</v>
      </c>
      <c r="X2528">
        <v>30</v>
      </c>
      <c r="Y2528" t="s">
        <v>23377</v>
      </c>
      <c r="Z2528" t="s">
        <v>30238</v>
      </c>
      <c r="AA2528">
        <v>0.71152121378886657</v>
      </c>
      <c r="AB2528" t="str">
        <f>HYPERLINK("Melting_Curves/meltCurve_P30566_ADSL.pdf", "Melting_Curves/meltCurve_P30566_ADSL.pdf")</f>
        <v>Melting_Curves/meltCurve_P30566_ADSL.pdf</v>
      </c>
    </row>
    <row r="2529" spans="1:28" x14ac:dyDescent="0.25">
      <c r="A2529" t="s">
        <v>2533</v>
      </c>
      <c r="B2529">
        <v>0.99999676499088797</v>
      </c>
      <c r="C2529">
        <v>0.792982866598273</v>
      </c>
      <c r="D2529">
        <v>1.2356571122037201</v>
      </c>
      <c r="E2529">
        <v>1.2549238732263099</v>
      </c>
      <c r="F2529">
        <v>0.66224803339381899</v>
      </c>
      <c r="G2529">
        <v>1.4890795678786</v>
      </c>
      <c r="H2529">
        <v>0.32240516612965803</v>
      </c>
      <c r="I2529">
        <v>0.241222510260026</v>
      </c>
      <c r="J2529">
        <v>0.20589196497711801</v>
      </c>
      <c r="K2529">
        <v>0.184767507119837</v>
      </c>
      <c r="L2529">
        <v>15000</v>
      </c>
      <c r="M2529">
        <v>248.512549560476</v>
      </c>
      <c r="N2529">
        <v>60.492264382277597</v>
      </c>
      <c r="O2529">
        <v>60.355199843725998</v>
      </c>
      <c r="P2529">
        <v>-0.81256076413758405</v>
      </c>
      <c r="Q2529">
        <v>0.21062690138398299</v>
      </c>
      <c r="R2529">
        <v>0.76062127635604904</v>
      </c>
      <c r="S2529" t="s">
        <v>9532</v>
      </c>
      <c r="T2529" t="s">
        <v>14004</v>
      </c>
      <c r="U2529" t="s">
        <v>14004</v>
      </c>
      <c r="V2529" t="s">
        <v>14004</v>
      </c>
      <c r="W2529" t="s">
        <v>16494</v>
      </c>
      <c r="X2529">
        <v>3</v>
      </c>
      <c r="Y2529" t="s">
        <v>23378</v>
      </c>
      <c r="Z2529" t="s">
        <v>30239</v>
      </c>
      <c r="AA2529">
        <v>0.74640970499774817</v>
      </c>
      <c r="AB2529" t="str">
        <f>HYPERLINK("Melting_Curves/meltCurve_P30613_2_PKLR.pdf", "Melting_Curves/meltCurve_P30613_2_PKLR.pdf")</f>
        <v>Melting_Curves/meltCurve_P30613_2_PKLR.pdf</v>
      </c>
    </row>
    <row r="2530" spans="1:28" x14ac:dyDescent="0.25">
      <c r="A2530" t="s">
        <v>2534</v>
      </c>
      <c r="B2530">
        <v>0.99999676499088797</v>
      </c>
      <c r="C2530">
        <v>0.95574741026579202</v>
      </c>
      <c r="D2530">
        <v>0.97468995649735701</v>
      </c>
      <c r="E2530">
        <v>0.87787098640761396</v>
      </c>
      <c r="F2530">
        <v>0.62340655671173395</v>
      </c>
      <c r="G2530">
        <v>0.42755563615393499</v>
      </c>
      <c r="H2530">
        <v>0.226302756941021</v>
      </c>
      <c r="I2530">
        <v>0.30583655625795803</v>
      </c>
      <c r="J2530">
        <v>0.34719887416124601</v>
      </c>
      <c r="K2530">
        <v>0.46014886174716102</v>
      </c>
      <c r="L2530">
        <v>1474.9372394444399</v>
      </c>
      <c r="M2530">
        <v>28.0776585922343</v>
      </c>
      <c r="N2530">
        <v>54.703045603466698</v>
      </c>
      <c r="O2530">
        <v>52.266334421378403</v>
      </c>
      <c r="P2530">
        <v>-8.9169824329618799E-2</v>
      </c>
      <c r="Q2530">
        <v>0.336050001398016</v>
      </c>
      <c r="R2530">
        <v>0.95861809884369398</v>
      </c>
      <c r="S2530" t="s">
        <v>9533</v>
      </c>
      <c r="T2530" t="s">
        <v>14004</v>
      </c>
      <c r="U2530" t="s">
        <v>14004</v>
      </c>
      <c r="V2530" t="s">
        <v>14004</v>
      </c>
      <c r="W2530" t="s">
        <v>16495</v>
      </c>
      <c r="X2530">
        <v>57</v>
      </c>
      <c r="Y2530" t="s">
        <v>23379</v>
      </c>
      <c r="Z2530" t="s">
        <v>30240</v>
      </c>
      <c r="AA2530">
        <v>0.61824356570748806</v>
      </c>
      <c r="AB2530" t="str">
        <f>HYPERLINK("Melting_Curves/meltCurve_P30622_2_CLIP1.pdf", "Melting_Curves/meltCurve_P30622_2_CLIP1.pdf")</f>
        <v>Melting_Curves/meltCurve_P30622_2_CLIP1.pdf</v>
      </c>
    </row>
    <row r="2531" spans="1:28" x14ac:dyDescent="0.25">
      <c r="A2531" t="s">
        <v>2535</v>
      </c>
      <c r="B2531">
        <v>0.99999676499088797</v>
      </c>
      <c r="C2531">
        <v>1.08708498697372</v>
      </c>
      <c r="D2531">
        <v>0.98505363821267999</v>
      </c>
      <c r="E2531">
        <v>0.85770847852690901</v>
      </c>
      <c r="F2531">
        <v>0.34598912775226598</v>
      </c>
      <c r="G2531">
        <v>0.16209734188368</v>
      </c>
      <c r="H2531">
        <v>6.4203913400936896E-2</v>
      </c>
      <c r="I2531">
        <v>6.7469295825725598E-2</v>
      </c>
      <c r="J2531">
        <v>4.6150479907600697E-2</v>
      </c>
      <c r="K2531">
        <v>4.05111290170488E-2</v>
      </c>
      <c r="L2531">
        <v>1709.9743064863201</v>
      </c>
      <c r="M2531">
        <v>32.865800547340903</v>
      </c>
      <c r="N2531">
        <v>52.231565354023502</v>
      </c>
      <c r="O2531">
        <v>51.837496480254401</v>
      </c>
      <c r="P2531">
        <v>-0.149019944492571</v>
      </c>
      <c r="Q2531">
        <v>5.9839016848423902E-2</v>
      </c>
      <c r="R2531">
        <v>0.99405572505502804</v>
      </c>
      <c r="S2531" t="s">
        <v>9534</v>
      </c>
      <c r="T2531" t="s">
        <v>14004</v>
      </c>
      <c r="U2531" t="s">
        <v>14004</v>
      </c>
      <c r="V2531" t="s">
        <v>14004</v>
      </c>
      <c r="W2531" t="s">
        <v>16496</v>
      </c>
      <c r="X2531">
        <v>6</v>
      </c>
      <c r="Y2531" t="s">
        <v>23380</v>
      </c>
      <c r="Z2531" t="s">
        <v>30241</v>
      </c>
      <c r="AA2531">
        <v>0.4418235562536848</v>
      </c>
      <c r="AB2531" t="str">
        <f>HYPERLINK("Melting_Curves/meltCurve_P30679_GNA15.pdf", "Melting_Curves/meltCurve_P30679_GNA15.pdf")</f>
        <v>Melting_Curves/meltCurve_P30679_GNA15.pdf</v>
      </c>
    </row>
    <row r="2532" spans="1:28" x14ac:dyDescent="0.25">
      <c r="A2532" t="s">
        <v>2536</v>
      </c>
      <c r="B2532">
        <v>0.99999676499088797</v>
      </c>
      <c r="C2532">
        <v>1.0262895374824601</v>
      </c>
      <c r="D2532">
        <v>1.0245753405184299</v>
      </c>
      <c r="E2532">
        <v>0.918365317581189</v>
      </c>
      <c r="F2532">
        <v>0.86040188783252802</v>
      </c>
      <c r="G2532">
        <v>0.62988503101312399</v>
      </c>
      <c r="H2532">
        <v>0.43281836853154199</v>
      </c>
      <c r="I2532">
        <v>0.40421796326046</v>
      </c>
      <c r="J2532">
        <v>0.30365474454200703</v>
      </c>
      <c r="K2532">
        <v>0.26679675639774197</v>
      </c>
      <c r="L2532">
        <v>970.92615981532003</v>
      </c>
      <c r="M2532">
        <v>16.9919453575381</v>
      </c>
      <c r="N2532">
        <v>59.627718288093703</v>
      </c>
      <c r="O2532">
        <v>56.366562254228199</v>
      </c>
      <c r="P2532">
        <v>-5.6233455973141597E-2</v>
      </c>
      <c r="Q2532">
        <v>0.25388405152166299</v>
      </c>
      <c r="R2532">
        <v>0.99228521279368698</v>
      </c>
      <c r="S2532" t="s">
        <v>9535</v>
      </c>
      <c r="T2532" t="s">
        <v>14004</v>
      </c>
      <c r="U2532" t="s">
        <v>14004</v>
      </c>
      <c r="V2532" t="s">
        <v>14004</v>
      </c>
      <c r="W2532" t="s">
        <v>16497</v>
      </c>
      <c r="X2532">
        <v>19</v>
      </c>
      <c r="Y2532" t="s">
        <v>22860</v>
      </c>
      <c r="Z2532" t="s">
        <v>30242</v>
      </c>
      <c r="AA2532">
        <v>0.69081602125570118</v>
      </c>
      <c r="AB2532" t="str">
        <f>HYPERLINK("Melting_Curves/meltCurve_P30685_HLA_B.pdf", "Melting_Curves/meltCurve_P30685_HLA_B.pdf")</f>
        <v>Melting_Curves/meltCurve_P30685_HLA_B.pdf</v>
      </c>
    </row>
    <row r="2533" spans="1:28" x14ac:dyDescent="0.25">
      <c r="A2533" t="s">
        <v>2537</v>
      </c>
      <c r="B2533">
        <v>0.99999676499088797</v>
      </c>
      <c r="C2533">
        <v>0.99370241728253095</v>
      </c>
      <c r="D2533">
        <v>0.75799928646387005</v>
      </c>
      <c r="E2533">
        <v>0.56329132095677703</v>
      </c>
      <c r="F2533">
        <v>0.37375568014285199</v>
      </c>
      <c r="G2533">
        <v>0.35901979853097299</v>
      </c>
      <c r="H2533">
        <v>0.23747566855579799</v>
      </c>
      <c r="I2533">
        <v>0.25477679132290798</v>
      </c>
      <c r="J2533">
        <v>0.21963765148454101</v>
      </c>
      <c r="K2533">
        <v>0.306723896766608</v>
      </c>
      <c r="L2533">
        <v>884.40799890091603</v>
      </c>
      <c r="M2533">
        <v>18.237104054089102</v>
      </c>
      <c r="N2533">
        <v>50.496115066985297</v>
      </c>
      <c r="O2533">
        <v>47.923170669964698</v>
      </c>
      <c r="P2533">
        <v>-7.06629741922567E-2</v>
      </c>
      <c r="Q2533">
        <v>0.257286667510226</v>
      </c>
      <c r="R2533">
        <v>0.98386634206816204</v>
      </c>
      <c r="S2533" t="s">
        <v>9536</v>
      </c>
      <c r="T2533" t="s">
        <v>14004</v>
      </c>
      <c r="U2533" t="s">
        <v>14004</v>
      </c>
      <c r="V2533" t="s">
        <v>14004</v>
      </c>
      <c r="W2533" t="s">
        <v>16498</v>
      </c>
      <c r="X2533">
        <v>2</v>
      </c>
      <c r="Y2533" t="s">
        <v>23381</v>
      </c>
      <c r="Z2533" t="s">
        <v>30243</v>
      </c>
      <c r="AA2533">
        <v>0.48025751380506759</v>
      </c>
      <c r="AB2533" t="str">
        <f>HYPERLINK("Melting_Curves/meltCurve_P30740_SERPINB1.pdf", "Melting_Curves/meltCurve_P30740_SERPINB1.pdf")</f>
        <v>Melting_Curves/meltCurve_P30740_SERPINB1.pdf</v>
      </c>
    </row>
    <row r="2534" spans="1:28" x14ac:dyDescent="0.25">
      <c r="A2534" t="s">
        <v>2538</v>
      </c>
      <c r="B2534">
        <v>0.99999676499088797</v>
      </c>
      <c r="C2534">
        <v>0.98633313671845402</v>
      </c>
      <c r="D2534">
        <v>0.96218812723168301</v>
      </c>
      <c r="E2534">
        <v>0.99867934678454395</v>
      </c>
      <c r="F2534">
        <v>1.04287962223042</v>
      </c>
      <c r="G2534">
        <v>0.93714083134153803</v>
      </c>
      <c r="H2534">
        <v>0.67941624347268004</v>
      </c>
      <c r="I2534">
        <v>0.56069338648256895</v>
      </c>
      <c r="J2534">
        <v>0.467263521707035</v>
      </c>
      <c r="K2534">
        <v>0.66962668546548998</v>
      </c>
      <c r="L2534">
        <v>2736.9236494581501</v>
      </c>
      <c r="M2534">
        <v>46.151835162031198</v>
      </c>
      <c r="O2534">
        <v>59.191577763306903</v>
      </c>
      <c r="P2534">
        <v>-8.5218516919055701E-2</v>
      </c>
      <c r="Q2534">
        <v>0.56281586897707903</v>
      </c>
      <c r="R2534">
        <v>0.93873913010538201</v>
      </c>
      <c r="S2534" t="s">
        <v>9537</v>
      </c>
      <c r="T2534" t="s">
        <v>14004</v>
      </c>
      <c r="U2534" t="s">
        <v>14004</v>
      </c>
      <c r="V2534" t="s">
        <v>14004</v>
      </c>
      <c r="W2534" t="s">
        <v>16499</v>
      </c>
      <c r="X2534">
        <v>10</v>
      </c>
      <c r="Y2534" t="s">
        <v>23382</v>
      </c>
      <c r="Z2534" t="s">
        <v>30244</v>
      </c>
      <c r="AA2534">
        <v>0.84542861389150337</v>
      </c>
      <c r="AB2534" t="str">
        <f>HYPERLINK("Melting_Curves/meltCurve_P30793_GCH1.pdf", "Melting_Curves/meltCurve_P30793_GCH1.pdf")</f>
        <v>Melting_Curves/meltCurve_P30793_GCH1.pdf</v>
      </c>
    </row>
    <row r="2535" spans="1:28" x14ac:dyDescent="0.25">
      <c r="A2535" t="s">
        <v>2539</v>
      </c>
      <c r="B2535">
        <v>0.99999676499088797</v>
      </c>
      <c r="C2535">
        <v>1.08382760069956</v>
      </c>
      <c r="D2535">
        <v>0.99516342067647001</v>
      </c>
      <c r="E2535">
        <v>0.87221150817408499</v>
      </c>
      <c r="F2535">
        <v>0.93647843888231497</v>
      </c>
      <c r="G2535">
        <v>0.852440275243182</v>
      </c>
      <c r="H2535">
        <v>0.62402544031780904</v>
      </c>
      <c r="I2535">
        <v>0.52933099504078296</v>
      </c>
      <c r="J2535">
        <v>0.267057196098619</v>
      </c>
      <c r="K2535">
        <v>0.17409646366819001</v>
      </c>
      <c r="L2535">
        <v>928.64476903157595</v>
      </c>
      <c r="M2535">
        <v>14.6706586154948</v>
      </c>
      <c r="N2535">
        <v>63.299460070191003</v>
      </c>
      <c r="O2535">
        <v>62.158235323794898</v>
      </c>
      <c r="P2535">
        <v>-5.90117958039688E-2</v>
      </c>
      <c r="Q2535">
        <v>0</v>
      </c>
      <c r="R2535">
        <v>0.97097486894889995</v>
      </c>
      <c r="S2535" t="s">
        <v>9538</v>
      </c>
      <c r="T2535" t="s">
        <v>14004</v>
      </c>
      <c r="U2535" t="s">
        <v>14004</v>
      </c>
      <c r="V2535" t="s">
        <v>14004</v>
      </c>
      <c r="W2535" t="s">
        <v>16500</v>
      </c>
      <c r="X2535">
        <v>8</v>
      </c>
      <c r="Y2535" t="s">
        <v>23383</v>
      </c>
      <c r="Z2535" t="s">
        <v>30245</v>
      </c>
      <c r="AA2535">
        <v>0.7644337108302115</v>
      </c>
      <c r="AB2535" t="str">
        <f>HYPERLINK("Melting_Curves/meltCurve_P30825_SLC7A1.pdf", "Melting_Curves/meltCurve_P30825_SLC7A1.pdf")</f>
        <v>Melting_Curves/meltCurve_P30825_SLC7A1.pdf</v>
      </c>
    </row>
    <row r="2536" spans="1:28" x14ac:dyDescent="0.25">
      <c r="A2536" t="s">
        <v>2540</v>
      </c>
      <c r="B2536">
        <v>0.99999676499088797</v>
      </c>
      <c r="C2536">
        <v>0.99131441694067601</v>
      </c>
      <c r="D2536">
        <v>0.59180980113829296</v>
      </c>
      <c r="E2536">
        <v>0.23120809473073001</v>
      </c>
      <c r="F2536">
        <v>0.14520266474236801</v>
      </c>
      <c r="G2536">
        <v>9.5455797864874306E-2</v>
      </c>
      <c r="H2536">
        <v>4.8080558583749697E-2</v>
      </c>
      <c r="I2536">
        <v>5.2262770540480098E-2</v>
      </c>
      <c r="J2536">
        <v>5.2270487960139299E-2</v>
      </c>
      <c r="K2536">
        <v>4.5012419796503902E-2</v>
      </c>
      <c r="L2536">
        <v>1303.39434669104</v>
      </c>
      <c r="M2536">
        <v>27.9301426018794</v>
      </c>
      <c r="N2536">
        <v>46.907900199123901</v>
      </c>
      <c r="O2536">
        <v>46.428965465557098</v>
      </c>
      <c r="P2536">
        <v>-0.140315041661847</v>
      </c>
      <c r="Q2536">
        <v>6.7011447397174503E-2</v>
      </c>
      <c r="R2536">
        <v>0.99270059477002004</v>
      </c>
      <c r="S2536" t="s">
        <v>9539</v>
      </c>
      <c r="T2536" t="s">
        <v>14004</v>
      </c>
      <c r="U2536" t="s">
        <v>14004</v>
      </c>
      <c r="V2536" t="s">
        <v>14004</v>
      </c>
      <c r="W2536" t="s">
        <v>16501</v>
      </c>
      <c r="X2536">
        <v>35</v>
      </c>
      <c r="Y2536" t="s">
        <v>23384</v>
      </c>
      <c r="Z2536" t="s">
        <v>30246</v>
      </c>
      <c r="AA2536">
        <v>0.28089140907511428</v>
      </c>
      <c r="AB2536" t="str">
        <f>HYPERLINK("Melting_Curves/meltCurve_P31146_CORO1A.pdf", "Melting_Curves/meltCurve_P31146_CORO1A.pdf")</f>
        <v>Melting_Curves/meltCurve_P31146_CORO1A.pdf</v>
      </c>
    </row>
    <row r="2537" spans="1:28" x14ac:dyDescent="0.25">
      <c r="A2537" t="s">
        <v>2541</v>
      </c>
      <c r="B2537">
        <v>0.99999676499088797</v>
      </c>
      <c r="C2537">
        <v>0.98835288880726802</v>
      </c>
      <c r="D2537">
        <v>0.99056702790350204</v>
      </c>
      <c r="E2537">
        <v>1.00181839824638</v>
      </c>
      <c r="F2537">
        <v>0.70964653897084096</v>
      </c>
      <c r="G2537">
        <v>0.246947476581898</v>
      </c>
      <c r="H2537">
        <v>9.9169333201203802E-2</v>
      </c>
      <c r="I2537">
        <v>8.9652786978742405E-2</v>
      </c>
      <c r="J2537">
        <v>8.9910313376249495E-2</v>
      </c>
      <c r="K2537">
        <v>8.6384213784348296E-2</v>
      </c>
      <c r="L2537">
        <v>2019.7363585524399</v>
      </c>
      <c r="M2537">
        <v>37.163348715192598</v>
      </c>
      <c r="N2537">
        <v>54.628421880846503</v>
      </c>
      <c r="O2537">
        <v>54.190887605679499</v>
      </c>
      <c r="P2537">
        <v>-0.15653593577331701</v>
      </c>
      <c r="Q2537">
        <v>8.6971648643212496E-2</v>
      </c>
      <c r="R2537">
        <v>0.99938062198574495</v>
      </c>
      <c r="S2537" t="s">
        <v>9540</v>
      </c>
      <c r="T2537" t="s">
        <v>14004</v>
      </c>
      <c r="U2537" t="s">
        <v>14004</v>
      </c>
      <c r="V2537" t="s">
        <v>14004</v>
      </c>
      <c r="W2537" t="s">
        <v>16502</v>
      </c>
      <c r="X2537">
        <v>28</v>
      </c>
      <c r="Y2537" t="s">
        <v>23385</v>
      </c>
      <c r="Z2537" t="s">
        <v>30247</v>
      </c>
      <c r="AA2537">
        <v>0.52758925979707749</v>
      </c>
      <c r="AB2537" t="str">
        <f>HYPERLINK("Melting_Curves/meltCurve_P31150_GDI1.pdf", "Melting_Curves/meltCurve_P31150_GDI1.pdf")</f>
        <v>Melting_Curves/meltCurve_P31150_GDI1.pdf</v>
      </c>
    </row>
    <row r="2538" spans="1:28" x14ac:dyDescent="0.25">
      <c r="A2538" t="s">
        <v>2542</v>
      </c>
      <c r="B2538">
        <v>0.99999676499088797</v>
      </c>
      <c r="C2538">
        <v>1.1923015288029599</v>
      </c>
      <c r="D2538">
        <v>1.4963517165159499</v>
      </c>
      <c r="E2538">
        <v>0.82932795681626703</v>
      </c>
      <c r="F2538">
        <v>6.4788344863653498</v>
      </c>
      <c r="G2538">
        <v>0.79349524013869599</v>
      </c>
      <c r="H2538">
        <v>1.9062730490183599</v>
      </c>
      <c r="I2538">
        <v>0.626244565009898</v>
      </c>
      <c r="J2538">
        <v>0.38452687004179098</v>
      </c>
      <c r="K2538">
        <v>0.82632043573591996</v>
      </c>
      <c r="L2538">
        <v>1779.55372824342</v>
      </c>
      <c r="M2538">
        <v>26.7969182923541</v>
      </c>
      <c r="O2538">
        <v>66.042365535194307</v>
      </c>
      <c r="P2538">
        <v>-3.6824440725567703E-2</v>
      </c>
      <c r="Q2538">
        <v>0.636980890868028</v>
      </c>
      <c r="R2538">
        <v>-9.8548646231601894E-2</v>
      </c>
      <c r="S2538" t="s">
        <v>9541</v>
      </c>
      <c r="T2538" t="s">
        <v>14004</v>
      </c>
      <c r="U2538" t="s">
        <v>14004</v>
      </c>
      <c r="V2538" t="s">
        <v>14004</v>
      </c>
      <c r="W2538" t="s">
        <v>16503</v>
      </c>
      <c r="X2538">
        <v>1</v>
      </c>
      <c r="Y2538" t="s">
        <v>23386</v>
      </c>
      <c r="Z2538" t="s">
        <v>30248</v>
      </c>
      <c r="AA2538">
        <v>0.9520723685968483</v>
      </c>
      <c r="AB2538" t="str">
        <f>HYPERLINK("Melting_Curves/meltCurve_P31151_S100A7.pdf", "Melting_Curves/meltCurve_P31151_S100A7.pdf")</f>
        <v>Melting_Curves/meltCurve_P31151_S100A7.pdf</v>
      </c>
    </row>
    <row r="2539" spans="1:28" x14ac:dyDescent="0.25">
      <c r="A2539" t="s">
        <v>2543</v>
      </c>
      <c r="B2539">
        <v>0.99999676499088797</v>
      </c>
      <c r="C2539">
        <v>1.0169062398447899</v>
      </c>
      <c r="D2539">
        <v>0.97984958078401996</v>
      </c>
      <c r="E2539">
        <v>0.89331488583486796</v>
      </c>
      <c r="F2539">
        <v>0.82571243603314604</v>
      </c>
      <c r="G2539">
        <v>0.75649626204014397</v>
      </c>
      <c r="H2539">
        <v>0.44708016611488299</v>
      </c>
      <c r="I2539">
        <v>0.20870392129662799</v>
      </c>
      <c r="J2539">
        <v>0.169437876198474</v>
      </c>
      <c r="K2539">
        <v>0.16217612174986901</v>
      </c>
      <c r="L2539">
        <v>943.02460606628995</v>
      </c>
      <c r="M2539">
        <v>15.8779624615697</v>
      </c>
      <c r="N2539">
        <v>59.737784574848902</v>
      </c>
      <c r="O2539">
        <v>58.473903894179301</v>
      </c>
      <c r="P2539">
        <v>-6.4909920806096005E-2</v>
      </c>
      <c r="Q2539">
        <v>4.39000642982516E-2</v>
      </c>
      <c r="R2539">
        <v>0.984874096105399</v>
      </c>
      <c r="S2539" t="s">
        <v>9542</v>
      </c>
      <c r="T2539" t="s">
        <v>14004</v>
      </c>
      <c r="U2539" t="s">
        <v>14004</v>
      </c>
      <c r="V2539" t="s">
        <v>14004</v>
      </c>
      <c r="W2539" t="s">
        <v>16504</v>
      </c>
      <c r="X2539">
        <v>29</v>
      </c>
      <c r="Y2539" t="s">
        <v>23387</v>
      </c>
      <c r="Z2539" t="s">
        <v>30249</v>
      </c>
      <c r="AA2539">
        <v>0.67102135308709876</v>
      </c>
      <c r="AB2539" t="str">
        <f>HYPERLINK("Melting_Curves/meltCurve_P31153_MAT2A.pdf", "Melting_Curves/meltCurve_P31153_MAT2A.pdf")</f>
        <v>Melting_Curves/meltCurve_P31153_MAT2A.pdf</v>
      </c>
    </row>
    <row r="2540" spans="1:28" x14ac:dyDescent="0.25">
      <c r="A2540" t="s">
        <v>2544</v>
      </c>
      <c r="B2540">
        <v>0.99999676499088797</v>
      </c>
      <c r="C2540">
        <v>0.97427380943049102</v>
      </c>
      <c r="D2540">
        <v>0.96597481073515701</v>
      </c>
      <c r="E2540">
        <v>0.72137857922801296</v>
      </c>
      <c r="F2540">
        <v>0.30759686201176401</v>
      </c>
      <c r="G2540">
        <v>0.141997935650017</v>
      </c>
      <c r="H2540">
        <v>6.7618654643744794E-2</v>
      </c>
      <c r="I2540">
        <v>9.28177562928717E-2</v>
      </c>
      <c r="J2540">
        <v>5.7331500369955303E-2</v>
      </c>
      <c r="K2540">
        <v>4.9674540621267201E-2</v>
      </c>
      <c r="L2540">
        <v>1363.64485955992</v>
      </c>
      <c r="M2540">
        <v>26.638534771710599</v>
      </c>
      <c r="N2540">
        <v>51.455616638392797</v>
      </c>
      <c r="O2540">
        <v>50.904811781216601</v>
      </c>
      <c r="P2540">
        <v>-0.12244293141387</v>
      </c>
      <c r="Q2540">
        <v>6.4082276520033898E-2</v>
      </c>
      <c r="R2540">
        <v>0.998899104497047</v>
      </c>
      <c r="S2540" t="s">
        <v>9543</v>
      </c>
      <c r="T2540" t="s">
        <v>14004</v>
      </c>
      <c r="U2540" t="s">
        <v>14004</v>
      </c>
      <c r="V2540" t="s">
        <v>14004</v>
      </c>
      <c r="W2540" t="s">
        <v>16505</v>
      </c>
      <c r="X2540">
        <v>14</v>
      </c>
      <c r="Y2540" t="s">
        <v>23388</v>
      </c>
      <c r="Z2540" t="s">
        <v>30250</v>
      </c>
      <c r="AA2540">
        <v>0.42067813926927589</v>
      </c>
      <c r="AB2540" t="str">
        <f>HYPERLINK("Melting_Curves/meltCurve_P31321_PRKAR1B.pdf", "Melting_Curves/meltCurve_P31321_PRKAR1B.pdf")</f>
        <v>Melting_Curves/meltCurve_P31321_PRKAR1B.pdf</v>
      </c>
    </row>
    <row r="2541" spans="1:28" x14ac:dyDescent="0.25">
      <c r="A2541" t="s">
        <v>2545</v>
      </c>
      <c r="B2541">
        <v>0.99999676499088797</v>
      </c>
      <c r="C2541">
        <v>0.994690784407818</v>
      </c>
      <c r="D2541">
        <v>0.72388896758222199</v>
      </c>
      <c r="E2541">
        <v>0.49785225661587001</v>
      </c>
      <c r="F2541">
        <v>0.15303739482669201</v>
      </c>
      <c r="G2541">
        <v>8.9515433641765493E-2</v>
      </c>
      <c r="H2541">
        <v>5.13714721694657E-2</v>
      </c>
      <c r="I2541">
        <v>8.2880487992014806E-2</v>
      </c>
      <c r="J2541">
        <v>5.88231926512197E-2</v>
      </c>
      <c r="K2541">
        <v>6.2503527094155797E-2</v>
      </c>
      <c r="L2541">
        <v>1007.71106038783</v>
      </c>
      <c r="M2541">
        <v>20.6783908717325</v>
      </c>
      <c r="N2541">
        <v>48.991170269668601</v>
      </c>
      <c r="O2541">
        <v>48.2836861650147</v>
      </c>
      <c r="P2541">
        <v>-0.101534386529642</v>
      </c>
      <c r="Q2541">
        <v>5.1703126449074002E-2</v>
      </c>
      <c r="R2541">
        <v>0.99150949570060698</v>
      </c>
      <c r="S2541" t="s">
        <v>9544</v>
      </c>
      <c r="T2541" t="s">
        <v>14004</v>
      </c>
      <c r="U2541" t="s">
        <v>14004</v>
      </c>
      <c r="V2541" t="s">
        <v>14004</v>
      </c>
      <c r="W2541" t="s">
        <v>16506</v>
      </c>
      <c r="X2541">
        <v>8</v>
      </c>
      <c r="Y2541" t="s">
        <v>23389</v>
      </c>
      <c r="Z2541" t="s">
        <v>30251</v>
      </c>
      <c r="AA2541">
        <v>0.34017497309611061</v>
      </c>
      <c r="AB2541" t="str">
        <f>HYPERLINK("Melting_Curves/meltCurve_P31323_PRKAR2B.pdf", "Melting_Curves/meltCurve_P31323_PRKAR2B.pdf")</f>
        <v>Melting_Curves/meltCurve_P31323_PRKAR2B.pdf</v>
      </c>
    </row>
    <row r="2542" spans="1:28" x14ac:dyDescent="0.25">
      <c r="A2542" t="s">
        <v>2546</v>
      </c>
      <c r="B2542">
        <v>0.99999676499088797</v>
      </c>
      <c r="C2542">
        <v>0.86084948289825303</v>
      </c>
      <c r="D2542">
        <v>0.87510448907245797</v>
      </c>
      <c r="E2542">
        <v>0.84603887560172097</v>
      </c>
      <c r="F2542">
        <v>0.53102734706462795</v>
      </c>
      <c r="G2542">
        <v>0.32098993699376899</v>
      </c>
      <c r="H2542">
        <v>0.17207506675876</v>
      </c>
      <c r="I2542">
        <v>0.16246038011990999</v>
      </c>
      <c r="J2542">
        <v>0.15410455337248799</v>
      </c>
      <c r="K2542">
        <v>0.110640065578025</v>
      </c>
      <c r="L2542">
        <v>839.48235297787198</v>
      </c>
      <c r="M2542">
        <v>15.8121695604935</v>
      </c>
      <c r="N2542">
        <v>53.812410837556101</v>
      </c>
      <c r="O2542">
        <v>52.2635058836428</v>
      </c>
      <c r="P2542">
        <v>-6.8417522421506394E-2</v>
      </c>
      <c r="Q2542">
        <v>9.5520486127171303E-2</v>
      </c>
      <c r="R2542">
        <v>0.97972014012053599</v>
      </c>
      <c r="S2542" t="s">
        <v>9545</v>
      </c>
      <c r="T2542" t="s">
        <v>14004</v>
      </c>
      <c r="U2542" t="s">
        <v>14004</v>
      </c>
      <c r="V2542" t="s">
        <v>14004</v>
      </c>
      <c r="W2542" t="s">
        <v>16507</v>
      </c>
      <c r="X2542">
        <v>5</v>
      </c>
      <c r="Y2542" t="s">
        <v>23390</v>
      </c>
      <c r="Z2542" t="s">
        <v>30252</v>
      </c>
      <c r="AA2542">
        <v>0.5082002571908234</v>
      </c>
      <c r="AB2542" t="str">
        <f>HYPERLINK("Melting_Curves/meltCurve_P31327_CPS1.pdf", "Melting_Curves/meltCurve_P31327_CPS1.pdf")</f>
        <v>Melting_Curves/meltCurve_P31327_CPS1.pdf</v>
      </c>
    </row>
    <row r="2543" spans="1:28" x14ac:dyDescent="0.25">
      <c r="A2543" t="s">
        <v>2547</v>
      </c>
      <c r="B2543">
        <v>0.99999676499088797</v>
      </c>
      <c r="C2543">
        <v>0.98096753805856396</v>
      </c>
      <c r="D2543">
        <v>0.96521820481766096</v>
      </c>
      <c r="E2543">
        <v>1.01707207582892</v>
      </c>
      <c r="F2543">
        <v>1.0136532676116301</v>
      </c>
      <c r="G2543">
        <v>0.85288258928938698</v>
      </c>
      <c r="H2543">
        <v>0.65385866188864905</v>
      </c>
      <c r="I2543">
        <v>0.50463061982114199</v>
      </c>
      <c r="J2543">
        <v>0.32235751074834801</v>
      </c>
      <c r="K2543">
        <v>0.24934455405863201</v>
      </c>
      <c r="L2543">
        <v>1119.3995164913599</v>
      </c>
      <c r="M2543">
        <v>17.939440981607301</v>
      </c>
      <c r="N2543">
        <v>63.597641482212701</v>
      </c>
      <c r="O2543">
        <v>61.638922781227102</v>
      </c>
      <c r="P2543">
        <v>-6.2325052884302901E-2</v>
      </c>
      <c r="Q2543">
        <v>0.143461148189269</v>
      </c>
      <c r="R2543">
        <v>0.99226055809934699</v>
      </c>
      <c r="S2543" t="s">
        <v>9546</v>
      </c>
      <c r="T2543" t="s">
        <v>14004</v>
      </c>
      <c r="U2543" t="s">
        <v>14004</v>
      </c>
      <c r="V2543" t="s">
        <v>14004</v>
      </c>
      <c r="W2543" t="s">
        <v>16508</v>
      </c>
      <c r="X2543">
        <v>30</v>
      </c>
      <c r="Y2543" t="s">
        <v>23391</v>
      </c>
      <c r="Z2543" t="s">
        <v>30253</v>
      </c>
      <c r="AA2543">
        <v>0.78268649507622812</v>
      </c>
      <c r="AB2543" t="str">
        <f>HYPERLINK("Melting_Curves/meltCurve_P31350_RRM2.pdf", "Melting_Curves/meltCurve_P31350_RRM2.pdf")</f>
        <v>Melting_Curves/meltCurve_P31350_RRM2.pdf</v>
      </c>
    </row>
    <row r="2544" spans="1:28" x14ac:dyDescent="0.25">
      <c r="A2544" t="s">
        <v>2548</v>
      </c>
      <c r="B2544">
        <v>0.99999676499088797</v>
      </c>
      <c r="C2544">
        <v>1.0262493876729499</v>
      </c>
      <c r="D2544">
        <v>0.89789215547934798</v>
      </c>
      <c r="E2544">
        <v>0.633686664880455</v>
      </c>
      <c r="F2544">
        <v>0.78131846772847602</v>
      </c>
      <c r="G2544">
        <v>0.51588212320986904</v>
      </c>
      <c r="H2544">
        <v>0.34718406473236701</v>
      </c>
      <c r="I2544">
        <v>0</v>
      </c>
      <c r="J2544">
        <v>0</v>
      </c>
      <c r="K2544">
        <v>0</v>
      </c>
      <c r="L2544">
        <v>772.66043266764905</v>
      </c>
      <c r="M2544">
        <v>13.8098478217247</v>
      </c>
      <c r="N2544">
        <v>55.949959956729998</v>
      </c>
      <c r="O2544">
        <v>54.815903963255501</v>
      </c>
      <c r="P2544">
        <v>-6.2991647298067999E-2</v>
      </c>
      <c r="Q2544">
        <v>0</v>
      </c>
      <c r="R2544">
        <v>0.92671885670602505</v>
      </c>
      <c r="S2544" t="s">
        <v>9547</v>
      </c>
      <c r="T2544" t="s">
        <v>14004</v>
      </c>
      <c r="U2544" t="s">
        <v>14004</v>
      </c>
      <c r="V2544" t="s">
        <v>14004</v>
      </c>
      <c r="W2544" t="s">
        <v>16509</v>
      </c>
      <c r="X2544">
        <v>1</v>
      </c>
      <c r="Y2544" t="s">
        <v>23392</v>
      </c>
      <c r="Z2544" t="s">
        <v>30254</v>
      </c>
      <c r="AA2544">
        <v>0.55067871279807579</v>
      </c>
      <c r="AB2544" t="str">
        <f>HYPERLINK("Melting_Curves/meltCurve_P31641_SLC6A6.pdf", "Melting_Curves/meltCurve_P31641_SLC6A6.pdf")</f>
        <v>Melting_Curves/meltCurve_P31641_SLC6A6.pdf</v>
      </c>
    </row>
    <row r="2545" spans="1:28" x14ac:dyDescent="0.25">
      <c r="A2545" t="s">
        <v>2549</v>
      </c>
      <c r="B2545">
        <v>0.99999676499088797</v>
      </c>
      <c r="C2545">
        <v>1.0203500774029399</v>
      </c>
      <c r="D2545">
        <v>1.05241406049173</v>
      </c>
      <c r="E2545">
        <v>1.13719208867698</v>
      </c>
      <c r="F2545">
        <v>0.88564292032967695</v>
      </c>
      <c r="G2545">
        <v>0.63444405782961799</v>
      </c>
      <c r="H2545">
        <v>0.17404820152564901</v>
      </c>
      <c r="I2545">
        <v>0.12602251845031601</v>
      </c>
      <c r="J2545">
        <v>0.113881435608804</v>
      </c>
      <c r="K2545">
        <v>0.104346372933374</v>
      </c>
      <c r="L2545">
        <v>2042.5329992506499</v>
      </c>
      <c r="M2545">
        <v>35.677624404690597</v>
      </c>
      <c r="N2545">
        <v>57.610947380702697</v>
      </c>
      <c r="O2545">
        <v>57.070723502813799</v>
      </c>
      <c r="P2545">
        <v>-0.14062353975096201</v>
      </c>
      <c r="Q2545">
        <v>0.100224730947854</v>
      </c>
      <c r="R2545">
        <v>0.98458063705531595</v>
      </c>
      <c r="S2545" t="s">
        <v>9548</v>
      </c>
      <c r="T2545" t="s">
        <v>14004</v>
      </c>
      <c r="U2545" t="s">
        <v>14004</v>
      </c>
      <c r="V2545" t="s">
        <v>14004</v>
      </c>
      <c r="W2545" t="s">
        <v>16510</v>
      </c>
      <c r="X2545">
        <v>21</v>
      </c>
      <c r="Y2545" t="s">
        <v>23393</v>
      </c>
      <c r="Z2545" t="s">
        <v>30255</v>
      </c>
      <c r="AA2545">
        <v>0.62195697155019281</v>
      </c>
      <c r="AB2545" t="str">
        <f>HYPERLINK("Melting_Curves/meltCurve_P31689_DNAJA1.pdf", "Melting_Curves/meltCurve_P31689_DNAJA1.pdf")</f>
        <v>Melting_Curves/meltCurve_P31689_DNAJA1.pdf</v>
      </c>
    </row>
    <row r="2546" spans="1:28" x14ac:dyDescent="0.25">
      <c r="A2546" t="s">
        <v>2550</v>
      </c>
      <c r="B2546">
        <v>0.99999676499088797</v>
      </c>
      <c r="C2546">
        <v>0.97746500045176898</v>
      </c>
      <c r="D2546">
        <v>0.83051684037681495</v>
      </c>
      <c r="E2546">
        <v>0.39084708572473498</v>
      </c>
      <c r="F2546">
        <v>0.21141018969213099</v>
      </c>
      <c r="G2546">
        <v>0.15785964805343</v>
      </c>
      <c r="H2546">
        <v>9.3023025720098698E-2</v>
      </c>
      <c r="I2546">
        <v>7.05939815944015E-2</v>
      </c>
      <c r="J2546">
        <v>5.0977621608127903E-2</v>
      </c>
      <c r="K2546">
        <v>4.6726542252192103E-2</v>
      </c>
      <c r="L2546">
        <v>1154.4807293830099</v>
      </c>
      <c r="M2546">
        <v>23.760712277381199</v>
      </c>
      <c r="N2546">
        <v>48.931902715640497</v>
      </c>
      <c r="O2546">
        <v>48.2475726067293</v>
      </c>
      <c r="P2546">
        <v>-0.113647942637496</v>
      </c>
      <c r="Q2546">
        <v>7.6939077279062795E-2</v>
      </c>
      <c r="R2546">
        <v>0.99458496228842397</v>
      </c>
      <c r="S2546" t="s">
        <v>9549</v>
      </c>
      <c r="T2546" t="s">
        <v>14004</v>
      </c>
      <c r="U2546" t="s">
        <v>14004</v>
      </c>
      <c r="V2546" t="s">
        <v>14004</v>
      </c>
      <c r="W2546" t="s">
        <v>16511</v>
      </c>
      <c r="X2546">
        <v>11</v>
      </c>
      <c r="Y2546" t="s">
        <v>23394</v>
      </c>
      <c r="Z2546" t="s">
        <v>30256</v>
      </c>
      <c r="AA2546">
        <v>0.3502501889438564</v>
      </c>
      <c r="AB2546" t="str">
        <f>HYPERLINK("Melting_Curves/meltCurve_P31749_AKT1.pdf", "Melting_Curves/meltCurve_P31749_AKT1.pdf")</f>
        <v>Melting_Curves/meltCurve_P31749_AKT1.pdf</v>
      </c>
    </row>
    <row r="2547" spans="1:28" x14ac:dyDescent="0.25">
      <c r="A2547" t="s">
        <v>2551</v>
      </c>
      <c r="B2547">
        <v>0.99999676499088797</v>
      </c>
      <c r="C2547">
        <v>0.97743811827465299</v>
      </c>
      <c r="D2547">
        <v>0.90092600244883403</v>
      </c>
      <c r="E2547">
        <v>0.64974138936781201</v>
      </c>
      <c r="F2547">
        <v>0.29578336891592899</v>
      </c>
      <c r="G2547">
        <v>0.199301369144819</v>
      </c>
      <c r="H2547">
        <v>0.103570630251586</v>
      </c>
      <c r="I2547">
        <v>9.80246815358536E-2</v>
      </c>
      <c r="J2547">
        <v>8.1032896041421207E-2</v>
      </c>
      <c r="K2547">
        <v>7.4885671793417596E-2</v>
      </c>
      <c r="L2547">
        <v>1076.3057578297301</v>
      </c>
      <c r="M2547">
        <v>21.269073989458999</v>
      </c>
      <c r="N2547">
        <v>51.037509515385302</v>
      </c>
      <c r="O2547">
        <v>50.1632892270529</v>
      </c>
      <c r="P2547">
        <v>-9.7246747960239396E-2</v>
      </c>
      <c r="Q2547">
        <v>8.2594335532963803E-2</v>
      </c>
      <c r="R2547">
        <v>0.99842647325139899</v>
      </c>
      <c r="S2547" t="s">
        <v>9550</v>
      </c>
      <c r="T2547" t="s">
        <v>14004</v>
      </c>
      <c r="U2547" t="s">
        <v>14004</v>
      </c>
      <c r="V2547" t="s">
        <v>14004</v>
      </c>
      <c r="W2547" t="s">
        <v>16512</v>
      </c>
      <c r="X2547">
        <v>14</v>
      </c>
      <c r="Y2547" t="s">
        <v>23395</v>
      </c>
      <c r="Z2547" t="s">
        <v>30257</v>
      </c>
      <c r="AA2547">
        <v>0.41820351022117658</v>
      </c>
      <c r="AB2547" t="str">
        <f>HYPERLINK("Melting_Curves/meltCurve_P31751_AKT2.pdf", "Melting_Curves/meltCurve_P31751_AKT2.pdf")</f>
        <v>Melting_Curves/meltCurve_P31751_AKT2.pdf</v>
      </c>
    </row>
    <row r="2548" spans="1:28" x14ac:dyDescent="0.25">
      <c r="A2548" t="s">
        <v>2552</v>
      </c>
      <c r="B2548">
        <v>0.99999676499088797</v>
      </c>
      <c r="C2548">
        <v>0.87822056789044201</v>
      </c>
      <c r="D2548">
        <v>0.77960746971592498</v>
      </c>
      <c r="E2548">
        <v>0.63415188034898895</v>
      </c>
      <c r="F2548">
        <v>0.514205470015483</v>
      </c>
      <c r="G2548">
        <v>0.34923040891810703</v>
      </c>
      <c r="H2548">
        <v>0.14646443006677601</v>
      </c>
      <c r="I2548">
        <v>0.14879305203427801</v>
      </c>
      <c r="J2548">
        <v>0.113974549834071</v>
      </c>
      <c r="K2548">
        <v>0.108147132775864</v>
      </c>
      <c r="L2548">
        <v>514.87043701656705</v>
      </c>
      <c r="M2548">
        <v>9.7952104891806204</v>
      </c>
      <c r="N2548">
        <v>52.6032451859923</v>
      </c>
      <c r="O2548">
        <v>50.5131551375177</v>
      </c>
      <c r="P2548">
        <v>-4.83251473846152E-2</v>
      </c>
      <c r="Q2548">
        <v>3.68814305480552E-3</v>
      </c>
      <c r="R2548">
        <v>0.99025079113924197</v>
      </c>
      <c r="S2548" t="s">
        <v>9551</v>
      </c>
      <c r="T2548" t="s">
        <v>14004</v>
      </c>
      <c r="U2548" t="s">
        <v>14004</v>
      </c>
      <c r="V2548" t="s">
        <v>14004</v>
      </c>
      <c r="W2548" t="s">
        <v>16513</v>
      </c>
      <c r="X2548">
        <v>6</v>
      </c>
      <c r="Y2548" t="s">
        <v>23396</v>
      </c>
      <c r="Z2548" t="s">
        <v>30258</v>
      </c>
      <c r="AA2548">
        <v>0.45739397332252241</v>
      </c>
      <c r="AB2548" t="str">
        <f>HYPERLINK("Melting_Curves/meltCurve_P31785_IL2RG.pdf", "Melting_Curves/meltCurve_P31785_IL2RG.pdf")</f>
        <v>Melting_Curves/meltCurve_P31785_IL2RG.pdf</v>
      </c>
    </row>
    <row r="2549" spans="1:28" x14ac:dyDescent="0.25">
      <c r="A2549" t="s">
        <v>2553</v>
      </c>
      <c r="B2549">
        <v>0.99999676499088797</v>
      </c>
      <c r="C2549">
        <v>0.97427315823184202</v>
      </c>
      <c r="D2549">
        <v>0.90189687967477805</v>
      </c>
      <c r="E2549">
        <v>0.85753752978513897</v>
      </c>
      <c r="F2549">
        <v>0.77564587176063604</v>
      </c>
      <c r="G2549">
        <v>0.64346116289701105</v>
      </c>
      <c r="H2549">
        <v>0.23234262143710999</v>
      </c>
      <c r="I2549">
        <v>0.10283343559296899</v>
      </c>
      <c r="J2549">
        <v>8.7108974708409795E-2</v>
      </c>
      <c r="K2549">
        <v>8.0604985923547298E-2</v>
      </c>
      <c r="L2549">
        <v>950.84015034568404</v>
      </c>
      <c r="M2549">
        <v>16.556007539389199</v>
      </c>
      <c r="N2549">
        <v>57.431730043093097</v>
      </c>
      <c r="O2549">
        <v>56.613450336103803</v>
      </c>
      <c r="P2549">
        <v>-7.3114881991698702E-2</v>
      </c>
      <c r="Q2549">
        <v>0</v>
      </c>
      <c r="R2549">
        <v>0.97922837522204798</v>
      </c>
      <c r="S2549" t="s">
        <v>9552</v>
      </c>
      <c r="T2549" t="s">
        <v>14004</v>
      </c>
      <c r="U2549" t="s">
        <v>14004</v>
      </c>
      <c r="V2549" t="s">
        <v>14004</v>
      </c>
      <c r="W2549" t="s">
        <v>16514</v>
      </c>
      <c r="X2549">
        <v>19</v>
      </c>
      <c r="Y2549" t="s">
        <v>23397</v>
      </c>
      <c r="Z2549" t="s">
        <v>30259</v>
      </c>
      <c r="AA2549">
        <v>0.59512496788253522</v>
      </c>
      <c r="AB2549" t="str">
        <f>HYPERLINK("Melting_Curves/meltCurve_P31930_UQCRC1.pdf", "Melting_Curves/meltCurve_P31930_UQCRC1.pdf")</f>
        <v>Melting_Curves/meltCurve_P31930_UQCRC1.pdf</v>
      </c>
    </row>
    <row r="2550" spans="1:28" x14ac:dyDescent="0.25">
      <c r="A2550" t="s">
        <v>2554</v>
      </c>
      <c r="B2550">
        <v>0.99999676499088797</v>
      </c>
      <c r="C2550">
        <v>0.97680909411107597</v>
      </c>
      <c r="D2550">
        <v>1.04085004753919</v>
      </c>
      <c r="E2550">
        <v>1.2090670978885301</v>
      </c>
      <c r="F2550">
        <v>1.1975421636969501</v>
      </c>
      <c r="G2550">
        <v>1.0117656380117199</v>
      </c>
      <c r="H2550">
        <v>0.58069217901470704</v>
      </c>
      <c r="I2550">
        <v>0.20347451319189799</v>
      </c>
      <c r="J2550">
        <v>0.15559491502699599</v>
      </c>
      <c r="K2550">
        <v>0.13126362182135401</v>
      </c>
      <c r="L2550">
        <v>3573.7129451064202</v>
      </c>
      <c r="M2550">
        <v>58.723744606126402</v>
      </c>
      <c r="N2550">
        <v>61.217241780446699</v>
      </c>
      <c r="O2550">
        <v>60.785900257441803</v>
      </c>
      <c r="P2550">
        <v>-0.206182677986328</v>
      </c>
      <c r="Q2550">
        <v>0.146308249951763</v>
      </c>
      <c r="R2550">
        <v>0.95059684350721796</v>
      </c>
      <c r="S2550" t="s">
        <v>9553</v>
      </c>
      <c r="T2550" t="s">
        <v>14004</v>
      </c>
      <c r="U2550" t="s">
        <v>14004</v>
      </c>
      <c r="V2550" t="s">
        <v>14004</v>
      </c>
      <c r="W2550" t="s">
        <v>16515</v>
      </c>
      <c r="X2550">
        <v>10</v>
      </c>
      <c r="Y2550" t="s">
        <v>23398</v>
      </c>
      <c r="Z2550" t="s">
        <v>30260</v>
      </c>
      <c r="AA2550">
        <v>0.74144464140917887</v>
      </c>
      <c r="AB2550" t="str">
        <f>HYPERLINK("Melting_Curves/meltCurve_P31937_HIBADH.pdf", "Melting_Curves/meltCurve_P31937_HIBADH.pdf")</f>
        <v>Melting_Curves/meltCurve_P31937_HIBADH.pdf</v>
      </c>
    </row>
    <row r="2551" spans="1:28" x14ac:dyDescent="0.25">
      <c r="A2551" t="s">
        <v>2555</v>
      </c>
      <c r="B2551">
        <v>0.99999676499088797</v>
      </c>
      <c r="C2551">
        <v>1.03629673895995</v>
      </c>
      <c r="D2551">
        <v>1.0134445443592499</v>
      </c>
      <c r="E2551">
        <v>1.0353225481741299</v>
      </c>
      <c r="F2551">
        <v>0.95759047180602697</v>
      </c>
      <c r="G2551">
        <v>0.69716126309120996</v>
      </c>
      <c r="H2551">
        <v>0.18867160221644499</v>
      </c>
      <c r="I2551">
        <v>9.6015281357600596E-2</v>
      </c>
      <c r="J2551">
        <v>8.0115478932088396E-2</v>
      </c>
      <c r="K2551">
        <v>6.5221313080896196E-2</v>
      </c>
      <c r="L2551">
        <v>2245.65224825313</v>
      </c>
      <c r="M2551">
        <v>38.823567937791402</v>
      </c>
      <c r="N2551">
        <v>58.069660356975497</v>
      </c>
      <c r="O2551">
        <v>57.689682050998101</v>
      </c>
      <c r="P2551">
        <v>-0.15639063574581499</v>
      </c>
      <c r="Q2551">
        <v>7.0450851259193106E-2</v>
      </c>
      <c r="R2551">
        <v>0.99829808681712495</v>
      </c>
      <c r="S2551" t="s">
        <v>9554</v>
      </c>
      <c r="T2551" t="s">
        <v>14004</v>
      </c>
      <c r="U2551" t="s">
        <v>14004</v>
      </c>
      <c r="V2551" t="s">
        <v>14004</v>
      </c>
      <c r="W2551" t="s">
        <v>16516</v>
      </c>
      <c r="X2551">
        <v>51</v>
      </c>
      <c r="Y2551" t="s">
        <v>23399</v>
      </c>
      <c r="Z2551" t="s">
        <v>30261</v>
      </c>
      <c r="AA2551">
        <v>0.62716355105863875</v>
      </c>
      <c r="AB2551" t="str">
        <f>HYPERLINK("Melting_Curves/meltCurve_P31939_ATIC.pdf", "Melting_Curves/meltCurve_P31939_ATIC.pdf")</f>
        <v>Melting_Curves/meltCurve_P31939_ATIC.pdf</v>
      </c>
    </row>
    <row r="2552" spans="1:28" x14ac:dyDescent="0.25">
      <c r="A2552" t="s">
        <v>2556</v>
      </c>
      <c r="B2552">
        <v>0.99999676499088797</v>
      </c>
      <c r="C2552">
        <v>0.675174548104438</v>
      </c>
      <c r="D2552">
        <v>0.312485071761961</v>
      </c>
      <c r="E2552">
        <v>0.12982647425911401</v>
      </c>
      <c r="F2552">
        <v>8.1516792190875598E-2</v>
      </c>
      <c r="G2552">
        <v>6.5433236027974295E-2</v>
      </c>
      <c r="H2552">
        <v>3.7637095532019202E-2</v>
      </c>
      <c r="I2552">
        <v>5.4669288013497602E-2</v>
      </c>
      <c r="J2552">
        <v>7.1559790044691901E-2</v>
      </c>
      <c r="K2552">
        <v>9.1483839003317594E-2</v>
      </c>
      <c r="L2552">
        <v>1176.8284196393699</v>
      </c>
      <c r="M2552">
        <v>26.6749431117236</v>
      </c>
      <c r="N2552">
        <v>44.359545875280702</v>
      </c>
      <c r="O2552">
        <v>43.871645696489502</v>
      </c>
      <c r="P2552">
        <v>-0.14170662006741899</v>
      </c>
      <c r="Q2552">
        <v>6.7763207040321696E-2</v>
      </c>
      <c r="R2552">
        <v>0.99378878126007697</v>
      </c>
      <c r="S2552" t="s">
        <v>9555</v>
      </c>
      <c r="T2552" t="s">
        <v>14004</v>
      </c>
      <c r="U2552" t="s">
        <v>14004</v>
      </c>
      <c r="V2552" t="s">
        <v>14004</v>
      </c>
      <c r="W2552" t="s">
        <v>16517</v>
      </c>
      <c r="X2552">
        <v>13</v>
      </c>
      <c r="Y2552" t="s">
        <v>23400</v>
      </c>
      <c r="Z2552" t="s">
        <v>30262</v>
      </c>
      <c r="AA2552">
        <v>0.20463228598428621</v>
      </c>
      <c r="AB2552" t="str">
        <f>HYPERLINK("Melting_Curves/meltCurve_P31942_2_HNRNPH3.pdf", "Melting_Curves/meltCurve_P31942_2_HNRNPH3.pdf")</f>
        <v>Melting_Curves/meltCurve_P31942_2_HNRNPH3.pdf</v>
      </c>
    </row>
    <row r="2553" spans="1:28" x14ac:dyDescent="0.25">
      <c r="A2553" t="s">
        <v>2557</v>
      </c>
      <c r="B2553">
        <v>0.99999676499088797</v>
      </c>
      <c r="C2553">
        <v>0.93294609478788504</v>
      </c>
      <c r="D2553">
        <v>0.94586389221956602</v>
      </c>
      <c r="E2553">
        <v>0.98412594159450595</v>
      </c>
      <c r="F2553">
        <v>0.73372135262965399</v>
      </c>
      <c r="G2553">
        <v>0.40275713225698501</v>
      </c>
      <c r="H2553">
        <v>0.176497114655952</v>
      </c>
      <c r="I2553">
        <v>0.13170112514212301</v>
      </c>
      <c r="J2553">
        <v>9.80815754792249E-2</v>
      </c>
      <c r="K2553">
        <v>9.9724890128438104E-2</v>
      </c>
      <c r="L2553">
        <v>1371.10559290015</v>
      </c>
      <c r="M2553">
        <v>24.826665830723599</v>
      </c>
      <c r="N2553">
        <v>55.697350249348297</v>
      </c>
      <c r="O2553">
        <v>54.872556266915403</v>
      </c>
      <c r="P2553">
        <v>-0.102418127695021</v>
      </c>
      <c r="Q2553">
        <v>9.4543451632119205E-2</v>
      </c>
      <c r="R2553">
        <v>0.99438261058022503</v>
      </c>
      <c r="S2553" t="s">
        <v>9556</v>
      </c>
      <c r="T2553" t="s">
        <v>14004</v>
      </c>
      <c r="U2553" t="s">
        <v>14004</v>
      </c>
      <c r="V2553" t="s">
        <v>14004</v>
      </c>
      <c r="W2553" t="s">
        <v>16518</v>
      </c>
      <c r="X2553">
        <v>24</v>
      </c>
      <c r="Y2553" t="s">
        <v>23401</v>
      </c>
      <c r="Z2553" t="s">
        <v>30263</v>
      </c>
      <c r="AA2553">
        <v>0.56259695889496397</v>
      </c>
      <c r="AB2553" t="str">
        <f>HYPERLINK("Melting_Curves/meltCurve_P31946_2_YWHAB.pdf", "Melting_Curves/meltCurve_P31946_2_YWHAB.pdf")</f>
        <v>Melting_Curves/meltCurve_P31946_2_YWHAB.pdf</v>
      </c>
    </row>
    <row r="2554" spans="1:28" x14ac:dyDescent="0.25">
      <c r="A2554" t="s">
        <v>2558</v>
      </c>
      <c r="B2554">
        <v>0.99999676499088797</v>
      </c>
      <c r="C2554">
        <v>0.809689348464812</v>
      </c>
      <c r="D2554">
        <v>0.78161053403493297</v>
      </c>
      <c r="E2554">
        <v>0.84563201307726998</v>
      </c>
      <c r="F2554">
        <v>0.81780658076160295</v>
      </c>
      <c r="G2554">
        <v>0.38542394966515597</v>
      </c>
      <c r="H2554">
        <v>0.23241678691325099</v>
      </c>
      <c r="I2554">
        <v>0.136176367739379</v>
      </c>
      <c r="J2554">
        <v>0.10931726354140001</v>
      </c>
      <c r="K2554">
        <v>9.3448086848470793E-2</v>
      </c>
      <c r="L2554">
        <v>715.29316471442803</v>
      </c>
      <c r="M2554">
        <v>12.7889362475885</v>
      </c>
      <c r="N2554">
        <v>55.9306228967286</v>
      </c>
      <c r="O2554">
        <v>54.616026684344</v>
      </c>
      <c r="P2554">
        <v>-5.8551239291325399E-2</v>
      </c>
      <c r="Q2554">
        <v>0</v>
      </c>
      <c r="R2554">
        <v>0.92647737519015905</v>
      </c>
      <c r="S2554" t="s">
        <v>9557</v>
      </c>
      <c r="T2554" t="s">
        <v>14004</v>
      </c>
      <c r="U2554" t="s">
        <v>14004</v>
      </c>
      <c r="V2554" t="s">
        <v>14004</v>
      </c>
      <c r="W2554" t="s">
        <v>16519</v>
      </c>
      <c r="X2554">
        <v>9</v>
      </c>
      <c r="Y2554" t="s">
        <v>23402</v>
      </c>
      <c r="Z2554" t="s">
        <v>30264</v>
      </c>
      <c r="AA2554">
        <v>0.5510127140033908</v>
      </c>
      <c r="AB2554" t="str">
        <f>HYPERLINK("Melting_Curves/meltCurve_P31947_2_SFN.pdf", "Melting_Curves/meltCurve_P31947_2_SFN.pdf")</f>
        <v>Melting_Curves/meltCurve_P31947_2_SFN.pdf</v>
      </c>
    </row>
    <row r="2555" spans="1:28" x14ac:dyDescent="0.25">
      <c r="A2555" t="s">
        <v>2559</v>
      </c>
      <c r="B2555">
        <v>0.99999676499088797</v>
      </c>
      <c r="C2555">
        <v>0.91712617484155301</v>
      </c>
      <c r="D2555">
        <v>0.942463262118583</v>
      </c>
      <c r="E2555">
        <v>0.91251336081282697</v>
      </c>
      <c r="F2555">
        <v>0.65691522297418203</v>
      </c>
      <c r="G2555">
        <v>0.363182377030138</v>
      </c>
      <c r="H2555">
        <v>0.166532309471423</v>
      </c>
      <c r="I2555">
        <v>0.16122514449518499</v>
      </c>
      <c r="J2555">
        <v>0.154423039632306</v>
      </c>
      <c r="K2555">
        <v>0.186963725133069</v>
      </c>
      <c r="L2555">
        <v>1300.7752263513</v>
      </c>
      <c r="M2555">
        <v>24.072343135874799</v>
      </c>
      <c r="N2555">
        <v>54.842555033956501</v>
      </c>
      <c r="O2555">
        <v>53.667324636825001</v>
      </c>
      <c r="P2555">
        <v>-9.5423454755731205E-2</v>
      </c>
      <c r="Q2555">
        <v>0.149058090842278</v>
      </c>
      <c r="R2555">
        <v>0.99089521374215195</v>
      </c>
      <c r="S2555" t="s">
        <v>9558</v>
      </c>
      <c r="T2555" t="s">
        <v>14004</v>
      </c>
      <c r="U2555" t="s">
        <v>14004</v>
      </c>
      <c r="V2555" t="s">
        <v>14004</v>
      </c>
      <c r="W2555" t="s">
        <v>16520</v>
      </c>
      <c r="X2555">
        <v>73</v>
      </c>
      <c r="Y2555" t="s">
        <v>23403</v>
      </c>
      <c r="Z2555" t="s">
        <v>30265</v>
      </c>
      <c r="AA2555">
        <v>0.55561901576892325</v>
      </c>
      <c r="AB2555" t="str">
        <f>HYPERLINK("Melting_Curves/meltCurve_P31948_STIP1.pdf", "Melting_Curves/meltCurve_P31948_STIP1.pdf")</f>
        <v>Melting_Curves/meltCurve_P31948_STIP1.pdf</v>
      </c>
    </row>
    <row r="2556" spans="1:28" x14ac:dyDescent="0.25">
      <c r="A2556" t="s">
        <v>2560</v>
      </c>
      <c r="B2556">
        <v>0.99999676499088797</v>
      </c>
      <c r="C2556">
        <v>1.2825190380296301</v>
      </c>
      <c r="D2556">
        <v>1.4282618685530899</v>
      </c>
      <c r="E2556">
        <v>1.0379384963565501</v>
      </c>
      <c r="F2556">
        <v>4.8929991162558801</v>
      </c>
      <c r="G2556">
        <v>0.30547385978466801</v>
      </c>
      <c r="H2556">
        <v>0.42835682099857603</v>
      </c>
      <c r="I2556">
        <v>0.31415307847109197</v>
      </c>
      <c r="J2556">
        <v>0.34062751210072201</v>
      </c>
      <c r="K2556">
        <v>0.28908690560730999</v>
      </c>
      <c r="L2556">
        <v>13868.762831501899</v>
      </c>
      <c r="M2556">
        <v>250</v>
      </c>
      <c r="N2556">
        <v>55.722414296858702</v>
      </c>
      <c r="O2556">
        <v>55.471503231924501</v>
      </c>
      <c r="P2556">
        <v>-0.74904815220396004</v>
      </c>
      <c r="Q2556">
        <v>0.33518679209844798</v>
      </c>
      <c r="R2556">
        <v>0.1164117515314</v>
      </c>
      <c r="S2556" t="s">
        <v>9559</v>
      </c>
      <c r="T2556" t="s">
        <v>14004</v>
      </c>
      <c r="U2556" t="s">
        <v>14004</v>
      </c>
      <c r="V2556" t="s">
        <v>14004</v>
      </c>
      <c r="W2556" t="s">
        <v>16521</v>
      </c>
      <c r="X2556">
        <v>1</v>
      </c>
      <c r="Y2556" t="s">
        <v>23404</v>
      </c>
      <c r="Z2556" t="s">
        <v>30266</v>
      </c>
      <c r="AA2556">
        <v>0.67818546736695673</v>
      </c>
      <c r="AB2556" t="str">
        <f>HYPERLINK("Melting_Curves/meltCurve_P31949_S100A11.pdf", "Melting_Curves/meltCurve_P31949_S100A11.pdf")</f>
        <v>Melting_Curves/meltCurve_P31949_S100A11.pdf</v>
      </c>
    </row>
    <row r="2557" spans="1:28" x14ac:dyDescent="0.25">
      <c r="A2557" t="s">
        <v>2561</v>
      </c>
      <c r="B2557">
        <v>0.99999676499088797</v>
      </c>
      <c r="C2557">
        <v>1.05600507744759</v>
      </c>
      <c r="D2557">
        <v>0.92889067868032205</v>
      </c>
      <c r="E2557">
        <v>0.42192365820757299</v>
      </c>
      <c r="F2557">
        <v>0.14135132995566199</v>
      </c>
      <c r="G2557">
        <v>0.132975771567515</v>
      </c>
      <c r="H2557">
        <v>6.8721220673132993E-2</v>
      </c>
      <c r="I2557">
        <v>8.3017874642320494E-2</v>
      </c>
      <c r="J2557">
        <v>6.8305695471126304E-2</v>
      </c>
      <c r="K2557">
        <v>5.4129361784083903E-2</v>
      </c>
      <c r="L2557">
        <v>1839.61920139477</v>
      </c>
      <c r="M2557">
        <v>37.589322278210801</v>
      </c>
      <c r="N2557">
        <v>49.175857980040398</v>
      </c>
      <c r="O2557">
        <v>48.802047371992799</v>
      </c>
      <c r="P2557">
        <v>-0.17667346587176999</v>
      </c>
      <c r="Q2557">
        <v>8.2505033520488602E-2</v>
      </c>
      <c r="R2557">
        <v>0.99558724070728699</v>
      </c>
      <c r="S2557" t="s">
        <v>9560</v>
      </c>
      <c r="T2557" t="s">
        <v>14004</v>
      </c>
      <c r="U2557" t="s">
        <v>14004</v>
      </c>
      <c r="V2557" t="s">
        <v>14004</v>
      </c>
      <c r="W2557" t="s">
        <v>16522</v>
      </c>
      <c r="X2557">
        <v>4</v>
      </c>
      <c r="Y2557" t="s">
        <v>23405</v>
      </c>
      <c r="Z2557" t="s">
        <v>30267</v>
      </c>
      <c r="AA2557">
        <v>0.3594411683017078</v>
      </c>
      <c r="AB2557" t="str">
        <f>HYPERLINK("Melting_Curves/meltCurve_P32019_3_INPP5B.pdf", "Melting_Curves/meltCurve_P32019_3_INPP5B.pdf")</f>
        <v>Melting_Curves/meltCurve_P32019_3_INPP5B.pdf</v>
      </c>
    </row>
    <row r="2558" spans="1:28" x14ac:dyDescent="0.25">
      <c r="A2558" t="s">
        <v>2562</v>
      </c>
      <c r="B2558">
        <v>0.99999676499088797</v>
      </c>
      <c r="C2558">
        <v>0.86525846845878096</v>
      </c>
      <c r="D2558">
        <v>0.82439315848420902</v>
      </c>
      <c r="E2558">
        <v>0.64027240784641404</v>
      </c>
      <c r="F2558">
        <v>0.54557553378059398</v>
      </c>
      <c r="G2558">
        <v>0.29432013961205</v>
      </c>
      <c r="H2558">
        <v>0.10668645425465401</v>
      </c>
      <c r="I2558">
        <v>9.7614535610293707E-2</v>
      </c>
      <c r="J2558">
        <v>8.6847708289198106E-2</v>
      </c>
      <c r="K2558">
        <v>7.6285671070928998E-2</v>
      </c>
      <c r="L2558">
        <v>594.51340449504198</v>
      </c>
      <c r="M2558">
        <v>11.320193568265299</v>
      </c>
      <c r="N2558">
        <v>52.517948936618197</v>
      </c>
      <c r="O2558">
        <v>50.959109756294602</v>
      </c>
      <c r="P2558">
        <v>-5.5552428129498697E-2</v>
      </c>
      <c r="Q2558">
        <v>0</v>
      </c>
      <c r="R2558">
        <v>0.98545925870289297</v>
      </c>
      <c r="S2558" t="s">
        <v>9561</v>
      </c>
      <c r="T2558" t="s">
        <v>14004</v>
      </c>
      <c r="U2558" t="s">
        <v>14004</v>
      </c>
      <c r="V2558" t="s">
        <v>14004</v>
      </c>
      <c r="W2558" t="s">
        <v>16523</v>
      </c>
      <c r="X2558">
        <v>17</v>
      </c>
      <c r="Y2558" t="s">
        <v>23406</v>
      </c>
      <c r="Z2558" t="s">
        <v>30268</v>
      </c>
      <c r="AA2558">
        <v>0.44886293278469169</v>
      </c>
      <c r="AB2558" t="str">
        <f>HYPERLINK("Melting_Curves/meltCurve_P32119_PRDX2.pdf", "Melting_Curves/meltCurve_P32119_PRDX2.pdf")</f>
        <v>Melting_Curves/meltCurve_P32119_PRDX2.pdf</v>
      </c>
    </row>
    <row r="2559" spans="1:28" x14ac:dyDescent="0.25">
      <c r="A2559" t="s">
        <v>2563</v>
      </c>
      <c r="B2559">
        <v>0.99999676499088797</v>
      </c>
      <c r="C2559">
        <v>0.96602714819095503</v>
      </c>
      <c r="D2559">
        <v>0.93552206732448495</v>
      </c>
      <c r="E2559">
        <v>0.76806063275405101</v>
      </c>
      <c r="F2559">
        <v>0.288790601454402</v>
      </c>
      <c r="G2559">
        <v>0.17650518390089501</v>
      </c>
      <c r="H2559">
        <v>9.07812632033249E-2</v>
      </c>
      <c r="I2559">
        <v>7.8656608339179798E-2</v>
      </c>
      <c r="J2559">
        <v>6.4608503253550401E-2</v>
      </c>
      <c r="K2559">
        <v>5.4647576836134797E-2</v>
      </c>
      <c r="L2559">
        <v>1437.2053485782999</v>
      </c>
      <c r="M2559">
        <v>28.019901688812599</v>
      </c>
      <c r="N2559">
        <v>51.586824579000201</v>
      </c>
      <c r="O2559">
        <v>51.033178972667997</v>
      </c>
      <c r="P2559">
        <v>-0.12711832766823</v>
      </c>
      <c r="Q2559">
        <v>7.39158224681776E-2</v>
      </c>
      <c r="R2559">
        <v>0.99615067639920796</v>
      </c>
      <c r="S2559" t="s">
        <v>9562</v>
      </c>
      <c r="T2559" t="s">
        <v>14004</v>
      </c>
      <c r="U2559" t="s">
        <v>14004</v>
      </c>
      <c r="V2559" t="s">
        <v>14004</v>
      </c>
      <c r="W2559" t="s">
        <v>16524</v>
      </c>
      <c r="X2559">
        <v>15</v>
      </c>
      <c r="Y2559" t="s">
        <v>23407</v>
      </c>
      <c r="Z2559" t="s">
        <v>30269</v>
      </c>
      <c r="AA2559">
        <v>0.4292061945182899</v>
      </c>
      <c r="AB2559" t="str">
        <f>HYPERLINK("Melting_Curves/meltCurve_P32121_ARRB2.pdf", "Melting_Curves/meltCurve_P32121_ARRB2.pdf")</f>
        <v>Melting_Curves/meltCurve_P32121_ARRB2.pdf</v>
      </c>
    </row>
    <row r="2560" spans="1:28" x14ac:dyDescent="0.25">
      <c r="A2560" t="s">
        <v>2564</v>
      </c>
      <c r="B2560">
        <v>0.99999676499088797</v>
      </c>
      <c r="C2560">
        <v>0.87824063287621201</v>
      </c>
      <c r="D2560">
        <v>0.95053880065928698</v>
      </c>
      <c r="E2560">
        <v>1.0068501178548599</v>
      </c>
      <c r="F2560">
        <v>1.08006106779441</v>
      </c>
      <c r="G2560">
        <v>0.878544206018947</v>
      </c>
      <c r="H2560">
        <v>0.73415677920135802</v>
      </c>
      <c r="I2560">
        <v>0.56263845446620597</v>
      </c>
      <c r="J2560">
        <v>0.27005521176074099</v>
      </c>
      <c r="K2560">
        <v>0.20242362691638</v>
      </c>
      <c r="L2560">
        <v>1252.5327360390099</v>
      </c>
      <c r="M2560">
        <v>19.554770859231201</v>
      </c>
      <c r="N2560">
        <v>64.259868828869699</v>
      </c>
      <c r="O2560">
        <v>63.3939503437525</v>
      </c>
      <c r="P2560">
        <v>-7.4761197924331599E-2</v>
      </c>
      <c r="Q2560">
        <v>3.0571047196701302E-2</v>
      </c>
      <c r="R2560">
        <v>0.96190139790335005</v>
      </c>
      <c r="S2560" t="s">
        <v>9563</v>
      </c>
      <c r="T2560" t="s">
        <v>14004</v>
      </c>
      <c r="U2560" t="s">
        <v>14004</v>
      </c>
      <c r="V2560" t="s">
        <v>14004</v>
      </c>
      <c r="W2560" t="s">
        <v>16525</v>
      </c>
      <c r="X2560">
        <v>11</v>
      </c>
      <c r="Y2560" t="s">
        <v>23408</v>
      </c>
      <c r="Z2560" t="s">
        <v>30270</v>
      </c>
      <c r="AA2560">
        <v>0.8012015605710423</v>
      </c>
      <c r="AB2560" t="str">
        <f>HYPERLINK("Melting_Curves/meltCurve_P32189_1_GK.pdf", "Melting_Curves/meltCurve_P32189_1_GK.pdf")</f>
        <v>Melting_Curves/meltCurve_P32189_1_GK.pdf</v>
      </c>
    </row>
    <row r="2561" spans="1:28" x14ac:dyDescent="0.25">
      <c r="A2561" t="s">
        <v>2565</v>
      </c>
      <c r="B2561">
        <v>0.99999676499088797</v>
      </c>
      <c r="C2561">
        <v>1.0436052828198199</v>
      </c>
      <c r="D2561">
        <v>0.96973069214779395</v>
      </c>
      <c r="E2561">
        <v>0.93239043145176403</v>
      </c>
      <c r="F2561">
        <v>0.94209000772585005</v>
      </c>
      <c r="G2561">
        <v>0.91572510123807205</v>
      </c>
      <c r="H2561">
        <v>0.63189831091344595</v>
      </c>
      <c r="I2561">
        <v>0.39379472214762701</v>
      </c>
      <c r="J2561">
        <v>0.139017233083051</v>
      </c>
      <c r="K2561">
        <v>9.7396377107464502E-2</v>
      </c>
      <c r="L2561">
        <v>1379.46309408603</v>
      </c>
      <c r="M2561">
        <v>22.100813132205399</v>
      </c>
      <c r="N2561">
        <v>62.416855175842201</v>
      </c>
      <c r="O2561">
        <v>61.9125704843891</v>
      </c>
      <c r="P2561">
        <v>-8.9243983805515903E-2</v>
      </c>
      <c r="Q2561">
        <v>0</v>
      </c>
      <c r="R2561">
        <v>0.99096288131372401</v>
      </c>
      <c r="S2561" t="s">
        <v>9564</v>
      </c>
      <c r="T2561" t="s">
        <v>14004</v>
      </c>
      <c r="U2561" t="s">
        <v>14004</v>
      </c>
      <c r="V2561" t="s">
        <v>14004</v>
      </c>
      <c r="W2561" t="s">
        <v>16526</v>
      </c>
      <c r="X2561">
        <v>9</v>
      </c>
      <c r="Y2561" t="s">
        <v>23409</v>
      </c>
      <c r="Z2561" t="s">
        <v>30271</v>
      </c>
      <c r="AA2561">
        <v>0.75004420425369911</v>
      </c>
      <c r="AB2561" t="str">
        <f>HYPERLINK("Melting_Curves/meltCurve_P32321_2_DCTD.pdf", "Melting_Curves/meltCurve_P32321_2_DCTD.pdf")</f>
        <v>Melting_Curves/meltCurve_P32321_2_DCTD.pdf</v>
      </c>
    </row>
    <row r="2562" spans="1:28" x14ac:dyDescent="0.25">
      <c r="A2562" t="s">
        <v>2566</v>
      </c>
      <c r="B2562">
        <v>0.99999676499088797</v>
      </c>
      <c r="C2562">
        <v>1.0725855307215899</v>
      </c>
      <c r="D2562">
        <v>1.0968378972008901</v>
      </c>
      <c r="E2562">
        <v>1.1631083952279799</v>
      </c>
      <c r="F2562">
        <v>1.00666280016273</v>
      </c>
      <c r="G2562">
        <v>0.87572307247301295</v>
      </c>
      <c r="H2562">
        <v>0.55314980707003103</v>
      </c>
      <c r="I2562">
        <v>0.51427076026922902</v>
      </c>
      <c r="J2562">
        <v>0.42451548891151197</v>
      </c>
      <c r="K2562">
        <v>0.27940443897689898</v>
      </c>
      <c r="L2562">
        <v>1490.0502569621301</v>
      </c>
      <c r="M2562">
        <v>24.8377909438512</v>
      </c>
      <c r="N2562">
        <v>62.7450829417511</v>
      </c>
      <c r="O2562">
        <v>59.606427381413702</v>
      </c>
      <c r="P2562">
        <v>-6.9598638328196599E-2</v>
      </c>
      <c r="Q2562">
        <v>0.33191011158071598</v>
      </c>
      <c r="R2562">
        <v>0.93727361553784105</v>
      </c>
      <c r="S2562" t="s">
        <v>9565</v>
      </c>
      <c r="T2562" t="s">
        <v>14004</v>
      </c>
      <c r="U2562" t="s">
        <v>14004</v>
      </c>
      <c r="V2562" t="s">
        <v>14004</v>
      </c>
      <c r="W2562" t="s">
        <v>16527</v>
      </c>
      <c r="X2562">
        <v>12</v>
      </c>
      <c r="Y2562" t="s">
        <v>23410</v>
      </c>
      <c r="Z2562" t="s">
        <v>30272</v>
      </c>
      <c r="AA2562">
        <v>0.78209988527069496</v>
      </c>
      <c r="AB2562" t="str">
        <f>HYPERLINK("Melting_Curves/meltCurve_P32322_PYCR1.pdf", "Melting_Curves/meltCurve_P32322_PYCR1.pdf")</f>
        <v>Melting_Curves/meltCurve_P32322_PYCR1.pdf</v>
      </c>
    </row>
    <row r="2563" spans="1:28" x14ac:dyDescent="0.25">
      <c r="A2563" t="s">
        <v>2567</v>
      </c>
      <c r="B2563">
        <v>0.99999676499088797</v>
      </c>
      <c r="C2563">
        <v>0.95676554556556603</v>
      </c>
      <c r="D2563">
        <v>0.96388337790242695</v>
      </c>
      <c r="E2563">
        <v>0.93735547833938904</v>
      </c>
      <c r="F2563">
        <v>0.255389342421245</v>
      </c>
      <c r="G2563">
        <v>0.183694573863142</v>
      </c>
      <c r="H2563">
        <v>9.1834312431476106E-2</v>
      </c>
      <c r="I2563">
        <v>0.100938264014966</v>
      </c>
      <c r="J2563">
        <v>9.7251234586947899E-2</v>
      </c>
      <c r="K2563">
        <v>8.8279766331320994E-2</v>
      </c>
      <c r="L2563">
        <v>2992.56239078724</v>
      </c>
      <c r="M2563">
        <v>57.844608927405503</v>
      </c>
      <c r="N2563">
        <v>51.9587602604228</v>
      </c>
      <c r="O2563">
        <v>51.672804483098197</v>
      </c>
      <c r="P2563">
        <v>-0.24894542840211301</v>
      </c>
      <c r="Q2563">
        <v>0.110465252158506</v>
      </c>
      <c r="R2563">
        <v>0.994653560793893</v>
      </c>
      <c r="S2563" t="s">
        <v>9566</v>
      </c>
      <c r="T2563" t="s">
        <v>14004</v>
      </c>
      <c r="U2563" t="s">
        <v>14004</v>
      </c>
      <c r="V2563" t="s">
        <v>14004</v>
      </c>
      <c r="W2563" t="s">
        <v>16528</v>
      </c>
      <c r="X2563">
        <v>13</v>
      </c>
      <c r="Y2563" t="s">
        <v>23411</v>
      </c>
      <c r="Z2563" t="s">
        <v>30273</v>
      </c>
      <c r="AA2563">
        <v>0.45992153854250589</v>
      </c>
      <c r="AB2563" t="str">
        <f>HYPERLINK("Melting_Curves/meltCurve_P32455_GBP1.pdf", "Melting_Curves/meltCurve_P32455_GBP1.pdf")</f>
        <v>Melting_Curves/meltCurve_P32455_GBP1.pdf</v>
      </c>
    </row>
    <row r="2564" spans="1:28" x14ac:dyDescent="0.25">
      <c r="A2564" t="s">
        <v>2568</v>
      </c>
      <c r="B2564">
        <v>0.99999676499088797</v>
      </c>
      <c r="C2564">
        <v>0.50190720541653999</v>
      </c>
      <c r="D2564">
        <v>0.32443836792007102</v>
      </c>
      <c r="E2564">
        <v>0.188366763237997</v>
      </c>
      <c r="F2564">
        <v>0.17345214149825799</v>
      </c>
      <c r="G2564">
        <v>0.16014268998232101</v>
      </c>
      <c r="H2564">
        <v>9.7864942650770906E-2</v>
      </c>
      <c r="I2564">
        <v>9.4375175540861098E-2</v>
      </c>
      <c r="J2564">
        <v>0.107246069196353</v>
      </c>
      <c r="K2564">
        <v>0.118750147568518</v>
      </c>
      <c r="L2564">
        <v>1201.1502648831599</v>
      </c>
      <c r="M2564">
        <v>27.9549401148772</v>
      </c>
      <c r="N2564">
        <v>43.458964525060303</v>
      </c>
      <c r="O2564">
        <v>42.749309639713097</v>
      </c>
      <c r="P2564">
        <v>-0.141323184462016</v>
      </c>
      <c r="Q2564">
        <v>0.13554956299723001</v>
      </c>
      <c r="R2564">
        <v>0.96285977847007098</v>
      </c>
      <c r="S2564" t="s">
        <v>9567</v>
      </c>
      <c r="T2564" t="s">
        <v>14004</v>
      </c>
      <c r="U2564" t="s">
        <v>14004</v>
      </c>
      <c r="V2564" t="s">
        <v>14004</v>
      </c>
      <c r="W2564" t="s">
        <v>16529</v>
      </c>
      <c r="X2564">
        <v>3</v>
      </c>
      <c r="Y2564" t="s">
        <v>23412</v>
      </c>
      <c r="Z2564" t="s">
        <v>30274</v>
      </c>
      <c r="AA2564">
        <v>0.230621072139331</v>
      </c>
      <c r="AB2564" t="str">
        <f>HYPERLINK("Melting_Curves/meltCurve_P32519_2_ELF1.pdf", "Melting_Curves/meltCurve_P32519_2_ELF1.pdf")</f>
        <v>Melting_Curves/meltCurve_P32519_2_ELF1.pdf</v>
      </c>
    </row>
    <row r="2565" spans="1:28" x14ac:dyDescent="0.25">
      <c r="A2565" t="s">
        <v>2569</v>
      </c>
      <c r="B2565">
        <v>0.99999676499088797</v>
      </c>
      <c r="C2565">
        <v>0.85510660092857405</v>
      </c>
      <c r="D2565">
        <v>0.77611778066450199</v>
      </c>
      <c r="E2565">
        <v>0.42055212552312499</v>
      </c>
      <c r="F2565">
        <v>0.287697535077024</v>
      </c>
      <c r="G2565">
        <v>0.31050490412842502</v>
      </c>
      <c r="H2565">
        <v>0.13033043608974401</v>
      </c>
      <c r="I2565">
        <v>0.103579248318676</v>
      </c>
      <c r="J2565">
        <v>8.1891235709501103E-2</v>
      </c>
      <c r="K2565">
        <v>4.5974190408429698E-2</v>
      </c>
      <c r="L2565">
        <v>641.07725324013597</v>
      </c>
      <c r="M2565">
        <v>13.077986100118499</v>
      </c>
      <c r="N2565">
        <v>49.548737776612597</v>
      </c>
      <c r="O2565">
        <v>47.915887078105598</v>
      </c>
      <c r="P2565">
        <v>-6.3797751483316206E-2</v>
      </c>
      <c r="Q2565">
        <v>6.5177218972868198E-2</v>
      </c>
      <c r="R2565">
        <v>0.97679657435501299</v>
      </c>
      <c r="S2565" t="s">
        <v>9568</v>
      </c>
      <c r="T2565" t="s">
        <v>14004</v>
      </c>
      <c r="U2565" t="s">
        <v>14004</v>
      </c>
      <c r="V2565" t="s">
        <v>14004</v>
      </c>
      <c r="W2565" t="s">
        <v>16530</v>
      </c>
      <c r="X2565">
        <v>4</v>
      </c>
      <c r="Y2565" t="s">
        <v>23413</v>
      </c>
      <c r="Z2565" t="s">
        <v>30275</v>
      </c>
      <c r="AA2565">
        <v>0.37582866372654261</v>
      </c>
      <c r="AB2565" t="str">
        <f>HYPERLINK("Melting_Curves/meltCurve_P32780_GTF2H1.pdf", "Melting_Curves/meltCurve_P32780_GTF2H1.pdf")</f>
        <v>Melting_Curves/meltCurve_P32780_GTF2H1.pdf</v>
      </c>
    </row>
    <row r="2566" spans="1:28" x14ac:dyDescent="0.25">
      <c r="A2566" t="s">
        <v>2570</v>
      </c>
      <c r="B2566">
        <v>0.99999676499088797</v>
      </c>
      <c r="C2566">
        <v>0.94049274744649303</v>
      </c>
      <c r="D2566">
        <v>0.86566381427371197</v>
      </c>
      <c r="E2566">
        <v>0.86522022336756299</v>
      </c>
      <c r="F2566">
        <v>0.60307458554346205</v>
      </c>
      <c r="G2566">
        <v>0.40436721471304898</v>
      </c>
      <c r="H2566">
        <v>0.17501199588837499</v>
      </c>
      <c r="I2566">
        <v>0.16666515524856401</v>
      </c>
      <c r="J2566">
        <v>0.141167115952125</v>
      </c>
      <c r="K2566">
        <v>0.152002856374711</v>
      </c>
      <c r="L2566">
        <v>853.804906575632</v>
      </c>
      <c r="M2566">
        <v>15.80860220974</v>
      </c>
      <c r="N2566">
        <v>54.770526894427803</v>
      </c>
      <c r="O2566">
        <v>53.166786920344798</v>
      </c>
      <c r="P2566">
        <v>-6.70054319808015E-2</v>
      </c>
      <c r="Q2566">
        <v>9.8675023870172102E-2</v>
      </c>
      <c r="R2566">
        <v>0.98760843421577504</v>
      </c>
      <c r="S2566" t="s">
        <v>9569</v>
      </c>
      <c r="T2566" t="s">
        <v>14004</v>
      </c>
      <c r="U2566" t="s">
        <v>14004</v>
      </c>
      <c r="V2566" t="s">
        <v>14004</v>
      </c>
      <c r="W2566" t="s">
        <v>16531</v>
      </c>
      <c r="X2566">
        <v>4</v>
      </c>
      <c r="Y2566" t="s">
        <v>23414</v>
      </c>
      <c r="Z2566" t="s">
        <v>30276</v>
      </c>
      <c r="AA2566">
        <v>0.53684760086389216</v>
      </c>
      <c r="AB2566" t="str">
        <f>HYPERLINK("Melting_Curves/meltCurve_P32856_3_STX2.pdf", "Melting_Curves/meltCurve_P32856_3_STX2.pdf")</f>
        <v>Melting_Curves/meltCurve_P32856_3_STX2.pdf</v>
      </c>
    </row>
    <row r="2567" spans="1:28" x14ac:dyDescent="0.25">
      <c r="A2567" t="s">
        <v>2571</v>
      </c>
      <c r="B2567">
        <v>0.99999676499088797</v>
      </c>
      <c r="C2567">
        <v>1.0523399204641399</v>
      </c>
      <c r="D2567">
        <v>1.02258708474622</v>
      </c>
      <c r="E2567">
        <v>1.132761353754</v>
      </c>
      <c r="F2567">
        <v>1.1802714249480699</v>
      </c>
      <c r="G2567">
        <v>1.09172294277541</v>
      </c>
      <c r="H2567">
        <v>0.84530983646289803</v>
      </c>
      <c r="I2567">
        <v>0.67546389084292202</v>
      </c>
      <c r="J2567">
        <v>0.56578686839085601</v>
      </c>
      <c r="K2567">
        <v>0.68797251485211597</v>
      </c>
      <c r="L2567">
        <v>4248.5601342835198</v>
      </c>
      <c r="M2567">
        <v>69.520113813715597</v>
      </c>
      <c r="O2567">
        <v>61.062144875553301</v>
      </c>
      <c r="P2567">
        <v>-0.103339321808809</v>
      </c>
      <c r="Q2567">
        <v>0.63693262154320696</v>
      </c>
      <c r="R2567">
        <v>0.83273110039155895</v>
      </c>
      <c r="S2567" t="s">
        <v>9570</v>
      </c>
      <c r="T2567" t="s">
        <v>14004</v>
      </c>
      <c r="U2567" t="s">
        <v>14004</v>
      </c>
      <c r="V2567" t="s">
        <v>14004</v>
      </c>
      <c r="W2567" t="s">
        <v>16532</v>
      </c>
      <c r="X2567">
        <v>13</v>
      </c>
      <c r="Y2567" t="s">
        <v>23415</v>
      </c>
      <c r="Z2567" t="s">
        <v>30277</v>
      </c>
      <c r="AA2567">
        <v>0.89294618616866994</v>
      </c>
      <c r="AB2567" t="str">
        <f>HYPERLINK("Melting_Curves/meltCurve_P32929_CTH.pdf", "Melting_Curves/meltCurve_P32929_CTH.pdf")</f>
        <v>Melting_Curves/meltCurve_P32929_CTH.pdf</v>
      </c>
    </row>
    <row r="2568" spans="1:28" x14ac:dyDescent="0.25">
      <c r="A2568" t="s">
        <v>2572</v>
      </c>
      <c r="B2568">
        <v>0.99999676499088797</v>
      </c>
      <c r="C2568">
        <v>1.03705784366749</v>
      </c>
      <c r="D2568">
        <v>1.0690515857833001</v>
      </c>
      <c r="E2568">
        <v>1.11986814426332</v>
      </c>
      <c r="F2568">
        <v>1.20035810554037</v>
      </c>
      <c r="G2568">
        <v>0.91776548153191995</v>
      </c>
      <c r="H2568">
        <v>0.60784351684775095</v>
      </c>
      <c r="I2568">
        <v>0.51430524207380202</v>
      </c>
      <c r="J2568">
        <v>0.43806991593730699</v>
      </c>
      <c r="K2568">
        <v>0.580475939266202</v>
      </c>
      <c r="L2568">
        <v>2944.8860096957101</v>
      </c>
      <c r="M2568">
        <v>49.945374770927003</v>
      </c>
      <c r="O2568">
        <v>58.867842646737699</v>
      </c>
      <c r="P2568">
        <v>-0.104029365343917</v>
      </c>
      <c r="Q2568">
        <v>0.50954585042820399</v>
      </c>
      <c r="R2568">
        <v>0.89951666796066698</v>
      </c>
      <c r="S2568" t="s">
        <v>9571</v>
      </c>
      <c r="T2568" t="s">
        <v>14004</v>
      </c>
      <c r="U2568" t="s">
        <v>14004</v>
      </c>
      <c r="V2568" t="s">
        <v>14004</v>
      </c>
      <c r="W2568" t="s">
        <v>16533</v>
      </c>
      <c r="X2568">
        <v>12</v>
      </c>
      <c r="Y2568" t="s">
        <v>23416</v>
      </c>
      <c r="Z2568" t="s">
        <v>30278</v>
      </c>
      <c r="AA2568">
        <v>0.82081534390507516</v>
      </c>
      <c r="AB2568" t="str">
        <f>HYPERLINK("Melting_Curves/meltCurve_P32942_ICAM3.pdf", "Melting_Curves/meltCurve_P32942_ICAM3.pdf")</f>
        <v>Melting_Curves/meltCurve_P32942_ICAM3.pdf</v>
      </c>
    </row>
    <row r="2569" spans="1:28" x14ac:dyDescent="0.25">
      <c r="A2569" t="s">
        <v>2573</v>
      </c>
      <c r="B2569">
        <v>0.99999676499088797</v>
      </c>
      <c r="C2569">
        <v>1.0185393649296299</v>
      </c>
      <c r="D2569">
        <v>0.84710668838456904</v>
      </c>
      <c r="E2569">
        <v>0.69054674319107001</v>
      </c>
      <c r="F2569">
        <v>0.38619348078960603</v>
      </c>
      <c r="G2569">
        <v>0.38542900265803398</v>
      </c>
      <c r="H2569">
        <v>9.3917022793048394E-2</v>
      </c>
      <c r="I2569">
        <v>7.29255529167364E-2</v>
      </c>
      <c r="J2569">
        <v>6.8347226256943394E-2</v>
      </c>
      <c r="K2569">
        <v>5.5431790500662E-2</v>
      </c>
      <c r="L2569">
        <v>704.97282081336004</v>
      </c>
      <c r="M2569">
        <v>13.4578354234927</v>
      </c>
      <c r="N2569">
        <v>52.493107643396201</v>
      </c>
      <c r="O2569">
        <v>51.267748578709401</v>
      </c>
      <c r="P2569">
        <v>-6.4728538363989799E-2</v>
      </c>
      <c r="Q2569">
        <v>1.38163871251105E-2</v>
      </c>
      <c r="R2569">
        <v>0.98127918675144699</v>
      </c>
      <c r="S2569" t="s">
        <v>9572</v>
      </c>
      <c r="T2569" t="s">
        <v>14004</v>
      </c>
      <c r="U2569" t="s">
        <v>14004</v>
      </c>
      <c r="V2569" t="s">
        <v>14004</v>
      </c>
      <c r="W2569" t="s">
        <v>16534</v>
      </c>
      <c r="X2569">
        <v>17</v>
      </c>
      <c r="Y2569" t="s">
        <v>23417</v>
      </c>
      <c r="Z2569" t="s">
        <v>30279</v>
      </c>
      <c r="AA2569">
        <v>0.446263698348704</v>
      </c>
      <c r="AB2569" t="str">
        <f>HYPERLINK("Melting_Curves/meltCurve_P32969_RPL9.pdf", "Melting_Curves/meltCurve_P32969_RPL9.pdf")</f>
        <v>Melting_Curves/meltCurve_P32969_RPL9.pdf</v>
      </c>
    </row>
    <row r="2570" spans="1:28" x14ac:dyDescent="0.25">
      <c r="A2570" t="s">
        <v>2574</v>
      </c>
      <c r="B2570">
        <v>0.99999676499088797</v>
      </c>
      <c r="C2570">
        <v>1.0098816298231199</v>
      </c>
      <c r="D2570">
        <v>0.87825754155235003</v>
      </c>
      <c r="E2570">
        <v>0.68878413538431404</v>
      </c>
      <c r="F2570">
        <v>0.31762072068990099</v>
      </c>
      <c r="G2570">
        <v>0.18787735470279501</v>
      </c>
      <c r="H2570">
        <v>0.102671859511776</v>
      </c>
      <c r="I2570">
        <v>0.109460774361017</v>
      </c>
      <c r="J2570">
        <v>0.110014630241959</v>
      </c>
      <c r="K2570">
        <v>7.4929052941700006E-2</v>
      </c>
      <c r="L2570">
        <v>1102.95826302979</v>
      </c>
      <c r="M2570">
        <v>21.704738438687599</v>
      </c>
      <c r="N2570">
        <v>51.2832078852433</v>
      </c>
      <c r="O2570">
        <v>50.391008849352197</v>
      </c>
      <c r="P2570">
        <v>-9.80329307920495E-2</v>
      </c>
      <c r="Q2570">
        <v>8.9625198194065905E-2</v>
      </c>
      <c r="R2570">
        <v>0.99711108029638196</v>
      </c>
      <c r="S2570" t="s">
        <v>9573</v>
      </c>
      <c r="T2570" t="s">
        <v>14004</v>
      </c>
      <c r="U2570" t="s">
        <v>14004</v>
      </c>
      <c r="V2570" t="s">
        <v>14004</v>
      </c>
      <c r="W2570" t="s">
        <v>16535</v>
      </c>
      <c r="X2570">
        <v>14</v>
      </c>
      <c r="Y2570" t="s">
        <v>23418</v>
      </c>
      <c r="Z2570" t="s">
        <v>30280</v>
      </c>
      <c r="AA2570">
        <v>0.42867701858263729</v>
      </c>
      <c r="AB2570" t="str">
        <f>HYPERLINK("Melting_Curves/meltCurve_P33121_ACSL1.pdf", "Melting_Curves/meltCurve_P33121_ACSL1.pdf")</f>
        <v>Melting_Curves/meltCurve_P33121_ACSL1.pdf</v>
      </c>
    </row>
    <row r="2571" spans="1:28" x14ac:dyDescent="0.25">
      <c r="A2571" t="s">
        <v>2575</v>
      </c>
      <c r="B2571">
        <v>0.99999676499088797</v>
      </c>
      <c r="C2571">
        <v>1.0233042622226001</v>
      </c>
      <c r="D2571">
        <v>1.03436970783257</v>
      </c>
      <c r="E2571">
        <v>1.08409692268993</v>
      </c>
      <c r="F2571">
        <v>0.28909877241617898</v>
      </c>
      <c r="G2571">
        <v>0.18464318255605</v>
      </c>
      <c r="H2571">
        <v>8.9322436181702394E-2</v>
      </c>
      <c r="I2571">
        <v>8.0409019111164395E-2</v>
      </c>
      <c r="J2571">
        <v>7.1836182335176899E-2</v>
      </c>
      <c r="K2571">
        <v>6.8781213140884104E-2</v>
      </c>
      <c r="L2571">
        <v>13229.830214249199</v>
      </c>
      <c r="M2571">
        <v>250</v>
      </c>
      <c r="N2571">
        <v>52.966080238437399</v>
      </c>
      <c r="O2571">
        <v>52.915956729165202</v>
      </c>
      <c r="P2571">
        <v>-1.06418985176966</v>
      </c>
      <c r="Q2571">
        <v>9.8998392864461507E-2</v>
      </c>
      <c r="R2571">
        <v>0.99092511243979597</v>
      </c>
      <c r="S2571" t="s">
        <v>9574</v>
      </c>
      <c r="T2571" t="s">
        <v>14004</v>
      </c>
      <c r="U2571" t="s">
        <v>14004</v>
      </c>
      <c r="V2571" t="s">
        <v>14004</v>
      </c>
      <c r="W2571" t="s">
        <v>16536</v>
      </c>
      <c r="X2571">
        <v>80</v>
      </c>
      <c r="Y2571" t="s">
        <v>23419</v>
      </c>
      <c r="Z2571" t="s">
        <v>30281</v>
      </c>
      <c r="AA2571">
        <v>0.48709303305414758</v>
      </c>
      <c r="AB2571" t="str">
        <f>HYPERLINK("Melting_Curves/meltCurve_P33176_KIF5B.pdf", "Melting_Curves/meltCurve_P33176_KIF5B.pdf")</f>
        <v>Melting_Curves/meltCurve_P33176_KIF5B.pdf</v>
      </c>
    </row>
    <row r="2572" spans="1:28" x14ac:dyDescent="0.25">
      <c r="A2572" t="s">
        <v>2576</v>
      </c>
      <c r="B2572">
        <v>0.99999676499088797</v>
      </c>
      <c r="C2572">
        <v>0.94363763141615098</v>
      </c>
      <c r="D2572">
        <v>0.87677435389696801</v>
      </c>
      <c r="E2572">
        <v>0.74349961988909896</v>
      </c>
      <c r="F2572">
        <v>0.475715290947059</v>
      </c>
      <c r="G2572">
        <v>0.28635201845234698</v>
      </c>
      <c r="H2572">
        <v>0.15729584943401101</v>
      </c>
      <c r="I2572">
        <v>0.14743311839030099</v>
      </c>
      <c r="J2572">
        <v>0.167837970590754</v>
      </c>
      <c r="K2572">
        <v>0.16552151688022601</v>
      </c>
      <c r="L2572">
        <v>878.03530869247402</v>
      </c>
      <c r="M2572">
        <v>16.9542788271084</v>
      </c>
      <c r="N2572">
        <v>52.723930603255297</v>
      </c>
      <c r="O2572">
        <v>51.0840337629445</v>
      </c>
      <c r="P2572">
        <v>-7.2198821328494006E-2</v>
      </c>
      <c r="Q2572">
        <v>0.12990066489508301</v>
      </c>
      <c r="R2572">
        <v>0.99545182909607499</v>
      </c>
      <c r="S2572" t="s">
        <v>9575</v>
      </c>
      <c r="T2572" t="s">
        <v>14004</v>
      </c>
      <c r="U2572" t="s">
        <v>14004</v>
      </c>
      <c r="V2572" t="s">
        <v>14004</v>
      </c>
      <c r="W2572" t="s">
        <v>16537</v>
      </c>
      <c r="X2572">
        <v>20</v>
      </c>
      <c r="Y2572" t="s">
        <v>23420</v>
      </c>
      <c r="Z2572" t="s">
        <v>30282</v>
      </c>
      <c r="AA2572">
        <v>0.4878802248422025</v>
      </c>
      <c r="AB2572" t="str">
        <f>HYPERLINK("Melting_Curves/meltCurve_P33240_2_CSTF2.pdf", "Melting_Curves/meltCurve_P33240_2_CSTF2.pdf")</f>
        <v>Melting_Curves/meltCurve_P33240_2_CSTF2.pdf</v>
      </c>
    </row>
    <row r="2573" spans="1:28" x14ac:dyDescent="0.25">
      <c r="A2573" t="s">
        <v>2577</v>
      </c>
      <c r="B2573">
        <v>0.99999676499088797</v>
      </c>
      <c r="C2573">
        <v>0.881661417903983</v>
      </c>
      <c r="D2573">
        <v>0.85571838023757896</v>
      </c>
      <c r="E2573">
        <v>0.79252445434415797</v>
      </c>
      <c r="F2573">
        <v>0.63154812255033599</v>
      </c>
      <c r="G2573">
        <v>0.57870137632368401</v>
      </c>
      <c r="H2573">
        <v>0.41612995917435702</v>
      </c>
      <c r="I2573">
        <v>0.54935618066235903</v>
      </c>
      <c r="J2573">
        <v>0.45874711548852198</v>
      </c>
      <c r="K2573">
        <v>0.53453018124543406</v>
      </c>
      <c r="L2573">
        <v>612.51463085759997</v>
      </c>
      <c r="M2573">
        <v>12.2491588605907</v>
      </c>
      <c r="N2573">
        <v>63.854728856574198</v>
      </c>
      <c r="O2573">
        <v>48.727906356396097</v>
      </c>
      <c r="P2573">
        <v>-3.3634720277824298E-2</v>
      </c>
      <c r="Q2573">
        <v>0.46491524825788499</v>
      </c>
      <c r="R2573">
        <v>0.93490398873260305</v>
      </c>
      <c r="S2573" t="s">
        <v>9576</v>
      </c>
      <c r="T2573" t="s">
        <v>14004</v>
      </c>
      <c r="U2573" t="s">
        <v>14004</v>
      </c>
      <c r="V2573" t="s">
        <v>14004</v>
      </c>
      <c r="W2573" t="s">
        <v>16538</v>
      </c>
      <c r="X2573">
        <v>10</v>
      </c>
      <c r="Y2573" t="s">
        <v>23421</v>
      </c>
      <c r="Z2573" t="s">
        <v>30283</v>
      </c>
      <c r="AA2573">
        <v>0.66128859751349955</v>
      </c>
      <c r="AB2573" t="str">
        <f>HYPERLINK("Melting_Curves/meltCurve_P33241_LSP1.pdf", "Melting_Curves/meltCurve_P33241_LSP1.pdf")</f>
        <v>Melting_Curves/meltCurve_P33241_LSP1.pdf</v>
      </c>
    </row>
    <row r="2574" spans="1:28" x14ac:dyDescent="0.25">
      <c r="A2574" t="s">
        <v>2578</v>
      </c>
      <c r="B2574">
        <v>0.99999676499088797</v>
      </c>
      <c r="C2574">
        <v>0.800024091931403</v>
      </c>
      <c r="D2574">
        <v>1.0933013648931</v>
      </c>
      <c r="E2574">
        <v>1.2010911637045001</v>
      </c>
      <c r="F2574">
        <v>1.2961229710583899</v>
      </c>
      <c r="G2574">
        <v>0.785925874735801</v>
      </c>
      <c r="H2574">
        <v>0.37829608814006399</v>
      </c>
      <c r="I2574">
        <v>0.20409953396323499</v>
      </c>
      <c r="J2574">
        <v>0.15681034690142601</v>
      </c>
      <c r="K2574">
        <v>0</v>
      </c>
      <c r="L2574">
        <v>2021.6975977454599</v>
      </c>
      <c r="M2574">
        <v>33.970878855458203</v>
      </c>
      <c r="N2574">
        <v>59.828597629494602</v>
      </c>
      <c r="O2574">
        <v>59.3075748862816</v>
      </c>
      <c r="P2574">
        <v>-0.13144071797759099</v>
      </c>
      <c r="Q2574">
        <v>8.2108081446236103E-2</v>
      </c>
      <c r="R2574">
        <v>0.89827708777813198</v>
      </c>
      <c r="S2574" t="s">
        <v>9577</v>
      </c>
      <c r="T2574" t="s">
        <v>14004</v>
      </c>
      <c r="U2574" t="s">
        <v>14004</v>
      </c>
      <c r="V2574" t="s">
        <v>14004</v>
      </c>
      <c r="W2574" t="s">
        <v>16539</v>
      </c>
      <c r="X2574">
        <v>16</v>
      </c>
      <c r="Y2574" t="s">
        <v>23422</v>
      </c>
      <c r="Z2574" t="s">
        <v>30284</v>
      </c>
      <c r="AA2574">
        <v>0.68388931661943919</v>
      </c>
      <c r="AB2574" t="str">
        <f>HYPERLINK("Melting_Curves/meltCurve_P33316_DUT.pdf", "Melting_Curves/meltCurve_P33316_DUT.pdf")</f>
        <v>Melting_Curves/meltCurve_P33316_DUT.pdf</v>
      </c>
    </row>
    <row r="2575" spans="1:28" x14ac:dyDescent="0.25">
      <c r="A2575" t="s">
        <v>2579</v>
      </c>
      <c r="B2575">
        <v>0.99999676499088797</v>
      </c>
      <c r="C2575">
        <v>1.00878299793586</v>
      </c>
      <c r="D2575">
        <v>0.94664027144668195</v>
      </c>
      <c r="E2575">
        <v>0.92275700182990505</v>
      </c>
      <c r="F2575">
        <v>0.87172531877841697</v>
      </c>
      <c r="G2575">
        <v>0.502581122148403</v>
      </c>
      <c r="H2575">
        <v>0.225216982267823</v>
      </c>
      <c r="I2575">
        <v>0.17786073432588101</v>
      </c>
      <c r="J2575">
        <v>0.16380020288668301</v>
      </c>
      <c r="K2575">
        <v>0.152145231442149</v>
      </c>
      <c r="L2575">
        <v>1605.5301651006801</v>
      </c>
      <c r="M2575">
        <v>28.603690076720799</v>
      </c>
      <c r="N2575">
        <v>56.839394116764801</v>
      </c>
      <c r="O2575">
        <v>55.8579737200075</v>
      </c>
      <c r="P2575">
        <v>-0.10880754176979</v>
      </c>
      <c r="Q2575">
        <v>0.15007875862320599</v>
      </c>
      <c r="R2575">
        <v>0.99510624383450896</v>
      </c>
      <c r="S2575" t="s">
        <v>9578</v>
      </c>
      <c r="T2575" t="s">
        <v>14004</v>
      </c>
      <c r="U2575" t="s">
        <v>14004</v>
      </c>
      <c r="V2575" t="s">
        <v>14004</v>
      </c>
      <c r="W2575" t="s">
        <v>16540</v>
      </c>
      <c r="X2575">
        <v>16</v>
      </c>
      <c r="Y2575" t="s">
        <v>23422</v>
      </c>
      <c r="Z2575" t="s">
        <v>30285</v>
      </c>
      <c r="AA2575">
        <v>0.61323644429072255</v>
      </c>
      <c r="AB2575" t="str">
        <f>HYPERLINK("Melting_Curves/meltCurve_P33316_2_DUT.pdf", "Melting_Curves/meltCurve_P33316_2_DUT.pdf")</f>
        <v>Melting_Curves/meltCurve_P33316_2_DUT.pdf</v>
      </c>
    </row>
    <row r="2576" spans="1:28" x14ac:dyDescent="0.25">
      <c r="A2576" t="s">
        <v>2580</v>
      </c>
      <c r="B2576">
        <v>0.99999676499088797</v>
      </c>
      <c r="C2576">
        <v>1.0587541065494801</v>
      </c>
      <c r="D2576">
        <v>1.0784738710347499</v>
      </c>
      <c r="E2576">
        <v>1.08313917521964</v>
      </c>
      <c r="F2576">
        <v>1.02888559917685</v>
      </c>
      <c r="G2576">
        <v>0.90778088177313898</v>
      </c>
      <c r="H2576">
        <v>0.36537504877093702</v>
      </c>
      <c r="I2576">
        <v>0.17335418437310099</v>
      </c>
      <c r="J2576">
        <v>0.124385516500954</v>
      </c>
      <c r="K2576">
        <v>0.11136490958534601</v>
      </c>
      <c r="L2576">
        <v>2650.2672083805801</v>
      </c>
      <c r="M2576">
        <v>44.519482863622301</v>
      </c>
      <c r="N2576">
        <v>59.901353505910599</v>
      </c>
      <c r="O2576">
        <v>59.410762940212003</v>
      </c>
      <c r="P2576">
        <v>-0.16477307632164701</v>
      </c>
      <c r="Q2576">
        <v>0.120449725013933</v>
      </c>
      <c r="R2576">
        <v>0.98957172088331502</v>
      </c>
      <c r="S2576" t="s">
        <v>9579</v>
      </c>
      <c r="T2576" t="s">
        <v>14004</v>
      </c>
      <c r="U2576" t="s">
        <v>14004</v>
      </c>
      <c r="V2576" t="s">
        <v>14004</v>
      </c>
      <c r="W2576" t="s">
        <v>16541</v>
      </c>
      <c r="X2576">
        <v>32</v>
      </c>
      <c r="Y2576" t="s">
        <v>23423</v>
      </c>
      <c r="Z2576" t="s">
        <v>30286</v>
      </c>
      <c r="AA2576">
        <v>0.69589578114329409</v>
      </c>
      <c r="AB2576" t="str">
        <f>HYPERLINK("Melting_Curves/meltCurve_P33527_ABCC1.pdf", "Melting_Curves/meltCurve_P33527_ABCC1.pdf")</f>
        <v>Melting_Curves/meltCurve_P33527_ABCC1.pdf</v>
      </c>
    </row>
    <row r="2577" spans="1:28" x14ac:dyDescent="0.25">
      <c r="A2577" t="s">
        <v>2581</v>
      </c>
      <c r="B2577">
        <v>0.99999676499088797</v>
      </c>
      <c r="C2577">
        <v>1.00399211951687</v>
      </c>
      <c r="D2577">
        <v>0.85561444714819501</v>
      </c>
      <c r="E2577">
        <v>0.65258662761839303</v>
      </c>
      <c r="F2577">
        <v>0.38574346000842702</v>
      </c>
      <c r="G2577">
        <v>0.28877223432701499</v>
      </c>
      <c r="H2577">
        <v>0.174294698316624</v>
      </c>
      <c r="I2577">
        <v>0.18380675811769601</v>
      </c>
      <c r="J2577">
        <v>0.24431744039797301</v>
      </c>
      <c r="K2577">
        <v>0.232372148294063</v>
      </c>
      <c r="L2577">
        <v>1008.48472170426</v>
      </c>
      <c r="M2577">
        <v>20.143933022618398</v>
      </c>
      <c r="N2577">
        <v>51.396910277476401</v>
      </c>
      <c r="O2577">
        <v>49.578372460270003</v>
      </c>
      <c r="P2577">
        <v>-8.0911979797239006E-2</v>
      </c>
      <c r="Q2577">
        <v>0.20346065670944299</v>
      </c>
      <c r="R2577">
        <v>0.99255194106808997</v>
      </c>
      <c r="S2577" t="s">
        <v>9580</v>
      </c>
      <c r="T2577" t="s">
        <v>14004</v>
      </c>
      <c r="U2577" t="s">
        <v>14004</v>
      </c>
      <c r="V2577" t="s">
        <v>14004</v>
      </c>
      <c r="W2577" t="s">
        <v>16542</v>
      </c>
      <c r="X2577">
        <v>2</v>
      </c>
      <c r="Y2577" t="s">
        <v>23424</v>
      </c>
      <c r="Z2577" t="s">
        <v>30287</v>
      </c>
      <c r="AA2577">
        <v>0.48160405938389961</v>
      </c>
      <c r="AB2577" t="str">
        <f>HYPERLINK("Melting_Curves/meltCurve_P33552_CKS2.pdf", "Melting_Curves/meltCurve_P33552_CKS2.pdf")</f>
        <v>Melting_Curves/meltCurve_P33552_CKS2.pdf</v>
      </c>
    </row>
    <row r="2578" spans="1:28" x14ac:dyDescent="0.25">
      <c r="A2578" t="s">
        <v>2582</v>
      </c>
      <c r="B2578">
        <v>0.99999676499088797</v>
      </c>
      <c r="C2578">
        <v>1.1161790751157199</v>
      </c>
      <c r="D2578">
        <v>1.04226396212038</v>
      </c>
      <c r="E2578">
        <v>0.74347316687121401</v>
      </c>
      <c r="F2578">
        <v>0.33335203284658599</v>
      </c>
      <c r="G2578">
        <v>0.24878246072775101</v>
      </c>
      <c r="H2578">
        <v>0.101664276198348</v>
      </c>
      <c r="I2578">
        <v>8.5701955267939597E-2</v>
      </c>
      <c r="J2578">
        <v>0.122319688142353</v>
      </c>
      <c r="K2578">
        <v>7.3696728593189501E-2</v>
      </c>
      <c r="L2578">
        <v>1434.97863246869</v>
      </c>
      <c r="M2578">
        <v>27.924537642138901</v>
      </c>
      <c r="N2578">
        <v>51.8337437503492</v>
      </c>
      <c r="O2578">
        <v>51.1263704599478</v>
      </c>
      <c r="P2578">
        <v>-0.12196497176924199</v>
      </c>
      <c r="Q2578">
        <v>0.106796854013382</v>
      </c>
      <c r="R2578">
        <v>0.98264032145074398</v>
      </c>
      <c r="S2578" t="s">
        <v>9581</v>
      </c>
      <c r="T2578" t="s">
        <v>14004</v>
      </c>
      <c r="U2578" t="s">
        <v>14004</v>
      </c>
      <c r="V2578" t="s">
        <v>14004</v>
      </c>
      <c r="W2578" t="s">
        <v>16543</v>
      </c>
      <c r="X2578">
        <v>4</v>
      </c>
      <c r="Y2578" t="s">
        <v>23425</v>
      </c>
      <c r="Z2578" t="s">
        <v>30288</v>
      </c>
      <c r="AA2578">
        <v>0.45236657661792629</v>
      </c>
      <c r="AB2578" t="str">
        <f>HYPERLINK("Melting_Curves/meltCurve_P33897_ABCD1.pdf", "Melting_Curves/meltCurve_P33897_ABCD1.pdf")</f>
        <v>Melting_Curves/meltCurve_P33897_ABCD1.pdf</v>
      </c>
    </row>
    <row r="2579" spans="1:28" x14ac:dyDescent="0.25">
      <c r="A2579" t="s">
        <v>2583</v>
      </c>
      <c r="B2579">
        <v>0.99999676499088797</v>
      </c>
      <c r="C2579">
        <v>1.0680071842777299</v>
      </c>
      <c r="D2579">
        <v>1.0744470102838299</v>
      </c>
      <c r="E2579">
        <v>0.96182832595982304</v>
      </c>
      <c r="F2579">
        <v>0.82403124000142203</v>
      </c>
      <c r="G2579">
        <v>0.55936475405019204</v>
      </c>
      <c r="H2579">
        <v>0.220838430345076</v>
      </c>
      <c r="I2579">
        <v>0.20529680960712901</v>
      </c>
      <c r="J2579">
        <v>0.171816857925915</v>
      </c>
      <c r="K2579">
        <v>0.152400803215993</v>
      </c>
      <c r="L2579">
        <v>1440.0017283439199</v>
      </c>
      <c r="M2579">
        <v>25.560139371704398</v>
      </c>
      <c r="N2579">
        <v>57.128624408414098</v>
      </c>
      <c r="O2579">
        <v>55.9963328277899</v>
      </c>
      <c r="P2579">
        <v>-9.7112918487553004E-2</v>
      </c>
      <c r="Q2579">
        <v>0.14900297933630199</v>
      </c>
      <c r="R2579">
        <v>0.99030400256862205</v>
      </c>
      <c r="S2579" t="s">
        <v>9582</v>
      </c>
      <c r="T2579" t="s">
        <v>14004</v>
      </c>
      <c r="U2579" t="s">
        <v>14004</v>
      </c>
      <c r="V2579" t="s">
        <v>14004</v>
      </c>
      <c r="W2579" t="s">
        <v>16544</v>
      </c>
      <c r="X2579">
        <v>5</v>
      </c>
      <c r="Y2579" t="s">
        <v>23426</v>
      </c>
      <c r="Z2579" t="s">
        <v>30289</v>
      </c>
      <c r="AA2579">
        <v>0.61994628660250717</v>
      </c>
      <c r="AB2579" t="str">
        <f>HYPERLINK("Melting_Curves/meltCurve_P33908_MAN1A1.pdf", "Melting_Curves/meltCurve_P33908_MAN1A1.pdf")</f>
        <v>Melting_Curves/meltCurve_P33908_MAN1A1.pdf</v>
      </c>
    </row>
    <row r="2580" spans="1:28" x14ac:dyDescent="0.25">
      <c r="A2580" t="s">
        <v>2584</v>
      </c>
      <c r="B2580">
        <v>0.99999676499088797</v>
      </c>
      <c r="C2580">
        <v>0.77174168332024295</v>
      </c>
      <c r="D2580">
        <v>0.44765653151555701</v>
      </c>
      <c r="E2580">
        <v>0.21659369513438501</v>
      </c>
      <c r="F2580">
        <v>0.17986357058611799</v>
      </c>
      <c r="G2580">
        <v>0.11961012153155</v>
      </c>
      <c r="H2580">
        <v>6.8584557032591698E-2</v>
      </c>
      <c r="I2580">
        <v>6.5324103403456402E-2</v>
      </c>
      <c r="J2580">
        <v>5.2206004482624198E-2</v>
      </c>
      <c r="K2580">
        <v>4.2342055992185497E-2</v>
      </c>
      <c r="L2580">
        <v>911.72311638601195</v>
      </c>
      <c r="M2580">
        <v>20.102737047098501</v>
      </c>
      <c r="N2580">
        <v>45.716927350019297</v>
      </c>
      <c r="O2580">
        <v>44.911543186279999</v>
      </c>
      <c r="P2580">
        <v>-0.10363491834186001</v>
      </c>
      <c r="Q2580">
        <v>7.3906086948055602E-2</v>
      </c>
      <c r="R2580">
        <v>0.98978211133101301</v>
      </c>
      <c r="S2580" t="s">
        <v>9583</v>
      </c>
      <c r="T2580" t="s">
        <v>14004</v>
      </c>
      <c r="U2580" t="s">
        <v>14004</v>
      </c>
      <c r="V2580" t="s">
        <v>14004</v>
      </c>
      <c r="W2580" t="s">
        <v>16545</v>
      </c>
      <c r="X2580">
        <v>4</v>
      </c>
      <c r="Y2580" t="s">
        <v>23427</v>
      </c>
      <c r="Z2580" t="s">
        <v>30290</v>
      </c>
      <c r="AA2580">
        <v>0.25408726225936079</v>
      </c>
      <c r="AB2580" t="str">
        <f>HYPERLINK("Melting_Curves/meltCurve_P33981_2_TTK.pdf", "Melting_Curves/meltCurve_P33981_2_TTK.pdf")</f>
        <v>Melting_Curves/meltCurve_P33981_2_TTK.pdf</v>
      </c>
    </row>
    <row r="2581" spans="1:28" x14ac:dyDescent="0.25">
      <c r="A2581" t="s">
        <v>2585</v>
      </c>
      <c r="B2581">
        <v>0.99999676499088797</v>
      </c>
      <c r="C2581">
        <v>1.0219552013583999</v>
      </c>
      <c r="D2581">
        <v>1.0154896557420601</v>
      </c>
      <c r="E2581">
        <v>0.92546395605259202</v>
      </c>
      <c r="F2581">
        <v>0.28161752425028702</v>
      </c>
      <c r="G2581">
        <v>0.16076603592456301</v>
      </c>
      <c r="H2581">
        <v>7.0926126495015299E-2</v>
      </c>
      <c r="I2581">
        <v>6.59540541084533E-2</v>
      </c>
      <c r="J2581">
        <v>6.3197822334114404E-2</v>
      </c>
      <c r="K2581">
        <v>5.73293408770809E-2</v>
      </c>
      <c r="L2581">
        <v>2576.7661552239902</v>
      </c>
      <c r="M2581">
        <v>49.644480836906098</v>
      </c>
      <c r="N2581">
        <v>52.086042864905899</v>
      </c>
      <c r="O2581">
        <v>51.820390447556299</v>
      </c>
      <c r="P2581">
        <v>-0.22046443511182601</v>
      </c>
      <c r="Q2581">
        <v>7.9491751902774105E-2</v>
      </c>
      <c r="R2581">
        <v>0.99644203076594995</v>
      </c>
      <c r="S2581" t="s">
        <v>9584</v>
      </c>
      <c r="T2581" t="s">
        <v>14004</v>
      </c>
      <c r="U2581" t="s">
        <v>14004</v>
      </c>
      <c r="V2581" t="s">
        <v>14004</v>
      </c>
      <c r="W2581" t="s">
        <v>16546</v>
      </c>
      <c r="X2581">
        <v>53</v>
      </c>
      <c r="Y2581" t="s">
        <v>23428</v>
      </c>
      <c r="Z2581" t="s">
        <v>30291</v>
      </c>
      <c r="AA2581">
        <v>0.44689901743675331</v>
      </c>
      <c r="AB2581" t="str">
        <f>HYPERLINK("Melting_Curves/meltCurve_P33991_MCM4.pdf", "Melting_Curves/meltCurve_P33991_MCM4.pdf")</f>
        <v>Melting_Curves/meltCurve_P33991_MCM4.pdf</v>
      </c>
    </row>
    <row r="2582" spans="1:28" x14ac:dyDescent="0.25">
      <c r="A2582" t="s">
        <v>2586</v>
      </c>
      <c r="B2582">
        <v>0.99999676499088797</v>
      </c>
      <c r="C2582">
        <v>1.0454491650383499</v>
      </c>
      <c r="D2582">
        <v>1.0211665654140301</v>
      </c>
      <c r="E2582">
        <v>1.0427915932365699</v>
      </c>
      <c r="F2582">
        <v>0.461122465538573</v>
      </c>
      <c r="G2582">
        <v>0.22864109455407899</v>
      </c>
      <c r="H2582">
        <v>8.7186142681787607E-2</v>
      </c>
      <c r="I2582">
        <v>8.5986504859870805E-2</v>
      </c>
      <c r="J2582">
        <v>8.2456100588280401E-2</v>
      </c>
      <c r="K2582">
        <v>7.1620200399607606E-2</v>
      </c>
      <c r="L2582">
        <v>2695.17161312387</v>
      </c>
      <c r="M2582">
        <v>50.973985376346803</v>
      </c>
      <c r="N2582">
        <v>53.1145706203584</v>
      </c>
      <c r="O2582">
        <v>52.792285997904699</v>
      </c>
      <c r="P2582">
        <v>-0.21645844009128701</v>
      </c>
      <c r="Q2582">
        <v>0.103281674659393</v>
      </c>
      <c r="R2582">
        <v>0.98927308259201896</v>
      </c>
      <c r="S2582" t="s">
        <v>9585</v>
      </c>
      <c r="T2582" t="s">
        <v>14004</v>
      </c>
      <c r="U2582" t="s">
        <v>14004</v>
      </c>
      <c r="V2582" t="s">
        <v>14004</v>
      </c>
      <c r="W2582" t="s">
        <v>16547</v>
      </c>
      <c r="X2582">
        <v>42</v>
      </c>
      <c r="Y2582" t="s">
        <v>23429</v>
      </c>
      <c r="Z2582" t="s">
        <v>30292</v>
      </c>
      <c r="AA2582">
        <v>0.49008921535533279</v>
      </c>
      <c r="AB2582" t="str">
        <f>HYPERLINK("Melting_Curves/meltCurve_P33992_MCM5.pdf", "Melting_Curves/meltCurve_P33992_MCM5.pdf")</f>
        <v>Melting_Curves/meltCurve_P33992_MCM5.pdf</v>
      </c>
    </row>
    <row r="2583" spans="1:28" x14ac:dyDescent="0.25">
      <c r="A2583" t="s">
        <v>2587</v>
      </c>
      <c r="B2583">
        <v>0.99999676499088797</v>
      </c>
      <c r="C2583">
        <v>1.04036518642951</v>
      </c>
      <c r="D2583">
        <v>1.0041646952680201</v>
      </c>
      <c r="E2583">
        <v>0.95108681944186202</v>
      </c>
      <c r="F2583">
        <v>0.23257475460888299</v>
      </c>
      <c r="G2583">
        <v>0.17183648260915499</v>
      </c>
      <c r="H2583">
        <v>8.2760450214722295E-2</v>
      </c>
      <c r="I2583">
        <v>7.6698770451049503E-2</v>
      </c>
      <c r="J2583">
        <v>6.3948380169941907E-2</v>
      </c>
      <c r="K2583">
        <v>6.0153966650244299E-2</v>
      </c>
      <c r="L2583">
        <v>3233.5120325825101</v>
      </c>
      <c r="M2583">
        <v>62.424638305135602</v>
      </c>
      <c r="N2583">
        <v>51.962986381487397</v>
      </c>
      <c r="O2583">
        <v>51.745571513014802</v>
      </c>
      <c r="P2583">
        <v>-0.27457813059047398</v>
      </c>
      <c r="Q2583">
        <v>8.9577596733298404E-2</v>
      </c>
      <c r="R2583">
        <v>0.99496347709969302</v>
      </c>
      <c r="S2583" t="s">
        <v>9586</v>
      </c>
      <c r="T2583" t="s">
        <v>14004</v>
      </c>
      <c r="U2583" t="s">
        <v>14004</v>
      </c>
      <c r="V2583" t="s">
        <v>14004</v>
      </c>
      <c r="W2583" t="s">
        <v>16548</v>
      </c>
      <c r="X2583">
        <v>42</v>
      </c>
      <c r="Y2583" t="s">
        <v>23430</v>
      </c>
      <c r="Z2583" t="s">
        <v>30293</v>
      </c>
      <c r="AA2583">
        <v>0.44896797523971138</v>
      </c>
      <c r="AB2583" t="str">
        <f>HYPERLINK("Melting_Curves/meltCurve_P33993_MCM7.pdf", "Melting_Curves/meltCurve_P33993_MCM7.pdf")</f>
        <v>Melting_Curves/meltCurve_P33993_MCM7.pdf</v>
      </c>
    </row>
    <row r="2584" spans="1:28" x14ac:dyDescent="0.25">
      <c r="A2584" t="s">
        <v>2588</v>
      </c>
      <c r="B2584">
        <v>0.99999676499088797</v>
      </c>
      <c r="C2584">
        <v>0.97702499768642803</v>
      </c>
      <c r="D2584">
        <v>0.97626251077295501</v>
      </c>
      <c r="E2584">
        <v>1.0476690630596499</v>
      </c>
      <c r="F2584">
        <v>1.05289489733505</v>
      </c>
      <c r="G2584">
        <v>0.87482196539013601</v>
      </c>
      <c r="H2584">
        <v>0.60349933602676298</v>
      </c>
      <c r="I2584">
        <v>0.52853054783132802</v>
      </c>
      <c r="J2584">
        <v>0.41664859606921101</v>
      </c>
      <c r="K2584">
        <v>0.47773805572338401</v>
      </c>
      <c r="L2584">
        <v>2015.68354416892</v>
      </c>
      <c r="M2584">
        <v>34.116662241796199</v>
      </c>
      <c r="N2584">
        <v>63.629775949795402</v>
      </c>
      <c r="O2584">
        <v>58.8802002469589</v>
      </c>
      <c r="P2584">
        <v>-7.8751754006394295E-2</v>
      </c>
      <c r="Q2584">
        <v>0.45634764788075699</v>
      </c>
      <c r="R2584">
        <v>0.98004999603281395</v>
      </c>
      <c r="S2584" t="s">
        <v>9587</v>
      </c>
      <c r="T2584" t="s">
        <v>14004</v>
      </c>
      <c r="U2584" t="s">
        <v>14004</v>
      </c>
      <c r="V2584" t="s">
        <v>14004</v>
      </c>
      <c r="W2584" t="s">
        <v>16549</v>
      </c>
      <c r="X2584">
        <v>6</v>
      </c>
      <c r="Y2584" t="s">
        <v>23431</v>
      </c>
      <c r="Z2584" t="s">
        <v>30294</v>
      </c>
      <c r="AA2584">
        <v>0.80497998046655028</v>
      </c>
      <c r="AB2584" t="str">
        <f>HYPERLINK("Melting_Curves/meltCurve_P34059_GALNS.pdf", "Melting_Curves/meltCurve_P34059_GALNS.pdf")</f>
        <v>Melting_Curves/meltCurve_P34059_GALNS.pdf</v>
      </c>
    </row>
    <row r="2585" spans="1:28" x14ac:dyDescent="0.25">
      <c r="A2585" t="s">
        <v>2589</v>
      </c>
      <c r="B2585">
        <v>0.99999676499088797</v>
      </c>
      <c r="C2585">
        <v>1.07305998889648</v>
      </c>
      <c r="D2585">
        <v>1.0360359543590301</v>
      </c>
      <c r="E2585">
        <v>1.14633816277996</v>
      </c>
      <c r="F2585">
        <v>1.1018672325060299</v>
      </c>
      <c r="G2585">
        <v>1.0192267557068699</v>
      </c>
      <c r="H2585">
        <v>0.68154273654854602</v>
      </c>
      <c r="I2585">
        <v>0.38786150478177001</v>
      </c>
      <c r="J2585">
        <v>0.13411366568038399</v>
      </c>
      <c r="K2585">
        <v>0.102608047129034</v>
      </c>
      <c r="L2585">
        <v>2031.76594636862</v>
      </c>
      <c r="M2585">
        <v>32.576556959236299</v>
      </c>
      <c r="N2585">
        <v>62.665525009496797</v>
      </c>
      <c r="O2585">
        <v>62.135365194391099</v>
      </c>
      <c r="P2585">
        <v>-0.121708339094006</v>
      </c>
      <c r="Q2585">
        <v>7.14360609850304E-2</v>
      </c>
      <c r="R2585">
        <v>0.970317192601579</v>
      </c>
      <c r="S2585" t="s">
        <v>9588</v>
      </c>
      <c r="T2585" t="s">
        <v>14004</v>
      </c>
      <c r="U2585" t="s">
        <v>14004</v>
      </c>
      <c r="V2585" t="s">
        <v>14004</v>
      </c>
      <c r="W2585" t="s">
        <v>16550</v>
      </c>
      <c r="X2585">
        <v>25</v>
      </c>
      <c r="Y2585" t="s">
        <v>23432</v>
      </c>
      <c r="Z2585" t="s">
        <v>30295</v>
      </c>
      <c r="AA2585">
        <v>0.76759236713652756</v>
      </c>
      <c r="AB2585" t="str">
        <f>HYPERLINK("Melting_Curves/meltCurve_P34896_2_SHMT1.pdf", "Melting_Curves/meltCurve_P34896_2_SHMT1.pdf")</f>
        <v>Melting_Curves/meltCurve_P34896_2_SHMT1.pdf</v>
      </c>
    </row>
    <row r="2586" spans="1:28" x14ac:dyDescent="0.25">
      <c r="A2586" t="s">
        <v>2590</v>
      </c>
      <c r="B2586">
        <v>0.99999676499088797</v>
      </c>
      <c r="C2586">
        <v>0.98835792352054996</v>
      </c>
      <c r="D2586">
        <v>0.96996258642724897</v>
      </c>
      <c r="E2586">
        <v>1.0129019804228701</v>
      </c>
      <c r="F2586">
        <v>0.92620039063944704</v>
      </c>
      <c r="G2586">
        <v>0.88436359973325296</v>
      </c>
      <c r="H2586">
        <v>0.47967156782914899</v>
      </c>
      <c r="I2586">
        <v>0.199922998967208</v>
      </c>
      <c r="J2586">
        <v>0.119437943601303</v>
      </c>
      <c r="K2586">
        <v>9.9763488458152999E-2</v>
      </c>
      <c r="L2586">
        <v>1838.8118068297399</v>
      </c>
      <c r="M2586">
        <v>30.528010676395699</v>
      </c>
      <c r="N2586">
        <v>60.581365134489701</v>
      </c>
      <c r="O2586">
        <v>59.976903394284001</v>
      </c>
      <c r="P2586">
        <v>-0.117022613289309</v>
      </c>
      <c r="Q2586">
        <v>8.0370949004464898E-2</v>
      </c>
      <c r="R2586">
        <v>0.99655999015785002</v>
      </c>
      <c r="S2586" t="s">
        <v>9589</v>
      </c>
      <c r="T2586" t="s">
        <v>14004</v>
      </c>
      <c r="U2586" t="s">
        <v>14004</v>
      </c>
      <c r="V2586" t="s">
        <v>14004</v>
      </c>
      <c r="W2586" t="s">
        <v>16551</v>
      </c>
      <c r="X2586">
        <v>38</v>
      </c>
      <c r="Y2586" t="s">
        <v>23433</v>
      </c>
      <c r="Z2586" t="s">
        <v>30296</v>
      </c>
      <c r="AA2586">
        <v>0.70598982964708534</v>
      </c>
      <c r="AB2586" t="str">
        <f>HYPERLINK("Melting_Curves/meltCurve_P34897_3_SHMT2.pdf", "Melting_Curves/meltCurve_P34897_3_SHMT2.pdf")</f>
        <v>Melting_Curves/meltCurve_P34897_3_SHMT2.pdf</v>
      </c>
    </row>
    <row r="2587" spans="1:28" x14ac:dyDescent="0.25">
      <c r="A2587" t="s">
        <v>2591</v>
      </c>
      <c r="B2587">
        <v>0.99999676499088797</v>
      </c>
      <c r="C2587">
        <v>1.01640029549422</v>
      </c>
      <c r="D2587">
        <v>1.00320276924839</v>
      </c>
      <c r="E2587">
        <v>0.95814833004755795</v>
      </c>
      <c r="F2587">
        <v>0.21945738457625499</v>
      </c>
      <c r="G2587">
        <v>0.15610325775731099</v>
      </c>
      <c r="H2587">
        <v>7.4712794059688198E-2</v>
      </c>
      <c r="I2587">
        <v>7.7007406768087802E-2</v>
      </c>
      <c r="J2587">
        <v>7.3955388122478802E-2</v>
      </c>
      <c r="K2587">
        <v>6.2733753936902101E-2</v>
      </c>
      <c r="L2587">
        <v>3452.5752440615402</v>
      </c>
      <c r="M2587">
        <v>66.654650164861295</v>
      </c>
      <c r="N2587">
        <v>51.948671824923203</v>
      </c>
      <c r="O2587">
        <v>51.751400026129303</v>
      </c>
      <c r="P2587">
        <v>-0.29368778674505802</v>
      </c>
      <c r="Q2587">
        <v>8.7910596490832299E-2</v>
      </c>
      <c r="R2587">
        <v>0.99697909521750006</v>
      </c>
      <c r="S2587" t="s">
        <v>9590</v>
      </c>
      <c r="T2587" t="s">
        <v>14004</v>
      </c>
      <c r="U2587" t="s">
        <v>14004</v>
      </c>
      <c r="V2587" t="s">
        <v>14004</v>
      </c>
      <c r="W2587" t="s">
        <v>16552</v>
      </c>
      <c r="X2587">
        <v>91</v>
      </c>
      <c r="Y2587" t="s">
        <v>23434</v>
      </c>
      <c r="Z2587" t="s">
        <v>30297</v>
      </c>
      <c r="AA2587">
        <v>0.4477736751452232</v>
      </c>
      <c r="AB2587" t="str">
        <f>HYPERLINK("Melting_Curves/meltCurve_P34932_HSPA4.pdf", "Melting_Curves/meltCurve_P34932_HSPA4.pdf")</f>
        <v>Melting_Curves/meltCurve_P34932_HSPA4.pdf</v>
      </c>
    </row>
    <row r="2588" spans="1:28" x14ac:dyDescent="0.25">
      <c r="A2588" t="s">
        <v>2592</v>
      </c>
      <c r="B2588">
        <v>0.99999676499088797</v>
      </c>
      <c r="C2588">
        <v>1.01575422169104</v>
      </c>
      <c r="D2588">
        <v>0.95197698039036305</v>
      </c>
      <c r="E2588">
        <v>0.54270541724997601</v>
      </c>
      <c r="F2588">
        <v>0.158778452247608</v>
      </c>
      <c r="G2588">
        <v>9.0559468503841195E-2</v>
      </c>
      <c r="H2588">
        <v>3.8078151617370701E-2</v>
      </c>
      <c r="I2588">
        <v>1.09094702933138E-2</v>
      </c>
      <c r="J2588">
        <v>1.5401551103601099E-2</v>
      </c>
      <c r="K2588">
        <v>0</v>
      </c>
      <c r="L2588">
        <v>1491.7201568917999</v>
      </c>
      <c r="M2588">
        <v>29.896470383410101</v>
      </c>
      <c r="N2588">
        <v>49.978944598344697</v>
      </c>
      <c r="O2588">
        <v>49.674538024564903</v>
      </c>
      <c r="P2588">
        <v>-0.14682957663301399</v>
      </c>
      <c r="Q2588">
        <v>2.4146378568590001E-2</v>
      </c>
      <c r="R2588">
        <v>0.99780751072606</v>
      </c>
      <c r="S2588" t="s">
        <v>9591</v>
      </c>
      <c r="T2588" t="s">
        <v>14004</v>
      </c>
      <c r="U2588" t="s">
        <v>14004</v>
      </c>
      <c r="V2588" t="s">
        <v>14004</v>
      </c>
      <c r="W2588" t="s">
        <v>16553</v>
      </c>
      <c r="X2588">
        <v>5</v>
      </c>
      <c r="Y2588" t="s">
        <v>23435</v>
      </c>
      <c r="Z2588" t="s">
        <v>30298</v>
      </c>
      <c r="AA2588">
        <v>0.35212240060266292</v>
      </c>
      <c r="AB2588" t="str">
        <f>HYPERLINK("Melting_Curves/meltCurve_P34947_GRK5.pdf", "Melting_Curves/meltCurve_P34947_GRK5.pdf")</f>
        <v>Melting_Curves/meltCurve_P34947_GRK5.pdf</v>
      </c>
    </row>
    <row r="2589" spans="1:28" x14ac:dyDescent="0.25">
      <c r="A2589" t="s">
        <v>2593</v>
      </c>
      <c r="B2589">
        <v>0.99999676499088797</v>
      </c>
      <c r="C2589">
        <v>1.14107776901397</v>
      </c>
      <c r="D2589">
        <v>1.1480208318315299</v>
      </c>
      <c r="E2589">
        <v>1.0421684086615901</v>
      </c>
      <c r="F2589">
        <v>1.1960304107566</v>
      </c>
      <c r="G2589">
        <v>1.5814837879253001</v>
      </c>
      <c r="H2589">
        <v>1.03761158884849</v>
      </c>
      <c r="I2589">
        <v>0.51225558288983997</v>
      </c>
      <c r="J2589">
        <v>0.26714247952073999</v>
      </c>
      <c r="K2589">
        <v>0.192271530526335</v>
      </c>
      <c r="L2589">
        <v>12243.7964796466</v>
      </c>
      <c r="M2589">
        <v>191.854975176517</v>
      </c>
      <c r="N2589">
        <v>64.023184204711896</v>
      </c>
      <c r="O2589">
        <v>63.811043573592102</v>
      </c>
      <c r="P2589">
        <v>-0.57902335889280598</v>
      </c>
      <c r="Q2589">
        <v>0.22966637512225299</v>
      </c>
      <c r="R2589">
        <v>0.76040798745041105</v>
      </c>
      <c r="S2589" t="s">
        <v>9592</v>
      </c>
      <c r="T2589" t="s">
        <v>14004</v>
      </c>
      <c r="U2589" t="s">
        <v>14004</v>
      </c>
      <c r="V2589" t="s">
        <v>14004</v>
      </c>
      <c r="W2589" t="s">
        <v>16554</v>
      </c>
      <c r="X2589">
        <v>1</v>
      </c>
      <c r="Y2589" t="s">
        <v>23436</v>
      </c>
      <c r="Z2589" t="s">
        <v>30299</v>
      </c>
      <c r="AA2589">
        <v>0.84140585797017109</v>
      </c>
      <c r="AB2589" t="str">
        <f>HYPERLINK("Melting_Curves/meltCurve_P34972_CNR2.pdf", "Melting_Curves/meltCurve_P34972_CNR2.pdf")</f>
        <v>Melting_Curves/meltCurve_P34972_CNR2.pdf</v>
      </c>
    </row>
    <row r="2590" spans="1:28" x14ac:dyDescent="0.25">
      <c r="A2590" t="s">
        <v>2594</v>
      </c>
      <c r="B2590">
        <v>0.99999676499088797</v>
      </c>
      <c r="C2590">
        <v>1.0150599033377801</v>
      </c>
      <c r="D2590">
        <v>0.96729640336380196</v>
      </c>
      <c r="E2590">
        <v>0.74044380908474805</v>
      </c>
      <c r="F2590">
        <v>0.45056843778779399</v>
      </c>
      <c r="G2590">
        <v>0.321834587304141</v>
      </c>
      <c r="H2590">
        <v>0.187636364422369</v>
      </c>
      <c r="I2590">
        <v>0.142002246568249</v>
      </c>
      <c r="J2590">
        <v>0.117581165879498</v>
      </c>
      <c r="K2590">
        <v>9.9219345761927202E-2</v>
      </c>
      <c r="L2590">
        <v>934.93304067769998</v>
      </c>
      <c r="M2590">
        <v>17.893658136813201</v>
      </c>
      <c r="N2590">
        <v>52.976754713793198</v>
      </c>
      <c r="O2590">
        <v>51.609936666565098</v>
      </c>
      <c r="P2590">
        <v>-7.7241278081839504E-2</v>
      </c>
      <c r="Q2590">
        <v>0.108909735603827</v>
      </c>
      <c r="R2590">
        <v>0.995454298294569</v>
      </c>
      <c r="S2590" t="s">
        <v>9593</v>
      </c>
      <c r="T2590" t="s">
        <v>14004</v>
      </c>
      <c r="U2590" t="s">
        <v>14004</v>
      </c>
      <c r="V2590" t="s">
        <v>14004</v>
      </c>
      <c r="W2590" t="s">
        <v>16555</v>
      </c>
      <c r="X2590">
        <v>4</v>
      </c>
      <c r="Y2590" t="s">
        <v>23437</v>
      </c>
      <c r="Z2590" t="s">
        <v>30300</v>
      </c>
      <c r="AA2590">
        <v>0.48767742059094638</v>
      </c>
      <c r="AB2590" t="str">
        <f>HYPERLINK("Melting_Curves/meltCurve_P35219_CA8.pdf", "Melting_Curves/meltCurve_P35219_CA8.pdf")</f>
        <v>Melting_Curves/meltCurve_P35219_CA8.pdf</v>
      </c>
    </row>
    <row r="2591" spans="1:28" x14ac:dyDescent="0.25">
      <c r="A2591" t="s">
        <v>2595</v>
      </c>
      <c r="B2591">
        <v>0.99999676499088797</v>
      </c>
      <c r="C2591">
        <v>1.0393655540723099</v>
      </c>
      <c r="D2591">
        <v>1.0218929417365099</v>
      </c>
      <c r="E2591">
        <v>1.03720511783573</v>
      </c>
      <c r="F2591">
        <v>0.76425743696161097</v>
      </c>
      <c r="G2591">
        <v>0.34721662669616199</v>
      </c>
      <c r="H2591">
        <v>0.12390536398398599</v>
      </c>
      <c r="I2591">
        <v>0.103111895895681</v>
      </c>
      <c r="J2591">
        <v>0.10639840330299299</v>
      </c>
      <c r="K2591">
        <v>8.25292053943463E-2</v>
      </c>
      <c r="L2591">
        <v>1821.1523433781199</v>
      </c>
      <c r="M2591">
        <v>33.069710724755602</v>
      </c>
      <c r="N2591">
        <v>55.414038044423798</v>
      </c>
      <c r="O2591">
        <v>54.869895774295401</v>
      </c>
      <c r="P2591">
        <v>-0.13669455535007</v>
      </c>
      <c r="Q2591">
        <v>9.2779143639936196E-2</v>
      </c>
      <c r="R2591">
        <v>0.996327427379891</v>
      </c>
      <c r="S2591" t="s">
        <v>9594</v>
      </c>
      <c r="T2591" t="s">
        <v>14004</v>
      </c>
      <c r="U2591" t="s">
        <v>14004</v>
      </c>
      <c r="V2591" t="s">
        <v>14004</v>
      </c>
      <c r="W2591" t="s">
        <v>16556</v>
      </c>
      <c r="X2591">
        <v>27</v>
      </c>
      <c r="Y2591" t="s">
        <v>23438</v>
      </c>
      <c r="Z2591" t="s">
        <v>30301</v>
      </c>
      <c r="AA2591">
        <v>0.55350820085634422</v>
      </c>
      <c r="AB2591" t="str">
        <f>HYPERLINK("Melting_Curves/meltCurve_P35221_CTNNA1.pdf", "Melting_Curves/meltCurve_P35221_CTNNA1.pdf")</f>
        <v>Melting_Curves/meltCurve_P35221_CTNNA1.pdf</v>
      </c>
    </row>
    <row r="2592" spans="1:28" x14ac:dyDescent="0.25">
      <c r="A2592" t="s">
        <v>2596</v>
      </c>
      <c r="B2592">
        <v>0.99999676499088797</v>
      </c>
      <c r="C2592">
        <v>0.87725606396172195</v>
      </c>
      <c r="D2592">
        <v>0.61141881245790097</v>
      </c>
      <c r="E2592">
        <v>0.38365705097171399</v>
      </c>
      <c r="F2592">
        <v>0.27245205320104299</v>
      </c>
      <c r="G2592">
        <v>0.23905955304804599</v>
      </c>
      <c r="H2592">
        <v>0.107755502129291</v>
      </c>
      <c r="I2592">
        <v>0.110581794596243</v>
      </c>
      <c r="J2592">
        <v>6.4437741212645103E-2</v>
      </c>
      <c r="K2592">
        <v>0</v>
      </c>
      <c r="L2592">
        <v>637.72279115047297</v>
      </c>
      <c r="M2592">
        <v>13.3001978071221</v>
      </c>
      <c r="N2592">
        <v>48.365285995571398</v>
      </c>
      <c r="O2592">
        <v>46.903314053874702</v>
      </c>
      <c r="P2592">
        <v>-6.7062753138083103E-2</v>
      </c>
      <c r="Q2592">
        <v>5.4162330452362899E-2</v>
      </c>
      <c r="R2592">
        <v>0.980790987981083</v>
      </c>
      <c r="S2592" t="s">
        <v>9595</v>
      </c>
      <c r="T2592" t="s">
        <v>14004</v>
      </c>
      <c r="U2592" t="s">
        <v>14004</v>
      </c>
      <c r="V2592" t="s">
        <v>14004</v>
      </c>
      <c r="W2592" t="s">
        <v>16557</v>
      </c>
      <c r="X2592">
        <v>2</v>
      </c>
      <c r="Y2592" t="s">
        <v>23439</v>
      </c>
      <c r="Z2592" t="s">
        <v>30302</v>
      </c>
      <c r="AA2592">
        <v>0.335541721588619</v>
      </c>
      <c r="AB2592" t="str">
        <f>HYPERLINK("Melting_Curves/meltCurve_P35227_PCGF2.pdf", "Melting_Curves/meltCurve_P35227_PCGF2.pdf")</f>
        <v>Melting_Curves/meltCurve_P35227_PCGF2.pdf</v>
      </c>
    </row>
    <row r="2593" spans="1:28" x14ac:dyDescent="0.25">
      <c r="A2593" t="s">
        <v>2597</v>
      </c>
      <c r="B2593">
        <v>0.99999676499088797</v>
      </c>
      <c r="C2593">
        <v>1.12255149078255</v>
      </c>
      <c r="D2593">
        <v>1.34438814850383</v>
      </c>
      <c r="E2593">
        <v>1.37764224207819</v>
      </c>
      <c r="F2593">
        <v>1.3252735544112799</v>
      </c>
      <c r="G2593">
        <v>1.8887544406493799</v>
      </c>
      <c r="H2593">
        <v>1.4028554000101401</v>
      </c>
      <c r="I2593">
        <v>1.1843925396969199</v>
      </c>
      <c r="J2593">
        <v>0.55408159678554103</v>
      </c>
      <c r="K2593">
        <v>0.33890212464033698</v>
      </c>
      <c r="L2593">
        <v>15000</v>
      </c>
      <c r="M2593">
        <v>224.27515679665601</v>
      </c>
      <c r="N2593">
        <v>67.221535952409099</v>
      </c>
      <c r="O2593">
        <v>66.876811121664801</v>
      </c>
      <c r="P2593">
        <v>-0.55429584365942597</v>
      </c>
      <c r="Q2593">
        <v>0.33885609282049201</v>
      </c>
      <c r="R2593">
        <v>0.22581315628742299</v>
      </c>
      <c r="S2593" t="s">
        <v>9596</v>
      </c>
      <c r="T2593" t="s">
        <v>14004</v>
      </c>
      <c r="U2593" t="s">
        <v>14004</v>
      </c>
      <c r="V2593" t="s">
        <v>14004</v>
      </c>
      <c r="W2593" t="s">
        <v>16558</v>
      </c>
      <c r="X2593">
        <v>18</v>
      </c>
      <c r="Y2593" t="s">
        <v>23440</v>
      </c>
      <c r="Z2593" t="s">
        <v>30303</v>
      </c>
      <c r="AA2593">
        <v>0.93138405432963156</v>
      </c>
      <c r="AB2593" t="str">
        <f>HYPERLINK("Melting_Curves/meltCurve_P35232_PHB.pdf", "Melting_Curves/meltCurve_P35232_PHB.pdf")</f>
        <v>Melting_Curves/meltCurve_P35232_PHB.pdf</v>
      </c>
    </row>
    <row r="2594" spans="1:28" x14ac:dyDescent="0.25">
      <c r="A2594" t="s">
        <v>2598</v>
      </c>
      <c r="B2594">
        <v>0.99999676499088797</v>
      </c>
      <c r="C2594">
        <v>0.99331087724832601</v>
      </c>
      <c r="D2594">
        <v>0.49984235030151702</v>
      </c>
      <c r="E2594">
        <v>0.30407357021038001</v>
      </c>
      <c r="F2594">
        <v>0.25007159937968099</v>
      </c>
      <c r="G2594">
        <v>0.20682862910634001</v>
      </c>
      <c r="H2594">
        <v>0.10495946213534101</v>
      </c>
      <c r="I2594">
        <v>8.8494045564592005E-2</v>
      </c>
      <c r="J2594">
        <v>5.5966226075671699E-2</v>
      </c>
      <c r="K2594">
        <v>4.8915972729835298E-2</v>
      </c>
      <c r="L2594">
        <v>1058.5230928569799</v>
      </c>
      <c r="M2594">
        <v>22.835298440145401</v>
      </c>
      <c r="N2594">
        <v>46.883152905354102</v>
      </c>
      <c r="O2594">
        <v>46.003603885063903</v>
      </c>
      <c r="P2594">
        <v>-0.110015872399804</v>
      </c>
      <c r="Q2594">
        <v>0.113473036442894</v>
      </c>
      <c r="R2594">
        <v>0.96065144630263</v>
      </c>
      <c r="S2594" t="s">
        <v>9597</v>
      </c>
      <c r="T2594" t="s">
        <v>14004</v>
      </c>
      <c r="U2594" t="s">
        <v>14004</v>
      </c>
      <c r="V2594" t="s">
        <v>14004</v>
      </c>
      <c r="W2594" t="s">
        <v>16559</v>
      </c>
      <c r="X2594">
        <v>10</v>
      </c>
      <c r="Y2594" t="s">
        <v>23441</v>
      </c>
      <c r="Z2594" t="s">
        <v>30304</v>
      </c>
      <c r="AA2594">
        <v>0.31116639107231148</v>
      </c>
      <c r="AB2594" t="str">
        <f>HYPERLINK("Melting_Curves/meltCurve_P35236_2_PTPN7.pdf", "Melting_Curves/meltCurve_P35236_2_PTPN7.pdf")</f>
        <v>Melting_Curves/meltCurve_P35236_2_PTPN7.pdf</v>
      </c>
    </row>
    <row r="2595" spans="1:28" x14ac:dyDescent="0.25">
      <c r="A2595" t="s">
        <v>2599</v>
      </c>
      <c r="B2595">
        <v>0.99999676499088797</v>
      </c>
      <c r="C2595">
        <v>0.966108277527855</v>
      </c>
      <c r="D2595">
        <v>1.0907832544821201</v>
      </c>
      <c r="E2595">
        <v>0.82542776135955798</v>
      </c>
      <c r="F2595">
        <v>0.48288079919250798</v>
      </c>
      <c r="G2595">
        <v>0.50876370779889901</v>
      </c>
      <c r="H2595">
        <v>0.219463676219326</v>
      </c>
      <c r="I2595">
        <v>0.46726811463454998</v>
      </c>
      <c r="J2595">
        <v>0.48493696165730699</v>
      </c>
      <c r="K2595">
        <v>0.31783405746307403</v>
      </c>
      <c r="L2595">
        <v>1986.04698308293</v>
      </c>
      <c r="M2595">
        <v>39.045948941843498</v>
      </c>
      <c r="N2595">
        <v>52.994273696829403</v>
      </c>
      <c r="O2595">
        <v>50.7314997586519</v>
      </c>
      <c r="P2595">
        <v>-0.116236798301226</v>
      </c>
      <c r="Q2595">
        <v>0.39590641336098698</v>
      </c>
      <c r="R2595">
        <v>0.91469401268559702</v>
      </c>
      <c r="S2595" t="s">
        <v>9598</v>
      </c>
      <c r="T2595" t="s">
        <v>14004</v>
      </c>
      <c r="U2595" t="s">
        <v>14004</v>
      </c>
      <c r="V2595" t="s">
        <v>14004</v>
      </c>
      <c r="W2595" t="s">
        <v>16560</v>
      </c>
      <c r="X2595">
        <v>2</v>
      </c>
      <c r="Y2595" t="s">
        <v>23442</v>
      </c>
      <c r="Z2595" t="s">
        <v>30305</v>
      </c>
      <c r="AA2595">
        <v>0.61690573272306237</v>
      </c>
      <c r="AB2595" t="str">
        <f>HYPERLINK("Melting_Curves/meltCurve_P35237_SERPINB6.pdf", "Melting_Curves/meltCurve_P35237_SERPINB6.pdf")</f>
        <v>Melting_Curves/meltCurve_P35237_SERPINB6.pdf</v>
      </c>
    </row>
    <row r="2596" spans="1:28" x14ac:dyDescent="0.25">
      <c r="A2596" t="s">
        <v>2600</v>
      </c>
      <c r="B2596">
        <v>0.99999676499088797</v>
      </c>
      <c r="C2596">
        <v>0.90383025971127995</v>
      </c>
      <c r="D2596">
        <v>0.98286100834513002</v>
      </c>
      <c r="E2596">
        <v>0.77720416441861095</v>
      </c>
      <c r="F2596">
        <v>0.27692088332342701</v>
      </c>
      <c r="G2596">
        <v>0.20451487295239801</v>
      </c>
      <c r="H2596">
        <v>9.5725661901886097E-2</v>
      </c>
      <c r="I2596">
        <v>9.3494365318532502E-2</v>
      </c>
      <c r="J2596">
        <v>9.0500071013491196E-2</v>
      </c>
      <c r="K2596">
        <v>7.2819395510944601E-2</v>
      </c>
      <c r="L2596">
        <v>1645.83354119148</v>
      </c>
      <c r="M2596">
        <v>32.144127064169901</v>
      </c>
      <c r="N2596">
        <v>51.552651687609902</v>
      </c>
      <c r="O2596">
        <v>51.004741260921101</v>
      </c>
      <c r="P2596">
        <v>-0.142072025994574</v>
      </c>
      <c r="Q2596">
        <v>9.8272499279186507E-2</v>
      </c>
      <c r="R2596">
        <v>0.989659047533749</v>
      </c>
      <c r="S2596" t="s">
        <v>9599</v>
      </c>
      <c r="T2596" t="s">
        <v>14004</v>
      </c>
      <c r="U2596" t="s">
        <v>14004</v>
      </c>
      <c r="V2596" t="s">
        <v>14004</v>
      </c>
      <c r="W2596" t="s">
        <v>16561</v>
      </c>
      <c r="X2596">
        <v>10</v>
      </c>
      <c r="Y2596" t="s">
        <v>23443</v>
      </c>
      <c r="Z2596" t="s">
        <v>30306</v>
      </c>
      <c r="AA2596">
        <v>0.43992189089447092</v>
      </c>
      <c r="AB2596" t="str">
        <f>HYPERLINK("Melting_Curves/meltCurve_P35240_5_NF2.pdf", "Melting_Curves/meltCurve_P35240_5_NF2.pdf")</f>
        <v>Melting_Curves/meltCurve_P35240_5_NF2.pdf</v>
      </c>
    </row>
    <row r="2597" spans="1:28" x14ac:dyDescent="0.25">
      <c r="A2597" t="s">
        <v>2601</v>
      </c>
      <c r="B2597">
        <v>0.99999676499088797</v>
      </c>
      <c r="C2597">
        <v>1.04577363290061</v>
      </c>
      <c r="D2597">
        <v>1.06056576475391</v>
      </c>
      <c r="E2597">
        <v>1.00811817434567</v>
      </c>
      <c r="F2597">
        <v>0.93431102143678502</v>
      </c>
      <c r="G2597">
        <v>0.81554495785176095</v>
      </c>
      <c r="H2597">
        <v>0.16883404076655401</v>
      </c>
      <c r="I2597">
        <v>0.14357811217504399</v>
      </c>
      <c r="J2597">
        <v>0.12820283690869499</v>
      </c>
      <c r="K2597">
        <v>0.107500745735978</v>
      </c>
      <c r="L2597">
        <v>3507.2811752140201</v>
      </c>
      <c r="M2597">
        <v>60.448329566115099</v>
      </c>
      <c r="N2597">
        <v>58.294408060978697</v>
      </c>
      <c r="O2597">
        <v>57.9577529164794</v>
      </c>
      <c r="P2597">
        <v>-0.22857365146559999</v>
      </c>
      <c r="Q2597">
        <v>0.123376419397435</v>
      </c>
      <c r="R2597">
        <v>0.99407319407976502</v>
      </c>
      <c r="S2597" t="s">
        <v>9600</v>
      </c>
      <c r="T2597" t="s">
        <v>14004</v>
      </c>
      <c r="U2597" t="s">
        <v>14004</v>
      </c>
      <c r="V2597" t="s">
        <v>14004</v>
      </c>
      <c r="W2597" t="s">
        <v>16562</v>
      </c>
      <c r="X2597">
        <v>44</v>
      </c>
      <c r="Y2597" t="s">
        <v>23444</v>
      </c>
      <c r="Z2597" t="s">
        <v>30307</v>
      </c>
      <c r="AA2597">
        <v>0.65149930575075765</v>
      </c>
      <c r="AB2597" t="str">
        <f>HYPERLINK("Melting_Curves/meltCurve_P35241_RDX.pdf", "Melting_Curves/meltCurve_P35241_RDX.pdf")</f>
        <v>Melting_Curves/meltCurve_P35241_RDX.pdf</v>
      </c>
    </row>
    <row r="2598" spans="1:28" x14ac:dyDescent="0.25">
      <c r="A2598" t="s">
        <v>2602</v>
      </c>
      <c r="B2598">
        <v>0.99999676499088797</v>
      </c>
      <c r="C2598">
        <v>0.87141325197038</v>
      </c>
      <c r="D2598">
        <v>0.88381621198958404</v>
      </c>
      <c r="E2598">
        <v>0.74095068251365404</v>
      </c>
      <c r="F2598">
        <v>0.89151111157791396</v>
      </c>
      <c r="G2598">
        <v>0.67902784654181603</v>
      </c>
      <c r="H2598">
        <v>0.23359993319976699</v>
      </c>
      <c r="I2598">
        <v>9.0271356243190201E-2</v>
      </c>
      <c r="J2598">
        <v>7.0813065448748894E-2</v>
      </c>
      <c r="K2598">
        <v>7.4641539587185599E-2</v>
      </c>
      <c r="L2598">
        <v>1156.5590295393499</v>
      </c>
      <c r="M2598">
        <v>19.9379482830713</v>
      </c>
      <c r="N2598">
        <v>58.0079287171205</v>
      </c>
      <c r="O2598">
        <v>57.433834550466599</v>
      </c>
      <c r="P2598">
        <v>-8.6789457911836093E-2</v>
      </c>
      <c r="Q2598">
        <v>0</v>
      </c>
      <c r="R2598">
        <v>0.93139151998613701</v>
      </c>
      <c r="S2598" t="s">
        <v>9601</v>
      </c>
      <c r="T2598" t="s">
        <v>14004</v>
      </c>
      <c r="U2598" t="s">
        <v>14004</v>
      </c>
      <c r="V2598" t="s">
        <v>14004</v>
      </c>
      <c r="W2598" t="s">
        <v>16563</v>
      </c>
      <c r="X2598">
        <v>5</v>
      </c>
      <c r="Y2598" t="s">
        <v>23445</v>
      </c>
      <c r="Z2598" t="s">
        <v>30308</v>
      </c>
      <c r="AA2598">
        <v>0.61161921047978962</v>
      </c>
      <c r="AB2598" t="str">
        <f>HYPERLINK("Melting_Curves/meltCurve_P35244_RPA3.pdf", "Melting_Curves/meltCurve_P35244_RPA3.pdf")</f>
        <v>Melting_Curves/meltCurve_P35244_RPA3.pdf</v>
      </c>
    </row>
    <row r="2599" spans="1:28" x14ac:dyDescent="0.25">
      <c r="A2599" t="s">
        <v>2603</v>
      </c>
      <c r="B2599">
        <v>0.99999676499088797</v>
      </c>
      <c r="C2599">
        <v>0.97971601455656099</v>
      </c>
      <c r="D2599">
        <v>0.98300791108138497</v>
      </c>
      <c r="E2599">
        <v>1.0505021397168699</v>
      </c>
      <c r="F2599">
        <v>0.57123210362725496</v>
      </c>
      <c r="G2599">
        <v>0.36394189859839399</v>
      </c>
      <c r="H2599">
        <v>0.16368223049314101</v>
      </c>
      <c r="I2599">
        <v>9.2863658482209302E-2</v>
      </c>
      <c r="J2599">
        <v>7.0498000688504897E-2</v>
      </c>
      <c r="K2599">
        <v>6.8829005010119307E-2</v>
      </c>
      <c r="L2599">
        <v>1347.6916242382599</v>
      </c>
      <c r="M2599">
        <v>24.798703855939799</v>
      </c>
      <c r="N2599">
        <v>54.723994013427202</v>
      </c>
      <c r="O2599">
        <v>53.995549717023898</v>
      </c>
      <c r="P2599">
        <v>-0.105765864308717</v>
      </c>
      <c r="Q2599">
        <v>7.8853995806037303E-2</v>
      </c>
      <c r="R2599">
        <v>0.983056388483873</v>
      </c>
      <c r="S2599" t="s">
        <v>9602</v>
      </c>
      <c r="T2599" t="s">
        <v>14004</v>
      </c>
      <c r="U2599" t="s">
        <v>14004</v>
      </c>
      <c r="V2599" t="s">
        <v>14004</v>
      </c>
      <c r="W2599" t="s">
        <v>16564</v>
      </c>
      <c r="X2599">
        <v>27</v>
      </c>
      <c r="Y2599" t="s">
        <v>23446</v>
      </c>
      <c r="Z2599" t="s">
        <v>30309</v>
      </c>
      <c r="AA2599">
        <v>0.52797687125341441</v>
      </c>
      <c r="AB2599" t="str">
        <f>HYPERLINK("Melting_Curves/meltCurve_P35249_RFC4.pdf", "Melting_Curves/meltCurve_P35249_RFC4.pdf")</f>
        <v>Melting_Curves/meltCurve_P35249_RFC4.pdf</v>
      </c>
    </row>
    <row r="2600" spans="1:28" x14ac:dyDescent="0.25">
      <c r="A2600" t="s">
        <v>2604</v>
      </c>
      <c r="B2600">
        <v>0.99999676499088797</v>
      </c>
      <c r="C2600">
        <v>0.94487750668167003</v>
      </c>
      <c r="D2600">
        <v>0.96415553224504502</v>
      </c>
      <c r="E2600">
        <v>1.0513266411516999</v>
      </c>
      <c r="F2600">
        <v>0.33828433778188599</v>
      </c>
      <c r="G2600">
        <v>0.17991133679834401</v>
      </c>
      <c r="H2600">
        <v>8.6258198872405795E-2</v>
      </c>
      <c r="I2600">
        <v>9.1960293152838102E-2</v>
      </c>
      <c r="J2600">
        <v>9.24477063864826E-2</v>
      </c>
      <c r="K2600">
        <v>8.0295565825818996E-2</v>
      </c>
      <c r="L2600">
        <v>10809.843545359099</v>
      </c>
      <c r="M2600">
        <v>204.240169052986</v>
      </c>
      <c r="N2600">
        <v>52.989052319404799</v>
      </c>
      <c r="O2600">
        <v>52.922043617274902</v>
      </c>
      <c r="P2600">
        <v>-0.86237741109094601</v>
      </c>
      <c r="Q2600">
        <v>0.10617436174320601</v>
      </c>
      <c r="R2600">
        <v>0.99218718764452796</v>
      </c>
      <c r="S2600" t="s">
        <v>9603</v>
      </c>
      <c r="T2600" t="s">
        <v>14004</v>
      </c>
      <c r="U2600" t="s">
        <v>14004</v>
      </c>
      <c r="V2600" t="s">
        <v>14004</v>
      </c>
      <c r="W2600" t="s">
        <v>16565</v>
      </c>
      <c r="X2600">
        <v>27</v>
      </c>
      <c r="Y2600" t="s">
        <v>23447</v>
      </c>
      <c r="Z2600" t="s">
        <v>30310</v>
      </c>
      <c r="AA2600">
        <v>0.49145175600108432</v>
      </c>
      <c r="AB2600" t="str">
        <f>HYPERLINK("Melting_Curves/meltCurve_P35250_RFC2.pdf", "Melting_Curves/meltCurve_P35250_RFC2.pdf")</f>
        <v>Melting_Curves/meltCurve_P35250_RFC2.pdf</v>
      </c>
    </row>
    <row r="2601" spans="1:28" x14ac:dyDescent="0.25">
      <c r="A2601" t="s">
        <v>2605</v>
      </c>
      <c r="B2601">
        <v>0.99999676499088797</v>
      </c>
      <c r="C2601">
        <v>1.00876311588791</v>
      </c>
      <c r="D2601">
        <v>0.77686957658052103</v>
      </c>
      <c r="E2601">
        <v>0.29864511525482201</v>
      </c>
      <c r="F2601">
        <v>0.233084945485419</v>
      </c>
      <c r="G2601">
        <v>0.16035327289806001</v>
      </c>
      <c r="H2601">
        <v>0.100836455050707</v>
      </c>
      <c r="I2601">
        <v>8.5937745751004394E-2</v>
      </c>
      <c r="J2601">
        <v>9.0308077035108902E-2</v>
      </c>
      <c r="K2601">
        <v>7.40436673927439E-2</v>
      </c>
      <c r="L2601">
        <v>1385.4750925953799</v>
      </c>
      <c r="M2601">
        <v>29.0438452187426</v>
      </c>
      <c r="N2601">
        <v>48.118282321900097</v>
      </c>
      <c r="O2601">
        <v>47.478451149872797</v>
      </c>
      <c r="P2601">
        <v>-0.13597544110257601</v>
      </c>
      <c r="Q2601">
        <v>0.110881444710066</v>
      </c>
      <c r="R2601">
        <v>0.99003180036516303</v>
      </c>
      <c r="S2601" t="s">
        <v>9604</v>
      </c>
      <c r="T2601" t="s">
        <v>14004</v>
      </c>
      <c r="U2601" t="s">
        <v>14004</v>
      </c>
      <c r="V2601" t="s">
        <v>14004</v>
      </c>
      <c r="W2601" t="s">
        <v>16566</v>
      </c>
      <c r="X2601">
        <v>15</v>
      </c>
      <c r="Y2601" t="s">
        <v>23448</v>
      </c>
      <c r="Z2601" t="s">
        <v>30311</v>
      </c>
      <c r="AA2601">
        <v>0.34489082743254579</v>
      </c>
      <c r="AB2601" t="str">
        <f>HYPERLINK("Melting_Curves/meltCurve_P35251_2_RFC1.pdf", "Melting_Curves/meltCurve_P35251_2_RFC1.pdf")</f>
        <v>Melting_Curves/meltCurve_P35251_2_RFC1.pdf</v>
      </c>
    </row>
    <row r="2602" spans="1:28" x14ac:dyDescent="0.25">
      <c r="A2602" t="s">
        <v>2606</v>
      </c>
      <c r="B2602">
        <v>0.99999676499088797</v>
      </c>
      <c r="C2602">
        <v>0.98068231980841003</v>
      </c>
      <c r="D2602">
        <v>0.96409815036244695</v>
      </c>
      <c r="E2602">
        <v>0.99936351006492796</v>
      </c>
      <c r="F2602">
        <v>0.58472543848985203</v>
      </c>
      <c r="G2602">
        <v>0.60418396726694601</v>
      </c>
      <c r="H2602">
        <v>0.172259859110518</v>
      </c>
      <c r="I2602">
        <v>0.12580122877802999</v>
      </c>
      <c r="J2602">
        <v>0.105549946408848</v>
      </c>
      <c r="K2602">
        <v>8.6001783427465006E-2</v>
      </c>
      <c r="L2602">
        <v>935.92903201124705</v>
      </c>
      <c r="M2602">
        <v>16.668424468005199</v>
      </c>
      <c r="N2602">
        <v>56.381008657803001</v>
      </c>
      <c r="O2602">
        <v>55.360293802038399</v>
      </c>
      <c r="P2602">
        <v>-7.2791053162490099E-2</v>
      </c>
      <c r="Q2602">
        <v>3.3030110277927897E-2</v>
      </c>
      <c r="R2602">
        <v>0.96456667560752796</v>
      </c>
      <c r="S2602" t="s">
        <v>9605</v>
      </c>
      <c r="T2602" t="s">
        <v>14004</v>
      </c>
      <c r="U2602" t="s">
        <v>14004</v>
      </c>
      <c r="V2602" t="s">
        <v>14004</v>
      </c>
      <c r="W2602" t="s">
        <v>16567</v>
      </c>
      <c r="X2602">
        <v>7</v>
      </c>
      <c r="Y2602" t="s">
        <v>23449</v>
      </c>
      <c r="Z2602" t="s">
        <v>30312</v>
      </c>
      <c r="AA2602">
        <v>0.56892418935412226</v>
      </c>
      <c r="AB2602" t="str">
        <f>HYPERLINK("Melting_Curves/meltCurve_P35268_RPL22.pdf", "Melting_Curves/meltCurve_P35268_RPL22.pdf")</f>
        <v>Melting_Curves/meltCurve_P35268_RPL22.pdf</v>
      </c>
    </row>
    <row r="2603" spans="1:28" x14ac:dyDescent="0.25">
      <c r="A2603" t="s">
        <v>2607</v>
      </c>
      <c r="B2603">
        <v>0.99999676499088797</v>
      </c>
      <c r="C2603">
        <v>0.98840155695584297</v>
      </c>
      <c r="D2603">
        <v>0.95309010642356595</v>
      </c>
      <c r="E2603">
        <v>0.88588153889662902</v>
      </c>
      <c r="F2603">
        <v>0.69582997336689301</v>
      </c>
      <c r="G2603">
        <v>0.51203353128145501</v>
      </c>
      <c r="H2603">
        <v>0.37549499474804499</v>
      </c>
      <c r="I2603">
        <v>0.47924129849354102</v>
      </c>
      <c r="J2603">
        <v>0.47471420900197298</v>
      </c>
      <c r="K2603">
        <v>0.55075046593284105</v>
      </c>
      <c r="L2603">
        <v>1427.22096345661</v>
      </c>
      <c r="M2603">
        <v>27.306066881751001</v>
      </c>
      <c r="N2603">
        <v>58.062375722101699</v>
      </c>
      <c r="O2603">
        <v>51.989625227441898</v>
      </c>
      <c r="P2603">
        <v>-6.9955541816628303E-2</v>
      </c>
      <c r="Q2603">
        <v>0.46723518165091399</v>
      </c>
      <c r="R2603">
        <v>0.96287689032808299</v>
      </c>
      <c r="S2603" t="s">
        <v>9606</v>
      </c>
      <c r="T2603" t="s">
        <v>14004</v>
      </c>
      <c r="U2603" t="s">
        <v>14004</v>
      </c>
      <c r="V2603" t="s">
        <v>14004</v>
      </c>
      <c r="W2603" t="s">
        <v>16568</v>
      </c>
      <c r="X2603">
        <v>21</v>
      </c>
      <c r="Y2603" t="s">
        <v>23450</v>
      </c>
      <c r="Z2603" t="s">
        <v>30313</v>
      </c>
      <c r="AA2603">
        <v>0.68920412532274067</v>
      </c>
      <c r="AB2603" t="str">
        <f>HYPERLINK("Melting_Curves/meltCurve_P35269_GTF2F1.pdf", "Melting_Curves/meltCurve_P35269_GTF2F1.pdf")</f>
        <v>Melting_Curves/meltCurve_P35269_GTF2F1.pdf</v>
      </c>
    </row>
    <row r="2604" spans="1:28" x14ac:dyDescent="0.25">
      <c r="A2604" t="s">
        <v>2608</v>
      </c>
      <c r="B2604">
        <v>0.99999676499088797</v>
      </c>
      <c r="C2604">
        <v>1.0155527235022801</v>
      </c>
      <c r="D2604">
        <v>1.0098688550421799</v>
      </c>
      <c r="E2604">
        <v>1.09497339169665</v>
      </c>
      <c r="F2604">
        <v>0.43628349882325301</v>
      </c>
      <c r="G2604">
        <v>0.30052093997552198</v>
      </c>
      <c r="H2604">
        <v>0.108832501559078</v>
      </c>
      <c r="I2604">
        <v>0.120387058288313</v>
      </c>
      <c r="J2604">
        <v>0.131161271358188</v>
      </c>
      <c r="K2604">
        <v>9.8484545274385396E-2</v>
      </c>
      <c r="L2604">
        <v>6107.2501618510196</v>
      </c>
      <c r="M2604">
        <v>115.479360150836</v>
      </c>
      <c r="N2604">
        <v>53.052237595957997</v>
      </c>
      <c r="O2604">
        <v>52.870230979979397</v>
      </c>
      <c r="P2604">
        <v>-0.46318313653087401</v>
      </c>
      <c r="Q2604">
        <v>0.15175859480550599</v>
      </c>
      <c r="R2604">
        <v>0.97863044685955203</v>
      </c>
      <c r="S2604" t="s">
        <v>9607</v>
      </c>
      <c r="T2604" t="s">
        <v>14004</v>
      </c>
      <c r="U2604" t="s">
        <v>14004</v>
      </c>
      <c r="V2604" t="s">
        <v>14004</v>
      </c>
      <c r="W2604" t="s">
        <v>16569</v>
      </c>
      <c r="X2604">
        <v>11</v>
      </c>
      <c r="Y2604" t="s">
        <v>23451</v>
      </c>
      <c r="Z2604" t="s">
        <v>30314</v>
      </c>
      <c r="AA2604">
        <v>0.51647797202036949</v>
      </c>
      <c r="AB2604" t="str">
        <f>HYPERLINK("Melting_Curves/meltCurve_P35270_SPR.pdf", "Melting_Curves/meltCurve_P35270_SPR.pdf")</f>
        <v>Melting_Curves/meltCurve_P35270_SPR.pdf</v>
      </c>
    </row>
    <row r="2605" spans="1:28" x14ac:dyDescent="0.25">
      <c r="A2605" t="s">
        <v>2609</v>
      </c>
      <c r="B2605">
        <v>0.99999676499088797</v>
      </c>
      <c r="C2605">
        <v>1.48020653759253</v>
      </c>
      <c r="D2605">
        <v>2.2839899695474002</v>
      </c>
      <c r="E2605">
        <v>0.22108123488359299</v>
      </c>
      <c r="F2605">
        <v>34.764844538699997</v>
      </c>
      <c r="G2605">
        <v>0.96200291790460701</v>
      </c>
      <c r="H2605">
        <v>1.2779177026816499</v>
      </c>
      <c r="I2605">
        <v>0.52980098586711899</v>
      </c>
      <c r="J2605">
        <v>1.17187230635872</v>
      </c>
      <c r="K2605">
        <v>0.95019419789196102</v>
      </c>
      <c r="L2605">
        <v>1807.6331511204501</v>
      </c>
      <c r="M2605">
        <v>61.218402031097902</v>
      </c>
      <c r="Q2605">
        <v>1.5</v>
      </c>
      <c r="R2605">
        <v>-8.58992109778942E-2</v>
      </c>
      <c r="S2605" t="s">
        <v>9608</v>
      </c>
      <c r="T2605" t="s">
        <v>14004</v>
      </c>
      <c r="U2605" t="s">
        <v>14004</v>
      </c>
      <c r="V2605" t="s">
        <v>14004</v>
      </c>
      <c r="W2605" t="s">
        <v>16570</v>
      </c>
      <c r="X2605">
        <v>3</v>
      </c>
      <c r="Y2605" t="s">
        <v>23452</v>
      </c>
      <c r="Z2605" t="s">
        <v>30315</v>
      </c>
      <c r="AA2605">
        <v>1.499999998308309</v>
      </c>
      <c r="AB2605" t="str">
        <f>HYPERLINK("Melting_Curves/meltCurve_P35321_SPRR1A.pdf", "Melting_Curves/meltCurve_P35321_SPRR1A.pdf")</f>
        <v>Melting_Curves/meltCurve_P35321_SPRR1A.pdf</v>
      </c>
    </row>
    <row r="2606" spans="1:28" x14ac:dyDescent="0.25">
      <c r="A2606" t="s">
        <v>2610</v>
      </c>
      <c r="B2606">
        <v>0.99999676499088797</v>
      </c>
      <c r="C2606">
        <v>0.95387518341126998</v>
      </c>
      <c r="D2606">
        <v>0.93560099965680898</v>
      </c>
      <c r="E2606">
        <v>0.91771268206090195</v>
      </c>
      <c r="F2606">
        <v>0.78408959217789198</v>
      </c>
      <c r="G2606">
        <v>0.73458468917473896</v>
      </c>
      <c r="H2606">
        <v>0.45550919538509899</v>
      </c>
      <c r="I2606">
        <v>0.33868593586895501</v>
      </c>
      <c r="J2606">
        <v>0.22086014782721899</v>
      </c>
      <c r="K2606">
        <v>0.145986708881398</v>
      </c>
      <c r="L2606">
        <v>707.40219524987901</v>
      </c>
      <c r="M2606">
        <v>11.7479101281182</v>
      </c>
      <c r="N2606">
        <v>60.2151521456503</v>
      </c>
      <c r="O2606">
        <v>58.549827488750701</v>
      </c>
      <c r="P2606">
        <v>-5.0175147086159E-2</v>
      </c>
      <c r="Q2606">
        <v>0</v>
      </c>
      <c r="R2606">
        <v>0.99018031449188504</v>
      </c>
      <c r="S2606" t="s">
        <v>9609</v>
      </c>
      <c r="T2606" t="s">
        <v>14004</v>
      </c>
      <c r="U2606" t="s">
        <v>14004</v>
      </c>
      <c r="V2606" t="s">
        <v>14004</v>
      </c>
      <c r="W2606" t="s">
        <v>16571</v>
      </c>
      <c r="X2606">
        <v>3</v>
      </c>
      <c r="Y2606" t="s">
        <v>23453</v>
      </c>
      <c r="Z2606" t="s">
        <v>30316</v>
      </c>
      <c r="AA2606">
        <v>0.6742535938702352</v>
      </c>
      <c r="AB2606" t="str">
        <f>HYPERLINK("Melting_Curves/meltCurve_P35408_PTGER4.pdf", "Melting_Curves/meltCurve_P35408_PTGER4.pdf")</f>
        <v>Melting_Curves/meltCurve_P35408_PTGER4.pdf</v>
      </c>
    </row>
    <row r="2607" spans="1:28" x14ac:dyDescent="0.25">
      <c r="A2607" t="s">
        <v>2611</v>
      </c>
      <c r="B2607">
        <v>0.99999676499088797</v>
      </c>
      <c r="C2607">
        <v>1.12217674772805</v>
      </c>
      <c r="D2607">
        <v>1.0251487011046401</v>
      </c>
      <c r="E2607">
        <v>0.88131034305109801</v>
      </c>
      <c r="F2607">
        <v>0.625468904743535</v>
      </c>
      <c r="G2607">
        <v>0.28655476418511699</v>
      </c>
      <c r="H2607">
        <v>9.4888201572209493E-2</v>
      </c>
      <c r="I2607">
        <v>9.2782324468674807E-2</v>
      </c>
      <c r="J2607">
        <v>9.7000910175759805E-2</v>
      </c>
      <c r="K2607">
        <v>7.5554459279919606E-2</v>
      </c>
      <c r="L2607">
        <v>1359.6759953385899</v>
      </c>
      <c r="M2607">
        <v>25.1982490821064</v>
      </c>
      <c r="N2607">
        <v>54.297921448742301</v>
      </c>
      <c r="O2607">
        <v>53.622749371386398</v>
      </c>
      <c r="P2607">
        <v>-0.10893518497096601</v>
      </c>
      <c r="Q2607">
        <v>7.2740706675681804E-2</v>
      </c>
      <c r="R2607">
        <v>0.98952440136061903</v>
      </c>
      <c r="S2607" t="s">
        <v>9610</v>
      </c>
      <c r="T2607" t="s">
        <v>14004</v>
      </c>
      <c r="U2607" t="s">
        <v>14004</v>
      </c>
      <c r="V2607" t="s">
        <v>14004</v>
      </c>
      <c r="W2607" t="s">
        <v>16572</v>
      </c>
      <c r="X2607">
        <v>9</v>
      </c>
      <c r="Y2607" t="s">
        <v>23454</v>
      </c>
      <c r="Z2607" t="s">
        <v>30317</v>
      </c>
      <c r="AA2607">
        <v>0.5126556743595112</v>
      </c>
      <c r="AB2607" t="str">
        <f>HYPERLINK("Melting_Curves/meltCurve_P35520_CBS.pdf", "Melting_Curves/meltCurve_P35520_CBS.pdf")</f>
        <v>Melting_Curves/meltCurve_P35520_CBS.pdf</v>
      </c>
    </row>
    <row r="2608" spans="1:28" x14ac:dyDescent="0.25">
      <c r="A2608" t="s">
        <v>2612</v>
      </c>
      <c r="B2608">
        <v>0.99999676499088797</v>
      </c>
      <c r="C2608">
        <v>0.874753637426958</v>
      </c>
      <c r="D2608">
        <v>0.76732053378792597</v>
      </c>
      <c r="E2608">
        <v>0.73677736168619401</v>
      </c>
      <c r="F2608">
        <v>0.23260071170918001</v>
      </c>
      <c r="G2608">
        <v>0.18542792697907801</v>
      </c>
      <c r="H2608">
        <v>9.6921090563788906E-2</v>
      </c>
      <c r="I2608">
        <v>9.9453038486030196E-2</v>
      </c>
      <c r="J2608">
        <v>0.10419884693909</v>
      </c>
      <c r="K2608">
        <v>9.3176563513028096E-2</v>
      </c>
      <c r="L2608">
        <v>864.34923870641398</v>
      </c>
      <c r="M2608">
        <v>17.172805451976</v>
      </c>
      <c r="N2608">
        <v>50.7762054601857</v>
      </c>
      <c r="O2608">
        <v>49.664809933421502</v>
      </c>
      <c r="P2608">
        <v>-8.0424792377733798E-2</v>
      </c>
      <c r="Q2608">
        <v>6.9681809491656893E-2</v>
      </c>
      <c r="R2608">
        <v>0.96482402512180399</v>
      </c>
      <c r="S2608" t="s">
        <v>9611</v>
      </c>
      <c r="T2608" t="s">
        <v>14004</v>
      </c>
      <c r="U2608" t="s">
        <v>14004</v>
      </c>
      <c r="V2608" t="s">
        <v>14004</v>
      </c>
      <c r="W2608" t="s">
        <v>16573</v>
      </c>
      <c r="X2608">
        <v>17</v>
      </c>
      <c r="Y2608" t="s">
        <v>23455</v>
      </c>
      <c r="Z2608" t="s">
        <v>30318</v>
      </c>
      <c r="AA2608">
        <v>0.40733461011729422</v>
      </c>
      <c r="AB2608" t="str">
        <f>HYPERLINK("Melting_Curves/meltCurve_P35573_AGL.pdf", "Melting_Curves/meltCurve_P35573_AGL.pdf")</f>
        <v>Melting_Curves/meltCurve_P35573_AGL.pdf</v>
      </c>
    </row>
    <row r="2609" spans="1:28" x14ac:dyDescent="0.25">
      <c r="A2609" t="s">
        <v>2613</v>
      </c>
      <c r="B2609">
        <v>0.99999676499088797</v>
      </c>
      <c r="C2609">
        <v>0.98262126455824905</v>
      </c>
      <c r="D2609">
        <v>1.0059173685787901</v>
      </c>
      <c r="E2609">
        <v>0.67379824555626699</v>
      </c>
      <c r="F2609">
        <v>0.39741901967362098</v>
      </c>
      <c r="G2609">
        <v>0.15833376486978001</v>
      </c>
      <c r="H2609">
        <v>8.0440330826012096E-2</v>
      </c>
      <c r="I2609">
        <v>8.00761801420216E-2</v>
      </c>
      <c r="J2609">
        <v>7.6731403766036696E-2</v>
      </c>
      <c r="K2609">
        <v>6.85627620065698E-2</v>
      </c>
      <c r="L2609">
        <v>1161.78558170306</v>
      </c>
      <c r="M2609">
        <v>22.580821475648399</v>
      </c>
      <c r="N2609">
        <v>51.775352389019503</v>
      </c>
      <c r="O2609">
        <v>51.051698114026003</v>
      </c>
      <c r="P2609">
        <v>-0.10326857775505301</v>
      </c>
      <c r="Q2609">
        <v>6.6122733015791996E-2</v>
      </c>
      <c r="R2609">
        <v>0.995192926609895</v>
      </c>
      <c r="S2609" t="s">
        <v>9612</v>
      </c>
      <c r="T2609" t="s">
        <v>14004</v>
      </c>
      <c r="U2609" t="s">
        <v>14004</v>
      </c>
      <c r="V2609" t="s">
        <v>14004</v>
      </c>
      <c r="W2609" t="s">
        <v>16574</v>
      </c>
      <c r="X2609">
        <v>219</v>
      </c>
      <c r="Y2609" t="s">
        <v>23456</v>
      </c>
      <c r="Z2609" t="s">
        <v>30319</v>
      </c>
      <c r="AA2609">
        <v>0.43287159332983571</v>
      </c>
      <c r="AB2609" t="str">
        <f>HYPERLINK("Melting_Curves/meltCurve_P35579_MYH9.pdf", "Melting_Curves/meltCurve_P35579_MYH9.pdf")</f>
        <v>Melting_Curves/meltCurve_P35579_MYH9.pdf</v>
      </c>
    </row>
    <row r="2610" spans="1:28" x14ac:dyDescent="0.25">
      <c r="A2610" t="s">
        <v>2614</v>
      </c>
      <c r="B2610">
        <v>0.99999676499088797</v>
      </c>
      <c r="C2610">
        <v>0.95509729632593399</v>
      </c>
      <c r="D2610">
        <v>0.97214242624295899</v>
      </c>
      <c r="E2610">
        <v>0.51758615852530399</v>
      </c>
      <c r="F2610">
        <v>0.24643358634430201</v>
      </c>
      <c r="G2610">
        <v>0.148160269294421</v>
      </c>
      <c r="H2610">
        <v>7.5149858316492305E-2</v>
      </c>
      <c r="I2610">
        <v>7.6558501965338199E-2</v>
      </c>
      <c r="J2610">
        <v>7.1018233530086405E-2</v>
      </c>
      <c r="K2610">
        <v>5.8027263246847101E-2</v>
      </c>
      <c r="L2610">
        <v>1337.9232097573699</v>
      </c>
      <c r="M2610">
        <v>26.8913941305074</v>
      </c>
      <c r="N2610">
        <v>50.075138256479399</v>
      </c>
      <c r="O2610">
        <v>49.4801646613396</v>
      </c>
      <c r="P2610">
        <v>-0.12507412989361</v>
      </c>
      <c r="Q2610">
        <v>7.9463990539906798E-2</v>
      </c>
      <c r="R2610">
        <v>0.99353413909452504</v>
      </c>
      <c r="S2610" t="s">
        <v>9613</v>
      </c>
      <c r="T2610" t="s">
        <v>14004</v>
      </c>
      <c r="U2610" t="s">
        <v>14004</v>
      </c>
      <c r="V2610" t="s">
        <v>14004</v>
      </c>
      <c r="W2610" t="s">
        <v>16575</v>
      </c>
      <c r="X2610">
        <v>155</v>
      </c>
      <c r="Y2610" t="s">
        <v>23457</v>
      </c>
      <c r="Z2610" t="s">
        <v>30320</v>
      </c>
      <c r="AA2610">
        <v>0.38580579357082012</v>
      </c>
      <c r="AB2610" t="str">
        <f>HYPERLINK("Melting_Curves/meltCurve_P35580_MYH10.pdf", "Melting_Curves/meltCurve_P35580_MYH10.pdf")</f>
        <v>Melting_Curves/meltCurve_P35580_MYH10.pdf</v>
      </c>
    </row>
    <row r="2611" spans="1:28" x14ac:dyDescent="0.25">
      <c r="A2611" t="s">
        <v>2615</v>
      </c>
      <c r="B2611">
        <v>0.99999676499088797</v>
      </c>
      <c r="C2611">
        <v>1.0180373239835401</v>
      </c>
      <c r="D2611">
        <v>1.03158152597599</v>
      </c>
      <c r="E2611">
        <v>1.02125552956823</v>
      </c>
      <c r="F2611">
        <v>0.60017106031608503</v>
      </c>
      <c r="G2611">
        <v>0.26530874352320399</v>
      </c>
      <c r="H2611">
        <v>0.102411692343955</v>
      </c>
      <c r="I2611">
        <v>8.6478345531589104E-2</v>
      </c>
      <c r="J2611">
        <v>8.9311587016864202E-2</v>
      </c>
      <c r="K2611">
        <v>7.3161681533766496E-2</v>
      </c>
      <c r="L2611">
        <v>1774.39429083103</v>
      </c>
      <c r="M2611">
        <v>32.939092050713498</v>
      </c>
      <c r="N2611">
        <v>54.180856714583399</v>
      </c>
      <c r="O2611">
        <v>53.671570568342801</v>
      </c>
      <c r="P2611">
        <v>-0.140178643221024</v>
      </c>
      <c r="Q2611">
        <v>8.6365452085952796E-2</v>
      </c>
      <c r="R2611">
        <v>0.99463899595014404</v>
      </c>
      <c r="S2611" t="s">
        <v>9614</v>
      </c>
      <c r="T2611" t="s">
        <v>14004</v>
      </c>
      <c r="U2611" t="s">
        <v>14004</v>
      </c>
      <c r="V2611" t="s">
        <v>14004</v>
      </c>
      <c r="W2611" t="s">
        <v>16576</v>
      </c>
      <c r="X2611">
        <v>45</v>
      </c>
      <c r="Y2611" t="s">
        <v>23458</v>
      </c>
      <c r="Z2611" t="s">
        <v>30321</v>
      </c>
      <c r="AA2611">
        <v>0.51373088284045842</v>
      </c>
      <c r="AB2611" t="str">
        <f>HYPERLINK("Melting_Curves/meltCurve_P35606_COPB2.pdf", "Melting_Curves/meltCurve_P35606_COPB2.pdf")</f>
        <v>Melting_Curves/meltCurve_P35606_COPB2.pdf</v>
      </c>
    </row>
    <row r="2612" spans="1:28" x14ac:dyDescent="0.25">
      <c r="A2612" t="s">
        <v>2616</v>
      </c>
      <c r="B2612">
        <v>0.99999676499088797</v>
      </c>
      <c r="C2612">
        <v>0.862217276069002</v>
      </c>
      <c r="D2612">
        <v>0.94002854921985701</v>
      </c>
      <c r="E2612">
        <v>1.00297660337846</v>
      </c>
      <c r="F2612">
        <v>0.37450730747840699</v>
      </c>
      <c r="G2612">
        <v>0.241969351064349</v>
      </c>
      <c r="H2612">
        <v>9.6215976012629004E-2</v>
      </c>
      <c r="I2612">
        <v>0.13528133008465901</v>
      </c>
      <c r="J2612">
        <v>0.12484879537289199</v>
      </c>
      <c r="K2612">
        <v>9.9504071230623298E-2</v>
      </c>
      <c r="L2612">
        <v>3355.17988247318</v>
      </c>
      <c r="M2612">
        <v>63.999975838849998</v>
      </c>
      <c r="N2612">
        <v>52.689135189308999</v>
      </c>
      <c r="O2612">
        <v>52.3735926815353</v>
      </c>
      <c r="P2612">
        <v>-0.26353461049252702</v>
      </c>
      <c r="Q2612">
        <v>0.137359052784638</v>
      </c>
      <c r="R2612">
        <v>0.97595066335272895</v>
      </c>
      <c r="S2612" t="s">
        <v>9615</v>
      </c>
      <c r="T2612" t="s">
        <v>14004</v>
      </c>
      <c r="U2612" t="s">
        <v>14004</v>
      </c>
      <c r="V2612" t="s">
        <v>14004</v>
      </c>
      <c r="W2612" t="s">
        <v>16577</v>
      </c>
      <c r="X2612">
        <v>4</v>
      </c>
      <c r="Y2612" t="s">
        <v>23459</v>
      </c>
      <c r="Z2612" t="s">
        <v>30322</v>
      </c>
      <c r="AA2612">
        <v>0.49584259596280339</v>
      </c>
      <c r="AB2612" t="str">
        <f>HYPERLINK("Melting_Curves/meltCurve_P35610_SOAT1.pdf", "Melting_Curves/meltCurve_P35610_SOAT1.pdf")</f>
        <v>Melting_Curves/meltCurve_P35610_SOAT1.pdf</v>
      </c>
    </row>
    <row r="2613" spans="1:28" x14ac:dyDescent="0.25">
      <c r="A2613" t="s">
        <v>2617</v>
      </c>
      <c r="B2613">
        <v>0.99999676499088797</v>
      </c>
      <c r="C2613">
        <v>1.0118049070505899</v>
      </c>
      <c r="D2613">
        <v>0.98089178577815195</v>
      </c>
      <c r="E2613">
        <v>0.89453233493933304</v>
      </c>
      <c r="F2613">
        <v>0.80837966920884596</v>
      </c>
      <c r="G2613">
        <v>0.69727917678101003</v>
      </c>
      <c r="H2613">
        <v>0.44452776647434999</v>
      </c>
      <c r="I2613">
        <v>0.413896519084829</v>
      </c>
      <c r="J2613">
        <v>0.33392315259421101</v>
      </c>
      <c r="K2613">
        <v>0.21592138199501701</v>
      </c>
      <c r="L2613">
        <v>659.26716173287798</v>
      </c>
      <c r="M2613">
        <v>11.0638010406385</v>
      </c>
      <c r="N2613">
        <v>60.791332582437903</v>
      </c>
      <c r="O2613">
        <v>57.740386647989403</v>
      </c>
      <c r="P2613">
        <v>-4.3205793542080602E-2</v>
      </c>
      <c r="Q2613">
        <v>9.8358204290470305E-2</v>
      </c>
      <c r="R2613">
        <v>0.990724065983696</v>
      </c>
      <c r="S2613" t="s">
        <v>9616</v>
      </c>
      <c r="T2613" t="s">
        <v>14004</v>
      </c>
      <c r="U2613" t="s">
        <v>14004</v>
      </c>
      <c r="V2613" t="s">
        <v>14004</v>
      </c>
      <c r="W2613" t="s">
        <v>16578</v>
      </c>
      <c r="X2613">
        <v>37</v>
      </c>
      <c r="Y2613" t="s">
        <v>23460</v>
      </c>
      <c r="Z2613" t="s">
        <v>30323</v>
      </c>
      <c r="AA2613">
        <v>0.68936144021985402</v>
      </c>
      <c r="AB2613" t="str">
        <f>HYPERLINK("Melting_Curves/meltCurve_P35611_ADD1.pdf", "Melting_Curves/meltCurve_P35611_ADD1.pdf")</f>
        <v>Melting_Curves/meltCurve_P35611_ADD1.pdf</v>
      </c>
    </row>
    <row r="2614" spans="1:28" x14ac:dyDescent="0.25">
      <c r="A2614" t="s">
        <v>2618</v>
      </c>
      <c r="B2614">
        <v>0.99999676499088797</v>
      </c>
      <c r="C2614">
        <v>0.98994388994859295</v>
      </c>
      <c r="D2614">
        <v>1.0074094466585399</v>
      </c>
      <c r="E2614">
        <v>0.93023634773739905</v>
      </c>
      <c r="F2614">
        <v>0.85128380369802803</v>
      </c>
      <c r="G2614">
        <v>0.73936479033702496</v>
      </c>
      <c r="H2614">
        <v>0.43653379010319798</v>
      </c>
      <c r="I2614">
        <v>0.34694516172488699</v>
      </c>
      <c r="J2614">
        <v>0.25744400837397402</v>
      </c>
      <c r="K2614">
        <v>0.185403002906115</v>
      </c>
      <c r="L2614">
        <v>887.63697602754098</v>
      </c>
      <c r="M2614">
        <v>14.9597486454127</v>
      </c>
      <c r="N2614">
        <v>60.347066846972403</v>
      </c>
      <c r="O2614">
        <v>58.305037166242499</v>
      </c>
      <c r="P2614">
        <v>-5.7033799951406998E-2</v>
      </c>
      <c r="Q2614">
        <v>0.11094272398999</v>
      </c>
      <c r="R2614">
        <v>0.99511801979555803</v>
      </c>
      <c r="S2614" t="s">
        <v>9617</v>
      </c>
      <c r="T2614" t="s">
        <v>14004</v>
      </c>
      <c r="U2614" t="s">
        <v>14004</v>
      </c>
      <c r="V2614" t="s">
        <v>14004</v>
      </c>
      <c r="W2614" t="s">
        <v>16579</v>
      </c>
      <c r="X2614">
        <v>21</v>
      </c>
      <c r="Y2614" t="s">
        <v>23461</v>
      </c>
      <c r="Z2614" t="s">
        <v>30324</v>
      </c>
      <c r="AA2614">
        <v>0.6922380796143196</v>
      </c>
      <c r="AB2614" t="str">
        <f>HYPERLINK("Melting_Curves/meltCurve_P35612_ADD2.pdf", "Melting_Curves/meltCurve_P35612_ADD2.pdf")</f>
        <v>Melting_Curves/meltCurve_P35612_ADD2.pdf</v>
      </c>
    </row>
    <row r="2615" spans="1:28" x14ac:dyDescent="0.25">
      <c r="A2615" t="s">
        <v>2619</v>
      </c>
      <c r="B2615">
        <v>0.99999676499088797</v>
      </c>
      <c r="C2615">
        <v>1.0628595264012899</v>
      </c>
      <c r="D2615">
        <v>1.08683649880399</v>
      </c>
      <c r="E2615">
        <v>0.97553772115821902</v>
      </c>
      <c r="F2615">
        <v>0.96552847617424498</v>
      </c>
      <c r="G2615">
        <v>0.81077781711555397</v>
      </c>
      <c r="H2615">
        <v>0.53410477167245796</v>
      </c>
      <c r="I2615">
        <v>0.52370620188128703</v>
      </c>
      <c r="J2615">
        <v>0.43914327814895898</v>
      </c>
      <c r="K2615">
        <v>0.56897226184593697</v>
      </c>
      <c r="L2615">
        <v>2535.80852614388</v>
      </c>
      <c r="M2615">
        <v>44.211914400286197</v>
      </c>
      <c r="O2615">
        <v>57.238805733978197</v>
      </c>
      <c r="P2615">
        <v>-9.5356691769338503E-2</v>
      </c>
      <c r="Q2615">
        <v>0.50618784722057797</v>
      </c>
      <c r="R2615">
        <v>0.96339754874248795</v>
      </c>
      <c r="S2615" t="s">
        <v>9618</v>
      </c>
      <c r="T2615" t="s">
        <v>14004</v>
      </c>
      <c r="U2615" t="s">
        <v>14004</v>
      </c>
      <c r="V2615" t="s">
        <v>14004</v>
      </c>
      <c r="W2615" t="s">
        <v>16580</v>
      </c>
      <c r="X2615">
        <v>11</v>
      </c>
      <c r="Y2615" t="s">
        <v>23462</v>
      </c>
      <c r="Z2615" t="s">
        <v>30325</v>
      </c>
      <c r="AA2615">
        <v>0.79345982435688689</v>
      </c>
      <c r="AB2615" t="str">
        <f>HYPERLINK("Melting_Curves/meltCurve_P35613_2_BSG.pdf", "Melting_Curves/meltCurve_P35613_2_BSG.pdf")</f>
        <v>Melting_Curves/meltCurve_P35613_2_BSG.pdf</v>
      </c>
    </row>
    <row r="2616" spans="1:28" x14ac:dyDescent="0.25">
      <c r="A2616" t="s">
        <v>2620</v>
      </c>
      <c r="B2616">
        <v>0.99999676499088797</v>
      </c>
      <c r="C2616">
        <v>0.94848421415198403</v>
      </c>
      <c r="D2616">
        <v>0.89178963687069102</v>
      </c>
      <c r="E2616">
        <v>0.47898818945856902</v>
      </c>
      <c r="F2616">
        <v>0.20850755872115201</v>
      </c>
      <c r="G2616">
        <v>0.119239795751725</v>
      </c>
      <c r="H2616">
        <v>4.9288260516366499E-2</v>
      </c>
      <c r="I2616">
        <v>5.1070689823772802E-2</v>
      </c>
      <c r="J2616">
        <v>5.6446510715634002E-2</v>
      </c>
      <c r="K2616">
        <v>3.97567996645403E-2</v>
      </c>
      <c r="L2616">
        <v>1177.30452747193</v>
      </c>
      <c r="M2616">
        <v>23.8375698109061</v>
      </c>
      <c r="N2616">
        <v>49.615788017003297</v>
      </c>
      <c r="O2616">
        <v>49.044970569399197</v>
      </c>
      <c r="P2616">
        <v>-0.11522868134490701</v>
      </c>
      <c r="Q2616">
        <v>5.1699367412981902E-2</v>
      </c>
      <c r="R2616">
        <v>0.99772405377164997</v>
      </c>
      <c r="S2616" t="s">
        <v>9619</v>
      </c>
      <c r="T2616" t="s">
        <v>14004</v>
      </c>
      <c r="U2616" t="s">
        <v>14004</v>
      </c>
      <c r="V2616" t="s">
        <v>14004</v>
      </c>
      <c r="W2616" t="s">
        <v>16581</v>
      </c>
      <c r="X2616">
        <v>24</v>
      </c>
      <c r="Y2616" t="s">
        <v>23463</v>
      </c>
      <c r="Z2616" t="s">
        <v>30326</v>
      </c>
      <c r="AA2616">
        <v>0.35776012029233478</v>
      </c>
      <c r="AB2616" t="str">
        <f>HYPERLINK("Melting_Curves/meltCurve_P35626_ADRBK2.pdf", "Melting_Curves/meltCurve_P35626_ADRBK2.pdf")</f>
        <v>Melting_Curves/meltCurve_P35626_ADRBK2.pdf</v>
      </c>
    </row>
    <row r="2617" spans="1:28" x14ac:dyDescent="0.25">
      <c r="A2617" t="s">
        <v>2621</v>
      </c>
      <c r="B2617">
        <v>0.99999676499088797</v>
      </c>
      <c r="C2617">
        <v>0.96024210870955695</v>
      </c>
      <c r="D2617">
        <v>0.91833693127046501</v>
      </c>
      <c r="E2617">
        <v>0.86321640087324003</v>
      </c>
      <c r="F2617">
        <v>0.684569983785145</v>
      </c>
      <c r="G2617">
        <v>0.74295513859712303</v>
      </c>
      <c r="H2617">
        <v>0.55673929028267199</v>
      </c>
      <c r="I2617">
        <v>0.63253629459944505</v>
      </c>
      <c r="J2617">
        <v>0.61342311187279197</v>
      </c>
      <c r="K2617">
        <v>0.77913069141472502</v>
      </c>
      <c r="L2617">
        <v>972.38617786599696</v>
      </c>
      <c r="M2617">
        <v>19.5931256066843</v>
      </c>
      <c r="O2617">
        <v>49.120624894319597</v>
      </c>
      <c r="P2617">
        <v>-3.4705514757717298E-2</v>
      </c>
      <c r="Q2617">
        <v>0.65198064371012199</v>
      </c>
      <c r="R2617">
        <v>0.82858446797613605</v>
      </c>
      <c r="S2617" t="s">
        <v>9620</v>
      </c>
      <c r="T2617" t="s">
        <v>14004</v>
      </c>
      <c r="U2617" t="s">
        <v>14004</v>
      </c>
      <c r="V2617" t="s">
        <v>14004</v>
      </c>
      <c r="W2617" t="s">
        <v>16582</v>
      </c>
      <c r="X2617">
        <v>21</v>
      </c>
      <c r="Y2617" t="s">
        <v>23464</v>
      </c>
      <c r="Z2617" t="s">
        <v>30327</v>
      </c>
      <c r="AA2617">
        <v>0.76873691872312166</v>
      </c>
      <c r="AB2617" t="str">
        <f>HYPERLINK("Melting_Curves/meltCurve_P35637_2_FUS.pdf", "Melting_Curves/meltCurve_P35637_2_FUS.pdf")</f>
        <v>Melting_Curves/meltCurve_P35637_2_FUS.pdf</v>
      </c>
    </row>
    <row r="2618" spans="1:28" x14ac:dyDescent="0.25">
      <c r="A2618" t="s">
        <v>2622</v>
      </c>
      <c r="B2618">
        <v>0.99999676499088797</v>
      </c>
      <c r="C2618">
        <v>0.937336225233802</v>
      </c>
      <c r="D2618">
        <v>0.83260282470161195</v>
      </c>
      <c r="E2618">
        <v>0.54591817261016495</v>
      </c>
      <c r="F2618">
        <v>0.213895405330775</v>
      </c>
      <c r="G2618">
        <v>0.17368654872462799</v>
      </c>
      <c r="H2618">
        <v>9.3788491163420099E-2</v>
      </c>
      <c r="I2618">
        <v>8.2882436522825106E-2</v>
      </c>
      <c r="J2618">
        <v>0.105214244375397</v>
      </c>
      <c r="K2618">
        <v>0.111863596662387</v>
      </c>
      <c r="L2618">
        <v>1051.7362575130401</v>
      </c>
      <c r="M2618">
        <v>21.3207265439789</v>
      </c>
      <c r="N2618">
        <v>49.8119112102085</v>
      </c>
      <c r="O2618">
        <v>48.901476809103499</v>
      </c>
      <c r="P2618">
        <v>-9.8829488017136105E-2</v>
      </c>
      <c r="Q2618">
        <v>9.33168645556927E-2</v>
      </c>
      <c r="R2618">
        <v>0.99644612388006704</v>
      </c>
      <c r="S2618" t="s">
        <v>9621</v>
      </c>
      <c r="T2618" t="s">
        <v>14004</v>
      </c>
      <c r="U2618" t="s">
        <v>14004</v>
      </c>
      <c r="V2618" t="s">
        <v>14004</v>
      </c>
      <c r="W2618" t="s">
        <v>16583</v>
      </c>
      <c r="X2618">
        <v>22</v>
      </c>
      <c r="Y2618" t="s">
        <v>23465</v>
      </c>
      <c r="Z2618" t="s">
        <v>30328</v>
      </c>
      <c r="AA2618">
        <v>0.38640946796196951</v>
      </c>
      <c r="AB2618" t="str">
        <f>HYPERLINK("Melting_Curves/meltCurve_P35658_2_NUP214.pdf", "Melting_Curves/meltCurve_P35658_2_NUP214.pdf")</f>
        <v>Melting_Curves/meltCurve_P35658_2_NUP214.pdf</v>
      </c>
    </row>
    <row r="2619" spans="1:28" x14ac:dyDescent="0.25">
      <c r="A2619" t="s">
        <v>2623</v>
      </c>
      <c r="B2619">
        <v>0.99999676499088797</v>
      </c>
      <c r="C2619">
        <v>0.96198469803140696</v>
      </c>
      <c r="D2619">
        <v>0.82153757330562305</v>
      </c>
      <c r="E2619">
        <v>0.37514542603164203</v>
      </c>
      <c r="F2619">
        <v>0.20063699484161901</v>
      </c>
      <c r="G2619">
        <v>0.16230790447193499</v>
      </c>
      <c r="H2619">
        <v>9.4910130856392605E-2</v>
      </c>
      <c r="I2619">
        <v>8.6684623156736001E-2</v>
      </c>
      <c r="J2619">
        <v>8.3949632848436803E-2</v>
      </c>
      <c r="K2619">
        <v>7.2809835524494396E-2</v>
      </c>
      <c r="L2619">
        <v>1230.9051032417799</v>
      </c>
      <c r="M2619">
        <v>25.4855765655747</v>
      </c>
      <c r="N2619">
        <v>48.707408654792303</v>
      </c>
      <c r="O2619">
        <v>48.003681857004203</v>
      </c>
      <c r="P2619">
        <v>-0.119934939406714</v>
      </c>
      <c r="Q2619">
        <v>9.6391312926472295E-2</v>
      </c>
      <c r="R2619">
        <v>0.99639029603052498</v>
      </c>
      <c r="S2619" t="s">
        <v>9622</v>
      </c>
      <c r="T2619" t="s">
        <v>14004</v>
      </c>
      <c r="U2619" t="s">
        <v>14004</v>
      </c>
      <c r="V2619" t="s">
        <v>14004</v>
      </c>
      <c r="W2619" t="s">
        <v>16584</v>
      </c>
      <c r="X2619">
        <v>20</v>
      </c>
      <c r="Y2619" t="s">
        <v>23466</v>
      </c>
      <c r="Z2619" t="s">
        <v>30329</v>
      </c>
      <c r="AA2619">
        <v>0.35400141008681019</v>
      </c>
      <c r="AB2619" t="str">
        <f>HYPERLINK("Melting_Curves/meltCurve_P35659_DEK.pdf", "Melting_Curves/meltCurve_P35659_DEK.pdf")</f>
        <v>Melting_Curves/meltCurve_P35659_DEK.pdf</v>
      </c>
    </row>
    <row r="2620" spans="1:28" x14ac:dyDescent="0.25">
      <c r="A2620" t="s">
        <v>2624</v>
      </c>
      <c r="B2620">
        <v>0.99999676499088797</v>
      </c>
      <c r="C2620">
        <v>0.92297684518185097</v>
      </c>
      <c r="D2620">
        <v>0.96327253157114301</v>
      </c>
      <c r="E2620">
        <v>1.0588620807918401</v>
      </c>
      <c r="F2620">
        <v>0.957247720710237</v>
      </c>
      <c r="G2620">
        <v>1.10986808181029</v>
      </c>
      <c r="H2620">
        <v>0.748148587847419</v>
      </c>
      <c r="I2620">
        <v>0.79216454441814599</v>
      </c>
      <c r="J2620">
        <v>0.53097706539672695</v>
      </c>
      <c r="K2620">
        <v>0.37292428198974797</v>
      </c>
      <c r="L2620">
        <v>1178.9347715194599</v>
      </c>
      <c r="M2620">
        <v>17.4902463686226</v>
      </c>
      <c r="N2620">
        <v>67.782835430136203</v>
      </c>
      <c r="O2620">
        <v>66.542630823379795</v>
      </c>
      <c r="P2620">
        <v>-6.2664273472192097E-2</v>
      </c>
      <c r="Q2620">
        <v>4.6413618321177103E-2</v>
      </c>
      <c r="R2620">
        <v>0.89457431097474704</v>
      </c>
      <c r="S2620" t="s">
        <v>9623</v>
      </c>
      <c r="T2620" t="s">
        <v>14004</v>
      </c>
      <c r="U2620" t="s">
        <v>14004</v>
      </c>
      <c r="V2620" t="s">
        <v>14004</v>
      </c>
      <c r="W2620" t="s">
        <v>16585</v>
      </c>
      <c r="X2620">
        <v>6</v>
      </c>
      <c r="Y2620" t="s">
        <v>23467</v>
      </c>
      <c r="Z2620" t="s">
        <v>30330</v>
      </c>
      <c r="AA2620">
        <v>0.87696047044646985</v>
      </c>
      <c r="AB2620" t="str">
        <f>HYPERLINK("Melting_Curves/meltCurve_P35754_GLRX.pdf", "Melting_Curves/meltCurve_P35754_GLRX.pdf")</f>
        <v>Melting_Curves/meltCurve_P35754_GLRX.pdf</v>
      </c>
    </row>
    <row r="2621" spans="1:28" x14ac:dyDescent="0.25">
      <c r="A2621" t="s">
        <v>2625</v>
      </c>
      <c r="B2621">
        <v>0.99999676499088797</v>
      </c>
      <c r="C2621">
        <v>0.98285379838184805</v>
      </c>
      <c r="D2621">
        <v>1.0027557061103001</v>
      </c>
      <c r="E2621">
        <v>0.96376759379608601</v>
      </c>
      <c r="F2621">
        <v>0.87839551231882695</v>
      </c>
      <c r="G2621">
        <v>0.776262783797944</v>
      </c>
      <c r="H2621">
        <v>0.494638056121051</v>
      </c>
      <c r="I2621">
        <v>0.42526211045895601</v>
      </c>
      <c r="J2621">
        <v>0.30505690885474701</v>
      </c>
      <c r="K2621">
        <v>0.20129776791270099</v>
      </c>
      <c r="L2621">
        <v>836.32677745748595</v>
      </c>
      <c r="M2621">
        <v>13.768881898938499</v>
      </c>
      <c r="N2621">
        <v>61.675734700711097</v>
      </c>
      <c r="O2621">
        <v>59.502108435893497</v>
      </c>
      <c r="P2621">
        <v>-5.2406591532131702E-2</v>
      </c>
      <c r="Q2621">
        <v>9.4229315712021894E-2</v>
      </c>
      <c r="R2621">
        <v>0.99403226793202704</v>
      </c>
      <c r="S2621" t="s">
        <v>9624</v>
      </c>
      <c r="T2621" t="s">
        <v>14004</v>
      </c>
      <c r="U2621" t="s">
        <v>14004</v>
      </c>
      <c r="V2621" t="s">
        <v>14004</v>
      </c>
      <c r="W2621" t="s">
        <v>16586</v>
      </c>
      <c r="X2621">
        <v>10</v>
      </c>
      <c r="Y2621" t="s">
        <v>23468</v>
      </c>
      <c r="Z2621" t="s">
        <v>30331</v>
      </c>
      <c r="AA2621">
        <v>0.72208998303591088</v>
      </c>
      <c r="AB2621" t="str">
        <f>HYPERLINK("Melting_Curves/meltCurve_P35790_CHKA.pdf", "Melting_Curves/meltCurve_P35790_CHKA.pdf")</f>
        <v>Melting_Curves/meltCurve_P35790_CHKA.pdf</v>
      </c>
    </row>
    <row r="2622" spans="1:28" x14ac:dyDescent="0.25">
      <c r="A2622" t="s">
        <v>2626</v>
      </c>
      <c r="B2622">
        <v>0.99999676499088797</v>
      </c>
      <c r="C2622">
        <v>0.97643939718572703</v>
      </c>
      <c r="D2622">
        <v>0.951027448995582</v>
      </c>
      <c r="E2622">
        <v>0.87908456124754397</v>
      </c>
      <c r="F2622">
        <v>0.296358420146141</v>
      </c>
      <c r="G2622">
        <v>0.19167343117767999</v>
      </c>
      <c r="H2622">
        <v>9.4705869339710605E-2</v>
      </c>
      <c r="I2622">
        <v>8.7731733124018302E-2</v>
      </c>
      <c r="J2622">
        <v>8.87595340262365E-2</v>
      </c>
      <c r="K2622">
        <v>7.4434052202245998E-2</v>
      </c>
      <c r="L2622">
        <v>2107.9454142652398</v>
      </c>
      <c r="M2622">
        <v>40.779251491384102</v>
      </c>
      <c r="N2622">
        <v>51.975089190384097</v>
      </c>
      <c r="O2622">
        <v>51.567775180124798</v>
      </c>
      <c r="P2622">
        <v>-0.17798629967645099</v>
      </c>
      <c r="Q2622">
        <v>9.97049223389328E-2</v>
      </c>
      <c r="R2622">
        <v>0.99459745605028904</v>
      </c>
      <c r="S2622" t="s">
        <v>9625</v>
      </c>
      <c r="T2622" t="s">
        <v>14004</v>
      </c>
      <c r="U2622" t="s">
        <v>14004</v>
      </c>
      <c r="V2622" t="s">
        <v>14004</v>
      </c>
      <c r="W2622" t="s">
        <v>16587</v>
      </c>
      <c r="X2622">
        <v>20</v>
      </c>
      <c r="Y2622" t="s">
        <v>23469</v>
      </c>
      <c r="Z2622" t="s">
        <v>30332</v>
      </c>
      <c r="AA2622">
        <v>0.45366170483073731</v>
      </c>
      <c r="AB2622" t="str">
        <f>HYPERLINK("Melting_Curves/meltCurve_P35813_PPM1A.pdf", "Melting_Curves/meltCurve_P35813_PPM1A.pdf")</f>
        <v>Melting_Curves/meltCurve_P35813_PPM1A.pdf</v>
      </c>
    </row>
    <row r="2623" spans="1:28" x14ac:dyDescent="0.25">
      <c r="A2623" t="s">
        <v>2627</v>
      </c>
      <c r="B2623">
        <v>0.99999676499088797</v>
      </c>
      <c r="C2623">
        <v>0.99630214461560296</v>
      </c>
      <c r="D2623">
        <v>1.0368826358039001</v>
      </c>
      <c r="E2623">
        <v>1.33173368663839</v>
      </c>
      <c r="F2623">
        <v>1.32454577291676</v>
      </c>
      <c r="G2623">
        <v>0.67754693632807395</v>
      </c>
      <c r="H2623">
        <v>0.15349269721952699</v>
      </c>
      <c r="I2623">
        <v>0.17754471957258799</v>
      </c>
      <c r="J2623">
        <v>0.17059915750865701</v>
      </c>
      <c r="K2623">
        <v>0.14034386812838201</v>
      </c>
      <c r="L2623">
        <v>14226.8201505098</v>
      </c>
      <c r="M2623">
        <v>250</v>
      </c>
      <c r="N2623">
        <v>56.995534161005303</v>
      </c>
      <c r="O2623">
        <v>56.9036388016386</v>
      </c>
      <c r="P2623">
        <v>-0.92206856809956605</v>
      </c>
      <c r="Q2623">
        <v>0.16049509134137499</v>
      </c>
      <c r="R2623">
        <v>0.90311851109687602</v>
      </c>
      <c r="S2623" t="s">
        <v>9626</v>
      </c>
      <c r="T2623" t="s">
        <v>14004</v>
      </c>
      <c r="U2623" t="s">
        <v>14004</v>
      </c>
      <c r="V2623" t="s">
        <v>14004</v>
      </c>
      <c r="W2623" t="s">
        <v>16588</v>
      </c>
      <c r="X2623">
        <v>33</v>
      </c>
      <c r="Y2623" t="s">
        <v>23470</v>
      </c>
      <c r="Z2623" t="s">
        <v>30333</v>
      </c>
      <c r="AA2623">
        <v>0.63370376911436732</v>
      </c>
      <c r="AB2623" t="str">
        <f>HYPERLINK("Melting_Curves/meltCurve_P35998_PSMC2.pdf", "Melting_Curves/meltCurve_P35998_PSMC2.pdf")</f>
        <v>Melting_Curves/meltCurve_P35998_PSMC2.pdf</v>
      </c>
    </row>
    <row r="2624" spans="1:28" x14ac:dyDescent="0.25">
      <c r="A2624" t="s">
        <v>2628</v>
      </c>
      <c r="B2624">
        <v>0.99999676499088797</v>
      </c>
      <c r="C2624">
        <v>1.0678112097149399</v>
      </c>
      <c r="D2624">
        <v>1.05962449491801</v>
      </c>
      <c r="E2624">
        <v>1.03171370221166</v>
      </c>
      <c r="F2624">
        <v>0.76786974164101396</v>
      </c>
      <c r="G2624">
        <v>0.46476458935742698</v>
      </c>
      <c r="H2624">
        <v>0.13165501728357301</v>
      </c>
      <c r="I2624">
        <v>0.123280826674648</v>
      </c>
      <c r="J2624">
        <v>0.10661237639811701</v>
      </c>
      <c r="K2624">
        <v>7.3844694305466099E-2</v>
      </c>
      <c r="L2624">
        <v>1526.2220072554501</v>
      </c>
      <c r="M2624">
        <v>27.346040084630602</v>
      </c>
      <c r="N2624">
        <v>56.173945850986499</v>
      </c>
      <c r="O2624">
        <v>55.515522813706397</v>
      </c>
      <c r="P2624">
        <v>-0.113185729864548</v>
      </c>
      <c r="Q2624">
        <v>8.08894782242736E-2</v>
      </c>
      <c r="R2624">
        <v>0.99050440852571897</v>
      </c>
      <c r="S2624" t="s">
        <v>9627</v>
      </c>
      <c r="T2624" t="s">
        <v>14004</v>
      </c>
      <c r="U2624" t="s">
        <v>14004</v>
      </c>
      <c r="V2624" t="s">
        <v>14004</v>
      </c>
      <c r="W2624" t="s">
        <v>16589</v>
      </c>
      <c r="X2624">
        <v>8</v>
      </c>
      <c r="Y2624" t="s">
        <v>23471</v>
      </c>
      <c r="Z2624" t="s">
        <v>30334</v>
      </c>
      <c r="AA2624">
        <v>0.57254766587206274</v>
      </c>
      <c r="AB2624" t="str">
        <f>HYPERLINK("Melting_Curves/meltCurve_P36404_ARL2.pdf", "Melting_Curves/meltCurve_P36404_ARL2.pdf")</f>
        <v>Melting_Curves/meltCurve_P36404_ARL2.pdf</v>
      </c>
    </row>
    <row r="2625" spans="1:28" x14ac:dyDescent="0.25">
      <c r="A2625" t="s">
        <v>2629</v>
      </c>
      <c r="B2625">
        <v>0.99999676499088797</v>
      </c>
      <c r="C2625">
        <v>1.0861832118452199</v>
      </c>
      <c r="D2625">
        <v>1.0963297048941301</v>
      </c>
      <c r="E2625">
        <v>1.0794416927055099</v>
      </c>
      <c r="F2625">
        <v>0.94618239553148697</v>
      </c>
      <c r="G2625">
        <v>0.64864483082239999</v>
      </c>
      <c r="H2625">
        <v>0.28161119717891703</v>
      </c>
      <c r="I2625">
        <v>0.22669656139319899</v>
      </c>
      <c r="J2625">
        <v>0.18604811979007099</v>
      </c>
      <c r="K2625">
        <v>0.18438562559001201</v>
      </c>
      <c r="L2625">
        <v>2038.6157812746401</v>
      </c>
      <c r="M2625">
        <v>35.614342601619697</v>
      </c>
      <c r="N2625">
        <v>58.025518518731602</v>
      </c>
      <c r="O2625">
        <v>57.061851211323201</v>
      </c>
      <c r="P2625">
        <v>-0.126232770429451</v>
      </c>
      <c r="Q2625">
        <v>0.19099425579347701</v>
      </c>
      <c r="R2625">
        <v>0.98423492734290097</v>
      </c>
      <c r="S2625" t="s">
        <v>9628</v>
      </c>
      <c r="T2625" t="s">
        <v>14004</v>
      </c>
      <c r="U2625" t="s">
        <v>14004</v>
      </c>
      <c r="V2625" t="s">
        <v>14004</v>
      </c>
      <c r="W2625" t="s">
        <v>16590</v>
      </c>
      <c r="X2625">
        <v>13</v>
      </c>
      <c r="Y2625" t="s">
        <v>23472</v>
      </c>
      <c r="Z2625" t="s">
        <v>30335</v>
      </c>
      <c r="AA2625">
        <v>0.65988409227543798</v>
      </c>
      <c r="AB2625" t="str">
        <f>HYPERLINK("Melting_Curves/meltCurve_P36405_ARL3.pdf", "Melting_Curves/meltCurve_P36405_ARL3.pdf")</f>
        <v>Melting_Curves/meltCurve_P36405_ARL3.pdf</v>
      </c>
    </row>
    <row r="2626" spans="1:28" x14ac:dyDescent="0.25">
      <c r="A2626" t="s">
        <v>2630</v>
      </c>
      <c r="B2626">
        <v>0.99999676499088797</v>
      </c>
      <c r="C2626">
        <v>2.7362155642564101</v>
      </c>
      <c r="D2626">
        <v>2.8362900365030499</v>
      </c>
      <c r="E2626">
        <v>4.7043598559199804</v>
      </c>
      <c r="F2626">
        <v>4.1613758769694602</v>
      </c>
      <c r="G2626">
        <v>4.4105433390339304</v>
      </c>
      <c r="H2626">
        <v>1.64360213575077</v>
      </c>
      <c r="I2626">
        <v>1.00329925712398</v>
      </c>
      <c r="J2626">
        <v>0.43627716175738002</v>
      </c>
      <c r="K2626">
        <v>0.57216071630989296</v>
      </c>
      <c r="L2626">
        <v>15000</v>
      </c>
      <c r="M2626">
        <v>229.97017472773101</v>
      </c>
      <c r="O2626">
        <v>65.220941412070999</v>
      </c>
      <c r="P2626">
        <v>-0.43728941109519798</v>
      </c>
      <c r="Q2626">
        <v>0.503928431879338</v>
      </c>
      <c r="R2626">
        <v>-0.72683348887699295</v>
      </c>
      <c r="S2626" t="s">
        <v>9629</v>
      </c>
      <c r="T2626" t="s">
        <v>14004</v>
      </c>
      <c r="U2626" t="s">
        <v>14004</v>
      </c>
      <c r="V2626" t="s">
        <v>14004</v>
      </c>
      <c r="W2626" t="s">
        <v>16591</v>
      </c>
      <c r="X2626">
        <v>1</v>
      </c>
      <c r="Y2626" t="s">
        <v>23473</v>
      </c>
      <c r="Z2626" t="s">
        <v>30336</v>
      </c>
      <c r="AA2626">
        <v>0.92112309858015773</v>
      </c>
      <c r="AB2626" t="str">
        <f>HYPERLINK("Melting_Curves/meltCurve_P36406_3_TRIM23.pdf", "Melting_Curves/meltCurve_P36406_3_TRIM23.pdf")</f>
        <v>Melting_Curves/meltCurve_P36406_3_TRIM23.pdf</v>
      </c>
    </row>
    <row r="2627" spans="1:28" x14ac:dyDescent="0.25">
      <c r="A2627" t="s">
        <v>2631</v>
      </c>
      <c r="B2627">
        <v>0.99999676499088797</v>
      </c>
      <c r="C2627">
        <v>1.0133477529688699</v>
      </c>
      <c r="D2627">
        <v>1.0376303482337299</v>
      </c>
      <c r="E2627">
        <v>1.00227670364613</v>
      </c>
      <c r="F2627">
        <v>0.453971354956273</v>
      </c>
      <c r="G2627">
        <v>0.21698322911562101</v>
      </c>
      <c r="H2627">
        <v>9.7679273581937606E-2</v>
      </c>
      <c r="I2627">
        <v>9.0509606803151801E-2</v>
      </c>
      <c r="J2627">
        <v>8.7709758823366096E-2</v>
      </c>
      <c r="K2627">
        <v>8.8292693115373203E-2</v>
      </c>
      <c r="L2627">
        <v>2402.7927460975402</v>
      </c>
      <c r="M2627">
        <v>45.517503790674503</v>
      </c>
      <c r="N2627">
        <v>53.066800607360101</v>
      </c>
      <c r="O2627">
        <v>52.686724936191403</v>
      </c>
      <c r="P2627">
        <v>-0.19303753612810501</v>
      </c>
      <c r="Q2627">
        <v>0.10623350304972</v>
      </c>
      <c r="R2627">
        <v>0.993761440833417</v>
      </c>
      <c r="S2627" t="s">
        <v>9630</v>
      </c>
      <c r="T2627" t="s">
        <v>14004</v>
      </c>
      <c r="U2627" t="s">
        <v>14004</v>
      </c>
      <c r="V2627" t="s">
        <v>14004</v>
      </c>
      <c r="W2627" t="s">
        <v>16592</v>
      </c>
      <c r="X2627">
        <v>16</v>
      </c>
      <c r="Y2627" t="s">
        <v>23474</v>
      </c>
      <c r="Z2627" t="s">
        <v>30337</v>
      </c>
      <c r="AA2627">
        <v>0.48973930896840318</v>
      </c>
      <c r="AB2627" t="str">
        <f>HYPERLINK("Melting_Curves/meltCurve_P36507_MAP2K2.pdf", "Melting_Curves/meltCurve_P36507_MAP2K2.pdf")</f>
        <v>Melting_Curves/meltCurve_P36507_MAP2K2.pdf</v>
      </c>
    </row>
    <row r="2628" spans="1:28" x14ac:dyDescent="0.25">
      <c r="A2628" t="s">
        <v>2632</v>
      </c>
      <c r="B2628">
        <v>0.99999676499088797</v>
      </c>
      <c r="C2628">
        <v>1.1964136413444599</v>
      </c>
      <c r="D2628">
        <v>1.1598156658360801</v>
      </c>
      <c r="E2628">
        <v>1.30237674687701</v>
      </c>
      <c r="F2628">
        <v>1.1210619132311599</v>
      </c>
      <c r="G2628">
        <v>1.30534154818877</v>
      </c>
      <c r="H2628">
        <v>0.51908336477711203</v>
      </c>
      <c r="I2628">
        <v>0.249763082290755</v>
      </c>
      <c r="J2628">
        <v>0.15094729580063099</v>
      </c>
      <c r="K2628">
        <v>0.12576722183356701</v>
      </c>
      <c r="L2628">
        <v>7244.4640131951801</v>
      </c>
      <c r="M2628">
        <v>119.48179063773399</v>
      </c>
      <c r="N2628">
        <v>60.851433620252401</v>
      </c>
      <c r="O2628">
        <v>60.615388046904997</v>
      </c>
      <c r="P2628">
        <v>-0.40665690512231401</v>
      </c>
      <c r="Q2628">
        <v>0.174780847518651</v>
      </c>
      <c r="R2628">
        <v>0.87599985793391699</v>
      </c>
      <c r="S2628" t="s">
        <v>9631</v>
      </c>
      <c r="T2628" t="s">
        <v>14004</v>
      </c>
      <c r="U2628" t="s">
        <v>14004</v>
      </c>
      <c r="V2628" t="s">
        <v>14004</v>
      </c>
      <c r="W2628" t="s">
        <v>16593</v>
      </c>
      <c r="X2628">
        <v>18</v>
      </c>
      <c r="Y2628" t="s">
        <v>23475</v>
      </c>
      <c r="Z2628" t="s">
        <v>30338</v>
      </c>
      <c r="AA2628">
        <v>0.74270643622923793</v>
      </c>
      <c r="AB2628" t="str">
        <f>HYPERLINK("Melting_Curves/meltCurve_P36542_ATP5C1.pdf", "Melting_Curves/meltCurve_P36542_ATP5C1.pdf")</f>
        <v>Melting_Curves/meltCurve_P36542_ATP5C1.pdf</v>
      </c>
    </row>
    <row r="2629" spans="1:28" x14ac:dyDescent="0.25">
      <c r="A2629" t="s">
        <v>2633</v>
      </c>
      <c r="B2629">
        <v>0.99999676499088797</v>
      </c>
      <c r="C2629">
        <v>0.929360037764146</v>
      </c>
      <c r="D2629">
        <v>0.98950890211711195</v>
      </c>
      <c r="E2629">
        <v>1.0627494955518499</v>
      </c>
      <c r="F2629">
        <v>0.79821958208168198</v>
      </c>
      <c r="G2629">
        <v>0.36953743481887902</v>
      </c>
      <c r="H2629">
        <v>0.167652349988996</v>
      </c>
      <c r="I2629">
        <v>0.210176834425058</v>
      </c>
      <c r="J2629">
        <v>0.24681041922545999</v>
      </c>
      <c r="K2629">
        <v>0.21870982375232301</v>
      </c>
      <c r="L2629">
        <v>2273.9336209888802</v>
      </c>
      <c r="M2629">
        <v>41.564657987554597</v>
      </c>
      <c r="N2629">
        <v>55.437446490347</v>
      </c>
      <c r="O2629">
        <v>54.582164785371397</v>
      </c>
      <c r="P2629">
        <v>-0.150291689316851</v>
      </c>
      <c r="Q2629">
        <v>0.210557105490038</v>
      </c>
      <c r="R2629">
        <v>0.98841191262405503</v>
      </c>
      <c r="S2629" t="s">
        <v>9632</v>
      </c>
      <c r="T2629" t="s">
        <v>14004</v>
      </c>
      <c r="U2629" t="s">
        <v>14004</v>
      </c>
      <c r="V2629" t="s">
        <v>14004</v>
      </c>
      <c r="W2629" t="s">
        <v>16594</v>
      </c>
      <c r="X2629">
        <v>15</v>
      </c>
      <c r="Y2629" t="s">
        <v>23476</v>
      </c>
      <c r="Z2629" t="s">
        <v>30339</v>
      </c>
      <c r="AA2629">
        <v>0.60036061045245792</v>
      </c>
      <c r="AB2629" t="str">
        <f>HYPERLINK("Melting_Curves/meltCurve_P36543_ATP6V1E1.pdf", "Melting_Curves/meltCurve_P36543_ATP6V1E1.pdf")</f>
        <v>Melting_Curves/meltCurve_P36543_ATP6V1E1.pdf</v>
      </c>
    </row>
    <row r="2630" spans="1:28" x14ac:dyDescent="0.25">
      <c r="A2630" t="s">
        <v>2634</v>
      </c>
      <c r="B2630">
        <v>0.99999676499088797</v>
      </c>
      <c r="C2630">
        <v>0.97081533682227505</v>
      </c>
      <c r="D2630">
        <v>0.96298436450464697</v>
      </c>
      <c r="E2630">
        <v>1.0600052326557801</v>
      </c>
      <c r="F2630">
        <v>0.93988486966032403</v>
      </c>
      <c r="G2630">
        <v>0.67420463030597999</v>
      </c>
      <c r="H2630">
        <v>0.31218249997004799</v>
      </c>
      <c r="I2630">
        <v>0.16117136990106801</v>
      </c>
      <c r="J2630">
        <v>0.118560459063455</v>
      </c>
      <c r="K2630">
        <v>0.11346637840722699</v>
      </c>
      <c r="L2630">
        <v>1629.04580134356</v>
      </c>
      <c r="M2630">
        <v>28.065528165371202</v>
      </c>
      <c r="N2630">
        <v>58.529763209417702</v>
      </c>
      <c r="O2630">
        <v>57.752075385043703</v>
      </c>
      <c r="P2630">
        <v>-0.108878661547737</v>
      </c>
      <c r="Q2630">
        <v>0.103823729802069</v>
      </c>
      <c r="R2630">
        <v>0.99527218537644602</v>
      </c>
      <c r="S2630" t="s">
        <v>9633</v>
      </c>
      <c r="T2630" t="s">
        <v>14004</v>
      </c>
      <c r="U2630" t="s">
        <v>14004</v>
      </c>
      <c r="V2630" t="s">
        <v>14004</v>
      </c>
      <c r="W2630" t="s">
        <v>16595</v>
      </c>
      <c r="X2630">
        <v>16</v>
      </c>
      <c r="Y2630" t="s">
        <v>23477</v>
      </c>
      <c r="Z2630" t="s">
        <v>30340</v>
      </c>
      <c r="AA2630">
        <v>0.64941432631288998</v>
      </c>
      <c r="AB2630" t="str">
        <f>HYPERLINK("Melting_Curves/meltCurve_P36551_CPOX.pdf", "Melting_Curves/meltCurve_P36551_CPOX.pdf")</f>
        <v>Melting_Curves/meltCurve_P36551_CPOX.pdf</v>
      </c>
    </row>
    <row r="2631" spans="1:28" x14ac:dyDescent="0.25">
      <c r="A2631" t="s">
        <v>2635</v>
      </c>
      <c r="B2631">
        <v>0.99999676499088797</v>
      </c>
      <c r="C2631">
        <v>1.08919983862078</v>
      </c>
      <c r="D2631">
        <v>1.21592997710759</v>
      </c>
      <c r="E2631">
        <v>1.32610271415827</v>
      </c>
      <c r="F2631">
        <v>1.5000088211601099</v>
      </c>
      <c r="G2631">
        <v>1.5221872487336201</v>
      </c>
      <c r="H2631">
        <v>0.26735341766026799</v>
      </c>
      <c r="I2631">
        <v>0.20998178692151101</v>
      </c>
      <c r="J2631">
        <v>0.18571981205729801</v>
      </c>
      <c r="K2631">
        <v>0.221696560917851</v>
      </c>
      <c r="L2631">
        <v>15000</v>
      </c>
      <c r="M2631">
        <v>249.187217274631</v>
      </c>
      <c r="N2631">
        <v>60.324092020450799</v>
      </c>
      <c r="O2631">
        <v>60.191826868287301</v>
      </c>
      <c r="P2631">
        <v>-0.82197556214407996</v>
      </c>
      <c r="Q2631">
        <v>0.20579857715739899</v>
      </c>
      <c r="R2631">
        <v>0.76400867010742302</v>
      </c>
      <c r="S2631" t="s">
        <v>9634</v>
      </c>
      <c r="T2631" t="s">
        <v>14004</v>
      </c>
      <c r="U2631" t="s">
        <v>14004</v>
      </c>
      <c r="V2631" t="s">
        <v>14004</v>
      </c>
      <c r="W2631" t="s">
        <v>16596</v>
      </c>
      <c r="X2631">
        <v>9</v>
      </c>
      <c r="Y2631" t="s">
        <v>23478</v>
      </c>
      <c r="Z2631" t="s">
        <v>30341</v>
      </c>
      <c r="AA2631">
        <v>0.74053159169254512</v>
      </c>
      <c r="AB2631" t="str">
        <f>HYPERLINK("Melting_Curves/meltCurve_P36578_RPL4.pdf", "Melting_Curves/meltCurve_P36578_RPL4.pdf")</f>
        <v>Melting_Curves/meltCurve_P36578_RPL4.pdf</v>
      </c>
    </row>
    <row r="2632" spans="1:28" x14ac:dyDescent="0.25">
      <c r="A2632" t="s">
        <v>2636</v>
      </c>
      <c r="B2632">
        <v>0.99999676499088797</v>
      </c>
      <c r="C2632">
        <v>0.99464659241845199</v>
      </c>
      <c r="D2632">
        <v>0.97352741238965901</v>
      </c>
      <c r="E2632">
        <v>0.80181628682982797</v>
      </c>
      <c r="F2632">
        <v>0.65730268936542102</v>
      </c>
      <c r="G2632">
        <v>0.371835200278398</v>
      </c>
      <c r="H2632">
        <v>0.13448748612276901</v>
      </c>
      <c r="I2632">
        <v>8.7146130780018594E-2</v>
      </c>
      <c r="J2632">
        <v>7.3881382697451703E-2</v>
      </c>
      <c r="K2632">
        <v>6.5939965190211502E-2</v>
      </c>
      <c r="L2632">
        <v>927.20977873342201</v>
      </c>
      <c r="M2632">
        <v>16.966120234389098</v>
      </c>
      <c r="N2632">
        <v>54.805204364059797</v>
      </c>
      <c r="O2632">
        <v>53.908364436788403</v>
      </c>
      <c r="P2632">
        <v>-7.6847413369223294E-2</v>
      </c>
      <c r="Q2632">
        <v>2.3357071063788998E-2</v>
      </c>
      <c r="R2632">
        <v>0.99597253314931</v>
      </c>
      <c r="S2632" t="s">
        <v>9635</v>
      </c>
      <c r="T2632" t="s">
        <v>14004</v>
      </c>
      <c r="U2632" t="s">
        <v>14004</v>
      </c>
      <c r="V2632" t="s">
        <v>14004</v>
      </c>
      <c r="W2632" t="s">
        <v>16597</v>
      </c>
      <c r="X2632">
        <v>7</v>
      </c>
      <c r="Y2632" t="s">
        <v>23479</v>
      </c>
      <c r="Z2632" t="s">
        <v>30342</v>
      </c>
      <c r="AA2632">
        <v>0.51689528872925961</v>
      </c>
      <c r="AB2632" t="str">
        <f>HYPERLINK("Melting_Curves/meltCurve_P36639_4_NUDT1.pdf", "Melting_Curves/meltCurve_P36639_4_NUDT1.pdf")</f>
        <v>Melting_Curves/meltCurve_P36639_4_NUDT1.pdf</v>
      </c>
    </row>
    <row r="2633" spans="1:28" x14ac:dyDescent="0.25">
      <c r="A2633" t="s">
        <v>2637</v>
      </c>
      <c r="B2633">
        <v>0.99999676499088797</v>
      </c>
      <c r="C2633">
        <v>0.93898809058938604</v>
      </c>
      <c r="D2633">
        <v>1.0077550502646</v>
      </c>
      <c r="E2633">
        <v>1.1755857947672299</v>
      </c>
      <c r="F2633">
        <v>1.12177291596594</v>
      </c>
      <c r="G2633">
        <v>0.922890235207804</v>
      </c>
      <c r="H2633">
        <v>0.58320978132053103</v>
      </c>
      <c r="I2633">
        <v>0.179344488854563</v>
      </c>
      <c r="J2633">
        <v>0.122306568854361</v>
      </c>
      <c r="K2633">
        <v>0.10897608035369399</v>
      </c>
      <c r="L2633">
        <v>2664.3974968706302</v>
      </c>
      <c r="M2633">
        <v>43.729013388008703</v>
      </c>
      <c r="N2633">
        <v>61.241832190371703</v>
      </c>
      <c r="O2633">
        <v>60.8027426420715</v>
      </c>
      <c r="P2633">
        <v>-0.16184059916464699</v>
      </c>
      <c r="Q2633">
        <v>9.9880336299073599E-2</v>
      </c>
      <c r="R2633">
        <v>0.96861599186023195</v>
      </c>
      <c r="S2633" t="s">
        <v>9636</v>
      </c>
      <c r="T2633" t="s">
        <v>14004</v>
      </c>
      <c r="U2633" t="s">
        <v>14004</v>
      </c>
      <c r="V2633" t="s">
        <v>14004</v>
      </c>
      <c r="W2633" t="s">
        <v>16598</v>
      </c>
      <c r="X2633">
        <v>39</v>
      </c>
      <c r="Y2633" t="s">
        <v>23480</v>
      </c>
      <c r="Z2633" t="s">
        <v>30343</v>
      </c>
      <c r="AA2633">
        <v>0.7308228197399641</v>
      </c>
      <c r="AB2633" t="str">
        <f>HYPERLINK("Melting_Curves/meltCurve_P36871_PGM1.pdf", "Melting_Curves/meltCurve_P36871_PGM1.pdf")</f>
        <v>Melting_Curves/meltCurve_P36871_PGM1.pdf</v>
      </c>
    </row>
    <row r="2634" spans="1:28" x14ac:dyDescent="0.25">
      <c r="A2634" t="s">
        <v>2638</v>
      </c>
      <c r="B2634">
        <v>0.99999676499088797</v>
      </c>
      <c r="C2634">
        <v>1.2277092583613101</v>
      </c>
      <c r="D2634">
        <v>1.3358426850796301</v>
      </c>
      <c r="E2634">
        <v>1.26080038695578</v>
      </c>
      <c r="F2634">
        <v>0.96170162473148302</v>
      </c>
      <c r="G2634">
        <v>0.46390088678963898</v>
      </c>
      <c r="H2634">
        <v>0.13430066001045701</v>
      </c>
      <c r="I2634">
        <v>9.1968353866906202E-2</v>
      </c>
      <c r="J2634">
        <v>3.7033039094516301E-2</v>
      </c>
      <c r="K2634">
        <v>4.7537256095666898E-2</v>
      </c>
      <c r="L2634">
        <v>2690.35385681342</v>
      </c>
      <c r="M2634">
        <v>47.632963772488999</v>
      </c>
      <c r="N2634">
        <v>56.654254821526301</v>
      </c>
      <c r="O2634">
        <v>56.381642619525401</v>
      </c>
      <c r="P2634">
        <v>-0.196886213592086</v>
      </c>
      <c r="Q2634">
        <v>6.7808863771299993E-2</v>
      </c>
      <c r="R2634">
        <v>0.91388293800196596</v>
      </c>
      <c r="S2634" t="s">
        <v>9637</v>
      </c>
      <c r="T2634" t="s">
        <v>14004</v>
      </c>
      <c r="U2634" t="s">
        <v>14004</v>
      </c>
      <c r="V2634" t="s">
        <v>14004</v>
      </c>
      <c r="W2634" t="s">
        <v>16599</v>
      </c>
      <c r="X2634">
        <v>18</v>
      </c>
      <c r="Y2634" t="s">
        <v>23481</v>
      </c>
      <c r="Z2634" t="s">
        <v>30344</v>
      </c>
      <c r="AA2634">
        <v>0.58247571444652457</v>
      </c>
      <c r="AB2634" t="str">
        <f>HYPERLINK("Melting_Curves/meltCurve_P36873_2_PPP1CC.pdf", "Melting_Curves/meltCurve_P36873_2_PPP1CC.pdf")</f>
        <v>Melting_Curves/meltCurve_P36873_2_PPP1CC.pdf</v>
      </c>
    </row>
    <row r="2635" spans="1:28" x14ac:dyDescent="0.25">
      <c r="A2635" t="s">
        <v>2639</v>
      </c>
      <c r="B2635">
        <v>0.99999676499088797</v>
      </c>
      <c r="C2635">
        <v>0.893395401769563</v>
      </c>
      <c r="D2635">
        <v>0.89916451373437001</v>
      </c>
      <c r="E2635">
        <v>0.68252344541582399</v>
      </c>
      <c r="F2635">
        <v>0.175683353205658</v>
      </c>
      <c r="G2635">
        <v>0.11734637048893801</v>
      </c>
      <c r="H2635">
        <v>5.0658558597702102E-2</v>
      </c>
      <c r="I2635">
        <v>5.27432786003246E-2</v>
      </c>
      <c r="J2635">
        <v>5.4266194150887098E-2</v>
      </c>
      <c r="K2635">
        <v>4.4690316924453001E-2</v>
      </c>
      <c r="L2635">
        <v>1518.85647543254</v>
      </c>
      <c r="M2635">
        <v>30.093147214300298</v>
      </c>
      <c r="N2635">
        <v>50.651651482852898</v>
      </c>
      <c r="O2635">
        <v>50.250534608167499</v>
      </c>
      <c r="P2635">
        <v>-0.142131895732027</v>
      </c>
      <c r="Q2635">
        <v>5.06599308944354E-2</v>
      </c>
      <c r="R2635">
        <v>0.98878688472440801</v>
      </c>
      <c r="S2635" t="s">
        <v>9638</v>
      </c>
      <c r="T2635" t="s">
        <v>14004</v>
      </c>
      <c r="U2635" t="s">
        <v>14004</v>
      </c>
      <c r="V2635" t="s">
        <v>14004</v>
      </c>
      <c r="W2635" t="s">
        <v>16600</v>
      </c>
      <c r="X2635">
        <v>16</v>
      </c>
      <c r="Y2635" t="s">
        <v>23482</v>
      </c>
      <c r="Z2635" t="s">
        <v>30345</v>
      </c>
      <c r="AA2635">
        <v>0.38791825530884388</v>
      </c>
      <c r="AB2635" t="str">
        <f>HYPERLINK("Melting_Curves/meltCurve_P36915_GNL1.pdf", "Melting_Curves/meltCurve_P36915_GNL1.pdf")</f>
        <v>Melting_Curves/meltCurve_P36915_GNL1.pdf</v>
      </c>
    </row>
    <row r="2636" spans="1:28" x14ac:dyDescent="0.25">
      <c r="A2636" t="s">
        <v>2640</v>
      </c>
      <c r="B2636">
        <v>0.99999676499088797</v>
      </c>
      <c r="C2636">
        <v>1.01570361262598</v>
      </c>
      <c r="D2636">
        <v>1.09913912898569</v>
      </c>
      <c r="E2636">
        <v>1.12209444360032</v>
      </c>
      <c r="F2636">
        <v>0.79374258456308699</v>
      </c>
      <c r="G2636">
        <v>0.63080314725421405</v>
      </c>
      <c r="H2636">
        <v>0.35829408609095398</v>
      </c>
      <c r="I2636">
        <v>0.27735413646357399</v>
      </c>
      <c r="J2636">
        <v>0.28202254655435099</v>
      </c>
      <c r="K2636">
        <v>0.37224910503426401</v>
      </c>
      <c r="L2636">
        <v>1564.49226980599</v>
      </c>
      <c r="M2636">
        <v>27.9134857678958</v>
      </c>
      <c r="N2636">
        <v>57.967905357765403</v>
      </c>
      <c r="O2636">
        <v>55.762600003065799</v>
      </c>
      <c r="P2636">
        <v>-8.7395988778430897E-2</v>
      </c>
      <c r="Q2636">
        <v>0.30164427519988701</v>
      </c>
      <c r="R2636">
        <v>0.95915683205144098</v>
      </c>
      <c r="S2636" t="s">
        <v>9639</v>
      </c>
      <c r="T2636" t="s">
        <v>14004</v>
      </c>
      <c r="U2636" t="s">
        <v>14004</v>
      </c>
      <c r="V2636" t="s">
        <v>14004</v>
      </c>
      <c r="W2636" t="s">
        <v>16601</v>
      </c>
      <c r="X2636">
        <v>8</v>
      </c>
      <c r="Y2636" t="s">
        <v>23483</v>
      </c>
      <c r="Z2636" t="s">
        <v>30346</v>
      </c>
      <c r="AA2636">
        <v>0.68051864860630185</v>
      </c>
      <c r="AB2636" t="str">
        <f>HYPERLINK("Melting_Curves/meltCurve_P36954_POLR2I.pdf", "Melting_Curves/meltCurve_P36954_POLR2I.pdf")</f>
        <v>Melting_Curves/meltCurve_P36954_POLR2I.pdf</v>
      </c>
    </row>
    <row r="2637" spans="1:28" x14ac:dyDescent="0.25">
      <c r="A2637" t="s">
        <v>2641</v>
      </c>
      <c r="B2637">
        <v>0.99999676499088797</v>
      </c>
      <c r="C2637">
        <v>1.0218413584069601</v>
      </c>
      <c r="D2637">
        <v>0.99369265478562896</v>
      </c>
      <c r="E2637">
        <v>0.92419582828916502</v>
      </c>
      <c r="F2637">
        <v>0.88635899947319496</v>
      </c>
      <c r="G2637">
        <v>0.87948080593979405</v>
      </c>
      <c r="H2637">
        <v>0.62244828525557205</v>
      </c>
      <c r="I2637">
        <v>0.74198840315028802</v>
      </c>
      <c r="J2637">
        <v>0.76307968257857905</v>
      </c>
      <c r="K2637">
        <v>0.71573977528972099</v>
      </c>
      <c r="L2637">
        <v>1013.8962401713</v>
      </c>
      <c r="M2637">
        <v>18.558951320205601</v>
      </c>
      <c r="O2637">
        <v>54.008688156605203</v>
      </c>
      <c r="P2637">
        <v>-2.51055863066071E-2</v>
      </c>
      <c r="Q2637">
        <v>0.70777219148599002</v>
      </c>
      <c r="R2637">
        <v>0.84986228772085703</v>
      </c>
      <c r="S2637" t="s">
        <v>9640</v>
      </c>
      <c r="T2637" t="s">
        <v>14004</v>
      </c>
      <c r="U2637" t="s">
        <v>14004</v>
      </c>
      <c r="V2637" t="s">
        <v>14004</v>
      </c>
      <c r="W2637" t="s">
        <v>16602</v>
      </c>
      <c r="X2637">
        <v>25</v>
      </c>
      <c r="Y2637" t="s">
        <v>23484</v>
      </c>
      <c r="Z2637" t="s">
        <v>30347</v>
      </c>
      <c r="AA2637">
        <v>0.85468183328512715</v>
      </c>
      <c r="AB2637" t="str">
        <f>HYPERLINK("Melting_Curves/meltCurve_P36957_DLST.pdf", "Melting_Curves/meltCurve_P36957_DLST.pdf")</f>
        <v>Melting_Curves/meltCurve_P36957_DLST.pdf</v>
      </c>
    </row>
    <row r="2638" spans="1:28" x14ac:dyDescent="0.25">
      <c r="A2638" t="s">
        <v>2642</v>
      </c>
      <c r="B2638">
        <v>0.99999676499088797</v>
      </c>
      <c r="C2638">
        <v>0.96539878799405898</v>
      </c>
      <c r="D2638">
        <v>1.0766809217178099</v>
      </c>
      <c r="E2638">
        <v>1.4075998299314401</v>
      </c>
      <c r="F2638">
        <v>1.44415601360834</v>
      </c>
      <c r="G2638">
        <v>0.94460517659058996</v>
      </c>
      <c r="H2638">
        <v>0.139256258633462</v>
      </c>
      <c r="I2638">
        <v>0.101470968848083</v>
      </c>
      <c r="J2638">
        <v>8.4842413715982903E-2</v>
      </c>
      <c r="K2638">
        <v>7.3798617698465199E-2</v>
      </c>
      <c r="L2638">
        <v>4849.4825702504504</v>
      </c>
      <c r="M2638">
        <v>82.580050037923399</v>
      </c>
      <c r="N2638">
        <v>58.860331911449499</v>
      </c>
      <c r="O2638">
        <v>58.690214583182502</v>
      </c>
      <c r="P2638">
        <v>-0.32127096042126102</v>
      </c>
      <c r="Q2638">
        <v>8.6682101839038295E-2</v>
      </c>
      <c r="R2638">
        <v>0.87001112198862596</v>
      </c>
      <c r="S2638" t="s">
        <v>9641</v>
      </c>
      <c r="T2638" t="s">
        <v>14004</v>
      </c>
      <c r="U2638" t="s">
        <v>14004</v>
      </c>
      <c r="V2638" t="s">
        <v>14004</v>
      </c>
      <c r="W2638" t="s">
        <v>16603</v>
      </c>
      <c r="X2638">
        <v>12</v>
      </c>
      <c r="Y2638" t="s">
        <v>23485</v>
      </c>
      <c r="Z2638" t="s">
        <v>30348</v>
      </c>
      <c r="AA2638">
        <v>0.65759749300155201</v>
      </c>
      <c r="AB2638" t="str">
        <f>HYPERLINK("Melting_Curves/meltCurve_P36969_2_GPX4.pdf", "Melting_Curves/meltCurve_P36969_2_GPX4.pdf")</f>
        <v>Melting_Curves/meltCurve_P36969_2_GPX4.pdf</v>
      </c>
    </row>
    <row r="2639" spans="1:28" x14ac:dyDescent="0.25">
      <c r="A2639" t="s">
        <v>2643</v>
      </c>
      <c r="B2639">
        <v>0.99999676499088797</v>
      </c>
      <c r="C2639">
        <v>0.85113021223458096</v>
      </c>
      <c r="D2639">
        <v>0.94775478331938001</v>
      </c>
      <c r="E2639">
        <v>0.86352807087143801</v>
      </c>
      <c r="F2639">
        <v>0.53533404784866701</v>
      </c>
      <c r="G2639">
        <v>0.70974524683625995</v>
      </c>
      <c r="H2639">
        <v>0.40807678880320303</v>
      </c>
      <c r="I2639">
        <v>0.25163320485896501</v>
      </c>
      <c r="J2639">
        <v>0.18482793717304999</v>
      </c>
      <c r="K2639">
        <v>0.155355424737979</v>
      </c>
      <c r="L2639">
        <v>532.01070350203202</v>
      </c>
      <c r="M2639">
        <v>9.1923331851583594</v>
      </c>
      <c r="N2639">
        <v>57.875459384709899</v>
      </c>
      <c r="O2639">
        <v>55.334039418778303</v>
      </c>
      <c r="P2639">
        <v>-4.1558947991314502E-2</v>
      </c>
      <c r="Q2639">
        <v>0</v>
      </c>
      <c r="R2639">
        <v>0.92612075195067201</v>
      </c>
      <c r="S2639" t="s">
        <v>9642</v>
      </c>
      <c r="T2639" t="s">
        <v>14004</v>
      </c>
      <c r="U2639" t="s">
        <v>14004</v>
      </c>
      <c r="V2639" t="s">
        <v>14004</v>
      </c>
      <c r="W2639" t="s">
        <v>16604</v>
      </c>
      <c r="X2639">
        <v>11</v>
      </c>
      <c r="Y2639" t="s">
        <v>23486</v>
      </c>
      <c r="Z2639" t="s">
        <v>30349</v>
      </c>
      <c r="AA2639">
        <v>0.6046268033630624</v>
      </c>
      <c r="AB2639" t="str">
        <f>HYPERLINK("Melting_Curves/meltCurve_P37108_SRP14.pdf", "Melting_Curves/meltCurve_P37108_SRP14.pdf")</f>
        <v>Melting_Curves/meltCurve_P37108_SRP14.pdf</v>
      </c>
    </row>
    <row r="2640" spans="1:28" x14ac:dyDescent="0.25">
      <c r="A2640" t="s">
        <v>2644</v>
      </c>
      <c r="B2640">
        <v>0.99999676499088797</v>
      </c>
      <c r="C2640">
        <v>0.96868409974258196</v>
      </c>
      <c r="D2640">
        <v>0.98152144249815798</v>
      </c>
      <c r="E2640">
        <v>0.70112264339519403</v>
      </c>
      <c r="F2640">
        <v>0.39828739216876902</v>
      </c>
      <c r="G2640">
        <v>0.29974041128544698</v>
      </c>
      <c r="H2640">
        <v>0.19064521988519501</v>
      </c>
      <c r="I2640">
        <v>0.221475661924845</v>
      </c>
      <c r="J2640">
        <v>0.25810903525984202</v>
      </c>
      <c r="K2640">
        <v>0.28020555070681702</v>
      </c>
      <c r="L2640">
        <v>1396.4039485184101</v>
      </c>
      <c r="M2640">
        <v>27.649815626192201</v>
      </c>
      <c r="N2640">
        <v>51.737993607684402</v>
      </c>
      <c r="O2640">
        <v>50.241236845788997</v>
      </c>
      <c r="P2640">
        <v>-0.104353052786668</v>
      </c>
      <c r="Q2640">
        <v>0.241545887088047</v>
      </c>
      <c r="R2640">
        <v>0.992593224576377</v>
      </c>
      <c r="S2640" t="s">
        <v>9643</v>
      </c>
      <c r="T2640" t="s">
        <v>14004</v>
      </c>
      <c r="U2640" t="s">
        <v>14004</v>
      </c>
      <c r="V2640" t="s">
        <v>14004</v>
      </c>
      <c r="W2640" t="s">
        <v>16605</v>
      </c>
      <c r="X2640">
        <v>12</v>
      </c>
      <c r="Y2640" t="s">
        <v>23487</v>
      </c>
      <c r="Z2640" t="s">
        <v>30350</v>
      </c>
      <c r="AA2640">
        <v>0.51265800695539487</v>
      </c>
      <c r="AB2640" t="str">
        <f>HYPERLINK("Melting_Curves/meltCurve_P37198_NUP62.pdf", "Melting_Curves/meltCurve_P37198_NUP62.pdf")</f>
        <v>Melting_Curves/meltCurve_P37198_NUP62.pdf</v>
      </c>
    </row>
    <row r="2641" spans="1:28" x14ac:dyDescent="0.25">
      <c r="A2641" t="s">
        <v>2645</v>
      </c>
      <c r="B2641">
        <v>0.99999676499088797</v>
      </c>
      <c r="C2641">
        <v>0.93797781974773298</v>
      </c>
      <c r="D2641">
        <v>0.96697058220839305</v>
      </c>
      <c r="E2641">
        <v>1.1380636727823601</v>
      </c>
      <c r="F2641">
        <v>0.96280557909995801</v>
      </c>
      <c r="G2641">
        <v>0.56793194305026695</v>
      </c>
      <c r="H2641">
        <v>0.24267576656609999</v>
      </c>
      <c r="I2641">
        <v>0.25641329269860202</v>
      </c>
      <c r="J2641">
        <v>0.30597719563459502</v>
      </c>
      <c r="K2641">
        <v>0.29260910902663601</v>
      </c>
      <c r="L2641">
        <v>3565.6129219292002</v>
      </c>
      <c r="M2641">
        <v>63.176201012594902</v>
      </c>
      <c r="N2641">
        <v>57.153100647867802</v>
      </c>
      <c r="O2641">
        <v>56.382710567163201</v>
      </c>
      <c r="P2641">
        <v>-0.203681366069871</v>
      </c>
      <c r="Q2641">
        <v>0.272884192585028</v>
      </c>
      <c r="R2641">
        <v>0.97712797980029098</v>
      </c>
      <c r="S2641" t="s">
        <v>9644</v>
      </c>
      <c r="T2641" t="s">
        <v>14004</v>
      </c>
      <c r="U2641" t="s">
        <v>14004</v>
      </c>
      <c r="V2641" t="s">
        <v>14004</v>
      </c>
      <c r="W2641" t="s">
        <v>16606</v>
      </c>
      <c r="X2641">
        <v>12</v>
      </c>
      <c r="Y2641" t="s">
        <v>23488</v>
      </c>
      <c r="Z2641" t="s">
        <v>30351</v>
      </c>
      <c r="AA2641">
        <v>0.67245507119756109</v>
      </c>
      <c r="AB2641" t="str">
        <f>HYPERLINK("Melting_Curves/meltCurve_P37235_HPCAL1.pdf", "Melting_Curves/meltCurve_P37235_HPCAL1.pdf")</f>
        <v>Melting_Curves/meltCurve_P37235_HPCAL1.pdf</v>
      </c>
    </row>
    <row r="2642" spans="1:28" x14ac:dyDescent="0.25">
      <c r="A2642" t="s">
        <v>2646</v>
      </c>
      <c r="B2642">
        <v>0.99999676499088797</v>
      </c>
      <c r="C2642">
        <v>0.98709846785927802</v>
      </c>
      <c r="D2642">
        <v>0.97853071306624595</v>
      </c>
      <c r="E2642">
        <v>0.92904293887886802</v>
      </c>
      <c r="F2642">
        <v>0.35940986294340599</v>
      </c>
      <c r="G2642">
        <v>0.17443718477106801</v>
      </c>
      <c r="H2642">
        <v>7.5423564476867697E-2</v>
      </c>
      <c r="I2642">
        <v>7.0714306322479603E-2</v>
      </c>
      <c r="J2642">
        <v>6.1863230001126097E-2</v>
      </c>
      <c r="K2642">
        <v>5.52969403095376E-2</v>
      </c>
      <c r="L2642">
        <v>2129.63683837913</v>
      </c>
      <c r="M2642">
        <v>40.755208794689501</v>
      </c>
      <c r="N2642">
        <v>52.470918282439598</v>
      </c>
      <c r="O2642">
        <v>52.129012764019699</v>
      </c>
      <c r="P2642">
        <v>-0.18032370101161799</v>
      </c>
      <c r="Q2642">
        <v>7.74108750521037E-2</v>
      </c>
      <c r="R2642">
        <v>0.99653266474077096</v>
      </c>
      <c r="S2642" t="s">
        <v>9645</v>
      </c>
      <c r="T2642" t="s">
        <v>14004</v>
      </c>
      <c r="U2642" t="s">
        <v>14004</v>
      </c>
      <c r="V2642" t="s">
        <v>14004</v>
      </c>
      <c r="W2642" t="s">
        <v>16607</v>
      </c>
      <c r="X2642">
        <v>24</v>
      </c>
      <c r="Y2642" t="s">
        <v>23489</v>
      </c>
      <c r="Z2642" t="s">
        <v>30352</v>
      </c>
      <c r="AA2642">
        <v>0.45747595750078568</v>
      </c>
      <c r="AB2642" t="str">
        <f>HYPERLINK("Melting_Curves/meltCurve_P37268_FDFT1.pdf", "Melting_Curves/meltCurve_P37268_FDFT1.pdf")</f>
        <v>Melting_Curves/meltCurve_P37268_FDFT1.pdf</v>
      </c>
    </row>
    <row r="2643" spans="1:28" x14ac:dyDescent="0.25">
      <c r="A2643" t="s">
        <v>2647</v>
      </c>
      <c r="B2643">
        <v>0.99999676499088797</v>
      </c>
      <c r="C2643">
        <v>1.08307618018881</v>
      </c>
      <c r="D2643">
        <v>0.92367563955329401</v>
      </c>
      <c r="E2643">
        <v>0.80048111102233699</v>
      </c>
      <c r="F2643">
        <v>0.52789454603267205</v>
      </c>
      <c r="G2643">
        <v>0.37822153180552198</v>
      </c>
      <c r="H2643">
        <v>0.27715251486632903</v>
      </c>
      <c r="I2643">
        <v>0.34853897098013098</v>
      </c>
      <c r="J2643">
        <v>0.38743149043574099</v>
      </c>
      <c r="K2643">
        <v>0.420595670506616</v>
      </c>
      <c r="L2643">
        <v>1397.2387053801799</v>
      </c>
      <c r="M2643">
        <v>27.3877778881834</v>
      </c>
      <c r="N2643">
        <v>53.432182203403897</v>
      </c>
      <c r="O2643">
        <v>50.747207769232404</v>
      </c>
      <c r="P2643">
        <v>-8.7023032384872703E-2</v>
      </c>
      <c r="Q2643">
        <v>0.35502113845301497</v>
      </c>
      <c r="R2643">
        <v>0.97288490185781795</v>
      </c>
      <c r="S2643" t="s">
        <v>9646</v>
      </c>
      <c r="T2643" t="s">
        <v>14004</v>
      </c>
      <c r="U2643" t="s">
        <v>14004</v>
      </c>
      <c r="V2643" t="s">
        <v>14004</v>
      </c>
      <c r="W2643" t="s">
        <v>16608</v>
      </c>
      <c r="X2643">
        <v>6</v>
      </c>
      <c r="Y2643" t="s">
        <v>23490</v>
      </c>
      <c r="Z2643" t="s">
        <v>30353</v>
      </c>
      <c r="AA2643">
        <v>0.59674150729783115</v>
      </c>
      <c r="AB2643" t="str">
        <f>HYPERLINK("Melting_Curves/meltCurve_P37275_3_ZEB1.pdf", "Melting_Curves/meltCurve_P37275_3_ZEB1.pdf")</f>
        <v>Melting_Curves/meltCurve_P37275_3_ZEB1.pdf</v>
      </c>
    </row>
    <row r="2644" spans="1:28" x14ac:dyDescent="0.25">
      <c r="A2644" t="s">
        <v>2648</v>
      </c>
      <c r="B2644">
        <v>0.99999676499088797</v>
      </c>
      <c r="C2644">
        <v>0.902958285114277</v>
      </c>
      <c r="D2644">
        <v>0.86898583640201499</v>
      </c>
      <c r="E2644">
        <v>0.56726760574216195</v>
      </c>
      <c r="F2644">
        <v>0.240326977272597</v>
      </c>
      <c r="G2644">
        <v>0.15438927162024799</v>
      </c>
      <c r="H2644">
        <v>7.9959646392295303E-2</v>
      </c>
      <c r="I2644">
        <v>7.7868208502612599E-2</v>
      </c>
      <c r="J2644">
        <v>7.7166718603138895E-2</v>
      </c>
      <c r="K2644">
        <v>7.84977244907374E-2</v>
      </c>
      <c r="L2644">
        <v>1021.25229754605</v>
      </c>
      <c r="M2644">
        <v>20.512890652781401</v>
      </c>
      <c r="N2644">
        <v>50.150414147320497</v>
      </c>
      <c r="O2644">
        <v>49.319990487081597</v>
      </c>
      <c r="P2644">
        <v>-9.6779871928544994E-2</v>
      </c>
      <c r="Q2644">
        <v>6.9260425455409905E-2</v>
      </c>
      <c r="R2644">
        <v>0.99585439823606903</v>
      </c>
      <c r="S2644" t="s">
        <v>9647</v>
      </c>
      <c r="T2644" t="s">
        <v>14004</v>
      </c>
      <c r="U2644" t="s">
        <v>14004</v>
      </c>
      <c r="V2644" t="s">
        <v>14004</v>
      </c>
      <c r="W2644" t="s">
        <v>16609</v>
      </c>
      <c r="X2644">
        <v>21</v>
      </c>
      <c r="Y2644" t="s">
        <v>23491</v>
      </c>
      <c r="Z2644" t="s">
        <v>30354</v>
      </c>
      <c r="AA2644">
        <v>0.38520088947772613</v>
      </c>
      <c r="AB2644" t="str">
        <f>HYPERLINK("Melting_Curves/meltCurve_P37802_TAGLN2.pdf", "Melting_Curves/meltCurve_P37802_TAGLN2.pdf")</f>
        <v>Melting_Curves/meltCurve_P37802_TAGLN2.pdf</v>
      </c>
    </row>
    <row r="2645" spans="1:28" x14ac:dyDescent="0.25">
      <c r="A2645" t="s">
        <v>2649</v>
      </c>
      <c r="B2645">
        <v>0.99999676499088797</v>
      </c>
      <c r="C2645">
        <v>0.97882494912615203</v>
      </c>
      <c r="D2645">
        <v>0.93706330181956798</v>
      </c>
      <c r="E2645">
        <v>0.72859493398125597</v>
      </c>
      <c r="F2645">
        <v>0.34247213185033398</v>
      </c>
      <c r="G2645">
        <v>0.24283657749878801</v>
      </c>
      <c r="H2645">
        <v>0.14990557671454099</v>
      </c>
      <c r="I2645">
        <v>0.13190733936056201</v>
      </c>
      <c r="J2645">
        <v>0.109691343913653</v>
      </c>
      <c r="K2645">
        <v>0.10587811512944301</v>
      </c>
      <c r="L2645">
        <v>1176.2118595075201</v>
      </c>
      <c r="M2645">
        <v>22.9940212684999</v>
      </c>
      <c r="N2645">
        <v>51.770107312238601</v>
      </c>
      <c r="O2645">
        <v>50.770760214578999</v>
      </c>
      <c r="P2645">
        <v>-9.9653436826231206E-2</v>
      </c>
      <c r="Q2645">
        <v>0.119877980614142</v>
      </c>
      <c r="R2645">
        <v>0.99719394702202402</v>
      </c>
      <c r="S2645" t="s">
        <v>9648</v>
      </c>
      <c r="T2645" t="s">
        <v>14004</v>
      </c>
      <c r="U2645" t="s">
        <v>14004</v>
      </c>
      <c r="V2645" t="s">
        <v>14004</v>
      </c>
      <c r="W2645" t="s">
        <v>16610</v>
      </c>
      <c r="X2645">
        <v>30</v>
      </c>
      <c r="Y2645" t="s">
        <v>23492</v>
      </c>
      <c r="Z2645" t="s">
        <v>30355</v>
      </c>
      <c r="AA2645">
        <v>0.45644885738237229</v>
      </c>
      <c r="AB2645" t="str">
        <f>HYPERLINK("Melting_Curves/meltCurve_P37837_TALDO1.pdf", "Melting_Curves/meltCurve_P37837_TALDO1.pdf")</f>
        <v>Melting_Curves/meltCurve_P37837_TALDO1.pdf</v>
      </c>
    </row>
    <row r="2646" spans="1:28" x14ac:dyDescent="0.25">
      <c r="A2646" t="s">
        <v>2650</v>
      </c>
      <c r="B2646">
        <v>0.99999676499088797</v>
      </c>
      <c r="C2646">
        <v>0.99369671705846696</v>
      </c>
      <c r="D2646">
        <v>0.95437595331779501</v>
      </c>
      <c r="E2646">
        <v>0.92007426771106904</v>
      </c>
      <c r="F2646">
        <v>0.68812449144358701</v>
      </c>
      <c r="G2646">
        <v>0.36250974312225998</v>
      </c>
      <c r="H2646">
        <v>0.177624580234063</v>
      </c>
      <c r="I2646">
        <v>8.8360254607433505E-2</v>
      </c>
      <c r="J2646">
        <v>7.7966917143521594E-2</v>
      </c>
      <c r="K2646">
        <v>6.8201812817616697E-2</v>
      </c>
      <c r="L2646">
        <v>1161.6260481225099</v>
      </c>
      <c r="M2646">
        <v>21.1448580671583</v>
      </c>
      <c r="N2646">
        <v>55.246434641434703</v>
      </c>
      <c r="O2646">
        <v>54.452278703343701</v>
      </c>
      <c r="P2646">
        <v>-9.1653788586040202E-2</v>
      </c>
      <c r="Q2646">
        <v>5.5916396833459801E-2</v>
      </c>
      <c r="R2646">
        <v>0.99909271551110801</v>
      </c>
      <c r="S2646" t="s">
        <v>9649</v>
      </c>
      <c r="T2646" t="s">
        <v>14004</v>
      </c>
      <c r="U2646" t="s">
        <v>14004</v>
      </c>
      <c r="V2646" t="s">
        <v>14004</v>
      </c>
      <c r="W2646" t="s">
        <v>16611</v>
      </c>
      <c r="X2646">
        <v>20</v>
      </c>
      <c r="Y2646" t="s">
        <v>23493</v>
      </c>
      <c r="Z2646" t="s">
        <v>30356</v>
      </c>
      <c r="AA2646">
        <v>0.5375180760259084</v>
      </c>
      <c r="AB2646" t="str">
        <f>HYPERLINK("Melting_Curves/meltCurve_P38117_ETFB.pdf", "Melting_Curves/meltCurve_P38117_ETFB.pdf")</f>
        <v>Melting_Curves/meltCurve_P38117_ETFB.pdf</v>
      </c>
    </row>
    <row r="2647" spans="1:28" x14ac:dyDescent="0.25">
      <c r="A2647" t="s">
        <v>2651</v>
      </c>
      <c r="B2647">
        <v>0.99999676499088797</v>
      </c>
      <c r="C2647">
        <v>0.96507533051420302</v>
      </c>
      <c r="D2647">
        <v>0.95603488015575799</v>
      </c>
      <c r="E2647">
        <v>0.75550412512895304</v>
      </c>
      <c r="F2647">
        <v>0.63606064930679895</v>
      </c>
      <c r="G2647">
        <v>0.88855486106970305</v>
      </c>
      <c r="H2647">
        <v>0.81962821296168098</v>
      </c>
      <c r="I2647">
        <v>1.3989010329034299</v>
      </c>
      <c r="J2647">
        <v>1.69082579610824</v>
      </c>
      <c r="K2647">
        <v>1.66518642790575</v>
      </c>
      <c r="L2647">
        <v>15000</v>
      </c>
      <c r="M2647">
        <v>235.74744696689399</v>
      </c>
      <c r="O2647">
        <v>63.622849136638301</v>
      </c>
      <c r="P2647">
        <v>0.46317382173514099</v>
      </c>
      <c r="Q2647">
        <v>1.5</v>
      </c>
      <c r="R2647">
        <v>0.75850342777912805</v>
      </c>
      <c r="S2647" t="s">
        <v>9650</v>
      </c>
      <c r="T2647" t="s">
        <v>14004</v>
      </c>
      <c r="U2647" t="s">
        <v>14004</v>
      </c>
      <c r="V2647" t="s">
        <v>14004</v>
      </c>
      <c r="W2647" t="s">
        <v>16612</v>
      </c>
      <c r="X2647">
        <v>21</v>
      </c>
      <c r="Y2647" t="s">
        <v>23494</v>
      </c>
      <c r="Z2647" t="s">
        <v>30357</v>
      </c>
      <c r="AA2647">
        <v>1.106147006202572</v>
      </c>
      <c r="AB2647" t="str">
        <f>HYPERLINK("Melting_Curves/meltCurve_P38159_RBMX.pdf", "Melting_Curves/meltCurve_P38159_RBMX.pdf")</f>
        <v>Melting_Curves/meltCurve_P38159_RBMX.pdf</v>
      </c>
    </row>
    <row r="2648" spans="1:28" x14ac:dyDescent="0.25">
      <c r="A2648" t="s">
        <v>2652</v>
      </c>
      <c r="B2648">
        <v>0.99999676499088797</v>
      </c>
      <c r="C2648">
        <v>1.19488491838536</v>
      </c>
      <c r="D2648">
        <v>0.69211034373264402</v>
      </c>
      <c r="E2648">
        <v>0.49266985687789999</v>
      </c>
      <c r="F2648">
        <v>0.26034775694048601</v>
      </c>
      <c r="G2648">
        <v>0.65481554997701596</v>
      </c>
      <c r="H2648">
        <v>1.1360348581841</v>
      </c>
      <c r="I2648">
        <v>3.55468053294019</v>
      </c>
      <c r="J2648">
        <v>8.1607910175941392</v>
      </c>
      <c r="K2648">
        <v>2.2634365474657798</v>
      </c>
      <c r="L2648">
        <v>15000</v>
      </c>
      <c r="M2648">
        <v>245.727608098416</v>
      </c>
      <c r="O2648">
        <v>61.039158457539699</v>
      </c>
      <c r="P2648">
        <v>0.50321714411204899</v>
      </c>
      <c r="Q2648">
        <v>1.5</v>
      </c>
      <c r="R2648">
        <v>2.6985906370012001E-2</v>
      </c>
      <c r="S2648" t="s">
        <v>9651</v>
      </c>
      <c r="T2648" t="s">
        <v>14004</v>
      </c>
      <c r="U2648" t="s">
        <v>14004</v>
      </c>
      <c r="V2648" t="s">
        <v>14004</v>
      </c>
      <c r="W2648" t="s">
        <v>16613</v>
      </c>
      <c r="X2648">
        <v>20</v>
      </c>
      <c r="Y2648" t="s">
        <v>23494</v>
      </c>
      <c r="Z2648" t="s">
        <v>30358</v>
      </c>
      <c r="AA2648">
        <v>1.14922452370399</v>
      </c>
      <c r="AB2648" t="str">
        <f>HYPERLINK("Melting_Curves/meltCurve_P38159_2_RBMX.pdf", "Melting_Curves/meltCurve_P38159_2_RBMX.pdf")</f>
        <v>Melting_Curves/meltCurve_P38159_2_RBMX.pdf</v>
      </c>
    </row>
    <row r="2649" spans="1:28" x14ac:dyDescent="0.25">
      <c r="A2649" t="s">
        <v>2653</v>
      </c>
      <c r="B2649">
        <v>0.99999676499088797</v>
      </c>
      <c r="C2649">
        <v>1.01904133309179</v>
      </c>
      <c r="D2649">
        <v>1.1119764224130499</v>
      </c>
      <c r="E2649">
        <v>1.31876921239407</v>
      </c>
      <c r="F2649">
        <v>1.5165835440478601</v>
      </c>
      <c r="G2649">
        <v>1.21705977359332</v>
      </c>
      <c r="H2649">
        <v>0.79493998106354402</v>
      </c>
      <c r="I2649">
        <v>0.23465214066478299</v>
      </c>
      <c r="J2649">
        <v>0.17074790856549599</v>
      </c>
      <c r="K2649">
        <v>0.172382265638784</v>
      </c>
      <c r="L2649">
        <v>4650.5430754354502</v>
      </c>
      <c r="M2649">
        <v>75.353050247176796</v>
      </c>
      <c r="N2649">
        <v>62.068945173529102</v>
      </c>
      <c r="O2649">
        <v>61.673293519091096</v>
      </c>
      <c r="P2649">
        <v>-0.25231380738727899</v>
      </c>
      <c r="Q2649">
        <v>0.17396729853919099</v>
      </c>
      <c r="R2649">
        <v>0.80673385025835598</v>
      </c>
      <c r="S2649" t="s">
        <v>9652</v>
      </c>
      <c r="T2649" t="s">
        <v>14004</v>
      </c>
      <c r="U2649" t="s">
        <v>14004</v>
      </c>
      <c r="V2649" t="s">
        <v>14004</v>
      </c>
      <c r="W2649" t="s">
        <v>16614</v>
      </c>
      <c r="X2649">
        <v>6</v>
      </c>
      <c r="Y2649" t="s">
        <v>23495</v>
      </c>
      <c r="Z2649" t="s">
        <v>30359</v>
      </c>
      <c r="AA2649">
        <v>0.77290763736317203</v>
      </c>
      <c r="AB2649" t="str">
        <f>HYPERLINK("Melting_Curves/meltCurve_P38571_2_LIPA.pdf", "Melting_Curves/meltCurve_P38571_2_LIPA.pdf")</f>
        <v>Melting_Curves/meltCurve_P38571_2_LIPA.pdf</v>
      </c>
    </row>
    <row r="2650" spans="1:28" x14ac:dyDescent="0.25">
      <c r="A2650" t="s">
        <v>2654</v>
      </c>
      <c r="B2650">
        <v>0.99999676499088797</v>
      </c>
      <c r="C2650">
        <v>0.99928472916310795</v>
      </c>
      <c r="D2650">
        <v>0.98836971357011205</v>
      </c>
      <c r="E2650">
        <v>0.85545679744745895</v>
      </c>
      <c r="F2650">
        <v>0.75596937697412903</v>
      </c>
      <c r="G2650">
        <v>0.64920266728505105</v>
      </c>
      <c r="H2650">
        <v>0.21960216835330801</v>
      </c>
      <c r="I2650">
        <v>7.9226155411331295E-2</v>
      </c>
      <c r="J2650">
        <v>5.6973251889781903E-2</v>
      </c>
      <c r="K2650">
        <v>4.5499566266496497E-2</v>
      </c>
      <c r="L2650">
        <v>1045.8436412644301</v>
      </c>
      <c r="M2650">
        <v>18.2406102962779</v>
      </c>
      <c r="N2650">
        <v>57.3360013546706</v>
      </c>
      <c r="O2650">
        <v>56.6602000287279</v>
      </c>
      <c r="P2650">
        <v>-8.0486233394919698E-2</v>
      </c>
      <c r="Q2650">
        <v>0</v>
      </c>
      <c r="R2650">
        <v>0.98326523079640304</v>
      </c>
      <c r="S2650" t="s">
        <v>9653</v>
      </c>
      <c r="T2650" t="s">
        <v>14004</v>
      </c>
      <c r="U2650" t="s">
        <v>14004</v>
      </c>
      <c r="V2650" t="s">
        <v>14004</v>
      </c>
      <c r="W2650" t="s">
        <v>16615</v>
      </c>
      <c r="X2650">
        <v>73</v>
      </c>
      <c r="Y2650" t="s">
        <v>23496</v>
      </c>
      <c r="Z2650" t="s">
        <v>30360</v>
      </c>
      <c r="AA2650">
        <v>0.5910166512278785</v>
      </c>
      <c r="AB2650" t="str">
        <f>HYPERLINK("Melting_Curves/meltCurve_P38646_HSPA9.pdf", "Melting_Curves/meltCurve_P38646_HSPA9.pdf")</f>
        <v>Melting_Curves/meltCurve_P38646_HSPA9.pdf</v>
      </c>
    </row>
    <row r="2651" spans="1:28" x14ac:dyDescent="0.25">
      <c r="A2651" t="s">
        <v>2655</v>
      </c>
      <c r="B2651">
        <v>0.99999676499088797</v>
      </c>
      <c r="C2651">
        <v>0.89564432945997796</v>
      </c>
      <c r="D2651">
        <v>0.88443883502633203</v>
      </c>
      <c r="E2651">
        <v>0.99684548676233997</v>
      </c>
      <c r="F2651">
        <v>0.79425380479076302</v>
      </c>
      <c r="G2651">
        <v>0.369699310321842</v>
      </c>
      <c r="H2651">
        <v>0.148940976554782</v>
      </c>
      <c r="I2651">
        <v>0.106293319342856</v>
      </c>
      <c r="J2651">
        <v>9.4813059035203498E-2</v>
      </c>
      <c r="K2651">
        <v>7.3215204028641998E-2</v>
      </c>
      <c r="L2651">
        <v>1687.4762989921201</v>
      </c>
      <c r="M2651">
        <v>30.485264932368199</v>
      </c>
      <c r="N2651">
        <v>55.698430710151399</v>
      </c>
      <c r="O2651">
        <v>55.1172591039888</v>
      </c>
      <c r="P2651">
        <v>-0.12639142592014499</v>
      </c>
      <c r="Q2651">
        <v>8.5944070658461699E-2</v>
      </c>
      <c r="R2651">
        <v>0.98375172757900198</v>
      </c>
      <c r="S2651" t="s">
        <v>9654</v>
      </c>
      <c r="T2651" t="s">
        <v>14004</v>
      </c>
      <c r="U2651" t="s">
        <v>14004</v>
      </c>
      <c r="V2651" t="s">
        <v>14004</v>
      </c>
      <c r="W2651" t="s">
        <v>16616</v>
      </c>
      <c r="X2651">
        <v>34</v>
      </c>
      <c r="Y2651" t="s">
        <v>23497</v>
      </c>
      <c r="Z2651" t="s">
        <v>30361</v>
      </c>
      <c r="AA2651">
        <v>0.55965093036247771</v>
      </c>
      <c r="AB2651" t="str">
        <f>HYPERLINK("Melting_Curves/meltCurve_P38919_EIF4A3.pdf", "Melting_Curves/meltCurve_P38919_EIF4A3.pdf")</f>
        <v>Melting_Curves/meltCurve_P38919_EIF4A3.pdf</v>
      </c>
    </row>
    <row r="2652" spans="1:28" x14ac:dyDescent="0.25">
      <c r="A2652" t="s">
        <v>2656</v>
      </c>
      <c r="B2652">
        <v>0.99999676499088797</v>
      </c>
      <c r="C2652">
        <v>0.91686096352228796</v>
      </c>
      <c r="D2652">
        <v>0.74658244554659703</v>
      </c>
      <c r="E2652">
        <v>0.29157220887008201</v>
      </c>
      <c r="F2652">
        <v>0.220328884716819</v>
      </c>
      <c r="G2652">
        <v>0.15423842376335201</v>
      </c>
      <c r="H2652">
        <v>8.5440431218366003E-2</v>
      </c>
      <c r="I2652">
        <v>7.7556698831724905E-2</v>
      </c>
      <c r="J2652">
        <v>6.6495227403469803E-2</v>
      </c>
      <c r="K2652">
        <v>4.96696305653892E-2</v>
      </c>
      <c r="L2652">
        <v>1076.2178219545401</v>
      </c>
      <c r="M2652">
        <v>22.6010194116901</v>
      </c>
      <c r="N2652">
        <v>48.008420607706</v>
      </c>
      <c r="O2652">
        <v>47.250017929261702</v>
      </c>
      <c r="P2652">
        <v>-0.109548095997969</v>
      </c>
      <c r="Q2652">
        <v>8.3927038278390001E-2</v>
      </c>
      <c r="R2652">
        <v>0.99073177931045997</v>
      </c>
      <c r="S2652" t="s">
        <v>9655</v>
      </c>
      <c r="T2652" t="s">
        <v>14004</v>
      </c>
      <c r="U2652" t="s">
        <v>14004</v>
      </c>
      <c r="V2652" t="s">
        <v>14004</v>
      </c>
      <c r="W2652" t="s">
        <v>16617</v>
      </c>
      <c r="X2652">
        <v>5</v>
      </c>
      <c r="Y2652" t="s">
        <v>23498</v>
      </c>
      <c r="Z2652" t="s">
        <v>30362</v>
      </c>
      <c r="AA2652">
        <v>0.32663804055661488</v>
      </c>
      <c r="AB2652" t="str">
        <f>HYPERLINK("Melting_Curves/meltCurve_P38935_IGHMBP2.pdf", "Melting_Curves/meltCurve_P38935_IGHMBP2.pdf")</f>
        <v>Melting_Curves/meltCurve_P38935_IGHMBP2.pdf</v>
      </c>
    </row>
    <row r="2653" spans="1:28" x14ac:dyDescent="0.25">
      <c r="A2653" t="s">
        <v>2657</v>
      </c>
      <c r="B2653">
        <v>0.99999676499088797</v>
      </c>
      <c r="C2653">
        <v>1.01513666418047</v>
      </c>
      <c r="D2653">
        <v>1.02288606688599</v>
      </c>
      <c r="E2653">
        <v>0.75543040090186198</v>
      </c>
      <c r="F2653">
        <v>0.463979046308651</v>
      </c>
      <c r="G2653">
        <v>0.53141310785770202</v>
      </c>
      <c r="H2653">
        <v>0.32605419356531501</v>
      </c>
      <c r="I2653">
        <v>0.54517027545033603</v>
      </c>
      <c r="J2653">
        <v>0.56796802090346898</v>
      </c>
      <c r="K2653">
        <v>0.55491228366009204</v>
      </c>
      <c r="L2653">
        <v>12402.493878982101</v>
      </c>
      <c r="M2653">
        <v>250</v>
      </c>
      <c r="N2653">
        <v>50.7580735661262</v>
      </c>
      <c r="O2653">
        <v>49.606800820671097</v>
      </c>
      <c r="P2653">
        <v>-0.63215943642305905</v>
      </c>
      <c r="Q2653">
        <v>0.49824948473819802</v>
      </c>
      <c r="R2653">
        <v>0.92573397198438701</v>
      </c>
      <c r="S2653" t="s">
        <v>9656</v>
      </c>
      <c r="T2653" t="s">
        <v>14004</v>
      </c>
      <c r="U2653" t="s">
        <v>14004</v>
      </c>
      <c r="V2653" t="s">
        <v>14004</v>
      </c>
      <c r="W2653" t="s">
        <v>16618</v>
      </c>
      <c r="X2653">
        <v>13</v>
      </c>
      <c r="Y2653" t="s">
        <v>23499</v>
      </c>
      <c r="Z2653" t="s">
        <v>30363</v>
      </c>
      <c r="AA2653">
        <v>0.6590201750728184</v>
      </c>
      <c r="AB2653" t="str">
        <f>HYPERLINK("Melting_Curves/meltCurve_P39019_RPS19.pdf", "Melting_Curves/meltCurve_P39019_RPS19.pdf")</f>
        <v>Melting_Curves/meltCurve_P39019_RPS19.pdf</v>
      </c>
    </row>
    <row r="2654" spans="1:28" x14ac:dyDescent="0.25">
      <c r="A2654" t="s">
        <v>2658</v>
      </c>
      <c r="B2654">
        <v>0.99999676499088797</v>
      </c>
      <c r="C2654">
        <v>1.0398888304776699</v>
      </c>
      <c r="D2654">
        <v>1.0151936423919901</v>
      </c>
      <c r="E2654">
        <v>0.75849753590890701</v>
      </c>
      <c r="F2654">
        <v>0.535818415026863</v>
      </c>
      <c r="G2654">
        <v>0.45723382133357099</v>
      </c>
      <c r="H2654">
        <v>0.102455537119021</v>
      </c>
      <c r="I2654">
        <v>7.6045414347557502E-2</v>
      </c>
      <c r="J2654">
        <v>7.1292216487411894E-2</v>
      </c>
      <c r="K2654">
        <v>6.5974162971227907E-2</v>
      </c>
      <c r="L2654">
        <v>827.17083645667901</v>
      </c>
      <c r="M2654">
        <v>15.2317372974913</v>
      </c>
      <c r="N2654">
        <v>54.382621659484002</v>
      </c>
      <c r="O2654">
        <v>53.395505805234798</v>
      </c>
      <c r="P2654">
        <v>-7.0562768688969393E-2</v>
      </c>
      <c r="Q2654">
        <v>1.06509197670929E-2</v>
      </c>
      <c r="R2654">
        <v>0.97951037064918001</v>
      </c>
      <c r="S2654" t="s">
        <v>9657</v>
      </c>
      <c r="T2654" t="s">
        <v>14004</v>
      </c>
      <c r="U2654" t="s">
        <v>14004</v>
      </c>
      <c r="V2654" t="s">
        <v>14004</v>
      </c>
      <c r="W2654" t="s">
        <v>16619</v>
      </c>
      <c r="X2654">
        <v>15</v>
      </c>
      <c r="Y2654" t="s">
        <v>23500</v>
      </c>
      <c r="Z2654" t="s">
        <v>30364</v>
      </c>
      <c r="AA2654">
        <v>0.50201961952313645</v>
      </c>
      <c r="AB2654" t="str">
        <f>HYPERLINK("Melting_Curves/meltCurve_P39023_RPL3.pdf", "Melting_Curves/meltCurve_P39023_RPL3.pdf")</f>
        <v>Melting_Curves/meltCurve_P39023_RPL3.pdf</v>
      </c>
    </row>
    <row r="2655" spans="1:28" x14ac:dyDescent="0.25">
      <c r="A2655" t="s">
        <v>2659</v>
      </c>
      <c r="B2655">
        <v>0.99999676499088797</v>
      </c>
      <c r="C2655">
        <v>0.99089236923185497</v>
      </c>
      <c r="D2655">
        <v>1.03798797070235</v>
      </c>
      <c r="E2655">
        <v>1.0256813154875699</v>
      </c>
      <c r="F2655">
        <v>0.43416088465917702</v>
      </c>
      <c r="G2655">
        <v>0.27045992327052998</v>
      </c>
      <c r="H2655">
        <v>0.115236359099916</v>
      </c>
      <c r="I2655">
        <v>0.101395936401329</v>
      </c>
      <c r="J2655">
        <v>8.9724836501029998E-2</v>
      </c>
      <c r="K2655">
        <v>8.9631944660825094E-2</v>
      </c>
      <c r="L2655">
        <v>2622.8541216195299</v>
      </c>
      <c r="M2655">
        <v>49.786558114732301</v>
      </c>
      <c r="N2655">
        <v>52.989031525959803</v>
      </c>
      <c r="O2655">
        <v>52.597185815770501</v>
      </c>
      <c r="P2655">
        <v>-0.20698837712924301</v>
      </c>
      <c r="Q2655">
        <v>0.125306338520079</v>
      </c>
      <c r="R2655">
        <v>0.98611069457365297</v>
      </c>
      <c r="S2655" t="s">
        <v>9658</v>
      </c>
      <c r="T2655" t="s">
        <v>14004</v>
      </c>
      <c r="U2655" t="s">
        <v>14004</v>
      </c>
      <c r="V2655" t="s">
        <v>14004</v>
      </c>
      <c r="W2655" t="s">
        <v>16620</v>
      </c>
      <c r="X2655">
        <v>16</v>
      </c>
      <c r="Y2655" t="s">
        <v>23501</v>
      </c>
      <c r="Z2655" t="s">
        <v>30365</v>
      </c>
      <c r="AA2655">
        <v>0.49711767002195872</v>
      </c>
      <c r="AB2655" t="str">
        <f>HYPERLINK("Melting_Curves/meltCurve_P39656_DDOST.pdf", "Melting_Curves/meltCurve_P39656_DDOST.pdf")</f>
        <v>Melting_Curves/meltCurve_P39656_DDOST.pdf</v>
      </c>
    </row>
    <row r="2656" spans="1:28" x14ac:dyDescent="0.25">
      <c r="A2656" t="s">
        <v>2660</v>
      </c>
      <c r="B2656">
        <v>0.99999676499088797</v>
      </c>
      <c r="C2656">
        <v>0.76116670766338101</v>
      </c>
      <c r="D2656">
        <v>0.83919629725099598</v>
      </c>
      <c r="E2656">
        <v>0.88542714182376103</v>
      </c>
      <c r="F2656">
        <v>0.74072086807720805</v>
      </c>
      <c r="G2656">
        <v>0.41745592655528402</v>
      </c>
      <c r="H2656">
        <v>0.16035103066776599</v>
      </c>
      <c r="I2656">
        <v>0.13426180691796699</v>
      </c>
      <c r="J2656">
        <v>0.122730406778504</v>
      </c>
      <c r="K2656">
        <v>0.14327375893163999</v>
      </c>
      <c r="L2656">
        <v>976.85363332582097</v>
      </c>
      <c r="M2656">
        <v>17.731711628753899</v>
      </c>
      <c r="N2656">
        <v>55.617538172869303</v>
      </c>
      <c r="O2656">
        <v>54.404421575592501</v>
      </c>
      <c r="P2656">
        <v>-7.5186623475998304E-2</v>
      </c>
      <c r="Q2656">
        <v>7.72984416304386E-2</v>
      </c>
      <c r="R2656">
        <v>0.92908661831871597</v>
      </c>
      <c r="S2656" t="s">
        <v>9659</v>
      </c>
      <c r="T2656" t="s">
        <v>14004</v>
      </c>
      <c r="U2656" t="s">
        <v>14004</v>
      </c>
      <c r="V2656" t="s">
        <v>14004</v>
      </c>
      <c r="W2656" t="s">
        <v>16621</v>
      </c>
      <c r="X2656">
        <v>16</v>
      </c>
      <c r="Y2656" t="s">
        <v>23502</v>
      </c>
      <c r="Z2656" t="s">
        <v>30366</v>
      </c>
      <c r="AA2656">
        <v>0.55594767826120461</v>
      </c>
      <c r="AB2656" t="str">
        <f>HYPERLINK("Melting_Curves/meltCurve_P39687_ANP32A.pdf", "Melting_Curves/meltCurve_P39687_ANP32A.pdf")</f>
        <v>Melting_Curves/meltCurve_P39687_ANP32A.pdf</v>
      </c>
    </row>
    <row r="2657" spans="1:28" x14ac:dyDescent="0.25">
      <c r="A2657" t="s">
        <v>2661</v>
      </c>
      <c r="B2657">
        <v>0.99999676499088797</v>
      </c>
      <c r="C2657">
        <v>0.95540627412378898</v>
      </c>
      <c r="D2657">
        <v>0.74996852790169199</v>
      </c>
      <c r="E2657">
        <v>0.40531813732612498</v>
      </c>
      <c r="F2657">
        <v>0.17462238269401001</v>
      </c>
      <c r="G2657">
        <v>0.12014970401559499</v>
      </c>
      <c r="H2657">
        <v>5.4957767277379201E-2</v>
      </c>
      <c r="I2657">
        <v>5.4070734605791301E-2</v>
      </c>
      <c r="J2657">
        <v>5.0624303007172203E-2</v>
      </c>
      <c r="K2657">
        <v>4.22212198633862E-2</v>
      </c>
      <c r="L2657">
        <v>999.77022045435399</v>
      </c>
      <c r="M2657">
        <v>20.661129952028499</v>
      </c>
      <c r="N2657">
        <v>48.636702611321198</v>
      </c>
      <c r="O2657">
        <v>47.942479128106903</v>
      </c>
      <c r="P2657">
        <v>-0.102360488450741</v>
      </c>
      <c r="Q2657">
        <v>4.99502553682614E-2</v>
      </c>
      <c r="R2657">
        <v>0.99892074840723399</v>
      </c>
      <c r="S2657" t="s">
        <v>9660</v>
      </c>
      <c r="T2657" t="s">
        <v>14004</v>
      </c>
      <c r="U2657" t="s">
        <v>14004</v>
      </c>
      <c r="V2657" t="s">
        <v>14004</v>
      </c>
      <c r="W2657" t="s">
        <v>16622</v>
      </c>
      <c r="X2657">
        <v>31</v>
      </c>
      <c r="Y2657" t="s">
        <v>23503</v>
      </c>
      <c r="Z2657" t="s">
        <v>30367</v>
      </c>
      <c r="AA2657">
        <v>0.3281408339768459</v>
      </c>
      <c r="AB2657" t="str">
        <f>HYPERLINK("Melting_Curves/meltCurve_P39748_FEN1.pdf", "Melting_Curves/meltCurve_P39748_FEN1.pdf")</f>
        <v>Melting_Curves/meltCurve_P39748_FEN1.pdf</v>
      </c>
    </row>
    <row r="2658" spans="1:28" x14ac:dyDescent="0.25">
      <c r="A2658" t="s">
        <v>2662</v>
      </c>
      <c r="B2658">
        <v>0.99999676499088797</v>
      </c>
      <c r="C2658">
        <v>0.88766092113872497</v>
      </c>
      <c r="D2658">
        <v>0.67581019582925905</v>
      </c>
      <c r="E2658">
        <v>0.37365771653672902</v>
      </c>
      <c r="F2658">
        <v>0.17789014946909701</v>
      </c>
      <c r="G2658">
        <v>0.120061159040919</v>
      </c>
      <c r="H2658">
        <v>7.4689426458133701E-2</v>
      </c>
      <c r="I2658">
        <v>9.8775421534577607E-2</v>
      </c>
      <c r="J2658">
        <v>0.114696759861297</v>
      </c>
      <c r="K2658">
        <v>0.11915694002533</v>
      </c>
      <c r="L2658">
        <v>944.64006787940195</v>
      </c>
      <c r="M2658">
        <v>19.932795335273902</v>
      </c>
      <c r="N2658">
        <v>47.898046978011699</v>
      </c>
      <c r="O2658">
        <v>46.921986580667301</v>
      </c>
      <c r="P2658">
        <v>-9.6108188790614696E-2</v>
      </c>
      <c r="Q2658">
        <v>9.5071494616370794E-2</v>
      </c>
      <c r="R2658">
        <v>0.99754803300357398</v>
      </c>
      <c r="S2658" t="s">
        <v>9661</v>
      </c>
      <c r="T2658" t="s">
        <v>14004</v>
      </c>
      <c r="U2658" t="s">
        <v>14004</v>
      </c>
      <c r="V2658" t="s">
        <v>14004</v>
      </c>
      <c r="W2658" t="s">
        <v>16623</v>
      </c>
      <c r="X2658">
        <v>30</v>
      </c>
      <c r="Y2658" t="s">
        <v>23504</v>
      </c>
      <c r="Z2658" t="s">
        <v>30368</v>
      </c>
      <c r="AA2658">
        <v>0.33118296267826991</v>
      </c>
      <c r="AB2658" t="str">
        <f>HYPERLINK("Melting_Curves/meltCurve_P39880_3_CUX1.pdf", "Melting_Curves/meltCurve_P39880_3_CUX1.pdf")</f>
        <v>Melting_Curves/meltCurve_P39880_3_CUX1.pdf</v>
      </c>
    </row>
    <row r="2659" spans="1:28" x14ac:dyDescent="0.25">
      <c r="A2659" t="s">
        <v>2663</v>
      </c>
      <c r="B2659">
        <v>0.99999676499088797</v>
      </c>
      <c r="C2659">
        <v>0.935825079541595</v>
      </c>
      <c r="D2659">
        <v>0.84848444846972804</v>
      </c>
      <c r="E2659">
        <v>0.333577869629545</v>
      </c>
      <c r="F2659">
        <v>0.17061925559781299</v>
      </c>
      <c r="G2659">
        <v>8.9703972387807598E-2</v>
      </c>
      <c r="H2659">
        <v>5.1220279784173602E-2</v>
      </c>
      <c r="I2659">
        <v>4.2933749047831399E-2</v>
      </c>
      <c r="J2659">
        <v>4.1304184721213E-2</v>
      </c>
      <c r="K2659">
        <v>3.7436711811753898E-2</v>
      </c>
      <c r="L2659">
        <v>1338.7945031279201</v>
      </c>
      <c r="M2659">
        <v>27.688240402215701</v>
      </c>
      <c r="N2659">
        <v>48.551103064663998</v>
      </c>
      <c r="O2659">
        <v>48.102347889054997</v>
      </c>
      <c r="P2659">
        <v>-0.13619769952182401</v>
      </c>
      <c r="Q2659">
        <v>5.3551930027027697E-2</v>
      </c>
      <c r="R2659">
        <v>0.99536106928022505</v>
      </c>
      <c r="S2659" t="s">
        <v>9662</v>
      </c>
      <c r="T2659" t="s">
        <v>14004</v>
      </c>
      <c r="U2659" t="s">
        <v>14004</v>
      </c>
      <c r="V2659" t="s">
        <v>14004</v>
      </c>
      <c r="W2659" t="s">
        <v>16624</v>
      </c>
      <c r="X2659">
        <v>15</v>
      </c>
      <c r="Y2659" t="s">
        <v>23505</v>
      </c>
      <c r="Z2659" t="s">
        <v>30369</v>
      </c>
      <c r="AA2659">
        <v>0.32381169081045258</v>
      </c>
      <c r="AB2659" t="str">
        <f>HYPERLINK("Melting_Curves/meltCurve_P40121_CAPG.pdf", "Melting_Curves/meltCurve_P40121_CAPG.pdf")</f>
        <v>Melting_Curves/meltCurve_P40121_CAPG.pdf</v>
      </c>
    </row>
    <row r="2660" spans="1:28" x14ac:dyDescent="0.25">
      <c r="A2660" t="s">
        <v>2664</v>
      </c>
      <c r="B2660">
        <v>0.99999676499088797</v>
      </c>
      <c r="C2660">
        <v>0.90560088713918196</v>
      </c>
      <c r="D2660">
        <v>0.91247522130724901</v>
      </c>
      <c r="E2660">
        <v>0.85880574539835397</v>
      </c>
      <c r="F2660">
        <v>0.45824863248407399</v>
      </c>
      <c r="G2660">
        <v>0.267508851915854</v>
      </c>
      <c r="H2660">
        <v>0.12983412840647701</v>
      </c>
      <c r="I2660">
        <v>0.122190340377289</v>
      </c>
      <c r="J2660">
        <v>0.122523101857119</v>
      </c>
      <c r="K2660">
        <v>0.14876850320073201</v>
      </c>
      <c r="L2660">
        <v>1242.69412357071</v>
      </c>
      <c r="M2660">
        <v>23.710460064428101</v>
      </c>
      <c r="N2660">
        <v>53.032921340608702</v>
      </c>
      <c r="O2660">
        <v>52.042671831986297</v>
      </c>
      <c r="P2660">
        <v>-0.10008068509359</v>
      </c>
      <c r="Q2660">
        <v>0.121336352958993</v>
      </c>
      <c r="R2660">
        <v>0.98818872827376303</v>
      </c>
      <c r="S2660" t="s">
        <v>9663</v>
      </c>
      <c r="T2660" t="s">
        <v>14004</v>
      </c>
      <c r="U2660" t="s">
        <v>14004</v>
      </c>
      <c r="V2660" t="s">
        <v>14004</v>
      </c>
      <c r="W2660" t="s">
        <v>16625</v>
      </c>
      <c r="X2660">
        <v>34</v>
      </c>
      <c r="Y2660" t="s">
        <v>23506</v>
      </c>
      <c r="Z2660" t="s">
        <v>30370</v>
      </c>
      <c r="AA2660">
        <v>0.49374676443489413</v>
      </c>
      <c r="AB2660" t="str">
        <f>HYPERLINK("Melting_Curves/meltCurve_P40222_TXLNA.pdf", "Melting_Curves/meltCurve_P40222_TXLNA.pdf")</f>
        <v>Melting_Curves/meltCurve_P40222_TXLNA.pdf</v>
      </c>
    </row>
    <row r="2661" spans="1:28" x14ac:dyDescent="0.25">
      <c r="A2661" t="s">
        <v>2665</v>
      </c>
      <c r="B2661">
        <v>0.99999676499088797</v>
      </c>
      <c r="C2661">
        <v>0.84828548148716099</v>
      </c>
      <c r="D2661">
        <v>0.92992177043229296</v>
      </c>
      <c r="E2661">
        <v>0.95356419557150096</v>
      </c>
      <c r="F2661">
        <v>0.98874075795663796</v>
      </c>
      <c r="G2661">
        <v>0.71396989279433198</v>
      </c>
      <c r="H2661">
        <v>0.33561782093141901</v>
      </c>
      <c r="I2661">
        <v>0.13913639661038699</v>
      </c>
      <c r="J2661">
        <v>7.8285088444587897E-2</v>
      </c>
      <c r="K2661">
        <v>6.2312904435323301E-2</v>
      </c>
      <c r="L2661">
        <v>1583.5555971500401</v>
      </c>
      <c r="M2661">
        <v>26.939859880957201</v>
      </c>
      <c r="N2661">
        <v>59.003280716005598</v>
      </c>
      <c r="O2661">
        <v>58.460109914082999</v>
      </c>
      <c r="P2661">
        <v>-0.10965128504588</v>
      </c>
      <c r="Q2661">
        <v>4.8226359107171199E-2</v>
      </c>
      <c r="R2661">
        <v>0.97833196055427896</v>
      </c>
      <c r="S2661" t="s">
        <v>9664</v>
      </c>
      <c r="T2661" t="s">
        <v>14004</v>
      </c>
      <c r="U2661" t="s">
        <v>14004</v>
      </c>
      <c r="V2661" t="s">
        <v>14004</v>
      </c>
      <c r="W2661" t="s">
        <v>16626</v>
      </c>
      <c r="X2661">
        <v>42</v>
      </c>
      <c r="Y2661" t="s">
        <v>23507</v>
      </c>
      <c r="Z2661" t="s">
        <v>30371</v>
      </c>
      <c r="AA2661">
        <v>0.6512605884723135</v>
      </c>
      <c r="AB2661" t="str">
        <f>HYPERLINK("Melting_Curves/meltCurve_P40227_CCT6A.pdf", "Melting_Curves/meltCurve_P40227_CCT6A.pdf")</f>
        <v>Melting_Curves/meltCurve_P40227_CCT6A.pdf</v>
      </c>
    </row>
    <row r="2662" spans="1:28" x14ac:dyDescent="0.25">
      <c r="A2662" t="s">
        <v>2666</v>
      </c>
      <c r="B2662">
        <v>0.99999676499088797</v>
      </c>
      <c r="C2662">
        <v>1.0789638345865999</v>
      </c>
      <c r="D2662">
        <v>1.1349780019273601</v>
      </c>
      <c r="E2662">
        <v>1.2666918152467801</v>
      </c>
      <c r="F2662">
        <v>1.2386159106282599</v>
      </c>
      <c r="G2662">
        <v>1.48303296398494</v>
      </c>
      <c r="H2662">
        <v>1.00353239854857</v>
      </c>
      <c r="I2662">
        <v>0.92402454670029999</v>
      </c>
      <c r="J2662">
        <v>0.54808144221136201</v>
      </c>
      <c r="K2662">
        <v>0.454036716029798</v>
      </c>
      <c r="L2662">
        <v>4641.5585371306797</v>
      </c>
      <c r="M2662">
        <v>70.678621996831893</v>
      </c>
      <c r="N2662">
        <v>67.831490052592201</v>
      </c>
      <c r="O2662">
        <v>65.618819016592397</v>
      </c>
      <c r="P2662">
        <v>-0.148817604391588</v>
      </c>
      <c r="Q2662">
        <v>0.44734453843412603</v>
      </c>
      <c r="R2662">
        <v>0.56749428470348495</v>
      </c>
      <c r="S2662" t="s">
        <v>9665</v>
      </c>
      <c r="T2662" t="s">
        <v>14004</v>
      </c>
      <c r="U2662" t="s">
        <v>14004</v>
      </c>
      <c r="V2662" t="s">
        <v>14004</v>
      </c>
      <c r="W2662" t="s">
        <v>16627</v>
      </c>
      <c r="X2662">
        <v>6</v>
      </c>
      <c r="Y2662" t="s">
        <v>23508</v>
      </c>
      <c r="Z2662" t="s">
        <v>30372</v>
      </c>
      <c r="AA2662">
        <v>0.92080460865898561</v>
      </c>
      <c r="AB2662" t="str">
        <f>HYPERLINK("Melting_Curves/meltCurve_P40306_PSMB10.pdf", "Melting_Curves/meltCurve_P40306_PSMB10.pdf")</f>
        <v>Melting_Curves/meltCurve_P40306_PSMB10.pdf</v>
      </c>
    </row>
    <row r="2663" spans="1:28" x14ac:dyDescent="0.25">
      <c r="A2663" t="s">
        <v>2667</v>
      </c>
      <c r="B2663">
        <v>0.99999676499088797</v>
      </c>
      <c r="C2663">
        <v>0.87699669207118203</v>
      </c>
      <c r="D2663">
        <v>0.70333801923591699</v>
      </c>
      <c r="E2663">
        <v>0.45645691931037302</v>
      </c>
      <c r="F2663">
        <v>0.25770358875718602</v>
      </c>
      <c r="G2663">
        <v>0.18023290059358599</v>
      </c>
      <c r="H2663">
        <v>0.13256844631279299</v>
      </c>
      <c r="I2663">
        <v>0.146159593360498</v>
      </c>
      <c r="J2663">
        <v>0.13109629243270099</v>
      </c>
      <c r="K2663">
        <v>0.16907001856656001</v>
      </c>
      <c r="L2663">
        <v>820.39299339461695</v>
      </c>
      <c r="M2663">
        <v>17.147675144027399</v>
      </c>
      <c r="N2663">
        <v>48.721876751997897</v>
      </c>
      <c r="O2663">
        <v>47.206357532473298</v>
      </c>
      <c r="P2663">
        <v>-7.8734255459656899E-2</v>
      </c>
      <c r="Q2663">
        <v>0.13305192607886801</v>
      </c>
      <c r="R2663">
        <v>0.99683736277535895</v>
      </c>
      <c r="S2663" t="s">
        <v>9666</v>
      </c>
      <c r="T2663" t="s">
        <v>14004</v>
      </c>
      <c r="U2663" t="s">
        <v>14004</v>
      </c>
      <c r="V2663" t="s">
        <v>14004</v>
      </c>
      <c r="W2663" t="s">
        <v>16628</v>
      </c>
      <c r="X2663">
        <v>2</v>
      </c>
      <c r="Y2663" t="s">
        <v>23509</v>
      </c>
      <c r="Z2663" t="s">
        <v>30373</v>
      </c>
      <c r="AA2663">
        <v>0.37680512069155042</v>
      </c>
      <c r="AB2663" t="str">
        <f>HYPERLINK("Melting_Curves/meltCurve_P40337_3_VHL.pdf", "Melting_Curves/meltCurve_P40337_3_VHL.pdf")</f>
        <v>Melting_Curves/meltCurve_P40337_3_VHL.pdf</v>
      </c>
    </row>
    <row r="2664" spans="1:28" x14ac:dyDescent="0.25">
      <c r="A2664" t="s">
        <v>2668</v>
      </c>
      <c r="B2664">
        <v>0.99999676499088797</v>
      </c>
      <c r="C2664">
        <v>0.77493586677198401</v>
      </c>
      <c r="D2664">
        <v>0.49925941177234701</v>
      </c>
      <c r="E2664">
        <v>0.31725092289071999</v>
      </c>
      <c r="F2664">
        <v>0.32050573399526699</v>
      </c>
      <c r="G2664">
        <v>0.163055158828078</v>
      </c>
      <c r="H2664">
        <v>0.108889441769637</v>
      </c>
      <c r="I2664">
        <v>9.0971466487835204E-2</v>
      </c>
      <c r="J2664">
        <v>8.4465615447560899E-2</v>
      </c>
      <c r="K2664">
        <v>8.59252729371692E-2</v>
      </c>
      <c r="L2664">
        <v>665.70874657155298</v>
      </c>
      <c r="M2664">
        <v>14.414180120607901</v>
      </c>
      <c r="N2664">
        <v>46.866326271735097</v>
      </c>
      <c r="O2664">
        <v>45.322682551515797</v>
      </c>
      <c r="P2664">
        <v>-7.1994650848442102E-2</v>
      </c>
      <c r="Q2664">
        <v>9.4612683087455005E-2</v>
      </c>
      <c r="R2664">
        <v>0.97303744091868005</v>
      </c>
      <c r="S2664" t="s">
        <v>9667</v>
      </c>
      <c r="T2664" t="s">
        <v>14004</v>
      </c>
      <c r="U2664" t="s">
        <v>14004</v>
      </c>
      <c r="V2664" t="s">
        <v>14004</v>
      </c>
      <c r="W2664" t="s">
        <v>16629</v>
      </c>
      <c r="X2664">
        <v>3</v>
      </c>
      <c r="Y2664" t="s">
        <v>23510</v>
      </c>
      <c r="Z2664" t="s">
        <v>30374</v>
      </c>
      <c r="AA2664">
        <v>0.30955304661683031</v>
      </c>
      <c r="AB2664" t="str">
        <f>HYPERLINK("Melting_Curves/meltCurve_P40425_PBX2.pdf", "Melting_Curves/meltCurve_P40425_PBX2.pdf")</f>
        <v>Melting_Curves/meltCurve_P40425_PBX2.pdf</v>
      </c>
    </row>
    <row r="2665" spans="1:28" x14ac:dyDescent="0.25">
      <c r="A2665" t="s">
        <v>2669</v>
      </c>
      <c r="B2665">
        <v>0.99999676499088797</v>
      </c>
      <c r="C2665">
        <v>0.82249977334958002</v>
      </c>
      <c r="D2665">
        <v>0.54759670601038701</v>
      </c>
      <c r="E2665">
        <v>0.23909964156524199</v>
      </c>
      <c r="F2665">
        <v>0.147568016308331</v>
      </c>
      <c r="G2665">
        <v>8.0852196081387495E-2</v>
      </c>
      <c r="H2665">
        <v>3.9571610796557903E-2</v>
      </c>
      <c r="I2665">
        <v>3.7848204372800801E-2</v>
      </c>
      <c r="J2665">
        <v>3.4334808533616701E-2</v>
      </c>
      <c r="K2665">
        <v>3.1450157926593898E-2</v>
      </c>
      <c r="L2665">
        <v>889.98039881268801</v>
      </c>
      <c r="M2665">
        <v>19.208227152551199</v>
      </c>
      <c r="N2665">
        <v>46.533241259464702</v>
      </c>
      <c r="O2665">
        <v>45.839865992529802</v>
      </c>
      <c r="P2665">
        <v>-0.100611525452465</v>
      </c>
      <c r="Q2665">
        <v>3.9610955792691797E-2</v>
      </c>
      <c r="R2665">
        <v>0.99679599107449501</v>
      </c>
      <c r="S2665" t="s">
        <v>9668</v>
      </c>
      <c r="T2665" t="s">
        <v>14004</v>
      </c>
      <c r="U2665" t="s">
        <v>14004</v>
      </c>
      <c r="V2665" t="s">
        <v>14004</v>
      </c>
      <c r="W2665" t="s">
        <v>16630</v>
      </c>
      <c r="X2665">
        <v>11</v>
      </c>
      <c r="Y2665" t="s">
        <v>23511</v>
      </c>
      <c r="Z2665" t="s">
        <v>30375</v>
      </c>
      <c r="AA2665">
        <v>0.2582764749972063</v>
      </c>
      <c r="AB2665" t="str">
        <f>HYPERLINK("Melting_Curves/meltCurve_P40692_MLH1.pdf", "Melting_Curves/meltCurve_P40692_MLH1.pdf")</f>
        <v>Melting_Curves/meltCurve_P40692_MLH1.pdf</v>
      </c>
    </row>
    <row r="2666" spans="1:28" x14ac:dyDescent="0.25">
      <c r="A2666" t="s">
        <v>2670</v>
      </c>
      <c r="B2666">
        <v>0.99999676499088797</v>
      </c>
      <c r="C2666">
        <v>0.82967313015382305</v>
      </c>
      <c r="D2666">
        <v>0.51171863449920596</v>
      </c>
      <c r="E2666">
        <v>0.21944402125929099</v>
      </c>
      <c r="F2666">
        <v>0.162259145739202</v>
      </c>
      <c r="G2666">
        <v>9.7500300466301495E-2</v>
      </c>
      <c r="H2666">
        <v>5.0741932545327301E-2</v>
      </c>
      <c r="I2666">
        <v>4.89261566323521E-2</v>
      </c>
      <c r="J2666">
        <v>5.46484090431619E-2</v>
      </c>
      <c r="K2666">
        <v>3.5459301825567897E-2</v>
      </c>
      <c r="L2666">
        <v>950.53776944630204</v>
      </c>
      <c r="M2666">
        <v>20.673586760860601</v>
      </c>
      <c r="N2666">
        <v>46.256659290701101</v>
      </c>
      <c r="O2666">
        <v>45.554650051933301</v>
      </c>
      <c r="P2666">
        <v>-0.10682355150688801</v>
      </c>
      <c r="Q2666">
        <v>5.8475784855607199E-2</v>
      </c>
      <c r="R2666">
        <v>0.99480573521303695</v>
      </c>
      <c r="S2666" t="s">
        <v>9669</v>
      </c>
      <c r="T2666" t="s">
        <v>14004</v>
      </c>
      <c r="U2666" t="s">
        <v>14004</v>
      </c>
      <c r="V2666" t="s">
        <v>14004</v>
      </c>
      <c r="W2666" t="s">
        <v>16631</v>
      </c>
      <c r="X2666">
        <v>15</v>
      </c>
      <c r="Y2666" t="s">
        <v>23512</v>
      </c>
      <c r="Z2666" t="s">
        <v>30376</v>
      </c>
      <c r="AA2666">
        <v>0.25961121583755759</v>
      </c>
      <c r="AB2666" t="str">
        <f>HYPERLINK("Melting_Curves/meltCurve_P40763_STAT3.pdf", "Melting_Curves/meltCurve_P40763_STAT3.pdf")</f>
        <v>Melting_Curves/meltCurve_P40763_STAT3.pdf</v>
      </c>
    </row>
    <row r="2667" spans="1:28" x14ac:dyDescent="0.25">
      <c r="A2667" t="s">
        <v>2671</v>
      </c>
      <c r="B2667">
        <v>0.99999676499088797</v>
      </c>
      <c r="C2667">
        <v>0.95913274079560096</v>
      </c>
      <c r="D2667">
        <v>0.79946970086626201</v>
      </c>
      <c r="E2667">
        <v>0.33156777238815099</v>
      </c>
      <c r="F2667">
        <v>0.22631715248669099</v>
      </c>
      <c r="G2667">
        <v>0.19684310579893799</v>
      </c>
      <c r="H2667">
        <v>9.9354439284753807E-2</v>
      </c>
      <c r="I2667">
        <v>9.4024697522220299E-2</v>
      </c>
      <c r="J2667">
        <v>8.3912096881767401E-2</v>
      </c>
      <c r="K2667">
        <v>6.2433902808123602E-2</v>
      </c>
      <c r="L2667">
        <v>1213.0916048202801</v>
      </c>
      <c r="M2667">
        <v>25.287324694833099</v>
      </c>
      <c r="N2667">
        <v>48.4311961720352</v>
      </c>
      <c r="O2667">
        <v>47.675323121762801</v>
      </c>
      <c r="P2667">
        <v>-0.11847778197230301</v>
      </c>
      <c r="Q2667">
        <v>0.10652562250240701</v>
      </c>
      <c r="R2667">
        <v>0.98956179951941003</v>
      </c>
      <c r="S2667" t="s">
        <v>9670</v>
      </c>
      <c r="T2667" t="s">
        <v>14004</v>
      </c>
      <c r="U2667" t="s">
        <v>14004</v>
      </c>
      <c r="V2667" t="s">
        <v>14004</v>
      </c>
      <c r="W2667" t="s">
        <v>16632</v>
      </c>
      <c r="X2667">
        <v>13</v>
      </c>
      <c r="Y2667" t="s">
        <v>23513</v>
      </c>
      <c r="Z2667" t="s">
        <v>30377</v>
      </c>
      <c r="AA2667">
        <v>0.35166919657319851</v>
      </c>
      <c r="AB2667" t="str">
        <f>HYPERLINK("Melting_Curves/meltCurve_P40818_USP8.pdf", "Melting_Curves/meltCurve_P40818_USP8.pdf")</f>
        <v>Melting_Curves/meltCurve_P40818_USP8.pdf</v>
      </c>
    </row>
    <row r="2668" spans="1:28" x14ac:dyDescent="0.25">
      <c r="A2668" t="s">
        <v>2672</v>
      </c>
      <c r="B2668">
        <v>0.99999676499088797</v>
      </c>
      <c r="C2668">
        <v>0.85607698982957903</v>
      </c>
      <c r="D2668">
        <v>0.93133009533886602</v>
      </c>
      <c r="E2668">
        <v>0.87578288906320401</v>
      </c>
      <c r="F2668">
        <v>0.911610532462374</v>
      </c>
      <c r="G2668">
        <v>0.69506442863894002</v>
      </c>
      <c r="H2668">
        <v>0.22701972592591599</v>
      </c>
      <c r="I2668">
        <v>8.2379177561124395E-2</v>
      </c>
      <c r="J2668">
        <v>6.4088736575529007E-2</v>
      </c>
      <c r="K2668">
        <v>5.3494495619143101E-2</v>
      </c>
      <c r="L2668">
        <v>1682.3739465062999</v>
      </c>
      <c r="M2668">
        <v>28.966357118811001</v>
      </c>
      <c r="N2668">
        <v>58.228138848873897</v>
      </c>
      <c r="O2668">
        <v>57.805568664253599</v>
      </c>
      <c r="P2668">
        <v>-0.120833773805122</v>
      </c>
      <c r="Q2668">
        <v>3.5458611500406897E-2</v>
      </c>
      <c r="R2668">
        <v>0.97262073714093</v>
      </c>
      <c r="S2668" t="s">
        <v>9671</v>
      </c>
      <c r="T2668" t="s">
        <v>14004</v>
      </c>
      <c r="U2668" t="s">
        <v>14004</v>
      </c>
      <c r="V2668" t="s">
        <v>14004</v>
      </c>
      <c r="W2668" t="s">
        <v>16633</v>
      </c>
      <c r="X2668">
        <v>23</v>
      </c>
      <c r="Y2668" t="s">
        <v>23514</v>
      </c>
      <c r="Z2668" t="s">
        <v>30378</v>
      </c>
      <c r="AA2668">
        <v>0.62347442226111438</v>
      </c>
      <c r="AB2668" t="str">
        <f>HYPERLINK("Melting_Curves/meltCurve_P40925_MDH1.pdf", "Melting_Curves/meltCurve_P40925_MDH1.pdf")</f>
        <v>Melting_Curves/meltCurve_P40925_MDH1.pdf</v>
      </c>
    </row>
    <row r="2669" spans="1:28" x14ac:dyDescent="0.25">
      <c r="A2669" t="s">
        <v>2673</v>
      </c>
      <c r="B2669">
        <v>0.99999676499088797</v>
      </c>
      <c r="C2669">
        <v>0.95821620052870504</v>
      </c>
      <c r="D2669">
        <v>0.91201407124217504</v>
      </c>
      <c r="E2669">
        <v>0.79511667342003201</v>
      </c>
      <c r="F2669">
        <v>0.81346110100897895</v>
      </c>
      <c r="G2669">
        <v>0.74242427382089704</v>
      </c>
      <c r="H2669">
        <v>0.38170823566649398</v>
      </c>
      <c r="I2669">
        <v>0.14160726323462</v>
      </c>
      <c r="J2669">
        <v>0.107315427071397</v>
      </c>
      <c r="K2669">
        <v>8.50797906791569E-2</v>
      </c>
      <c r="L2669">
        <v>919.48085634972699</v>
      </c>
      <c r="M2669">
        <v>15.6365454921766</v>
      </c>
      <c r="N2669">
        <v>58.803324784392601</v>
      </c>
      <c r="O2669">
        <v>57.8667665714758</v>
      </c>
      <c r="P2669">
        <v>-6.7559905699862893E-2</v>
      </c>
      <c r="Q2669">
        <v>0</v>
      </c>
      <c r="R2669">
        <v>0.96068496094480105</v>
      </c>
      <c r="S2669" t="s">
        <v>9672</v>
      </c>
      <c r="T2669" t="s">
        <v>14004</v>
      </c>
      <c r="U2669" t="s">
        <v>14004</v>
      </c>
      <c r="V2669" t="s">
        <v>14004</v>
      </c>
      <c r="W2669" t="s">
        <v>16634</v>
      </c>
      <c r="X2669">
        <v>34</v>
      </c>
      <c r="Y2669" t="s">
        <v>23515</v>
      </c>
      <c r="Z2669" t="s">
        <v>30379</v>
      </c>
      <c r="AA2669">
        <v>0.63798880417902837</v>
      </c>
      <c r="AB2669" t="str">
        <f>HYPERLINK("Melting_Curves/meltCurve_P40926_MDH2.pdf", "Melting_Curves/meltCurve_P40926_MDH2.pdf")</f>
        <v>Melting_Curves/meltCurve_P40926_MDH2.pdf</v>
      </c>
    </row>
    <row r="2670" spans="1:28" x14ac:dyDescent="0.25">
      <c r="A2670" t="s">
        <v>2674</v>
      </c>
      <c r="B2670">
        <v>0.99999676499088797</v>
      </c>
      <c r="C2670">
        <v>1.03619670277316</v>
      </c>
      <c r="D2670">
        <v>1.00180617224805</v>
      </c>
      <c r="E2670">
        <v>0.99461268376447698</v>
      </c>
      <c r="F2670">
        <v>0.33385498716110101</v>
      </c>
      <c r="G2670">
        <v>0.16591287119010101</v>
      </c>
      <c r="H2670">
        <v>8.2665479370013603E-2</v>
      </c>
      <c r="I2670">
        <v>6.8404891823760097E-2</v>
      </c>
      <c r="J2670">
        <v>5.8155752715276197E-2</v>
      </c>
      <c r="K2670">
        <v>4.8188290529953402E-2</v>
      </c>
      <c r="L2670">
        <v>3344.5888818237099</v>
      </c>
      <c r="M2670">
        <v>63.815534509308598</v>
      </c>
      <c r="N2670">
        <v>52.558930520362097</v>
      </c>
      <c r="O2670">
        <v>52.358868031262901</v>
      </c>
      <c r="P2670">
        <v>-0.27954071179482198</v>
      </c>
      <c r="Q2670">
        <v>8.2578835356165003E-2</v>
      </c>
      <c r="R2670">
        <v>0.99504268505607796</v>
      </c>
      <c r="S2670" t="s">
        <v>9673</v>
      </c>
      <c r="T2670" t="s">
        <v>14004</v>
      </c>
      <c r="U2670" t="s">
        <v>14004</v>
      </c>
      <c r="V2670" t="s">
        <v>14004</v>
      </c>
      <c r="W2670" t="s">
        <v>16635</v>
      </c>
      <c r="X2670">
        <v>15</v>
      </c>
      <c r="Y2670" t="s">
        <v>23516</v>
      </c>
      <c r="Z2670" t="s">
        <v>30380</v>
      </c>
      <c r="AA2670">
        <v>0.46339258471430322</v>
      </c>
      <c r="AB2670" t="str">
        <f>HYPERLINK("Melting_Curves/meltCurve_P40937_RFC5.pdf", "Melting_Curves/meltCurve_P40937_RFC5.pdf")</f>
        <v>Melting_Curves/meltCurve_P40937_RFC5.pdf</v>
      </c>
    </row>
    <row r="2671" spans="1:28" x14ac:dyDescent="0.25">
      <c r="A2671" t="s">
        <v>2675</v>
      </c>
      <c r="B2671">
        <v>0.99999676499088797</v>
      </c>
      <c r="C2671">
        <v>1.0026885165956101</v>
      </c>
      <c r="D2671">
        <v>0.96436196793795304</v>
      </c>
      <c r="E2671">
        <v>0.84796308008688104</v>
      </c>
      <c r="F2671">
        <v>0.44403969611455901</v>
      </c>
      <c r="G2671">
        <v>0.30776655870437303</v>
      </c>
      <c r="H2671">
        <v>0.131224060280907</v>
      </c>
      <c r="I2671">
        <v>6.7871603702478203E-2</v>
      </c>
      <c r="J2671">
        <v>5.4418474233480403E-2</v>
      </c>
      <c r="K2671">
        <v>4.0553522611305501E-2</v>
      </c>
      <c r="L2671">
        <v>1032.9758564634801</v>
      </c>
      <c r="M2671">
        <v>19.4595781573741</v>
      </c>
      <c r="N2671">
        <v>53.338594600316597</v>
      </c>
      <c r="O2671">
        <v>52.5321055421023</v>
      </c>
      <c r="P2671">
        <v>-8.8491418185954407E-2</v>
      </c>
      <c r="Q2671">
        <v>4.4486549383679998E-2</v>
      </c>
      <c r="R2671">
        <v>0.99376659906142295</v>
      </c>
      <c r="S2671" t="s">
        <v>9674</v>
      </c>
      <c r="T2671" t="s">
        <v>14004</v>
      </c>
      <c r="U2671" t="s">
        <v>14004</v>
      </c>
      <c r="V2671" t="s">
        <v>14004</v>
      </c>
      <c r="W2671" t="s">
        <v>16636</v>
      </c>
      <c r="X2671">
        <v>15</v>
      </c>
      <c r="Y2671" t="s">
        <v>23517</v>
      </c>
      <c r="Z2671" t="s">
        <v>30381</v>
      </c>
      <c r="AA2671">
        <v>0.47494405961550928</v>
      </c>
      <c r="AB2671" t="str">
        <f>HYPERLINK("Melting_Curves/meltCurve_P40938_RFC3.pdf", "Melting_Curves/meltCurve_P40938_RFC3.pdf")</f>
        <v>Melting_Curves/meltCurve_P40938_RFC3.pdf</v>
      </c>
    </row>
    <row r="2672" spans="1:28" x14ac:dyDescent="0.25">
      <c r="A2672" t="s">
        <v>2676</v>
      </c>
      <c r="B2672">
        <v>0.99999676499088797</v>
      </c>
      <c r="C2672">
        <v>1.1153146471048601</v>
      </c>
      <c r="D2672">
        <v>1.1123040152119199</v>
      </c>
      <c r="E2672">
        <v>0.95111543208673399</v>
      </c>
      <c r="F2672">
        <v>0.21569128376150001</v>
      </c>
      <c r="G2672">
        <v>0.14540165261172899</v>
      </c>
      <c r="H2672">
        <v>6.4058483229753896E-2</v>
      </c>
      <c r="I2672">
        <v>5.9185444756349702E-2</v>
      </c>
      <c r="J2672">
        <v>5.5026968856368097E-2</v>
      </c>
      <c r="K2672">
        <v>4.4901933191117203E-2</v>
      </c>
      <c r="L2672">
        <v>3303.0332232508699</v>
      </c>
      <c r="M2672">
        <v>63.761025689403198</v>
      </c>
      <c r="N2672">
        <v>51.9308464891661</v>
      </c>
      <c r="O2672">
        <v>51.752440836972397</v>
      </c>
      <c r="P2672">
        <v>-0.28569022153033402</v>
      </c>
      <c r="Q2672">
        <v>7.2464012432093897E-2</v>
      </c>
      <c r="R2672">
        <v>0.98537218646555602</v>
      </c>
      <c r="S2672" t="s">
        <v>9675</v>
      </c>
      <c r="T2672" t="s">
        <v>14004</v>
      </c>
      <c r="U2672" t="s">
        <v>14004</v>
      </c>
      <c r="V2672" t="s">
        <v>14004</v>
      </c>
      <c r="W2672" t="s">
        <v>16637</v>
      </c>
      <c r="X2672">
        <v>48</v>
      </c>
      <c r="Y2672" t="s">
        <v>23518</v>
      </c>
      <c r="Z2672" t="s">
        <v>30382</v>
      </c>
      <c r="AA2672">
        <v>0.43869820450969887</v>
      </c>
      <c r="AB2672" t="str">
        <f>HYPERLINK("Melting_Curves/meltCurve_P40939_HADHA.pdf", "Melting_Curves/meltCurve_P40939_HADHA.pdf")</f>
        <v>Melting_Curves/meltCurve_P40939_HADHA.pdf</v>
      </c>
    </row>
    <row r="2673" spans="1:28" x14ac:dyDescent="0.25">
      <c r="A2673" t="s">
        <v>2677</v>
      </c>
      <c r="B2673">
        <v>0.99999676499088797</v>
      </c>
      <c r="C2673">
        <v>1.0988463571963301</v>
      </c>
      <c r="D2673">
        <v>1.0336677761633599</v>
      </c>
      <c r="E2673">
        <v>0.98077759988172197</v>
      </c>
      <c r="F2673">
        <v>0.72949222580335005</v>
      </c>
      <c r="G2673">
        <v>0.39768612546465598</v>
      </c>
      <c r="H2673">
        <v>0.13589857639033401</v>
      </c>
      <c r="I2673">
        <v>9.6385284371085803E-2</v>
      </c>
      <c r="J2673">
        <v>8.31539298747518E-2</v>
      </c>
      <c r="K2673">
        <v>6.2389008765941702E-2</v>
      </c>
      <c r="L2673">
        <v>1421.5269696181001</v>
      </c>
      <c r="M2673">
        <v>25.700086130030201</v>
      </c>
      <c r="N2673">
        <v>55.6132457232844</v>
      </c>
      <c r="O2673">
        <v>54.980528115988797</v>
      </c>
      <c r="P2673">
        <v>-0.109271406344171</v>
      </c>
      <c r="Q2673">
        <v>6.4948515563126502E-2</v>
      </c>
      <c r="R2673">
        <v>0.99271004101482296</v>
      </c>
      <c r="S2673" t="s">
        <v>9676</v>
      </c>
      <c r="T2673" t="s">
        <v>14004</v>
      </c>
      <c r="U2673" t="s">
        <v>14004</v>
      </c>
      <c r="V2673" t="s">
        <v>14004</v>
      </c>
      <c r="W2673" t="s">
        <v>16638</v>
      </c>
      <c r="X2673">
        <v>30</v>
      </c>
      <c r="Y2673" t="s">
        <v>23519</v>
      </c>
      <c r="Z2673" t="s">
        <v>30383</v>
      </c>
      <c r="AA2673">
        <v>0.55043634753848825</v>
      </c>
      <c r="AB2673" t="str">
        <f>HYPERLINK("Melting_Curves/meltCurve_P41091_EIF2S3.pdf", "Melting_Curves/meltCurve_P41091_EIF2S3.pdf")</f>
        <v>Melting_Curves/meltCurve_P41091_EIF2S3.pdf</v>
      </c>
    </row>
    <row r="2674" spans="1:28" x14ac:dyDescent="0.25">
      <c r="A2674" t="s">
        <v>2678</v>
      </c>
      <c r="B2674">
        <v>0.99999676499088797</v>
      </c>
      <c r="C2674">
        <v>1.0416399043695099</v>
      </c>
      <c r="D2674">
        <v>0.69969335567991198</v>
      </c>
      <c r="E2674">
        <v>0.29943348738900599</v>
      </c>
      <c r="F2674">
        <v>0.243854745411451</v>
      </c>
      <c r="G2674">
        <v>0.16922865943576901</v>
      </c>
      <c r="H2674">
        <v>9.5499008604530602E-2</v>
      </c>
      <c r="I2674">
        <v>0.124593078979019</v>
      </c>
      <c r="J2674">
        <v>0.10659591384121</v>
      </c>
      <c r="K2674">
        <v>6.3020804834468605E-2</v>
      </c>
      <c r="L2674">
        <v>1307.54402140408</v>
      </c>
      <c r="M2674">
        <v>27.628785842023699</v>
      </c>
      <c r="N2674">
        <v>47.809317815301803</v>
      </c>
      <c r="O2674">
        <v>47.079580727431001</v>
      </c>
      <c r="P2674">
        <v>-0.12881954717758601</v>
      </c>
      <c r="Q2674">
        <v>0.12197148541325201</v>
      </c>
      <c r="R2674">
        <v>0.98338604711091104</v>
      </c>
      <c r="S2674" t="s">
        <v>9677</v>
      </c>
      <c r="T2674" t="s">
        <v>14004</v>
      </c>
      <c r="U2674" t="s">
        <v>14004</v>
      </c>
      <c r="V2674" t="s">
        <v>14004</v>
      </c>
      <c r="W2674" t="s">
        <v>16639</v>
      </c>
      <c r="X2674">
        <v>4</v>
      </c>
      <c r="Y2674" t="s">
        <v>23520</v>
      </c>
      <c r="Z2674" t="s">
        <v>30384</v>
      </c>
      <c r="AA2674">
        <v>0.34264930057028858</v>
      </c>
      <c r="AB2674" t="str">
        <f>HYPERLINK("Melting_Curves/meltCurve_P41134_ID1.pdf", "Melting_Curves/meltCurve_P41134_ID1.pdf")</f>
        <v>Melting_Curves/meltCurve_P41134_ID1.pdf</v>
      </c>
    </row>
    <row r="2675" spans="1:28" x14ac:dyDescent="0.25">
      <c r="A2675" t="s">
        <v>2679</v>
      </c>
      <c r="B2675">
        <v>0.99999676499088797</v>
      </c>
      <c r="C2675">
        <v>0.91486788553435505</v>
      </c>
      <c r="D2675">
        <v>0.85703918657748901</v>
      </c>
      <c r="E2675">
        <v>0.72404811255569101</v>
      </c>
      <c r="F2675">
        <v>0.750385994790566</v>
      </c>
      <c r="G2675">
        <v>0.775095126912418</v>
      </c>
      <c r="H2675">
        <v>0.56008763687419505</v>
      </c>
      <c r="I2675">
        <v>0.74367899944125104</v>
      </c>
      <c r="J2675">
        <v>0.77594220392104496</v>
      </c>
      <c r="K2675">
        <v>0.84990880741224695</v>
      </c>
      <c r="L2675">
        <v>1114.32213145019</v>
      </c>
      <c r="M2675">
        <v>24.836537737710302</v>
      </c>
      <c r="O2675">
        <v>44.5784111390603</v>
      </c>
      <c r="P2675">
        <v>-3.65077475806432E-2</v>
      </c>
      <c r="Q2675">
        <v>0.73789664535710897</v>
      </c>
      <c r="R2675">
        <v>0.61387193499175596</v>
      </c>
      <c r="S2675" t="s">
        <v>9678</v>
      </c>
      <c r="T2675" t="s">
        <v>14004</v>
      </c>
      <c r="U2675" t="s">
        <v>14004</v>
      </c>
      <c r="V2675" t="s">
        <v>14004</v>
      </c>
      <c r="W2675" t="s">
        <v>16640</v>
      </c>
      <c r="X2675">
        <v>7</v>
      </c>
      <c r="Y2675" t="s">
        <v>23521</v>
      </c>
      <c r="Z2675" t="s">
        <v>30385</v>
      </c>
      <c r="AA2675">
        <v>0.78310361216849933</v>
      </c>
      <c r="AB2675" t="str">
        <f>HYPERLINK("Melting_Curves/meltCurve_P41208_CETN2.pdf", "Melting_Curves/meltCurve_P41208_CETN2.pdf")</f>
        <v>Melting_Curves/meltCurve_P41208_CETN2.pdf</v>
      </c>
    </row>
    <row r="2676" spans="1:28" x14ac:dyDescent="0.25">
      <c r="A2676" t="s">
        <v>2680</v>
      </c>
      <c r="B2676">
        <v>0.99999676499088797</v>
      </c>
      <c r="C2676">
        <v>0.80085317842345405</v>
      </c>
      <c r="D2676">
        <v>0.53029155699928099</v>
      </c>
      <c r="E2676">
        <v>0.25663489953737501</v>
      </c>
      <c r="F2676">
        <v>0.19589603381412099</v>
      </c>
      <c r="G2676">
        <v>0.16541042861244801</v>
      </c>
      <c r="H2676">
        <v>8.1325521173837803E-2</v>
      </c>
      <c r="I2676">
        <v>0.12077611880661999</v>
      </c>
      <c r="J2676">
        <v>0.105647534994097</v>
      </c>
      <c r="K2676">
        <v>9.5018460689226494E-2</v>
      </c>
      <c r="L2676">
        <v>913.91768695527298</v>
      </c>
      <c r="M2676">
        <v>19.969918798753699</v>
      </c>
      <c r="N2676">
        <v>46.350847705274703</v>
      </c>
      <c r="O2676">
        <v>45.313219262673897</v>
      </c>
      <c r="P2676">
        <v>-9.7886368086205294E-2</v>
      </c>
      <c r="Q2676">
        <v>0.11158352898912501</v>
      </c>
      <c r="R2676">
        <v>0.99313640315680096</v>
      </c>
      <c r="S2676" t="s">
        <v>9679</v>
      </c>
      <c r="T2676" t="s">
        <v>14004</v>
      </c>
      <c r="U2676" t="s">
        <v>14004</v>
      </c>
      <c r="V2676" t="s">
        <v>14004</v>
      </c>
      <c r="W2676" t="s">
        <v>16641</v>
      </c>
      <c r="X2676">
        <v>2</v>
      </c>
      <c r="Y2676" t="s">
        <v>23522</v>
      </c>
      <c r="Z2676" t="s">
        <v>30386</v>
      </c>
      <c r="AA2676">
        <v>0.2963262346716764</v>
      </c>
      <c r="AB2676" t="str">
        <f>HYPERLINK("Melting_Curves/meltCurve_P41212_ETV6.pdf", "Melting_Curves/meltCurve_P41212_ETV6.pdf")</f>
        <v>Melting_Curves/meltCurve_P41212_ETV6.pdf</v>
      </c>
    </row>
    <row r="2677" spans="1:28" x14ac:dyDescent="0.25">
      <c r="A2677" t="s">
        <v>2681</v>
      </c>
      <c r="B2677">
        <v>0.99999676499088797</v>
      </c>
      <c r="C2677">
        <v>0.91578373380937494</v>
      </c>
      <c r="D2677">
        <v>0.71080172906693795</v>
      </c>
      <c r="E2677">
        <v>0.19752536123881401</v>
      </c>
      <c r="F2677">
        <v>0.13493373897163999</v>
      </c>
      <c r="G2677">
        <v>0.10520019089553</v>
      </c>
      <c r="H2677">
        <v>4.0447079796647398E-2</v>
      </c>
      <c r="I2677">
        <v>4.4472588345083199E-2</v>
      </c>
      <c r="J2677">
        <v>3.6325892753711099E-2</v>
      </c>
      <c r="K2677">
        <v>3.8561623321655102E-2</v>
      </c>
      <c r="L2677">
        <v>1384.51927870956</v>
      </c>
      <c r="M2677">
        <v>29.392196175052401</v>
      </c>
      <c r="N2677">
        <v>47.296587823478603</v>
      </c>
      <c r="O2677">
        <v>46.888556189697702</v>
      </c>
      <c r="P2677">
        <v>-0.14791867315558199</v>
      </c>
      <c r="Q2677">
        <v>5.6124340706807899E-2</v>
      </c>
      <c r="R2677">
        <v>0.99414914385849296</v>
      </c>
      <c r="S2677" t="s">
        <v>9680</v>
      </c>
      <c r="T2677" t="s">
        <v>14004</v>
      </c>
      <c r="U2677" t="s">
        <v>14004</v>
      </c>
      <c r="V2677" t="s">
        <v>14004</v>
      </c>
      <c r="W2677" t="s">
        <v>16642</v>
      </c>
      <c r="X2677">
        <v>14</v>
      </c>
      <c r="Y2677" t="s">
        <v>23523</v>
      </c>
      <c r="Z2677" t="s">
        <v>30387</v>
      </c>
      <c r="AA2677">
        <v>0.28558017404044012</v>
      </c>
      <c r="AB2677" t="str">
        <f>HYPERLINK("Melting_Curves/meltCurve_P41214_EIF2D.pdf", "Melting_Curves/meltCurve_P41214_EIF2D.pdf")</f>
        <v>Melting_Curves/meltCurve_P41214_EIF2D.pdf</v>
      </c>
    </row>
    <row r="2678" spans="1:28" x14ac:dyDescent="0.25">
      <c r="A2678" t="s">
        <v>2682</v>
      </c>
      <c r="B2678">
        <v>0.99999676499088797</v>
      </c>
      <c r="C2678">
        <v>1.0026904188507499</v>
      </c>
      <c r="D2678">
        <v>1.00712560222265</v>
      </c>
      <c r="E2678">
        <v>0.86886512134051397</v>
      </c>
      <c r="F2678">
        <v>0.41255715232534501</v>
      </c>
      <c r="G2678">
        <v>0.28220456020956203</v>
      </c>
      <c r="H2678">
        <v>0.111918898974551</v>
      </c>
      <c r="I2678">
        <v>0.121998518183121</v>
      </c>
      <c r="J2678">
        <v>0.105237271568664</v>
      </c>
      <c r="K2678">
        <v>7.9995508657945205E-2</v>
      </c>
      <c r="L2678">
        <v>1411.8276107708</v>
      </c>
      <c r="M2678">
        <v>26.951255022277</v>
      </c>
      <c r="N2678">
        <v>52.862021923994597</v>
      </c>
      <c r="O2678">
        <v>52.0986337645178</v>
      </c>
      <c r="P2678">
        <v>-0.11535517214607301</v>
      </c>
      <c r="Q2678">
        <v>0.108050928806323</v>
      </c>
      <c r="R2678">
        <v>0.99282784884377495</v>
      </c>
      <c r="S2678" t="s">
        <v>9681</v>
      </c>
      <c r="T2678" t="s">
        <v>14004</v>
      </c>
      <c r="U2678" t="s">
        <v>14004</v>
      </c>
      <c r="V2678" t="s">
        <v>14004</v>
      </c>
      <c r="W2678" t="s">
        <v>16643</v>
      </c>
      <c r="X2678">
        <v>10</v>
      </c>
      <c r="Y2678" t="s">
        <v>23524</v>
      </c>
      <c r="Z2678" t="s">
        <v>30388</v>
      </c>
      <c r="AA2678">
        <v>0.48333338452139402</v>
      </c>
      <c r="AB2678" t="str">
        <f>HYPERLINK("Melting_Curves/meltCurve_P41223_BUD31.pdf", "Melting_Curves/meltCurve_P41223_BUD31.pdf")</f>
        <v>Melting_Curves/meltCurve_P41223_BUD31.pdf</v>
      </c>
    </row>
    <row r="2679" spans="1:28" x14ac:dyDescent="0.25">
      <c r="A2679" t="s">
        <v>2683</v>
      </c>
      <c r="B2679">
        <v>0.99999676499088797</v>
      </c>
      <c r="C2679">
        <v>1.0039011492293699</v>
      </c>
      <c r="D2679">
        <v>0.976517935243843</v>
      </c>
      <c r="E2679">
        <v>0.92757616877501203</v>
      </c>
      <c r="F2679">
        <v>0.64751268770716197</v>
      </c>
      <c r="G2679">
        <v>0.203185525609411</v>
      </c>
      <c r="H2679">
        <v>9.4349687715585301E-2</v>
      </c>
      <c r="I2679">
        <v>7.7400800466734407E-2</v>
      </c>
      <c r="J2679">
        <v>5.6405096413220501E-2</v>
      </c>
      <c r="K2679">
        <v>5.1828732378817202E-2</v>
      </c>
      <c r="L2679">
        <v>1726.1012714831199</v>
      </c>
      <c r="M2679">
        <v>31.986791263215899</v>
      </c>
      <c r="N2679">
        <v>54.176898312282901</v>
      </c>
      <c r="O2679">
        <v>53.753340546166903</v>
      </c>
      <c r="P2679">
        <v>-0.139940039458852</v>
      </c>
      <c r="Q2679">
        <v>5.9335957706523099E-2</v>
      </c>
      <c r="R2679">
        <v>0.99917589262545803</v>
      </c>
      <c r="S2679" t="s">
        <v>9682</v>
      </c>
      <c r="T2679" t="s">
        <v>14004</v>
      </c>
      <c r="U2679" t="s">
        <v>14004</v>
      </c>
      <c r="V2679" t="s">
        <v>14004</v>
      </c>
      <c r="W2679" t="s">
        <v>16644</v>
      </c>
      <c r="X2679">
        <v>15</v>
      </c>
      <c r="Y2679" t="s">
        <v>23525</v>
      </c>
      <c r="Z2679" t="s">
        <v>30389</v>
      </c>
      <c r="AA2679">
        <v>0.50260341198561853</v>
      </c>
      <c r="AB2679" t="str">
        <f>HYPERLINK("Melting_Curves/meltCurve_P41227_NAA10.pdf", "Melting_Curves/meltCurve_P41227_NAA10.pdf")</f>
        <v>Melting_Curves/meltCurve_P41227_NAA10.pdf</v>
      </c>
    </row>
    <row r="2680" spans="1:28" x14ac:dyDescent="0.25">
      <c r="A2680" t="s">
        <v>2684</v>
      </c>
      <c r="B2680">
        <v>0.99999676499088797</v>
      </c>
      <c r="C2680">
        <v>0.91851365872248403</v>
      </c>
      <c r="D2680">
        <v>0.73347904622718596</v>
      </c>
      <c r="E2680">
        <v>0.32941299262339602</v>
      </c>
      <c r="F2680">
        <v>0.280060530762126</v>
      </c>
      <c r="G2680">
        <v>0.18272142924732601</v>
      </c>
      <c r="H2680">
        <v>0.10395476748617299</v>
      </c>
      <c r="I2680">
        <v>0.10825947919114801</v>
      </c>
      <c r="J2680">
        <v>0.107342419878779</v>
      </c>
      <c r="K2680">
        <v>8.0415361590373505E-2</v>
      </c>
      <c r="L2680">
        <v>943.98581001846196</v>
      </c>
      <c r="M2680">
        <v>19.790247855212701</v>
      </c>
      <c r="N2680">
        <v>48.303992232609403</v>
      </c>
      <c r="O2680">
        <v>47.2205178663231</v>
      </c>
      <c r="P2680">
        <v>-9.32870448080068E-2</v>
      </c>
      <c r="Q2680">
        <v>0.109680064478651</v>
      </c>
      <c r="R2680">
        <v>0.98927114309451603</v>
      </c>
      <c r="S2680" t="s">
        <v>9683</v>
      </c>
      <c r="T2680" t="s">
        <v>14004</v>
      </c>
      <c r="U2680" t="s">
        <v>14004</v>
      </c>
      <c r="V2680" t="s">
        <v>14004</v>
      </c>
      <c r="W2680" t="s">
        <v>16645</v>
      </c>
      <c r="X2680">
        <v>5</v>
      </c>
      <c r="Y2680" t="s">
        <v>23526</v>
      </c>
      <c r="Z2680" t="s">
        <v>30390</v>
      </c>
      <c r="AA2680">
        <v>0.35121427021785678</v>
      </c>
      <c r="AB2680" t="str">
        <f>HYPERLINK("Melting_Curves/meltCurve_P41229_3_KDM5C.pdf", "Melting_Curves/meltCurve_P41229_3_KDM5C.pdf")</f>
        <v>Melting_Curves/meltCurve_P41229_3_KDM5C.pdf</v>
      </c>
    </row>
    <row r="2681" spans="1:28" x14ac:dyDescent="0.25">
      <c r="A2681" t="s">
        <v>2685</v>
      </c>
      <c r="B2681">
        <v>0.99999676499088797</v>
      </c>
      <c r="C2681">
        <v>0.98165326575166301</v>
      </c>
      <c r="D2681">
        <v>0.89386810361935398</v>
      </c>
      <c r="E2681">
        <v>0.55067150929382203</v>
      </c>
      <c r="F2681">
        <v>0.20932536514367001</v>
      </c>
      <c r="G2681">
        <v>0.122891918105639</v>
      </c>
      <c r="H2681">
        <v>6.1921781831699801E-2</v>
      </c>
      <c r="I2681">
        <v>6.0501139883009598E-2</v>
      </c>
      <c r="J2681">
        <v>5.9856128829818299E-2</v>
      </c>
      <c r="K2681">
        <v>5.5467203650587299E-2</v>
      </c>
      <c r="L2681">
        <v>1233.30979008594</v>
      </c>
      <c r="M2681">
        <v>24.776415004685798</v>
      </c>
      <c r="N2681">
        <v>50.030769552290302</v>
      </c>
      <c r="O2681">
        <v>49.456709920513099</v>
      </c>
      <c r="P2681">
        <v>-0.117864906962757</v>
      </c>
      <c r="Q2681">
        <v>5.8923089623568403E-2</v>
      </c>
      <c r="R2681">
        <v>0.99958184937538697</v>
      </c>
      <c r="S2681" t="s">
        <v>9684</v>
      </c>
      <c r="T2681" t="s">
        <v>14004</v>
      </c>
      <c r="U2681" t="s">
        <v>14004</v>
      </c>
      <c r="V2681" t="s">
        <v>14004</v>
      </c>
      <c r="W2681" t="s">
        <v>16646</v>
      </c>
      <c r="X2681">
        <v>26</v>
      </c>
      <c r="Y2681" t="s">
        <v>23527</v>
      </c>
      <c r="Z2681" t="s">
        <v>30391</v>
      </c>
      <c r="AA2681">
        <v>0.37418438771531293</v>
      </c>
      <c r="AB2681" t="str">
        <f>HYPERLINK("Melting_Curves/meltCurve_P41240_CSK.pdf", "Melting_Curves/meltCurve_P41240_CSK.pdf")</f>
        <v>Melting_Curves/meltCurve_P41240_CSK.pdf</v>
      </c>
    </row>
    <row r="2682" spans="1:28" x14ac:dyDescent="0.25">
      <c r="A2682" t="s">
        <v>2686</v>
      </c>
      <c r="B2682">
        <v>0.99999676499088797</v>
      </c>
      <c r="C2682">
        <v>1.00694703389853</v>
      </c>
      <c r="D2682">
        <v>0.99841668913951298</v>
      </c>
      <c r="E2682">
        <v>1.0665656706080899</v>
      </c>
      <c r="F2682">
        <v>0.99107182254497805</v>
      </c>
      <c r="G2682">
        <v>0.98163309630388795</v>
      </c>
      <c r="H2682">
        <v>0.59151449961847102</v>
      </c>
      <c r="I2682">
        <v>0.314387293226916</v>
      </c>
      <c r="J2682">
        <v>0.116968242951124</v>
      </c>
      <c r="K2682">
        <v>8.8279363963778501E-2</v>
      </c>
      <c r="L2682">
        <v>1951.4654747899201</v>
      </c>
      <c r="M2682">
        <v>31.7149417299192</v>
      </c>
      <c r="N2682">
        <v>61.825466477186303</v>
      </c>
      <c r="O2682">
        <v>61.2883285169804</v>
      </c>
      <c r="P2682">
        <v>-0.120312506155713</v>
      </c>
      <c r="Q2682">
        <v>7.0001174739279498E-2</v>
      </c>
      <c r="R2682">
        <v>0.99395167447218602</v>
      </c>
      <c r="S2682" t="s">
        <v>9685</v>
      </c>
      <c r="T2682" t="s">
        <v>14004</v>
      </c>
      <c r="U2682" t="s">
        <v>14004</v>
      </c>
      <c r="V2682" t="s">
        <v>14004</v>
      </c>
      <c r="W2682" t="s">
        <v>16647</v>
      </c>
      <c r="X2682">
        <v>47</v>
      </c>
      <c r="Y2682" t="s">
        <v>23528</v>
      </c>
      <c r="Z2682" t="s">
        <v>30392</v>
      </c>
      <c r="AA2682">
        <v>0.7420064428496127</v>
      </c>
      <c r="AB2682" t="str">
        <f>HYPERLINK("Melting_Curves/meltCurve_P41250_GARS.pdf", "Melting_Curves/meltCurve_P41250_GARS.pdf")</f>
        <v>Melting_Curves/meltCurve_P41250_GARS.pdf</v>
      </c>
    </row>
    <row r="2683" spans="1:28" x14ac:dyDescent="0.25">
      <c r="A2683" t="s">
        <v>2687</v>
      </c>
      <c r="B2683">
        <v>0.99999676499088797</v>
      </c>
      <c r="C2683">
        <v>1.0801769987574601</v>
      </c>
      <c r="D2683">
        <v>0.89274339692850702</v>
      </c>
      <c r="E2683">
        <v>0.36026132041555903</v>
      </c>
      <c r="F2683">
        <v>0.20318639020321</v>
      </c>
      <c r="G2683">
        <v>0.15275344213971001</v>
      </c>
      <c r="H2683">
        <v>7.3871892820537396E-2</v>
      </c>
      <c r="I2683">
        <v>8.1111168789985005E-2</v>
      </c>
      <c r="J2683">
        <v>7.1104507842066497E-2</v>
      </c>
      <c r="K2683">
        <v>6.2434195972490503E-2</v>
      </c>
      <c r="L2683">
        <v>1695.9345530031001</v>
      </c>
      <c r="M2683">
        <v>34.958486532692902</v>
      </c>
      <c r="N2683">
        <v>48.813587060875697</v>
      </c>
      <c r="O2683">
        <v>48.354894955460999</v>
      </c>
      <c r="P2683">
        <v>-0.16322759668231501</v>
      </c>
      <c r="Q2683">
        <v>9.6891753333773006E-2</v>
      </c>
      <c r="R2683">
        <v>0.98855979473453004</v>
      </c>
      <c r="S2683" t="s">
        <v>9686</v>
      </c>
      <c r="T2683" t="s">
        <v>14004</v>
      </c>
      <c r="U2683" t="s">
        <v>14004</v>
      </c>
      <c r="V2683" t="s">
        <v>14004</v>
      </c>
      <c r="W2683" t="s">
        <v>16648</v>
      </c>
      <c r="X2683">
        <v>30</v>
      </c>
      <c r="Y2683" t="s">
        <v>23529</v>
      </c>
      <c r="Z2683" t="s">
        <v>30393</v>
      </c>
      <c r="AA2683">
        <v>0.35714907986942313</v>
      </c>
      <c r="AB2683" t="str">
        <f>HYPERLINK("Melting_Curves/meltCurve_P41252_IARS.pdf", "Melting_Curves/meltCurve_P41252_IARS.pdf")</f>
        <v>Melting_Curves/meltCurve_P41252_IARS.pdf</v>
      </c>
    </row>
    <row r="2684" spans="1:28" x14ac:dyDescent="0.25">
      <c r="A2684" t="s">
        <v>2688</v>
      </c>
      <c r="B2684">
        <v>0.99999676499088797</v>
      </c>
      <c r="C2684">
        <v>1.0364225441658601</v>
      </c>
      <c r="D2684">
        <v>1.00403011516001</v>
      </c>
      <c r="E2684">
        <v>0.84019536562257402</v>
      </c>
      <c r="F2684">
        <v>0.76928822697617705</v>
      </c>
      <c r="G2684">
        <v>0.65921226444177805</v>
      </c>
      <c r="H2684">
        <v>0.41074581262472998</v>
      </c>
      <c r="I2684">
        <v>0.40294136251409401</v>
      </c>
      <c r="J2684">
        <v>0.29846372785480502</v>
      </c>
      <c r="K2684">
        <v>0.20118935708975999</v>
      </c>
      <c r="L2684">
        <v>629.03689005746901</v>
      </c>
      <c r="M2684">
        <v>10.701812148318499</v>
      </c>
      <c r="N2684">
        <v>59.880309497931698</v>
      </c>
      <c r="O2684">
        <v>56.837676025919997</v>
      </c>
      <c r="P2684">
        <v>-4.2881223982708098E-2</v>
      </c>
      <c r="Q2684">
        <v>8.9367145561239703E-2</v>
      </c>
      <c r="R2684">
        <v>0.98352039299027705</v>
      </c>
      <c r="S2684" t="s">
        <v>9687</v>
      </c>
      <c r="T2684" t="s">
        <v>14004</v>
      </c>
      <c r="U2684" t="s">
        <v>14004</v>
      </c>
      <c r="V2684" t="s">
        <v>14004</v>
      </c>
      <c r="W2684" t="s">
        <v>16649</v>
      </c>
      <c r="X2684">
        <v>8</v>
      </c>
      <c r="Y2684" t="s">
        <v>23530</v>
      </c>
      <c r="Z2684" t="s">
        <v>30394</v>
      </c>
      <c r="AA2684">
        <v>0.66546426196014263</v>
      </c>
      <c r="AB2684" t="str">
        <f>HYPERLINK("Melting_Curves/meltCurve_P41440_SLC19A1.pdf", "Melting_Curves/meltCurve_P41440_SLC19A1.pdf")</f>
        <v>Melting_Curves/meltCurve_P41440_SLC19A1.pdf</v>
      </c>
    </row>
    <row r="2685" spans="1:28" x14ac:dyDescent="0.25">
      <c r="A2685" t="s">
        <v>2689</v>
      </c>
      <c r="B2685">
        <v>0.99999676499088797</v>
      </c>
      <c r="C2685">
        <v>0.88859121787475304</v>
      </c>
      <c r="D2685">
        <v>0.87322802120579501</v>
      </c>
      <c r="E2685">
        <v>0.80038048386238703</v>
      </c>
      <c r="F2685">
        <v>0.71768928348684402</v>
      </c>
      <c r="G2685">
        <v>0.56087064825525101</v>
      </c>
      <c r="H2685">
        <v>0.21673789501280599</v>
      </c>
      <c r="I2685">
        <v>0.15835325970347</v>
      </c>
      <c r="J2685">
        <v>0.12614273139319601</v>
      </c>
      <c r="K2685">
        <v>0.14279191984280601</v>
      </c>
      <c r="L2685">
        <v>652.31676862431596</v>
      </c>
      <c r="M2685">
        <v>11.5689159684439</v>
      </c>
      <c r="N2685">
        <v>56.385297544859299</v>
      </c>
      <c r="O2685">
        <v>54.7795463949995</v>
      </c>
      <c r="P2685">
        <v>-5.2812277137840098E-2</v>
      </c>
      <c r="Q2685">
        <v>0</v>
      </c>
      <c r="R2685">
        <v>0.97110448189236098</v>
      </c>
      <c r="S2685" t="s">
        <v>9688</v>
      </c>
      <c r="T2685" t="s">
        <v>14004</v>
      </c>
      <c r="U2685" t="s">
        <v>14004</v>
      </c>
      <c r="V2685" t="s">
        <v>14004</v>
      </c>
      <c r="W2685" t="s">
        <v>16650</v>
      </c>
      <c r="X2685">
        <v>11</v>
      </c>
      <c r="Y2685" t="s">
        <v>23531</v>
      </c>
      <c r="Z2685" t="s">
        <v>30395</v>
      </c>
      <c r="AA2685">
        <v>0.56539428067864417</v>
      </c>
      <c r="AB2685" t="str">
        <f>HYPERLINK("Melting_Curves/meltCurve_P41567_EIF1.pdf", "Melting_Curves/meltCurve_P41567_EIF1.pdf")</f>
        <v>Melting_Curves/meltCurve_P41567_EIF1.pdf</v>
      </c>
    </row>
    <row r="2686" spans="1:28" x14ac:dyDescent="0.25">
      <c r="A2686" t="s">
        <v>2690</v>
      </c>
      <c r="B2686">
        <v>0.99999676499088797</v>
      </c>
      <c r="C2686">
        <v>1.03524560686529</v>
      </c>
      <c r="D2686">
        <v>0.93189239436451299</v>
      </c>
      <c r="E2686">
        <v>0.714997642923487</v>
      </c>
      <c r="F2686">
        <v>0.32448312684004998</v>
      </c>
      <c r="G2686">
        <v>0.20533814394962899</v>
      </c>
      <c r="H2686">
        <v>9.1855114499375196E-2</v>
      </c>
      <c r="I2686">
        <v>9.8598669998653701E-2</v>
      </c>
      <c r="J2686">
        <v>0.101474683014141</v>
      </c>
      <c r="K2686">
        <v>7.0923628611500297E-2</v>
      </c>
      <c r="L2686">
        <v>1225.6260606931201</v>
      </c>
      <c r="M2686">
        <v>23.9670819116029</v>
      </c>
      <c r="N2686">
        <v>51.558253123044501</v>
      </c>
      <c r="O2686">
        <v>50.785861743270097</v>
      </c>
      <c r="P2686">
        <v>-0.10751196031704301</v>
      </c>
      <c r="Q2686">
        <v>8.8749858079872401E-2</v>
      </c>
      <c r="R2686">
        <v>0.99676723051646898</v>
      </c>
      <c r="S2686" t="s">
        <v>9689</v>
      </c>
      <c r="T2686" t="s">
        <v>14004</v>
      </c>
      <c r="U2686" t="s">
        <v>14004</v>
      </c>
      <c r="V2686" t="s">
        <v>14004</v>
      </c>
      <c r="W2686" t="s">
        <v>16651</v>
      </c>
      <c r="X2686">
        <v>10</v>
      </c>
      <c r="Y2686" t="s">
        <v>23532</v>
      </c>
      <c r="Z2686" t="s">
        <v>30396</v>
      </c>
      <c r="AA2686">
        <v>0.4360168326933459</v>
      </c>
      <c r="AB2686" t="str">
        <f>HYPERLINK("Melting_Curves/meltCurve_P41743_PRKCI.pdf", "Melting_Curves/meltCurve_P41743_PRKCI.pdf")</f>
        <v>Melting_Curves/meltCurve_P41743_PRKCI.pdf</v>
      </c>
    </row>
    <row r="2687" spans="1:28" x14ac:dyDescent="0.25">
      <c r="A2687" t="s">
        <v>2691</v>
      </c>
      <c r="B2687">
        <v>0.99999676499088797</v>
      </c>
      <c r="C2687">
        <v>0.95210157604329104</v>
      </c>
      <c r="D2687">
        <v>0.95370296675792898</v>
      </c>
      <c r="E2687">
        <v>0.89587285106688697</v>
      </c>
      <c r="F2687">
        <v>0.88744216396562403</v>
      </c>
      <c r="G2687">
        <v>0.68634457937117999</v>
      </c>
      <c r="H2687">
        <v>0.30089707522766201</v>
      </c>
      <c r="I2687">
        <v>0.12513529959726499</v>
      </c>
      <c r="J2687">
        <v>6.9609721995195703E-2</v>
      </c>
      <c r="K2687">
        <v>4.7540039376532603E-2</v>
      </c>
      <c r="L2687">
        <v>1236.1100159894399</v>
      </c>
      <c r="M2687">
        <v>21.121922704143401</v>
      </c>
      <c r="N2687">
        <v>58.5403936909604</v>
      </c>
      <c r="O2687">
        <v>58.005594473463802</v>
      </c>
      <c r="P2687">
        <v>-9.0745236479398597E-2</v>
      </c>
      <c r="Q2687">
        <v>3.1978053093801701E-3</v>
      </c>
      <c r="R2687">
        <v>0.99155464373729196</v>
      </c>
      <c r="S2687" t="s">
        <v>9690</v>
      </c>
      <c r="T2687" t="s">
        <v>14004</v>
      </c>
      <c r="U2687" t="s">
        <v>14004</v>
      </c>
      <c r="V2687" t="s">
        <v>14004</v>
      </c>
      <c r="W2687" t="s">
        <v>16652</v>
      </c>
      <c r="X2687">
        <v>18</v>
      </c>
      <c r="Y2687" t="s">
        <v>23533</v>
      </c>
      <c r="Z2687" t="s">
        <v>30397</v>
      </c>
      <c r="AA2687">
        <v>0.62883334933765866</v>
      </c>
      <c r="AB2687" t="str">
        <f>HYPERLINK("Melting_Curves/meltCurve_P42025_ACTR1B.pdf", "Melting_Curves/meltCurve_P42025_ACTR1B.pdf")</f>
        <v>Melting_Curves/meltCurve_P42025_ACTR1B.pdf</v>
      </c>
    </row>
    <row r="2688" spans="1:28" x14ac:dyDescent="0.25">
      <c r="A2688" t="s">
        <v>2692</v>
      </c>
      <c r="B2688">
        <v>0.99999676499088797</v>
      </c>
      <c r="C2688">
        <v>0.93609696671023901</v>
      </c>
      <c r="D2688">
        <v>0.67308386196327097</v>
      </c>
      <c r="E2688">
        <v>0.385429716431342</v>
      </c>
      <c r="F2688">
        <v>0.29425549509305698</v>
      </c>
      <c r="G2688">
        <v>0.217065713358189</v>
      </c>
      <c r="H2688">
        <v>0.128116591744875</v>
      </c>
      <c r="I2688">
        <v>0.119814515531313</v>
      </c>
      <c r="J2688">
        <v>0.111157137165919</v>
      </c>
      <c r="K2688">
        <v>0.133693682133912</v>
      </c>
      <c r="L2688">
        <v>848.29140576046996</v>
      </c>
      <c r="M2688">
        <v>17.808806175283902</v>
      </c>
      <c r="N2688">
        <v>48.445309077392203</v>
      </c>
      <c r="O2688">
        <v>47.044831057396301</v>
      </c>
      <c r="P2688">
        <v>-8.2429775521710102E-2</v>
      </c>
      <c r="Q2688">
        <v>0.12903878682790901</v>
      </c>
      <c r="R2688">
        <v>0.99113248649310803</v>
      </c>
      <c r="S2688" t="s">
        <v>9691</v>
      </c>
      <c r="T2688" t="s">
        <v>14004</v>
      </c>
      <c r="U2688" t="s">
        <v>14004</v>
      </c>
      <c r="V2688" t="s">
        <v>14004</v>
      </c>
      <c r="W2688" t="s">
        <v>16653</v>
      </c>
      <c r="X2688">
        <v>38</v>
      </c>
      <c r="Y2688" t="s">
        <v>23534</v>
      </c>
      <c r="Z2688" t="s">
        <v>30398</v>
      </c>
      <c r="AA2688">
        <v>0.36664847358238611</v>
      </c>
      <c r="AB2688" t="str">
        <f>HYPERLINK("Melting_Curves/meltCurve_P42166_TMPO.pdf", "Melting_Curves/meltCurve_P42166_TMPO.pdf")</f>
        <v>Melting_Curves/meltCurve_P42166_TMPO.pdf</v>
      </c>
    </row>
    <row r="2689" spans="1:28" x14ac:dyDescent="0.25">
      <c r="A2689" t="s">
        <v>2693</v>
      </c>
      <c r="B2689">
        <v>0.99999676499088797</v>
      </c>
      <c r="C2689">
        <v>1.0085952123194899</v>
      </c>
      <c r="D2689">
        <v>1.0311812241945399</v>
      </c>
      <c r="E2689">
        <v>0.87904616035042205</v>
      </c>
      <c r="F2689">
        <v>0.58513171081690196</v>
      </c>
      <c r="G2689">
        <v>0.62838097874076504</v>
      </c>
      <c r="H2689">
        <v>0.3518341767489</v>
      </c>
      <c r="I2689">
        <v>0.39711129025806902</v>
      </c>
      <c r="J2689">
        <v>0.41426566030746398</v>
      </c>
      <c r="K2689">
        <v>0.34849536614036197</v>
      </c>
      <c r="L2689">
        <v>1002.39192952132</v>
      </c>
      <c r="M2689">
        <v>18.9187224965384</v>
      </c>
      <c r="N2689">
        <v>57.046144798800498</v>
      </c>
      <c r="O2689">
        <v>52.402788256922499</v>
      </c>
      <c r="P2689">
        <v>-5.6863171325004999E-2</v>
      </c>
      <c r="Q2689">
        <v>0.37000657210119198</v>
      </c>
      <c r="R2689">
        <v>0.95537316407550199</v>
      </c>
      <c r="S2689" t="s">
        <v>9692</v>
      </c>
      <c r="T2689" t="s">
        <v>14004</v>
      </c>
      <c r="U2689" t="s">
        <v>14004</v>
      </c>
      <c r="V2689" t="s">
        <v>14004</v>
      </c>
      <c r="W2689" t="s">
        <v>16654</v>
      </c>
      <c r="X2689">
        <v>30</v>
      </c>
      <c r="Y2689" t="s">
        <v>23534</v>
      </c>
      <c r="Z2689" t="s">
        <v>30399</v>
      </c>
      <c r="AA2689">
        <v>0.65218528820892985</v>
      </c>
      <c r="AB2689" t="str">
        <f>HYPERLINK("Melting_Curves/meltCurve_P42167_TMPO.pdf", "Melting_Curves/meltCurve_P42167_TMPO.pdf")</f>
        <v>Melting_Curves/meltCurve_P42167_TMPO.pdf</v>
      </c>
    </row>
    <row r="2690" spans="1:28" x14ac:dyDescent="0.25">
      <c r="A2690" t="s">
        <v>2694</v>
      </c>
      <c r="B2690">
        <v>0.99999676499088797</v>
      </c>
      <c r="C2690">
        <v>1.1743379137001899</v>
      </c>
      <c r="D2690">
        <v>0.85531359632765103</v>
      </c>
      <c r="E2690">
        <v>0.617947069677792</v>
      </c>
      <c r="F2690">
        <v>0.496135969472909</v>
      </c>
      <c r="G2690">
        <v>0.259912228393818</v>
      </c>
      <c r="H2690">
        <v>0.16767615004707301</v>
      </c>
      <c r="I2690">
        <v>0.35282968467107301</v>
      </c>
      <c r="J2690">
        <v>0.30675970649258999</v>
      </c>
      <c r="K2690">
        <v>0.21052684604947899</v>
      </c>
      <c r="L2690">
        <v>1083.9992387458899</v>
      </c>
      <c r="M2690">
        <v>21.6915920004393</v>
      </c>
      <c r="N2690">
        <v>51.6665505271664</v>
      </c>
      <c r="O2690">
        <v>49.554338540854403</v>
      </c>
      <c r="P2690">
        <v>-8.1595168803635695E-2</v>
      </c>
      <c r="Q2690">
        <v>0.25440251267781699</v>
      </c>
      <c r="R2690">
        <v>0.93481805645557503</v>
      </c>
      <c r="S2690" t="s">
        <v>9693</v>
      </c>
      <c r="T2690" t="s">
        <v>14004</v>
      </c>
      <c r="U2690" t="s">
        <v>14004</v>
      </c>
      <c r="V2690" t="s">
        <v>14004</v>
      </c>
      <c r="W2690" t="s">
        <v>16655</v>
      </c>
      <c r="X2690">
        <v>25</v>
      </c>
      <c r="Y2690" t="s">
        <v>23534</v>
      </c>
      <c r="Z2690" t="s">
        <v>30400</v>
      </c>
      <c r="AA2690">
        <v>0.51111786287917771</v>
      </c>
      <c r="AB2690" t="str">
        <f>HYPERLINK("Melting_Curves/meltCurve_P42167_2_TMPO.pdf", "Melting_Curves/meltCurve_P42167_2_TMPO.pdf")</f>
        <v>Melting_Curves/meltCurve_P42167_2_TMPO.pdf</v>
      </c>
    </row>
    <row r="2691" spans="1:28" x14ac:dyDescent="0.25">
      <c r="A2691" t="s">
        <v>2695</v>
      </c>
      <c r="B2691">
        <v>0.99999676499088797</v>
      </c>
      <c r="C2691">
        <v>0.77908591789260695</v>
      </c>
      <c r="D2691">
        <v>0.28512712947824698</v>
      </c>
      <c r="E2691">
        <v>0.19397096839008199</v>
      </c>
      <c r="F2691">
        <v>0.144005246013933</v>
      </c>
      <c r="G2691">
        <v>0.109608881067026</v>
      </c>
      <c r="H2691">
        <v>5.6649680717529599E-2</v>
      </c>
      <c r="I2691">
        <v>5.53031277992121E-2</v>
      </c>
      <c r="J2691">
        <v>5.2321678907090399E-2</v>
      </c>
      <c r="K2691">
        <v>3.80630276610276E-2</v>
      </c>
      <c r="L2691">
        <v>1397.25358858604</v>
      </c>
      <c r="M2691">
        <v>31.4722225314685</v>
      </c>
      <c r="N2691">
        <v>44.658266721175501</v>
      </c>
      <c r="O2691">
        <v>44.218315188033401</v>
      </c>
      <c r="P2691">
        <v>-0.162944975901026</v>
      </c>
      <c r="Q2691">
        <v>8.42574239203909E-2</v>
      </c>
      <c r="R2691">
        <v>0.98452933142638899</v>
      </c>
      <c r="S2691" t="s">
        <v>9694</v>
      </c>
      <c r="T2691" t="s">
        <v>14004</v>
      </c>
      <c r="U2691" t="s">
        <v>14004</v>
      </c>
      <c r="V2691" t="s">
        <v>14004</v>
      </c>
      <c r="W2691" t="s">
        <v>16656</v>
      </c>
      <c r="X2691">
        <v>27</v>
      </c>
      <c r="Y2691" t="s">
        <v>23535</v>
      </c>
      <c r="Z2691" t="s">
        <v>30401</v>
      </c>
      <c r="AA2691">
        <v>0.22404649644100341</v>
      </c>
      <c r="AB2691" t="str">
        <f>HYPERLINK("Melting_Curves/meltCurve_P42224_STAT1.pdf", "Melting_Curves/meltCurve_P42224_STAT1.pdf")</f>
        <v>Melting_Curves/meltCurve_P42224_STAT1.pdf</v>
      </c>
    </row>
    <row r="2692" spans="1:28" x14ac:dyDescent="0.25">
      <c r="A2692" t="s">
        <v>2696</v>
      </c>
      <c r="B2692">
        <v>0.99999676499088797</v>
      </c>
      <c r="C2692">
        <v>0.79404553842904901</v>
      </c>
      <c r="D2692">
        <v>0.50844025174766305</v>
      </c>
      <c r="E2692">
        <v>0.26270994338127601</v>
      </c>
      <c r="F2692">
        <v>0.236760657766514</v>
      </c>
      <c r="G2692">
        <v>0.12868494833504601</v>
      </c>
      <c r="H2692">
        <v>7.4256795996134495E-2</v>
      </c>
      <c r="I2692">
        <v>8.0866676717296707E-2</v>
      </c>
      <c r="J2692">
        <v>7.0401439080307507E-2</v>
      </c>
      <c r="K2692">
        <v>5.4902119445878202E-2</v>
      </c>
      <c r="L2692">
        <v>801.62630071343904</v>
      </c>
      <c r="M2692">
        <v>17.438125064929999</v>
      </c>
      <c r="N2692">
        <v>46.432413405157199</v>
      </c>
      <c r="O2692">
        <v>45.377994131301598</v>
      </c>
      <c r="P2692">
        <v>-8.8414794330073904E-2</v>
      </c>
      <c r="Q2692">
        <v>7.9749295981412505E-2</v>
      </c>
      <c r="R2692">
        <v>0.98736719994543198</v>
      </c>
      <c r="S2692" t="s">
        <v>9695</v>
      </c>
      <c r="T2692" t="s">
        <v>14004</v>
      </c>
      <c r="U2692" t="s">
        <v>14004</v>
      </c>
      <c r="V2692" t="s">
        <v>14004</v>
      </c>
      <c r="W2692" t="s">
        <v>16657</v>
      </c>
      <c r="X2692">
        <v>10</v>
      </c>
      <c r="Y2692" t="s">
        <v>23536</v>
      </c>
      <c r="Z2692" t="s">
        <v>30402</v>
      </c>
      <c r="AA2692">
        <v>0.28231007071201658</v>
      </c>
      <c r="AB2692" t="str">
        <f>HYPERLINK("Melting_Curves/meltCurve_P42226_STAT6.pdf", "Melting_Curves/meltCurve_P42226_STAT6.pdf")</f>
        <v>Melting_Curves/meltCurve_P42226_STAT6.pdf</v>
      </c>
    </row>
    <row r="2693" spans="1:28" x14ac:dyDescent="0.25">
      <c r="A2693" t="s">
        <v>2697</v>
      </c>
      <c r="B2693">
        <v>0.99999676499088797</v>
      </c>
      <c r="C2693">
        <v>1.06888043872998</v>
      </c>
      <c r="D2693">
        <v>1.13668239699711</v>
      </c>
      <c r="E2693">
        <v>1.1893636693231899</v>
      </c>
      <c r="F2693">
        <v>0.43477465025421602</v>
      </c>
      <c r="G2693">
        <v>0.23831614927268999</v>
      </c>
      <c r="H2693">
        <v>0.109571006562159</v>
      </c>
      <c r="I2693">
        <v>9.8251739227635804E-2</v>
      </c>
      <c r="J2693">
        <v>9.2741971849396102E-2</v>
      </c>
      <c r="K2693">
        <v>8.0110024525841206E-2</v>
      </c>
      <c r="L2693">
        <v>10617.103849019601</v>
      </c>
      <c r="M2693">
        <v>200.16711852285101</v>
      </c>
      <c r="N2693">
        <v>53.116712276483597</v>
      </c>
      <c r="O2693">
        <v>53.035904169711699</v>
      </c>
      <c r="P2693">
        <v>-0.82673664007035297</v>
      </c>
      <c r="Q2693">
        <v>0.123797649181424</v>
      </c>
      <c r="R2693">
        <v>0.96480152735723101</v>
      </c>
      <c r="S2693" t="s">
        <v>9696</v>
      </c>
      <c r="T2693" t="s">
        <v>14004</v>
      </c>
      <c r="U2693" t="s">
        <v>14004</v>
      </c>
      <c r="V2693" t="s">
        <v>14004</v>
      </c>
      <c r="W2693" t="s">
        <v>16658</v>
      </c>
      <c r="X2693">
        <v>48</v>
      </c>
      <c r="Y2693" t="s">
        <v>23537</v>
      </c>
      <c r="Z2693" t="s">
        <v>30403</v>
      </c>
      <c r="AA2693">
        <v>0.50481585063616463</v>
      </c>
      <c r="AB2693" t="str">
        <f>HYPERLINK("Melting_Curves/meltCurve_P42285_SKIV2L2.pdf", "Melting_Curves/meltCurve_P42285_SKIV2L2.pdf")</f>
        <v>Melting_Curves/meltCurve_P42285_SKIV2L2.pdf</v>
      </c>
    </row>
    <row r="2694" spans="1:28" x14ac:dyDescent="0.25">
      <c r="A2694" t="s">
        <v>2698</v>
      </c>
      <c r="B2694">
        <v>0.99999676499088797</v>
      </c>
      <c r="C2694">
        <v>0.67139843015929801</v>
      </c>
      <c r="D2694">
        <v>0.72011193932782602</v>
      </c>
      <c r="E2694">
        <v>0.58603541123807201</v>
      </c>
      <c r="F2694">
        <v>0.27369843863378801</v>
      </c>
      <c r="G2694">
        <v>0.22601092167935899</v>
      </c>
      <c r="H2694">
        <v>0.146174218780593</v>
      </c>
      <c r="I2694">
        <v>0.13545146405533001</v>
      </c>
      <c r="J2694">
        <v>0.106853838930677</v>
      </c>
      <c r="K2694">
        <v>7.9006493701428301E-2</v>
      </c>
      <c r="L2694">
        <v>488.89744985685201</v>
      </c>
      <c r="M2694">
        <v>9.92805416583019</v>
      </c>
      <c r="N2694">
        <v>49.559517338261102</v>
      </c>
      <c r="O2694">
        <v>47.371063147821097</v>
      </c>
      <c r="P2694">
        <v>-5.0816104800605597E-2</v>
      </c>
      <c r="Q2694">
        <v>3.0621757759412799E-2</v>
      </c>
      <c r="R2694">
        <v>0.95258793387045804</v>
      </c>
      <c r="S2694" t="s">
        <v>9697</v>
      </c>
      <c r="T2694" t="s">
        <v>14004</v>
      </c>
      <c r="U2694" t="s">
        <v>14004</v>
      </c>
      <c r="V2694" t="s">
        <v>14004</v>
      </c>
      <c r="W2694" t="s">
        <v>16659</v>
      </c>
      <c r="X2694">
        <v>2</v>
      </c>
      <c r="Y2694" t="s">
        <v>23538</v>
      </c>
      <c r="Z2694" t="s">
        <v>30404</v>
      </c>
      <c r="AA2694">
        <v>0.37635178444242362</v>
      </c>
      <c r="AB2694" t="str">
        <f>HYPERLINK("Melting_Curves/meltCurve_P42330_AKR1C3.pdf", "Melting_Curves/meltCurve_P42330_AKR1C3.pdf")</f>
        <v>Melting_Curves/meltCurve_P42330_AKR1C3.pdf</v>
      </c>
    </row>
    <row r="2695" spans="1:28" x14ac:dyDescent="0.25">
      <c r="A2695" t="s">
        <v>2699</v>
      </c>
      <c r="B2695">
        <v>0.99999676499088797</v>
      </c>
      <c r="C2695">
        <v>0.86490091141742997</v>
      </c>
      <c r="D2695">
        <v>0.433428961407756</v>
      </c>
      <c r="E2695">
        <v>0.251565271013522</v>
      </c>
      <c r="F2695">
        <v>0.19971466847684599</v>
      </c>
      <c r="G2695">
        <v>0.18058912000115401</v>
      </c>
      <c r="H2695">
        <v>8.82573527615204E-2</v>
      </c>
      <c r="I2695">
        <v>9.4418855048849795E-2</v>
      </c>
      <c r="J2695">
        <v>8.5785732257527406E-2</v>
      </c>
      <c r="K2695">
        <v>7.5939236016626804E-2</v>
      </c>
      <c r="L2695">
        <v>1144.5187782364001</v>
      </c>
      <c r="M2695">
        <v>25.237130559377</v>
      </c>
      <c r="N2695">
        <v>45.842115790403902</v>
      </c>
      <c r="O2695">
        <v>45.068721224538599</v>
      </c>
      <c r="P2695">
        <v>-0.123399720794274</v>
      </c>
      <c r="Q2695">
        <v>0.118537571747309</v>
      </c>
      <c r="R2695">
        <v>0.98305038462049699</v>
      </c>
      <c r="S2695" t="s">
        <v>9698</v>
      </c>
      <c r="T2695" t="s">
        <v>14004</v>
      </c>
      <c r="U2695" t="s">
        <v>14004</v>
      </c>
      <c r="V2695" t="s">
        <v>14004</v>
      </c>
      <c r="W2695" t="s">
        <v>16660</v>
      </c>
      <c r="X2695">
        <v>7</v>
      </c>
      <c r="Y2695" t="s">
        <v>23539</v>
      </c>
      <c r="Z2695" t="s">
        <v>30405</v>
      </c>
      <c r="AA2695">
        <v>0.28406175786174692</v>
      </c>
      <c r="AB2695" t="str">
        <f>HYPERLINK("Melting_Curves/meltCurve_P42331_5_ARHGAP25.pdf", "Melting_Curves/meltCurve_P42331_5_ARHGAP25.pdf")</f>
        <v>Melting_Curves/meltCurve_P42331_5_ARHGAP25.pdf</v>
      </c>
    </row>
    <row r="2696" spans="1:28" x14ac:dyDescent="0.25">
      <c r="A2696" t="s">
        <v>2700</v>
      </c>
      <c r="B2696">
        <v>0.99999676499088797</v>
      </c>
      <c r="C2696">
        <v>0.96497006584756795</v>
      </c>
      <c r="D2696">
        <v>0.802436165962638</v>
      </c>
      <c r="E2696">
        <v>0.35179528205752297</v>
      </c>
      <c r="F2696">
        <v>0.210663221320533</v>
      </c>
      <c r="G2696">
        <v>0.14811536545777601</v>
      </c>
      <c r="H2696">
        <v>5.9520142142864198E-2</v>
      </c>
      <c r="I2696">
        <v>5.68304535826872E-2</v>
      </c>
      <c r="J2696">
        <v>6.1034472340964901E-2</v>
      </c>
      <c r="K2696">
        <v>4.7606040961411397E-2</v>
      </c>
      <c r="L2696">
        <v>1132.8838643865899</v>
      </c>
      <c r="M2696">
        <v>23.457681335882398</v>
      </c>
      <c r="N2696">
        <v>48.6074114226763</v>
      </c>
      <c r="O2696">
        <v>47.947926682787902</v>
      </c>
      <c r="P2696">
        <v>-0.113746154604163</v>
      </c>
      <c r="Q2696">
        <v>7.0019391594546995E-2</v>
      </c>
      <c r="R2696">
        <v>0.99397799516403895</v>
      </c>
      <c r="S2696" t="s">
        <v>9699</v>
      </c>
      <c r="T2696" t="s">
        <v>14004</v>
      </c>
      <c r="U2696" t="s">
        <v>14004</v>
      </c>
      <c r="V2696" t="s">
        <v>14004</v>
      </c>
      <c r="W2696" t="s">
        <v>16661</v>
      </c>
      <c r="X2696">
        <v>8</v>
      </c>
      <c r="Y2696" t="s">
        <v>23540</v>
      </c>
      <c r="Z2696" t="s">
        <v>30406</v>
      </c>
      <c r="AA2696">
        <v>0.33655007352419741</v>
      </c>
      <c r="AB2696" t="str">
        <f>HYPERLINK("Melting_Curves/meltCurve_P42336_PIK3CA.pdf", "Melting_Curves/meltCurve_P42336_PIK3CA.pdf")</f>
        <v>Melting_Curves/meltCurve_P42336_PIK3CA.pdf</v>
      </c>
    </row>
    <row r="2697" spans="1:28" x14ac:dyDescent="0.25">
      <c r="A2697" t="s">
        <v>2701</v>
      </c>
      <c r="B2697">
        <v>0.99999676499088797</v>
      </c>
      <c r="C2697">
        <v>1.0563379064087</v>
      </c>
      <c r="D2697">
        <v>1.02695448588097</v>
      </c>
      <c r="E2697">
        <v>0.90021911312844305</v>
      </c>
      <c r="F2697">
        <v>0.29182191919641598</v>
      </c>
      <c r="G2697">
        <v>0.162119122283024</v>
      </c>
      <c r="H2697">
        <v>9.34136022852977E-2</v>
      </c>
      <c r="I2697">
        <v>9.0317204592915395E-2</v>
      </c>
      <c r="J2697">
        <v>7.5793521260514501E-2</v>
      </c>
      <c r="K2697">
        <v>7.1582822923598605E-2</v>
      </c>
      <c r="L2697">
        <v>2382.00105640314</v>
      </c>
      <c r="M2697">
        <v>45.9942915221961</v>
      </c>
      <c r="N2697">
        <v>52.024505517564101</v>
      </c>
      <c r="O2697">
        <v>51.691441824750001</v>
      </c>
      <c r="P2697">
        <v>-0.201545935990398</v>
      </c>
      <c r="Q2697">
        <v>9.3958200802550004E-2</v>
      </c>
      <c r="R2697">
        <v>0.99577411586811304</v>
      </c>
      <c r="S2697" t="s">
        <v>9700</v>
      </c>
      <c r="T2697" t="s">
        <v>14004</v>
      </c>
      <c r="U2697" t="s">
        <v>14004</v>
      </c>
      <c r="V2697" t="s">
        <v>14004</v>
      </c>
      <c r="W2697" t="s">
        <v>16662</v>
      </c>
      <c r="X2697">
        <v>6</v>
      </c>
      <c r="Y2697" t="s">
        <v>23541</v>
      </c>
      <c r="Z2697" t="s">
        <v>30407</v>
      </c>
      <c r="AA2697">
        <v>0.45245233154708647</v>
      </c>
      <c r="AB2697" t="str">
        <f>HYPERLINK("Melting_Curves/meltCurve_P42338_PIK3CB.pdf", "Melting_Curves/meltCurve_P42338_PIK3CB.pdf")</f>
        <v>Melting_Curves/meltCurve_P42338_PIK3CB.pdf</v>
      </c>
    </row>
    <row r="2698" spans="1:28" x14ac:dyDescent="0.25">
      <c r="A2698" t="s">
        <v>2702</v>
      </c>
      <c r="B2698">
        <v>0.99999676499088797</v>
      </c>
      <c r="C2698">
        <v>1.0573311312178699</v>
      </c>
      <c r="D2698">
        <v>0.89726782112984704</v>
      </c>
      <c r="E2698">
        <v>0.44066391145665001</v>
      </c>
      <c r="F2698">
        <v>0.37962940908044301</v>
      </c>
      <c r="G2698">
        <v>0.186106188913818</v>
      </c>
      <c r="H2698">
        <v>0.107405581395063</v>
      </c>
      <c r="I2698">
        <v>0.111451091832193</v>
      </c>
      <c r="J2698">
        <v>0.135339885888241</v>
      </c>
      <c r="K2698">
        <v>7.2965660550631306E-2</v>
      </c>
      <c r="L2698">
        <v>1042.4205585465099</v>
      </c>
      <c r="M2698">
        <v>21.073352813595299</v>
      </c>
      <c r="N2698">
        <v>50.080164077335702</v>
      </c>
      <c r="O2698">
        <v>49.0272921442997</v>
      </c>
      <c r="P2698">
        <v>-9.52286497350011E-2</v>
      </c>
      <c r="Q2698">
        <v>0.11382287770211599</v>
      </c>
      <c r="R2698">
        <v>0.97549829914444397</v>
      </c>
      <c r="S2698" t="s">
        <v>9701</v>
      </c>
      <c r="T2698" t="s">
        <v>14004</v>
      </c>
      <c r="U2698" t="s">
        <v>14004</v>
      </c>
      <c r="V2698" t="s">
        <v>14004</v>
      </c>
      <c r="W2698" t="s">
        <v>16663</v>
      </c>
      <c r="X2698">
        <v>19</v>
      </c>
      <c r="Y2698" t="s">
        <v>23542</v>
      </c>
      <c r="Z2698" t="s">
        <v>30408</v>
      </c>
      <c r="AA2698">
        <v>0.40458973525749969</v>
      </c>
      <c r="AB2698" t="str">
        <f>HYPERLINK("Melting_Curves/meltCurve_P42345_MTOR.pdf", "Melting_Curves/meltCurve_P42345_MTOR.pdf")</f>
        <v>Melting_Curves/meltCurve_P42345_MTOR.pdf</v>
      </c>
    </row>
    <row r="2699" spans="1:28" x14ac:dyDescent="0.25">
      <c r="A2699" t="s">
        <v>2703</v>
      </c>
      <c r="B2699">
        <v>0.99999676499088797</v>
      </c>
      <c r="C2699">
        <v>0.96475752980783802</v>
      </c>
      <c r="D2699">
        <v>0.90538368361289101</v>
      </c>
      <c r="E2699">
        <v>0.47430023226794799</v>
      </c>
      <c r="F2699">
        <v>0.31018288730448101</v>
      </c>
      <c r="G2699">
        <v>0.24764204759494901</v>
      </c>
      <c r="H2699">
        <v>0.19322734688003201</v>
      </c>
      <c r="I2699">
        <v>0.19453626588601</v>
      </c>
      <c r="J2699">
        <v>0.200174977498594</v>
      </c>
      <c r="K2699">
        <v>0.22019788827866299</v>
      </c>
      <c r="L2699">
        <v>1434.3391916323101</v>
      </c>
      <c r="M2699">
        <v>29.472837365856801</v>
      </c>
      <c r="N2699">
        <v>49.599223753738499</v>
      </c>
      <c r="O2699">
        <v>48.444090374633298</v>
      </c>
      <c r="P2699">
        <v>-0.119739658302615</v>
      </c>
      <c r="Q2699">
        <v>0.21274805678693501</v>
      </c>
      <c r="R2699">
        <v>0.99551811882187502</v>
      </c>
      <c r="S2699" t="s">
        <v>9702</v>
      </c>
      <c r="T2699" t="s">
        <v>14004</v>
      </c>
      <c r="U2699" t="s">
        <v>14004</v>
      </c>
      <c r="V2699" t="s">
        <v>14004</v>
      </c>
      <c r="W2699" t="s">
        <v>16664</v>
      </c>
      <c r="X2699">
        <v>17</v>
      </c>
      <c r="Y2699" t="s">
        <v>23543</v>
      </c>
      <c r="Z2699" t="s">
        <v>30409</v>
      </c>
      <c r="AA2699">
        <v>0.44512233202640178</v>
      </c>
      <c r="AB2699" t="str">
        <f>HYPERLINK("Melting_Curves/meltCurve_P42566_EPS15.pdf", "Melting_Curves/meltCurve_P42566_EPS15.pdf")</f>
        <v>Melting_Curves/meltCurve_P42566_EPS15.pdf</v>
      </c>
    </row>
    <row r="2700" spans="1:28" x14ac:dyDescent="0.25">
      <c r="A2700" t="s">
        <v>2704</v>
      </c>
      <c r="B2700">
        <v>0.99999676499088797</v>
      </c>
      <c r="C2700">
        <v>0.97995276579165302</v>
      </c>
      <c r="D2700">
        <v>0.93809509830784799</v>
      </c>
      <c r="E2700">
        <v>0.88853147257203502</v>
      </c>
      <c r="F2700">
        <v>0.86846972029656</v>
      </c>
      <c r="G2700">
        <v>0.71316857039392401</v>
      </c>
      <c r="H2700">
        <v>0.50922023494382795</v>
      </c>
      <c r="I2700">
        <v>0.491519175620236</v>
      </c>
      <c r="J2700">
        <v>0.46223455446477602</v>
      </c>
      <c r="K2700">
        <v>0.46364806019592403</v>
      </c>
      <c r="L2700">
        <v>846.61631620753496</v>
      </c>
      <c r="M2700">
        <v>15.027682971048399</v>
      </c>
      <c r="N2700">
        <v>63.710176043123496</v>
      </c>
      <c r="O2700">
        <v>55.367731630317301</v>
      </c>
      <c r="P2700">
        <v>-3.9891076038802598E-2</v>
      </c>
      <c r="Q2700">
        <v>0.41216290052378202</v>
      </c>
      <c r="R2700">
        <v>0.98065526094066802</v>
      </c>
      <c r="S2700" t="s">
        <v>9703</v>
      </c>
      <c r="T2700" t="s">
        <v>14004</v>
      </c>
      <c r="U2700" t="s">
        <v>14004</v>
      </c>
      <c r="V2700" t="s">
        <v>14004</v>
      </c>
      <c r="W2700" t="s">
        <v>16665</v>
      </c>
      <c r="X2700">
        <v>20</v>
      </c>
      <c r="Y2700" t="s">
        <v>23544</v>
      </c>
      <c r="Z2700" t="s">
        <v>30410</v>
      </c>
      <c r="AA2700">
        <v>0.74234343929360003</v>
      </c>
      <c r="AB2700" t="str">
        <f>HYPERLINK("Melting_Curves/meltCurve_P42574_CASP3.pdf", "Melting_Curves/meltCurve_P42574_CASP3.pdf")</f>
        <v>Melting_Curves/meltCurve_P42574_CASP3.pdf</v>
      </c>
    </row>
    <row r="2701" spans="1:28" x14ac:dyDescent="0.25">
      <c r="A2701" t="s">
        <v>2705</v>
      </c>
      <c r="B2701">
        <v>0.99999676499088797</v>
      </c>
      <c r="C2701">
        <v>0.78168137800314397</v>
      </c>
      <c r="D2701">
        <v>0.57860341817043603</v>
      </c>
      <c r="E2701">
        <v>0.36846163427144002</v>
      </c>
      <c r="F2701">
        <v>0.19189671875387301</v>
      </c>
      <c r="G2701">
        <v>0.11662595146341199</v>
      </c>
      <c r="H2701">
        <v>4.8963653664927498E-2</v>
      </c>
      <c r="I2701">
        <v>5.0891627573313697E-2</v>
      </c>
      <c r="J2701">
        <v>4.8692841791791001E-2</v>
      </c>
      <c r="K2701">
        <v>3.6476840423752099E-2</v>
      </c>
      <c r="L2701">
        <v>677.089442819993</v>
      </c>
      <c r="M2701">
        <v>14.3675198965656</v>
      </c>
      <c r="N2701">
        <v>47.332295888235798</v>
      </c>
      <c r="O2701">
        <v>46.2416467006001</v>
      </c>
      <c r="P2701">
        <v>-7.5332047482723902E-2</v>
      </c>
      <c r="Q2701">
        <v>3.0295758455457199E-2</v>
      </c>
      <c r="R2701">
        <v>0.99366974742291703</v>
      </c>
      <c r="S2701" t="s">
        <v>9704</v>
      </c>
      <c r="T2701" t="s">
        <v>14004</v>
      </c>
      <c r="U2701" t="s">
        <v>14004</v>
      </c>
      <c r="V2701" t="s">
        <v>14004</v>
      </c>
      <c r="W2701" t="s">
        <v>16666</v>
      </c>
      <c r="X2701">
        <v>11</v>
      </c>
      <c r="Y2701" t="s">
        <v>23545</v>
      </c>
      <c r="Z2701" t="s">
        <v>30411</v>
      </c>
      <c r="AA2701">
        <v>0.28917913937950779</v>
      </c>
      <c r="AB2701" t="str">
        <f>HYPERLINK("Melting_Curves/meltCurve_P42575_CASP2.pdf", "Melting_Curves/meltCurve_P42575_CASP2.pdf")</f>
        <v>Melting_Curves/meltCurve_P42575_CASP2.pdf</v>
      </c>
    </row>
    <row r="2702" spans="1:28" x14ac:dyDescent="0.25">
      <c r="A2702" t="s">
        <v>2706</v>
      </c>
      <c r="B2702">
        <v>0.99999676499088797</v>
      </c>
      <c r="C2702">
        <v>0.97001508041848905</v>
      </c>
      <c r="D2702">
        <v>0.95335338167196204</v>
      </c>
      <c r="E2702">
        <v>0.91562439592566003</v>
      </c>
      <c r="F2702">
        <v>0.56031015720044597</v>
      </c>
      <c r="G2702">
        <v>0.28801148065448601</v>
      </c>
      <c r="H2702">
        <v>0.10687142711167601</v>
      </c>
      <c r="I2702">
        <v>7.7163765922792601E-2</v>
      </c>
      <c r="J2702">
        <v>8.7330385044204206E-2</v>
      </c>
      <c r="K2702">
        <v>6.9641788367309193E-2</v>
      </c>
      <c r="L2702">
        <v>1282.1806249213701</v>
      </c>
      <c r="M2702">
        <v>23.886753082263802</v>
      </c>
      <c r="N2702">
        <v>54.003625305323901</v>
      </c>
      <c r="O2702">
        <v>53.305515456834698</v>
      </c>
      <c r="P2702">
        <v>-0.104504464425724</v>
      </c>
      <c r="Q2702">
        <v>6.7169291135184994E-2</v>
      </c>
      <c r="R2702">
        <v>0.99743265257216895</v>
      </c>
      <c r="S2702" t="s">
        <v>9705</v>
      </c>
      <c r="T2702" t="s">
        <v>14004</v>
      </c>
      <c r="U2702" t="s">
        <v>14004</v>
      </c>
      <c r="V2702" t="s">
        <v>14004</v>
      </c>
      <c r="W2702" t="s">
        <v>16667</v>
      </c>
      <c r="X2702">
        <v>7</v>
      </c>
      <c r="Y2702" t="s">
        <v>23546</v>
      </c>
      <c r="Z2702" t="s">
        <v>30412</v>
      </c>
      <c r="AA2702">
        <v>0.50183093482062813</v>
      </c>
      <c r="AB2702" t="str">
        <f>HYPERLINK("Melting_Curves/meltCurve_P42677_RPS27.pdf", "Melting_Curves/meltCurve_P42677_RPS27.pdf")</f>
        <v>Melting_Curves/meltCurve_P42677_RPS27.pdf</v>
      </c>
    </row>
    <row r="2703" spans="1:28" x14ac:dyDescent="0.25">
      <c r="A2703" t="s">
        <v>2707</v>
      </c>
      <c r="B2703">
        <v>0.99999676499088797</v>
      </c>
      <c r="C2703">
        <v>1.0357323136893399</v>
      </c>
      <c r="D2703">
        <v>0.73992833522828505</v>
      </c>
      <c r="E2703">
        <v>0.308382976066504</v>
      </c>
      <c r="F2703">
        <v>0.23319310217226399</v>
      </c>
      <c r="G2703">
        <v>0.11446155391633001</v>
      </c>
      <c r="H2703">
        <v>8.3692533619258103E-2</v>
      </c>
      <c r="I2703">
        <v>9.9436925305677104E-2</v>
      </c>
      <c r="J2703">
        <v>5.8064046697003803E-2</v>
      </c>
      <c r="K2703">
        <v>8.5279759099365401E-2</v>
      </c>
      <c r="L2703">
        <v>1283.41781559122</v>
      </c>
      <c r="M2703">
        <v>26.907079769041601</v>
      </c>
      <c r="N2703">
        <v>48.0826862082871</v>
      </c>
      <c r="O2703">
        <v>47.437040160342903</v>
      </c>
      <c r="P2703">
        <v>-0.128077998766817</v>
      </c>
      <c r="Q2703">
        <v>9.6806136350268801E-2</v>
      </c>
      <c r="R2703">
        <v>0.98853659249572001</v>
      </c>
      <c r="S2703" t="s">
        <v>9706</v>
      </c>
      <c r="T2703" t="s">
        <v>14004</v>
      </c>
      <c r="U2703" t="s">
        <v>14004</v>
      </c>
      <c r="V2703" t="s">
        <v>14004</v>
      </c>
      <c r="W2703" t="s">
        <v>16668</v>
      </c>
      <c r="X2703">
        <v>4</v>
      </c>
      <c r="Y2703" t="s">
        <v>23547</v>
      </c>
      <c r="Z2703" t="s">
        <v>30413</v>
      </c>
      <c r="AA2703">
        <v>0.33540014312817829</v>
      </c>
      <c r="AB2703" t="str">
        <f>HYPERLINK("Melting_Curves/meltCurve_P42684_6_ABL2.pdf", "Melting_Curves/meltCurve_P42684_6_ABL2.pdf")</f>
        <v>Melting_Curves/meltCurve_P42684_6_ABL2.pdf</v>
      </c>
    </row>
    <row r="2704" spans="1:28" x14ac:dyDescent="0.25">
      <c r="A2704" t="s">
        <v>2708</v>
      </c>
      <c r="B2704">
        <v>0.99999676499088797</v>
      </c>
      <c r="C2704">
        <v>0.95613574817998903</v>
      </c>
      <c r="D2704">
        <v>0.785582181109856</v>
      </c>
      <c r="E2704">
        <v>0.425041020565601</v>
      </c>
      <c r="F2704">
        <v>0.35379135356034003</v>
      </c>
      <c r="G2704">
        <v>0.23066356273809299</v>
      </c>
      <c r="H2704">
        <v>0.10761057255708401</v>
      </c>
      <c r="I2704">
        <v>8.9196005696580094E-2</v>
      </c>
      <c r="J2704">
        <v>7.6670064863989196E-2</v>
      </c>
      <c r="K2704">
        <v>6.6731066222845706E-2</v>
      </c>
      <c r="L2704">
        <v>750.06548460950796</v>
      </c>
      <c r="M2704">
        <v>15.219594622194601</v>
      </c>
      <c r="N2704">
        <v>49.789460802979598</v>
      </c>
      <c r="O2704">
        <v>48.455549790367897</v>
      </c>
      <c r="P2704">
        <v>-7.2898076635242504E-2</v>
      </c>
      <c r="Q2704">
        <v>7.1728386149546394E-2</v>
      </c>
      <c r="R2704">
        <v>0.98655497134574799</v>
      </c>
      <c r="S2704" t="s">
        <v>9707</v>
      </c>
      <c r="T2704" t="s">
        <v>14004</v>
      </c>
      <c r="U2704" t="s">
        <v>14004</v>
      </c>
      <c r="V2704" t="s">
        <v>14004</v>
      </c>
      <c r="W2704" t="s">
        <v>16669</v>
      </c>
      <c r="X2704">
        <v>7</v>
      </c>
      <c r="Y2704" t="s">
        <v>23548</v>
      </c>
      <c r="Z2704" t="s">
        <v>30414</v>
      </c>
      <c r="AA2704">
        <v>0.38103544682850837</v>
      </c>
      <c r="AB2704" t="str">
        <f>HYPERLINK("Melting_Curves/meltCurve_P42695_NCAPD3.pdf", "Melting_Curves/meltCurve_P42695_NCAPD3.pdf")</f>
        <v>Melting_Curves/meltCurve_P42695_NCAPD3.pdf</v>
      </c>
    </row>
    <row r="2705" spans="1:28" x14ac:dyDescent="0.25">
      <c r="A2705" t="s">
        <v>2709</v>
      </c>
      <c r="B2705">
        <v>0.99999676499088797</v>
      </c>
      <c r="C2705">
        <v>0.92396121997638203</v>
      </c>
      <c r="D2705">
        <v>0.33229067593314399</v>
      </c>
      <c r="E2705">
        <v>0.17559661003566199</v>
      </c>
      <c r="F2705">
        <v>0.132067544080048</v>
      </c>
      <c r="G2705">
        <v>9.1790635297293602E-2</v>
      </c>
      <c r="H2705">
        <v>4.6737784232488901E-2</v>
      </c>
      <c r="I2705">
        <v>4.7310850361054202E-2</v>
      </c>
      <c r="J2705">
        <v>4.5750894747865402E-2</v>
      </c>
      <c r="K2705">
        <v>3.5433934920717697E-2</v>
      </c>
      <c r="L2705">
        <v>1952.8663985354101</v>
      </c>
      <c r="M2705">
        <v>43.338022723111102</v>
      </c>
      <c r="N2705">
        <v>45.2381936111275</v>
      </c>
      <c r="O2705">
        <v>44.965642995732402</v>
      </c>
      <c r="P2705">
        <v>-0.22216830851793701</v>
      </c>
      <c r="Q2705">
        <v>7.7952786342887506E-2</v>
      </c>
      <c r="R2705">
        <v>0.98796526889454805</v>
      </c>
      <c r="S2705" t="s">
        <v>9708</v>
      </c>
      <c r="T2705" t="s">
        <v>14004</v>
      </c>
      <c r="U2705" t="s">
        <v>14004</v>
      </c>
      <c r="V2705" t="s">
        <v>14004</v>
      </c>
      <c r="W2705" t="s">
        <v>16670</v>
      </c>
      <c r="X2705">
        <v>57</v>
      </c>
      <c r="Y2705" t="s">
        <v>23549</v>
      </c>
      <c r="Z2705" t="s">
        <v>30415</v>
      </c>
      <c r="AA2705">
        <v>0.236054895283379</v>
      </c>
      <c r="AB2705" t="str">
        <f>HYPERLINK("Melting_Curves/meltCurve_P42704_LRPPRC.pdf", "Melting_Curves/meltCurve_P42704_LRPPRC.pdf")</f>
        <v>Melting_Curves/meltCurve_P42704_LRPPRC.pdf</v>
      </c>
    </row>
    <row r="2706" spans="1:28" x14ac:dyDescent="0.25">
      <c r="A2706" t="s">
        <v>2710</v>
      </c>
      <c r="B2706">
        <v>0.99999676499088797</v>
      </c>
      <c r="C2706">
        <v>1.05111817964188</v>
      </c>
      <c r="D2706">
        <v>1.07808413336335</v>
      </c>
      <c r="E2706">
        <v>1.14493302542899</v>
      </c>
      <c r="F2706">
        <v>1.0087558452429199</v>
      </c>
      <c r="G2706">
        <v>0.95403717803474397</v>
      </c>
      <c r="H2706">
        <v>0.61896423571725501</v>
      </c>
      <c r="I2706">
        <v>0.52222907856945699</v>
      </c>
      <c r="J2706">
        <v>0.31425188615343003</v>
      </c>
      <c r="K2706">
        <v>0.17684595280929899</v>
      </c>
      <c r="L2706">
        <v>1272.73035856807</v>
      </c>
      <c r="M2706">
        <v>20.2299468441113</v>
      </c>
      <c r="N2706">
        <v>63.5994338472088</v>
      </c>
      <c r="O2706">
        <v>62.308083492985801</v>
      </c>
      <c r="P2706">
        <v>-7.32125061559257E-2</v>
      </c>
      <c r="Q2706">
        <v>9.8051883163154302E-2</v>
      </c>
      <c r="R2706">
        <v>0.95981549562145396</v>
      </c>
      <c r="S2706" t="s">
        <v>9709</v>
      </c>
      <c r="T2706" t="s">
        <v>14004</v>
      </c>
      <c r="U2706" t="s">
        <v>14004</v>
      </c>
      <c r="V2706" t="s">
        <v>14004</v>
      </c>
      <c r="W2706" t="s">
        <v>16671</v>
      </c>
      <c r="X2706">
        <v>23</v>
      </c>
      <c r="Y2706" t="s">
        <v>23550</v>
      </c>
      <c r="Z2706" t="s">
        <v>30416</v>
      </c>
      <c r="AA2706">
        <v>0.78671442690732429</v>
      </c>
      <c r="AB2706" t="str">
        <f>HYPERLINK("Melting_Curves/meltCurve_P42765_ACAA2.pdf", "Melting_Curves/meltCurve_P42765_ACAA2.pdf")</f>
        <v>Melting_Curves/meltCurve_P42765_ACAA2.pdf</v>
      </c>
    </row>
    <row r="2707" spans="1:28" x14ac:dyDescent="0.25">
      <c r="A2707" t="s">
        <v>2711</v>
      </c>
      <c r="B2707">
        <v>0.99999676499088797</v>
      </c>
      <c r="C2707">
        <v>0.91048258620712397</v>
      </c>
      <c r="D2707">
        <v>1.20792016578481</v>
      </c>
      <c r="E2707">
        <v>1.46585610945189</v>
      </c>
      <c r="F2707">
        <v>1.00790413000249</v>
      </c>
      <c r="G2707">
        <v>0.87305831174610005</v>
      </c>
      <c r="H2707">
        <v>0.170807106068042</v>
      </c>
      <c r="I2707">
        <v>0.13083196207008699</v>
      </c>
      <c r="J2707">
        <v>0.29735884599123102</v>
      </c>
      <c r="K2707">
        <v>3.7005074428245202E-2</v>
      </c>
      <c r="L2707">
        <v>4978.47703123465</v>
      </c>
      <c r="M2707">
        <v>85.915874381882503</v>
      </c>
      <c r="N2707">
        <v>58.197797681853999</v>
      </c>
      <c r="O2707">
        <v>57.914586561436103</v>
      </c>
      <c r="P2707">
        <v>-0.31329348829975501</v>
      </c>
      <c r="Q2707">
        <v>0.155254661292792</v>
      </c>
      <c r="R2707">
        <v>0.868678726900592</v>
      </c>
      <c r="S2707" t="s">
        <v>9710</v>
      </c>
      <c r="T2707" t="s">
        <v>14004</v>
      </c>
      <c r="U2707" t="s">
        <v>14004</v>
      </c>
      <c r="V2707" t="s">
        <v>14004</v>
      </c>
      <c r="W2707" t="s">
        <v>16672</v>
      </c>
      <c r="X2707">
        <v>2</v>
      </c>
      <c r="Y2707" t="s">
        <v>23551</v>
      </c>
      <c r="Z2707" t="s">
        <v>30417</v>
      </c>
      <c r="AA2707">
        <v>0.66130850341623526</v>
      </c>
      <c r="AB2707" t="str">
        <f>HYPERLINK("Melting_Curves/meltCurve_P42766_RPL35.pdf", "Melting_Curves/meltCurve_P42766_RPL35.pdf")</f>
        <v>Melting_Curves/meltCurve_P42766_RPL35.pdf</v>
      </c>
    </row>
    <row r="2708" spans="1:28" x14ac:dyDescent="0.25">
      <c r="A2708" t="s">
        <v>2712</v>
      </c>
      <c r="B2708">
        <v>0.99999676499088797</v>
      </c>
      <c r="C2708">
        <v>0.83999527990396505</v>
      </c>
      <c r="D2708">
        <v>0.68600560361755003</v>
      </c>
      <c r="E2708">
        <v>0.414461951658325</v>
      </c>
      <c r="F2708">
        <v>0.346338338663365</v>
      </c>
      <c r="G2708">
        <v>0.189421805042438</v>
      </c>
      <c r="H2708">
        <v>0.15202595519843001</v>
      </c>
      <c r="I2708">
        <v>0.17287596517279599</v>
      </c>
      <c r="J2708">
        <v>0.24348370831042401</v>
      </c>
      <c r="K2708">
        <v>0.216759033824934</v>
      </c>
      <c r="L2708">
        <v>794.93946322522299</v>
      </c>
      <c r="M2708">
        <v>16.875236273361299</v>
      </c>
      <c r="N2708">
        <v>48.456806590779301</v>
      </c>
      <c r="O2708">
        <v>46.460259541841602</v>
      </c>
      <c r="P2708">
        <v>-7.3780123763819497E-2</v>
      </c>
      <c r="Q2708">
        <v>0.18753690289507099</v>
      </c>
      <c r="R2708">
        <v>0.98315606649527898</v>
      </c>
      <c r="S2708" t="s">
        <v>9711</v>
      </c>
      <c r="T2708" t="s">
        <v>14004</v>
      </c>
      <c r="U2708" t="s">
        <v>14004</v>
      </c>
      <c r="V2708" t="s">
        <v>14004</v>
      </c>
      <c r="W2708" t="s">
        <v>16673</v>
      </c>
      <c r="X2708">
        <v>2</v>
      </c>
      <c r="Y2708" t="s">
        <v>23552</v>
      </c>
      <c r="Z2708" t="s">
        <v>30418</v>
      </c>
      <c r="AA2708">
        <v>0.39713982960593952</v>
      </c>
      <c r="AB2708" t="str">
        <f>HYPERLINK("Melting_Curves/meltCurve_P42768_WAS.pdf", "Melting_Curves/meltCurve_P42768_WAS.pdf")</f>
        <v>Melting_Curves/meltCurve_P42768_WAS.pdf</v>
      </c>
    </row>
    <row r="2709" spans="1:28" x14ac:dyDescent="0.25">
      <c r="A2709" t="s">
        <v>2713</v>
      </c>
      <c r="B2709">
        <v>0.99999676499088797</v>
      </c>
      <c r="C2709">
        <v>1.12140391013462</v>
      </c>
      <c r="D2709">
        <v>1.0298811556284899</v>
      </c>
      <c r="E2709">
        <v>0.82259205282712999</v>
      </c>
      <c r="F2709">
        <v>0.816513642761175</v>
      </c>
      <c r="G2709">
        <v>0.60041811439790205</v>
      </c>
      <c r="H2709">
        <v>0.262569770212423</v>
      </c>
      <c r="I2709">
        <v>0.21238602109589599</v>
      </c>
      <c r="J2709">
        <v>0.210554622248945</v>
      </c>
      <c r="K2709">
        <v>0.165387330142757</v>
      </c>
      <c r="L2709">
        <v>1033.2985588981301</v>
      </c>
      <c r="M2709">
        <v>18.263908823161302</v>
      </c>
      <c r="N2709">
        <v>57.551548985625502</v>
      </c>
      <c r="O2709">
        <v>55.910805896831</v>
      </c>
      <c r="P2709">
        <v>-7.0796690208658197E-2</v>
      </c>
      <c r="Q2709">
        <v>0.13312847940584599</v>
      </c>
      <c r="R2709">
        <v>0.97068896643024105</v>
      </c>
      <c r="S2709" t="s">
        <v>9712</v>
      </c>
      <c r="T2709" t="s">
        <v>14004</v>
      </c>
      <c r="U2709" t="s">
        <v>14004</v>
      </c>
      <c r="V2709" t="s">
        <v>14004</v>
      </c>
      <c r="W2709" t="s">
        <v>16674</v>
      </c>
      <c r="X2709">
        <v>5</v>
      </c>
      <c r="Y2709" t="s">
        <v>23553</v>
      </c>
      <c r="Z2709" t="s">
        <v>30419</v>
      </c>
      <c r="AA2709">
        <v>0.62420897201115222</v>
      </c>
      <c r="AB2709" t="str">
        <f>HYPERLINK("Melting_Curves/meltCurve_P42773_CDKN2C.pdf", "Melting_Curves/meltCurve_P42773_CDKN2C.pdf")</f>
        <v>Melting_Curves/meltCurve_P42773_CDKN2C.pdf</v>
      </c>
    </row>
    <row r="2710" spans="1:28" x14ac:dyDescent="0.25">
      <c r="A2710" t="s">
        <v>2714</v>
      </c>
      <c r="B2710">
        <v>0.99999676499088797</v>
      </c>
      <c r="C2710">
        <v>1.0711595261567599</v>
      </c>
      <c r="D2710">
        <v>1.08199621951929</v>
      </c>
      <c r="E2710">
        <v>1.1320477178097399</v>
      </c>
      <c r="F2710">
        <v>1.0719403145991999</v>
      </c>
      <c r="G2710">
        <v>0.90058650372604199</v>
      </c>
      <c r="H2710">
        <v>0.41356747738398397</v>
      </c>
      <c r="I2710">
        <v>0.18450912896576499</v>
      </c>
      <c r="J2710">
        <v>0.155136642155798</v>
      </c>
      <c r="K2710">
        <v>0.150123466493924</v>
      </c>
      <c r="L2710">
        <v>2569.20003438804</v>
      </c>
      <c r="M2710">
        <v>43.067162642402003</v>
      </c>
      <c r="N2710">
        <v>60.140648230714199</v>
      </c>
      <c r="O2710">
        <v>59.527465690938499</v>
      </c>
      <c r="P2710">
        <v>-0.154336605360129</v>
      </c>
      <c r="Q2710">
        <v>0.14670457532431</v>
      </c>
      <c r="R2710">
        <v>0.97902754180284401</v>
      </c>
      <c r="S2710" t="s">
        <v>9713</v>
      </c>
      <c r="T2710" t="s">
        <v>14004</v>
      </c>
      <c r="U2710" t="s">
        <v>14004</v>
      </c>
      <c r="V2710" t="s">
        <v>14004</v>
      </c>
      <c r="W2710" t="s">
        <v>16675</v>
      </c>
      <c r="X2710">
        <v>8</v>
      </c>
      <c r="Y2710" t="s">
        <v>23554</v>
      </c>
      <c r="Z2710" t="s">
        <v>30420</v>
      </c>
      <c r="AA2710">
        <v>0.70870765438381855</v>
      </c>
      <c r="AB2710" t="str">
        <f>HYPERLINK("Melting_Curves/meltCurve_P42785_PRCP.pdf", "Melting_Curves/meltCurve_P42785_PRCP.pdf")</f>
        <v>Melting_Curves/meltCurve_P42785_PRCP.pdf</v>
      </c>
    </row>
    <row r="2711" spans="1:28" x14ac:dyDescent="0.25">
      <c r="A2711" t="s">
        <v>2715</v>
      </c>
      <c r="B2711">
        <v>0.99999676499088797</v>
      </c>
      <c r="C2711">
        <v>1.1254203650413199</v>
      </c>
      <c r="D2711">
        <v>1.1662330306717099</v>
      </c>
      <c r="E2711">
        <v>0.76357838145914103</v>
      </c>
      <c r="F2711">
        <v>0.28100202540545</v>
      </c>
      <c r="G2711">
        <v>0.178701737855572</v>
      </c>
      <c r="H2711">
        <v>8.5258328815142198E-2</v>
      </c>
      <c r="I2711">
        <v>7.7508047214569095E-2</v>
      </c>
      <c r="J2711">
        <v>6.2995925718922305E-2</v>
      </c>
      <c r="K2711">
        <v>6.0180346849540302E-2</v>
      </c>
      <c r="L2711">
        <v>1849.36228545776</v>
      </c>
      <c r="M2711">
        <v>36.0694528703009</v>
      </c>
      <c r="N2711">
        <v>51.541360110515598</v>
      </c>
      <c r="O2711">
        <v>51.115417599750202</v>
      </c>
      <c r="P2711">
        <v>-0.161271527606347</v>
      </c>
      <c r="Q2711">
        <v>8.5826288891654695E-2</v>
      </c>
      <c r="R2711">
        <v>0.97299286181834299</v>
      </c>
      <c r="S2711" t="s">
        <v>9714</v>
      </c>
      <c r="T2711" t="s">
        <v>14004</v>
      </c>
      <c r="U2711" t="s">
        <v>14004</v>
      </c>
      <c r="V2711" t="s">
        <v>14004</v>
      </c>
      <c r="W2711" t="s">
        <v>16676</v>
      </c>
      <c r="X2711">
        <v>28</v>
      </c>
      <c r="Y2711" t="s">
        <v>23555</v>
      </c>
      <c r="Z2711" t="s">
        <v>30421</v>
      </c>
      <c r="AA2711">
        <v>0.43330885826658599</v>
      </c>
      <c r="AB2711" t="str">
        <f>HYPERLINK("Melting_Curves/meltCurve_P42858_HTT.pdf", "Melting_Curves/meltCurve_P42858_HTT.pdf")</f>
        <v>Melting_Curves/meltCurve_P42858_HTT.pdf</v>
      </c>
    </row>
    <row r="2712" spans="1:28" x14ac:dyDescent="0.25">
      <c r="A2712" t="s">
        <v>2716</v>
      </c>
      <c r="B2712">
        <v>0.99999676499088797</v>
      </c>
      <c r="C2712">
        <v>0.97977013012470604</v>
      </c>
      <c r="D2712">
        <v>1.0286496004819701</v>
      </c>
      <c r="E2712">
        <v>1.21144477210631</v>
      </c>
      <c r="F2712">
        <v>1.1279565546539501</v>
      </c>
      <c r="G2712">
        <v>0.90430622593792798</v>
      </c>
      <c r="H2712">
        <v>0.58817264434029404</v>
      </c>
      <c r="I2712">
        <v>0.46507196261413197</v>
      </c>
      <c r="J2712">
        <v>0.34585660190010797</v>
      </c>
      <c r="K2712">
        <v>0.41364887728202898</v>
      </c>
      <c r="L2712">
        <v>2278.09410949319</v>
      </c>
      <c r="M2712">
        <v>38.164794861099303</v>
      </c>
      <c r="N2712">
        <v>62.130500750983103</v>
      </c>
      <c r="O2712">
        <v>59.527782977198598</v>
      </c>
      <c r="P2712">
        <v>-9.8049251419938199E-2</v>
      </c>
      <c r="Q2712">
        <v>0.388269513154197</v>
      </c>
      <c r="R2712">
        <v>0.92581380365337496</v>
      </c>
      <c r="S2712" t="s">
        <v>9715</v>
      </c>
      <c r="T2712" t="s">
        <v>14004</v>
      </c>
      <c r="U2712" t="s">
        <v>14004</v>
      </c>
      <c r="V2712" t="s">
        <v>14004</v>
      </c>
      <c r="W2712" t="s">
        <v>16677</v>
      </c>
      <c r="X2712">
        <v>15</v>
      </c>
      <c r="Y2712" t="s">
        <v>23556</v>
      </c>
      <c r="Z2712" t="s">
        <v>30422</v>
      </c>
      <c r="AA2712">
        <v>0.79239510418793691</v>
      </c>
      <c r="AB2712" t="str">
        <f>HYPERLINK("Melting_Curves/meltCurve_P42892_3_ECE1.pdf", "Melting_Curves/meltCurve_P42892_3_ECE1.pdf")</f>
        <v>Melting_Curves/meltCurve_P42892_3_ECE1.pdf</v>
      </c>
    </row>
    <row r="2713" spans="1:28" x14ac:dyDescent="0.25">
      <c r="A2713" t="s">
        <v>2717</v>
      </c>
      <c r="B2713">
        <v>0.99999676499088797</v>
      </c>
      <c r="C2713">
        <v>0.95857600811636001</v>
      </c>
      <c r="D2713">
        <v>1.0476192471736101</v>
      </c>
      <c r="E2713">
        <v>0.93505662350767105</v>
      </c>
      <c r="F2713">
        <v>0.406267919098032</v>
      </c>
      <c r="G2713">
        <v>0.21444664262413601</v>
      </c>
      <c r="H2713">
        <v>0.110239662831494</v>
      </c>
      <c r="I2713">
        <v>0.104227743475417</v>
      </c>
      <c r="J2713">
        <v>8.9525348552051298E-2</v>
      </c>
      <c r="K2713">
        <v>8.5625672397154906E-2</v>
      </c>
      <c r="L2713">
        <v>2052.26946433588</v>
      </c>
      <c r="M2713">
        <v>39.158620147847799</v>
      </c>
      <c r="N2713">
        <v>52.739173906611299</v>
      </c>
      <c r="O2713">
        <v>52.273013245451502</v>
      </c>
      <c r="P2713">
        <v>-0.166928455288442</v>
      </c>
      <c r="Q2713">
        <v>0.10866789614288901</v>
      </c>
      <c r="R2713">
        <v>0.99381364513533299</v>
      </c>
      <c r="S2713" t="s">
        <v>9716</v>
      </c>
      <c r="T2713" t="s">
        <v>14004</v>
      </c>
      <c r="U2713" t="s">
        <v>14004</v>
      </c>
      <c r="V2713" t="s">
        <v>14004</v>
      </c>
      <c r="W2713" t="s">
        <v>16678</v>
      </c>
      <c r="X2713">
        <v>4</v>
      </c>
      <c r="Y2713" t="s">
        <v>23557</v>
      </c>
      <c r="Z2713" t="s">
        <v>30423</v>
      </c>
      <c r="AA2713">
        <v>0.48072419980439313</v>
      </c>
      <c r="AB2713" t="str">
        <f>HYPERLINK("Melting_Curves/meltCurve_P42898_MTHFR.pdf", "Melting_Curves/meltCurve_P42898_MTHFR.pdf")</f>
        <v>Melting_Curves/meltCurve_P42898_MTHFR.pdf</v>
      </c>
    </row>
    <row r="2714" spans="1:28" x14ac:dyDescent="0.25">
      <c r="A2714" t="s">
        <v>2718</v>
      </c>
      <c r="B2714">
        <v>0.99999676499088797</v>
      </c>
      <c r="C2714">
        <v>0.94837814010610599</v>
      </c>
      <c r="D2714">
        <v>0.69333550930203203</v>
      </c>
      <c r="E2714">
        <v>0.41851892540229702</v>
      </c>
      <c r="F2714">
        <v>0.32743963821434002</v>
      </c>
      <c r="G2714">
        <v>0.52279272497624496</v>
      </c>
      <c r="H2714">
        <v>0.40476121540721199</v>
      </c>
      <c r="I2714">
        <v>0.47465630952232502</v>
      </c>
      <c r="J2714">
        <v>0.410671731152357</v>
      </c>
      <c r="K2714">
        <v>0.27300733092441498</v>
      </c>
      <c r="L2714">
        <v>1836.47111837083</v>
      </c>
      <c r="M2714">
        <v>40.014027770307898</v>
      </c>
      <c r="N2714">
        <v>47.825474091453501</v>
      </c>
      <c r="O2714">
        <v>45.781505444303001</v>
      </c>
      <c r="P2714">
        <v>-0.130991153265651</v>
      </c>
      <c r="Q2714">
        <v>0.40051434156426702</v>
      </c>
      <c r="R2714">
        <v>0.92498754653086002</v>
      </c>
      <c r="S2714" t="s">
        <v>9717</v>
      </c>
      <c r="T2714" t="s">
        <v>14004</v>
      </c>
      <c r="U2714" t="s">
        <v>14004</v>
      </c>
      <c r="V2714" t="s">
        <v>14004</v>
      </c>
      <c r="W2714" t="s">
        <v>16679</v>
      </c>
      <c r="X2714">
        <v>1</v>
      </c>
      <c r="Y2714" t="s">
        <v>23558</v>
      </c>
      <c r="Z2714" t="s">
        <v>30424</v>
      </c>
      <c r="AA2714">
        <v>0.52027366917704454</v>
      </c>
      <c r="AB2714" t="str">
        <f>HYPERLINK("Melting_Curves/meltCurve_P43003_2_SLC1A3.pdf", "Melting_Curves/meltCurve_P43003_2_SLC1A3.pdf")</f>
        <v>Melting_Curves/meltCurve_P43003_2_SLC1A3.pdf</v>
      </c>
    </row>
    <row r="2715" spans="1:28" x14ac:dyDescent="0.25">
      <c r="A2715" t="s">
        <v>2719</v>
      </c>
      <c r="B2715">
        <v>0.99999676499088797</v>
      </c>
      <c r="C2715">
        <v>0.73805008916104198</v>
      </c>
      <c r="D2715">
        <v>0.74988870312136802</v>
      </c>
      <c r="E2715">
        <v>0.81729123960102801</v>
      </c>
      <c r="F2715">
        <v>0.82682222716254405</v>
      </c>
      <c r="G2715">
        <v>0.59321462141056303</v>
      </c>
      <c r="H2715">
        <v>0.48095505818085599</v>
      </c>
      <c r="I2715">
        <v>0.39178053645774902</v>
      </c>
      <c r="J2715">
        <v>0.295329246183961</v>
      </c>
      <c r="K2715">
        <v>0.54745598887724101</v>
      </c>
      <c r="L2715">
        <v>279.80619250490298</v>
      </c>
      <c r="M2715">
        <v>4.6292835411782098</v>
      </c>
      <c r="N2715">
        <v>62.241742339970997</v>
      </c>
      <c r="O2715">
        <v>51.758159903857702</v>
      </c>
      <c r="P2715">
        <v>-2.1126716777770099E-2</v>
      </c>
      <c r="Q2715">
        <v>6.2620875232607995E-2</v>
      </c>
      <c r="R2715">
        <v>0.74739550498839602</v>
      </c>
      <c r="S2715" t="s">
        <v>9718</v>
      </c>
      <c r="T2715" t="s">
        <v>14004</v>
      </c>
      <c r="U2715" t="s">
        <v>14004</v>
      </c>
      <c r="V2715" t="s">
        <v>14004</v>
      </c>
      <c r="W2715" t="s">
        <v>16680</v>
      </c>
      <c r="X2715">
        <v>5</v>
      </c>
      <c r="Y2715" t="s">
        <v>23559</v>
      </c>
      <c r="Z2715" t="s">
        <v>30425</v>
      </c>
      <c r="AA2715">
        <v>0.64471138653152948</v>
      </c>
      <c r="AB2715" t="str">
        <f>HYPERLINK("Melting_Curves/meltCurve_P43007_SLC1A4.pdf", "Melting_Curves/meltCurve_P43007_SLC1A4.pdf")</f>
        <v>Melting_Curves/meltCurve_P43007_SLC1A4.pdf</v>
      </c>
    </row>
    <row r="2716" spans="1:28" x14ac:dyDescent="0.25">
      <c r="A2716" t="s">
        <v>2720</v>
      </c>
      <c r="B2716">
        <v>0.99999676499088797</v>
      </c>
      <c r="C2716">
        <v>1.0055119887897599</v>
      </c>
      <c r="D2716">
        <v>1.0530308854795201</v>
      </c>
      <c r="E2716">
        <v>1.27894410654477</v>
      </c>
      <c r="F2716">
        <v>1.11338489893988</v>
      </c>
      <c r="G2716">
        <v>1.1512535951761</v>
      </c>
      <c r="H2716">
        <v>0.56827028315586203</v>
      </c>
      <c r="I2716">
        <v>0.33120941640009699</v>
      </c>
      <c r="J2716">
        <v>0.184167693027074</v>
      </c>
      <c r="K2716">
        <v>0.17775395155544901</v>
      </c>
      <c r="L2716">
        <v>3885.3135344218899</v>
      </c>
      <c r="M2716">
        <v>64.011384240826303</v>
      </c>
      <c r="N2716">
        <v>61.243289628655397</v>
      </c>
      <c r="O2716">
        <v>60.638070319540503</v>
      </c>
      <c r="P2716">
        <v>-0.206522552952593</v>
      </c>
      <c r="Q2716">
        <v>0.21744388554886501</v>
      </c>
      <c r="R2716">
        <v>0.92051547272989798</v>
      </c>
      <c r="S2716" t="s">
        <v>9719</v>
      </c>
      <c r="T2716" t="s">
        <v>14004</v>
      </c>
      <c r="U2716" t="s">
        <v>14004</v>
      </c>
      <c r="V2716" t="s">
        <v>14004</v>
      </c>
      <c r="W2716" t="s">
        <v>16681</v>
      </c>
      <c r="X2716">
        <v>26</v>
      </c>
      <c r="Y2716" t="s">
        <v>23560</v>
      </c>
      <c r="Z2716" t="s">
        <v>30426</v>
      </c>
      <c r="AA2716">
        <v>0.75860393460146247</v>
      </c>
      <c r="AB2716" t="str">
        <f>HYPERLINK("Melting_Curves/meltCurve_P43034_PAFAH1B1.pdf", "Melting_Curves/meltCurve_P43034_PAFAH1B1.pdf")</f>
        <v>Melting_Curves/meltCurve_P43034_PAFAH1B1.pdf</v>
      </c>
    </row>
    <row r="2717" spans="1:28" x14ac:dyDescent="0.25">
      <c r="A2717" t="s">
        <v>2721</v>
      </c>
      <c r="B2717">
        <v>0.99999676499088797</v>
      </c>
      <c r="C2717">
        <v>0.92657283161044701</v>
      </c>
      <c r="D2717">
        <v>0.85622292583258297</v>
      </c>
      <c r="E2717">
        <v>0.35128453696274098</v>
      </c>
      <c r="F2717">
        <v>0.48947129216236601</v>
      </c>
      <c r="G2717">
        <v>0.18557839380468799</v>
      </c>
      <c r="H2717">
        <v>0.106809130697124</v>
      </c>
      <c r="I2717">
        <v>0.11490480390470401</v>
      </c>
      <c r="J2717">
        <v>7.9298693739218495E-2</v>
      </c>
      <c r="K2717">
        <v>7.2520105687594996E-2</v>
      </c>
      <c r="L2717">
        <v>705.84532343733997</v>
      </c>
      <c r="M2717">
        <v>14.212593787045501</v>
      </c>
      <c r="N2717">
        <v>50.174045511024602</v>
      </c>
      <c r="O2717">
        <v>48.711201827321098</v>
      </c>
      <c r="P2717">
        <v>-6.8039629992096007E-2</v>
      </c>
      <c r="Q2717">
        <v>6.7340260001558794E-2</v>
      </c>
      <c r="R2717">
        <v>0.94509195399466195</v>
      </c>
      <c r="S2717" t="s">
        <v>9720</v>
      </c>
      <c r="T2717" t="s">
        <v>14004</v>
      </c>
      <c r="U2717" t="s">
        <v>14004</v>
      </c>
      <c r="V2717" t="s">
        <v>14004</v>
      </c>
      <c r="W2717" t="s">
        <v>16682</v>
      </c>
      <c r="X2717">
        <v>5</v>
      </c>
      <c r="Y2717" t="s">
        <v>23561</v>
      </c>
      <c r="Z2717" t="s">
        <v>30427</v>
      </c>
      <c r="AA2717">
        <v>0.39252353523354511</v>
      </c>
      <c r="AB2717" t="str">
        <f>HYPERLINK("Melting_Curves/meltCurve_P43155_2_CRAT.pdf", "Melting_Curves/meltCurve_P43155_2_CRAT.pdf")</f>
        <v>Melting_Curves/meltCurve_P43155_2_CRAT.pdf</v>
      </c>
    </row>
    <row r="2718" spans="1:28" x14ac:dyDescent="0.25">
      <c r="A2718" t="s">
        <v>2722</v>
      </c>
      <c r="B2718">
        <v>0.99999676499088797</v>
      </c>
      <c r="C2718">
        <v>1.0417421674043801</v>
      </c>
      <c r="D2718">
        <v>0.74345167822709401</v>
      </c>
      <c r="E2718">
        <v>0.39005215804789101</v>
      </c>
      <c r="F2718">
        <v>0.24331336792909999</v>
      </c>
      <c r="G2718">
        <v>0.15349150823439001</v>
      </c>
      <c r="H2718">
        <v>9.2137614140457402E-2</v>
      </c>
      <c r="I2718">
        <v>7.5083103778604499E-2</v>
      </c>
      <c r="J2718">
        <v>6.2283716517826E-2</v>
      </c>
      <c r="K2718">
        <v>5.6031204187318898E-2</v>
      </c>
      <c r="L2718">
        <v>1039.11985519006</v>
      </c>
      <c r="M2718">
        <v>21.485851791947798</v>
      </c>
      <c r="N2718">
        <v>48.763489496956602</v>
      </c>
      <c r="O2718">
        <v>47.949877296865601</v>
      </c>
      <c r="P2718">
        <v>-0.102963731026702</v>
      </c>
      <c r="Q2718">
        <v>8.0887683270642094E-2</v>
      </c>
      <c r="R2718">
        <v>0.98847796210949801</v>
      </c>
      <c r="S2718" t="s">
        <v>9721</v>
      </c>
      <c r="T2718" t="s">
        <v>14004</v>
      </c>
      <c r="U2718" t="s">
        <v>14004</v>
      </c>
      <c r="V2718" t="s">
        <v>14004</v>
      </c>
      <c r="W2718" t="s">
        <v>16683</v>
      </c>
      <c r="X2718">
        <v>13</v>
      </c>
      <c r="Y2718" t="s">
        <v>23562</v>
      </c>
      <c r="Z2718" t="s">
        <v>30428</v>
      </c>
      <c r="AA2718">
        <v>0.3482726114128824</v>
      </c>
      <c r="AB2718" t="str">
        <f>HYPERLINK("Melting_Curves/meltCurve_P43250_2_GRK6.pdf", "Melting_Curves/meltCurve_P43250_2_GRK6.pdf")</f>
        <v>Melting_Curves/meltCurve_P43250_2_GRK6.pdf</v>
      </c>
    </row>
    <row r="2719" spans="1:28" x14ac:dyDescent="0.25">
      <c r="A2719" t="s">
        <v>2723</v>
      </c>
      <c r="B2719">
        <v>0.99999676499088797</v>
      </c>
      <c r="C2719">
        <v>0.95838813697167302</v>
      </c>
      <c r="D2719">
        <v>1.1353012699173399</v>
      </c>
      <c r="E2719">
        <v>1.39023496413748</v>
      </c>
      <c r="F2719">
        <v>1.61747221994841</v>
      </c>
      <c r="G2719">
        <v>1.19383546027934</v>
      </c>
      <c r="H2719">
        <v>0.64081196452579303</v>
      </c>
      <c r="I2719">
        <v>0.348156467592043</v>
      </c>
      <c r="J2719">
        <v>0.32669405290442399</v>
      </c>
      <c r="K2719">
        <v>0.47633381273374298</v>
      </c>
      <c r="L2719">
        <v>15000</v>
      </c>
      <c r="M2719">
        <v>247.044970856872</v>
      </c>
      <c r="N2719">
        <v>61.078327470188199</v>
      </c>
      <c r="O2719">
        <v>60.713726473428501</v>
      </c>
      <c r="P2719">
        <v>-0.62690534480010696</v>
      </c>
      <c r="Q2719">
        <v>0.38372758807770502</v>
      </c>
      <c r="R2719">
        <v>0.662298925412942</v>
      </c>
      <c r="S2719" t="s">
        <v>9722</v>
      </c>
      <c r="T2719" t="s">
        <v>14004</v>
      </c>
      <c r="U2719" t="s">
        <v>14004</v>
      </c>
      <c r="V2719" t="s">
        <v>14004</v>
      </c>
      <c r="W2719" t="s">
        <v>16684</v>
      </c>
      <c r="X2719">
        <v>4</v>
      </c>
      <c r="Y2719" t="s">
        <v>23563</v>
      </c>
      <c r="Z2719" t="s">
        <v>30429</v>
      </c>
      <c r="AA2719">
        <v>0.80938620109922421</v>
      </c>
      <c r="AB2719" t="str">
        <f>HYPERLINK("Melting_Curves/meltCurve_P43307_SSR1.pdf", "Melting_Curves/meltCurve_P43307_SSR1.pdf")</f>
        <v>Melting_Curves/meltCurve_P43307_SSR1.pdf</v>
      </c>
    </row>
    <row r="2720" spans="1:28" x14ac:dyDescent="0.25">
      <c r="A2720" t="s">
        <v>2724</v>
      </c>
      <c r="B2720">
        <v>0.99999676499088797</v>
      </c>
      <c r="C2720">
        <v>0.92704211371165401</v>
      </c>
      <c r="D2720">
        <v>0.609756502623232</v>
      </c>
      <c r="E2720">
        <v>0.26364979298213098</v>
      </c>
      <c r="F2720">
        <v>0.18454022742894099</v>
      </c>
      <c r="G2720">
        <v>0.14563918876349599</v>
      </c>
      <c r="H2720">
        <v>6.9429123417059702E-2</v>
      </c>
      <c r="I2720">
        <v>6.4273244085155196E-2</v>
      </c>
      <c r="J2720">
        <v>6.0566577200862899E-2</v>
      </c>
      <c r="K2720">
        <v>4.8546672919042202E-2</v>
      </c>
      <c r="L2720">
        <v>1049.64579446009</v>
      </c>
      <c r="M2720">
        <v>22.426315434477701</v>
      </c>
      <c r="N2720">
        <v>47.160500349834301</v>
      </c>
      <c r="O2720">
        <v>46.436820821574599</v>
      </c>
      <c r="P2720">
        <v>-0.111329317803309</v>
      </c>
      <c r="Q2720">
        <v>7.7927499511915299E-2</v>
      </c>
      <c r="R2720">
        <v>0.992971679919744</v>
      </c>
      <c r="S2720" t="s">
        <v>9723</v>
      </c>
      <c r="T2720" t="s">
        <v>14004</v>
      </c>
      <c r="U2720" t="s">
        <v>14004</v>
      </c>
      <c r="V2720" t="s">
        <v>14004</v>
      </c>
      <c r="W2720" t="s">
        <v>16685</v>
      </c>
      <c r="X2720">
        <v>6</v>
      </c>
      <c r="Y2720" t="s">
        <v>23564</v>
      </c>
      <c r="Z2720" t="s">
        <v>30430</v>
      </c>
      <c r="AA2720">
        <v>0.29759807498559498</v>
      </c>
      <c r="AB2720" t="str">
        <f>HYPERLINK("Melting_Curves/meltCurve_P43378_PTPN9.pdf", "Melting_Curves/meltCurve_P43378_PTPN9.pdf")</f>
        <v>Melting_Curves/meltCurve_P43378_PTPN9.pdf</v>
      </c>
    </row>
    <row r="2721" spans="1:28" x14ac:dyDescent="0.25">
      <c r="A2721" t="s">
        <v>2725</v>
      </c>
      <c r="B2721">
        <v>0.99999676499088797</v>
      </c>
      <c r="C2721">
        <v>1.0375293836799799</v>
      </c>
      <c r="D2721">
        <v>0.56753459894590097</v>
      </c>
      <c r="E2721">
        <v>0.21002751818777399</v>
      </c>
      <c r="F2721">
        <v>0.141727453257743</v>
      </c>
      <c r="G2721">
        <v>9.8310092258711207E-2</v>
      </c>
      <c r="H2721">
        <v>4.8037026659093401E-2</v>
      </c>
      <c r="I2721">
        <v>4.1395044505777398E-2</v>
      </c>
      <c r="J2721">
        <v>3.7886001081342803E-2</v>
      </c>
      <c r="K2721">
        <v>3.1174949211612901E-2</v>
      </c>
      <c r="L2721">
        <v>1510.8270331313199</v>
      </c>
      <c r="M2721">
        <v>32.511188842120497</v>
      </c>
      <c r="N2721">
        <v>46.676578921026298</v>
      </c>
      <c r="O2721">
        <v>46.296224194785701</v>
      </c>
      <c r="P2721">
        <v>-0.163850170991484</v>
      </c>
      <c r="Q2721">
        <v>6.6707962951386507E-2</v>
      </c>
      <c r="R2721">
        <v>0.98618262564011205</v>
      </c>
      <c r="S2721" t="s">
        <v>9724</v>
      </c>
      <c r="T2721" t="s">
        <v>14004</v>
      </c>
      <c r="U2721" t="s">
        <v>14004</v>
      </c>
      <c r="V2721" t="s">
        <v>14004</v>
      </c>
      <c r="W2721" t="s">
        <v>16686</v>
      </c>
      <c r="X2721">
        <v>37</v>
      </c>
      <c r="Y2721" t="s">
        <v>23565</v>
      </c>
      <c r="Z2721" t="s">
        <v>30431</v>
      </c>
      <c r="AA2721">
        <v>0.27273948699689932</v>
      </c>
      <c r="AB2721" t="str">
        <f>HYPERLINK("Melting_Curves/meltCurve_P43403_ZAP70.pdf", "Melting_Curves/meltCurve_P43403_ZAP70.pdf")</f>
        <v>Melting_Curves/meltCurve_P43403_ZAP70.pdf</v>
      </c>
    </row>
    <row r="2722" spans="1:28" x14ac:dyDescent="0.25">
      <c r="A2722" t="s">
        <v>2726</v>
      </c>
      <c r="B2722">
        <v>0.99999676499088797</v>
      </c>
      <c r="C2722">
        <v>1.0175135350972</v>
      </c>
      <c r="D2722">
        <v>0.91984383145443605</v>
      </c>
      <c r="E2722">
        <v>0.74125453975032896</v>
      </c>
      <c r="F2722">
        <v>0.52583338325135998</v>
      </c>
      <c r="G2722">
        <v>0.472126074672788</v>
      </c>
      <c r="H2722">
        <v>0.235855019189398</v>
      </c>
      <c r="I2722">
        <v>0.210913211237786</v>
      </c>
      <c r="J2722">
        <v>0.21655217816546099</v>
      </c>
      <c r="K2722">
        <v>0.222509256575637</v>
      </c>
      <c r="L2722">
        <v>766.41596981570603</v>
      </c>
      <c r="M2722">
        <v>14.559569132524199</v>
      </c>
      <c r="N2722">
        <v>54.299104375322798</v>
      </c>
      <c r="O2722">
        <v>51.676869545997398</v>
      </c>
      <c r="P2722">
        <v>-5.7795806053767398E-2</v>
      </c>
      <c r="Q2722">
        <v>0.179545150102846</v>
      </c>
      <c r="R2722">
        <v>0.98662540612174698</v>
      </c>
      <c r="S2722" t="s">
        <v>9725</v>
      </c>
      <c r="T2722" t="s">
        <v>14004</v>
      </c>
      <c r="U2722" t="s">
        <v>14004</v>
      </c>
      <c r="V2722" t="s">
        <v>14004</v>
      </c>
      <c r="W2722" t="s">
        <v>16687</v>
      </c>
      <c r="X2722">
        <v>17</v>
      </c>
      <c r="Y2722" t="s">
        <v>23566</v>
      </c>
      <c r="Z2722" t="s">
        <v>30432</v>
      </c>
      <c r="AA2722">
        <v>0.54392289031023244</v>
      </c>
      <c r="AB2722" t="str">
        <f>HYPERLINK("Melting_Curves/meltCurve_P43487_RANBP1.pdf", "Melting_Curves/meltCurve_P43487_RANBP1.pdf")</f>
        <v>Melting_Curves/meltCurve_P43487_RANBP1.pdf</v>
      </c>
    </row>
    <row r="2723" spans="1:28" x14ac:dyDescent="0.25">
      <c r="A2723" t="s">
        <v>2727</v>
      </c>
      <c r="B2723">
        <v>0.99999676499088797</v>
      </c>
      <c r="C2723">
        <v>0.89657070141036299</v>
      </c>
      <c r="D2723">
        <v>0.93407599610501102</v>
      </c>
      <c r="E2723">
        <v>0.91292622464267303</v>
      </c>
      <c r="F2723">
        <v>0.89515202635686197</v>
      </c>
      <c r="G2723">
        <v>0.78996916304935605</v>
      </c>
      <c r="H2723">
        <v>0.29668823718564202</v>
      </c>
      <c r="I2723">
        <v>0.123757386777697</v>
      </c>
      <c r="J2723">
        <v>0.103052154927617</v>
      </c>
      <c r="K2723">
        <v>7.2382489431819297E-2</v>
      </c>
      <c r="L2723">
        <v>1800.8440605283299</v>
      </c>
      <c r="M2723">
        <v>30.653367605839701</v>
      </c>
      <c r="N2723">
        <v>59.020879540463099</v>
      </c>
      <c r="O2723">
        <v>58.5003189423281</v>
      </c>
      <c r="P2723">
        <v>-0.12236172889277599</v>
      </c>
      <c r="Q2723">
        <v>6.5922203961833806E-2</v>
      </c>
      <c r="R2723">
        <v>0.98011301385369498</v>
      </c>
      <c r="S2723" t="s">
        <v>9726</v>
      </c>
      <c r="T2723" t="s">
        <v>14004</v>
      </c>
      <c r="U2723" t="s">
        <v>14004</v>
      </c>
      <c r="V2723" t="s">
        <v>14004</v>
      </c>
      <c r="W2723" t="s">
        <v>16688</v>
      </c>
      <c r="X2723">
        <v>19</v>
      </c>
      <c r="Y2723" t="s">
        <v>23567</v>
      </c>
      <c r="Z2723" t="s">
        <v>30433</v>
      </c>
      <c r="AA2723">
        <v>0.6555147384407366</v>
      </c>
      <c r="AB2723" t="str">
        <f>HYPERLINK("Melting_Curves/meltCurve_P43490_NAMPT.pdf", "Melting_Curves/meltCurve_P43490_NAMPT.pdf")</f>
        <v>Melting_Curves/meltCurve_P43490_NAMPT.pdf</v>
      </c>
    </row>
    <row r="2724" spans="1:28" x14ac:dyDescent="0.25">
      <c r="A2724" t="s">
        <v>2728</v>
      </c>
      <c r="B2724">
        <v>0.99999676499088797</v>
      </c>
      <c r="C2724">
        <v>0.95001024178429005</v>
      </c>
      <c r="D2724">
        <v>0.95377537215407104</v>
      </c>
      <c r="E2724">
        <v>1.12012135152022</v>
      </c>
      <c r="F2724">
        <v>1.0232864896999601</v>
      </c>
      <c r="G2724">
        <v>0.543788913182079</v>
      </c>
      <c r="H2724">
        <v>0.11942073175199901</v>
      </c>
      <c r="I2724">
        <v>8.6745640731917803E-2</v>
      </c>
      <c r="J2724">
        <v>8.0960151431677493E-2</v>
      </c>
      <c r="K2724">
        <v>6.6207035733910805E-2</v>
      </c>
      <c r="L2724">
        <v>4239.4670829634397</v>
      </c>
      <c r="M2724">
        <v>74.629333168602699</v>
      </c>
      <c r="N2724">
        <v>56.951759869996401</v>
      </c>
      <c r="O2724">
        <v>56.766231093289697</v>
      </c>
      <c r="P2724">
        <v>-0.30027159039657902</v>
      </c>
      <c r="Q2724">
        <v>8.6403009337057898E-2</v>
      </c>
      <c r="R2724">
        <v>0.98897650931012204</v>
      </c>
      <c r="S2724" t="s">
        <v>9727</v>
      </c>
      <c r="T2724" t="s">
        <v>14004</v>
      </c>
      <c r="U2724" t="s">
        <v>14004</v>
      </c>
      <c r="V2724" t="s">
        <v>14004</v>
      </c>
      <c r="W2724" t="s">
        <v>16689</v>
      </c>
      <c r="X2724">
        <v>25</v>
      </c>
      <c r="Y2724" t="s">
        <v>23568</v>
      </c>
      <c r="Z2724" t="s">
        <v>30434</v>
      </c>
      <c r="AA2724">
        <v>0.59925429493319149</v>
      </c>
      <c r="AB2724" t="str">
        <f>HYPERLINK("Melting_Curves/meltCurve_P43686_PSMC4.pdf", "Melting_Curves/meltCurve_P43686_PSMC4.pdf")</f>
        <v>Melting_Curves/meltCurve_P43686_PSMC4.pdf</v>
      </c>
    </row>
    <row r="2725" spans="1:28" x14ac:dyDescent="0.25">
      <c r="A2725" t="s">
        <v>2729</v>
      </c>
      <c r="B2725">
        <v>0.99999676499088797</v>
      </c>
      <c r="C2725">
        <v>0.92788028309651405</v>
      </c>
      <c r="D2725">
        <v>0.79764474217586401</v>
      </c>
      <c r="E2725">
        <v>0.37741183782480198</v>
      </c>
      <c r="F2725">
        <v>0.17900156805806999</v>
      </c>
      <c r="G2725">
        <v>0.10812745634434701</v>
      </c>
      <c r="H2725">
        <v>6.0447534811692301E-2</v>
      </c>
      <c r="I2725">
        <v>6.29958067559898E-2</v>
      </c>
      <c r="J2725">
        <v>6.4413145322823204E-2</v>
      </c>
      <c r="K2725">
        <v>5.2174336095726297E-2</v>
      </c>
      <c r="L2725">
        <v>1105.76127773651</v>
      </c>
      <c r="M2725">
        <v>22.8769251797038</v>
      </c>
      <c r="N2725">
        <v>48.6138276321687</v>
      </c>
      <c r="O2725">
        <v>47.970436722736402</v>
      </c>
      <c r="P2725">
        <v>-0.111901328273742</v>
      </c>
      <c r="Q2725">
        <v>6.1438090856346203E-2</v>
      </c>
      <c r="R2725">
        <v>0.99844569360332003</v>
      </c>
      <c r="S2725" t="s">
        <v>9728</v>
      </c>
      <c r="T2725" t="s">
        <v>14004</v>
      </c>
      <c r="U2725" t="s">
        <v>14004</v>
      </c>
      <c r="V2725" t="s">
        <v>14004</v>
      </c>
      <c r="W2725" t="s">
        <v>16690</v>
      </c>
      <c r="X2725">
        <v>16</v>
      </c>
      <c r="Y2725" t="s">
        <v>23569</v>
      </c>
      <c r="Z2725" t="s">
        <v>30435</v>
      </c>
      <c r="AA2725">
        <v>0.33220554467566821</v>
      </c>
      <c r="AB2725" t="str">
        <f>HYPERLINK("Melting_Curves/meltCurve_P43897_TSFM.pdf", "Melting_Curves/meltCurve_P43897_TSFM.pdf")</f>
        <v>Melting_Curves/meltCurve_P43897_TSFM.pdf</v>
      </c>
    </row>
    <row r="2726" spans="1:28" x14ac:dyDescent="0.25">
      <c r="A2726" t="s">
        <v>2730</v>
      </c>
      <c r="B2726">
        <v>0.99999676499088797</v>
      </c>
      <c r="C2726">
        <v>0.96106970698343097</v>
      </c>
      <c r="D2726">
        <v>1.0518849667769401</v>
      </c>
      <c r="E2726">
        <v>1.0494606731921701</v>
      </c>
      <c r="F2726">
        <v>1.02012350652086</v>
      </c>
      <c r="G2726">
        <v>0.89061114654695595</v>
      </c>
      <c r="H2726">
        <v>0.76586781877662102</v>
      </c>
      <c r="I2726">
        <v>0.687376042463541</v>
      </c>
      <c r="J2726">
        <v>0.539280255441279</v>
      </c>
      <c r="K2726">
        <v>0.423448261744379</v>
      </c>
      <c r="L2726">
        <v>949.17815647375596</v>
      </c>
      <c r="M2726">
        <v>14.586197990061001</v>
      </c>
      <c r="N2726">
        <v>67.947956238931098</v>
      </c>
      <c r="O2726">
        <v>63.887287300272902</v>
      </c>
      <c r="P2726">
        <v>-4.39422692078002E-2</v>
      </c>
      <c r="Q2726">
        <v>0.230221357306341</v>
      </c>
      <c r="R2726">
        <v>0.97253816201849896</v>
      </c>
      <c r="S2726" t="s">
        <v>9729</v>
      </c>
      <c r="T2726" t="s">
        <v>14004</v>
      </c>
      <c r="U2726" t="s">
        <v>14004</v>
      </c>
      <c r="V2726" t="s">
        <v>14004</v>
      </c>
      <c r="W2726" t="s">
        <v>16691</v>
      </c>
      <c r="X2726">
        <v>23</v>
      </c>
      <c r="Y2726" t="s">
        <v>23570</v>
      </c>
      <c r="Z2726" t="s">
        <v>30436</v>
      </c>
      <c r="AA2726">
        <v>0.8521619357259349</v>
      </c>
      <c r="AB2726" t="str">
        <f>HYPERLINK("Melting_Curves/meltCurve_P45880_VDAC2.pdf", "Melting_Curves/meltCurve_P45880_VDAC2.pdf")</f>
        <v>Melting_Curves/meltCurve_P45880_VDAC2.pdf</v>
      </c>
    </row>
    <row r="2727" spans="1:28" x14ac:dyDescent="0.25">
      <c r="A2727" t="s">
        <v>2731</v>
      </c>
      <c r="B2727">
        <v>0.99999676499088797</v>
      </c>
      <c r="C2727">
        <v>0.99547233224480602</v>
      </c>
      <c r="D2727">
        <v>1.01113265232851</v>
      </c>
      <c r="E2727">
        <v>1.10334188800927</v>
      </c>
      <c r="F2727">
        <v>0.477551032698389</v>
      </c>
      <c r="G2727">
        <v>0.29108076481143602</v>
      </c>
      <c r="H2727">
        <v>0.121979957565001</v>
      </c>
      <c r="I2727">
        <v>6.98390090408917E-2</v>
      </c>
      <c r="J2727">
        <v>6.0445595803421098E-2</v>
      </c>
      <c r="K2727">
        <v>5.36695710891417E-2</v>
      </c>
      <c r="L2727">
        <v>2198.4716702885598</v>
      </c>
      <c r="M2727">
        <v>41.377779952700898</v>
      </c>
      <c r="N2727">
        <v>53.420237090389897</v>
      </c>
      <c r="O2727">
        <v>53.008047563048798</v>
      </c>
      <c r="P2727">
        <v>-0.175606572289742</v>
      </c>
      <c r="Q2727">
        <v>0.10014073251562</v>
      </c>
      <c r="R2727">
        <v>0.97424489426816496</v>
      </c>
      <c r="S2727" t="s">
        <v>9730</v>
      </c>
      <c r="T2727" t="s">
        <v>14004</v>
      </c>
      <c r="U2727" t="s">
        <v>14004</v>
      </c>
      <c r="V2727" t="s">
        <v>14004</v>
      </c>
      <c r="W2727" t="s">
        <v>16692</v>
      </c>
      <c r="X2727">
        <v>14</v>
      </c>
      <c r="Y2727" t="s">
        <v>23571</v>
      </c>
      <c r="Z2727" t="s">
        <v>30437</v>
      </c>
      <c r="AA2727">
        <v>0.4971142289973553</v>
      </c>
      <c r="AB2727" t="str">
        <f>HYPERLINK("Melting_Curves/meltCurve_P45954_ACADSB.pdf", "Melting_Curves/meltCurve_P45954_ACADSB.pdf")</f>
        <v>Melting_Curves/meltCurve_P45954_ACADSB.pdf</v>
      </c>
    </row>
    <row r="2728" spans="1:28" x14ac:dyDescent="0.25">
      <c r="A2728" t="s">
        <v>2732</v>
      </c>
      <c r="B2728">
        <v>0.99999676499088797</v>
      </c>
      <c r="C2728">
        <v>0.96001354226043401</v>
      </c>
      <c r="D2728">
        <v>0.89857845064702302</v>
      </c>
      <c r="E2728">
        <v>0.59203193608677296</v>
      </c>
      <c r="F2728">
        <v>0.27597932442214601</v>
      </c>
      <c r="G2728">
        <v>0.177360171113632</v>
      </c>
      <c r="H2728">
        <v>0.101821202907698</v>
      </c>
      <c r="I2728">
        <v>9.4777252973092502E-2</v>
      </c>
      <c r="J2728">
        <v>8.9390473189958394E-2</v>
      </c>
      <c r="K2728">
        <v>8.2525180878941798E-2</v>
      </c>
      <c r="L2728">
        <v>1092.75637928738</v>
      </c>
      <c r="M2728">
        <v>21.810195531177101</v>
      </c>
      <c r="N2728">
        <v>50.549353574122797</v>
      </c>
      <c r="O2728">
        <v>49.687504974814303</v>
      </c>
      <c r="P2728">
        <v>-0.100127688567711</v>
      </c>
      <c r="Q2728">
        <v>8.7586336714761306E-2</v>
      </c>
      <c r="R2728">
        <v>0.99906074806123502</v>
      </c>
      <c r="S2728" t="s">
        <v>9731</v>
      </c>
      <c r="T2728" t="s">
        <v>14004</v>
      </c>
      <c r="U2728" t="s">
        <v>14004</v>
      </c>
      <c r="V2728" t="s">
        <v>14004</v>
      </c>
      <c r="W2728" t="s">
        <v>16693</v>
      </c>
      <c r="X2728">
        <v>16</v>
      </c>
      <c r="Y2728" t="s">
        <v>23572</v>
      </c>
      <c r="Z2728" t="s">
        <v>30438</v>
      </c>
      <c r="AA2728">
        <v>0.40557164026256037</v>
      </c>
      <c r="AB2728" t="str">
        <f>HYPERLINK("Melting_Curves/meltCurve_P45973_CBX5.pdf", "Melting_Curves/meltCurve_P45973_CBX5.pdf")</f>
        <v>Melting_Curves/meltCurve_P45973_CBX5.pdf</v>
      </c>
    </row>
    <row r="2729" spans="1:28" x14ac:dyDescent="0.25">
      <c r="A2729" t="s">
        <v>2733</v>
      </c>
      <c r="B2729">
        <v>0.99999676499088797</v>
      </c>
      <c r="C2729">
        <v>0.99504028833250502</v>
      </c>
      <c r="D2729">
        <v>0.94847233735361403</v>
      </c>
      <c r="E2729">
        <v>0.88586995705176097</v>
      </c>
      <c r="F2729">
        <v>0.44122275304097602</v>
      </c>
      <c r="G2729">
        <v>0.204398775830577</v>
      </c>
      <c r="H2729">
        <v>8.1067913391316998E-2</v>
      </c>
      <c r="I2729">
        <v>7.9196132467262606E-2</v>
      </c>
      <c r="J2729">
        <v>7.8933362306109506E-2</v>
      </c>
      <c r="K2729">
        <v>7.2284011905543399E-2</v>
      </c>
      <c r="L2729">
        <v>1504.7778580919701</v>
      </c>
      <c r="M2729">
        <v>28.612191430263</v>
      </c>
      <c r="N2729">
        <v>52.894612229726498</v>
      </c>
      <c r="O2729">
        <v>52.3372978383711</v>
      </c>
      <c r="P2729">
        <v>-0.12636037305484801</v>
      </c>
      <c r="Q2729">
        <v>7.5455878549560498E-2</v>
      </c>
      <c r="R2729">
        <v>0.997838833373064</v>
      </c>
      <c r="S2729" t="s">
        <v>9732</v>
      </c>
      <c r="T2729" t="s">
        <v>14004</v>
      </c>
      <c r="U2729" t="s">
        <v>14004</v>
      </c>
      <c r="V2729" t="s">
        <v>14004</v>
      </c>
      <c r="W2729" t="s">
        <v>16694</v>
      </c>
      <c r="X2729">
        <v>32</v>
      </c>
      <c r="Y2729" t="s">
        <v>23573</v>
      </c>
      <c r="Z2729" t="s">
        <v>30439</v>
      </c>
      <c r="AA2729">
        <v>0.47006497513867818</v>
      </c>
      <c r="AB2729" t="str">
        <f>HYPERLINK("Melting_Curves/meltCurve_P45974_2_USP5.pdf", "Melting_Curves/meltCurve_P45974_2_USP5.pdf")</f>
        <v>Melting_Curves/meltCurve_P45974_2_USP5.pdf</v>
      </c>
    </row>
    <row r="2730" spans="1:28" x14ac:dyDescent="0.25">
      <c r="A2730" t="s">
        <v>2734</v>
      </c>
      <c r="B2730">
        <v>0.99999676499088797</v>
      </c>
      <c r="C2730">
        <v>0.88303684210977496</v>
      </c>
      <c r="D2730">
        <v>0.72876112597642195</v>
      </c>
      <c r="E2730">
        <v>0.46209791922162502</v>
      </c>
      <c r="F2730">
        <v>0.243609294310662</v>
      </c>
      <c r="G2730">
        <v>0.16455647158779399</v>
      </c>
      <c r="H2730">
        <v>8.7376050480037798E-2</v>
      </c>
      <c r="I2730">
        <v>7.8374422039649394E-2</v>
      </c>
      <c r="J2730">
        <v>8.03823694104875E-2</v>
      </c>
      <c r="K2730">
        <v>7.5880706174556597E-2</v>
      </c>
      <c r="L2730">
        <v>774.49405136325902</v>
      </c>
      <c r="M2730">
        <v>15.940060534859001</v>
      </c>
      <c r="N2730">
        <v>49.011209745175101</v>
      </c>
      <c r="O2730">
        <v>47.842462899477098</v>
      </c>
      <c r="P2730">
        <v>-7.7944128576019803E-2</v>
      </c>
      <c r="Q2730">
        <v>6.4308898642681994E-2</v>
      </c>
      <c r="R2730">
        <v>0.99854856617675603</v>
      </c>
      <c r="S2730" t="s">
        <v>9733</v>
      </c>
      <c r="T2730" t="s">
        <v>14004</v>
      </c>
      <c r="U2730" t="s">
        <v>14004</v>
      </c>
      <c r="V2730" t="s">
        <v>14004</v>
      </c>
      <c r="W2730" t="s">
        <v>16695</v>
      </c>
      <c r="X2730">
        <v>7</v>
      </c>
      <c r="Y2730" t="s">
        <v>23574</v>
      </c>
      <c r="Z2730" t="s">
        <v>30440</v>
      </c>
      <c r="AA2730">
        <v>0.3530124020032448</v>
      </c>
      <c r="AB2730" t="str">
        <f>HYPERLINK("Melting_Curves/meltCurve_P45983_3_MAPK8.pdf", "Melting_Curves/meltCurve_P45983_3_MAPK8.pdf")</f>
        <v>Melting_Curves/meltCurve_P45983_3_MAPK8.pdf</v>
      </c>
    </row>
    <row r="2731" spans="1:28" x14ac:dyDescent="0.25">
      <c r="A2731" t="s">
        <v>2735</v>
      </c>
      <c r="B2731">
        <v>0.99999676499088797</v>
      </c>
      <c r="C2731">
        <v>0.90654080799967796</v>
      </c>
      <c r="D2731">
        <v>0.92880694504238304</v>
      </c>
      <c r="E2731">
        <v>0.99723314686028297</v>
      </c>
      <c r="F2731">
        <v>0.84771544392381504</v>
      </c>
      <c r="G2731">
        <v>0.34949623770166599</v>
      </c>
      <c r="H2731">
        <v>0.14303076301915699</v>
      </c>
      <c r="I2731">
        <v>0.15368939922781799</v>
      </c>
      <c r="J2731">
        <v>0.16836705345861699</v>
      </c>
      <c r="K2731">
        <v>0.160633873957372</v>
      </c>
      <c r="L2731">
        <v>2331.06204352439</v>
      </c>
      <c r="M2731">
        <v>42.2713566195781</v>
      </c>
      <c r="N2731">
        <v>55.624488001244302</v>
      </c>
      <c r="O2731">
        <v>55.022212873885003</v>
      </c>
      <c r="P2731">
        <v>-0.162749056033617</v>
      </c>
      <c r="Q2731">
        <v>0.15263690121770199</v>
      </c>
      <c r="R2731">
        <v>0.989569002503629</v>
      </c>
      <c r="S2731" t="s">
        <v>9734</v>
      </c>
      <c r="T2731" t="s">
        <v>14004</v>
      </c>
      <c r="U2731" t="s">
        <v>14004</v>
      </c>
      <c r="V2731" t="s">
        <v>14004</v>
      </c>
      <c r="W2731" t="s">
        <v>16696</v>
      </c>
      <c r="X2731">
        <v>10</v>
      </c>
      <c r="Y2731" t="s">
        <v>23575</v>
      </c>
      <c r="Z2731" t="s">
        <v>30441</v>
      </c>
      <c r="AA2731">
        <v>0.58330172680677572</v>
      </c>
      <c r="AB2731" t="str">
        <f>HYPERLINK("Melting_Curves/meltCurve_P45984_2_MAPK9.pdf", "Melting_Curves/meltCurve_P45984_2_MAPK9.pdf")</f>
        <v>Melting_Curves/meltCurve_P45984_2_MAPK9.pdf</v>
      </c>
    </row>
    <row r="2732" spans="1:28" x14ac:dyDescent="0.25">
      <c r="A2732" t="s">
        <v>2736</v>
      </c>
      <c r="B2732">
        <v>0.99999676499088797</v>
      </c>
      <c r="C2732">
        <v>1.0523724582190901</v>
      </c>
      <c r="D2732">
        <v>1.01577767359156</v>
      </c>
      <c r="E2732">
        <v>0.940760793682067</v>
      </c>
      <c r="F2732">
        <v>0.34008262586696703</v>
      </c>
      <c r="G2732">
        <v>0.18509466692215201</v>
      </c>
      <c r="H2732">
        <v>8.8766777253337897E-2</v>
      </c>
      <c r="I2732">
        <v>8.0684206675873199E-2</v>
      </c>
      <c r="J2732">
        <v>5.2140963856863898E-2</v>
      </c>
      <c r="K2732">
        <v>5.9777531677950302E-2</v>
      </c>
      <c r="L2732">
        <v>2373.7222791948402</v>
      </c>
      <c r="M2732">
        <v>45.488409942822997</v>
      </c>
      <c r="N2732">
        <v>52.4010950115293</v>
      </c>
      <c r="O2732">
        <v>52.082436816754203</v>
      </c>
      <c r="P2732">
        <v>-0.19951874564674901</v>
      </c>
      <c r="Q2732">
        <v>8.6236309004225103E-2</v>
      </c>
      <c r="R2732">
        <v>0.99388472354452595</v>
      </c>
      <c r="S2732" t="s">
        <v>9735</v>
      </c>
      <c r="T2732" t="s">
        <v>14004</v>
      </c>
      <c r="U2732" t="s">
        <v>14004</v>
      </c>
      <c r="V2732" t="s">
        <v>14004</v>
      </c>
      <c r="W2732" t="s">
        <v>16697</v>
      </c>
      <c r="X2732">
        <v>10</v>
      </c>
      <c r="Y2732" t="s">
        <v>23576</v>
      </c>
      <c r="Z2732" t="s">
        <v>30442</v>
      </c>
      <c r="AA2732">
        <v>0.45985974184192518</v>
      </c>
      <c r="AB2732" t="str">
        <f>HYPERLINK("Melting_Curves/meltCurve_P45985_MAP2K4.pdf", "Melting_Curves/meltCurve_P45985_MAP2K4.pdf")</f>
        <v>Melting_Curves/meltCurve_P45985_MAP2K4.pdf</v>
      </c>
    </row>
    <row r="2733" spans="1:28" x14ac:dyDescent="0.25">
      <c r="A2733" t="s">
        <v>2737</v>
      </c>
      <c r="B2733">
        <v>0.99999676499088797</v>
      </c>
      <c r="C2733">
        <v>0.80745129308853303</v>
      </c>
      <c r="D2733">
        <v>0.62848878607192205</v>
      </c>
      <c r="E2733">
        <v>0.45963253316456598</v>
      </c>
      <c r="F2733">
        <v>0.29344449332464601</v>
      </c>
      <c r="G2733">
        <v>0.30269857384521398</v>
      </c>
      <c r="H2733">
        <v>0.20004086440497901</v>
      </c>
      <c r="I2733">
        <v>0.33965843521647698</v>
      </c>
      <c r="J2733">
        <v>0.517700941999232</v>
      </c>
      <c r="K2733">
        <v>0.53114851296954702</v>
      </c>
      <c r="L2733">
        <v>1054.2896088161001</v>
      </c>
      <c r="M2733">
        <v>23.437749713401502</v>
      </c>
      <c r="N2733">
        <v>47.666697014950898</v>
      </c>
      <c r="O2733">
        <v>44.658923011898899</v>
      </c>
      <c r="P2733">
        <v>-8.3131664907178604E-2</v>
      </c>
      <c r="Q2733">
        <v>0.366405767528175</v>
      </c>
      <c r="R2733">
        <v>0.829554783489025</v>
      </c>
      <c r="S2733" t="s">
        <v>9736</v>
      </c>
      <c r="T2733" t="s">
        <v>14004</v>
      </c>
      <c r="U2733" t="s">
        <v>14004</v>
      </c>
      <c r="V2733" t="s">
        <v>14004</v>
      </c>
      <c r="W2733" t="s">
        <v>16698</v>
      </c>
      <c r="X2733">
        <v>41</v>
      </c>
      <c r="Y2733" t="s">
        <v>23577</v>
      </c>
      <c r="Z2733" t="s">
        <v>30443</v>
      </c>
      <c r="AA2733">
        <v>0.47901946494356079</v>
      </c>
      <c r="AB2733" t="str">
        <f>HYPERLINK("Melting_Curves/meltCurve_P46013_MKI67.pdf", "Melting_Curves/meltCurve_P46013_MKI67.pdf")</f>
        <v>Melting_Curves/meltCurve_P46013_MKI67.pdf</v>
      </c>
    </row>
    <row r="2734" spans="1:28" x14ac:dyDescent="0.25">
      <c r="A2734" t="s">
        <v>2738</v>
      </c>
      <c r="B2734">
        <v>0.99999676499088797</v>
      </c>
      <c r="C2734">
        <v>0.91915469460325305</v>
      </c>
      <c r="D2734">
        <v>0.87273535077047804</v>
      </c>
      <c r="E2734">
        <v>0.53529571454721903</v>
      </c>
      <c r="F2734">
        <v>0.287661415986386</v>
      </c>
      <c r="G2734">
        <v>0.185540321523159</v>
      </c>
      <c r="H2734">
        <v>8.2986921742555703E-2</v>
      </c>
      <c r="I2734">
        <v>8.6986153698752497E-2</v>
      </c>
      <c r="J2734">
        <v>8.1362753738921698E-2</v>
      </c>
      <c r="K2734">
        <v>6.8013144841982398E-2</v>
      </c>
      <c r="L2734">
        <v>924.250292895793</v>
      </c>
      <c r="M2734">
        <v>18.545376098282102</v>
      </c>
      <c r="N2734">
        <v>50.246098449247199</v>
      </c>
      <c r="O2734">
        <v>49.268599374545403</v>
      </c>
      <c r="P2734">
        <v>-8.7516604974443801E-2</v>
      </c>
      <c r="Q2734">
        <v>7.0036191496421193E-2</v>
      </c>
      <c r="R2734">
        <v>0.99672596251313295</v>
      </c>
      <c r="S2734" t="s">
        <v>9737</v>
      </c>
      <c r="T2734" t="s">
        <v>14004</v>
      </c>
      <c r="U2734" t="s">
        <v>14004</v>
      </c>
      <c r="V2734" t="s">
        <v>14004</v>
      </c>
      <c r="W2734" t="s">
        <v>16699</v>
      </c>
      <c r="X2734">
        <v>22</v>
      </c>
      <c r="Y2734" t="s">
        <v>23578</v>
      </c>
      <c r="Z2734" t="s">
        <v>30444</v>
      </c>
      <c r="AA2734">
        <v>0.38998611885185541</v>
      </c>
      <c r="AB2734" t="str">
        <f>HYPERLINK("Melting_Curves/meltCurve_P46060_RANGAP1.pdf", "Melting_Curves/meltCurve_P46060_RANGAP1.pdf")</f>
        <v>Melting_Curves/meltCurve_P46060_RANGAP1.pdf</v>
      </c>
    </row>
    <row r="2735" spans="1:28" x14ac:dyDescent="0.25">
      <c r="A2735" t="s">
        <v>2739</v>
      </c>
      <c r="B2735">
        <v>0.99999676499088797</v>
      </c>
      <c r="C2735">
        <v>1.05948179871172</v>
      </c>
      <c r="D2735">
        <v>1.04765597219031</v>
      </c>
      <c r="E2735">
        <v>1.02882770559464</v>
      </c>
      <c r="F2735">
        <v>0.416553168285274</v>
      </c>
      <c r="G2735">
        <v>0.19397716903385301</v>
      </c>
      <c r="H2735">
        <v>9.1536983290781193E-2</v>
      </c>
      <c r="I2735">
        <v>0.100536159319794</v>
      </c>
      <c r="J2735">
        <v>9.5876293290531794E-2</v>
      </c>
      <c r="K2735">
        <v>7.0810466753278498E-2</v>
      </c>
      <c r="L2735">
        <v>3767.25084789733</v>
      </c>
      <c r="M2735">
        <v>71.433827231673902</v>
      </c>
      <c r="N2735">
        <v>52.919693291736998</v>
      </c>
      <c r="O2735">
        <v>52.696345178956598</v>
      </c>
      <c r="P2735">
        <v>-0.30197335696893601</v>
      </c>
      <c r="Q2735">
        <v>0.108943782676068</v>
      </c>
      <c r="R2735">
        <v>0.99182980189210102</v>
      </c>
      <c r="S2735" t="s">
        <v>9738</v>
      </c>
      <c r="T2735" t="s">
        <v>14004</v>
      </c>
      <c r="U2735" t="s">
        <v>14004</v>
      </c>
      <c r="V2735" t="s">
        <v>14004</v>
      </c>
      <c r="W2735" t="s">
        <v>16700</v>
      </c>
      <c r="X2735">
        <v>33</v>
      </c>
      <c r="Y2735" t="s">
        <v>23579</v>
      </c>
      <c r="Z2735" t="s">
        <v>30445</v>
      </c>
      <c r="AA2735">
        <v>0.48828794662782782</v>
      </c>
      <c r="AB2735" t="str">
        <f>HYPERLINK("Melting_Curves/meltCurve_P46063_RECQL.pdf", "Melting_Curves/meltCurve_P46063_RECQL.pdf")</f>
        <v>Melting_Curves/meltCurve_P46063_RECQL.pdf</v>
      </c>
    </row>
    <row r="2736" spans="1:28" x14ac:dyDescent="0.25">
      <c r="A2736" t="s">
        <v>2740</v>
      </c>
      <c r="B2736">
        <v>0.99999676499088797</v>
      </c>
      <c r="C2736">
        <v>0.94270634941903098</v>
      </c>
      <c r="D2736">
        <v>1.05200638586574</v>
      </c>
      <c r="E2736">
        <v>1.00645715625938</v>
      </c>
      <c r="F2736">
        <v>0.73585999551055703</v>
      </c>
      <c r="G2736">
        <v>0.48802360397322297</v>
      </c>
      <c r="H2736">
        <v>0.24307589852410599</v>
      </c>
      <c r="I2736">
        <v>0.271974811187215</v>
      </c>
      <c r="J2736">
        <v>0.30835063418305803</v>
      </c>
      <c r="K2736">
        <v>0.36180317923184502</v>
      </c>
      <c r="L2736">
        <v>1720.4126997400101</v>
      </c>
      <c r="M2736">
        <v>31.6388107107617</v>
      </c>
      <c r="N2736">
        <v>55.963862551602197</v>
      </c>
      <c r="O2736">
        <v>54.160805053674501</v>
      </c>
      <c r="P2736">
        <v>-0.102788763034719</v>
      </c>
      <c r="Q2736">
        <v>0.29616914411127399</v>
      </c>
      <c r="R2736">
        <v>0.97879206511350003</v>
      </c>
      <c r="S2736" t="s">
        <v>9739</v>
      </c>
      <c r="T2736" t="s">
        <v>14004</v>
      </c>
      <c r="U2736" t="s">
        <v>14004</v>
      </c>
      <c r="V2736" t="s">
        <v>14004</v>
      </c>
      <c r="W2736" t="s">
        <v>16701</v>
      </c>
      <c r="X2736">
        <v>7</v>
      </c>
      <c r="Y2736" t="s">
        <v>23580</v>
      </c>
      <c r="Z2736" t="s">
        <v>30446</v>
      </c>
      <c r="AA2736">
        <v>0.63765040825309893</v>
      </c>
      <c r="AB2736" t="str">
        <f>HYPERLINK("Melting_Curves/meltCurve_P46087_NOP2.pdf", "Melting_Curves/meltCurve_P46087_NOP2.pdf")</f>
        <v>Melting_Curves/meltCurve_P46087_NOP2.pdf</v>
      </c>
    </row>
    <row r="2737" spans="1:28" x14ac:dyDescent="0.25">
      <c r="A2737" t="s">
        <v>2741</v>
      </c>
      <c r="B2737">
        <v>0.99999676499088797</v>
      </c>
      <c r="C2737">
        <v>1.0481115834156101</v>
      </c>
      <c r="D2737">
        <v>0.82584363898837598</v>
      </c>
      <c r="E2737">
        <v>0.50246588743101395</v>
      </c>
      <c r="F2737">
        <v>0.33758022784523201</v>
      </c>
      <c r="G2737">
        <v>0.312632227634835</v>
      </c>
      <c r="H2737">
        <v>0.19458407012333301</v>
      </c>
      <c r="I2737">
        <v>0.22916310168772999</v>
      </c>
      <c r="J2737">
        <v>0.29754925821066502</v>
      </c>
      <c r="K2737">
        <v>0.14668337872079101</v>
      </c>
      <c r="L2737">
        <v>1165.2059461184699</v>
      </c>
      <c r="M2737">
        <v>23.9943027597003</v>
      </c>
      <c r="N2737">
        <v>49.849231419624303</v>
      </c>
      <c r="O2737">
        <v>48.228243069689</v>
      </c>
      <c r="P2737">
        <v>-9.5655130944601097E-2</v>
      </c>
      <c r="Q2737">
        <v>0.230949896339877</v>
      </c>
      <c r="R2737">
        <v>0.97705998571396002</v>
      </c>
      <c r="S2737" t="s">
        <v>9740</v>
      </c>
      <c r="T2737" t="s">
        <v>14004</v>
      </c>
      <c r="U2737" t="s">
        <v>14004</v>
      </c>
      <c r="V2737" t="s">
        <v>14004</v>
      </c>
      <c r="W2737" t="s">
        <v>16702</v>
      </c>
      <c r="X2737">
        <v>4</v>
      </c>
      <c r="Y2737" t="s">
        <v>23581</v>
      </c>
      <c r="Z2737" t="s">
        <v>30447</v>
      </c>
      <c r="AA2737">
        <v>0.45783955159240342</v>
      </c>
      <c r="AB2737" t="str">
        <f>HYPERLINK("Melting_Curves/meltCurve_P46100_4_ATRX.pdf", "Melting_Curves/meltCurve_P46100_4_ATRX.pdf")</f>
        <v>Melting_Curves/meltCurve_P46100_4_ATRX.pdf</v>
      </c>
    </row>
    <row r="2738" spans="1:28" x14ac:dyDescent="0.25">
      <c r="A2738" t="s">
        <v>2742</v>
      </c>
      <c r="B2738">
        <v>0.99999676499088797</v>
      </c>
      <c r="C2738">
        <v>0.97106922184971001</v>
      </c>
      <c r="D2738">
        <v>0.93383163414284498</v>
      </c>
      <c r="E2738">
        <v>0.56983508384062298</v>
      </c>
      <c r="F2738">
        <v>0.34193280260665998</v>
      </c>
      <c r="G2738">
        <v>0.21115388650973299</v>
      </c>
      <c r="H2738">
        <v>0.120462566252813</v>
      </c>
      <c r="I2738">
        <v>9.3984301193962796E-2</v>
      </c>
      <c r="J2738">
        <v>8.3319804537613701E-2</v>
      </c>
      <c r="K2738">
        <v>8.44091131957697E-2</v>
      </c>
      <c r="L2738">
        <v>989.73447385704003</v>
      </c>
      <c r="M2738">
        <v>19.631930781145201</v>
      </c>
      <c r="N2738">
        <v>50.918912555192797</v>
      </c>
      <c r="O2738">
        <v>49.900172759870003</v>
      </c>
      <c r="P2738">
        <v>-8.9668082906374902E-2</v>
      </c>
      <c r="Q2738">
        <v>8.8363511790856095E-2</v>
      </c>
      <c r="R2738">
        <v>0.99520350885108799</v>
      </c>
      <c r="S2738" t="s">
        <v>9741</v>
      </c>
      <c r="T2738" t="s">
        <v>14004</v>
      </c>
      <c r="U2738" t="s">
        <v>14004</v>
      </c>
      <c r="V2738" t="s">
        <v>14004</v>
      </c>
      <c r="W2738" t="s">
        <v>16703</v>
      </c>
      <c r="X2738">
        <v>11</v>
      </c>
      <c r="Y2738" t="s">
        <v>23582</v>
      </c>
      <c r="Z2738" t="s">
        <v>30448</v>
      </c>
      <c r="AA2738">
        <v>0.41797130452745268</v>
      </c>
      <c r="AB2738" t="str">
        <f>HYPERLINK("Melting_Curves/meltCurve_P46108_CRK.pdf", "Melting_Curves/meltCurve_P46108_CRK.pdf")</f>
        <v>Melting_Curves/meltCurve_P46108_CRK.pdf</v>
      </c>
    </row>
    <row r="2739" spans="1:28" x14ac:dyDescent="0.25">
      <c r="A2739" t="s">
        <v>2743</v>
      </c>
      <c r="B2739">
        <v>0.99999676499088797</v>
      </c>
      <c r="C2739">
        <v>0.90168457036544902</v>
      </c>
      <c r="D2739">
        <v>0.85608653651327005</v>
      </c>
      <c r="E2739">
        <v>0.53607078236819705</v>
      </c>
      <c r="F2739">
        <v>0.29136046360882201</v>
      </c>
      <c r="G2739">
        <v>0.18262394417421199</v>
      </c>
      <c r="H2739">
        <v>0.100377253164299</v>
      </c>
      <c r="I2739">
        <v>7.6158193475054106E-2</v>
      </c>
      <c r="J2739">
        <v>6.8862210648179406E-2</v>
      </c>
      <c r="K2739">
        <v>7.7792409096789694E-2</v>
      </c>
      <c r="L2739">
        <v>865.52664809632904</v>
      </c>
      <c r="M2739">
        <v>17.373624563494399</v>
      </c>
      <c r="N2739">
        <v>50.218377927779102</v>
      </c>
      <c r="O2739">
        <v>49.172456890920998</v>
      </c>
      <c r="P2739">
        <v>-8.2627682856613996E-2</v>
      </c>
      <c r="Q2739">
        <v>6.4610685768621598E-2</v>
      </c>
      <c r="R2739">
        <v>0.99681195663896305</v>
      </c>
      <c r="S2739" t="s">
        <v>9742</v>
      </c>
      <c r="T2739" t="s">
        <v>14004</v>
      </c>
      <c r="U2739" t="s">
        <v>14004</v>
      </c>
      <c r="V2739" t="s">
        <v>14004</v>
      </c>
      <c r="W2739" t="s">
        <v>16704</v>
      </c>
      <c r="X2739">
        <v>17</v>
      </c>
      <c r="Y2739" t="s">
        <v>23583</v>
      </c>
      <c r="Z2739" t="s">
        <v>30449</v>
      </c>
      <c r="AA2739">
        <v>0.3878531265186449</v>
      </c>
      <c r="AB2739" t="str">
        <f>HYPERLINK("Melting_Curves/meltCurve_P46109_CRKL.pdf", "Melting_Curves/meltCurve_P46109_CRKL.pdf")</f>
        <v>Melting_Curves/meltCurve_P46109_CRKL.pdf</v>
      </c>
    </row>
    <row r="2740" spans="1:28" x14ac:dyDescent="0.25">
      <c r="A2740" t="s">
        <v>2744</v>
      </c>
      <c r="B2740">
        <v>0.99999676499088797</v>
      </c>
      <c r="C2740">
        <v>0.848169884605805</v>
      </c>
      <c r="D2740">
        <v>0.63195348711226496</v>
      </c>
      <c r="E2740">
        <v>0.21146696876006901</v>
      </c>
      <c r="F2740">
        <v>0.24429799861646501</v>
      </c>
      <c r="G2740">
        <v>0.16351652864464</v>
      </c>
      <c r="H2740">
        <v>5.8910051035871797E-2</v>
      </c>
      <c r="I2740">
        <v>3.8696906185760799E-2</v>
      </c>
      <c r="J2740">
        <v>5.7916299441311297E-2</v>
      </c>
      <c r="K2740">
        <v>4.9187561232387003E-2</v>
      </c>
      <c r="L2740">
        <v>906.69815689002098</v>
      </c>
      <c r="M2740">
        <v>19.415963325495198</v>
      </c>
      <c r="N2740">
        <v>47.067716650118697</v>
      </c>
      <c r="O2740">
        <v>46.211677770357703</v>
      </c>
      <c r="P2740">
        <v>-9.7623865250538094E-2</v>
      </c>
      <c r="Q2740">
        <v>7.0620923540976294E-2</v>
      </c>
      <c r="R2740">
        <v>0.97859567897168998</v>
      </c>
      <c r="S2740" t="s">
        <v>9743</v>
      </c>
      <c r="T2740" t="s">
        <v>14004</v>
      </c>
      <c r="U2740" t="s">
        <v>14004</v>
      </c>
      <c r="V2740" t="s">
        <v>14004</v>
      </c>
      <c r="W2740" t="s">
        <v>16705</v>
      </c>
      <c r="X2740">
        <v>1</v>
      </c>
      <c r="Y2740" t="s">
        <v>23584</v>
      </c>
      <c r="Z2740" t="s">
        <v>30450</v>
      </c>
      <c r="AA2740">
        <v>0.29286967212304588</v>
      </c>
      <c r="AB2740" t="str">
        <f>HYPERLINK("Melting_Curves/meltCurve_P46199_MTIF2.pdf", "Melting_Curves/meltCurve_P46199_MTIF2.pdf")</f>
        <v>Melting_Curves/meltCurve_P46199_MTIF2.pdf</v>
      </c>
    </row>
    <row r="2741" spans="1:28" x14ac:dyDescent="0.25">
      <c r="A2741" t="s">
        <v>2745</v>
      </c>
      <c r="B2741">
        <v>0.99999676499088797</v>
      </c>
      <c r="C2741">
        <v>0.88925598805373796</v>
      </c>
      <c r="D2741">
        <v>0.91718390617289103</v>
      </c>
      <c r="E2741">
        <v>0.81312425318484105</v>
      </c>
      <c r="F2741">
        <v>0.77323913326111104</v>
      </c>
      <c r="G2741">
        <v>0.56800768715911198</v>
      </c>
      <c r="H2741">
        <v>0.40277151284808099</v>
      </c>
      <c r="I2741">
        <v>0.39246507634869399</v>
      </c>
      <c r="J2741">
        <v>0.34290192566937</v>
      </c>
      <c r="K2741">
        <v>0.52618252250565201</v>
      </c>
      <c r="L2741">
        <v>726.83437381276303</v>
      </c>
      <c r="M2741">
        <v>13.613212828334399</v>
      </c>
      <c r="N2741">
        <v>59.328731109140101</v>
      </c>
      <c r="O2741">
        <v>52.279216800522597</v>
      </c>
      <c r="P2741">
        <v>-4.0890724564239603E-2</v>
      </c>
      <c r="Q2741">
        <v>0.37195736356523801</v>
      </c>
      <c r="R2741">
        <v>0.91985949463182504</v>
      </c>
      <c r="S2741" t="s">
        <v>9744</v>
      </c>
      <c r="T2741" t="s">
        <v>14004</v>
      </c>
      <c r="U2741" t="s">
        <v>14004</v>
      </c>
      <c r="V2741" t="s">
        <v>14004</v>
      </c>
      <c r="W2741" t="s">
        <v>16706</v>
      </c>
      <c r="X2741">
        <v>4</v>
      </c>
      <c r="Y2741" t="s">
        <v>23585</v>
      </c>
      <c r="Z2741" t="s">
        <v>30451</v>
      </c>
      <c r="AA2741">
        <v>0.66733926403376809</v>
      </c>
      <c r="AB2741" t="str">
        <f>HYPERLINK("Melting_Curves/meltCurve_P46527_CDKN1B.pdf", "Melting_Curves/meltCurve_P46527_CDKN1B.pdf")</f>
        <v>Melting_Curves/meltCurve_P46527_CDKN1B.pdf</v>
      </c>
    </row>
    <row r="2742" spans="1:28" x14ac:dyDescent="0.25">
      <c r="A2742" t="s">
        <v>2746</v>
      </c>
      <c r="B2742">
        <v>0.99999676499088797</v>
      </c>
      <c r="C2742">
        <v>1.3316133991729699</v>
      </c>
      <c r="D2742">
        <v>1.06793771871487</v>
      </c>
      <c r="E2742">
        <v>0.73042865130997903</v>
      </c>
      <c r="F2742">
        <v>0.46451855184010299</v>
      </c>
      <c r="G2742">
        <v>0.56436821900740297</v>
      </c>
      <c r="H2742">
        <v>0.34545460542861001</v>
      </c>
      <c r="I2742">
        <v>0.52353422180836495</v>
      </c>
      <c r="J2742">
        <v>0.52296986226915099</v>
      </c>
      <c r="K2742">
        <v>0.50327243497148999</v>
      </c>
      <c r="L2742">
        <v>12394.8683683944</v>
      </c>
      <c r="M2742">
        <v>250</v>
      </c>
      <c r="N2742">
        <v>50.319633071885903</v>
      </c>
      <c r="O2742">
        <v>49.576285285560203</v>
      </c>
      <c r="P2742">
        <v>-0.64628538859201301</v>
      </c>
      <c r="Q2742">
        <v>0.48735297945139899</v>
      </c>
      <c r="R2742">
        <v>0.84443597483388</v>
      </c>
      <c r="S2742" t="s">
        <v>9745</v>
      </c>
      <c r="T2742" t="s">
        <v>14004</v>
      </c>
      <c r="U2742" t="s">
        <v>14004</v>
      </c>
      <c r="V2742" t="s">
        <v>14004</v>
      </c>
      <c r="W2742" t="s">
        <v>16707</v>
      </c>
      <c r="X2742">
        <v>5</v>
      </c>
      <c r="Y2742" t="s">
        <v>23586</v>
      </c>
      <c r="Z2742" t="s">
        <v>30452</v>
      </c>
      <c r="AA2742">
        <v>0.65109386997451135</v>
      </c>
      <c r="AB2742" t="str">
        <f>HYPERLINK("Melting_Curves/meltCurve_P46531_NOTCH1.pdf", "Melting_Curves/meltCurve_P46531_NOTCH1.pdf")</f>
        <v>Melting_Curves/meltCurve_P46531_NOTCH1.pdf</v>
      </c>
    </row>
    <row r="2743" spans="1:28" x14ac:dyDescent="0.25">
      <c r="A2743" t="s">
        <v>2747</v>
      </c>
      <c r="B2743">
        <v>0.99999676499088797</v>
      </c>
      <c r="C2743">
        <v>1.03906503261358</v>
      </c>
      <c r="D2743">
        <v>0.96285557336418803</v>
      </c>
      <c r="E2743">
        <v>0.73060020113357704</v>
      </c>
      <c r="F2743">
        <v>0.24372420572088299</v>
      </c>
      <c r="G2743">
        <v>0.175252402256247</v>
      </c>
      <c r="H2743">
        <v>9.8708235298785599E-2</v>
      </c>
      <c r="I2743">
        <v>0.103432653759586</v>
      </c>
      <c r="J2743">
        <v>9.1454080695515902E-2</v>
      </c>
      <c r="K2743">
        <v>7.97598292136147E-2</v>
      </c>
      <c r="L2743">
        <v>1715.4062002673199</v>
      </c>
      <c r="M2743">
        <v>33.773404844504903</v>
      </c>
      <c r="N2743">
        <v>51.133740501908299</v>
      </c>
      <c r="O2743">
        <v>50.614547268535397</v>
      </c>
      <c r="P2743">
        <v>-0.14994782696890999</v>
      </c>
      <c r="Q2743">
        <v>0.101125830289807</v>
      </c>
      <c r="R2743">
        <v>0.99678277142206195</v>
      </c>
      <c r="S2743" t="s">
        <v>9746</v>
      </c>
      <c r="T2743" t="s">
        <v>14004</v>
      </c>
      <c r="U2743" t="s">
        <v>14004</v>
      </c>
      <c r="V2743" t="s">
        <v>14004</v>
      </c>
      <c r="W2743" t="s">
        <v>16708</v>
      </c>
      <c r="X2743">
        <v>12</v>
      </c>
      <c r="Y2743" t="s">
        <v>23587</v>
      </c>
      <c r="Z2743" t="s">
        <v>30453</v>
      </c>
      <c r="AA2743">
        <v>0.42890782138922501</v>
      </c>
      <c r="AB2743" t="str">
        <f>HYPERLINK("Melting_Curves/meltCurve_P46734_MAP2K3.pdf", "Melting_Curves/meltCurve_P46734_MAP2K3.pdf")</f>
        <v>Melting_Curves/meltCurve_P46734_MAP2K3.pdf</v>
      </c>
    </row>
    <row r="2744" spans="1:28" x14ac:dyDescent="0.25">
      <c r="A2744" t="s">
        <v>2748</v>
      </c>
      <c r="B2744">
        <v>0.99999676499088797</v>
      </c>
      <c r="C2744">
        <v>1.0133025010205701</v>
      </c>
      <c r="D2744">
        <v>1.0421131401816</v>
      </c>
      <c r="E2744">
        <v>1.1838074076401599</v>
      </c>
      <c r="F2744">
        <v>1.20902241420519</v>
      </c>
      <c r="G2744">
        <v>0.96560676558984004</v>
      </c>
      <c r="H2744">
        <v>0.60676258323212895</v>
      </c>
      <c r="I2744">
        <v>0.35816932485320102</v>
      </c>
      <c r="J2744">
        <v>0.20440429111664901</v>
      </c>
      <c r="K2744">
        <v>0.22368520105481299</v>
      </c>
      <c r="L2744">
        <v>2358.18262580074</v>
      </c>
      <c r="M2744">
        <v>38.684566942721901</v>
      </c>
      <c r="N2744">
        <v>61.845676613783503</v>
      </c>
      <c r="O2744">
        <v>60.797051057379797</v>
      </c>
      <c r="P2744">
        <v>-0.12522125523616501</v>
      </c>
      <c r="Q2744">
        <v>0.212806051335376</v>
      </c>
      <c r="R2744">
        <v>0.94046035613213796</v>
      </c>
      <c r="S2744" t="s">
        <v>9747</v>
      </c>
      <c r="T2744" t="s">
        <v>14004</v>
      </c>
      <c r="U2744" t="s">
        <v>14004</v>
      </c>
      <c r="V2744" t="s">
        <v>14004</v>
      </c>
      <c r="W2744" t="s">
        <v>16709</v>
      </c>
      <c r="X2744">
        <v>10</v>
      </c>
      <c r="Y2744" t="s">
        <v>23588</v>
      </c>
      <c r="Z2744" t="s">
        <v>30454</v>
      </c>
      <c r="AA2744">
        <v>0.76593086319445569</v>
      </c>
      <c r="AB2744" t="str">
        <f>HYPERLINK("Melting_Curves/meltCurve_P46736_2_BRCC3.pdf", "Melting_Curves/meltCurve_P46736_2_BRCC3.pdf")</f>
        <v>Melting_Curves/meltCurve_P46736_2_BRCC3.pdf</v>
      </c>
    </row>
    <row r="2745" spans="1:28" x14ac:dyDescent="0.25">
      <c r="A2745" t="s">
        <v>2749</v>
      </c>
      <c r="B2745">
        <v>0.99999676499088797</v>
      </c>
      <c r="C2745">
        <v>1.06298904481787</v>
      </c>
      <c r="D2745">
        <v>1.0503427815887101</v>
      </c>
      <c r="E2745">
        <v>1.0375504352309699</v>
      </c>
      <c r="F2745">
        <v>0.77594470483556599</v>
      </c>
      <c r="G2745">
        <v>0.54258081698136795</v>
      </c>
      <c r="H2745">
        <v>0.13142638179984101</v>
      </c>
      <c r="I2745">
        <v>9.9775432249142204E-2</v>
      </c>
      <c r="J2745">
        <v>9.49463913633211E-2</v>
      </c>
      <c r="K2745">
        <v>9.48719575679665E-2</v>
      </c>
      <c r="L2745">
        <v>1502.3800318880701</v>
      </c>
      <c r="M2745">
        <v>26.652140130907</v>
      </c>
      <c r="N2745">
        <v>56.686256742967103</v>
      </c>
      <c r="O2745">
        <v>56.055489179326599</v>
      </c>
      <c r="P2745">
        <v>-0.11065352680439799</v>
      </c>
      <c r="Q2745">
        <v>6.9092128662807104E-2</v>
      </c>
      <c r="R2745">
        <v>0.98792498182303201</v>
      </c>
      <c r="S2745" t="s">
        <v>9748</v>
      </c>
      <c r="T2745" t="s">
        <v>14004</v>
      </c>
      <c r="U2745" t="s">
        <v>14004</v>
      </c>
      <c r="V2745" t="s">
        <v>14004</v>
      </c>
      <c r="W2745" t="s">
        <v>16710</v>
      </c>
      <c r="X2745">
        <v>32</v>
      </c>
      <c r="Y2745" t="s">
        <v>23589</v>
      </c>
      <c r="Z2745" t="s">
        <v>30455</v>
      </c>
      <c r="AA2745">
        <v>0.58469886570721596</v>
      </c>
      <c r="AB2745" t="str">
        <f>HYPERLINK("Melting_Curves/meltCurve_P46777_RPL5.pdf", "Melting_Curves/meltCurve_P46777_RPL5.pdf")</f>
        <v>Melting_Curves/meltCurve_P46777_RPL5.pdf</v>
      </c>
    </row>
    <row r="2746" spans="1:28" x14ac:dyDescent="0.25">
      <c r="A2746" t="s">
        <v>2750</v>
      </c>
      <c r="B2746">
        <v>0.99999676499088797</v>
      </c>
      <c r="C2746">
        <v>0.95044384883228095</v>
      </c>
      <c r="D2746">
        <v>0.94104780757795503</v>
      </c>
      <c r="E2746">
        <v>0.73244860855257399</v>
      </c>
      <c r="F2746">
        <v>0.458995493783452</v>
      </c>
      <c r="G2746">
        <v>0.354834649422404</v>
      </c>
      <c r="H2746">
        <v>0.104559233075985</v>
      </c>
      <c r="I2746">
        <v>9.5602838821753702E-2</v>
      </c>
      <c r="J2746">
        <v>0.107251425284291</v>
      </c>
      <c r="K2746">
        <v>9.2975533084666606E-2</v>
      </c>
      <c r="L2746">
        <v>828.96578711591098</v>
      </c>
      <c r="M2746">
        <v>15.753284342106801</v>
      </c>
      <c r="N2746">
        <v>53.052283676675799</v>
      </c>
      <c r="O2746">
        <v>51.795707257765201</v>
      </c>
      <c r="P2746">
        <v>-7.1479441083556403E-2</v>
      </c>
      <c r="Q2746">
        <v>6.0000574686867703E-2</v>
      </c>
      <c r="R2746">
        <v>0.99162317124065902</v>
      </c>
      <c r="S2746" t="s">
        <v>9749</v>
      </c>
      <c r="T2746" t="s">
        <v>14004</v>
      </c>
      <c r="U2746" t="s">
        <v>14004</v>
      </c>
      <c r="V2746" t="s">
        <v>14004</v>
      </c>
      <c r="W2746" t="s">
        <v>16711</v>
      </c>
      <c r="X2746">
        <v>8</v>
      </c>
      <c r="Y2746" t="s">
        <v>23590</v>
      </c>
      <c r="Z2746" t="s">
        <v>30456</v>
      </c>
      <c r="AA2746">
        <v>0.47459251077638381</v>
      </c>
      <c r="AB2746" t="str">
        <f>HYPERLINK("Melting_Curves/meltCurve_P46778_RPL21.pdf", "Melting_Curves/meltCurve_P46778_RPL21.pdf")</f>
        <v>Melting_Curves/meltCurve_P46778_RPL21.pdf</v>
      </c>
    </row>
    <row r="2747" spans="1:28" x14ac:dyDescent="0.25">
      <c r="A2747" t="s">
        <v>2751</v>
      </c>
      <c r="B2747">
        <v>0.99999676499088797</v>
      </c>
      <c r="C2747">
        <v>1.0186132878071401</v>
      </c>
      <c r="D2747">
        <v>1.0941234395583499</v>
      </c>
      <c r="E2747">
        <v>1.14908510982208</v>
      </c>
      <c r="F2747">
        <v>0.763938528785023</v>
      </c>
      <c r="G2747">
        <v>0.57192796970285398</v>
      </c>
      <c r="H2747">
        <v>0.18344657699521599</v>
      </c>
      <c r="I2747">
        <v>0.10740472793802</v>
      </c>
      <c r="J2747">
        <v>8.5260417923319495E-2</v>
      </c>
      <c r="K2747">
        <v>8.4392076962738302E-2</v>
      </c>
      <c r="L2747">
        <v>1472.66220009931</v>
      </c>
      <c r="M2747">
        <v>25.9542889082283</v>
      </c>
      <c r="N2747">
        <v>57.054911130852901</v>
      </c>
      <c r="O2747">
        <v>56.406980597049198</v>
      </c>
      <c r="P2747">
        <v>-0.107370088411589</v>
      </c>
      <c r="Q2747">
        <v>6.6612484703744701E-2</v>
      </c>
      <c r="R2747">
        <v>0.97272866672906699</v>
      </c>
      <c r="S2747" t="s">
        <v>9750</v>
      </c>
      <c r="T2747" t="s">
        <v>14004</v>
      </c>
      <c r="U2747" t="s">
        <v>14004</v>
      </c>
      <c r="V2747" t="s">
        <v>14004</v>
      </c>
      <c r="W2747" t="s">
        <v>16712</v>
      </c>
      <c r="X2747">
        <v>11</v>
      </c>
      <c r="Y2747" t="s">
        <v>23591</v>
      </c>
      <c r="Z2747" t="s">
        <v>30457</v>
      </c>
      <c r="AA2747">
        <v>0.59542936307362604</v>
      </c>
      <c r="AB2747" t="str">
        <f>HYPERLINK("Melting_Curves/meltCurve_P46779_RPL28.pdf", "Melting_Curves/meltCurve_P46779_RPL28.pdf")</f>
        <v>Melting_Curves/meltCurve_P46779_RPL28.pdf</v>
      </c>
    </row>
    <row r="2748" spans="1:28" x14ac:dyDescent="0.25">
      <c r="A2748" t="s">
        <v>2752</v>
      </c>
      <c r="B2748">
        <v>0.99999676499088797</v>
      </c>
      <c r="C2748">
        <v>1.19677119634871</v>
      </c>
      <c r="D2748">
        <v>1.0868087288592201</v>
      </c>
      <c r="E2748">
        <v>1.1462929779898301</v>
      </c>
      <c r="F2748">
        <v>0.83727711455287401</v>
      </c>
      <c r="G2748">
        <v>0.466898336061289</v>
      </c>
      <c r="H2748">
        <v>0.147830524450655</v>
      </c>
      <c r="I2748">
        <v>0.13069157905439699</v>
      </c>
      <c r="J2748">
        <v>0.10332020593661</v>
      </c>
      <c r="K2748">
        <v>8.2380483303636898E-2</v>
      </c>
      <c r="L2748">
        <v>1887.9683376248199</v>
      </c>
      <c r="M2748">
        <v>33.661817781356703</v>
      </c>
      <c r="N2748">
        <v>56.448556017742</v>
      </c>
      <c r="O2748">
        <v>55.889513467246097</v>
      </c>
      <c r="P2748">
        <v>-0.13594777423172899</v>
      </c>
      <c r="Q2748">
        <v>9.71344870828319E-2</v>
      </c>
      <c r="R2748">
        <v>0.96437809412569298</v>
      </c>
      <c r="S2748" t="s">
        <v>9751</v>
      </c>
      <c r="T2748" t="s">
        <v>14004</v>
      </c>
      <c r="U2748" t="s">
        <v>14004</v>
      </c>
      <c r="V2748" t="s">
        <v>14004</v>
      </c>
      <c r="W2748" t="s">
        <v>16713</v>
      </c>
      <c r="X2748">
        <v>19</v>
      </c>
      <c r="Y2748" t="s">
        <v>23592</v>
      </c>
      <c r="Z2748" t="s">
        <v>30458</v>
      </c>
      <c r="AA2748">
        <v>0.5861185348325727</v>
      </c>
      <c r="AB2748" t="str">
        <f>HYPERLINK("Melting_Curves/meltCurve_P46781_RPS9.pdf", "Melting_Curves/meltCurve_P46781_RPS9.pdf")</f>
        <v>Melting_Curves/meltCurve_P46781_RPS9.pdf</v>
      </c>
    </row>
    <row r="2749" spans="1:28" x14ac:dyDescent="0.25">
      <c r="A2749" t="s">
        <v>2753</v>
      </c>
      <c r="B2749">
        <v>0.99999676499088797</v>
      </c>
      <c r="C2749">
        <v>1.32575383684401</v>
      </c>
      <c r="D2749">
        <v>1.0361498584376301</v>
      </c>
      <c r="E2749">
        <v>0.57790294655139496</v>
      </c>
      <c r="F2749">
        <v>0.351452686781562</v>
      </c>
      <c r="G2749">
        <v>0.219024074476946</v>
      </c>
      <c r="H2749">
        <v>7.1416379236485E-2</v>
      </c>
      <c r="I2749">
        <v>6.9004761776424506E-2</v>
      </c>
      <c r="J2749">
        <v>6.5097436842262796E-2</v>
      </c>
      <c r="K2749">
        <v>5.7015375150316801E-2</v>
      </c>
      <c r="L2749">
        <v>1254.74375285678</v>
      </c>
      <c r="M2749">
        <v>24.688374806177599</v>
      </c>
      <c r="N2749">
        <v>51.181209156986299</v>
      </c>
      <c r="O2749">
        <v>50.493329161271198</v>
      </c>
      <c r="P2749">
        <v>-0.11254537732759</v>
      </c>
      <c r="Q2749">
        <v>7.9289590591445303E-2</v>
      </c>
      <c r="R2749">
        <v>0.93194363043280104</v>
      </c>
      <c r="S2749" t="s">
        <v>9752</v>
      </c>
      <c r="T2749" t="s">
        <v>14004</v>
      </c>
      <c r="U2749" t="s">
        <v>14004</v>
      </c>
      <c r="V2749" t="s">
        <v>14004</v>
      </c>
      <c r="W2749" t="s">
        <v>16714</v>
      </c>
      <c r="X2749">
        <v>21</v>
      </c>
      <c r="Y2749" t="s">
        <v>23593</v>
      </c>
      <c r="Z2749" t="s">
        <v>30459</v>
      </c>
      <c r="AA2749">
        <v>0.4199689360040158</v>
      </c>
      <c r="AB2749" t="str">
        <f>HYPERLINK("Melting_Curves/meltCurve_P46783_RPS10.pdf", "Melting_Curves/meltCurve_P46783_RPS10.pdf")</f>
        <v>Melting_Curves/meltCurve_P46783_RPS10.pdf</v>
      </c>
    </row>
    <row r="2750" spans="1:28" x14ac:dyDescent="0.25">
      <c r="A2750" t="s">
        <v>2754</v>
      </c>
      <c r="B2750">
        <v>0.99999676499088797</v>
      </c>
      <c r="C2750">
        <v>0.99936312875358602</v>
      </c>
      <c r="D2750">
        <v>0.98127731664990503</v>
      </c>
      <c r="E2750">
        <v>1.15148367458792</v>
      </c>
      <c r="F2750">
        <v>1.1678790646552</v>
      </c>
      <c r="G2750">
        <v>1.11084314369238</v>
      </c>
      <c r="H2750">
        <v>0.83815511114796204</v>
      </c>
      <c r="I2750">
        <v>0.74657262004728697</v>
      </c>
      <c r="J2750">
        <v>0.58058210905641405</v>
      </c>
      <c r="K2750">
        <v>0.43752032449769501</v>
      </c>
      <c r="L2750">
        <v>1669.8764178265201</v>
      </c>
      <c r="M2750">
        <v>25.737065794955299</v>
      </c>
      <c r="N2750">
        <v>68.437043059916704</v>
      </c>
      <c r="O2750">
        <v>64.494255552848102</v>
      </c>
      <c r="P2750">
        <v>-6.2985531008281803E-2</v>
      </c>
      <c r="Q2750">
        <v>0.36866831818185197</v>
      </c>
      <c r="R2750">
        <v>0.86605765107803101</v>
      </c>
      <c r="S2750" t="s">
        <v>9753</v>
      </c>
      <c r="T2750" t="s">
        <v>14004</v>
      </c>
      <c r="U2750" t="s">
        <v>14004</v>
      </c>
      <c r="V2750" t="s">
        <v>14004</v>
      </c>
      <c r="W2750" t="s">
        <v>16715</v>
      </c>
      <c r="X2750">
        <v>18</v>
      </c>
      <c r="Y2750" t="s">
        <v>23594</v>
      </c>
      <c r="Z2750" t="s">
        <v>30460</v>
      </c>
      <c r="AA2750">
        <v>0.88959368241574965</v>
      </c>
      <c r="AB2750" t="str">
        <f>HYPERLINK("Melting_Curves/meltCurve_P46926_GNPDA1.pdf", "Melting_Curves/meltCurve_P46926_GNPDA1.pdf")</f>
        <v>Melting_Curves/meltCurve_P46926_GNPDA1.pdf</v>
      </c>
    </row>
    <row r="2751" spans="1:28" x14ac:dyDescent="0.25">
      <c r="A2751" t="s">
        <v>2755</v>
      </c>
      <c r="B2751">
        <v>0.99999676499088797</v>
      </c>
      <c r="C2751">
        <v>0.94745513030471296</v>
      </c>
      <c r="D2751">
        <v>0.95131799082523805</v>
      </c>
      <c r="E2751">
        <v>0.62098187684317396</v>
      </c>
      <c r="F2751">
        <v>0.32710834441546099</v>
      </c>
      <c r="G2751">
        <v>0.25299765977899003</v>
      </c>
      <c r="H2751">
        <v>0.13944066961967599</v>
      </c>
      <c r="I2751">
        <v>0.15955527049502299</v>
      </c>
      <c r="J2751">
        <v>0.15233780753661699</v>
      </c>
      <c r="K2751">
        <v>0.152203314136865</v>
      </c>
      <c r="L2751">
        <v>1178.6031938384799</v>
      </c>
      <c r="M2751">
        <v>23.469939465957701</v>
      </c>
      <c r="N2751">
        <v>51.018407051896702</v>
      </c>
      <c r="O2751">
        <v>49.857253212096502</v>
      </c>
      <c r="P2751">
        <v>-9.9553975228753103E-2</v>
      </c>
      <c r="Q2751">
        <v>0.154083529089241</v>
      </c>
      <c r="R2751">
        <v>0.99490128547336099</v>
      </c>
      <c r="S2751" t="s">
        <v>9754</v>
      </c>
      <c r="T2751" t="s">
        <v>14004</v>
      </c>
      <c r="U2751" t="s">
        <v>14004</v>
      </c>
      <c r="V2751" t="s">
        <v>14004</v>
      </c>
      <c r="W2751" t="s">
        <v>16716</v>
      </c>
      <c r="X2751">
        <v>17</v>
      </c>
      <c r="Y2751" t="s">
        <v>23595</v>
      </c>
      <c r="Z2751" t="s">
        <v>30461</v>
      </c>
      <c r="AA2751">
        <v>0.45078542571855451</v>
      </c>
      <c r="AB2751" t="str">
        <f>HYPERLINK("Melting_Curves/meltCurve_P46934_4_NEDD4.pdf", "Melting_Curves/meltCurve_P46934_4_NEDD4.pdf")</f>
        <v>Melting_Curves/meltCurve_P46934_4_NEDD4.pdf</v>
      </c>
    </row>
    <row r="2752" spans="1:28" x14ac:dyDescent="0.25">
      <c r="A2752" t="s">
        <v>2756</v>
      </c>
      <c r="B2752">
        <v>0.99999676499088797</v>
      </c>
      <c r="C2752">
        <v>1.0416636054315001</v>
      </c>
      <c r="D2752">
        <v>0.63422905102638505</v>
      </c>
      <c r="E2752">
        <v>0.31263878796372002</v>
      </c>
      <c r="F2752">
        <v>0.21870882448019199</v>
      </c>
      <c r="G2752">
        <v>0.167963814223001</v>
      </c>
      <c r="H2752">
        <v>9.6415139350635004E-2</v>
      </c>
      <c r="I2752">
        <v>9.4244081241511901E-2</v>
      </c>
      <c r="J2752">
        <v>9.8060401225986304E-2</v>
      </c>
      <c r="K2752">
        <v>7.7650295618887796E-2</v>
      </c>
      <c r="L2752">
        <v>1208.96373915145</v>
      </c>
      <c r="M2752">
        <v>25.672117894233502</v>
      </c>
      <c r="N2752">
        <v>47.573648029721603</v>
      </c>
      <c r="O2752">
        <v>46.809504176060202</v>
      </c>
      <c r="P2752">
        <v>-0.12143397634120601</v>
      </c>
      <c r="Q2752">
        <v>0.114339117984632</v>
      </c>
      <c r="R2752">
        <v>0.98243101423806301</v>
      </c>
      <c r="S2752" t="s">
        <v>9755</v>
      </c>
      <c r="T2752" t="s">
        <v>14004</v>
      </c>
      <c r="U2752" t="s">
        <v>14004</v>
      </c>
      <c r="V2752" t="s">
        <v>14004</v>
      </c>
      <c r="W2752" t="s">
        <v>16717</v>
      </c>
      <c r="X2752">
        <v>9</v>
      </c>
      <c r="Y2752" t="s">
        <v>23596</v>
      </c>
      <c r="Z2752" t="s">
        <v>30462</v>
      </c>
      <c r="AA2752">
        <v>0.331170938503141</v>
      </c>
      <c r="AB2752" t="str">
        <f>HYPERLINK("Melting_Curves/meltCurve_P46939_UTRN.pdf", "Melting_Curves/meltCurve_P46939_UTRN.pdf")</f>
        <v>Melting_Curves/meltCurve_P46939_UTRN.pdf</v>
      </c>
    </row>
    <row r="2753" spans="1:28" x14ac:dyDescent="0.25">
      <c r="A2753" t="s">
        <v>2757</v>
      </c>
      <c r="B2753">
        <v>0.99999676499088797</v>
      </c>
      <c r="C2753">
        <v>1.0243060823280701</v>
      </c>
      <c r="D2753">
        <v>1.02954152897005</v>
      </c>
      <c r="E2753">
        <v>0.81665779467107003</v>
      </c>
      <c r="F2753">
        <v>0.23652687721378701</v>
      </c>
      <c r="G2753">
        <v>0.16549133541541</v>
      </c>
      <c r="H2753">
        <v>7.9064700125518098E-2</v>
      </c>
      <c r="I2753">
        <v>7.3065911962492694E-2</v>
      </c>
      <c r="J2753">
        <v>7.0703220439838094E-2</v>
      </c>
      <c r="K2753">
        <v>5.7052174998238302E-2</v>
      </c>
      <c r="L2753">
        <v>2125.4171474494801</v>
      </c>
      <c r="M2753">
        <v>41.474494381438397</v>
      </c>
      <c r="N2753">
        <v>51.473698442198298</v>
      </c>
      <c r="O2753">
        <v>51.127657754818102</v>
      </c>
      <c r="P2753">
        <v>-0.18582815202297601</v>
      </c>
      <c r="Q2753">
        <v>8.3683469091778998E-2</v>
      </c>
      <c r="R2753">
        <v>0.99581722270587403</v>
      </c>
      <c r="S2753" t="s">
        <v>9756</v>
      </c>
      <c r="T2753" t="s">
        <v>14004</v>
      </c>
      <c r="U2753" t="s">
        <v>14004</v>
      </c>
      <c r="V2753" t="s">
        <v>14004</v>
      </c>
      <c r="W2753" t="s">
        <v>16718</v>
      </c>
      <c r="X2753">
        <v>81</v>
      </c>
      <c r="Y2753" t="s">
        <v>23597</v>
      </c>
      <c r="Z2753" t="s">
        <v>30463</v>
      </c>
      <c r="AA2753">
        <v>0.43020842185511809</v>
      </c>
      <c r="AB2753" t="str">
        <f>HYPERLINK("Melting_Curves/meltCurve_P46940_IQGAP1.pdf", "Melting_Curves/meltCurve_P46940_IQGAP1.pdf")</f>
        <v>Melting_Curves/meltCurve_P46940_IQGAP1.pdf</v>
      </c>
    </row>
    <row r="2754" spans="1:28" x14ac:dyDescent="0.25">
      <c r="A2754" t="s">
        <v>2758</v>
      </c>
      <c r="B2754">
        <v>0.99999676499088797</v>
      </c>
      <c r="C2754">
        <v>1.22611314412581</v>
      </c>
      <c r="D2754">
        <v>1.28451638716537</v>
      </c>
      <c r="E2754">
        <v>1.66971832065548</v>
      </c>
      <c r="F2754">
        <v>1.2306383789433599</v>
      </c>
      <c r="G2754">
        <v>1.66167636794246</v>
      </c>
      <c r="H2754">
        <v>1.0062330309305001</v>
      </c>
      <c r="I2754">
        <v>1.33544386465251</v>
      </c>
      <c r="J2754">
        <v>1.2175127652409901</v>
      </c>
      <c r="K2754">
        <v>1.42368284753089</v>
      </c>
      <c r="L2754">
        <v>2017.80090219965</v>
      </c>
      <c r="M2754">
        <v>47.488950461040197</v>
      </c>
      <c r="O2754">
        <v>42.414761537038402</v>
      </c>
      <c r="P2754">
        <v>9.9534179948507495E-2</v>
      </c>
      <c r="Q2754">
        <v>1.3555954867539</v>
      </c>
      <c r="R2754">
        <v>0.24881847220179101</v>
      </c>
      <c r="S2754" t="s">
        <v>9757</v>
      </c>
      <c r="T2754" t="s">
        <v>14004</v>
      </c>
      <c r="U2754" t="s">
        <v>14004</v>
      </c>
      <c r="V2754" t="s">
        <v>14004</v>
      </c>
      <c r="W2754" t="s">
        <v>16719</v>
      </c>
      <c r="X2754">
        <v>5</v>
      </c>
      <c r="Y2754" t="s">
        <v>23598</v>
      </c>
      <c r="Z2754" t="s">
        <v>30464</v>
      </c>
      <c r="AA2754">
        <v>1.324884351700828</v>
      </c>
      <c r="AB2754" t="str">
        <f>HYPERLINK("Melting_Curves/meltCurve_P46976_2_GYG1.pdf", "Melting_Curves/meltCurve_P46976_2_GYG1.pdf")</f>
        <v>Melting_Curves/meltCurve_P46976_2_GYG1.pdf</v>
      </c>
    </row>
    <row r="2755" spans="1:28" x14ac:dyDescent="0.25">
      <c r="A2755" t="s">
        <v>2759</v>
      </c>
      <c r="B2755">
        <v>0.99999676499088797</v>
      </c>
      <c r="C2755">
        <v>1.0734153304821401</v>
      </c>
      <c r="D2755">
        <v>1.1800945748054099</v>
      </c>
      <c r="E2755">
        <v>1.35791189349814</v>
      </c>
      <c r="F2755">
        <v>0.523978417550794</v>
      </c>
      <c r="G2755">
        <v>0.33883714954654598</v>
      </c>
      <c r="H2755">
        <v>0.16219074433133299</v>
      </c>
      <c r="I2755">
        <v>0.14278722572851901</v>
      </c>
      <c r="J2755">
        <v>0.117955758634523</v>
      </c>
      <c r="K2755">
        <v>0.142197945603173</v>
      </c>
      <c r="L2755">
        <v>9296.8889058843597</v>
      </c>
      <c r="M2755">
        <v>175.08066799951101</v>
      </c>
      <c r="N2755">
        <v>53.237058167150103</v>
      </c>
      <c r="O2755">
        <v>53.093679291312</v>
      </c>
      <c r="P2755">
        <v>-0.67535243545158496</v>
      </c>
      <c r="Q2755">
        <v>0.18079037280292001</v>
      </c>
      <c r="R2755">
        <v>0.91041121597197605</v>
      </c>
      <c r="S2755" t="s">
        <v>9758</v>
      </c>
      <c r="T2755" t="s">
        <v>14004</v>
      </c>
      <c r="U2755" t="s">
        <v>14004</v>
      </c>
      <c r="V2755" t="s">
        <v>14004</v>
      </c>
      <c r="W2755" t="s">
        <v>16720</v>
      </c>
      <c r="X2755">
        <v>17</v>
      </c>
      <c r="Y2755" t="s">
        <v>23599</v>
      </c>
      <c r="Z2755" t="s">
        <v>30465</v>
      </c>
      <c r="AA2755">
        <v>0.53868404829845085</v>
      </c>
      <c r="AB2755" t="str">
        <f>HYPERLINK("Melting_Curves/meltCurve_P46977_STT3A.pdf", "Melting_Curves/meltCurve_P46977_STT3A.pdf")</f>
        <v>Melting_Curves/meltCurve_P46977_STT3A.pdf</v>
      </c>
    </row>
    <row r="2756" spans="1:28" x14ac:dyDescent="0.25">
      <c r="A2756" t="s">
        <v>2760</v>
      </c>
      <c r="B2756">
        <v>0.99999676499088797</v>
      </c>
      <c r="C2756">
        <v>0.98645885148935597</v>
      </c>
      <c r="D2756">
        <v>0.884114321070259</v>
      </c>
      <c r="E2756">
        <v>0.70901684128356901</v>
      </c>
      <c r="F2756">
        <v>0.52782030227833199</v>
      </c>
      <c r="G2756">
        <v>0.32719207617726198</v>
      </c>
      <c r="H2756">
        <v>0.16635294518111199</v>
      </c>
      <c r="I2756">
        <v>0.15637443154536601</v>
      </c>
      <c r="J2756">
        <v>0.17126185784924</v>
      </c>
      <c r="K2756">
        <v>0.15164265997044399</v>
      </c>
      <c r="L2756">
        <v>790.928209794944</v>
      </c>
      <c r="M2756">
        <v>15.1452260232327</v>
      </c>
      <c r="N2756">
        <v>53.172715836297897</v>
      </c>
      <c r="O2756">
        <v>51.337863768475302</v>
      </c>
      <c r="P2756">
        <v>-6.5018572401254096E-2</v>
      </c>
      <c r="Q2756">
        <v>0.118510384104099</v>
      </c>
      <c r="R2756">
        <v>0.995839441591443</v>
      </c>
      <c r="S2756" t="s">
        <v>9759</v>
      </c>
      <c r="T2756" t="s">
        <v>14004</v>
      </c>
      <c r="U2756" t="s">
        <v>14004</v>
      </c>
      <c r="V2756" t="s">
        <v>14004</v>
      </c>
      <c r="W2756" t="s">
        <v>16721</v>
      </c>
      <c r="X2756">
        <v>4</v>
      </c>
      <c r="Y2756" t="s">
        <v>23600</v>
      </c>
      <c r="Z2756" t="s">
        <v>30466</v>
      </c>
      <c r="AA2756">
        <v>0.49692721072258478</v>
      </c>
      <c r="AB2756" t="str">
        <f>HYPERLINK("Melting_Curves/meltCurve_P47224_RABIF.pdf", "Melting_Curves/meltCurve_P47224_RABIF.pdf")</f>
        <v>Melting_Curves/meltCurve_P47224_RABIF.pdf</v>
      </c>
    </row>
    <row r="2757" spans="1:28" x14ac:dyDescent="0.25">
      <c r="A2757" t="s">
        <v>2761</v>
      </c>
      <c r="B2757">
        <v>0.99999676499088797</v>
      </c>
      <c r="C2757">
        <v>0.99700100170671302</v>
      </c>
      <c r="D2757">
        <v>1.0143019411245899</v>
      </c>
      <c r="E2757">
        <v>0.92641169683674696</v>
      </c>
      <c r="F2757">
        <v>0.753079545770725</v>
      </c>
      <c r="G2757">
        <v>0.415875062473403</v>
      </c>
      <c r="H2757">
        <v>0.18392146321333799</v>
      </c>
      <c r="I2757">
        <v>0.12890014845731501</v>
      </c>
      <c r="J2757">
        <v>0.12294631813785099</v>
      </c>
      <c r="K2757">
        <v>0.106466461301196</v>
      </c>
      <c r="L2757">
        <v>1322.6354163993899</v>
      </c>
      <c r="M2757">
        <v>23.9173368824524</v>
      </c>
      <c r="N2757">
        <v>55.8216434326851</v>
      </c>
      <c r="O2757">
        <v>54.918026409986801</v>
      </c>
      <c r="P2757">
        <v>-9.7980851180372794E-2</v>
      </c>
      <c r="Q2757">
        <v>0.10009549199333601</v>
      </c>
      <c r="R2757">
        <v>0.99928796496199801</v>
      </c>
      <c r="S2757" t="s">
        <v>9760</v>
      </c>
      <c r="T2757" t="s">
        <v>14004</v>
      </c>
      <c r="U2757" t="s">
        <v>14004</v>
      </c>
      <c r="V2757" t="s">
        <v>14004</v>
      </c>
      <c r="W2757" t="s">
        <v>16722</v>
      </c>
      <c r="X2757">
        <v>17</v>
      </c>
      <c r="Y2757" t="s">
        <v>23601</v>
      </c>
      <c r="Z2757" t="s">
        <v>30467</v>
      </c>
      <c r="AA2757">
        <v>0.56802048644294623</v>
      </c>
      <c r="AB2757" t="str">
        <f>HYPERLINK("Melting_Curves/meltCurve_P47755_CAPZA2.pdf", "Melting_Curves/meltCurve_P47755_CAPZA2.pdf")</f>
        <v>Melting_Curves/meltCurve_P47755_CAPZA2.pdf</v>
      </c>
    </row>
    <row r="2758" spans="1:28" x14ac:dyDescent="0.25">
      <c r="A2758" t="s">
        <v>2762</v>
      </c>
      <c r="B2758">
        <v>0.99999676499088797</v>
      </c>
      <c r="C2758">
        <v>0.97209360458004901</v>
      </c>
      <c r="D2758">
        <v>1.0149331678568501</v>
      </c>
      <c r="E2758">
        <v>0.88569098867017104</v>
      </c>
      <c r="F2758">
        <v>0.66421762601016399</v>
      </c>
      <c r="G2758">
        <v>0.39846288692550302</v>
      </c>
      <c r="H2758">
        <v>0.18417026822082</v>
      </c>
      <c r="I2758">
        <v>0.15010359266731799</v>
      </c>
      <c r="J2758">
        <v>0.126062940884557</v>
      </c>
      <c r="K2758">
        <v>0.12528623097814701</v>
      </c>
      <c r="L2758">
        <v>1118.28802500201</v>
      </c>
      <c r="M2758">
        <v>20.495683584981499</v>
      </c>
      <c r="N2758">
        <v>55.212862904387002</v>
      </c>
      <c r="O2758">
        <v>54.050674001236402</v>
      </c>
      <c r="P2758">
        <v>-8.4628928444051996E-2</v>
      </c>
      <c r="Q2758">
        <v>0.107301727597862</v>
      </c>
      <c r="R2758">
        <v>0.99808713895653201</v>
      </c>
      <c r="S2758" t="s">
        <v>9761</v>
      </c>
      <c r="T2758" t="s">
        <v>14004</v>
      </c>
      <c r="U2758" t="s">
        <v>14004</v>
      </c>
      <c r="V2758" t="s">
        <v>14004</v>
      </c>
      <c r="W2758" t="s">
        <v>16723</v>
      </c>
      <c r="X2758">
        <v>24</v>
      </c>
      <c r="Y2758" t="s">
        <v>23602</v>
      </c>
      <c r="Z2758" t="s">
        <v>30468</v>
      </c>
      <c r="AA2758">
        <v>0.55217893425407494</v>
      </c>
      <c r="AB2758" t="str">
        <f>HYPERLINK("Melting_Curves/meltCurve_P47756_2_CAPZB.pdf", "Melting_Curves/meltCurve_P47756_2_CAPZB.pdf")</f>
        <v>Melting_Curves/meltCurve_P47756_2_CAPZB.pdf</v>
      </c>
    </row>
    <row r="2759" spans="1:28" x14ac:dyDescent="0.25">
      <c r="A2759" t="s">
        <v>2763</v>
      </c>
      <c r="B2759">
        <v>0.99999676499088797</v>
      </c>
      <c r="C2759">
        <v>0.98745216489207099</v>
      </c>
      <c r="D2759">
        <v>1.0825458994735899</v>
      </c>
      <c r="E2759">
        <v>1.14554376682291</v>
      </c>
      <c r="F2759">
        <v>0.969568536131866</v>
      </c>
      <c r="G2759">
        <v>0.62409684520718101</v>
      </c>
      <c r="H2759">
        <v>0.31757637741761802</v>
      </c>
      <c r="I2759">
        <v>0.235148046364339</v>
      </c>
      <c r="J2759">
        <v>0.203966361184269</v>
      </c>
      <c r="K2759">
        <v>0.22158190799612501</v>
      </c>
      <c r="L2759">
        <v>2173.5030195548502</v>
      </c>
      <c r="M2759">
        <v>38.122740586890103</v>
      </c>
      <c r="N2759">
        <v>57.906493601633301</v>
      </c>
      <c r="O2759">
        <v>56.857105723667097</v>
      </c>
      <c r="P2759">
        <v>-0.130363173679692</v>
      </c>
      <c r="Q2759">
        <v>0.22229593238255099</v>
      </c>
      <c r="R2759">
        <v>0.97849410844656204</v>
      </c>
      <c r="S2759" t="s">
        <v>9762</v>
      </c>
      <c r="T2759" t="s">
        <v>14004</v>
      </c>
      <c r="U2759" t="s">
        <v>14004</v>
      </c>
      <c r="V2759" t="s">
        <v>14004</v>
      </c>
      <c r="W2759" t="s">
        <v>16724</v>
      </c>
      <c r="X2759">
        <v>12</v>
      </c>
      <c r="Y2759" t="s">
        <v>23603</v>
      </c>
      <c r="Z2759" t="s">
        <v>30469</v>
      </c>
      <c r="AA2759">
        <v>0.66666461384505982</v>
      </c>
      <c r="AB2759" t="str">
        <f>HYPERLINK("Melting_Curves/meltCurve_P47813_EIF1AX.pdf", "Melting_Curves/meltCurve_P47813_EIF1AX.pdf")</f>
        <v>Melting_Curves/meltCurve_P47813_EIF1AX.pdf</v>
      </c>
    </row>
    <row r="2760" spans="1:28" x14ac:dyDescent="0.25">
      <c r="A2760" t="s">
        <v>2764</v>
      </c>
      <c r="B2760">
        <v>0.99999676499088797</v>
      </c>
      <c r="C2760">
        <v>1.02750480251243</v>
      </c>
      <c r="D2760">
        <v>0.73437710201801099</v>
      </c>
      <c r="E2760">
        <v>0.24295382283399</v>
      </c>
      <c r="F2760">
        <v>0.20109853393411001</v>
      </c>
      <c r="G2760">
        <v>0.12876982773280099</v>
      </c>
      <c r="H2760">
        <v>6.9973745651374306E-2</v>
      </c>
      <c r="I2760">
        <v>6.2733358964883898E-2</v>
      </c>
      <c r="J2760">
        <v>5.1050103367004399E-2</v>
      </c>
      <c r="K2760">
        <v>4.3631685763894403E-2</v>
      </c>
      <c r="L2760">
        <v>1487.17705195134</v>
      </c>
      <c r="M2760">
        <v>31.389569378796999</v>
      </c>
      <c r="N2760">
        <v>47.656285981049102</v>
      </c>
      <c r="O2760">
        <v>47.187021246063601</v>
      </c>
      <c r="P2760">
        <v>-0.15238158653926501</v>
      </c>
      <c r="Q2760">
        <v>8.3721936135453603E-2</v>
      </c>
      <c r="R2760">
        <v>0.98827990837548296</v>
      </c>
      <c r="S2760" t="s">
        <v>9763</v>
      </c>
      <c r="T2760" t="s">
        <v>14004</v>
      </c>
      <c r="U2760" t="s">
        <v>14004</v>
      </c>
      <c r="V2760" t="s">
        <v>14004</v>
      </c>
      <c r="W2760" t="s">
        <v>16725</v>
      </c>
      <c r="X2760">
        <v>30</v>
      </c>
      <c r="Y2760" t="s">
        <v>23604</v>
      </c>
      <c r="Z2760" t="s">
        <v>30470</v>
      </c>
      <c r="AA2760">
        <v>0.31405981943825412</v>
      </c>
      <c r="AB2760" t="str">
        <f>HYPERLINK("Melting_Curves/meltCurve_P47897_QARS.pdf", "Melting_Curves/meltCurve_P47897_QARS.pdf")</f>
        <v>Melting_Curves/meltCurve_P47897_QARS.pdf</v>
      </c>
    </row>
    <row r="2761" spans="1:28" x14ac:dyDescent="0.25">
      <c r="A2761" t="s">
        <v>2765</v>
      </c>
      <c r="B2761">
        <v>0.99999676499088797</v>
      </c>
      <c r="C2761">
        <v>0.97205707328702595</v>
      </c>
      <c r="D2761">
        <v>0.95254981971082597</v>
      </c>
      <c r="E2761">
        <v>0.96503060056453605</v>
      </c>
      <c r="F2761">
        <v>0.60203656389007298</v>
      </c>
      <c r="G2761">
        <v>0.76473718427601101</v>
      </c>
      <c r="H2761">
        <v>0.38056184742578902</v>
      </c>
      <c r="I2761">
        <v>0.34273187463024701</v>
      </c>
      <c r="J2761">
        <v>0.225061732683001</v>
      </c>
      <c r="K2761">
        <v>0.19452988623237899</v>
      </c>
      <c r="L2761">
        <v>604.74098913272599</v>
      </c>
      <c r="M2761">
        <v>10.178905396849</v>
      </c>
      <c r="N2761">
        <v>59.472772914135497</v>
      </c>
      <c r="O2761">
        <v>57.254999159082303</v>
      </c>
      <c r="P2761">
        <v>-4.4232569158315103E-2</v>
      </c>
      <c r="Q2761">
        <v>5.2426481559816902E-3</v>
      </c>
      <c r="R2761">
        <v>0.93818128038689397</v>
      </c>
      <c r="S2761" t="s">
        <v>9764</v>
      </c>
      <c r="T2761" t="s">
        <v>14004</v>
      </c>
      <c r="U2761" t="s">
        <v>14004</v>
      </c>
      <c r="V2761" t="s">
        <v>14004</v>
      </c>
      <c r="W2761" t="s">
        <v>16726</v>
      </c>
      <c r="X2761">
        <v>4</v>
      </c>
      <c r="Y2761" t="s">
        <v>23605</v>
      </c>
      <c r="Z2761" t="s">
        <v>30471</v>
      </c>
      <c r="AA2761">
        <v>0.64992854732075245</v>
      </c>
      <c r="AB2761" t="str">
        <f>HYPERLINK("Melting_Curves/meltCurve_P47914_RPL29.pdf", "Melting_Curves/meltCurve_P47914_RPL29.pdf")</f>
        <v>Melting_Curves/meltCurve_P47914_RPL29.pdf</v>
      </c>
    </row>
    <row r="2762" spans="1:28" x14ac:dyDescent="0.25">
      <c r="A2762" t="s">
        <v>2766</v>
      </c>
      <c r="B2762">
        <v>0.99999676499088797</v>
      </c>
      <c r="C2762">
        <v>0.89090088330366402</v>
      </c>
      <c r="D2762">
        <v>0.56024768873659403</v>
      </c>
      <c r="E2762">
        <v>0.269993188185706</v>
      </c>
      <c r="F2762">
        <v>0.17431826701786601</v>
      </c>
      <c r="G2762">
        <v>0.144404416909648</v>
      </c>
      <c r="H2762">
        <v>6.7341753286669401E-2</v>
      </c>
      <c r="I2762">
        <v>9.0407260257947195E-2</v>
      </c>
      <c r="J2762">
        <v>8.87201011947827E-2</v>
      </c>
      <c r="K2762">
        <v>7.4273673121533407E-2</v>
      </c>
      <c r="L2762">
        <v>1019.0880142283399</v>
      </c>
      <c r="M2762">
        <v>21.9843871373761</v>
      </c>
      <c r="N2762">
        <v>46.792979326308803</v>
      </c>
      <c r="O2762">
        <v>45.976651716864502</v>
      </c>
      <c r="P2762">
        <v>-0.108429305988233</v>
      </c>
      <c r="Q2762">
        <v>9.2973749275360298E-2</v>
      </c>
      <c r="R2762">
        <v>0.99518862486893001</v>
      </c>
      <c r="S2762" t="s">
        <v>9765</v>
      </c>
      <c r="T2762" t="s">
        <v>14004</v>
      </c>
      <c r="U2762" t="s">
        <v>14004</v>
      </c>
      <c r="V2762" t="s">
        <v>14004</v>
      </c>
      <c r="W2762" t="s">
        <v>16727</v>
      </c>
      <c r="X2762">
        <v>4</v>
      </c>
      <c r="Y2762" t="s">
        <v>23606</v>
      </c>
      <c r="Z2762" t="s">
        <v>30472</v>
      </c>
      <c r="AA2762">
        <v>0.29616676189198021</v>
      </c>
      <c r="AB2762" t="str">
        <f>HYPERLINK("Melting_Curves/meltCurve_P47974_ZFP36L2.pdf", "Melting_Curves/meltCurve_P47974_ZFP36L2.pdf")</f>
        <v>Melting_Curves/meltCurve_P47974_ZFP36L2.pdf</v>
      </c>
    </row>
    <row r="2763" spans="1:28" x14ac:dyDescent="0.25">
      <c r="A2763" t="s">
        <v>2767</v>
      </c>
      <c r="B2763">
        <v>0.99999676499088797</v>
      </c>
      <c r="C2763">
        <v>0.97696454620556095</v>
      </c>
      <c r="D2763">
        <v>0.96504786912979801</v>
      </c>
      <c r="E2763">
        <v>0.88012399322468005</v>
      </c>
      <c r="F2763">
        <v>0.76763024536001401</v>
      </c>
      <c r="G2763">
        <v>0.66758636477011501</v>
      </c>
      <c r="H2763">
        <v>0.302616081883814</v>
      </c>
      <c r="I2763">
        <v>0.208987632439468</v>
      </c>
      <c r="J2763">
        <v>0.17570016823406701</v>
      </c>
      <c r="K2763">
        <v>0.15415357198724</v>
      </c>
      <c r="L2763">
        <v>861.31768046061495</v>
      </c>
      <c r="M2763">
        <v>14.9565607908664</v>
      </c>
      <c r="N2763">
        <v>58.147025227757403</v>
      </c>
      <c r="O2763">
        <v>56.587881042891802</v>
      </c>
      <c r="P2763">
        <v>-6.1657725429952702E-2</v>
      </c>
      <c r="Q2763">
        <v>6.6971720619568603E-2</v>
      </c>
      <c r="R2763">
        <v>0.98727651104082503</v>
      </c>
      <c r="S2763" t="s">
        <v>9766</v>
      </c>
      <c r="T2763" t="s">
        <v>14004</v>
      </c>
      <c r="U2763" t="s">
        <v>14004</v>
      </c>
      <c r="V2763" t="s">
        <v>14004</v>
      </c>
      <c r="W2763" t="s">
        <v>16728</v>
      </c>
      <c r="X2763">
        <v>12</v>
      </c>
      <c r="Y2763" t="s">
        <v>23607</v>
      </c>
      <c r="Z2763" t="s">
        <v>30473</v>
      </c>
      <c r="AA2763">
        <v>0.62749555110550959</v>
      </c>
      <c r="AB2763" t="str">
        <f>HYPERLINK("Melting_Curves/meltCurve_P47985_UQCRFS1.pdf", "Melting_Curves/meltCurve_P47985_UQCRFS1.pdf")</f>
        <v>Melting_Curves/meltCurve_P47985_UQCRFS1.pdf</v>
      </c>
    </row>
    <row r="2764" spans="1:28" x14ac:dyDescent="0.25">
      <c r="A2764" t="s">
        <v>2768</v>
      </c>
      <c r="B2764">
        <v>0.99999676499088797</v>
      </c>
      <c r="C2764">
        <v>0.99295652800730305</v>
      </c>
      <c r="D2764">
        <v>1.02995719143647</v>
      </c>
      <c r="E2764">
        <v>0.85350265669341396</v>
      </c>
      <c r="F2764">
        <v>0.763589864973654</v>
      </c>
      <c r="G2764">
        <v>0.59769660902245203</v>
      </c>
      <c r="H2764">
        <v>0.239044259540175</v>
      </c>
      <c r="I2764">
        <v>0.19318026894757701</v>
      </c>
      <c r="J2764">
        <v>8.5789284184374204E-2</v>
      </c>
      <c r="K2764">
        <v>9.8938886736057899E-2</v>
      </c>
      <c r="L2764">
        <v>897.77738786107102</v>
      </c>
      <c r="M2764">
        <v>15.6947235483137</v>
      </c>
      <c r="N2764">
        <v>57.352149494147</v>
      </c>
      <c r="O2764">
        <v>56.297981848392098</v>
      </c>
      <c r="P2764">
        <v>-6.8302374023582302E-2</v>
      </c>
      <c r="Q2764">
        <v>2.0062873998682999E-2</v>
      </c>
      <c r="R2764">
        <v>0.98892998339411797</v>
      </c>
      <c r="S2764" t="s">
        <v>9767</v>
      </c>
      <c r="T2764" t="s">
        <v>14004</v>
      </c>
      <c r="U2764" t="s">
        <v>14004</v>
      </c>
      <c r="V2764" t="s">
        <v>14004</v>
      </c>
      <c r="W2764" t="s">
        <v>16729</v>
      </c>
      <c r="X2764">
        <v>1</v>
      </c>
      <c r="Y2764" t="s">
        <v>23608</v>
      </c>
      <c r="Z2764" t="s">
        <v>30474</v>
      </c>
      <c r="AA2764">
        <v>0.59666639628168139</v>
      </c>
      <c r="AB2764" t="str">
        <f>HYPERLINK("Melting_Curves/meltCurve_P48029_3_SLC6A8.pdf", "Melting_Curves/meltCurve_P48029_3_SLC6A8.pdf")</f>
        <v>Melting_Curves/meltCurve_P48029_3_SLC6A8.pdf</v>
      </c>
    </row>
    <row r="2765" spans="1:28" x14ac:dyDescent="0.25">
      <c r="A2765" t="s">
        <v>2769</v>
      </c>
      <c r="B2765">
        <v>0.99999676499088797</v>
      </c>
      <c r="C2765">
        <v>0.96594016641215097</v>
      </c>
      <c r="D2765">
        <v>1.0206560151189801</v>
      </c>
      <c r="E2765">
        <v>0.97637157630824301</v>
      </c>
      <c r="F2765">
        <v>0.81875975088855402</v>
      </c>
      <c r="G2765">
        <v>0.87936076455821899</v>
      </c>
      <c r="H2765">
        <v>0.429861825143529</v>
      </c>
      <c r="I2765">
        <v>0.17196534808622199</v>
      </c>
      <c r="J2765">
        <v>0.103246232608542</v>
      </c>
      <c r="K2765">
        <v>7.8165424221490198E-2</v>
      </c>
      <c r="L2765">
        <v>1595.88775524317</v>
      </c>
      <c r="M2765">
        <v>26.619593799233002</v>
      </c>
      <c r="N2765">
        <v>60.166538736541199</v>
      </c>
      <c r="O2765">
        <v>59.616347632796398</v>
      </c>
      <c r="P2765">
        <v>-0.106567212833935</v>
      </c>
      <c r="Q2765">
        <v>4.5352611562429403E-2</v>
      </c>
      <c r="R2765">
        <v>0.98042857197322397</v>
      </c>
      <c r="S2765" t="s">
        <v>9768</v>
      </c>
      <c r="T2765" t="s">
        <v>14004</v>
      </c>
      <c r="U2765" t="s">
        <v>14004</v>
      </c>
      <c r="V2765" t="s">
        <v>14004</v>
      </c>
      <c r="W2765" t="s">
        <v>16730</v>
      </c>
      <c r="X2765">
        <v>16</v>
      </c>
      <c r="Y2765" t="s">
        <v>23609</v>
      </c>
      <c r="Z2765" t="s">
        <v>30475</v>
      </c>
      <c r="AA2765">
        <v>0.68694919233152762</v>
      </c>
      <c r="AB2765" t="str">
        <f>HYPERLINK("Melting_Curves/meltCurve_P48047_ATP5O.pdf", "Melting_Curves/meltCurve_P48047_ATP5O.pdf")</f>
        <v>Melting_Curves/meltCurve_P48047_ATP5O.pdf</v>
      </c>
    </row>
    <row r="2766" spans="1:28" x14ac:dyDescent="0.25">
      <c r="A2766" t="s">
        <v>2770</v>
      </c>
      <c r="B2766">
        <v>0.99999676499088797</v>
      </c>
      <c r="C2766">
        <v>1.1100116420139901</v>
      </c>
      <c r="D2766">
        <v>0.96959915949046704</v>
      </c>
      <c r="E2766">
        <v>0.79640299968770201</v>
      </c>
      <c r="F2766">
        <v>0.70371661435649802</v>
      </c>
      <c r="G2766">
        <v>0.50269942790030497</v>
      </c>
      <c r="H2766">
        <v>0.17684204186083499</v>
      </c>
      <c r="I2766">
        <v>0.190999058148838</v>
      </c>
      <c r="J2766">
        <v>0.215817264616398</v>
      </c>
      <c r="K2766">
        <v>0.22972548125412801</v>
      </c>
      <c r="L2766">
        <v>973.600029152719</v>
      </c>
      <c r="M2766">
        <v>17.858192792586799</v>
      </c>
      <c r="N2766">
        <v>55.764160625705202</v>
      </c>
      <c r="O2766">
        <v>53.848531895308803</v>
      </c>
      <c r="P2766">
        <v>-6.9275291779348602E-2</v>
      </c>
      <c r="Q2766">
        <v>0.16448777871605599</v>
      </c>
      <c r="R2766">
        <v>0.96826722986299696</v>
      </c>
      <c r="S2766" t="s">
        <v>9769</v>
      </c>
      <c r="T2766" t="s">
        <v>14004</v>
      </c>
      <c r="U2766" t="s">
        <v>14004</v>
      </c>
      <c r="V2766" t="s">
        <v>14004</v>
      </c>
      <c r="W2766" t="s">
        <v>16731</v>
      </c>
      <c r="X2766">
        <v>13</v>
      </c>
      <c r="Y2766" t="s">
        <v>23610</v>
      </c>
      <c r="Z2766" t="s">
        <v>30476</v>
      </c>
      <c r="AA2766">
        <v>0.58213629431405556</v>
      </c>
      <c r="AB2766" t="str">
        <f>HYPERLINK("Melting_Curves/meltCurve_P48059_5_LIMS1.pdf", "Melting_Curves/meltCurve_P48059_5_LIMS1.pdf")</f>
        <v>Melting_Curves/meltCurve_P48059_5_LIMS1.pdf</v>
      </c>
    </row>
    <row r="2767" spans="1:28" x14ac:dyDescent="0.25">
      <c r="A2767" t="s">
        <v>2771</v>
      </c>
      <c r="B2767">
        <v>0.99999676499088797</v>
      </c>
      <c r="C2767">
        <v>0.94364698924518797</v>
      </c>
      <c r="D2767">
        <v>0.532452751871071</v>
      </c>
      <c r="E2767">
        <v>0.24320719095582399</v>
      </c>
      <c r="F2767">
        <v>0.16832429094565601</v>
      </c>
      <c r="G2767">
        <v>0.105718587519739</v>
      </c>
      <c r="H2767">
        <v>4.86883954021399E-2</v>
      </c>
      <c r="I2767">
        <v>4.3042533757611801E-2</v>
      </c>
      <c r="J2767">
        <v>4.6193792485308201E-2</v>
      </c>
      <c r="K2767">
        <v>3.6838569117830698E-2</v>
      </c>
      <c r="L2767">
        <v>1104.8692355329099</v>
      </c>
      <c r="M2767">
        <v>23.8092081669881</v>
      </c>
      <c r="N2767">
        <v>46.672786031968897</v>
      </c>
      <c r="O2767">
        <v>46.081461618381702</v>
      </c>
      <c r="P2767">
        <v>-0.12092817581299201</v>
      </c>
      <c r="Q2767">
        <v>6.3814597312527296E-2</v>
      </c>
      <c r="R2767">
        <v>0.98962795509623602</v>
      </c>
      <c r="S2767" t="s">
        <v>9770</v>
      </c>
      <c r="T2767" t="s">
        <v>14004</v>
      </c>
      <c r="U2767" t="s">
        <v>14004</v>
      </c>
      <c r="V2767" t="s">
        <v>14004</v>
      </c>
      <c r="W2767" t="s">
        <v>16732</v>
      </c>
      <c r="X2767">
        <v>40</v>
      </c>
      <c r="Y2767" t="s">
        <v>21860</v>
      </c>
      <c r="Z2767" t="s">
        <v>30477</v>
      </c>
      <c r="AA2767">
        <v>0.27318566101639358</v>
      </c>
      <c r="AB2767" t="str">
        <f>HYPERLINK("Melting_Curves/meltCurve_P48147_PREP.pdf", "Melting_Curves/meltCurve_P48147_PREP.pdf")</f>
        <v>Melting_Curves/meltCurve_P48147_PREP.pdf</v>
      </c>
    </row>
    <row r="2768" spans="1:28" x14ac:dyDescent="0.25">
      <c r="A2768" t="s">
        <v>2772</v>
      </c>
      <c r="B2768">
        <v>0.99999676499088797</v>
      </c>
      <c r="C2768">
        <v>1.1087395501620201</v>
      </c>
      <c r="D2768">
        <v>1.0372803761702201</v>
      </c>
      <c r="E2768">
        <v>0.59547996162988304</v>
      </c>
      <c r="F2768">
        <v>0.281951892379873</v>
      </c>
      <c r="G2768">
        <v>0.230048815672803</v>
      </c>
      <c r="H2768">
        <v>0.108136255354861</v>
      </c>
      <c r="I2768">
        <v>0.121558184927532</v>
      </c>
      <c r="J2768">
        <v>0.11059831196633101</v>
      </c>
      <c r="K2768">
        <v>9.2214997106469299E-2</v>
      </c>
      <c r="L2768">
        <v>1561.41816765102</v>
      </c>
      <c r="M2768">
        <v>31.135771180538999</v>
      </c>
      <c r="N2768">
        <v>50.633801945456597</v>
      </c>
      <c r="O2768">
        <v>49.943173366078597</v>
      </c>
      <c r="P2768">
        <v>-0.13575716745403299</v>
      </c>
      <c r="Q2768">
        <v>0.12896237258719601</v>
      </c>
      <c r="R2768">
        <v>0.98075708132533101</v>
      </c>
      <c r="S2768" t="s">
        <v>9771</v>
      </c>
      <c r="T2768" t="s">
        <v>14004</v>
      </c>
      <c r="U2768" t="s">
        <v>14004</v>
      </c>
      <c r="V2768" t="s">
        <v>14004</v>
      </c>
      <c r="W2768" t="s">
        <v>16733</v>
      </c>
      <c r="X2768">
        <v>11</v>
      </c>
      <c r="Y2768" t="s">
        <v>23611</v>
      </c>
      <c r="Z2768" t="s">
        <v>30478</v>
      </c>
      <c r="AA2768">
        <v>0.42863527822672592</v>
      </c>
      <c r="AB2768" t="str">
        <f>HYPERLINK("Melting_Curves/meltCurve_P48200_IREB2.pdf", "Melting_Curves/meltCurve_P48200_IREB2.pdf")</f>
        <v>Melting_Curves/meltCurve_P48200_IREB2.pdf</v>
      </c>
    </row>
    <row r="2769" spans="1:28" x14ac:dyDescent="0.25">
      <c r="A2769" t="s">
        <v>2773</v>
      </c>
      <c r="B2769">
        <v>0.99999676499088797</v>
      </c>
      <c r="C2769">
        <v>0.79609474766420496</v>
      </c>
      <c r="D2769">
        <v>0.65500260886380901</v>
      </c>
      <c r="E2769">
        <v>0.34702332149802001</v>
      </c>
      <c r="F2769">
        <v>0.22946140662314499</v>
      </c>
      <c r="G2769">
        <v>0.16395336308918601</v>
      </c>
      <c r="H2769">
        <v>7.35260386869626E-2</v>
      </c>
      <c r="I2769">
        <v>7.2871453265494407E-2</v>
      </c>
      <c r="J2769">
        <v>6.5291765969687193E-2</v>
      </c>
      <c r="K2769">
        <v>6.7716903434873105E-2</v>
      </c>
      <c r="L2769">
        <v>709.264565563156</v>
      </c>
      <c r="M2769">
        <v>14.9768170833604</v>
      </c>
      <c r="N2769">
        <v>47.764551424352902</v>
      </c>
      <c r="O2769">
        <v>46.537262055561499</v>
      </c>
      <c r="P2769">
        <v>-7.5643451940872006E-2</v>
      </c>
      <c r="Q2769">
        <v>5.9912309794042801E-2</v>
      </c>
      <c r="R2769">
        <v>0.99262233112228804</v>
      </c>
      <c r="S2769" t="s">
        <v>9772</v>
      </c>
      <c r="T2769" t="s">
        <v>14004</v>
      </c>
      <c r="U2769" t="s">
        <v>14004</v>
      </c>
      <c r="V2769" t="s">
        <v>14004</v>
      </c>
      <c r="W2769" t="s">
        <v>16734</v>
      </c>
      <c r="X2769">
        <v>2</v>
      </c>
      <c r="Y2769" t="s">
        <v>23612</v>
      </c>
      <c r="Z2769" t="s">
        <v>30479</v>
      </c>
      <c r="AA2769">
        <v>0.31555356142165042</v>
      </c>
      <c r="AB2769" t="str">
        <f>HYPERLINK("Melting_Curves/meltCurve_P48380_3_RFX3.pdf", "Melting_Curves/meltCurve_P48380_3_RFX3.pdf")</f>
        <v>Melting_Curves/meltCurve_P48380_3_RFX3.pdf</v>
      </c>
    </row>
    <row r="2770" spans="1:28" x14ac:dyDescent="0.25">
      <c r="A2770" t="s">
        <v>2774</v>
      </c>
      <c r="B2770">
        <v>0.99999676499088797</v>
      </c>
      <c r="C2770">
        <v>1.00490483110163</v>
      </c>
      <c r="D2770">
        <v>1.0079690043485701</v>
      </c>
      <c r="E2770">
        <v>0.99118953035646595</v>
      </c>
      <c r="F2770">
        <v>0.66997641976807698</v>
      </c>
      <c r="G2770">
        <v>0.27742430434968701</v>
      </c>
      <c r="H2770">
        <v>0.111104032623561</v>
      </c>
      <c r="I2770">
        <v>0.106678379400502</v>
      </c>
      <c r="J2770">
        <v>8.74544410650656E-2</v>
      </c>
      <c r="K2770">
        <v>7.0673805030305098E-2</v>
      </c>
      <c r="L2770">
        <v>1722.89279226603</v>
      </c>
      <c r="M2770">
        <v>31.739861043016699</v>
      </c>
      <c r="N2770">
        <v>54.604653760233099</v>
      </c>
      <c r="O2770">
        <v>54.067563841889303</v>
      </c>
      <c r="P2770">
        <v>-0.13420050751478299</v>
      </c>
      <c r="Q2770">
        <v>8.5584343815512304E-2</v>
      </c>
      <c r="R2770">
        <v>0.99873899488592699</v>
      </c>
      <c r="S2770" t="s">
        <v>9773</v>
      </c>
      <c r="T2770" t="s">
        <v>14004</v>
      </c>
      <c r="U2770" t="s">
        <v>14004</v>
      </c>
      <c r="V2770" t="s">
        <v>14004</v>
      </c>
      <c r="W2770" t="s">
        <v>16735</v>
      </c>
      <c r="X2770">
        <v>34</v>
      </c>
      <c r="Y2770" t="s">
        <v>23613</v>
      </c>
      <c r="Z2770" t="s">
        <v>30480</v>
      </c>
      <c r="AA2770">
        <v>0.52630113305017201</v>
      </c>
      <c r="AB2770" t="str">
        <f>HYPERLINK("Melting_Curves/meltCurve_P48444_ARCN1.pdf", "Melting_Curves/meltCurve_P48444_ARCN1.pdf")</f>
        <v>Melting_Curves/meltCurve_P48444_ARCN1.pdf</v>
      </c>
    </row>
    <row r="2771" spans="1:28" x14ac:dyDescent="0.25">
      <c r="A2771" t="s">
        <v>2775</v>
      </c>
      <c r="B2771">
        <v>0.99999676499088797</v>
      </c>
      <c r="C2771">
        <v>1.02453656595403</v>
      </c>
      <c r="D2771">
        <v>1.02839138747709</v>
      </c>
      <c r="E2771">
        <v>1.12061446326487</v>
      </c>
      <c r="F2771">
        <v>0.83950363837961695</v>
      </c>
      <c r="G2771">
        <v>0.340701911622589</v>
      </c>
      <c r="H2771">
        <v>0.123810644260741</v>
      </c>
      <c r="I2771">
        <v>0.10037909809724201</v>
      </c>
      <c r="J2771">
        <v>9.64168583322738E-2</v>
      </c>
      <c r="K2771">
        <v>8.1716819953595393E-2</v>
      </c>
      <c r="L2771">
        <v>2248.1790480385498</v>
      </c>
      <c r="M2771">
        <v>40.590587924577797</v>
      </c>
      <c r="N2771">
        <v>55.672042190724099</v>
      </c>
      <c r="O2771">
        <v>55.252800969096199</v>
      </c>
      <c r="P2771">
        <v>-0.166411195479269</v>
      </c>
      <c r="Q2771">
        <v>9.3911748074106197E-2</v>
      </c>
      <c r="R2771">
        <v>0.99035639041129997</v>
      </c>
      <c r="S2771" t="s">
        <v>9774</v>
      </c>
      <c r="T2771" t="s">
        <v>14004</v>
      </c>
      <c r="U2771" t="s">
        <v>14004</v>
      </c>
      <c r="V2771" t="s">
        <v>14004</v>
      </c>
      <c r="W2771" t="s">
        <v>16736</v>
      </c>
      <c r="X2771">
        <v>32</v>
      </c>
      <c r="Y2771" t="s">
        <v>23614</v>
      </c>
      <c r="Z2771" t="s">
        <v>30481</v>
      </c>
      <c r="AA2771">
        <v>0.56198974603609997</v>
      </c>
      <c r="AB2771" t="str">
        <f>HYPERLINK("Melting_Curves/meltCurve_P48449_LSS.pdf", "Melting_Curves/meltCurve_P48449_LSS.pdf")</f>
        <v>Melting_Curves/meltCurve_P48449_LSS.pdf</v>
      </c>
    </row>
    <row r="2772" spans="1:28" x14ac:dyDescent="0.25">
      <c r="A2772" t="s">
        <v>2776</v>
      </c>
      <c r="B2772">
        <v>0.99999676499088797</v>
      </c>
      <c r="C2772">
        <v>1.0799347683288301</v>
      </c>
      <c r="D2772">
        <v>1.0163069841639201</v>
      </c>
      <c r="E2772">
        <v>1.1777667797382201</v>
      </c>
      <c r="F2772">
        <v>1.0087462450707401</v>
      </c>
      <c r="G2772">
        <v>0.50470790794087295</v>
      </c>
      <c r="H2772">
        <v>0.16061158717760901</v>
      </c>
      <c r="I2772">
        <v>0.13157247722884499</v>
      </c>
      <c r="J2772">
        <v>0.13102708961665599</v>
      </c>
      <c r="K2772">
        <v>0.102486913518874</v>
      </c>
      <c r="L2772">
        <v>4271.5335500333103</v>
      </c>
      <c r="M2772">
        <v>75.477099424073003</v>
      </c>
      <c r="N2772">
        <v>56.820575443816203</v>
      </c>
      <c r="O2772">
        <v>56.5540794749122</v>
      </c>
      <c r="P2772">
        <v>-0.29025475113138799</v>
      </c>
      <c r="Q2772">
        <v>0.130062634061649</v>
      </c>
      <c r="R2772">
        <v>0.97944908154700505</v>
      </c>
      <c r="S2772" t="s">
        <v>9775</v>
      </c>
      <c r="T2772" t="s">
        <v>14004</v>
      </c>
      <c r="U2772" t="s">
        <v>14004</v>
      </c>
      <c r="V2772" t="s">
        <v>14004</v>
      </c>
      <c r="W2772" t="s">
        <v>16737</v>
      </c>
      <c r="X2772">
        <v>11</v>
      </c>
      <c r="Y2772" t="s">
        <v>23615</v>
      </c>
      <c r="Z2772" t="s">
        <v>30482</v>
      </c>
      <c r="AA2772">
        <v>0.61219731907535857</v>
      </c>
      <c r="AB2772" t="str">
        <f>HYPERLINK("Melting_Curves/meltCurve_P48454_PPP3CC.pdf", "Melting_Curves/meltCurve_P48454_PPP3CC.pdf")</f>
        <v>Melting_Curves/meltCurve_P48454_PPP3CC.pdf</v>
      </c>
    </row>
    <row r="2773" spans="1:28" x14ac:dyDescent="0.25">
      <c r="A2773" t="s">
        <v>2777</v>
      </c>
      <c r="B2773">
        <v>0.99999676499088797</v>
      </c>
      <c r="C2773">
        <v>1.0029011894026401</v>
      </c>
      <c r="D2773">
        <v>0.99871943026974497</v>
      </c>
      <c r="E2773">
        <v>0.97888567286860795</v>
      </c>
      <c r="F2773">
        <v>0.689498531695242</v>
      </c>
      <c r="G2773">
        <v>0.43643226591894202</v>
      </c>
      <c r="H2773">
        <v>0.120665501204218</v>
      </c>
      <c r="I2773">
        <v>9.0558548912265197E-2</v>
      </c>
      <c r="J2773">
        <v>9.4265836008707193E-2</v>
      </c>
      <c r="K2773">
        <v>8.1525455564171304E-2</v>
      </c>
      <c r="L2773">
        <v>1297.76601995287</v>
      </c>
      <c r="M2773">
        <v>23.4746009435605</v>
      </c>
      <c r="N2773">
        <v>55.606089669056203</v>
      </c>
      <c r="O2773">
        <v>54.887338165726</v>
      </c>
      <c r="P2773">
        <v>-0.100123601472753</v>
      </c>
      <c r="Q2773">
        <v>6.3596856851164896E-2</v>
      </c>
      <c r="R2773">
        <v>0.99521068698466497</v>
      </c>
      <c r="S2773" t="s">
        <v>9776</v>
      </c>
      <c r="T2773" t="s">
        <v>14004</v>
      </c>
      <c r="U2773" t="s">
        <v>14004</v>
      </c>
      <c r="V2773" t="s">
        <v>14004</v>
      </c>
      <c r="W2773" t="s">
        <v>16738</v>
      </c>
      <c r="X2773">
        <v>27</v>
      </c>
      <c r="Y2773" t="s">
        <v>23616</v>
      </c>
      <c r="Z2773" t="s">
        <v>30483</v>
      </c>
      <c r="AA2773">
        <v>0.55028451789678123</v>
      </c>
      <c r="AB2773" t="str">
        <f>HYPERLINK("Melting_Curves/meltCurve_P48506_GCLC.pdf", "Melting_Curves/meltCurve_P48506_GCLC.pdf")</f>
        <v>Melting_Curves/meltCurve_P48506_GCLC.pdf</v>
      </c>
    </row>
    <row r="2774" spans="1:28" x14ac:dyDescent="0.25">
      <c r="A2774" t="s">
        <v>2778</v>
      </c>
      <c r="B2774">
        <v>0.99999676499088797</v>
      </c>
      <c r="C2774">
        <v>0.99422477142571497</v>
      </c>
      <c r="D2774">
        <v>1.0074829944443999</v>
      </c>
      <c r="E2774">
        <v>0.86438821306025904</v>
      </c>
      <c r="F2774">
        <v>0.75897684743105798</v>
      </c>
      <c r="G2774">
        <v>0.52568883783844</v>
      </c>
      <c r="H2774">
        <v>0.13547460710416201</v>
      </c>
      <c r="I2774">
        <v>0.16108923166372499</v>
      </c>
      <c r="J2774">
        <v>0.20858317073765101</v>
      </c>
      <c r="K2774">
        <v>9.33853716616245E-2</v>
      </c>
      <c r="L2774">
        <v>1154.2851352361899</v>
      </c>
      <c r="M2774">
        <v>20.720502485272199</v>
      </c>
      <c r="N2774">
        <v>56.339802462004101</v>
      </c>
      <c r="O2774">
        <v>55.196301815544203</v>
      </c>
      <c r="P2774">
        <v>-8.4113790737754393E-2</v>
      </c>
      <c r="Q2774">
        <v>0.10375940381125601</v>
      </c>
      <c r="R2774">
        <v>0.98096348101655895</v>
      </c>
      <c r="S2774" t="s">
        <v>9777</v>
      </c>
      <c r="T2774" t="s">
        <v>14004</v>
      </c>
      <c r="U2774" t="s">
        <v>14004</v>
      </c>
      <c r="V2774" t="s">
        <v>14004</v>
      </c>
      <c r="W2774" t="s">
        <v>16739</v>
      </c>
      <c r="X2774">
        <v>11</v>
      </c>
      <c r="Y2774" t="s">
        <v>23617</v>
      </c>
      <c r="Z2774" t="s">
        <v>30484</v>
      </c>
      <c r="AA2774">
        <v>0.58411269742550898</v>
      </c>
      <c r="AB2774" t="str">
        <f>HYPERLINK("Melting_Curves/meltCurve_P48507_GCLM.pdf", "Melting_Curves/meltCurve_P48507_GCLM.pdf")</f>
        <v>Melting_Curves/meltCurve_P48507_GCLM.pdf</v>
      </c>
    </row>
    <row r="2775" spans="1:28" x14ac:dyDescent="0.25">
      <c r="A2775" t="s">
        <v>2779</v>
      </c>
      <c r="B2775">
        <v>0.99999676499088797</v>
      </c>
      <c r="C2775">
        <v>0.87073413572579506</v>
      </c>
      <c r="D2775">
        <v>1.04236337629696</v>
      </c>
      <c r="E2775">
        <v>1.0651584001614001</v>
      </c>
      <c r="F2775">
        <v>0.79525605187145398</v>
      </c>
      <c r="G2775">
        <v>0.422172896256723</v>
      </c>
      <c r="H2775">
        <v>0.49861534015134701</v>
      </c>
      <c r="I2775">
        <v>0.36031281747334798</v>
      </c>
      <c r="J2775">
        <v>0.44806337710419297</v>
      </c>
      <c r="K2775">
        <v>0.161271496163855</v>
      </c>
      <c r="L2775">
        <v>2570.8884929259798</v>
      </c>
      <c r="M2775">
        <v>47.533130931000201</v>
      </c>
      <c r="N2775">
        <v>55.619470246406301</v>
      </c>
      <c r="O2775">
        <v>53.990771746776403</v>
      </c>
      <c r="P2775">
        <v>-0.139733647830111</v>
      </c>
      <c r="Q2775">
        <v>0.36513168951872699</v>
      </c>
      <c r="R2775">
        <v>0.90632402055314898</v>
      </c>
      <c r="S2775" t="s">
        <v>9778</v>
      </c>
      <c r="T2775" t="s">
        <v>14004</v>
      </c>
      <c r="U2775" t="s">
        <v>14004</v>
      </c>
      <c r="V2775" t="s">
        <v>14004</v>
      </c>
      <c r="W2775" t="s">
        <v>16740</v>
      </c>
      <c r="X2775">
        <v>5</v>
      </c>
      <c r="Y2775" t="s">
        <v>23618</v>
      </c>
      <c r="Z2775" t="s">
        <v>30485</v>
      </c>
      <c r="AA2775">
        <v>0.6649047606077948</v>
      </c>
      <c r="AB2775" t="str">
        <f>HYPERLINK("Melting_Curves/meltCurve_P48553_TRAPPC10.pdf", "Melting_Curves/meltCurve_P48553_TRAPPC10.pdf")</f>
        <v>Melting_Curves/meltCurve_P48553_TRAPPC10.pdf</v>
      </c>
    </row>
    <row r="2776" spans="1:28" x14ac:dyDescent="0.25">
      <c r="A2776" t="s">
        <v>2780</v>
      </c>
      <c r="B2776">
        <v>0.99999676499088797</v>
      </c>
      <c r="C2776">
        <v>1.0759730867218</v>
      </c>
      <c r="D2776">
        <v>1.01905414807487</v>
      </c>
      <c r="E2776">
        <v>0.98346084179216697</v>
      </c>
      <c r="F2776">
        <v>0.76103295115775305</v>
      </c>
      <c r="G2776">
        <v>0.76722608170497097</v>
      </c>
      <c r="H2776">
        <v>0.54715576931777798</v>
      </c>
      <c r="I2776">
        <v>0.574721132973948</v>
      </c>
      <c r="J2776">
        <v>0.54217228605330303</v>
      </c>
      <c r="K2776">
        <v>0.65833193616586105</v>
      </c>
      <c r="L2776">
        <v>1230.0697535231</v>
      </c>
      <c r="M2776">
        <v>22.804043940540598</v>
      </c>
      <c r="O2776">
        <v>53.531199550258798</v>
      </c>
      <c r="P2776">
        <v>-4.4655235952185998E-2</v>
      </c>
      <c r="Q2776">
        <v>0.58070564474367203</v>
      </c>
      <c r="R2776">
        <v>0.92301981528840304</v>
      </c>
      <c r="S2776" t="s">
        <v>9779</v>
      </c>
      <c r="T2776" t="s">
        <v>14004</v>
      </c>
      <c r="U2776" t="s">
        <v>14004</v>
      </c>
      <c r="V2776" t="s">
        <v>14004</v>
      </c>
      <c r="W2776" t="s">
        <v>16741</v>
      </c>
      <c r="X2776">
        <v>52</v>
      </c>
      <c r="Y2776" t="s">
        <v>23619</v>
      </c>
      <c r="Z2776" t="s">
        <v>30486</v>
      </c>
      <c r="AA2776">
        <v>0.78012235702250976</v>
      </c>
      <c r="AB2776" t="str">
        <f>HYPERLINK("Melting_Curves/meltCurve_P48634_PRRC2A.pdf", "Melting_Curves/meltCurve_P48634_PRRC2A.pdf")</f>
        <v>Melting_Curves/meltCurve_P48634_PRRC2A.pdf</v>
      </c>
    </row>
    <row r="2777" spans="1:28" x14ac:dyDescent="0.25">
      <c r="A2777" t="s">
        <v>2781</v>
      </c>
      <c r="B2777">
        <v>0.99999676499088797</v>
      </c>
      <c r="C2777">
        <v>1.0546012142728001</v>
      </c>
      <c r="D2777">
        <v>1.0126889498962901</v>
      </c>
      <c r="E2777">
        <v>0.88578725140852199</v>
      </c>
      <c r="F2777">
        <v>0.86756517253006604</v>
      </c>
      <c r="G2777">
        <v>0.73751246599345999</v>
      </c>
      <c r="H2777">
        <v>0.51982151153511202</v>
      </c>
      <c r="I2777">
        <v>0.39043977870598601</v>
      </c>
      <c r="J2777">
        <v>0.13816886635654099</v>
      </c>
      <c r="K2777">
        <v>9.8248477924416197E-2</v>
      </c>
      <c r="L2777">
        <v>882.99156832153096</v>
      </c>
      <c r="M2777">
        <v>14.5181489833104</v>
      </c>
      <c r="N2777">
        <v>60.819844891899201</v>
      </c>
      <c r="O2777">
        <v>59.7008662462163</v>
      </c>
      <c r="P2777">
        <v>-6.0802366243404099E-2</v>
      </c>
      <c r="Q2777">
        <v>0</v>
      </c>
      <c r="R2777">
        <v>0.98296535320504796</v>
      </c>
      <c r="S2777" t="s">
        <v>9780</v>
      </c>
      <c r="T2777" t="s">
        <v>14004</v>
      </c>
      <c r="U2777" t="s">
        <v>14004</v>
      </c>
      <c r="V2777" t="s">
        <v>14004</v>
      </c>
      <c r="W2777" t="s">
        <v>16742</v>
      </c>
      <c r="X2777">
        <v>33</v>
      </c>
      <c r="Y2777" t="s">
        <v>23620</v>
      </c>
      <c r="Z2777" t="s">
        <v>30487</v>
      </c>
      <c r="AA2777">
        <v>0.69665411602438032</v>
      </c>
      <c r="AB2777" t="str">
        <f>HYPERLINK("Melting_Curves/meltCurve_P48637_GSS.pdf", "Melting_Curves/meltCurve_P48637_GSS.pdf")</f>
        <v>Melting_Curves/meltCurve_P48637_GSS.pdf</v>
      </c>
    </row>
    <row r="2778" spans="1:28" x14ac:dyDescent="0.25">
      <c r="A2778" t="s">
        <v>2782</v>
      </c>
      <c r="B2778">
        <v>0.99999676499088797</v>
      </c>
      <c r="C2778">
        <v>0.89742639435229898</v>
      </c>
      <c r="D2778">
        <v>0.95452694272286598</v>
      </c>
      <c r="E2778">
        <v>0.97657757191138395</v>
      </c>
      <c r="F2778">
        <v>1.0005099169020699</v>
      </c>
      <c r="G2778">
        <v>0.76441389627911904</v>
      </c>
      <c r="H2778">
        <v>0.47750422821598998</v>
      </c>
      <c r="I2778">
        <v>0.22035073725516899</v>
      </c>
      <c r="J2778">
        <v>0.101639655626571</v>
      </c>
      <c r="K2778">
        <v>7.4289082285265207E-2</v>
      </c>
      <c r="L2778">
        <v>1350.1452070273299</v>
      </c>
      <c r="M2778">
        <v>22.432465799455599</v>
      </c>
      <c r="N2778">
        <v>60.322718557482801</v>
      </c>
      <c r="O2778">
        <v>59.714939835560401</v>
      </c>
      <c r="P2778">
        <v>-9.1607415750802307E-2</v>
      </c>
      <c r="Q2778">
        <v>2.4589208400221801E-2</v>
      </c>
      <c r="R2778">
        <v>0.98763997744417098</v>
      </c>
      <c r="S2778" t="s">
        <v>9781</v>
      </c>
      <c r="T2778" t="s">
        <v>14004</v>
      </c>
      <c r="U2778" t="s">
        <v>14004</v>
      </c>
      <c r="V2778" t="s">
        <v>14004</v>
      </c>
      <c r="W2778" t="s">
        <v>16743</v>
      </c>
      <c r="X2778">
        <v>57</v>
      </c>
      <c r="Y2778" t="s">
        <v>23621</v>
      </c>
      <c r="Z2778" t="s">
        <v>30488</v>
      </c>
      <c r="AA2778">
        <v>0.68851299748406614</v>
      </c>
      <c r="AB2778" t="str">
        <f>HYPERLINK("Melting_Curves/meltCurve_P48643_CCT5.pdf", "Melting_Curves/meltCurve_P48643_CCT5.pdf")</f>
        <v>Melting_Curves/meltCurve_P48643_CCT5.pdf</v>
      </c>
    </row>
    <row r="2779" spans="1:28" x14ac:dyDescent="0.25">
      <c r="A2779" t="s">
        <v>2783</v>
      </c>
      <c r="B2779">
        <v>0.99999676499088797</v>
      </c>
      <c r="C2779">
        <v>1.13452077307219</v>
      </c>
      <c r="D2779">
        <v>1.17930450671674</v>
      </c>
      <c r="E2779">
        <v>0.92257476675683703</v>
      </c>
      <c r="F2779">
        <v>0.36589360905772</v>
      </c>
      <c r="G2779">
        <v>0.18730441353886801</v>
      </c>
      <c r="H2779">
        <v>0.12532713451303701</v>
      </c>
      <c r="I2779">
        <v>0.12173288456465201</v>
      </c>
      <c r="J2779">
        <v>0.113750401671549</v>
      </c>
      <c r="K2779">
        <v>0.15683134801378301</v>
      </c>
      <c r="L2779">
        <v>2461.2644082952402</v>
      </c>
      <c r="M2779">
        <v>47.260250159930898</v>
      </c>
      <c r="N2779">
        <v>52.433521081252103</v>
      </c>
      <c r="O2779">
        <v>51.985964912201801</v>
      </c>
      <c r="P2779">
        <v>-0.196189029090275</v>
      </c>
      <c r="Q2779">
        <v>0.13677435370476901</v>
      </c>
      <c r="R2779">
        <v>0.97263450785816297</v>
      </c>
      <c r="S2779" t="s">
        <v>9782</v>
      </c>
      <c r="T2779" t="s">
        <v>14004</v>
      </c>
      <c r="U2779" t="s">
        <v>14004</v>
      </c>
      <c r="V2779" t="s">
        <v>14004</v>
      </c>
      <c r="W2779" t="s">
        <v>16744</v>
      </c>
      <c r="X2779">
        <v>2</v>
      </c>
      <c r="Y2779" t="s">
        <v>23622</v>
      </c>
      <c r="Z2779" t="s">
        <v>30489</v>
      </c>
      <c r="AA2779">
        <v>0.48655723318195743</v>
      </c>
      <c r="AB2779" t="str">
        <f>HYPERLINK("Melting_Curves/meltCurve_P48651_PTDSS1.pdf", "Melting_Curves/meltCurve_P48651_PTDSS1.pdf")</f>
        <v>Melting_Curves/meltCurve_P48651_PTDSS1.pdf</v>
      </c>
    </row>
    <row r="2780" spans="1:28" x14ac:dyDescent="0.25">
      <c r="A2780" t="s">
        <v>2784</v>
      </c>
      <c r="B2780">
        <v>0.99999676499088797</v>
      </c>
      <c r="C2780">
        <v>0.90164798883355202</v>
      </c>
      <c r="D2780">
        <v>0.93891549831600596</v>
      </c>
      <c r="E2780">
        <v>0.89526813728190102</v>
      </c>
      <c r="F2780">
        <v>0.63749785873126097</v>
      </c>
      <c r="G2780">
        <v>0.26880065033752099</v>
      </c>
      <c r="H2780">
        <v>0.14380562524173099</v>
      </c>
      <c r="I2780">
        <v>0.14189346936943301</v>
      </c>
      <c r="J2780">
        <v>0.13102214605859799</v>
      </c>
      <c r="K2780">
        <v>9.9533775554237494E-2</v>
      </c>
      <c r="L2780">
        <v>1381.3760693956499</v>
      </c>
      <c r="M2780">
        <v>25.694551432106</v>
      </c>
      <c r="N2780">
        <v>54.2888766392742</v>
      </c>
      <c r="O2780">
        <v>53.438967416701203</v>
      </c>
      <c r="P2780">
        <v>-0.10692898506238099</v>
      </c>
      <c r="Q2780">
        <v>0.110456448585006</v>
      </c>
      <c r="R2780">
        <v>0.99003279587853599</v>
      </c>
      <c r="S2780" t="s">
        <v>9783</v>
      </c>
      <c r="T2780" t="s">
        <v>14004</v>
      </c>
      <c r="U2780" t="s">
        <v>14004</v>
      </c>
      <c r="V2780" t="s">
        <v>14004</v>
      </c>
      <c r="W2780" t="s">
        <v>16745</v>
      </c>
      <c r="X2780">
        <v>8</v>
      </c>
      <c r="Y2780" t="s">
        <v>23623</v>
      </c>
      <c r="Z2780" t="s">
        <v>30490</v>
      </c>
      <c r="AA2780">
        <v>0.52632258939699839</v>
      </c>
      <c r="AB2780" t="str">
        <f>HYPERLINK("Melting_Curves/meltCurve_P48723_HSPA13.pdf", "Melting_Curves/meltCurve_P48723_HSPA13.pdf")</f>
        <v>Melting_Curves/meltCurve_P48723_HSPA13.pdf</v>
      </c>
    </row>
    <row r="2781" spans="1:28" x14ac:dyDescent="0.25">
      <c r="A2781" t="s">
        <v>2785</v>
      </c>
      <c r="B2781">
        <v>0.99999676499088797</v>
      </c>
      <c r="C2781">
        <v>0.97958717272597595</v>
      </c>
      <c r="D2781">
        <v>1.02334379778384</v>
      </c>
      <c r="E2781">
        <v>1.0605996672969</v>
      </c>
      <c r="F2781">
        <v>0.73781239153190903</v>
      </c>
      <c r="G2781">
        <v>0.401336368254958</v>
      </c>
      <c r="H2781">
        <v>0.128624525515071</v>
      </c>
      <c r="I2781">
        <v>0.1038139489491</v>
      </c>
      <c r="J2781">
        <v>9.5417789204955195E-2</v>
      </c>
      <c r="K2781">
        <v>9.0120927344545507E-2</v>
      </c>
      <c r="L2781">
        <v>1613.13425039754</v>
      </c>
      <c r="M2781">
        <v>29.174051753246701</v>
      </c>
      <c r="N2781">
        <v>55.655107814960402</v>
      </c>
      <c r="O2781">
        <v>55.0355929223334</v>
      </c>
      <c r="P2781">
        <v>-0.12108176753717299</v>
      </c>
      <c r="Q2781">
        <v>8.6344092131936001E-2</v>
      </c>
      <c r="R2781">
        <v>0.99285449089747502</v>
      </c>
      <c r="S2781" t="s">
        <v>9784</v>
      </c>
      <c r="T2781" t="s">
        <v>14004</v>
      </c>
      <c r="U2781" t="s">
        <v>14004</v>
      </c>
      <c r="V2781" t="s">
        <v>14004</v>
      </c>
      <c r="W2781" t="s">
        <v>14403</v>
      </c>
      <c r="X2781">
        <v>15</v>
      </c>
      <c r="Y2781" t="s">
        <v>21340</v>
      </c>
      <c r="Z2781" t="s">
        <v>30491</v>
      </c>
      <c r="AA2781">
        <v>0.55850720306365231</v>
      </c>
      <c r="AB2781" t="str">
        <f>HYPERLINK("Melting_Curves/meltCurve_P48729_CSNK1A1.pdf", "Melting_Curves/meltCurve_P48729_CSNK1A1.pdf")</f>
        <v>Melting_Curves/meltCurve_P48729_CSNK1A1.pdf</v>
      </c>
    </row>
    <row r="2782" spans="1:28" x14ac:dyDescent="0.25">
      <c r="A2782" t="s">
        <v>2786</v>
      </c>
      <c r="B2782">
        <v>0.99999676499088797</v>
      </c>
      <c r="C2782">
        <v>1.1537584856311001</v>
      </c>
      <c r="D2782">
        <v>1.1300244596959801</v>
      </c>
      <c r="E2782">
        <v>0.97910587330453702</v>
      </c>
      <c r="F2782">
        <v>0.64082213755971495</v>
      </c>
      <c r="G2782">
        <v>0.438461401801717</v>
      </c>
      <c r="H2782">
        <v>0.17072677939943001</v>
      </c>
      <c r="I2782">
        <v>0.167664676347928</v>
      </c>
      <c r="J2782">
        <v>0.20704941031670099</v>
      </c>
      <c r="K2782">
        <v>0.198676844998525</v>
      </c>
      <c r="L2782">
        <v>1452.7809996517301</v>
      </c>
      <c r="M2782">
        <v>26.769584180877501</v>
      </c>
      <c r="N2782">
        <v>55.186850013516803</v>
      </c>
      <c r="O2782">
        <v>53.969701348271002</v>
      </c>
      <c r="P2782">
        <v>-0.101741904746842</v>
      </c>
      <c r="Q2782">
        <v>0.179527945386254</v>
      </c>
      <c r="R2782">
        <v>0.96498185443914697</v>
      </c>
      <c r="S2782" t="s">
        <v>9785</v>
      </c>
      <c r="T2782" t="s">
        <v>14004</v>
      </c>
      <c r="U2782" t="s">
        <v>14004</v>
      </c>
      <c r="V2782" t="s">
        <v>14004</v>
      </c>
      <c r="W2782" t="s">
        <v>16746</v>
      </c>
      <c r="X2782">
        <v>10</v>
      </c>
      <c r="Y2782" t="s">
        <v>23624</v>
      </c>
      <c r="Z2782" t="s">
        <v>30492</v>
      </c>
      <c r="AA2782">
        <v>0.5764978245324418</v>
      </c>
      <c r="AB2782" t="str">
        <f>HYPERLINK("Melting_Curves/meltCurve_P48730_2_CSNK1D.pdf", "Melting_Curves/meltCurve_P48730_2_CSNK1D.pdf")</f>
        <v>Melting_Curves/meltCurve_P48730_2_CSNK1D.pdf</v>
      </c>
    </row>
    <row r="2783" spans="1:28" x14ac:dyDescent="0.25">
      <c r="A2783" t="s">
        <v>2787</v>
      </c>
      <c r="B2783">
        <v>0.99999676499088797</v>
      </c>
      <c r="C2783">
        <v>0.97425882189466195</v>
      </c>
      <c r="D2783">
        <v>0.909944517816482</v>
      </c>
      <c r="E2783">
        <v>0.81161679764773798</v>
      </c>
      <c r="F2783">
        <v>0.256377723728405</v>
      </c>
      <c r="G2783">
        <v>0.113156526842156</v>
      </c>
      <c r="H2783">
        <v>4.9553963111404899E-2</v>
      </c>
      <c r="I2783">
        <v>4.8556142079883902E-2</v>
      </c>
      <c r="J2783">
        <v>5.0956736531160202E-2</v>
      </c>
      <c r="K2783">
        <v>3.6920510729728101E-2</v>
      </c>
      <c r="L2783">
        <v>1785.53961098894</v>
      </c>
      <c r="M2783">
        <v>34.732742720222397</v>
      </c>
      <c r="N2783">
        <v>51.562858343511998</v>
      </c>
      <c r="O2783">
        <v>51.2384218209748</v>
      </c>
      <c r="P2783">
        <v>-0.16107100431306701</v>
      </c>
      <c r="Q2783">
        <v>4.9542639091867402E-2</v>
      </c>
      <c r="R2783">
        <v>0.99535761222825403</v>
      </c>
      <c r="S2783" t="s">
        <v>9786</v>
      </c>
      <c r="T2783" t="s">
        <v>14004</v>
      </c>
      <c r="U2783" t="s">
        <v>14004</v>
      </c>
      <c r="V2783" t="s">
        <v>14004</v>
      </c>
      <c r="W2783" t="s">
        <v>16747</v>
      </c>
      <c r="X2783">
        <v>41</v>
      </c>
      <c r="Y2783" t="s">
        <v>23625</v>
      </c>
      <c r="Z2783" t="s">
        <v>30493</v>
      </c>
      <c r="AA2783">
        <v>0.41545468025306559</v>
      </c>
      <c r="AB2783" t="str">
        <f>HYPERLINK("Melting_Curves/meltCurve_P48735_IDH2.pdf", "Melting_Curves/meltCurve_P48735_IDH2.pdf")</f>
        <v>Melting_Curves/meltCurve_P48735_IDH2.pdf</v>
      </c>
    </row>
    <row r="2784" spans="1:28" x14ac:dyDescent="0.25">
      <c r="A2784" t="s">
        <v>2788</v>
      </c>
      <c r="B2784">
        <v>0.99999676499088797</v>
      </c>
      <c r="C2784">
        <v>0.98845859067015995</v>
      </c>
      <c r="D2784">
        <v>0.67504648002637602</v>
      </c>
      <c r="E2784">
        <v>0.52533432127553603</v>
      </c>
      <c r="F2784">
        <v>0.298096160425947</v>
      </c>
      <c r="G2784">
        <v>0.21768251347015899</v>
      </c>
      <c r="H2784">
        <v>6.7923509441390598E-2</v>
      </c>
      <c r="I2784">
        <v>5.5184301905183697E-2</v>
      </c>
      <c r="J2784">
        <v>4.6139833221000598E-2</v>
      </c>
      <c r="K2784">
        <v>1.81339911781726E-2</v>
      </c>
      <c r="L2784">
        <v>675.08330593738503</v>
      </c>
      <c r="M2784">
        <v>13.564518434378099</v>
      </c>
      <c r="N2784">
        <v>49.8620606256654</v>
      </c>
      <c r="O2784">
        <v>48.724012613400497</v>
      </c>
      <c r="P2784">
        <v>-6.8732818063100304E-2</v>
      </c>
      <c r="Q2784">
        <v>1.2589353021120899E-2</v>
      </c>
      <c r="R2784">
        <v>0.98584575224985005</v>
      </c>
      <c r="S2784" t="s">
        <v>9787</v>
      </c>
      <c r="T2784" t="s">
        <v>14004</v>
      </c>
      <c r="U2784" t="s">
        <v>14004</v>
      </c>
      <c r="V2784" t="s">
        <v>14004</v>
      </c>
      <c r="W2784" t="s">
        <v>16748</v>
      </c>
      <c r="X2784">
        <v>4</v>
      </c>
      <c r="Y2784" t="s">
        <v>23626</v>
      </c>
      <c r="Z2784" t="s">
        <v>30494</v>
      </c>
      <c r="AA2784">
        <v>0.36240545918531858</v>
      </c>
      <c r="AB2784" t="str">
        <f>HYPERLINK("Melting_Curves/meltCurve_P48736_PIK3CG.pdf", "Melting_Curves/meltCurve_P48736_PIK3CG.pdf")</f>
        <v>Melting_Curves/meltCurve_P48736_PIK3CG.pdf</v>
      </c>
    </row>
    <row r="2785" spans="1:28" x14ac:dyDescent="0.25">
      <c r="A2785" t="s">
        <v>2789</v>
      </c>
      <c r="B2785">
        <v>0.99999676499088797</v>
      </c>
      <c r="C2785">
        <v>0.94697736849833802</v>
      </c>
      <c r="D2785">
        <v>1.03193278589805</v>
      </c>
      <c r="E2785">
        <v>1.13712740254471</v>
      </c>
      <c r="F2785">
        <v>0.80195618187242601</v>
      </c>
      <c r="G2785">
        <v>0.31184648475943499</v>
      </c>
      <c r="H2785">
        <v>0.11181065990420901</v>
      </c>
      <c r="I2785">
        <v>8.0514119612929494E-2</v>
      </c>
      <c r="J2785">
        <v>7.2489788987957895E-2</v>
      </c>
      <c r="K2785">
        <v>7.4977068056049603E-2</v>
      </c>
      <c r="L2785">
        <v>2170.9355830323898</v>
      </c>
      <c r="M2785">
        <v>39.354262574789601</v>
      </c>
      <c r="N2785">
        <v>55.405277240940102</v>
      </c>
      <c r="O2785">
        <v>55.022037900179399</v>
      </c>
      <c r="P2785">
        <v>-0.16472645235299199</v>
      </c>
      <c r="Q2785">
        <v>7.8771292089809805E-2</v>
      </c>
      <c r="R2785">
        <v>0.986172570845396</v>
      </c>
      <c r="S2785" t="s">
        <v>9788</v>
      </c>
      <c r="T2785" t="s">
        <v>14004</v>
      </c>
      <c r="U2785" t="s">
        <v>14004</v>
      </c>
      <c r="V2785" t="s">
        <v>14004</v>
      </c>
      <c r="W2785" t="s">
        <v>16749</v>
      </c>
      <c r="X2785">
        <v>22</v>
      </c>
      <c r="Y2785" t="s">
        <v>23627</v>
      </c>
      <c r="Z2785" t="s">
        <v>30495</v>
      </c>
      <c r="AA2785">
        <v>0.54803274398132329</v>
      </c>
      <c r="AB2785" t="str">
        <f>HYPERLINK("Melting_Curves/meltCurve_P48739_PITPNB.pdf", "Melting_Curves/meltCurve_P48739_PITPNB.pdf")</f>
        <v>Melting_Curves/meltCurve_P48739_PITPNB.pdf</v>
      </c>
    </row>
    <row r="2786" spans="1:28" x14ac:dyDescent="0.25">
      <c r="A2786" t="s">
        <v>2790</v>
      </c>
      <c r="B2786">
        <v>0.99999676499088797</v>
      </c>
      <c r="C2786">
        <v>0.91646102605430702</v>
      </c>
      <c r="D2786">
        <v>0.91122680865724304</v>
      </c>
      <c r="E2786">
        <v>0.87436710759604497</v>
      </c>
      <c r="F2786">
        <v>0.83397768530348604</v>
      </c>
      <c r="G2786">
        <v>0.77673095061401498</v>
      </c>
      <c r="H2786">
        <v>0.48148390324593499</v>
      </c>
      <c r="I2786">
        <v>0.47386031068325402</v>
      </c>
      <c r="J2786">
        <v>0.45427286079270102</v>
      </c>
      <c r="K2786">
        <v>0.39104609014866398</v>
      </c>
      <c r="L2786">
        <v>523.51761947541195</v>
      </c>
      <c r="M2786">
        <v>8.7497623624466296</v>
      </c>
      <c r="N2786">
        <v>63.694476222602503</v>
      </c>
      <c r="O2786">
        <v>56.953659250216802</v>
      </c>
      <c r="P2786">
        <v>-3.0525362504530799E-2</v>
      </c>
      <c r="Q2786">
        <v>0.20586292587599</v>
      </c>
      <c r="R2786">
        <v>0.95294733516325403</v>
      </c>
      <c r="S2786" t="s">
        <v>9789</v>
      </c>
      <c r="T2786" t="s">
        <v>14004</v>
      </c>
      <c r="U2786" t="s">
        <v>14004</v>
      </c>
      <c r="V2786" t="s">
        <v>14004</v>
      </c>
      <c r="W2786" t="s">
        <v>16750</v>
      </c>
      <c r="X2786">
        <v>6</v>
      </c>
      <c r="Y2786" t="s">
        <v>23628</v>
      </c>
      <c r="Z2786" t="s">
        <v>30496</v>
      </c>
      <c r="AA2786">
        <v>0.72392707602120532</v>
      </c>
      <c r="AB2786" t="str">
        <f>HYPERLINK("Melting_Curves/meltCurve_P48960_2_CD97.pdf", "Melting_Curves/meltCurve_P48960_2_CD97.pdf")</f>
        <v>Melting_Curves/meltCurve_P48960_2_CD97.pdf</v>
      </c>
    </row>
    <row r="2787" spans="1:28" x14ac:dyDescent="0.25">
      <c r="A2787" t="s">
        <v>2791</v>
      </c>
      <c r="B2787">
        <v>0.99999676499088797</v>
      </c>
      <c r="C2787">
        <v>0.96230175026690701</v>
      </c>
      <c r="D2787">
        <v>0.87387215088287595</v>
      </c>
      <c r="E2787">
        <v>0.40845766527101302</v>
      </c>
      <c r="F2787">
        <v>0.27028936494142303</v>
      </c>
      <c r="G2787">
        <v>0.153866027559343</v>
      </c>
      <c r="H2787">
        <v>7.6671868989430805E-2</v>
      </c>
      <c r="I2787">
        <v>7.0359831850246704E-2</v>
      </c>
      <c r="J2787">
        <v>6.3572921424082704E-2</v>
      </c>
      <c r="K2787">
        <v>5.0529766737579002E-2</v>
      </c>
      <c r="L2787">
        <v>1075.26420543479</v>
      </c>
      <c r="M2787">
        <v>21.938511436664101</v>
      </c>
      <c r="N2787">
        <v>49.3703717878861</v>
      </c>
      <c r="O2787">
        <v>48.610851373485502</v>
      </c>
      <c r="P2787">
        <v>-0.104538193094679</v>
      </c>
      <c r="Q2787">
        <v>7.3487607516789205E-2</v>
      </c>
      <c r="R2787">
        <v>0.99094636989517204</v>
      </c>
      <c r="S2787" t="s">
        <v>9790</v>
      </c>
      <c r="T2787" t="s">
        <v>14004</v>
      </c>
      <c r="U2787" t="s">
        <v>14004</v>
      </c>
      <c r="V2787" t="s">
        <v>14004</v>
      </c>
      <c r="W2787" t="s">
        <v>16751</v>
      </c>
      <c r="X2787">
        <v>15</v>
      </c>
      <c r="Y2787" t="s">
        <v>23629</v>
      </c>
      <c r="Z2787" t="s">
        <v>30497</v>
      </c>
      <c r="AA2787">
        <v>0.36257384799168912</v>
      </c>
      <c r="AB2787" t="str">
        <f>HYPERLINK("Melting_Curves/meltCurve_P49005_POLD2.pdf", "Melting_Curves/meltCurve_P49005_POLD2.pdf")</f>
        <v>Melting_Curves/meltCurve_P49005_POLD2.pdf</v>
      </c>
    </row>
    <row r="2788" spans="1:28" x14ac:dyDescent="0.25">
      <c r="A2788" t="s">
        <v>2792</v>
      </c>
      <c r="B2788">
        <v>0.99999676499088797</v>
      </c>
      <c r="C2788">
        <v>0.86387764308335602</v>
      </c>
      <c r="D2788">
        <v>0.96076143313762097</v>
      </c>
      <c r="E2788">
        <v>0.95956712888941398</v>
      </c>
      <c r="F2788">
        <v>0.85922100030847604</v>
      </c>
      <c r="G2788">
        <v>0.89497561246898505</v>
      </c>
      <c r="H2788">
        <v>0.72781014555378498</v>
      </c>
      <c r="I2788">
        <v>0.785469113181541</v>
      </c>
      <c r="J2788">
        <v>0.73230382748881495</v>
      </c>
      <c r="K2788">
        <v>0.88763662440302105</v>
      </c>
      <c r="L2788">
        <v>403.38132085429697</v>
      </c>
      <c r="M2788">
        <v>7.7287197674343302</v>
      </c>
      <c r="O2788">
        <v>49.043423226861897</v>
      </c>
      <c r="P2788">
        <v>-9.6046755419987393E-3</v>
      </c>
      <c r="Q2788">
        <v>0.75652313618339995</v>
      </c>
      <c r="R2788">
        <v>0.51286251411762895</v>
      </c>
      <c r="S2788" t="s">
        <v>9791</v>
      </c>
      <c r="T2788" t="s">
        <v>14004</v>
      </c>
      <c r="U2788" t="s">
        <v>14004</v>
      </c>
      <c r="V2788" t="s">
        <v>14004</v>
      </c>
      <c r="W2788" t="s">
        <v>16752</v>
      </c>
      <c r="X2788">
        <v>12</v>
      </c>
      <c r="Y2788" t="s">
        <v>23630</v>
      </c>
      <c r="Z2788" t="s">
        <v>30498</v>
      </c>
      <c r="AA2788">
        <v>0.8669667426047013</v>
      </c>
      <c r="AB2788" t="str">
        <f>HYPERLINK("Melting_Curves/meltCurve_P49006_MARCKSL1.pdf", "Melting_Curves/meltCurve_P49006_MARCKSL1.pdf")</f>
        <v>Melting_Curves/meltCurve_P49006_MARCKSL1.pdf</v>
      </c>
    </row>
    <row r="2789" spans="1:28" x14ac:dyDescent="0.25">
      <c r="A2789" t="s">
        <v>2793</v>
      </c>
      <c r="B2789">
        <v>0.99999676499088797</v>
      </c>
      <c r="C2789">
        <v>1.0467792156194</v>
      </c>
      <c r="D2789">
        <v>1.01983400198893</v>
      </c>
      <c r="E2789">
        <v>0.86040252659221095</v>
      </c>
      <c r="F2789">
        <v>0.79948989512352897</v>
      </c>
      <c r="G2789">
        <v>0.72083906191770597</v>
      </c>
      <c r="H2789">
        <v>0.48472986326186601</v>
      </c>
      <c r="I2789">
        <v>0.43825101073675199</v>
      </c>
      <c r="J2789">
        <v>0.28943763565689301</v>
      </c>
      <c r="K2789">
        <v>0.22428895020384601</v>
      </c>
      <c r="L2789">
        <v>605.24042213985899</v>
      </c>
      <c r="M2789">
        <v>9.86952087557097</v>
      </c>
      <c r="N2789">
        <v>61.342098249934999</v>
      </c>
      <c r="O2789">
        <v>58.965756247887803</v>
      </c>
      <c r="P2789">
        <v>-4.1805556581590901E-2</v>
      </c>
      <c r="Q2789">
        <v>1.43633890274172E-3</v>
      </c>
      <c r="R2789">
        <v>0.98362450907740495</v>
      </c>
      <c r="S2789" t="s">
        <v>9792</v>
      </c>
      <c r="T2789" t="s">
        <v>14004</v>
      </c>
      <c r="U2789" t="s">
        <v>14004</v>
      </c>
      <c r="V2789" t="s">
        <v>14004</v>
      </c>
      <c r="W2789" t="s">
        <v>16753</v>
      </c>
      <c r="X2789">
        <v>10</v>
      </c>
      <c r="Y2789" t="s">
        <v>23631</v>
      </c>
      <c r="Z2789" t="s">
        <v>30499</v>
      </c>
      <c r="AA2789">
        <v>0.69553052945397453</v>
      </c>
      <c r="AB2789" t="str">
        <f>HYPERLINK("Melting_Curves/meltCurve_P49069_CAMLG.pdf", "Melting_Curves/meltCurve_P49069_CAMLG.pdf")</f>
        <v>Melting_Curves/meltCurve_P49069_CAMLG.pdf</v>
      </c>
    </row>
    <row r="2790" spans="1:28" x14ac:dyDescent="0.25">
      <c r="A2790" t="s">
        <v>2794</v>
      </c>
      <c r="B2790">
        <v>0.99999676499088797</v>
      </c>
      <c r="C2790">
        <v>1.0599695828370099</v>
      </c>
      <c r="D2790">
        <v>0.96114113053507699</v>
      </c>
      <c r="E2790">
        <v>0.64022400746991204</v>
      </c>
      <c r="F2790">
        <v>0.31515945726955902</v>
      </c>
      <c r="G2790">
        <v>0.22762846649461499</v>
      </c>
      <c r="H2790">
        <v>9.4741044123608703E-2</v>
      </c>
      <c r="I2790">
        <v>0.11022020331257899</v>
      </c>
      <c r="J2790">
        <v>0.104328556721074</v>
      </c>
      <c r="K2790">
        <v>7.8975484000766802E-2</v>
      </c>
      <c r="L2790">
        <v>1207.32054246604</v>
      </c>
      <c r="M2790">
        <v>23.820796825289001</v>
      </c>
      <c r="N2790">
        <v>51.173921726102598</v>
      </c>
      <c r="O2790">
        <v>50.330305073324098</v>
      </c>
      <c r="P2790">
        <v>-0.106248399752468</v>
      </c>
      <c r="Q2790">
        <v>0.102057037238099</v>
      </c>
      <c r="R2790">
        <v>0.99223883664947499</v>
      </c>
      <c r="S2790" t="s">
        <v>9793</v>
      </c>
      <c r="T2790" t="s">
        <v>14004</v>
      </c>
      <c r="U2790" t="s">
        <v>14004</v>
      </c>
      <c r="V2790" t="s">
        <v>14004</v>
      </c>
      <c r="W2790" t="s">
        <v>16754</v>
      </c>
      <c r="X2790">
        <v>11</v>
      </c>
      <c r="Y2790" t="s">
        <v>23632</v>
      </c>
      <c r="Z2790" t="s">
        <v>30500</v>
      </c>
      <c r="AA2790">
        <v>0.43072173281951409</v>
      </c>
      <c r="AB2790" t="str">
        <f>HYPERLINK("Melting_Curves/meltCurve_P49116_NR2C2.pdf", "Melting_Curves/meltCurve_P49116_NR2C2.pdf")</f>
        <v>Melting_Curves/meltCurve_P49116_NR2C2.pdf</v>
      </c>
    </row>
    <row r="2791" spans="1:28" x14ac:dyDescent="0.25">
      <c r="A2791" t="s">
        <v>2795</v>
      </c>
      <c r="B2791">
        <v>0.99999676499088797</v>
      </c>
      <c r="C2791">
        <v>0.95010427553741394</v>
      </c>
      <c r="D2791">
        <v>0.92717574257242497</v>
      </c>
      <c r="E2791">
        <v>0.83844667508231896</v>
      </c>
      <c r="F2791">
        <v>0.34501326940336002</v>
      </c>
      <c r="G2791">
        <v>0.223363377316731</v>
      </c>
      <c r="H2791">
        <v>0.111672034779109</v>
      </c>
      <c r="I2791">
        <v>0.113196869979259</v>
      </c>
      <c r="J2791">
        <v>0.101776324809305</v>
      </c>
      <c r="K2791">
        <v>8.2690158027293598E-2</v>
      </c>
      <c r="L2791">
        <v>1516.1368691959599</v>
      </c>
      <c r="M2791">
        <v>29.300764776572699</v>
      </c>
      <c r="N2791">
        <v>52.169679392422601</v>
      </c>
      <c r="O2791">
        <v>51.504716522851602</v>
      </c>
      <c r="P2791">
        <v>-0.12710077167914599</v>
      </c>
      <c r="Q2791">
        <v>0.106338468695421</v>
      </c>
      <c r="R2791">
        <v>0.99236895029942196</v>
      </c>
      <c r="S2791" t="s">
        <v>9794</v>
      </c>
      <c r="T2791" t="s">
        <v>14004</v>
      </c>
      <c r="U2791" t="s">
        <v>14004</v>
      </c>
      <c r="V2791" t="s">
        <v>14004</v>
      </c>
      <c r="W2791" t="s">
        <v>16755</v>
      </c>
      <c r="X2791">
        <v>20</v>
      </c>
      <c r="Y2791" t="s">
        <v>23633</v>
      </c>
      <c r="Z2791" t="s">
        <v>30501</v>
      </c>
      <c r="AA2791">
        <v>0.46213481378337762</v>
      </c>
      <c r="AB2791" t="str">
        <f>HYPERLINK("Melting_Curves/meltCurve_P49137_MAPKAPK2.pdf", "Melting_Curves/meltCurve_P49137_MAPKAPK2.pdf")</f>
        <v>Melting_Curves/meltCurve_P49137_MAPKAPK2.pdf</v>
      </c>
    </row>
    <row r="2792" spans="1:28" x14ac:dyDescent="0.25">
      <c r="A2792" t="s">
        <v>2796</v>
      </c>
      <c r="B2792">
        <v>0.99999676499088797</v>
      </c>
      <c r="C2792">
        <v>1.0427895219055201</v>
      </c>
      <c r="D2792">
        <v>1.08279609370483</v>
      </c>
      <c r="E2792">
        <v>1.2074191200700499</v>
      </c>
      <c r="F2792">
        <v>1.1454065356041001</v>
      </c>
      <c r="G2792">
        <v>0.86747880327057103</v>
      </c>
      <c r="H2792">
        <v>0.36740867080376499</v>
      </c>
      <c r="I2792">
        <v>0.13298999619677901</v>
      </c>
      <c r="J2792">
        <v>9.0417540108604894E-2</v>
      </c>
      <c r="K2792">
        <v>7.4597251994137595E-2</v>
      </c>
      <c r="L2792">
        <v>2426.9471334013401</v>
      </c>
      <c r="M2792">
        <v>40.726879493000503</v>
      </c>
      <c r="N2792">
        <v>59.841949322827801</v>
      </c>
      <c r="O2792">
        <v>59.447663460293398</v>
      </c>
      <c r="P2792">
        <v>-0.15781728898786199</v>
      </c>
      <c r="Q2792">
        <v>7.8559308836437802E-2</v>
      </c>
      <c r="R2792">
        <v>0.96281324420880998</v>
      </c>
      <c r="S2792" t="s">
        <v>9795</v>
      </c>
      <c r="T2792" t="s">
        <v>14004</v>
      </c>
      <c r="U2792" t="s">
        <v>14004</v>
      </c>
      <c r="V2792" t="s">
        <v>14004</v>
      </c>
      <c r="W2792" t="s">
        <v>16756</v>
      </c>
      <c r="X2792">
        <v>27</v>
      </c>
      <c r="Y2792" t="s">
        <v>23634</v>
      </c>
      <c r="Z2792" t="s">
        <v>30502</v>
      </c>
      <c r="AA2792">
        <v>0.68379128240842657</v>
      </c>
      <c r="AB2792" t="str">
        <f>HYPERLINK("Melting_Curves/meltCurve_P49189_ALDH9A1.pdf", "Melting_Curves/meltCurve_P49189_ALDH9A1.pdf")</f>
        <v>Melting_Curves/meltCurve_P49189_ALDH9A1.pdf</v>
      </c>
    </row>
    <row r="2793" spans="1:28" x14ac:dyDescent="0.25">
      <c r="A2793" t="s">
        <v>2797</v>
      </c>
      <c r="B2793">
        <v>0.99999676499088797</v>
      </c>
      <c r="C2793">
        <v>0.98451877625134698</v>
      </c>
      <c r="D2793">
        <v>0.98811340671018699</v>
      </c>
      <c r="E2793">
        <v>0.85540700604618203</v>
      </c>
      <c r="F2793">
        <v>0.65547045131577997</v>
      </c>
      <c r="G2793">
        <v>0.76521478070584503</v>
      </c>
      <c r="H2793">
        <v>0.25547712682426099</v>
      </c>
      <c r="I2793">
        <v>0.14395076746664101</v>
      </c>
      <c r="J2793">
        <v>9.2893936663879906E-2</v>
      </c>
      <c r="K2793">
        <v>8.7043419367023103E-2</v>
      </c>
      <c r="L2793">
        <v>843.39726066450305</v>
      </c>
      <c r="M2793">
        <v>14.6012289323736</v>
      </c>
      <c r="N2793">
        <v>57.762073733981701</v>
      </c>
      <c r="O2793">
        <v>56.711049552820398</v>
      </c>
      <c r="P2793">
        <v>-6.4373999100884802E-2</v>
      </c>
      <c r="Q2793">
        <v>0</v>
      </c>
      <c r="R2793">
        <v>0.95094457250307796</v>
      </c>
      <c r="S2793" t="s">
        <v>9796</v>
      </c>
      <c r="T2793" t="s">
        <v>14004</v>
      </c>
      <c r="U2793" t="s">
        <v>14004</v>
      </c>
      <c r="V2793" t="s">
        <v>14004</v>
      </c>
      <c r="W2793" t="s">
        <v>16757</v>
      </c>
      <c r="X2793">
        <v>6</v>
      </c>
      <c r="Y2793" t="s">
        <v>23635</v>
      </c>
      <c r="Z2793" t="s">
        <v>30503</v>
      </c>
      <c r="AA2793">
        <v>0.60620837816553064</v>
      </c>
      <c r="AB2793" t="str">
        <f>HYPERLINK("Melting_Curves/meltCurve_P49207_RPL34.pdf", "Melting_Curves/meltCurve_P49207_RPL34.pdf")</f>
        <v>Melting_Curves/meltCurve_P49207_RPL34.pdf</v>
      </c>
    </row>
    <row r="2794" spans="1:28" x14ac:dyDescent="0.25">
      <c r="A2794" t="s">
        <v>2798</v>
      </c>
      <c r="B2794">
        <v>0.99999676499088797</v>
      </c>
      <c r="C2794">
        <v>0.97750785262047701</v>
      </c>
      <c r="D2794">
        <v>0.94001180276858298</v>
      </c>
      <c r="E2794">
        <v>0.84714803052441201</v>
      </c>
      <c r="F2794">
        <v>0.89539323395503501</v>
      </c>
      <c r="G2794">
        <v>0.68419991965261695</v>
      </c>
      <c r="H2794">
        <v>0.357527521883995</v>
      </c>
      <c r="I2794">
        <v>0.41855495964442302</v>
      </c>
      <c r="J2794">
        <v>0.407806811549415</v>
      </c>
      <c r="K2794">
        <v>0.55277941473689896</v>
      </c>
      <c r="L2794">
        <v>1851.0031099417299</v>
      </c>
      <c r="M2794">
        <v>33.140969560036503</v>
      </c>
      <c r="N2794">
        <v>59.384475115741502</v>
      </c>
      <c r="O2794">
        <v>55.650229260496097</v>
      </c>
      <c r="P2794">
        <v>-8.4810029493339406E-2</v>
      </c>
      <c r="Q2794">
        <v>0.43035138005137502</v>
      </c>
      <c r="R2794">
        <v>0.906750002932452</v>
      </c>
      <c r="S2794" t="s">
        <v>9797</v>
      </c>
      <c r="T2794" t="s">
        <v>14004</v>
      </c>
      <c r="U2794" t="s">
        <v>14004</v>
      </c>
      <c r="V2794" t="s">
        <v>14004</v>
      </c>
      <c r="W2794" t="s">
        <v>16758</v>
      </c>
      <c r="X2794">
        <v>22</v>
      </c>
      <c r="Y2794" t="s">
        <v>23636</v>
      </c>
      <c r="Z2794" t="s">
        <v>30504</v>
      </c>
      <c r="AA2794">
        <v>0.73451216617843984</v>
      </c>
      <c r="AB2794" t="str">
        <f>HYPERLINK("Melting_Curves/meltCurve_P49247_RPIA.pdf", "Melting_Curves/meltCurve_P49247_RPIA.pdf")</f>
        <v>Melting_Curves/meltCurve_P49247_RPIA.pdf</v>
      </c>
    </row>
    <row r="2795" spans="1:28" x14ac:dyDescent="0.25">
      <c r="A2795" t="s">
        <v>2799</v>
      </c>
      <c r="B2795">
        <v>0.99999676499088797</v>
      </c>
      <c r="C2795">
        <v>0.91293125040588496</v>
      </c>
      <c r="D2795">
        <v>0.72625799218471299</v>
      </c>
      <c r="E2795">
        <v>0.43401020687867298</v>
      </c>
      <c r="F2795">
        <v>0.26518899996137801</v>
      </c>
      <c r="G2795">
        <v>0.21096045827081</v>
      </c>
      <c r="H2795">
        <v>0.117189746856384</v>
      </c>
      <c r="I2795">
        <v>0.105281945467745</v>
      </c>
      <c r="J2795">
        <v>9.6150844444202604E-2</v>
      </c>
      <c r="K2795">
        <v>7.6601360505236304E-2</v>
      </c>
      <c r="L2795">
        <v>790.00904731991204</v>
      </c>
      <c r="M2795">
        <v>16.3244340075499</v>
      </c>
      <c r="N2795">
        <v>49.000258640901599</v>
      </c>
      <c r="O2795">
        <v>47.685529995827899</v>
      </c>
      <c r="P2795">
        <v>-7.7766578657161203E-2</v>
      </c>
      <c r="Q2795">
        <v>9.1405744664561195E-2</v>
      </c>
      <c r="R2795">
        <v>0.99647731552636798</v>
      </c>
      <c r="S2795" t="s">
        <v>9798</v>
      </c>
      <c r="T2795" t="s">
        <v>14004</v>
      </c>
      <c r="U2795" t="s">
        <v>14004</v>
      </c>
      <c r="V2795" t="s">
        <v>14004</v>
      </c>
      <c r="W2795" t="s">
        <v>16759</v>
      </c>
      <c r="X2795">
        <v>20</v>
      </c>
      <c r="Y2795" t="s">
        <v>23637</v>
      </c>
      <c r="Z2795" t="s">
        <v>30505</v>
      </c>
      <c r="AA2795">
        <v>0.36507896733211193</v>
      </c>
      <c r="AB2795" t="str">
        <f>HYPERLINK("Melting_Curves/meltCurve_P49257_LMAN1.pdf", "Melting_Curves/meltCurve_P49257_LMAN1.pdf")</f>
        <v>Melting_Curves/meltCurve_P49257_LMAN1.pdf</v>
      </c>
    </row>
    <row r="2796" spans="1:28" x14ac:dyDescent="0.25">
      <c r="A2796" t="s">
        <v>2800</v>
      </c>
      <c r="B2796">
        <v>0.99999676499088797</v>
      </c>
      <c r="C2796">
        <v>1.06527611236986</v>
      </c>
      <c r="D2796">
        <v>0.794725249739069</v>
      </c>
      <c r="E2796">
        <v>0.706509882920763</v>
      </c>
      <c r="F2796">
        <v>0.61032920685302305</v>
      </c>
      <c r="G2796">
        <v>0.72491803476199101</v>
      </c>
      <c r="H2796">
        <v>0.481007152153479</v>
      </c>
      <c r="I2796">
        <v>0.52872051894104299</v>
      </c>
      <c r="J2796">
        <v>0.33558102951772101</v>
      </c>
      <c r="K2796">
        <v>0.22833263372586499</v>
      </c>
      <c r="L2796">
        <v>365.42994809898801</v>
      </c>
      <c r="M2796">
        <v>6.0262344840083202</v>
      </c>
      <c r="N2796">
        <v>60.639850145707001</v>
      </c>
      <c r="O2796">
        <v>54.974983029591698</v>
      </c>
      <c r="P2796">
        <v>-2.7491815123337999E-2</v>
      </c>
      <c r="Q2796">
        <v>0</v>
      </c>
      <c r="R2796">
        <v>0.88025155781027598</v>
      </c>
      <c r="S2796" t="s">
        <v>9799</v>
      </c>
      <c r="T2796" t="s">
        <v>14004</v>
      </c>
      <c r="U2796" t="s">
        <v>14004</v>
      </c>
      <c r="V2796" t="s">
        <v>14004</v>
      </c>
      <c r="W2796" t="s">
        <v>16760</v>
      </c>
      <c r="X2796">
        <v>2</v>
      </c>
      <c r="Y2796" t="s">
        <v>23638</v>
      </c>
      <c r="Z2796" t="s">
        <v>30506</v>
      </c>
      <c r="AA2796">
        <v>0.64585145205871253</v>
      </c>
      <c r="AB2796" t="str">
        <f>HYPERLINK("Melting_Curves/meltCurve_P49281_2_SLC11A2.pdf", "Melting_Curves/meltCurve_P49281_2_SLC11A2.pdf")</f>
        <v>Melting_Curves/meltCurve_P49281_2_SLC11A2.pdf</v>
      </c>
    </row>
    <row r="2797" spans="1:28" x14ac:dyDescent="0.25">
      <c r="A2797" t="s">
        <v>2801</v>
      </c>
      <c r="B2797">
        <v>0.99999676499088797</v>
      </c>
      <c r="C2797">
        <v>0.85816567910532005</v>
      </c>
      <c r="D2797">
        <v>0.89119699443724698</v>
      </c>
      <c r="E2797">
        <v>0.847041304969405</v>
      </c>
      <c r="F2797">
        <v>0.29435841057065099</v>
      </c>
      <c r="G2797">
        <v>0.15795146070490701</v>
      </c>
      <c r="H2797">
        <v>9.0207707309956697E-2</v>
      </c>
      <c r="I2797">
        <v>7.7869490249676696E-2</v>
      </c>
      <c r="J2797">
        <v>7.6173679460808302E-2</v>
      </c>
      <c r="K2797">
        <v>7.6320123337850196E-2</v>
      </c>
      <c r="L2797">
        <v>1816.22030188503</v>
      </c>
      <c r="M2797">
        <v>35.215417727814099</v>
      </c>
      <c r="N2797">
        <v>51.847988382172701</v>
      </c>
      <c r="O2797">
        <v>51.409113964139898</v>
      </c>
      <c r="P2797">
        <v>-0.156739686578518</v>
      </c>
      <c r="Q2797">
        <v>8.4739448592717495E-2</v>
      </c>
      <c r="R2797">
        <v>0.97821051791973401</v>
      </c>
      <c r="S2797" t="s">
        <v>9800</v>
      </c>
      <c r="T2797" t="s">
        <v>14004</v>
      </c>
      <c r="U2797" t="s">
        <v>14004</v>
      </c>
      <c r="V2797" t="s">
        <v>14004</v>
      </c>
      <c r="W2797" t="s">
        <v>16761</v>
      </c>
      <c r="X2797">
        <v>32</v>
      </c>
      <c r="Y2797" t="s">
        <v>23639</v>
      </c>
      <c r="Z2797" t="s">
        <v>30507</v>
      </c>
      <c r="AA2797">
        <v>0.44207905090685529</v>
      </c>
      <c r="AB2797" t="str">
        <f>HYPERLINK("Melting_Curves/meltCurve_P49321_NASP.pdf", "Melting_Curves/meltCurve_P49321_NASP.pdf")</f>
        <v>Melting_Curves/meltCurve_P49321_NASP.pdf</v>
      </c>
    </row>
    <row r="2798" spans="1:28" x14ac:dyDescent="0.25">
      <c r="A2798" t="s">
        <v>2802</v>
      </c>
      <c r="B2798">
        <v>0.99999676499088797</v>
      </c>
      <c r="C2798">
        <v>1.0608002327972701</v>
      </c>
      <c r="D2798">
        <v>1.0151702061844701</v>
      </c>
      <c r="E2798">
        <v>0.79541839878175402</v>
      </c>
      <c r="F2798">
        <v>0.25624817324056698</v>
      </c>
      <c r="G2798">
        <v>0.1723535239549</v>
      </c>
      <c r="H2798">
        <v>7.60654050379522E-2</v>
      </c>
      <c r="I2798">
        <v>8.1428586890715998E-2</v>
      </c>
      <c r="J2798">
        <v>7.9414061349589504E-2</v>
      </c>
      <c r="K2798">
        <v>6.7832413250586296E-2</v>
      </c>
      <c r="L2798">
        <v>1923.56312970718</v>
      </c>
      <c r="M2798">
        <v>37.550068396419299</v>
      </c>
      <c r="N2798">
        <v>51.492280225643803</v>
      </c>
      <c r="O2798">
        <v>51.081997131333999</v>
      </c>
      <c r="P2798">
        <v>-0.167590961565494</v>
      </c>
      <c r="Q2798">
        <v>8.8059652187193402E-2</v>
      </c>
      <c r="R2798">
        <v>0.99479061005896297</v>
      </c>
      <c r="S2798" t="s">
        <v>9801</v>
      </c>
      <c r="T2798" t="s">
        <v>14004</v>
      </c>
      <c r="U2798" t="s">
        <v>14004</v>
      </c>
      <c r="V2798" t="s">
        <v>14004</v>
      </c>
      <c r="W2798" t="s">
        <v>16762</v>
      </c>
      <c r="X2798">
        <v>95</v>
      </c>
      <c r="Y2798" t="s">
        <v>23640</v>
      </c>
      <c r="Z2798" t="s">
        <v>30508</v>
      </c>
      <c r="AA2798">
        <v>0.43299341062529179</v>
      </c>
      <c r="AB2798" t="str">
        <f>HYPERLINK("Melting_Curves/meltCurve_P49327_FASN.pdf", "Melting_Curves/meltCurve_P49327_FASN.pdf")</f>
        <v>Melting_Curves/meltCurve_P49327_FASN.pdf</v>
      </c>
    </row>
    <row r="2799" spans="1:28" x14ac:dyDescent="0.25">
      <c r="A2799" t="s">
        <v>2803</v>
      </c>
      <c r="B2799">
        <v>0.99999676499088797</v>
      </c>
      <c r="C2799">
        <v>0.99336059067645399</v>
      </c>
      <c r="D2799">
        <v>0.95129769486502203</v>
      </c>
      <c r="E2799">
        <v>0.86631980912524598</v>
      </c>
      <c r="F2799">
        <v>0.497942807351269</v>
      </c>
      <c r="G2799">
        <v>0.18586728056985599</v>
      </c>
      <c r="H2799">
        <v>7.2130931730160594E-2</v>
      </c>
      <c r="I2799">
        <v>6.9287694856411203E-2</v>
      </c>
      <c r="J2799">
        <v>6.0169445107583999E-2</v>
      </c>
      <c r="K2799">
        <v>8.1951537222303597E-2</v>
      </c>
      <c r="L2799">
        <v>1420.43603712716</v>
      </c>
      <c r="M2799">
        <v>26.857124885354001</v>
      </c>
      <c r="N2799">
        <v>53.144853419379103</v>
      </c>
      <c r="O2799">
        <v>52.598000320074497</v>
      </c>
      <c r="P2799">
        <v>-0.119901648460061</v>
      </c>
      <c r="Q2799">
        <v>6.0729981040452498E-2</v>
      </c>
      <c r="R2799">
        <v>0.99893963406353603</v>
      </c>
      <c r="S2799" t="s">
        <v>9802</v>
      </c>
      <c r="T2799" t="s">
        <v>14004</v>
      </c>
      <c r="U2799" t="s">
        <v>14004</v>
      </c>
      <c r="V2799" t="s">
        <v>14004</v>
      </c>
      <c r="W2799" t="s">
        <v>16763</v>
      </c>
      <c r="X2799">
        <v>6</v>
      </c>
      <c r="Y2799" t="s">
        <v>23641</v>
      </c>
      <c r="Z2799" t="s">
        <v>30509</v>
      </c>
      <c r="AA2799">
        <v>0.47179953335392633</v>
      </c>
      <c r="AB2799" t="str">
        <f>HYPERLINK("Melting_Curves/meltCurve_P49336_2_CDK8.pdf", "Melting_Curves/meltCurve_P49336_2_CDK8.pdf")</f>
        <v>Melting_Curves/meltCurve_P49336_2_CDK8.pdf</v>
      </c>
    </row>
    <row r="2800" spans="1:28" x14ac:dyDescent="0.25">
      <c r="A2800" t="s">
        <v>2804</v>
      </c>
      <c r="B2800">
        <v>0.99999676499088797</v>
      </c>
      <c r="C2800">
        <v>1.0095810567546599</v>
      </c>
      <c r="D2800">
        <v>1.00786717286747</v>
      </c>
      <c r="E2800">
        <v>1.15754871155845</v>
      </c>
      <c r="F2800">
        <v>0.642039227608873</v>
      </c>
      <c r="G2800">
        <v>0.239913131163939</v>
      </c>
      <c r="H2800">
        <v>0.11068880917375699</v>
      </c>
      <c r="I2800">
        <v>9.1303506186555305E-2</v>
      </c>
      <c r="J2800">
        <v>8.7614905622245304E-2</v>
      </c>
      <c r="K2800">
        <v>7.5803344548441898E-2</v>
      </c>
      <c r="L2800">
        <v>2315.0974666441598</v>
      </c>
      <c r="M2800">
        <v>42.921696172569298</v>
      </c>
      <c r="N2800">
        <v>54.213047780989598</v>
      </c>
      <c r="O2800">
        <v>53.8209871004726</v>
      </c>
      <c r="P2800">
        <v>-0.17984674885385199</v>
      </c>
      <c r="Q2800">
        <v>9.79370248210744E-2</v>
      </c>
      <c r="R2800">
        <v>0.98122199565192803</v>
      </c>
      <c r="S2800" t="s">
        <v>9803</v>
      </c>
      <c r="T2800" t="s">
        <v>14004</v>
      </c>
      <c r="U2800" t="s">
        <v>14004</v>
      </c>
      <c r="V2800" t="s">
        <v>14004</v>
      </c>
      <c r="W2800" t="s">
        <v>16764</v>
      </c>
      <c r="X2800">
        <v>10</v>
      </c>
      <c r="Y2800" t="s">
        <v>23642</v>
      </c>
      <c r="Z2800" t="s">
        <v>30510</v>
      </c>
      <c r="AA2800">
        <v>0.51994114076340847</v>
      </c>
      <c r="AB2800" t="str">
        <f>HYPERLINK("Melting_Curves/meltCurve_P49354_FNTA.pdf", "Melting_Curves/meltCurve_P49354_FNTA.pdf")</f>
        <v>Melting_Curves/meltCurve_P49354_FNTA.pdf</v>
      </c>
    </row>
    <row r="2801" spans="1:28" x14ac:dyDescent="0.25">
      <c r="A2801" t="s">
        <v>2805</v>
      </c>
      <c r="B2801">
        <v>0.99999676499088797</v>
      </c>
      <c r="C2801">
        <v>0.98904007925297399</v>
      </c>
      <c r="D2801">
        <v>1.0048144674235699</v>
      </c>
      <c r="E2801">
        <v>0.92470588405857401</v>
      </c>
      <c r="F2801">
        <v>0.51238816011031996</v>
      </c>
      <c r="G2801">
        <v>0.20796763292047499</v>
      </c>
      <c r="H2801">
        <v>7.8909100496417098E-2</v>
      </c>
      <c r="I2801">
        <v>6.5602444424436898E-2</v>
      </c>
      <c r="J2801">
        <v>9.15372617339308E-2</v>
      </c>
      <c r="K2801">
        <v>7.3169423327826097E-2</v>
      </c>
      <c r="L2801">
        <v>1653.4420079128899</v>
      </c>
      <c r="M2801">
        <v>31.124559262061499</v>
      </c>
      <c r="N2801">
        <v>53.402692063911203</v>
      </c>
      <c r="O2801">
        <v>52.9055364576895</v>
      </c>
      <c r="P2801">
        <v>-0.136029414399717</v>
      </c>
      <c r="Q2801">
        <v>7.5113870215451503E-2</v>
      </c>
      <c r="R2801">
        <v>0.99887509592618595</v>
      </c>
      <c r="S2801" t="s">
        <v>9804</v>
      </c>
      <c r="T2801" t="s">
        <v>14004</v>
      </c>
      <c r="U2801" t="s">
        <v>14004</v>
      </c>
      <c r="V2801" t="s">
        <v>14004</v>
      </c>
      <c r="W2801" t="s">
        <v>16765</v>
      </c>
      <c r="X2801">
        <v>6</v>
      </c>
      <c r="Y2801" t="s">
        <v>23643</v>
      </c>
      <c r="Z2801" t="s">
        <v>30511</v>
      </c>
      <c r="AA2801">
        <v>0.48529160790580678</v>
      </c>
      <c r="AB2801" t="str">
        <f>HYPERLINK("Melting_Curves/meltCurve_P49356_FNTB.pdf", "Melting_Curves/meltCurve_P49356_FNTB.pdf")</f>
        <v>Melting_Curves/meltCurve_P49356_FNTB.pdf</v>
      </c>
    </row>
    <row r="2802" spans="1:28" x14ac:dyDescent="0.25">
      <c r="A2802" t="s">
        <v>2806</v>
      </c>
      <c r="B2802">
        <v>0.99999676499088797</v>
      </c>
      <c r="C2802">
        <v>1.0205088700876901</v>
      </c>
      <c r="D2802">
        <v>1.0384445275455501</v>
      </c>
      <c r="E2802">
        <v>1.1128976357378899</v>
      </c>
      <c r="F2802">
        <v>1.13415804072534</v>
      </c>
      <c r="G2802">
        <v>0.85514671444185797</v>
      </c>
      <c r="H2802">
        <v>0.37155811091131902</v>
      </c>
      <c r="I2802">
        <v>0.197307257525274</v>
      </c>
      <c r="J2802">
        <v>0.13828469566742099</v>
      </c>
      <c r="K2802">
        <v>0.11980370096639401</v>
      </c>
      <c r="L2802">
        <v>2370.9176755984699</v>
      </c>
      <c r="M2802">
        <v>39.9643758638178</v>
      </c>
      <c r="N2802">
        <v>59.7877006440985</v>
      </c>
      <c r="O2802">
        <v>59.177795702686602</v>
      </c>
      <c r="P2802">
        <v>-0.14640713288358101</v>
      </c>
      <c r="Q2802">
        <v>0.132824055556998</v>
      </c>
      <c r="R2802">
        <v>0.97879168034166297</v>
      </c>
      <c r="S2802" t="s">
        <v>9805</v>
      </c>
      <c r="T2802" t="s">
        <v>14004</v>
      </c>
      <c r="U2802" t="s">
        <v>14004</v>
      </c>
      <c r="V2802" t="s">
        <v>14004</v>
      </c>
      <c r="W2802" t="s">
        <v>16766</v>
      </c>
      <c r="X2802">
        <v>17</v>
      </c>
      <c r="Y2802" t="s">
        <v>23644</v>
      </c>
      <c r="Z2802" t="s">
        <v>30512</v>
      </c>
      <c r="AA2802">
        <v>0.69487250091197261</v>
      </c>
      <c r="AB2802" t="str">
        <f>HYPERLINK("Melting_Curves/meltCurve_P49366_DHPS.pdf", "Melting_Curves/meltCurve_P49366_DHPS.pdf")</f>
        <v>Melting_Curves/meltCurve_P49366_DHPS.pdf</v>
      </c>
    </row>
    <row r="2803" spans="1:28" x14ac:dyDescent="0.25">
      <c r="A2803" t="s">
        <v>2807</v>
      </c>
      <c r="B2803">
        <v>0.99999676499088797</v>
      </c>
      <c r="C2803">
        <v>0.99683575569139105</v>
      </c>
      <c r="D2803">
        <v>1.0039781973992199</v>
      </c>
      <c r="E2803">
        <v>1.0131497926977899</v>
      </c>
      <c r="F2803">
        <v>0.97285706585180098</v>
      </c>
      <c r="G2803">
        <v>0.68689324077633196</v>
      </c>
      <c r="H2803">
        <v>0.23866432083005301</v>
      </c>
      <c r="I2803">
        <v>0.129921930566784</v>
      </c>
      <c r="J2803">
        <v>8.3520790332444902E-2</v>
      </c>
      <c r="K2803">
        <v>6.6731457938130206E-2</v>
      </c>
      <c r="L2803">
        <v>1932.93753866169</v>
      </c>
      <c r="M2803">
        <v>33.331620097496</v>
      </c>
      <c r="N2803">
        <v>58.2774883270611</v>
      </c>
      <c r="O2803">
        <v>57.783564130488898</v>
      </c>
      <c r="P2803">
        <v>-0.133315662346075</v>
      </c>
      <c r="Q2803">
        <v>7.5541991824533306E-2</v>
      </c>
      <c r="R2803">
        <v>0.99941097259189704</v>
      </c>
      <c r="S2803" t="s">
        <v>9806</v>
      </c>
      <c r="T2803" t="s">
        <v>14004</v>
      </c>
      <c r="U2803" t="s">
        <v>14004</v>
      </c>
      <c r="V2803" t="s">
        <v>14004</v>
      </c>
      <c r="W2803" t="s">
        <v>16767</v>
      </c>
      <c r="X2803">
        <v>48</v>
      </c>
      <c r="Y2803" t="s">
        <v>23645</v>
      </c>
      <c r="Z2803" t="s">
        <v>30513</v>
      </c>
      <c r="AA2803">
        <v>0.63502500516669191</v>
      </c>
      <c r="AB2803" t="str">
        <f>HYPERLINK("Melting_Curves/meltCurve_P49368_CCT3.pdf", "Melting_Curves/meltCurve_P49368_CCT3.pdf")</f>
        <v>Melting_Curves/meltCurve_P49368_CCT3.pdf</v>
      </c>
    </row>
    <row r="2804" spans="1:28" x14ac:dyDescent="0.25">
      <c r="A2804" t="s">
        <v>2808</v>
      </c>
      <c r="B2804">
        <v>0.99999676499088797</v>
      </c>
      <c r="C2804">
        <v>0.78080743991340695</v>
      </c>
      <c r="D2804">
        <v>0.498173015112095</v>
      </c>
      <c r="E2804">
        <v>0.44120559581035002</v>
      </c>
      <c r="F2804">
        <v>0.18035938352063799</v>
      </c>
      <c r="G2804">
        <v>0.103810901436414</v>
      </c>
      <c r="H2804">
        <v>4.7321109247890999E-2</v>
      </c>
      <c r="I2804">
        <v>4.37726425914403E-2</v>
      </c>
      <c r="J2804">
        <v>4.4228563121338799E-2</v>
      </c>
      <c r="K2804">
        <v>2.40804535269677E-2</v>
      </c>
      <c r="L2804">
        <v>620.01751372323497</v>
      </c>
      <c r="M2804">
        <v>13.147290555303201</v>
      </c>
      <c r="N2804">
        <v>47.262713683366599</v>
      </c>
      <c r="O2804">
        <v>46.108316317273001</v>
      </c>
      <c r="P2804">
        <v>-7.0286423299720804E-2</v>
      </c>
      <c r="Q2804">
        <v>1.41723274861533E-2</v>
      </c>
      <c r="R2804">
        <v>0.97831412030573495</v>
      </c>
      <c r="S2804" t="s">
        <v>9807</v>
      </c>
      <c r="T2804" t="s">
        <v>14004</v>
      </c>
      <c r="U2804" t="s">
        <v>14004</v>
      </c>
      <c r="V2804" t="s">
        <v>14004</v>
      </c>
      <c r="W2804" t="s">
        <v>16768</v>
      </c>
      <c r="X2804">
        <v>7</v>
      </c>
      <c r="Y2804" t="s">
        <v>23646</v>
      </c>
      <c r="Z2804" t="s">
        <v>30514</v>
      </c>
      <c r="AA2804">
        <v>0.28390525615451562</v>
      </c>
      <c r="AB2804" t="str">
        <f>HYPERLINK("Melting_Curves/meltCurve_P49406_MRPL19.pdf", "Melting_Curves/meltCurve_P49406_MRPL19.pdf")</f>
        <v>Melting_Curves/meltCurve_P49406_MRPL19.pdf</v>
      </c>
    </row>
    <row r="2805" spans="1:28" x14ac:dyDescent="0.25">
      <c r="A2805" t="s">
        <v>2809</v>
      </c>
      <c r="B2805">
        <v>0.99999676499088797</v>
      </c>
      <c r="C2805">
        <v>0.93148809870421401</v>
      </c>
      <c r="D2805">
        <v>0.92382705051918002</v>
      </c>
      <c r="E2805">
        <v>0.83247729224521205</v>
      </c>
      <c r="F2805">
        <v>0.21061375906567301</v>
      </c>
      <c r="G2805">
        <v>0.12794240834052201</v>
      </c>
      <c r="H2805">
        <v>4.8857581336145497E-2</v>
      </c>
      <c r="I2805">
        <v>4.3540582989198703E-2</v>
      </c>
      <c r="J2805">
        <v>3.9245726479499497E-2</v>
      </c>
      <c r="K2805">
        <v>3.7984089183865602E-2</v>
      </c>
      <c r="L2805">
        <v>2153.6977563107098</v>
      </c>
      <c r="M2805">
        <v>41.977393109898301</v>
      </c>
      <c r="N2805">
        <v>51.444835859671002</v>
      </c>
      <c r="O2805">
        <v>51.190110063907603</v>
      </c>
      <c r="P2805">
        <v>-0.19403908052538801</v>
      </c>
      <c r="Q2805">
        <v>5.35034618008952E-2</v>
      </c>
      <c r="R2805">
        <v>0.99196949100118903</v>
      </c>
      <c r="S2805" t="s">
        <v>9808</v>
      </c>
      <c r="T2805" t="s">
        <v>14004</v>
      </c>
      <c r="U2805" t="s">
        <v>14004</v>
      </c>
      <c r="V2805" t="s">
        <v>14004</v>
      </c>
      <c r="W2805" t="s">
        <v>16769</v>
      </c>
      <c r="X2805">
        <v>35</v>
      </c>
      <c r="Y2805" t="s">
        <v>23647</v>
      </c>
      <c r="Z2805" t="s">
        <v>30515</v>
      </c>
      <c r="AA2805">
        <v>0.41325607486059029</v>
      </c>
      <c r="AB2805" t="str">
        <f>HYPERLINK("Melting_Curves/meltCurve_P49411_TUFM.pdf", "Melting_Curves/meltCurve_P49411_TUFM.pdf")</f>
        <v>Melting_Curves/meltCurve_P49411_TUFM.pdf</v>
      </c>
    </row>
    <row r="2806" spans="1:28" x14ac:dyDescent="0.25">
      <c r="A2806" t="s">
        <v>2810</v>
      </c>
      <c r="B2806">
        <v>0.99999676499088797</v>
      </c>
      <c r="C2806">
        <v>0.88960118321817405</v>
      </c>
      <c r="D2806">
        <v>0.55011634441275803</v>
      </c>
      <c r="E2806">
        <v>0.29077799706666801</v>
      </c>
      <c r="F2806">
        <v>0.20807697731344901</v>
      </c>
      <c r="G2806">
        <v>0.136394973970202</v>
      </c>
      <c r="H2806">
        <v>5.7507504870137199E-2</v>
      </c>
      <c r="I2806">
        <v>7.4954455642330595E-2</v>
      </c>
      <c r="J2806">
        <v>6.8087844693180799E-2</v>
      </c>
      <c r="K2806">
        <v>5.1736394059996797E-2</v>
      </c>
      <c r="L2806">
        <v>893.87089777418601</v>
      </c>
      <c r="M2806">
        <v>19.187415090828399</v>
      </c>
      <c r="N2806">
        <v>46.985365095255901</v>
      </c>
      <c r="O2806">
        <v>46.0891277395082</v>
      </c>
      <c r="P2806">
        <v>-9.6256046298320505E-2</v>
      </c>
      <c r="Q2806">
        <v>7.5188068387991497E-2</v>
      </c>
      <c r="R2806">
        <v>0.99089402096545798</v>
      </c>
      <c r="S2806" t="s">
        <v>9809</v>
      </c>
      <c r="T2806" t="s">
        <v>14004</v>
      </c>
      <c r="U2806" t="s">
        <v>14004</v>
      </c>
      <c r="V2806" t="s">
        <v>14004</v>
      </c>
      <c r="W2806" t="s">
        <v>16770</v>
      </c>
      <c r="X2806">
        <v>5</v>
      </c>
      <c r="Y2806" t="s">
        <v>23648</v>
      </c>
      <c r="Z2806" t="s">
        <v>30516</v>
      </c>
      <c r="AA2806">
        <v>0.29336510095290502</v>
      </c>
      <c r="AB2806" t="str">
        <f>HYPERLINK("Melting_Curves/meltCurve_P49427_CDC34.pdf", "Melting_Curves/meltCurve_P49427_CDC34.pdf")</f>
        <v>Melting_Curves/meltCurve_P49427_CDC34.pdf</v>
      </c>
    </row>
    <row r="2807" spans="1:28" x14ac:dyDescent="0.25">
      <c r="A2807" t="s">
        <v>2811</v>
      </c>
      <c r="B2807">
        <v>0.99999676499088797</v>
      </c>
      <c r="C2807">
        <v>0.64143332730696201</v>
      </c>
      <c r="D2807">
        <v>0.41313087029965501</v>
      </c>
      <c r="E2807">
        <v>0.29450126809960903</v>
      </c>
      <c r="F2807">
        <v>0.243201010079164</v>
      </c>
      <c r="G2807">
        <v>0.20319746623530599</v>
      </c>
      <c r="H2807">
        <v>0.117265350024089</v>
      </c>
      <c r="I2807">
        <v>0.12743047014384801</v>
      </c>
      <c r="J2807">
        <v>0.15368147371820401</v>
      </c>
      <c r="K2807">
        <v>0.15451119021274101</v>
      </c>
      <c r="L2807">
        <v>863.46806916924402</v>
      </c>
      <c r="M2807">
        <v>19.5500868802749</v>
      </c>
      <c r="N2807">
        <v>45.069322823937902</v>
      </c>
      <c r="O2807">
        <v>43.712640106741198</v>
      </c>
      <c r="P2807">
        <v>-9.3705650094301707E-2</v>
      </c>
      <c r="Q2807">
        <v>0.16195247374373201</v>
      </c>
      <c r="R2807">
        <v>0.96933914494642004</v>
      </c>
      <c r="S2807" t="s">
        <v>9810</v>
      </c>
      <c r="T2807" t="s">
        <v>14004</v>
      </c>
      <c r="U2807" t="s">
        <v>14004</v>
      </c>
      <c r="V2807" t="s">
        <v>14004</v>
      </c>
      <c r="W2807" t="s">
        <v>16771</v>
      </c>
      <c r="X2807">
        <v>33</v>
      </c>
      <c r="Y2807" t="s">
        <v>23649</v>
      </c>
      <c r="Z2807" t="s">
        <v>30517</v>
      </c>
      <c r="AA2807">
        <v>0.29506929925521658</v>
      </c>
      <c r="AB2807" t="str">
        <f>HYPERLINK("Melting_Curves/meltCurve_P49454_CENPF.pdf", "Melting_Curves/meltCurve_P49454_CENPF.pdf")</f>
        <v>Melting_Curves/meltCurve_P49454_CENPF.pdf</v>
      </c>
    </row>
    <row r="2808" spans="1:28" x14ac:dyDescent="0.25">
      <c r="A2808" t="s">
        <v>2812</v>
      </c>
      <c r="B2808">
        <v>0.99999676499088797</v>
      </c>
      <c r="C2808">
        <v>0.94461748914719801</v>
      </c>
      <c r="D2808">
        <v>0.892079690852281</v>
      </c>
      <c r="E2808">
        <v>0.57733485720043198</v>
      </c>
      <c r="F2808">
        <v>0.40765873068064901</v>
      </c>
      <c r="G2808">
        <v>0.415177358162238</v>
      </c>
      <c r="H2808">
        <v>0.20992050515292299</v>
      </c>
      <c r="I2808">
        <v>0.19330108489450501</v>
      </c>
      <c r="J2808">
        <v>0.13708389301880899</v>
      </c>
      <c r="K2808">
        <v>8.52971636921247E-2</v>
      </c>
      <c r="L2808">
        <v>619.59963869637204</v>
      </c>
      <c r="M2808">
        <v>12.0230328489491</v>
      </c>
      <c r="N2808">
        <v>52.406312188159298</v>
      </c>
      <c r="O2808">
        <v>50.170834253785102</v>
      </c>
      <c r="P2808">
        <v>-5.4492671575726397E-2</v>
      </c>
      <c r="Q2808">
        <v>9.06494680992362E-2</v>
      </c>
      <c r="R2808">
        <v>0.976588555229981</v>
      </c>
      <c r="S2808" t="s">
        <v>9811</v>
      </c>
      <c r="T2808" t="s">
        <v>14004</v>
      </c>
      <c r="U2808" t="s">
        <v>14004</v>
      </c>
      <c r="V2808" t="s">
        <v>14004</v>
      </c>
      <c r="W2808" t="s">
        <v>16772</v>
      </c>
      <c r="X2808">
        <v>14</v>
      </c>
      <c r="Y2808" t="s">
        <v>23650</v>
      </c>
      <c r="Z2808" t="s">
        <v>30518</v>
      </c>
      <c r="AA2808">
        <v>0.46889034873923519</v>
      </c>
      <c r="AB2808" t="str">
        <f>HYPERLINK("Melting_Curves/meltCurve_P49458_SRP9.pdf", "Melting_Curves/meltCurve_P49458_SRP9.pdf")</f>
        <v>Melting_Curves/meltCurve_P49458_SRP9.pdf</v>
      </c>
    </row>
    <row r="2809" spans="1:28" x14ac:dyDescent="0.25">
      <c r="A2809" t="s">
        <v>2813</v>
      </c>
      <c r="B2809">
        <v>0.99999676499088797</v>
      </c>
      <c r="C2809">
        <v>1.0201386274280599</v>
      </c>
      <c r="D2809">
        <v>1.03483902844994</v>
      </c>
      <c r="E2809">
        <v>1.08623072294742</v>
      </c>
      <c r="F2809">
        <v>0.63794774899922102</v>
      </c>
      <c r="G2809">
        <v>0.33002177507192798</v>
      </c>
      <c r="H2809">
        <v>0.16595064544448801</v>
      </c>
      <c r="I2809">
        <v>0.159286795504989</v>
      </c>
      <c r="J2809">
        <v>0.141822293883795</v>
      </c>
      <c r="K2809">
        <v>0.137096662192107</v>
      </c>
      <c r="L2809">
        <v>1882.16700256847</v>
      </c>
      <c r="M2809">
        <v>34.847705037414002</v>
      </c>
      <c r="N2809">
        <v>54.581426313990697</v>
      </c>
      <c r="O2809">
        <v>53.834284869268998</v>
      </c>
      <c r="P2809">
        <v>-0.13713797480961001</v>
      </c>
      <c r="Q2809">
        <v>0.15257573030017399</v>
      </c>
      <c r="R2809">
        <v>0.986626125134485</v>
      </c>
      <c r="S2809" t="s">
        <v>9812</v>
      </c>
      <c r="T2809" t="s">
        <v>14004</v>
      </c>
      <c r="U2809" t="s">
        <v>14004</v>
      </c>
      <c r="V2809" t="s">
        <v>14004</v>
      </c>
      <c r="W2809" t="s">
        <v>16773</v>
      </c>
      <c r="X2809">
        <v>5</v>
      </c>
      <c r="Y2809" t="s">
        <v>23651</v>
      </c>
      <c r="Z2809" t="s">
        <v>30519</v>
      </c>
      <c r="AA2809">
        <v>0.55251111678517772</v>
      </c>
      <c r="AB2809" t="str">
        <f>HYPERLINK("Melting_Curves/meltCurve_P49459_UBE2A.pdf", "Melting_Curves/meltCurve_P49459_UBE2A.pdf")</f>
        <v>Melting_Curves/meltCurve_P49459_UBE2A.pdf</v>
      </c>
    </row>
    <row r="2810" spans="1:28" x14ac:dyDescent="0.25">
      <c r="A2810" t="s">
        <v>2814</v>
      </c>
      <c r="B2810">
        <v>0.99999676499088797</v>
      </c>
      <c r="C2810">
        <v>0.94851968734066905</v>
      </c>
      <c r="D2810">
        <v>0.85345056810752196</v>
      </c>
      <c r="E2810">
        <v>0.68695422317778598</v>
      </c>
      <c r="F2810">
        <v>0.41478199284627598</v>
      </c>
      <c r="G2810">
        <v>0.23918734975932099</v>
      </c>
      <c r="H2810">
        <v>0.119382761235656</v>
      </c>
      <c r="I2810">
        <v>0.11059184522483501</v>
      </c>
      <c r="J2810">
        <v>0.113837312616672</v>
      </c>
      <c r="K2810">
        <v>9.57834315724546E-2</v>
      </c>
      <c r="L2810">
        <v>820.569653966788</v>
      </c>
      <c r="M2810">
        <v>15.9705900816205</v>
      </c>
      <c r="N2810">
        <v>51.908487996898302</v>
      </c>
      <c r="O2810">
        <v>50.594720018310497</v>
      </c>
      <c r="P2810">
        <v>-7.2999325646561503E-2</v>
      </c>
      <c r="Q2810">
        <v>7.5027620080958202E-2</v>
      </c>
      <c r="R2810">
        <v>0.99816480951125797</v>
      </c>
      <c r="S2810" t="s">
        <v>9813</v>
      </c>
      <c r="T2810" t="s">
        <v>14004</v>
      </c>
      <c r="U2810" t="s">
        <v>14004</v>
      </c>
      <c r="V2810" t="s">
        <v>14004</v>
      </c>
      <c r="W2810" t="s">
        <v>16774</v>
      </c>
      <c r="X2810">
        <v>17</v>
      </c>
      <c r="Y2810" t="s">
        <v>23652</v>
      </c>
      <c r="Z2810" t="s">
        <v>30520</v>
      </c>
      <c r="AA2810">
        <v>0.44495623176182569</v>
      </c>
      <c r="AB2810" t="str">
        <f>HYPERLINK("Melting_Curves/meltCurve_P49585_PCYT1A.pdf", "Melting_Curves/meltCurve_P49585_PCYT1A.pdf")</f>
        <v>Melting_Curves/meltCurve_P49585_PCYT1A.pdf</v>
      </c>
    </row>
    <row r="2811" spans="1:28" x14ac:dyDescent="0.25">
      <c r="A2811" t="s">
        <v>2815</v>
      </c>
      <c r="B2811">
        <v>0.99999676499088797</v>
      </c>
      <c r="C2811">
        <v>1.03185034844037</v>
      </c>
      <c r="D2811">
        <v>0.99082190436573103</v>
      </c>
      <c r="E2811">
        <v>0.92923601475510398</v>
      </c>
      <c r="F2811">
        <v>0.50481980004037297</v>
      </c>
      <c r="G2811">
        <v>0.199527045259001</v>
      </c>
      <c r="H2811">
        <v>9.1314082232428706E-2</v>
      </c>
      <c r="I2811">
        <v>9.3488723154422804E-2</v>
      </c>
      <c r="J2811">
        <v>9.19531190950236E-2</v>
      </c>
      <c r="K2811">
        <v>7.9665668637472598E-2</v>
      </c>
      <c r="L2811">
        <v>1741.0694764862401</v>
      </c>
      <c r="M2811">
        <v>32.845733198557099</v>
      </c>
      <c r="N2811">
        <v>53.321589943342602</v>
      </c>
      <c r="O2811">
        <v>52.812162215504998</v>
      </c>
      <c r="P2811">
        <v>-0.14180787668469</v>
      </c>
      <c r="Q2811">
        <v>8.7961328998287402E-2</v>
      </c>
      <c r="R2811">
        <v>0.99882146420048101</v>
      </c>
      <c r="S2811" t="s">
        <v>9814</v>
      </c>
      <c r="T2811" t="s">
        <v>14004</v>
      </c>
      <c r="U2811" t="s">
        <v>14004</v>
      </c>
      <c r="V2811" t="s">
        <v>14004</v>
      </c>
      <c r="W2811" t="s">
        <v>16775</v>
      </c>
      <c r="X2811">
        <v>64</v>
      </c>
      <c r="Y2811" t="s">
        <v>23653</v>
      </c>
      <c r="Z2811" t="s">
        <v>30521</v>
      </c>
      <c r="AA2811">
        <v>0.48835288020639922</v>
      </c>
      <c r="AB2811" t="str">
        <f>HYPERLINK("Melting_Curves/meltCurve_P49588_AARS.pdf", "Melting_Curves/meltCurve_P49588_AARS.pdf")</f>
        <v>Melting_Curves/meltCurve_P49588_AARS.pdf</v>
      </c>
    </row>
    <row r="2812" spans="1:28" x14ac:dyDescent="0.25">
      <c r="A2812" t="s">
        <v>2816</v>
      </c>
      <c r="B2812">
        <v>0.99999676499088797</v>
      </c>
      <c r="C2812">
        <v>0.97914899604155403</v>
      </c>
      <c r="D2812">
        <v>0.97646390219104595</v>
      </c>
      <c r="E2812">
        <v>0.99619072932463404</v>
      </c>
      <c r="F2812">
        <v>0.342047948294261</v>
      </c>
      <c r="G2812">
        <v>0.215895644745971</v>
      </c>
      <c r="H2812">
        <v>0.100788369145174</v>
      </c>
      <c r="I2812">
        <v>9.7644994629099494E-2</v>
      </c>
      <c r="J2812">
        <v>8.7593890597018498E-2</v>
      </c>
      <c r="K2812">
        <v>6.8742478128353601E-2</v>
      </c>
      <c r="L2812">
        <v>3342.0382522208702</v>
      </c>
      <c r="M2812">
        <v>63.834578717173798</v>
      </c>
      <c r="N2812">
        <v>52.563460139361503</v>
      </c>
      <c r="O2812">
        <v>52.303360483289801</v>
      </c>
      <c r="P2812">
        <v>-0.27095028950912298</v>
      </c>
      <c r="Q2812">
        <v>0.111979348571418</v>
      </c>
      <c r="R2812">
        <v>0.99200735829101205</v>
      </c>
      <c r="S2812" t="s">
        <v>9815</v>
      </c>
      <c r="T2812" t="s">
        <v>14004</v>
      </c>
      <c r="U2812" t="s">
        <v>14004</v>
      </c>
      <c r="V2812" t="s">
        <v>14004</v>
      </c>
      <c r="W2812" t="s">
        <v>16776</v>
      </c>
      <c r="X2812">
        <v>38</v>
      </c>
      <c r="Y2812" t="s">
        <v>23654</v>
      </c>
      <c r="Z2812" t="s">
        <v>30522</v>
      </c>
      <c r="AA2812">
        <v>0.47894152394889</v>
      </c>
      <c r="AB2812" t="str">
        <f>HYPERLINK("Melting_Curves/meltCurve_P49589_3_CARS.pdf", "Melting_Curves/meltCurve_P49589_3_CARS.pdf")</f>
        <v>Melting_Curves/meltCurve_P49589_3_CARS.pdf</v>
      </c>
    </row>
    <row r="2813" spans="1:28" x14ac:dyDescent="0.25">
      <c r="A2813" t="s">
        <v>2817</v>
      </c>
      <c r="B2813">
        <v>0.99999676499088797</v>
      </c>
      <c r="C2813">
        <v>0.909956764395772</v>
      </c>
      <c r="D2813">
        <v>0.89005739830923203</v>
      </c>
      <c r="E2813">
        <v>0.89436575602684998</v>
      </c>
      <c r="F2813">
        <v>0.70738791598478501</v>
      </c>
      <c r="G2813">
        <v>0.259949450087682</v>
      </c>
      <c r="H2813">
        <v>0.101327528040629</v>
      </c>
      <c r="I2813">
        <v>9.4606423836321105E-2</v>
      </c>
      <c r="J2813">
        <v>8.91768949268405E-2</v>
      </c>
      <c r="K2813">
        <v>8.9277159052290805E-2</v>
      </c>
      <c r="L2813">
        <v>1557.9945183562099</v>
      </c>
      <c r="M2813">
        <v>28.684264100246899</v>
      </c>
      <c r="N2813">
        <v>54.633711987429997</v>
      </c>
      <c r="O2813">
        <v>54.0533683105024</v>
      </c>
      <c r="P2813">
        <v>-0.122455533862696</v>
      </c>
      <c r="Q2813">
        <v>7.6973701808144002E-2</v>
      </c>
      <c r="R2813">
        <v>0.98415553312778303</v>
      </c>
      <c r="S2813" t="s">
        <v>9816</v>
      </c>
      <c r="T2813" t="s">
        <v>14004</v>
      </c>
      <c r="U2813" t="s">
        <v>14004</v>
      </c>
      <c r="V2813" t="s">
        <v>14004</v>
      </c>
      <c r="W2813" t="s">
        <v>16777</v>
      </c>
      <c r="X2813">
        <v>36</v>
      </c>
      <c r="Y2813" t="s">
        <v>23655</v>
      </c>
      <c r="Z2813" t="s">
        <v>30523</v>
      </c>
      <c r="AA2813">
        <v>0.52404753644859658</v>
      </c>
      <c r="AB2813" t="str">
        <f>HYPERLINK("Melting_Curves/meltCurve_P49591_SARS.pdf", "Melting_Curves/meltCurve_P49591_SARS.pdf")</f>
        <v>Melting_Curves/meltCurve_P49591_SARS.pdf</v>
      </c>
    </row>
    <row r="2814" spans="1:28" x14ac:dyDescent="0.25">
      <c r="A2814" t="s">
        <v>2818</v>
      </c>
      <c r="B2814">
        <v>0.99999676499088797</v>
      </c>
      <c r="C2814">
        <v>0.927455589463695</v>
      </c>
      <c r="D2814">
        <v>0.87245806061768405</v>
      </c>
      <c r="E2814">
        <v>0.46950643568200101</v>
      </c>
      <c r="F2814">
        <v>0.14982976067751999</v>
      </c>
      <c r="G2814">
        <v>0.103964518318282</v>
      </c>
      <c r="H2814">
        <v>4.7812577651912803E-2</v>
      </c>
      <c r="I2814">
        <v>7.1248540428726498E-2</v>
      </c>
      <c r="J2814">
        <v>7.0127216419040003E-2</v>
      </c>
      <c r="K2814">
        <v>5.9558908397972399E-2</v>
      </c>
      <c r="L2814">
        <v>1299.7246006540099</v>
      </c>
      <c r="M2814">
        <v>26.489455489806499</v>
      </c>
      <c r="N2814">
        <v>49.309203543921797</v>
      </c>
      <c r="O2814">
        <v>48.788663710133903</v>
      </c>
      <c r="P2814">
        <v>-0.12741642481696</v>
      </c>
      <c r="Q2814">
        <v>6.1300346572656601E-2</v>
      </c>
      <c r="R2814">
        <v>0.99729042689699399</v>
      </c>
      <c r="S2814" t="s">
        <v>9817</v>
      </c>
      <c r="T2814" t="s">
        <v>14004</v>
      </c>
      <c r="U2814" t="s">
        <v>14004</v>
      </c>
      <c r="V2814" t="s">
        <v>14004</v>
      </c>
      <c r="W2814" t="s">
        <v>16778</v>
      </c>
      <c r="X2814">
        <v>10</v>
      </c>
      <c r="Y2814" t="s">
        <v>23656</v>
      </c>
      <c r="Z2814" t="s">
        <v>30524</v>
      </c>
      <c r="AA2814">
        <v>0.35235508442569408</v>
      </c>
      <c r="AB2814" t="str">
        <f>HYPERLINK("Melting_Curves/meltCurve_P49642_PRIM1.pdf", "Melting_Curves/meltCurve_P49642_PRIM1.pdf")</f>
        <v>Melting_Curves/meltCurve_P49642_PRIM1.pdf</v>
      </c>
    </row>
    <row r="2815" spans="1:28" x14ac:dyDescent="0.25">
      <c r="A2815" t="s">
        <v>2819</v>
      </c>
      <c r="B2815">
        <v>0.99999676499088797</v>
      </c>
      <c r="C2815">
        <v>0.901439592492562</v>
      </c>
      <c r="D2815">
        <v>0.69165827448390105</v>
      </c>
      <c r="E2815">
        <v>0.35397309593739901</v>
      </c>
      <c r="F2815">
        <v>0.20301025094238301</v>
      </c>
      <c r="G2815">
        <v>0.13997673800247701</v>
      </c>
      <c r="H2815">
        <v>7.4255722098989702E-2</v>
      </c>
      <c r="I2815">
        <v>7.5016999278761598E-2</v>
      </c>
      <c r="J2815">
        <v>8.4756575271709503E-2</v>
      </c>
      <c r="K2815">
        <v>5.7719757521911198E-2</v>
      </c>
      <c r="L2815">
        <v>905.47854193384399</v>
      </c>
      <c r="M2815">
        <v>18.998790152235699</v>
      </c>
      <c r="N2815">
        <v>48.059877284741098</v>
      </c>
      <c r="O2815">
        <v>47.141200659871203</v>
      </c>
      <c r="P2815">
        <v>-9.3389035090296904E-2</v>
      </c>
      <c r="Q2815">
        <v>7.3141930605435099E-2</v>
      </c>
      <c r="R2815">
        <v>0.99801015558488704</v>
      </c>
      <c r="S2815" t="s">
        <v>9818</v>
      </c>
      <c r="T2815" t="s">
        <v>14004</v>
      </c>
      <c r="U2815" t="s">
        <v>14004</v>
      </c>
      <c r="V2815" t="s">
        <v>14004</v>
      </c>
      <c r="W2815" t="s">
        <v>16779</v>
      </c>
      <c r="X2815">
        <v>9</v>
      </c>
      <c r="Y2815" t="s">
        <v>23657</v>
      </c>
      <c r="Z2815" t="s">
        <v>30525</v>
      </c>
      <c r="AA2815">
        <v>0.32461728007267232</v>
      </c>
      <c r="AB2815" t="str">
        <f>HYPERLINK("Melting_Curves/meltCurve_P49643_PRIM2.pdf", "Melting_Curves/meltCurve_P49643_PRIM2.pdf")</f>
        <v>Melting_Curves/meltCurve_P49643_PRIM2.pdf</v>
      </c>
    </row>
    <row r="2816" spans="1:28" x14ac:dyDescent="0.25">
      <c r="A2816" t="s">
        <v>2820</v>
      </c>
      <c r="B2816">
        <v>0.99999676499088797</v>
      </c>
      <c r="C2816">
        <v>0.99800271033597299</v>
      </c>
      <c r="D2816">
        <v>0.92046072054274997</v>
      </c>
      <c r="E2816">
        <v>0.64096830238056501</v>
      </c>
      <c r="F2816">
        <v>0.29545506593110299</v>
      </c>
      <c r="G2816">
        <v>0.16947887631296699</v>
      </c>
      <c r="H2816">
        <v>9.3095159771776403E-2</v>
      </c>
      <c r="I2816">
        <v>6.7896842901050705E-2</v>
      </c>
      <c r="J2816">
        <v>5.9717240306957201E-2</v>
      </c>
      <c r="K2816">
        <v>7.7178018769891596E-2</v>
      </c>
      <c r="L2816">
        <v>1140.3976557579001</v>
      </c>
      <c r="M2816">
        <v>22.514331250138699</v>
      </c>
      <c r="N2816">
        <v>50.991095455689603</v>
      </c>
      <c r="O2816">
        <v>50.257551642942097</v>
      </c>
      <c r="P2816">
        <v>-0.104211479679336</v>
      </c>
      <c r="Q2816">
        <v>6.9515843422187099E-2</v>
      </c>
      <c r="R2816">
        <v>0.99914099007700197</v>
      </c>
      <c r="S2816" t="s">
        <v>9819</v>
      </c>
      <c r="T2816" t="s">
        <v>14004</v>
      </c>
      <c r="U2816" t="s">
        <v>14004</v>
      </c>
      <c r="V2816" t="s">
        <v>14004</v>
      </c>
      <c r="W2816" t="s">
        <v>16780</v>
      </c>
      <c r="X2816">
        <v>12</v>
      </c>
      <c r="Y2816" t="s">
        <v>23658</v>
      </c>
      <c r="Z2816" t="s">
        <v>30526</v>
      </c>
      <c r="AA2816">
        <v>0.41019258824564198</v>
      </c>
      <c r="AB2816" t="str">
        <f>HYPERLINK("Melting_Curves/meltCurve_P49674_CSNK1E.pdf", "Melting_Curves/meltCurve_P49674_CSNK1E.pdf")</f>
        <v>Melting_Curves/meltCurve_P49674_CSNK1E.pdf</v>
      </c>
    </row>
    <row r="2817" spans="1:28" x14ac:dyDescent="0.25">
      <c r="A2817" t="s">
        <v>2821</v>
      </c>
      <c r="B2817">
        <v>0.99999676499088797</v>
      </c>
      <c r="C2817">
        <v>1.05947998442336</v>
      </c>
      <c r="D2817">
        <v>1.0940684050217699</v>
      </c>
      <c r="E2817">
        <v>0.78473825702579403</v>
      </c>
      <c r="F2817">
        <v>0.55383471528336903</v>
      </c>
      <c r="G2817">
        <v>0.65569073360540397</v>
      </c>
      <c r="H2817">
        <v>0.38999671236741901</v>
      </c>
      <c r="I2817">
        <v>0.41699848812260898</v>
      </c>
      <c r="J2817">
        <v>0.53506060587817805</v>
      </c>
      <c r="K2817">
        <v>0.60376417159068196</v>
      </c>
      <c r="L2817">
        <v>4600.3955672688198</v>
      </c>
      <c r="M2817">
        <v>92.560661817439097</v>
      </c>
      <c r="O2817">
        <v>49.6782250762705</v>
      </c>
      <c r="P2817">
        <v>-0.22094155573048699</v>
      </c>
      <c r="Q2817">
        <v>0.52567393824841302</v>
      </c>
      <c r="R2817">
        <v>0.892217377576347</v>
      </c>
      <c r="S2817" t="s">
        <v>9820</v>
      </c>
      <c r="T2817" t="s">
        <v>14004</v>
      </c>
      <c r="U2817" t="s">
        <v>14004</v>
      </c>
      <c r="V2817" t="s">
        <v>14004</v>
      </c>
      <c r="W2817" t="s">
        <v>16781</v>
      </c>
      <c r="X2817">
        <v>14</v>
      </c>
      <c r="Y2817" t="s">
        <v>23659</v>
      </c>
      <c r="Z2817" t="s">
        <v>30527</v>
      </c>
      <c r="AA2817">
        <v>0.67936392665822964</v>
      </c>
      <c r="AB2817" t="str">
        <f>HYPERLINK("Melting_Curves/meltCurve_P49711_CTCF.pdf", "Melting_Curves/meltCurve_P49711_CTCF.pdf")</f>
        <v>Melting_Curves/meltCurve_P49711_CTCF.pdf</v>
      </c>
    </row>
    <row r="2818" spans="1:28" x14ac:dyDescent="0.25">
      <c r="A2818" t="s">
        <v>2822</v>
      </c>
      <c r="B2818">
        <v>0.99999676499088797</v>
      </c>
      <c r="C2818">
        <v>1.01890449717423</v>
      </c>
      <c r="D2818">
        <v>1.14047243221908</v>
      </c>
      <c r="E2818">
        <v>1.5585617911787999</v>
      </c>
      <c r="F2818">
        <v>1.7048516437680199</v>
      </c>
      <c r="G2818">
        <v>1.8192705451271001</v>
      </c>
      <c r="H2818">
        <v>1.3280786486026901</v>
      </c>
      <c r="I2818">
        <v>0.84453396550807402</v>
      </c>
      <c r="J2818">
        <v>0.50083937527088096</v>
      </c>
      <c r="K2818">
        <v>0.48749955485715402</v>
      </c>
      <c r="L2818">
        <v>15000</v>
      </c>
      <c r="M2818">
        <v>233.562378633799</v>
      </c>
      <c r="N2818">
        <v>65.469906677997898</v>
      </c>
      <c r="O2818">
        <v>64.217957686069298</v>
      </c>
      <c r="P2818">
        <v>-0.45994040012280002</v>
      </c>
      <c r="Q2818">
        <v>0.49415764906051601</v>
      </c>
      <c r="R2818">
        <v>0.17415286555860601</v>
      </c>
      <c r="S2818" t="s">
        <v>9821</v>
      </c>
      <c r="T2818" t="s">
        <v>14004</v>
      </c>
      <c r="U2818" t="s">
        <v>14004</v>
      </c>
      <c r="V2818" t="s">
        <v>14004</v>
      </c>
      <c r="W2818" t="s">
        <v>16782</v>
      </c>
      <c r="X2818">
        <v>14</v>
      </c>
      <c r="Y2818" t="s">
        <v>23660</v>
      </c>
      <c r="Z2818" t="s">
        <v>30528</v>
      </c>
      <c r="AA2818">
        <v>0.90265141440192331</v>
      </c>
      <c r="AB2818" t="str">
        <f>HYPERLINK("Melting_Curves/meltCurve_P49720_PSMB3.pdf", "Melting_Curves/meltCurve_P49720_PSMB3.pdf")</f>
        <v>Melting_Curves/meltCurve_P49720_PSMB3.pdf</v>
      </c>
    </row>
    <row r="2819" spans="1:28" x14ac:dyDescent="0.25">
      <c r="A2819" t="s">
        <v>2823</v>
      </c>
      <c r="B2819">
        <v>0.99999676499088797</v>
      </c>
      <c r="C2819">
        <v>1.00963681404696</v>
      </c>
      <c r="D2819">
        <v>1.11740678580703</v>
      </c>
      <c r="E2819">
        <v>1.4056194199618199</v>
      </c>
      <c r="F2819">
        <v>1.6214331675765401</v>
      </c>
      <c r="G2819">
        <v>1.6982956329185399</v>
      </c>
      <c r="H2819">
        <v>1.32466771646918</v>
      </c>
      <c r="I2819">
        <v>0.83662399813587696</v>
      </c>
      <c r="J2819">
        <v>0.50022278839209999</v>
      </c>
      <c r="K2819">
        <v>0.51063625274652502</v>
      </c>
      <c r="L2819">
        <v>15000</v>
      </c>
      <c r="M2819">
        <v>233.66829840152201</v>
      </c>
      <c r="O2819">
        <v>64.188856861625794</v>
      </c>
      <c r="P2819">
        <v>-0.45010827648319002</v>
      </c>
      <c r="Q2819">
        <v>0.50541966644298097</v>
      </c>
      <c r="R2819">
        <v>0.261969908826023</v>
      </c>
      <c r="S2819" t="s">
        <v>9822</v>
      </c>
      <c r="T2819" t="s">
        <v>14004</v>
      </c>
      <c r="U2819" t="s">
        <v>14004</v>
      </c>
      <c r="V2819" t="s">
        <v>14004</v>
      </c>
      <c r="W2819" t="s">
        <v>16783</v>
      </c>
      <c r="X2819">
        <v>17</v>
      </c>
      <c r="Y2819" t="s">
        <v>23661</v>
      </c>
      <c r="Z2819" t="s">
        <v>30529</v>
      </c>
      <c r="AA2819">
        <v>0.9043387519416165</v>
      </c>
      <c r="AB2819" t="str">
        <f>HYPERLINK("Melting_Curves/meltCurve_P49721_PSMB2.pdf", "Melting_Curves/meltCurve_P49721_PSMB2.pdf")</f>
        <v>Melting_Curves/meltCurve_P49721_PSMB2.pdf</v>
      </c>
    </row>
    <row r="2820" spans="1:28" x14ac:dyDescent="0.25">
      <c r="A2820" t="s">
        <v>2824</v>
      </c>
      <c r="B2820">
        <v>0.99999676499088797</v>
      </c>
      <c r="C2820">
        <v>0.99854441420282003</v>
      </c>
      <c r="D2820">
        <v>0.990683794501514</v>
      </c>
      <c r="E2820">
        <v>0.89535959971920298</v>
      </c>
      <c r="F2820">
        <v>0.24593632372201099</v>
      </c>
      <c r="G2820">
        <v>0.17539687376610699</v>
      </c>
      <c r="H2820">
        <v>7.6875153943385996E-2</v>
      </c>
      <c r="I2820">
        <v>7.7362372022227496E-2</v>
      </c>
      <c r="J2820">
        <v>7.1902508384472597E-2</v>
      </c>
      <c r="K2820">
        <v>6.2378920950200097E-2</v>
      </c>
      <c r="L2820">
        <v>2538.3662580290302</v>
      </c>
      <c r="M2820">
        <v>49.206839412900599</v>
      </c>
      <c r="N2820">
        <v>51.7920343455148</v>
      </c>
      <c r="O2820">
        <v>51.500656401033602</v>
      </c>
      <c r="P2820">
        <v>-0.217599401616343</v>
      </c>
      <c r="Q2820">
        <v>8.9028971964610196E-2</v>
      </c>
      <c r="R2820">
        <v>0.99586793115666195</v>
      </c>
      <c r="S2820" t="s">
        <v>9823</v>
      </c>
      <c r="T2820" t="s">
        <v>14004</v>
      </c>
      <c r="U2820" t="s">
        <v>14004</v>
      </c>
      <c r="V2820" t="s">
        <v>14004</v>
      </c>
      <c r="W2820" t="s">
        <v>14346</v>
      </c>
      <c r="X2820">
        <v>57</v>
      </c>
      <c r="Y2820" t="s">
        <v>23662</v>
      </c>
      <c r="Z2820" t="s">
        <v>30530</v>
      </c>
      <c r="AA2820">
        <v>0.44297552618092162</v>
      </c>
      <c r="AB2820" t="str">
        <f>HYPERLINK("Melting_Curves/meltCurve_P49736_MCM2.pdf", "Melting_Curves/meltCurve_P49736_MCM2.pdf")</f>
        <v>Melting_Curves/meltCurve_P49736_MCM2.pdf</v>
      </c>
    </row>
    <row r="2821" spans="1:28" x14ac:dyDescent="0.25">
      <c r="A2821" t="s">
        <v>2825</v>
      </c>
      <c r="B2821">
        <v>0.99999676499088797</v>
      </c>
      <c r="C2821">
        <v>1.10649937997063</v>
      </c>
      <c r="D2821">
        <v>1.1200732791085</v>
      </c>
      <c r="E2821">
        <v>1.3489621886386001</v>
      </c>
      <c r="F2821">
        <v>1.14870646109328</v>
      </c>
      <c r="G2821">
        <v>0.71900628624371699</v>
      </c>
      <c r="H2821">
        <v>0.25467066322253101</v>
      </c>
      <c r="I2821">
        <v>0.14617945642973099</v>
      </c>
      <c r="J2821">
        <v>0.12325944252877601</v>
      </c>
      <c r="K2821">
        <v>0.11405703765625901</v>
      </c>
      <c r="L2821">
        <v>2656.6863383392902</v>
      </c>
      <c r="M2821">
        <v>45.876740196889699</v>
      </c>
      <c r="N2821">
        <v>58.298908993513102</v>
      </c>
      <c r="O2821">
        <v>57.7995126452522</v>
      </c>
      <c r="P2821">
        <v>-0.17222854419449299</v>
      </c>
      <c r="Q2821">
        <v>0.132046985188988</v>
      </c>
      <c r="R2821">
        <v>0.92078818250106498</v>
      </c>
      <c r="S2821" t="s">
        <v>9824</v>
      </c>
      <c r="T2821" t="s">
        <v>14004</v>
      </c>
      <c r="U2821" t="s">
        <v>14004</v>
      </c>
      <c r="V2821" t="s">
        <v>14004</v>
      </c>
      <c r="W2821" t="s">
        <v>16784</v>
      </c>
      <c r="X2821">
        <v>28</v>
      </c>
      <c r="Y2821" t="s">
        <v>23663</v>
      </c>
      <c r="Z2821" t="s">
        <v>30531</v>
      </c>
      <c r="AA2821">
        <v>0.6528083507944602</v>
      </c>
      <c r="AB2821" t="str">
        <f>HYPERLINK("Melting_Curves/meltCurve_P49748_ACADVL.pdf", "Melting_Curves/meltCurve_P49748_ACADVL.pdf")</f>
        <v>Melting_Curves/meltCurve_P49748_ACADVL.pdf</v>
      </c>
    </row>
    <row r="2822" spans="1:28" x14ac:dyDescent="0.25">
      <c r="A2822" t="s">
        <v>2826</v>
      </c>
      <c r="B2822">
        <v>0.99999676499088797</v>
      </c>
      <c r="C2822">
        <v>0.92218274383875098</v>
      </c>
      <c r="D2822">
        <v>0.86757832569066595</v>
      </c>
      <c r="E2822">
        <v>0.49381118744174402</v>
      </c>
      <c r="F2822">
        <v>0.30277694603911198</v>
      </c>
      <c r="G2822">
        <v>0.205860521740098</v>
      </c>
      <c r="H2822">
        <v>0.14925955286002701</v>
      </c>
      <c r="I2822">
        <v>0.17483629944779699</v>
      </c>
      <c r="J2822">
        <v>0.22314165486405399</v>
      </c>
      <c r="K2822">
        <v>0.19938510175049101</v>
      </c>
      <c r="L2822">
        <v>1161.4336516418</v>
      </c>
      <c r="M2822">
        <v>23.825842367475499</v>
      </c>
      <c r="N2822">
        <v>49.711474841839298</v>
      </c>
      <c r="O2822">
        <v>48.407275176732</v>
      </c>
      <c r="P2822">
        <v>-0.10027421072131799</v>
      </c>
      <c r="Q2822">
        <v>0.18509920070783301</v>
      </c>
      <c r="R2822">
        <v>0.99322762323986502</v>
      </c>
      <c r="S2822" t="s">
        <v>9825</v>
      </c>
      <c r="T2822" t="s">
        <v>14004</v>
      </c>
      <c r="U2822" t="s">
        <v>14004</v>
      </c>
      <c r="V2822" t="s">
        <v>14004</v>
      </c>
      <c r="W2822" t="s">
        <v>16785</v>
      </c>
      <c r="X2822">
        <v>46</v>
      </c>
      <c r="Y2822" t="s">
        <v>23664</v>
      </c>
      <c r="Z2822" t="s">
        <v>30532</v>
      </c>
      <c r="AA2822">
        <v>0.43065983786499329</v>
      </c>
      <c r="AB2822" t="str">
        <f>HYPERLINK("Melting_Curves/meltCurve_P49750_4_YLPM1.pdf", "Melting_Curves/meltCurve_P49750_4_YLPM1.pdf")</f>
        <v>Melting_Curves/meltCurve_P49750_4_YLPM1.pdf</v>
      </c>
    </row>
    <row r="2823" spans="1:28" x14ac:dyDescent="0.25">
      <c r="A2823" t="s">
        <v>2827</v>
      </c>
      <c r="B2823">
        <v>0.99999676499088797</v>
      </c>
      <c r="C2823">
        <v>0.87558755078812001</v>
      </c>
      <c r="D2823">
        <v>0.92106437743796499</v>
      </c>
      <c r="E2823">
        <v>0.94110777778299404</v>
      </c>
      <c r="F2823">
        <v>0.62094150245772906</v>
      </c>
      <c r="G2823">
        <v>0.314770117492917</v>
      </c>
      <c r="H2823">
        <v>0.113822863417571</v>
      </c>
      <c r="I2823">
        <v>0.107712722565468</v>
      </c>
      <c r="J2823">
        <v>0.104154137979992</v>
      </c>
      <c r="K2823">
        <v>8.9043498422703093E-2</v>
      </c>
      <c r="L2823">
        <v>1330.82284797131</v>
      </c>
      <c r="M2823">
        <v>24.611063359995502</v>
      </c>
      <c r="N2823">
        <v>54.483553305742703</v>
      </c>
      <c r="O2823">
        <v>53.720952642248797</v>
      </c>
      <c r="P2823">
        <v>-0.10486507820580999</v>
      </c>
      <c r="Q2823">
        <v>8.4416431340250203E-2</v>
      </c>
      <c r="R2823">
        <v>0.98484469358468196</v>
      </c>
      <c r="S2823" t="s">
        <v>9826</v>
      </c>
      <c r="T2823" t="s">
        <v>14004</v>
      </c>
      <c r="U2823" t="s">
        <v>14004</v>
      </c>
      <c r="V2823" t="s">
        <v>14004</v>
      </c>
      <c r="W2823" t="s">
        <v>16786</v>
      </c>
      <c r="X2823">
        <v>12</v>
      </c>
      <c r="Y2823" t="s">
        <v>23665</v>
      </c>
      <c r="Z2823" t="s">
        <v>30533</v>
      </c>
      <c r="AA2823">
        <v>0.52267058097669095</v>
      </c>
      <c r="AB2823" t="str">
        <f>HYPERLINK("Melting_Curves/meltCurve_P49755_TMED10.pdf", "Melting_Curves/meltCurve_P49755_TMED10.pdf")</f>
        <v>Melting_Curves/meltCurve_P49755_TMED10.pdf</v>
      </c>
    </row>
    <row r="2824" spans="1:28" x14ac:dyDescent="0.25">
      <c r="A2824" t="s">
        <v>2828</v>
      </c>
      <c r="B2824">
        <v>0.99999676499088797</v>
      </c>
      <c r="C2824">
        <v>0.97390554187841005</v>
      </c>
      <c r="D2824">
        <v>0.68942755098092201</v>
      </c>
      <c r="E2824">
        <v>0.28898925152478899</v>
      </c>
      <c r="F2824">
        <v>0.172593558895345</v>
      </c>
      <c r="G2824">
        <v>0.118542920594949</v>
      </c>
      <c r="H2824">
        <v>5.6805338595245503E-2</v>
      </c>
      <c r="I2824">
        <v>5.6319206600462302E-2</v>
      </c>
      <c r="J2824">
        <v>5.2639779232788002E-2</v>
      </c>
      <c r="K2824">
        <v>4.9469919972772697E-2</v>
      </c>
      <c r="L2824">
        <v>1153.3143974345701</v>
      </c>
      <c r="M2824">
        <v>24.317345008786798</v>
      </c>
      <c r="N2824">
        <v>47.710773617631901</v>
      </c>
      <c r="O2824">
        <v>47.110396834180598</v>
      </c>
      <c r="P2824">
        <v>-0.120375830146707</v>
      </c>
      <c r="Q2824">
        <v>6.7189610917493994E-2</v>
      </c>
      <c r="R2824">
        <v>0.99546216556294098</v>
      </c>
      <c r="S2824" t="s">
        <v>9827</v>
      </c>
      <c r="T2824" t="s">
        <v>14004</v>
      </c>
      <c r="U2824" t="s">
        <v>14004</v>
      </c>
      <c r="V2824" t="s">
        <v>14004</v>
      </c>
      <c r="W2824" t="s">
        <v>16787</v>
      </c>
      <c r="X2824">
        <v>33</v>
      </c>
      <c r="Y2824" t="s">
        <v>23666</v>
      </c>
      <c r="Z2824" t="s">
        <v>30534</v>
      </c>
      <c r="AA2824">
        <v>0.30692969609865373</v>
      </c>
      <c r="AB2824" t="str">
        <f>HYPERLINK("Melting_Curves/meltCurve_P49756_RBM25.pdf", "Melting_Curves/meltCurve_P49756_RBM25.pdf")</f>
        <v>Melting_Curves/meltCurve_P49756_RBM25.pdf</v>
      </c>
    </row>
    <row r="2825" spans="1:28" x14ac:dyDescent="0.25">
      <c r="A2825" t="s">
        <v>2829</v>
      </c>
      <c r="B2825">
        <v>0.99999676499088797</v>
      </c>
      <c r="C2825">
        <v>0.89234819113278896</v>
      </c>
      <c r="D2825">
        <v>0.8333438866856</v>
      </c>
      <c r="E2825">
        <v>0.72496026273374403</v>
      </c>
      <c r="F2825">
        <v>0.45753967709204901</v>
      </c>
      <c r="G2825">
        <v>0.27281009688657598</v>
      </c>
      <c r="H2825">
        <v>0.16954508814239999</v>
      </c>
      <c r="I2825">
        <v>0.18704036497231899</v>
      </c>
      <c r="J2825">
        <v>0.16420163548250399</v>
      </c>
      <c r="K2825">
        <v>0.167526708622457</v>
      </c>
      <c r="L2825">
        <v>749.23363683725302</v>
      </c>
      <c r="M2825">
        <v>14.597358169419101</v>
      </c>
      <c r="N2825">
        <v>52.385997401563699</v>
      </c>
      <c r="O2825">
        <v>50.3922425884764</v>
      </c>
      <c r="P2825">
        <v>-6.3170556365678601E-2</v>
      </c>
      <c r="Q2825">
        <v>0.12780138307393701</v>
      </c>
      <c r="R2825">
        <v>0.989847023088957</v>
      </c>
      <c r="S2825" t="s">
        <v>9828</v>
      </c>
      <c r="T2825" t="s">
        <v>14004</v>
      </c>
      <c r="U2825" t="s">
        <v>14004</v>
      </c>
      <c r="V2825" t="s">
        <v>14004</v>
      </c>
      <c r="W2825" t="s">
        <v>16788</v>
      </c>
      <c r="X2825">
        <v>13</v>
      </c>
      <c r="Y2825" t="s">
        <v>23667</v>
      </c>
      <c r="Z2825" t="s">
        <v>30535</v>
      </c>
      <c r="AA2825">
        <v>0.4779355020798377</v>
      </c>
      <c r="AB2825" t="str">
        <f>HYPERLINK("Melting_Curves/meltCurve_P49757_4_NUMB.pdf", "Melting_Curves/meltCurve_P49757_4_NUMB.pdf")</f>
        <v>Melting_Curves/meltCurve_P49757_4_NUMB.pdf</v>
      </c>
    </row>
    <row r="2826" spans="1:28" x14ac:dyDescent="0.25">
      <c r="A2826" t="s">
        <v>2830</v>
      </c>
      <c r="B2826">
        <v>0.99999676499088797</v>
      </c>
      <c r="C2826">
        <v>0.94919953703174198</v>
      </c>
      <c r="D2826">
        <v>0.99333107716597702</v>
      </c>
      <c r="E2826">
        <v>1.0662958487348</v>
      </c>
      <c r="F2826">
        <v>1.1835728383595101</v>
      </c>
      <c r="G2826">
        <v>0.91553099054980003</v>
      </c>
      <c r="H2826">
        <v>0.81002896224499699</v>
      </c>
      <c r="I2826">
        <v>0.64517145004860099</v>
      </c>
      <c r="J2826">
        <v>0.59011295082920801</v>
      </c>
      <c r="K2826">
        <v>0.91828936736674904</v>
      </c>
      <c r="L2826">
        <v>2694.0622398602</v>
      </c>
      <c r="M2826">
        <v>45.9588949006951</v>
      </c>
      <c r="O2826">
        <v>58.508293398714699</v>
      </c>
      <c r="P2826">
        <v>-5.3809769291612998E-2</v>
      </c>
      <c r="Q2826">
        <v>0.72598871807788001</v>
      </c>
      <c r="R2826">
        <v>0.63987546627306202</v>
      </c>
      <c r="S2826" t="s">
        <v>9829</v>
      </c>
      <c r="T2826" t="s">
        <v>14004</v>
      </c>
      <c r="U2826" t="s">
        <v>14004</v>
      </c>
      <c r="V2826" t="s">
        <v>14004</v>
      </c>
      <c r="W2826" t="s">
        <v>16789</v>
      </c>
      <c r="X2826">
        <v>5</v>
      </c>
      <c r="Y2826" t="s">
        <v>23668</v>
      </c>
      <c r="Z2826" t="s">
        <v>30536</v>
      </c>
      <c r="AA2826">
        <v>0.89687829330399582</v>
      </c>
      <c r="AB2826" t="str">
        <f>HYPERLINK("Melting_Curves/meltCurve_P49768_2_PSEN1.pdf", "Melting_Curves/meltCurve_P49768_2_PSEN1.pdf")</f>
        <v>Melting_Curves/meltCurve_P49768_2_PSEN1.pdf</v>
      </c>
    </row>
    <row r="2827" spans="1:28" x14ac:dyDescent="0.25">
      <c r="A2827" t="s">
        <v>2831</v>
      </c>
      <c r="B2827">
        <v>0.99999676499088797</v>
      </c>
      <c r="C2827">
        <v>0.88186443087592203</v>
      </c>
      <c r="D2827">
        <v>0.86593497369730799</v>
      </c>
      <c r="E2827">
        <v>0.71879609350336304</v>
      </c>
      <c r="F2827">
        <v>0.47431652099935601</v>
      </c>
      <c r="G2827">
        <v>0.28560644732593599</v>
      </c>
      <c r="H2827">
        <v>0.11891151677272099</v>
      </c>
      <c r="I2827">
        <v>0.107070375273985</v>
      </c>
      <c r="J2827">
        <v>0.116515903004601</v>
      </c>
      <c r="K2827">
        <v>8.3484180604482303E-2</v>
      </c>
      <c r="L2827">
        <v>713.81065528002398</v>
      </c>
      <c r="M2827">
        <v>13.647490126427201</v>
      </c>
      <c r="N2827">
        <v>52.644549839775102</v>
      </c>
      <c r="O2827">
        <v>51.218785491802102</v>
      </c>
      <c r="P2827">
        <v>-6.3804191951980394E-2</v>
      </c>
      <c r="Q2827">
        <v>4.2316065156274098E-2</v>
      </c>
      <c r="R2827">
        <v>0.99223223840811803</v>
      </c>
      <c r="S2827" t="s">
        <v>9830</v>
      </c>
      <c r="T2827" t="s">
        <v>14004</v>
      </c>
      <c r="U2827" t="s">
        <v>14004</v>
      </c>
      <c r="V2827" t="s">
        <v>14004</v>
      </c>
      <c r="W2827" t="s">
        <v>16790</v>
      </c>
      <c r="X2827">
        <v>12</v>
      </c>
      <c r="Y2827" t="s">
        <v>23669</v>
      </c>
      <c r="Z2827" t="s">
        <v>30537</v>
      </c>
      <c r="AA2827">
        <v>0.45933286247733113</v>
      </c>
      <c r="AB2827" t="str">
        <f>HYPERLINK("Melting_Curves/meltCurve_P49770_EIF2B2.pdf", "Melting_Curves/meltCurve_P49770_EIF2B2.pdf")</f>
        <v>Melting_Curves/meltCurve_P49770_EIF2B2.pdf</v>
      </c>
    </row>
    <row r="2828" spans="1:28" x14ac:dyDescent="0.25">
      <c r="A2828" t="s">
        <v>2832</v>
      </c>
      <c r="B2828">
        <v>0.99999676499088797</v>
      </c>
      <c r="C2828">
        <v>0.889058866745562</v>
      </c>
      <c r="D2828">
        <v>0.81186976888254803</v>
      </c>
      <c r="E2828">
        <v>0.635291713029706</v>
      </c>
      <c r="F2828">
        <v>0.60295386798380102</v>
      </c>
      <c r="G2828">
        <v>0.490790224930787</v>
      </c>
      <c r="H2828">
        <v>0.19704403935860201</v>
      </c>
      <c r="I2828">
        <v>0.131656038398965</v>
      </c>
      <c r="J2828">
        <v>0.113596893683126</v>
      </c>
      <c r="K2828">
        <v>0.13138627235504199</v>
      </c>
      <c r="L2828">
        <v>505.46357836631398</v>
      </c>
      <c r="M2828">
        <v>9.3485944814504407</v>
      </c>
      <c r="N2828">
        <v>54.068403292521097</v>
      </c>
      <c r="O2828">
        <v>51.767366327515703</v>
      </c>
      <c r="P2828">
        <v>-4.5175525397887703E-2</v>
      </c>
      <c r="Q2828">
        <v>0</v>
      </c>
      <c r="R2828">
        <v>0.97083500973989001</v>
      </c>
      <c r="S2828" t="s">
        <v>9831</v>
      </c>
      <c r="T2828" t="s">
        <v>14004</v>
      </c>
      <c r="U2828" t="s">
        <v>14004</v>
      </c>
      <c r="V2828" t="s">
        <v>14004</v>
      </c>
      <c r="W2828" t="s">
        <v>16791</v>
      </c>
      <c r="X2828">
        <v>12</v>
      </c>
      <c r="Y2828" t="s">
        <v>23670</v>
      </c>
      <c r="Z2828" t="s">
        <v>30538</v>
      </c>
      <c r="AA2828">
        <v>0.50014343932555549</v>
      </c>
      <c r="AB2828" t="str">
        <f>HYPERLINK("Melting_Curves/meltCurve_P49773_HINT1.pdf", "Melting_Curves/meltCurve_P49773_HINT1.pdf")</f>
        <v>Melting_Curves/meltCurve_P49773_HINT1.pdf</v>
      </c>
    </row>
    <row r="2829" spans="1:28" x14ac:dyDescent="0.25">
      <c r="A2829" t="s">
        <v>2833</v>
      </c>
      <c r="B2829">
        <v>0.99999676499088797</v>
      </c>
      <c r="C2829">
        <v>0.99559583934835305</v>
      </c>
      <c r="D2829">
        <v>1.0327940960747</v>
      </c>
      <c r="E2829">
        <v>1.00904670133907</v>
      </c>
      <c r="F2829">
        <v>1.4291295560172701</v>
      </c>
      <c r="G2829">
        <v>0.83994122937014803</v>
      </c>
      <c r="H2829">
        <v>0.72144979881768301</v>
      </c>
      <c r="I2829">
        <v>0.62301841070529396</v>
      </c>
      <c r="J2829">
        <v>0.57900628352456596</v>
      </c>
      <c r="K2829">
        <v>0.64933714293273204</v>
      </c>
      <c r="L2829">
        <v>14211.719804772199</v>
      </c>
      <c r="M2829">
        <v>250</v>
      </c>
      <c r="O2829">
        <v>56.843240719616297</v>
      </c>
      <c r="P2829">
        <v>-0.392303793422352</v>
      </c>
      <c r="Q2829">
        <v>0.64320289273700804</v>
      </c>
      <c r="R2829">
        <v>0.67614290448613001</v>
      </c>
      <c r="S2829" t="s">
        <v>9832</v>
      </c>
      <c r="T2829" t="s">
        <v>14004</v>
      </c>
      <c r="U2829" t="s">
        <v>14004</v>
      </c>
      <c r="V2829" t="s">
        <v>14004</v>
      </c>
      <c r="W2829" t="s">
        <v>16792</v>
      </c>
      <c r="X2829">
        <v>3</v>
      </c>
      <c r="Y2829" t="s">
        <v>23671</v>
      </c>
      <c r="Z2829" t="s">
        <v>30539</v>
      </c>
      <c r="AA2829">
        <v>0.84360241446495376</v>
      </c>
      <c r="AB2829" t="str">
        <f>HYPERLINK("Melting_Curves/meltCurve_P49789_FHIT.pdf", "Melting_Curves/meltCurve_P49789_FHIT.pdf")</f>
        <v>Melting_Curves/meltCurve_P49789_FHIT.pdf</v>
      </c>
    </row>
    <row r="2830" spans="1:28" x14ac:dyDescent="0.25">
      <c r="A2830" t="s">
        <v>2834</v>
      </c>
      <c r="B2830">
        <v>0.99999676499088797</v>
      </c>
      <c r="C2830">
        <v>0.98840452226604003</v>
      </c>
      <c r="D2830">
        <v>0.87493309376617501</v>
      </c>
      <c r="E2830">
        <v>0.64169218689748897</v>
      </c>
      <c r="F2830">
        <v>0.42836162847970199</v>
      </c>
      <c r="G2830">
        <v>0.29079296441663299</v>
      </c>
      <c r="H2830">
        <v>0.28979000279123102</v>
      </c>
      <c r="I2830">
        <v>0.48328400803263</v>
      </c>
      <c r="J2830">
        <v>0.58199388529340301</v>
      </c>
      <c r="K2830">
        <v>0.84907437870635405</v>
      </c>
      <c r="L2830">
        <v>1651.07051887029</v>
      </c>
      <c r="M2830">
        <v>34.526572518313898</v>
      </c>
      <c r="N2830">
        <v>53.759445547016</v>
      </c>
      <c r="O2830">
        <v>47.660718978178799</v>
      </c>
      <c r="P2830">
        <v>-9.2550182422992899E-2</v>
      </c>
      <c r="Q2830">
        <v>0.48897428545034499</v>
      </c>
      <c r="R2830">
        <v>0.66135754837058003</v>
      </c>
      <c r="S2830" t="s">
        <v>9833</v>
      </c>
      <c r="T2830" t="s">
        <v>14004</v>
      </c>
      <c r="U2830" t="s">
        <v>14004</v>
      </c>
      <c r="V2830" t="s">
        <v>14004</v>
      </c>
      <c r="W2830" t="s">
        <v>16793</v>
      </c>
      <c r="X2830">
        <v>47</v>
      </c>
      <c r="Y2830" t="s">
        <v>23672</v>
      </c>
      <c r="Z2830" t="s">
        <v>30540</v>
      </c>
      <c r="AA2830">
        <v>0.62447877586221168</v>
      </c>
      <c r="AB2830" t="str">
        <f>HYPERLINK("Melting_Curves/meltCurve_P49790_NUP153.pdf", "Melting_Curves/meltCurve_P49790_NUP153.pdf")</f>
        <v>Melting_Curves/meltCurve_P49790_NUP153.pdf</v>
      </c>
    </row>
    <row r="2831" spans="1:28" x14ac:dyDescent="0.25">
      <c r="A2831" t="s">
        <v>2835</v>
      </c>
      <c r="B2831">
        <v>0.99999676499088797</v>
      </c>
      <c r="C2831">
        <v>0.92606705656143695</v>
      </c>
      <c r="D2831">
        <v>0.57311476082718804</v>
      </c>
      <c r="E2831">
        <v>0.26534628381509501</v>
      </c>
      <c r="F2831">
        <v>0.18955344803736099</v>
      </c>
      <c r="G2831">
        <v>0.12899390426465401</v>
      </c>
      <c r="H2831">
        <v>6.4244279093676096E-2</v>
      </c>
      <c r="I2831">
        <v>5.7879470894968803E-2</v>
      </c>
      <c r="J2831">
        <v>5.4982902394620801E-2</v>
      </c>
      <c r="K2831">
        <v>4.8202754753902601E-2</v>
      </c>
      <c r="L2831">
        <v>1015.91215226948</v>
      </c>
      <c r="M2831">
        <v>21.773639312813799</v>
      </c>
      <c r="N2831">
        <v>46.997839536331902</v>
      </c>
      <c r="O2831">
        <v>46.269686826897598</v>
      </c>
      <c r="P2831">
        <v>-0.109076345140679</v>
      </c>
      <c r="Q2831">
        <v>7.2858677835820895E-2</v>
      </c>
      <c r="R2831">
        <v>0.99173129931300896</v>
      </c>
      <c r="S2831" t="s">
        <v>9834</v>
      </c>
      <c r="T2831" t="s">
        <v>14004</v>
      </c>
      <c r="U2831" t="s">
        <v>14004</v>
      </c>
      <c r="V2831" t="s">
        <v>14004</v>
      </c>
      <c r="W2831" t="s">
        <v>16794</v>
      </c>
      <c r="X2831">
        <v>20</v>
      </c>
      <c r="Y2831" t="s">
        <v>23673</v>
      </c>
      <c r="Z2831" t="s">
        <v>30541</v>
      </c>
      <c r="AA2831">
        <v>0.29000544064570999</v>
      </c>
      <c r="AB2831" t="str">
        <f>HYPERLINK("Melting_Curves/meltCurve_P49792_RANBP2.pdf", "Melting_Curves/meltCurve_P49792_RANBP2.pdf")</f>
        <v>Melting_Curves/meltCurve_P49792_RANBP2.pdf</v>
      </c>
    </row>
    <row r="2832" spans="1:28" x14ac:dyDescent="0.25">
      <c r="A2832" t="s">
        <v>2836</v>
      </c>
      <c r="B2832">
        <v>0.99999676499088797</v>
      </c>
      <c r="C2832">
        <v>1.00557942015407</v>
      </c>
      <c r="D2832">
        <v>0.801419854052556</v>
      </c>
      <c r="E2832">
        <v>0.367512929916606</v>
      </c>
      <c r="F2832">
        <v>0.277320991006832</v>
      </c>
      <c r="G2832">
        <v>0.151512441493561</v>
      </c>
      <c r="H2832">
        <v>9.0322593843627799E-2</v>
      </c>
      <c r="I2832">
        <v>7.48476797991562E-2</v>
      </c>
      <c r="J2832">
        <v>7.5878677222546903E-2</v>
      </c>
      <c r="K2832">
        <v>6.4222346517413501E-2</v>
      </c>
      <c r="L2832">
        <v>1076.67146258821</v>
      </c>
      <c r="M2832">
        <v>22.219457676128801</v>
      </c>
      <c r="N2832">
        <v>48.884063117847703</v>
      </c>
      <c r="O2832">
        <v>48.068886050143</v>
      </c>
      <c r="P2832">
        <v>-0.10535190162942699</v>
      </c>
      <c r="Q2832">
        <v>8.8359698399623293E-2</v>
      </c>
      <c r="R2832">
        <v>0.988910918763794</v>
      </c>
      <c r="S2832" t="s">
        <v>9835</v>
      </c>
      <c r="T2832" t="s">
        <v>14004</v>
      </c>
      <c r="U2832" t="s">
        <v>14004</v>
      </c>
      <c r="V2832" t="s">
        <v>14004</v>
      </c>
      <c r="W2832" t="s">
        <v>16795</v>
      </c>
      <c r="X2832">
        <v>2</v>
      </c>
      <c r="Y2832" t="s">
        <v>23674</v>
      </c>
      <c r="Z2832" t="s">
        <v>30542</v>
      </c>
      <c r="AA2832">
        <v>0.35564444737321821</v>
      </c>
      <c r="AB2832" t="str">
        <f>HYPERLINK("Melting_Curves/meltCurve_P49795_RGS19.pdf", "Melting_Curves/meltCurve_P49795_RGS19.pdf")</f>
        <v>Melting_Curves/meltCurve_P49795_RGS19.pdf</v>
      </c>
    </row>
    <row r="2833" spans="1:28" x14ac:dyDescent="0.25">
      <c r="A2833" t="s">
        <v>2837</v>
      </c>
      <c r="B2833">
        <v>0.99999676499088797</v>
      </c>
      <c r="C2833">
        <v>1.00162037881804</v>
      </c>
      <c r="D2833">
        <v>0.95046878008950297</v>
      </c>
      <c r="E2833">
        <v>0.82501974854747695</v>
      </c>
      <c r="F2833">
        <v>0.55965247911259497</v>
      </c>
      <c r="G2833">
        <v>0.22968703312782701</v>
      </c>
      <c r="H2833">
        <v>7.3648036032585296E-2</v>
      </c>
      <c r="I2833">
        <v>8.3398509048779504E-2</v>
      </c>
      <c r="J2833">
        <v>8.3842743265304595E-2</v>
      </c>
      <c r="K2833">
        <v>8.7325556893336903E-2</v>
      </c>
      <c r="L2833">
        <v>1207.37807889954</v>
      </c>
      <c r="M2833">
        <v>22.698068282019602</v>
      </c>
      <c r="N2833">
        <v>53.503808935886198</v>
      </c>
      <c r="O2833">
        <v>52.785266642155001</v>
      </c>
      <c r="P2833">
        <v>-0.10086369103432601</v>
      </c>
      <c r="Q2833">
        <v>6.17682980228361E-2</v>
      </c>
      <c r="R2833">
        <v>0.99724918057876</v>
      </c>
      <c r="S2833" t="s">
        <v>9836</v>
      </c>
      <c r="T2833" t="s">
        <v>14004</v>
      </c>
      <c r="U2833" t="s">
        <v>14004</v>
      </c>
      <c r="V2833" t="s">
        <v>14004</v>
      </c>
      <c r="W2833" t="s">
        <v>16796</v>
      </c>
      <c r="X2833">
        <v>13</v>
      </c>
      <c r="Y2833" t="s">
        <v>23675</v>
      </c>
      <c r="Z2833" t="s">
        <v>30543</v>
      </c>
      <c r="AA2833">
        <v>0.48469807029700962</v>
      </c>
      <c r="AB2833" t="str">
        <f>HYPERLINK("Melting_Curves/meltCurve_P49840_GSK3A.pdf", "Melting_Curves/meltCurve_P49840_GSK3A.pdf")</f>
        <v>Melting_Curves/meltCurve_P49840_GSK3A.pdf</v>
      </c>
    </row>
    <row r="2834" spans="1:28" x14ac:dyDescent="0.25">
      <c r="A2834" t="s">
        <v>2838</v>
      </c>
      <c r="B2834">
        <v>0.99999676499088797</v>
      </c>
      <c r="C2834">
        <v>1.02006250968669</v>
      </c>
      <c r="D2834">
        <v>1.0581325112026201</v>
      </c>
      <c r="E2834">
        <v>1.0752799409376801</v>
      </c>
      <c r="F2834">
        <v>0.798798369170726</v>
      </c>
      <c r="G2834">
        <v>0.47053112287201998</v>
      </c>
      <c r="H2834">
        <v>7.4480394799252295E-2</v>
      </c>
      <c r="I2834">
        <v>5.52743254774649E-2</v>
      </c>
      <c r="J2834">
        <v>4.68076666864045E-2</v>
      </c>
      <c r="K2834">
        <v>3.6718050221788902E-2</v>
      </c>
      <c r="L2834">
        <v>1697.62275284465</v>
      </c>
      <c r="M2834">
        <v>30.2067834841944</v>
      </c>
      <c r="N2834">
        <v>56.302603461275602</v>
      </c>
      <c r="O2834">
        <v>55.955465519034199</v>
      </c>
      <c r="P2834">
        <v>-0.131347380605944</v>
      </c>
      <c r="Q2834">
        <v>2.6767317803572901E-2</v>
      </c>
      <c r="R2834">
        <v>0.99090698102015995</v>
      </c>
      <c r="S2834" t="s">
        <v>9837</v>
      </c>
      <c r="T2834" t="s">
        <v>14004</v>
      </c>
      <c r="U2834" t="s">
        <v>14004</v>
      </c>
      <c r="V2834" t="s">
        <v>14004</v>
      </c>
      <c r="W2834" t="s">
        <v>16797</v>
      </c>
      <c r="X2834">
        <v>15</v>
      </c>
      <c r="Y2834" t="s">
        <v>23676</v>
      </c>
      <c r="Z2834" t="s">
        <v>30544</v>
      </c>
      <c r="AA2834">
        <v>0.55872603105508445</v>
      </c>
      <c r="AB2834" t="str">
        <f>HYPERLINK("Melting_Curves/meltCurve_P49841_GSK3B.pdf", "Melting_Curves/meltCurve_P49841_GSK3B.pdf")</f>
        <v>Melting_Curves/meltCurve_P49841_GSK3B.pdf</v>
      </c>
    </row>
    <row r="2835" spans="1:28" x14ac:dyDescent="0.25">
      <c r="A2835" t="s">
        <v>2839</v>
      </c>
      <c r="B2835">
        <v>0.99999676499088797</v>
      </c>
      <c r="C2835">
        <v>0.91287531965637403</v>
      </c>
      <c r="D2835">
        <v>0.941953891795274</v>
      </c>
      <c r="E2835">
        <v>1.2381214128431199</v>
      </c>
      <c r="F2835">
        <v>1.1794873288171299</v>
      </c>
      <c r="G2835">
        <v>0.98018182231649997</v>
      </c>
      <c r="H2835">
        <v>0.39558879419086501</v>
      </c>
      <c r="I2835">
        <v>0.12690330174244799</v>
      </c>
      <c r="J2835">
        <v>0.10636867662277499</v>
      </c>
      <c r="K2835">
        <v>8.1643625536889294E-2</v>
      </c>
      <c r="L2835">
        <v>3785.3393201041399</v>
      </c>
      <c r="M2835">
        <v>62.958995714185598</v>
      </c>
      <c r="N2835">
        <v>60.332085090108897</v>
      </c>
      <c r="O2835">
        <v>60.0632883859274</v>
      </c>
      <c r="P2835">
        <v>-0.23646539819982301</v>
      </c>
      <c r="Q2835">
        <v>9.7641871624057894E-2</v>
      </c>
      <c r="R2835">
        <v>0.948455993187858</v>
      </c>
      <c r="S2835" t="s">
        <v>9838</v>
      </c>
      <c r="T2835" t="s">
        <v>14004</v>
      </c>
      <c r="U2835" t="s">
        <v>14004</v>
      </c>
      <c r="V2835" t="s">
        <v>14004</v>
      </c>
      <c r="W2835" t="s">
        <v>16798</v>
      </c>
      <c r="X2835">
        <v>16</v>
      </c>
      <c r="Y2835" t="s">
        <v>23677</v>
      </c>
      <c r="Z2835" t="s">
        <v>30545</v>
      </c>
      <c r="AA2835">
        <v>0.70444081265082881</v>
      </c>
      <c r="AB2835" t="str">
        <f>HYPERLINK("Melting_Curves/meltCurve_P49902_NT5C2.pdf", "Melting_Curves/meltCurve_P49902_NT5C2.pdf")</f>
        <v>Melting_Curves/meltCurve_P49902_NT5C2.pdf</v>
      </c>
    </row>
    <row r="2836" spans="1:28" x14ac:dyDescent="0.25">
      <c r="A2836" t="s">
        <v>2840</v>
      </c>
      <c r="B2836">
        <v>0.99999676499088797</v>
      </c>
      <c r="C2836">
        <v>1.02711323778672</v>
      </c>
      <c r="D2836">
        <v>0.96395262438503004</v>
      </c>
      <c r="E2836">
        <v>0.91921828113520798</v>
      </c>
      <c r="F2836">
        <v>0.90809534194552399</v>
      </c>
      <c r="G2836">
        <v>0.80215525906143004</v>
      </c>
      <c r="H2836">
        <v>0.52635747526920995</v>
      </c>
      <c r="I2836">
        <v>0.58923807047006904</v>
      </c>
      <c r="J2836">
        <v>0.51484450974109297</v>
      </c>
      <c r="K2836">
        <v>0.522841961949158</v>
      </c>
      <c r="L2836">
        <v>1297.20429578004</v>
      </c>
      <c r="M2836">
        <v>22.820613391294099</v>
      </c>
      <c r="O2836">
        <v>56.412440059731999</v>
      </c>
      <c r="P2836">
        <v>-4.9673559938637403E-2</v>
      </c>
      <c r="Q2836">
        <v>0.50883834892650204</v>
      </c>
      <c r="R2836">
        <v>0.96257702220000896</v>
      </c>
      <c r="S2836" t="s">
        <v>9839</v>
      </c>
      <c r="T2836" t="s">
        <v>14004</v>
      </c>
      <c r="U2836" t="s">
        <v>14004</v>
      </c>
      <c r="V2836" t="s">
        <v>14004</v>
      </c>
      <c r="W2836" t="s">
        <v>16799</v>
      </c>
      <c r="X2836">
        <v>17</v>
      </c>
      <c r="Y2836" t="s">
        <v>23678</v>
      </c>
      <c r="Z2836" t="s">
        <v>30546</v>
      </c>
      <c r="AA2836">
        <v>0.78969543297381695</v>
      </c>
      <c r="AB2836" t="str">
        <f>HYPERLINK("Melting_Curves/meltCurve_P49903_SEPHS1.pdf", "Melting_Curves/meltCurve_P49903_SEPHS1.pdf")</f>
        <v>Melting_Curves/meltCurve_P49903_SEPHS1.pdf</v>
      </c>
    </row>
    <row r="2837" spans="1:28" x14ac:dyDescent="0.25">
      <c r="A2837" t="s">
        <v>2841</v>
      </c>
      <c r="B2837">
        <v>0.99999676499088797</v>
      </c>
      <c r="C2837">
        <v>1.12257225554888</v>
      </c>
      <c r="D2837">
        <v>1.0002037919239399</v>
      </c>
      <c r="E2837">
        <v>0.83735303784219695</v>
      </c>
      <c r="F2837">
        <v>0.33041420672163702</v>
      </c>
      <c r="G2837">
        <v>0.21105314587351701</v>
      </c>
      <c r="H2837">
        <v>0.113839435975413</v>
      </c>
      <c r="I2837">
        <v>0.113758885220659</v>
      </c>
      <c r="J2837">
        <v>7.2861659067519097E-2</v>
      </c>
      <c r="K2837">
        <v>6.8646461440801498E-2</v>
      </c>
      <c r="L2837">
        <v>1726.7033543554501</v>
      </c>
      <c r="M2837">
        <v>33.387391082621903</v>
      </c>
      <c r="N2837">
        <v>52.073055874409903</v>
      </c>
      <c r="O2837">
        <v>51.5327672657235</v>
      </c>
      <c r="P2837">
        <v>-0.14545201481258399</v>
      </c>
      <c r="Q2837">
        <v>0.101995042188055</v>
      </c>
      <c r="R2837">
        <v>0.98722610718129</v>
      </c>
      <c r="S2837" t="s">
        <v>9840</v>
      </c>
      <c r="T2837" t="s">
        <v>14004</v>
      </c>
      <c r="U2837" t="s">
        <v>14004</v>
      </c>
      <c r="V2837" t="s">
        <v>14004</v>
      </c>
      <c r="W2837" t="s">
        <v>16800</v>
      </c>
      <c r="X2837">
        <v>11</v>
      </c>
      <c r="Y2837" t="s">
        <v>23679</v>
      </c>
      <c r="Z2837" t="s">
        <v>30547</v>
      </c>
      <c r="AA2837">
        <v>0.45734619879042898</v>
      </c>
      <c r="AB2837" t="str">
        <f>HYPERLINK("Melting_Curves/meltCurve_P49914_MTHFS.pdf", "Melting_Curves/meltCurve_P49914_MTHFS.pdf")</f>
        <v>Melting_Curves/meltCurve_P49914_MTHFS.pdf</v>
      </c>
    </row>
    <row r="2838" spans="1:28" x14ac:dyDescent="0.25">
      <c r="A2838" t="s">
        <v>2842</v>
      </c>
      <c r="B2838">
        <v>0.99999676499088797</v>
      </c>
      <c r="C2838">
        <v>1.01261734928318</v>
      </c>
      <c r="D2838">
        <v>0.93886261582025798</v>
      </c>
      <c r="E2838">
        <v>0.78024811558373597</v>
      </c>
      <c r="F2838">
        <v>0.28069712253936702</v>
      </c>
      <c r="G2838">
        <v>0.14602731785547199</v>
      </c>
      <c r="H2838">
        <v>6.5552194269220002E-2</v>
      </c>
      <c r="I2838">
        <v>5.7693836069420502E-2</v>
      </c>
      <c r="J2838">
        <v>5.5185294336552497E-2</v>
      </c>
      <c r="K2838">
        <v>4.22133684483939E-2</v>
      </c>
      <c r="L2838">
        <v>1554.3296176245899</v>
      </c>
      <c r="M2838">
        <v>30.255407074737601</v>
      </c>
      <c r="N2838">
        <v>51.583437345215103</v>
      </c>
      <c r="O2838">
        <v>51.1507471171061</v>
      </c>
      <c r="P2838">
        <v>-0.13931271780915</v>
      </c>
      <c r="Q2838">
        <v>5.7900002317779697E-2</v>
      </c>
      <c r="R2838">
        <v>0.99761838252798696</v>
      </c>
      <c r="S2838" t="s">
        <v>9841</v>
      </c>
      <c r="T2838" t="s">
        <v>14004</v>
      </c>
      <c r="U2838" t="s">
        <v>14004</v>
      </c>
      <c r="V2838" t="s">
        <v>14004</v>
      </c>
      <c r="W2838" t="s">
        <v>16801</v>
      </c>
      <c r="X2838">
        <v>44</v>
      </c>
      <c r="Y2838" t="s">
        <v>23680</v>
      </c>
      <c r="Z2838" t="s">
        <v>30548</v>
      </c>
      <c r="AA2838">
        <v>0.42092902188322068</v>
      </c>
      <c r="AB2838" t="str">
        <f>HYPERLINK("Melting_Curves/meltCurve_P49915_GMPS.pdf", "Melting_Curves/meltCurve_P49915_GMPS.pdf")</f>
        <v>Melting_Curves/meltCurve_P49915_GMPS.pdf</v>
      </c>
    </row>
    <row r="2839" spans="1:28" x14ac:dyDescent="0.25">
      <c r="A2839" t="s">
        <v>2843</v>
      </c>
      <c r="B2839">
        <v>0.99999676499088797</v>
      </c>
      <c r="C2839">
        <v>0.96274167335828997</v>
      </c>
      <c r="D2839">
        <v>0.60164352604187699</v>
      </c>
      <c r="E2839">
        <v>0.242824208195806</v>
      </c>
      <c r="F2839">
        <v>0.181675926836982</v>
      </c>
      <c r="G2839">
        <v>0.136380139475414</v>
      </c>
      <c r="H2839">
        <v>7.3298647867940395E-2</v>
      </c>
      <c r="I2839">
        <v>7.4989992122071303E-2</v>
      </c>
      <c r="J2839">
        <v>7.0695138569257895E-2</v>
      </c>
      <c r="K2839">
        <v>5.3891928833121501E-2</v>
      </c>
      <c r="L2839">
        <v>1225.4513119170001</v>
      </c>
      <c r="M2839">
        <v>26.276777550652</v>
      </c>
      <c r="N2839">
        <v>46.987175538461301</v>
      </c>
      <c r="O2839">
        <v>46.368713674514701</v>
      </c>
      <c r="P2839">
        <v>-0.12905344355034901</v>
      </c>
      <c r="Q2839">
        <v>8.9085618748251896E-2</v>
      </c>
      <c r="R2839">
        <v>0.992091258758243</v>
      </c>
      <c r="S2839" t="s">
        <v>9842</v>
      </c>
      <c r="T2839" t="s">
        <v>14004</v>
      </c>
      <c r="U2839" t="s">
        <v>14004</v>
      </c>
      <c r="V2839" t="s">
        <v>14004</v>
      </c>
      <c r="W2839" t="s">
        <v>16802</v>
      </c>
      <c r="X2839">
        <v>33</v>
      </c>
      <c r="Y2839" t="s">
        <v>23681</v>
      </c>
      <c r="Z2839" t="s">
        <v>30549</v>
      </c>
      <c r="AA2839">
        <v>0.29792935028157203</v>
      </c>
      <c r="AB2839" t="str">
        <f>HYPERLINK("Melting_Curves/meltCurve_P49916_LIG3.pdf", "Melting_Curves/meltCurve_P49916_LIG3.pdf")</f>
        <v>Melting_Curves/meltCurve_P49916_LIG3.pdf</v>
      </c>
    </row>
    <row r="2840" spans="1:28" x14ac:dyDescent="0.25">
      <c r="A2840" t="s">
        <v>2844</v>
      </c>
      <c r="B2840">
        <v>0.99999676499088797</v>
      </c>
      <c r="C2840">
        <v>1.1045464931607201</v>
      </c>
      <c r="D2840">
        <v>0.82306976236275597</v>
      </c>
      <c r="E2840">
        <v>0.38481269535486501</v>
      </c>
      <c r="F2840">
        <v>0.24993892644443699</v>
      </c>
      <c r="G2840">
        <v>0.168899117881567</v>
      </c>
      <c r="H2840">
        <v>7.9435591969146596E-2</v>
      </c>
      <c r="I2840">
        <v>8.6222577111032594E-2</v>
      </c>
      <c r="J2840">
        <v>8.54845429217585E-2</v>
      </c>
      <c r="K2840">
        <v>7.4958972486960707E-2</v>
      </c>
      <c r="L2840">
        <v>1308.6375696745199</v>
      </c>
      <c r="M2840">
        <v>26.978548793800801</v>
      </c>
      <c r="N2840">
        <v>48.924378485490102</v>
      </c>
      <c r="O2840">
        <v>48.242434731422499</v>
      </c>
      <c r="P2840">
        <v>-0.125424491550753</v>
      </c>
      <c r="Q2840">
        <v>0.10288388386075401</v>
      </c>
      <c r="R2840">
        <v>0.98151901903864702</v>
      </c>
      <c r="S2840" t="s">
        <v>9843</v>
      </c>
      <c r="T2840" t="s">
        <v>14004</v>
      </c>
      <c r="U2840" t="s">
        <v>14004</v>
      </c>
      <c r="V2840" t="s">
        <v>14004</v>
      </c>
      <c r="W2840" t="s">
        <v>16803</v>
      </c>
      <c r="X2840">
        <v>7</v>
      </c>
      <c r="Y2840" t="s">
        <v>23682</v>
      </c>
      <c r="Z2840" t="s">
        <v>30550</v>
      </c>
      <c r="AA2840">
        <v>0.36402989091688792</v>
      </c>
      <c r="AB2840" t="str">
        <f>HYPERLINK("Melting_Curves/meltCurve_P49917_LIG4.pdf", "Melting_Curves/meltCurve_P49917_LIG4.pdf")</f>
        <v>Melting_Curves/meltCurve_P49917_LIG4.pdf</v>
      </c>
    </row>
    <row r="2841" spans="1:28" x14ac:dyDescent="0.25">
      <c r="A2841" t="s">
        <v>2845</v>
      </c>
      <c r="B2841">
        <v>0.99999676499088797</v>
      </c>
      <c r="C2841">
        <v>1.0315506278268101</v>
      </c>
      <c r="D2841">
        <v>0.98560996390488198</v>
      </c>
      <c r="E2841">
        <v>0.84389092117044595</v>
      </c>
      <c r="F2841">
        <v>0.80954660535910605</v>
      </c>
      <c r="G2841">
        <v>0.58671121514937496</v>
      </c>
      <c r="H2841">
        <v>0.29930524779017498</v>
      </c>
      <c r="I2841">
        <v>0.18237528655465601</v>
      </c>
      <c r="J2841">
        <v>0.161455085171688</v>
      </c>
      <c r="K2841">
        <v>0.129307603825562</v>
      </c>
      <c r="L2841">
        <v>910.58154738473195</v>
      </c>
      <c r="M2841">
        <v>15.9336317997208</v>
      </c>
      <c r="N2841">
        <v>57.666473812565002</v>
      </c>
      <c r="O2841">
        <v>56.270951438331799</v>
      </c>
      <c r="P2841">
        <v>-6.60742907782189E-2</v>
      </c>
      <c r="Q2841">
        <v>6.6686896387075895E-2</v>
      </c>
      <c r="R2841">
        <v>0.99105392606445397</v>
      </c>
      <c r="S2841" t="s">
        <v>9844</v>
      </c>
      <c r="T2841" t="s">
        <v>14004</v>
      </c>
      <c r="U2841" t="s">
        <v>14004</v>
      </c>
      <c r="V2841" t="s">
        <v>14004</v>
      </c>
      <c r="W2841" t="s">
        <v>16804</v>
      </c>
      <c r="X2841">
        <v>33</v>
      </c>
      <c r="Y2841" t="s">
        <v>23683</v>
      </c>
      <c r="Z2841" t="s">
        <v>30551</v>
      </c>
      <c r="AA2841">
        <v>0.61413361080178963</v>
      </c>
      <c r="AB2841" t="str">
        <f>HYPERLINK("Melting_Curves/meltCurve_P49959_MRE11A.pdf", "Melting_Curves/meltCurve_P49959_MRE11A.pdf")</f>
        <v>Melting_Curves/meltCurve_P49959_MRE11A.pdf</v>
      </c>
    </row>
    <row r="2842" spans="1:28" x14ac:dyDescent="0.25">
      <c r="A2842" t="s">
        <v>2846</v>
      </c>
      <c r="B2842">
        <v>0.99999676499088797</v>
      </c>
      <c r="C2842">
        <v>0.98068454994294296</v>
      </c>
      <c r="D2842">
        <v>0.95997621529655697</v>
      </c>
      <c r="E2842">
        <v>1.1487700326957899</v>
      </c>
      <c r="F2842">
        <v>1.0510379392560101</v>
      </c>
      <c r="G2842">
        <v>0.95723213762799397</v>
      </c>
      <c r="H2842">
        <v>0.56474926846295803</v>
      </c>
      <c r="I2842">
        <v>0.58548803401603999</v>
      </c>
      <c r="J2842">
        <v>0.34692168427221198</v>
      </c>
      <c r="K2842">
        <v>0.17240520006583401</v>
      </c>
      <c r="L2842">
        <v>1129.8553302345099</v>
      </c>
      <c r="M2842">
        <v>17.7651582853467</v>
      </c>
      <c r="N2842">
        <v>63.9919883152035</v>
      </c>
      <c r="O2842">
        <v>62.810061176374603</v>
      </c>
      <c r="P2842">
        <v>-6.7063625744139502E-2</v>
      </c>
      <c r="Q2842">
        <v>5.1615261242927001E-2</v>
      </c>
      <c r="R2842">
        <v>0.93420620460925696</v>
      </c>
      <c r="S2842" t="s">
        <v>9845</v>
      </c>
      <c r="T2842" t="s">
        <v>14004</v>
      </c>
      <c r="U2842" t="s">
        <v>14004</v>
      </c>
      <c r="V2842" t="s">
        <v>14004</v>
      </c>
      <c r="W2842" t="s">
        <v>16805</v>
      </c>
      <c r="X2842">
        <v>3</v>
      </c>
      <c r="Y2842" t="s">
        <v>23684</v>
      </c>
      <c r="Z2842" t="s">
        <v>30552</v>
      </c>
      <c r="AA2842">
        <v>0.79095949920429076</v>
      </c>
      <c r="AB2842" t="str">
        <f>HYPERLINK("Melting_Curves/meltCurve_P50053_KHK.pdf", "Melting_Curves/meltCurve_P50053_KHK.pdf")</f>
        <v>Melting_Curves/meltCurve_P50053_KHK.pdf</v>
      </c>
    </row>
    <row r="2843" spans="1:28" x14ac:dyDescent="0.25">
      <c r="A2843" t="s">
        <v>2847</v>
      </c>
      <c r="B2843">
        <v>0.99999676499088797</v>
      </c>
      <c r="C2843">
        <v>1.0691265695913099</v>
      </c>
      <c r="D2843">
        <v>1.02725724095287</v>
      </c>
      <c r="E2843">
        <v>0.94072498047042397</v>
      </c>
      <c r="F2843">
        <v>0.75202488008040203</v>
      </c>
      <c r="G2843">
        <v>0.436095255273242</v>
      </c>
      <c r="H2843">
        <v>7.0317134625860006E-2</v>
      </c>
      <c r="I2843">
        <v>6.6684999644225904E-2</v>
      </c>
      <c r="J2843">
        <v>5.6312887332875899E-2</v>
      </c>
      <c r="K2843">
        <v>4.7339346522455597E-2</v>
      </c>
      <c r="L2843">
        <v>1413.90369325593</v>
      </c>
      <c r="M2843">
        <v>25.3891694185021</v>
      </c>
      <c r="N2843">
        <v>55.814274731719202</v>
      </c>
      <c r="O2843">
        <v>55.347233867948098</v>
      </c>
      <c r="P2843">
        <v>-0.11151221672445701</v>
      </c>
      <c r="Q2843">
        <v>2.76465054846248E-2</v>
      </c>
      <c r="R2843">
        <v>0.99337258955084595</v>
      </c>
      <c r="S2843" t="s">
        <v>9846</v>
      </c>
      <c r="T2843" t="s">
        <v>14004</v>
      </c>
      <c r="U2843" t="s">
        <v>14004</v>
      </c>
      <c r="V2843" t="s">
        <v>14004</v>
      </c>
      <c r="W2843" t="s">
        <v>16806</v>
      </c>
      <c r="X2843">
        <v>17</v>
      </c>
      <c r="Y2843" t="s">
        <v>23685</v>
      </c>
      <c r="Z2843" t="s">
        <v>30553</v>
      </c>
      <c r="AA2843">
        <v>0.54488730040946709</v>
      </c>
      <c r="AB2843" t="str">
        <f>HYPERLINK("Melting_Curves/meltCurve_P50148_GNAQ.pdf", "Melting_Curves/meltCurve_P50148_GNAQ.pdf")</f>
        <v>Melting_Curves/meltCurve_P50148_GNAQ.pdf</v>
      </c>
    </row>
    <row r="2844" spans="1:28" x14ac:dyDescent="0.25">
      <c r="A2844" t="s">
        <v>2848</v>
      </c>
      <c r="B2844">
        <v>0.99999676499088797</v>
      </c>
      <c r="C2844">
        <v>0.97825876064976702</v>
      </c>
      <c r="D2844">
        <v>1.02799325103727</v>
      </c>
      <c r="E2844">
        <v>1.1489665604247301</v>
      </c>
      <c r="F2844">
        <v>1.24374240619165</v>
      </c>
      <c r="G2844">
        <v>0.76344634415433399</v>
      </c>
      <c r="H2844">
        <v>0.44906797222672601</v>
      </c>
      <c r="I2844">
        <v>0.34634672738302502</v>
      </c>
      <c r="J2844">
        <v>0.33166242687703401</v>
      </c>
      <c r="K2844">
        <v>0.45373892653629599</v>
      </c>
      <c r="L2844">
        <v>14225.137783137799</v>
      </c>
      <c r="M2844">
        <v>250</v>
      </c>
      <c r="N2844">
        <v>57.258435580403599</v>
      </c>
      <c r="O2844">
        <v>56.896909538719299</v>
      </c>
      <c r="P2844">
        <v>-0.66435507091661306</v>
      </c>
      <c r="Q2844">
        <v>0.39520399119275901</v>
      </c>
      <c r="R2844">
        <v>0.91350451112199105</v>
      </c>
      <c r="S2844" t="s">
        <v>9847</v>
      </c>
      <c r="T2844" t="s">
        <v>14004</v>
      </c>
      <c r="U2844" t="s">
        <v>14004</v>
      </c>
      <c r="V2844" t="s">
        <v>14004</v>
      </c>
      <c r="W2844" t="s">
        <v>16807</v>
      </c>
      <c r="X2844">
        <v>6</v>
      </c>
      <c r="Y2844" t="s">
        <v>23686</v>
      </c>
      <c r="Z2844" t="s">
        <v>30554</v>
      </c>
      <c r="AA2844">
        <v>0.73597724825618249</v>
      </c>
      <c r="AB2844" t="str">
        <f>HYPERLINK("Melting_Curves/meltCurve_P50150_GNG4.pdf", "Melting_Curves/meltCurve_P50150_GNG4.pdf")</f>
        <v>Melting_Curves/meltCurve_P50150_GNG4.pdf</v>
      </c>
    </row>
    <row r="2845" spans="1:28" x14ac:dyDescent="0.25">
      <c r="A2845" t="s">
        <v>2849</v>
      </c>
      <c r="B2845">
        <v>0.99999676499088797</v>
      </c>
      <c r="C2845">
        <v>1.2167815669348501</v>
      </c>
      <c r="D2845">
        <v>0.97204452719021495</v>
      </c>
      <c r="E2845">
        <v>1.1518192757291399</v>
      </c>
      <c r="F2845">
        <v>0.854919571180353</v>
      </c>
      <c r="G2845">
        <v>0.61533332192942003</v>
      </c>
      <c r="H2845">
        <v>0.39754031990859801</v>
      </c>
      <c r="I2845">
        <v>0.29082796936767102</v>
      </c>
      <c r="J2845">
        <v>0.16898237682210199</v>
      </c>
      <c r="K2845">
        <v>0.34883506899636502</v>
      </c>
      <c r="L2845">
        <v>1563.0117475776599</v>
      </c>
      <c r="M2845">
        <v>27.582229066075399</v>
      </c>
      <c r="N2845">
        <v>58.252717415029601</v>
      </c>
      <c r="O2845">
        <v>56.3719883046235</v>
      </c>
      <c r="P2845">
        <v>-9.0033446972846098E-2</v>
      </c>
      <c r="Q2845">
        <v>0.26397272475987898</v>
      </c>
      <c r="R2845">
        <v>0.92797295918967704</v>
      </c>
      <c r="S2845" t="s">
        <v>9848</v>
      </c>
      <c r="T2845" t="s">
        <v>14004</v>
      </c>
      <c r="U2845" t="s">
        <v>14004</v>
      </c>
      <c r="V2845" t="s">
        <v>14004</v>
      </c>
      <c r="W2845" t="s">
        <v>16808</v>
      </c>
      <c r="X2845">
        <v>3</v>
      </c>
      <c r="Y2845" t="s">
        <v>23687</v>
      </c>
      <c r="Z2845" t="s">
        <v>30555</v>
      </c>
      <c r="AA2845">
        <v>0.67857673744886582</v>
      </c>
      <c r="AB2845" t="str">
        <f>HYPERLINK("Melting_Curves/meltCurve_P50151_GNG10.pdf", "Melting_Curves/meltCurve_P50151_GNG10.pdf")</f>
        <v>Melting_Curves/meltCurve_P50151_GNG10.pdf</v>
      </c>
    </row>
    <row r="2846" spans="1:28" x14ac:dyDescent="0.25">
      <c r="A2846" t="s">
        <v>2850</v>
      </c>
      <c r="B2846">
        <v>0.99999676499088797</v>
      </c>
      <c r="C2846">
        <v>0.96456919692098397</v>
      </c>
      <c r="D2846">
        <v>0.962313050517972</v>
      </c>
      <c r="E2846">
        <v>0.89348787141924801</v>
      </c>
      <c r="F2846">
        <v>0.55980510288900598</v>
      </c>
      <c r="G2846">
        <v>0.22123472324413501</v>
      </c>
      <c r="H2846">
        <v>8.3342474771944494E-2</v>
      </c>
      <c r="I2846">
        <v>7.4207487198529404E-2</v>
      </c>
      <c r="J2846">
        <v>6.5380591771151395E-2</v>
      </c>
      <c r="K2846">
        <v>5.32137726773282E-2</v>
      </c>
      <c r="L2846">
        <v>1393.3909045861401</v>
      </c>
      <c r="M2846">
        <v>26.0627746855391</v>
      </c>
      <c r="N2846">
        <v>53.700462694435998</v>
      </c>
      <c r="O2846">
        <v>53.151121368543002</v>
      </c>
      <c r="P2846">
        <v>-0.11591393015366699</v>
      </c>
      <c r="Q2846">
        <v>5.4454732389557801E-2</v>
      </c>
      <c r="R2846">
        <v>0.99882509036409795</v>
      </c>
      <c r="S2846" t="s">
        <v>9849</v>
      </c>
      <c r="T2846" t="s">
        <v>14004</v>
      </c>
      <c r="U2846" t="s">
        <v>14004</v>
      </c>
      <c r="V2846" t="s">
        <v>14004</v>
      </c>
      <c r="W2846" t="s">
        <v>16809</v>
      </c>
      <c r="X2846">
        <v>26</v>
      </c>
      <c r="Y2846" t="s">
        <v>23688</v>
      </c>
      <c r="Z2846" t="s">
        <v>30556</v>
      </c>
      <c r="AA2846">
        <v>0.48685823284706048</v>
      </c>
      <c r="AB2846" t="str">
        <f>HYPERLINK("Melting_Curves/meltCurve_P50213_IDH3A.pdf", "Melting_Curves/meltCurve_P50213_IDH3A.pdf")</f>
        <v>Melting_Curves/meltCurve_P50213_IDH3A.pdf</v>
      </c>
    </row>
    <row r="2847" spans="1:28" x14ac:dyDescent="0.25">
      <c r="A2847" t="s">
        <v>2851</v>
      </c>
      <c r="B2847">
        <v>0.99999676499088797</v>
      </c>
      <c r="C2847">
        <v>1.0357713297717199</v>
      </c>
      <c r="D2847">
        <v>0.95428571028667997</v>
      </c>
      <c r="E2847">
        <v>0.51242010851807795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2863.1013176535798</v>
      </c>
      <c r="M2847">
        <v>57.686453424227103</v>
      </c>
      <c r="N2847">
        <v>49.632104185901099</v>
      </c>
      <c r="O2847">
        <v>49.572587108050897</v>
      </c>
      <c r="P2847">
        <v>-0.290919263643723</v>
      </c>
      <c r="Q2847">
        <v>0</v>
      </c>
      <c r="R2847">
        <v>0.99853263227143896</v>
      </c>
      <c r="S2847" t="s">
        <v>9850</v>
      </c>
      <c r="T2847" t="s">
        <v>14004</v>
      </c>
      <c r="U2847" t="s">
        <v>14004</v>
      </c>
      <c r="V2847" t="s">
        <v>14004</v>
      </c>
      <c r="W2847" t="s">
        <v>16810</v>
      </c>
      <c r="X2847">
        <v>1</v>
      </c>
      <c r="Y2847" t="s">
        <v>23689</v>
      </c>
      <c r="Z2847" t="s">
        <v>30557</v>
      </c>
      <c r="AA2847">
        <v>0.32271331478453558</v>
      </c>
      <c r="AB2847" t="str">
        <f>HYPERLINK("Melting_Curves/meltCurve_P50219_MNX1.pdf", "Melting_Curves/meltCurve_P50219_MNX1.pdf")</f>
        <v>Melting_Curves/meltCurve_P50219_MNX1.pdf</v>
      </c>
    </row>
    <row r="2848" spans="1:28" x14ac:dyDescent="0.25">
      <c r="A2848" t="s">
        <v>2852</v>
      </c>
      <c r="B2848">
        <v>0.99999676499088797</v>
      </c>
      <c r="C2848">
        <v>1.18109358931924</v>
      </c>
      <c r="D2848">
        <v>1.0151819425481099</v>
      </c>
      <c r="E2848">
        <v>0.69295107369268205</v>
      </c>
      <c r="F2848">
        <v>0.50667652633594296</v>
      </c>
      <c r="G2848">
        <v>0.57715483089383002</v>
      </c>
      <c r="H2848">
        <v>0.31413974322097699</v>
      </c>
      <c r="I2848">
        <v>0.50865900160689104</v>
      </c>
      <c r="J2848">
        <v>0.53986347051347106</v>
      </c>
      <c r="K2848">
        <v>0.38704131855526602</v>
      </c>
      <c r="L2848">
        <v>2723.9094582870098</v>
      </c>
      <c r="M2848">
        <v>55.206222058991401</v>
      </c>
      <c r="N2848">
        <v>51.996783381318203</v>
      </c>
      <c r="O2848">
        <v>49.2759933341218</v>
      </c>
      <c r="P2848">
        <v>-0.14838997308507701</v>
      </c>
      <c r="Q2848">
        <v>0.470200199777011</v>
      </c>
      <c r="R2848">
        <v>0.89265337697109803</v>
      </c>
      <c r="S2848" t="s">
        <v>9851</v>
      </c>
      <c r="T2848" t="s">
        <v>14004</v>
      </c>
      <c r="U2848" t="s">
        <v>14004</v>
      </c>
      <c r="V2848" t="s">
        <v>14004</v>
      </c>
      <c r="W2848" t="s">
        <v>16811</v>
      </c>
      <c r="X2848">
        <v>8</v>
      </c>
      <c r="Y2848" t="s">
        <v>23690</v>
      </c>
      <c r="Z2848" t="s">
        <v>30558</v>
      </c>
      <c r="AA2848">
        <v>0.63610047711025053</v>
      </c>
      <c r="AB2848" t="str">
        <f>HYPERLINK("Melting_Curves/meltCurve_P50238_CRIP1.pdf", "Melting_Curves/meltCurve_P50238_CRIP1.pdf")</f>
        <v>Melting_Curves/meltCurve_P50238_CRIP1.pdf</v>
      </c>
    </row>
    <row r="2849" spans="1:28" x14ac:dyDescent="0.25">
      <c r="A2849" t="s">
        <v>2853</v>
      </c>
      <c r="B2849">
        <v>0.99999676499088797</v>
      </c>
      <c r="C2849">
        <v>1.0324361047170201</v>
      </c>
      <c r="D2849">
        <v>0.98576850872492505</v>
      </c>
      <c r="E2849">
        <v>0.64816309983918696</v>
      </c>
      <c r="F2849">
        <v>0.37325105147309001</v>
      </c>
      <c r="G2849">
        <v>0.255414149268892</v>
      </c>
      <c r="H2849">
        <v>0.254016542979419</v>
      </c>
      <c r="I2849">
        <v>0.177827968052999</v>
      </c>
      <c r="J2849">
        <v>0.13124510273530199</v>
      </c>
      <c r="K2849">
        <v>0.15214371996639001</v>
      </c>
      <c r="L2849">
        <v>1230.8207331170099</v>
      </c>
      <c r="M2849">
        <v>24.352067693659301</v>
      </c>
      <c r="N2849">
        <v>51.475219702519802</v>
      </c>
      <c r="O2849">
        <v>50.205628562538401</v>
      </c>
      <c r="P2849">
        <v>-9.9636641478506302E-2</v>
      </c>
      <c r="Q2849">
        <v>0.1783456556413</v>
      </c>
      <c r="R2849">
        <v>0.98940499677961602</v>
      </c>
      <c r="S2849" t="s">
        <v>9852</v>
      </c>
      <c r="T2849" t="s">
        <v>14004</v>
      </c>
      <c r="U2849" t="s">
        <v>14004</v>
      </c>
      <c r="V2849" t="s">
        <v>14004</v>
      </c>
      <c r="W2849" t="s">
        <v>16812</v>
      </c>
      <c r="X2849">
        <v>3</v>
      </c>
      <c r="Y2849" t="s">
        <v>23691</v>
      </c>
      <c r="Z2849" t="s">
        <v>30559</v>
      </c>
      <c r="AA2849">
        <v>0.47487667286536128</v>
      </c>
      <c r="AB2849" t="str">
        <f>HYPERLINK("Melting_Curves/meltCurve_P50336_PPOX.pdf", "Melting_Curves/meltCurve_P50336_PPOX.pdf")</f>
        <v>Melting_Curves/meltCurve_P50336_PPOX.pdf</v>
      </c>
    </row>
    <row r="2850" spans="1:28" x14ac:dyDescent="0.25">
      <c r="A2850" t="s">
        <v>2854</v>
      </c>
      <c r="B2850">
        <v>0.99999676499088797</v>
      </c>
      <c r="C2850">
        <v>0.94573682758565403</v>
      </c>
      <c r="D2850">
        <v>0.94517982032478298</v>
      </c>
      <c r="E2850">
        <v>0.78947483963104703</v>
      </c>
      <c r="F2850">
        <v>0.41454547074053</v>
      </c>
      <c r="G2850">
        <v>0.334261445840348</v>
      </c>
      <c r="H2850">
        <v>0.267025872675273</v>
      </c>
      <c r="I2850">
        <v>0.313142920806812</v>
      </c>
      <c r="J2850">
        <v>0.34965814253908301</v>
      </c>
      <c r="K2850">
        <v>0.450862071984728</v>
      </c>
      <c r="L2850">
        <v>1983.86502391828</v>
      </c>
      <c r="M2850">
        <v>39.292271511560699</v>
      </c>
      <c r="N2850">
        <v>52.0036590457836</v>
      </c>
      <c r="O2850">
        <v>50.359721013292997</v>
      </c>
      <c r="P2850">
        <v>-0.12860594892103</v>
      </c>
      <c r="Q2850">
        <v>0.34068020017740103</v>
      </c>
      <c r="R2850">
        <v>0.97128432344675497</v>
      </c>
      <c r="S2850" t="s">
        <v>9853</v>
      </c>
      <c r="T2850" t="s">
        <v>14004</v>
      </c>
      <c r="U2850" t="s">
        <v>14004</v>
      </c>
      <c r="V2850" t="s">
        <v>14004</v>
      </c>
      <c r="W2850" t="s">
        <v>16813</v>
      </c>
      <c r="X2850">
        <v>9</v>
      </c>
      <c r="Y2850" t="s">
        <v>23692</v>
      </c>
      <c r="Z2850" t="s">
        <v>30560</v>
      </c>
      <c r="AA2850">
        <v>0.57360704595661216</v>
      </c>
      <c r="AB2850" t="str">
        <f>HYPERLINK("Melting_Curves/meltCurve_P50402_EMD.pdf", "Melting_Curves/meltCurve_P50402_EMD.pdf")</f>
        <v>Melting_Curves/meltCurve_P50402_EMD.pdf</v>
      </c>
    </row>
    <row r="2851" spans="1:28" x14ac:dyDescent="0.25">
      <c r="A2851" t="s">
        <v>2855</v>
      </c>
      <c r="B2851">
        <v>0.99999676499088797</v>
      </c>
      <c r="C2851">
        <v>1.06219814777086</v>
      </c>
      <c r="D2851">
        <v>1.00740186810292</v>
      </c>
      <c r="E2851">
        <v>0.55094738882425198</v>
      </c>
      <c r="F2851">
        <v>0.27903879806169402</v>
      </c>
      <c r="G2851">
        <v>0.16091230925228001</v>
      </c>
      <c r="H2851">
        <v>7.9374677097957494E-2</v>
      </c>
      <c r="I2851">
        <v>8.6321241377193103E-2</v>
      </c>
      <c r="J2851">
        <v>7.7278131461867294E-2</v>
      </c>
      <c r="K2851">
        <v>6.1096864614265202E-2</v>
      </c>
      <c r="L2851">
        <v>1397.76420256451</v>
      </c>
      <c r="M2851">
        <v>27.911375003066599</v>
      </c>
      <c r="N2851">
        <v>50.428794683871899</v>
      </c>
      <c r="O2851">
        <v>49.823706418264202</v>
      </c>
      <c r="P2851">
        <v>-0.127715530411593</v>
      </c>
      <c r="Q2851">
        <v>8.8084179698999995E-2</v>
      </c>
      <c r="R2851">
        <v>0.98884651003106305</v>
      </c>
      <c r="S2851" t="s">
        <v>9854</v>
      </c>
      <c r="T2851" t="s">
        <v>14004</v>
      </c>
      <c r="U2851" t="s">
        <v>14004</v>
      </c>
      <c r="V2851" t="s">
        <v>14004</v>
      </c>
      <c r="W2851" t="s">
        <v>16814</v>
      </c>
      <c r="X2851">
        <v>16</v>
      </c>
      <c r="Y2851" t="s">
        <v>23693</v>
      </c>
      <c r="Z2851" t="s">
        <v>30561</v>
      </c>
      <c r="AA2851">
        <v>0.40098118908523528</v>
      </c>
      <c r="AB2851" t="str">
        <f>HYPERLINK("Melting_Curves/meltCurve_P50416_CPT1A.pdf", "Melting_Curves/meltCurve_P50416_CPT1A.pdf")</f>
        <v>Melting_Curves/meltCurve_P50416_CPT1A.pdf</v>
      </c>
    </row>
    <row r="2852" spans="1:28" x14ac:dyDescent="0.25">
      <c r="A2852" t="s">
        <v>2856</v>
      </c>
      <c r="B2852">
        <v>0.99999676499088797</v>
      </c>
      <c r="C2852">
        <v>1.0040130887290999</v>
      </c>
      <c r="D2852">
        <v>0.970252528944614</v>
      </c>
      <c r="E2852">
        <v>0.75195749737897599</v>
      </c>
      <c r="F2852">
        <v>0.83026424021384804</v>
      </c>
      <c r="G2852">
        <v>0.36047395303181801</v>
      </c>
      <c r="H2852">
        <v>0.21242503288921</v>
      </c>
      <c r="I2852">
        <v>0.15837283854456999</v>
      </c>
      <c r="J2852">
        <v>0.14312912547272899</v>
      </c>
      <c r="K2852">
        <v>0.112252530430418</v>
      </c>
      <c r="L2852">
        <v>1003.31949438084</v>
      </c>
      <c r="M2852">
        <v>18.1955478092008</v>
      </c>
      <c r="N2852">
        <v>55.739834390860402</v>
      </c>
      <c r="O2852">
        <v>54.487846742804699</v>
      </c>
      <c r="P2852">
        <v>-7.6075484205857705E-2</v>
      </c>
      <c r="Q2852">
        <v>8.8789561110031598E-2</v>
      </c>
      <c r="R2852">
        <v>0.96697611179478005</v>
      </c>
      <c r="S2852" t="s">
        <v>9855</v>
      </c>
      <c r="T2852" t="s">
        <v>14004</v>
      </c>
      <c r="U2852" t="s">
        <v>14004</v>
      </c>
      <c r="V2852" t="s">
        <v>14004</v>
      </c>
      <c r="W2852" t="s">
        <v>16815</v>
      </c>
      <c r="X2852">
        <v>4</v>
      </c>
      <c r="Y2852" t="s">
        <v>23694</v>
      </c>
      <c r="Z2852" t="s">
        <v>30562</v>
      </c>
      <c r="AA2852">
        <v>0.56248897891875971</v>
      </c>
      <c r="AB2852" t="str">
        <f>HYPERLINK("Melting_Curves/meltCurve_P50440_3_GATM.pdf", "Melting_Curves/meltCurve_P50440_3_GATM.pdf")</f>
        <v>Melting_Curves/meltCurve_P50440_3_GATM.pdf</v>
      </c>
    </row>
    <row r="2853" spans="1:28" x14ac:dyDescent="0.25">
      <c r="A2853" t="s">
        <v>2857</v>
      </c>
      <c r="B2853">
        <v>0.99999676499088797</v>
      </c>
      <c r="C2853">
        <v>1.03551971779271</v>
      </c>
      <c r="D2853">
        <v>0.98178314423551605</v>
      </c>
      <c r="E2853">
        <v>1.10996411679893</v>
      </c>
      <c r="F2853">
        <v>0.37339977013930697</v>
      </c>
      <c r="G2853">
        <v>0.14293699600794299</v>
      </c>
      <c r="H2853">
        <v>0</v>
      </c>
      <c r="I2853">
        <v>0</v>
      </c>
      <c r="J2853">
        <v>0</v>
      </c>
      <c r="K2853">
        <v>4.9817070679775199E-2</v>
      </c>
      <c r="L2853">
        <v>8332.3522799420407</v>
      </c>
      <c r="M2853">
        <v>157.24966625485499</v>
      </c>
      <c r="N2853">
        <v>53.015092161001398</v>
      </c>
      <c r="O2853">
        <v>52.979475141488301</v>
      </c>
      <c r="P2853">
        <v>-0.71343110982312996</v>
      </c>
      <c r="Q2853">
        <v>3.8542814972800703E-2</v>
      </c>
      <c r="R2853">
        <v>0.98690740666939003</v>
      </c>
      <c r="S2853" t="s">
        <v>9856</v>
      </c>
      <c r="T2853" t="s">
        <v>14004</v>
      </c>
      <c r="U2853" t="s">
        <v>14004</v>
      </c>
      <c r="V2853" t="s">
        <v>14004</v>
      </c>
      <c r="W2853" t="s">
        <v>16816</v>
      </c>
      <c r="X2853">
        <v>1</v>
      </c>
      <c r="Y2853" t="s">
        <v>23695</v>
      </c>
      <c r="Z2853" t="s">
        <v>30563</v>
      </c>
      <c r="AA2853">
        <v>0.45501716084479032</v>
      </c>
      <c r="AB2853" t="str">
        <f>HYPERLINK("Melting_Curves/meltCurve_P50443_SLC26A2.pdf", "Melting_Curves/meltCurve_P50443_SLC26A2.pdf")</f>
        <v>Melting_Curves/meltCurve_P50443_SLC26A2.pdf</v>
      </c>
    </row>
    <row r="2854" spans="1:28" x14ac:dyDescent="0.25">
      <c r="A2854" t="s">
        <v>2858</v>
      </c>
      <c r="B2854">
        <v>0.99999676499088797</v>
      </c>
      <c r="C2854">
        <v>0.96013923909143895</v>
      </c>
      <c r="D2854">
        <v>1.0048825338638601</v>
      </c>
      <c r="E2854">
        <v>1.0221982117039701</v>
      </c>
      <c r="F2854">
        <v>0.90017719427196596</v>
      </c>
      <c r="G2854">
        <v>0.61387803054508405</v>
      </c>
      <c r="H2854">
        <v>0.27351734861326099</v>
      </c>
      <c r="I2854">
        <v>0.129951883778639</v>
      </c>
      <c r="J2854">
        <v>0.10751011599837</v>
      </c>
      <c r="K2854">
        <v>0.112938604143986</v>
      </c>
      <c r="L2854">
        <v>1557.6145123184101</v>
      </c>
      <c r="M2854">
        <v>27.110096167177101</v>
      </c>
      <c r="N2854">
        <v>57.900081862688701</v>
      </c>
      <c r="O2854">
        <v>57.145252890475</v>
      </c>
      <c r="P2854">
        <v>-0.107450382492878</v>
      </c>
      <c r="Q2854">
        <v>9.4032064704399898E-2</v>
      </c>
      <c r="R2854">
        <v>0.99771287802790298</v>
      </c>
      <c r="S2854" t="s">
        <v>9857</v>
      </c>
      <c r="T2854" t="s">
        <v>14004</v>
      </c>
      <c r="U2854" t="s">
        <v>14004</v>
      </c>
      <c r="V2854" t="s">
        <v>14004</v>
      </c>
      <c r="W2854" t="s">
        <v>16817</v>
      </c>
      <c r="X2854">
        <v>29</v>
      </c>
      <c r="Y2854" t="s">
        <v>23696</v>
      </c>
      <c r="Z2854" t="s">
        <v>30564</v>
      </c>
      <c r="AA2854">
        <v>0.62826670032574938</v>
      </c>
      <c r="AB2854" t="str">
        <f>HYPERLINK("Melting_Curves/meltCurve_P50452_SERPINB8.pdf", "Melting_Curves/meltCurve_P50452_SERPINB8.pdf")</f>
        <v>Melting_Curves/meltCurve_P50452_SERPINB8.pdf</v>
      </c>
    </row>
    <row r="2855" spans="1:28" x14ac:dyDescent="0.25">
      <c r="A2855" t="s">
        <v>2859</v>
      </c>
      <c r="B2855">
        <v>0.99999676499088797</v>
      </c>
      <c r="C2855">
        <v>1.07008603150757</v>
      </c>
      <c r="D2855">
        <v>1.0385359904101299</v>
      </c>
      <c r="E2855">
        <v>1.0637073611966601</v>
      </c>
      <c r="F2855">
        <v>0.80984062476174001</v>
      </c>
      <c r="G2855">
        <v>0.50098614754799997</v>
      </c>
      <c r="H2855">
        <v>0.26576728788314302</v>
      </c>
      <c r="I2855">
        <v>0.29142135787849299</v>
      </c>
      <c r="J2855">
        <v>0.28468058891424303</v>
      </c>
      <c r="K2855">
        <v>0.23594227591428499</v>
      </c>
      <c r="L2855">
        <v>1799.89591499229</v>
      </c>
      <c r="M2855">
        <v>32.5474955529113</v>
      </c>
      <c r="N2855">
        <v>56.576736054529803</v>
      </c>
      <c r="O2855">
        <v>55.093089426511199</v>
      </c>
      <c r="P2855">
        <v>-0.109287428682748</v>
      </c>
      <c r="Q2855">
        <v>0.26004091922015399</v>
      </c>
      <c r="R2855">
        <v>0.98643438371809</v>
      </c>
      <c r="S2855" t="s">
        <v>9858</v>
      </c>
      <c r="T2855" t="s">
        <v>14004</v>
      </c>
      <c r="U2855" t="s">
        <v>14004</v>
      </c>
      <c r="V2855" t="s">
        <v>14004</v>
      </c>
      <c r="W2855" t="s">
        <v>16818</v>
      </c>
      <c r="X2855">
        <v>14</v>
      </c>
      <c r="Y2855" t="s">
        <v>23697</v>
      </c>
      <c r="Z2855" t="s">
        <v>30565</v>
      </c>
      <c r="AA2855">
        <v>0.64164925489868074</v>
      </c>
      <c r="AB2855" t="str">
        <f>HYPERLINK("Melting_Curves/meltCurve_P50454_SERPINH1.pdf", "Melting_Curves/meltCurve_P50454_SERPINH1.pdf")</f>
        <v>Melting_Curves/meltCurve_P50454_SERPINH1.pdf</v>
      </c>
    </row>
    <row r="2856" spans="1:28" x14ac:dyDescent="0.25">
      <c r="A2856" t="s">
        <v>2860</v>
      </c>
      <c r="B2856">
        <v>0.99999676499088797</v>
      </c>
      <c r="C2856">
        <v>0.97913362905083501</v>
      </c>
      <c r="D2856">
        <v>0.96341110404865404</v>
      </c>
      <c r="E2856">
        <v>0.67202448753620203</v>
      </c>
      <c r="F2856">
        <v>0.24627260164530199</v>
      </c>
      <c r="G2856">
        <v>0.17442901728489901</v>
      </c>
      <c r="H2856">
        <v>9.8585565802251696E-2</v>
      </c>
      <c r="I2856">
        <v>8.8971354954412094E-2</v>
      </c>
      <c r="J2856">
        <v>9.3877458194941393E-2</v>
      </c>
      <c r="K2856">
        <v>9.5433175660502301E-2</v>
      </c>
      <c r="L2856">
        <v>1515.4271148062101</v>
      </c>
      <c r="M2856">
        <v>30.006710726887398</v>
      </c>
      <c r="N2856">
        <v>50.880961756299797</v>
      </c>
      <c r="O2856">
        <v>50.2802332019468</v>
      </c>
      <c r="P2856">
        <v>-0.13429128202618601</v>
      </c>
      <c r="Q2856">
        <v>9.9914326106729096E-2</v>
      </c>
      <c r="R2856">
        <v>0.99820659606398898</v>
      </c>
      <c r="S2856" t="s">
        <v>9859</v>
      </c>
      <c r="T2856" t="s">
        <v>14004</v>
      </c>
      <c r="U2856" t="s">
        <v>14004</v>
      </c>
      <c r="V2856" t="s">
        <v>14004</v>
      </c>
      <c r="W2856" t="s">
        <v>16819</v>
      </c>
      <c r="X2856">
        <v>18</v>
      </c>
      <c r="Y2856" t="s">
        <v>23698</v>
      </c>
      <c r="Z2856" t="s">
        <v>30566</v>
      </c>
      <c r="AA2856">
        <v>0.42064313890403859</v>
      </c>
      <c r="AB2856" t="str">
        <f>HYPERLINK("Melting_Curves/meltCurve_P50502_ST13.pdf", "Melting_Curves/meltCurve_P50502_ST13.pdf")</f>
        <v>Melting_Curves/meltCurve_P50502_ST13.pdf</v>
      </c>
    </row>
    <row r="2857" spans="1:28" x14ac:dyDescent="0.25">
      <c r="A2857" t="s">
        <v>2861</v>
      </c>
      <c r="B2857">
        <v>0.99999676499088797</v>
      </c>
      <c r="C2857">
        <v>0.99630404396869199</v>
      </c>
      <c r="D2857">
        <v>0.82673636920989801</v>
      </c>
      <c r="E2857">
        <v>0.42823771772080998</v>
      </c>
      <c r="F2857">
        <v>0.17816456003593201</v>
      </c>
      <c r="G2857">
        <v>0.117091042883925</v>
      </c>
      <c r="H2857">
        <v>5.81656636307573E-2</v>
      </c>
      <c r="I2857">
        <v>6.2832610259307697E-2</v>
      </c>
      <c r="J2857">
        <v>6.5686086475158001E-2</v>
      </c>
      <c r="K2857">
        <v>4.8058533549551301E-2</v>
      </c>
      <c r="L2857">
        <v>1201.02141172407</v>
      </c>
      <c r="M2857">
        <v>24.6198787667829</v>
      </c>
      <c r="N2857">
        <v>49.049740639440799</v>
      </c>
      <c r="O2857">
        <v>48.464179405769798</v>
      </c>
      <c r="P2857">
        <v>-0.119033400067969</v>
      </c>
      <c r="Q2857">
        <v>6.2745760113799995E-2</v>
      </c>
      <c r="R2857">
        <v>0.99867036300263001</v>
      </c>
      <c r="S2857" t="s">
        <v>9860</v>
      </c>
      <c r="T2857" t="s">
        <v>14004</v>
      </c>
      <c r="U2857" t="s">
        <v>14004</v>
      </c>
      <c r="V2857" t="s">
        <v>14004</v>
      </c>
      <c r="W2857" t="s">
        <v>16820</v>
      </c>
      <c r="X2857">
        <v>9</v>
      </c>
      <c r="Y2857" t="s">
        <v>23699</v>
      </c>
      <c r="Z2857" t="s">
        <v>30567</v>
      </c>
      <c r="AA2857">
        <v>0.34569246445933999</v>
      </c>
      <c r="AB2857" t="str">
        <f>HYPERLINK("Melting_Curves/meltCurve_P50552_VASP.pdf", "Melting_Curves/meltCurve_P50552_VASP.pdf")</f>
        <v>Melting_Curves/meltCurve_P50552_VASP.pdf</v>
      </c>
    </row>
    <row r="2858" spans="1:28" x14ac:dyDescent="0.25">
      <c r="A2858" t="s">
        <v>2862</v>
      </c>
      <c r="B2858">
        <v>0.99999676499088797</v>
      </c>
      <c r="C2858">
        <v>1.01369044812308</v>
      </c>
      <c r="D2858">
        <v>0.95751560717145701</v>
      </c>
      <c r="E2858">
        <v>0.83116552359020601</v>
      </c>
      <c r="F2858">
        <v>0.20783868043372</v>
      </c>
      <c r="G2858">
        <v>0.15945629049278101</v>
      </c>
      <c r="H2858">
        <v>7.0873481356043294E-2</v>
      </c>
      <c r="I2858">
        <v>7.0148005116330903E-2</v>
      </c>
      <c r="J2858">
        <v>5.8420735925297701E-2</v>
      </c>
      <c r="K2858">
        <v>5.1988176676549702E-2</v>
      </c>
      <c r="L2858">
        <v>2293.3859801335898</v>
      </c>
      <c r="M2858">
        <v>44.796939336385798</v>
      </c>
      <c r="N2858">
        <v>51.388575865859799</v>
      </c>
      <c r="O2858">
        <v>51.093441513437902</v>
      </c>
      <c r="P2858">
        <v>-0.20218681489019399</v>
      </c>
      <c r="Q2858">
        <v>7.7579250519651102E-2</v>
      </c>
      <c r="R2858">
        <v>0.99549805663788504</v>
      </c>
      <c r="S2858" t="s">
        <v>9861</v>
      </c>
      <c r="T2858" t="s">
        <v>14004</v>
      </c>
      <c r="U2858" t="s">
        <v>14004</v>
      </c>
      <c r="V2858" t="s">
        <v>14004</v>
      </c>
      <c r="W2858" t="s">
        <v>16821</v>
      </c>
      <c r="X2858">
        <v>43</v>
      </c>
      <c r="Y2858" t="s">
        <v>22195</v>
      </c>
      <c r="Z2858" t="s">
        <v>30568</v>
      </c>
      <c r="AA2858">
        <v>0.42439880318705231</v>
      </c>
      <c r="AB2858" t="str">
        <f>HYPERLINK("Melting_Curves/meltCurve_P50570_4_DNM2.pdf", "Melting_Curves/meltCurve_P50570_4_DNM2.pdf")</f>
        <v>Melting_Curves/meltCurve_P50570_4_DNM2.pdf</v>
      </c>
    </row>
    <row r="2859" spans="1:28" x14ac:dyDescent="0.25">
      <c r="A2859" t="s">
        <v>2863</v>
      </c>
      <c r="B2859">
        <v>0.99999676499088797</v>
      </c>
      <c r="C2859">
        <v>0.94024468173261699</v>
      </c>
      <c r="D2859">
        <v>0.95025553938907004</v>
      </c>
      <c r="E2859">
        <v>0.925109762380668</v>
      </c>
      <c r="F2859">
        <v>0.724440952358406</v>
      </c>
      <c r="G2859">
        <v>0.61136323796632996</v>
      </c>
      <c r="H2859">
        <v>0.33005930810678502</v>
      </c>
      <c r="I2859">
        <v>0.25622178041216898</v>
      </c>
      <c r="J2859">
        <v>0.15800654386235199</v>
      </c>
      <c r="K2859">
        <v>0.121439953823071</v>
      </c>
      <c r="L2859">
        <v>729.99967577973302</v>
      </c>
      <c r="M2859">
        <v>12.5978757030992</v>
      </c>
      <c r="N2859">
        <v>58.076784928222096</v>
      </c>
      <c r="O2859">
        <v>56.544325727122398</v>
      </c>
      <c r="P2859">
        <v>-5.4932614047401497E-2</v>
      </c>
      <c r="Q2859">
        <v>1.3958511488353699E-2</v>
      </c>
      <c r="R2859">
        <v>0.99309985095616204</v>
      </c>
      <c r="S2859" t="s">
        <v>9862</v>
      </c>
      <c r="T2859" t="s">
        <v>14004</v>
      </c>
      <c r="U2859" t="s">
        <v>14004</v>
      </c>
      <c r="V2859" t="s">
        <v>14004</v>
      </c>
      <c r="W2859" t="s">
        <v>16822</v>
      </c>
      <c r="X2859">
        <v>23</v>
      </c>
      <c r="Y2859" t="s">
        <v>21706</v>
      </c>
      <c r="Z2859" t="s">
        <v>30569</v>
      </c>
      <c r="AA2859">
        <v>0.61694155026311959</v>
      </c>
      <c r="AB2859" t="str">
        <f>HYPERLINK("Melting_Curves/meltCurve_P50579_METAP2.pdf", "Melting_Curves/meltCurve_P50579_METAP2.pdf")</f>
        <v>Melting_Curves/meltCurve_P50579_METAP2.pdf</v>
      </c>
    </row>
    <row r="2860" spans="1:28" x14ac:dyDescent="0.25">
      <c r="A2860" t="s">
        <v>2864</v>
      </c>
      <c r="B2860">
        <v>0.99999676499088797</v>
      </c>
      <c r="C2860">
        <v>0.97027735228907297</v>
      </c>
      <c r="D2860">
        <v>0.96805249807284099</v>
      </c>
      <c r="E2860">
        <v>0.99084700709173601</v>
      </c>
      <c r="F2860">
        <v>0.84937046714547004</v>
      </c>
      <c r="G2860">
        <v>0.43245444136692501</v>
      </c>
      <c r="H2860">
        <v>0.107270762398871</v>
      </c>
      <c r="I2860">
        <v>8.8096561661062806E-2</v>
      </c>
      <c r="J2860">
        <v>6.9477943258597602E-2</v>
      </c>
      <c r="K2860">
        <v>6.0801335296467501E-2</v>
      </c>
      <c r="L2860">
        <v>1827.1616992392401</v>
      </c>
      <c r="M2860">
        <v>32.629911817964597</v>
      </c>
      <c r="N2860">
        <v>56.220190932419499</v>
      </c>
      <c r="O2860">
        <v>55.787461154854398</v>
      </c>
      <c r="P2860">
        <v>-0.137324095749565</v>
      </c>
      <c r="Q2860">
        <v>6.0870656968416502E-2</v>
      </c>
      <c r="R2860">
        <v>0.99852565264436599</v>
      </c>
      <c r="S2860" t="s">
        <v>9863</v>
      </c>
      <c r="T2860" t="s">
        <v>14004</v>
      </c>
      <c r="U2860" t="s">
        <v>14004</v>
      </c>
      <c r="V2860" t="s">
        <v>14004</v>
      </c>
      <c r="W2860" t="s">
        <v>16823</v>
      </c>
      <c r="X2860">
        <v>8</v>
      </c>
      <c r="Y2860" t="s">
        <v>23700</v>
      </c>
      <c r="Z2860" t="s">
        <v>30570</v>
      </c>
      <c r="AA2860">
        <v>0.56698644670688358</v>
      </c>
      <c r="AB2860" t="str">
        <f>HYPERLINK("Melting_Curves/meltCurve_P50583_NUDT2.pdf", "Melting_Curves/meltCurve_P50583_NUDT2.pdf")</f>
        <v>Melting_Curves/meltCurve_P50583_NUDT2.pdf</v>
      </c>
    </row>
    <row r="2861" spans="1:28" x14ac:dyDescent="0.25">
      <c r="A2861" t="s">
        <v>2865</v>
      </c>
      <c r="B2861">
        <v>0.99999676499088797</v>
      </c>
      <c r="C2861">
        <v>0.99009172384388699</v>
      </c>
      <c r="D2861">
        <v>0.97383025344674901</v>
      </c>
      <c r="E2861">
        <v>0.706163061902639</v>
      </c>
      <c r="F2861">
        <v>0.35966687461513702</v>
      </c>
      <c r="G2861">
        <v>0.270884158098391</v>
      </c>
      <c r="H2861">
        <v>0.101405361907849</v>
      </c>
      <c r="I2861">
        <v>0.108606034380716</v>
      </c>
      <c r="J2861">
        <v>0.112129851663094</v>
      </c>
      <c r="K2861">
        <v>0.13220884541328401</v>
      </c>
      <c r="L2861">
        <v>1154.2849641212599</v>
      </c>
      <c r="M2861">
        <v>22.522071188116499</v>
      </c>
      <c r="N2861">
        <v>51.849903828113099</v>
      </c>
      <c r="O2861">
        <v>50.852367908597998</v>
      </c>
      <c r="P2861">
        <v>-9.8048873367029499E-2</v>
      </c>
      <c r="Q2861">
        <v>0.11448377167504099</v>
      </c>
      <c r="R2861">
        <v>0.99389452850100202</v>
      </c>
      <c r="S2861" t="s">
        <v>9864</v>
      </c>
      <c r="T2861" t="s">
        <v>14004</v>
      </c>
      <c r="U2861" t="s">
        <v>14004</v>
      </c>
      <c r="V2861" t="s">
        <v>14004</v>
      </c>
      <c r="W2861" t="s">
        <v>16824</v>
      </c>
      <c r="X2861">
        <v>5</v>
      </c>
      <c r="Y2861" t="s">
        <v>23701</v>
      </c>
      <c r="Z2861" t="s">
        <v>30571</v>
      </c>
      <c r="AA2861">
        <v>0.45640981785482748</v>
      </c>
      <c r="AB2861" t="str">
        <f>HYPERLINK("Melting_Curves/meltCurve_P50747_HLCS.pdf", "Melting_Curves/meltCurve_P50747_HLCS.pdf")</f>
        <v>Melting_Curves/meltCurve_P50747_HLCS.pdf</v>
      </c>
    </row>
    <row r="2862" spans="1:28" x14ac:dyDescent="0.25">
      <c r="A2862" t="s">
        <v>2866</v>
      </c>
      <c r="B2862">
        <v>0.99999676499088797</v>
      </c>
      <c r="C2862">
        <v>0.98114054921740201</v>
      </c>
      <c r="D2862">
        <v>0.91891657185459896</v>
      </c>
      <c r="E2862">
        <v>0.53471070272863097</v>
      </c>
      <c r="F2862">
        <v>0.192612049134818</v>
      </c>
      <c r="G2862">
        <v>0.16419567291436599</v>
      </c>
      <c r="H2862">
        <v>6.7586140673462705E-2</v>
      </c>
      <c r="I2862">
        <v>7.4309441628811701E-2</v>
      </c>
      <c r="J2862">
        <v>5.2039146298811602E-2</v>
      </c>
      <c r="K2862">
        <v>3.50079566656194E-2</v>
      </c>
      <c r="L2862">
        <v>1302.7329274712199</v>
      </c>
      <c r="M2862">
        <v>26.2183444574863</v>
      </c>
      <c r="N2862">
        <v>49.958453806288198</v>
      </c>
      <c r="O2862">
        <v>49.401495102621702</v>
      </c>
      <c r="P2862">
        <v>-0.12389833785798</v>
      </c>
      <c r="Q2862">
        <v>6.6196859424263399E-2</v>
      </c>
      <c r="R2862">
        <v>0.99603871842177805</v>
      </c>
      <c r="S2862" t="s">
        <v>9865</v>
      </c>
      <c r="T2862" t="s">
        <v>14004</v>
      </c>
      <c r="U2862" t="s">
        <v>14004</v>
      </c>
      <c r="V2862" t="s">
        <v>14004</v>
      </c>
      <c r="W2862" t="s">
        <v>16825</v>
      </c>
      <c r="X2862">
        <v>5</v>
      </c>
      <c r="Y2862" t="s">
        <v>23702</v>
      </c>
      <c r="Z2862" t="s">
        <v>30572</v>
      </c>
      <c r="AA2862">
        <v>0.37530359612941461</v>
      </c>
      <c r="AB2862" t="str">
        <f>HYPERLINK("Melting_Curves/meltCurve_P50748_KNTC1.pdf", "Melting_Curves/meltCurve_P50748_KNTC1.pdf")</f>
        <v>Melting_Curves/meltCurve_P50748_KNTC1.pdf</v>
      </c>
    </row>
    <row r="2863" spans="1:28" x14ac:dyDescent="0.25">
      <c r="A2863" t="s">
        <v>2867</v>
      </c>
      <c r="B2863">
        <v>0.99999676499088797</v>
      </c>
      <c r="C2863">
        <v>0.98029188042111803</v>
      </c>
      <c r="D2863">
        <v>0.62591881934048099</v>
      </c>
      <c r="E2863">
        <v>0.34561520763689302</v>
      </c>
      <c r="F2863">
        <v>0.26250400537115398</v>
      </c>
      <c r="G2863">
        <v>0.16460434512042901</v>
      </c>
      <c r="H2863">
        <v>9.4053984501731497E-2</v>
      </c>
      <c r="I2863">
        <v>0.10636904899137101</v>
      </c>
      <c r="J2863">
        <v>0.10377644985300701</v>
      </c>
      <c r="K2863">
        <v>7.7522826501071396E-2</v>
      </c>
      <c r="L2863">
        <v>951.44891221840601</v>
      </c>
      <c r="M2863">
        <v>20.111445943553001</v>
      </c>
      <c r="N2863">
        <v>47.886776162996497</v>
      </c>
      <c r="O2863">
        <v>46.848535092053702</v>
      </c>
      <c r="P2863">
        <v>-9.5760023549733606E-2</v>
      </c>
      <c r="Q2863">
        <v>0.107757048661138</v>
      </c>
      <c r="R2863">
        <v>0.98581256714985499</v>
      </c>
      <c r="S2863" t="s">
        <v>9866</v>
      </c>
      <c r="T2863" t="s">
        <v>14004</v>
      </c>
      <c r="U2863" t="s">
        <v>14004</v>
      </c>
      <c r="V2863" t="s">
        <v>14004</v>
      </c>
      <c r="W2863" t="s">
        <v>16826</v>
      </c>
      <c r="X2863">
        <v>8</v>
      </c>
      <c r="Y2863" t="s">
        <v>23703</v>
      </c>
      <c r="Z2863" t="s">
        <v>30573</v>
      </c>
      <c r="AA2863">
        <v>0.33789122061056542</v>
      </c>
      <c r="AB2863" t="str">
        <f>HYPERLINK("Melting_Curves/meltCurve_P50749_RASSF2.pdf", "Melting_Curves/meltCurve_P50749_RASSF2.pdf")</f>
        <v>Melting_Curves/meltCurve_P50749_RASSF2.pdf</v>
      </c>
    </row>
    <row r="2864" spans="1:28" x14ac:dyDescent="0.25">
      <c r="A2864" t="s">
        <v>2868</v>
      </c>
      <c r="B2864">
        <v>0.99999676499088797</v>
      </c>
      <c r="C2864">
        <v>1.1171717291838901</v>
      </c>
      <c r="D2864">
        <v>1.0863782796033901</v>
      </c>
      <c r="E2864">
        <v>0.97415577013662003</v>
      </c>
      <c r="F2864">
        <v>0.46327073437233601</v>
      </c>
      <c r="G2864">
        <v>0.208713817651314</v>
      </c>
      <c r="H2864">
        <v>9.4584341886405299E-2</v>
      </c>
      <c r="I2864">
        <v>0.101204283544614</v>
      </c>
      <c r="J2864">
        <v>7.0648637747178805E-2</v>
      </c>
      <c r="K2864">
        <v>5.4787668663943703E-2</v>
      </c>
      <c r="L2864">
        <v>2066.3511852453798</v>
      </c>
      <c r="M2864">
        <v>39.087249262321698</v>
      </c>
      <c r="N2864">
        <v>53.135371982689101</v>
      </c>
      <c r="O2864">
        <v>52.727290829120101</v>
      </c>
      <c r="P2864">
        <v>-0.168620334923587</v>
      </c>
      <c r="Q2864">
        <v>9.0151061555982001E-2</v>
      </c>
      <c r="R2864">
        <v>0.98521287787864098</v>
      </c>
      <c r="S2864" t="s">
        <v>9867</v>
      </c>
      <c r="T2864" t="s">
        <v>14004</v>
      </c>
      <c r="U2864" t="s">
        <v>14004</v>
      </c>
      <c r="V2864" t="s">
        <v>14004</v>
      </c>
      <c r="W2864" t="s">
        <v>16827</v>
      </c>
      <c r="X2864">
        <v>9</v>
      </c>
      <c r="Y2864" t="s">
        <v>23704</v>
      </c>
      <c r="Z2864" t="s">
        <v>30574</v>
      </c>
      <c r="AA2864">
        <v>0.48380651505365518</v>
      </c>
      <c r="AB2864" t="str">
        <f>HYPERLINK("Melting_Curves/meltCurve_P50750_CDK9.pdf", "Melting_Curves/meltCurve_P50750_CDK9.pdf")</f>
        <v>Melting_Curves/meltCurve_P50750_CDK9.pdf</v>
      </c>
    </row>
    <row r="2865" spans="1:28" x14ac:dyDescent="0.25">
      <c r="A2865" t="s">
        <v>2869</v>
      </c>
      <c r="B2865">
        <v>0.99999676499088797</v>
      </c>
      <c r="C2865">
        <v>1.05421503820272</v>
      </c>
      <c r="D2865">
        <v>1.01746801257577</v>
      </c>
      <c r="E2865">
        <v>0.64813576327753797</v>
      </c>
      <c r="F2865">
        <v>0.25067754301859402</v>
      </c>
      <c r="G2865">
        <v>0.18768751503591199</v>
      </c>
      <c r="H2865">
        <v>9.1420593586247795E-2</v>
      </c>
      <c r="I2865">
        <v>9.5695634482122302E-2</v>
      </c>
      <c r="J2865">
        <v>0.100079387604797</v>
      </c>
      <c r="K2865">
        <v>9.6249850794439804E-2</v>
      </c>
      <c r="L2865">
        <v>1638.2761050793299</v>
      </c>
      <c r="M2865">
        <v>32.510061316292898</v>
      </c>
      <c r="N2865">
        <v>50.775709520541902</v>
      </c>
      <c r="O2865">
        <v>50.203389454582101</v>
      </c>
      <c r="P2865">
        <v>-0.144296748217912</v>
      </c>
      <c r="Q2865">
        <v>0.10868838398517</v>
      </c>
      <c r="R2865">
        <v>0.99336110559415502</v>
      </c>
      <c r="S2865" t="s">
        <v>9868</v>
      </c>
      <c r="T2865" t="s">
        <v>14004</v>
      </c>
      <c r="U2865" t="s">
        <v>14004</v>
      </c>
      <c r="V2865" t="s">
        <v>14004</v>
      </c>
      <c r="W2865" t="s">
        <v>16828</v>
      </c>
      <c r="X2865">
        <v>41</v>
      </c>
      <c r="Y2865" t="s">
        <v>23705</v>
      </c>
      <c r="Z2865" t="s">
        <v>30575</v>
      </c>
      <c r="AA2865">
        <v>0.4221836272549967</v>
      </c>
      <c r="AB2865" t="str">
        <f>HYPERLINK("Melting_Curves/meltCurve_P50851_LRBA.pdf", "Melting_Curves/meltCurve_P50851_LRBA.pdf")</f>
        <v>Melting_Curves/meltCurve_P50851_LRBA.pdf</v>
      </c>
    </row>
    <row r="2866" spans="1:28" x14ac:dyDescent="0.25">
      <c r="A2866" t="s">
        <v>2870</v>
      </c>
      <c r="B2866">
        <v>0.99999676499088797</v>
      </c>
      <c r="C2866">
        <v>0.93359295820590504</v>
      </c>
      <c r="D2866">
        <v>0.93370704236815705</v>
      </c>
      <c r="E2866">
        <v>0.87986116228337397</v>
      </c>
      <c r="F2866">
        <v>0.77232757157318399</v>
      </c>
      <c r="G2866">
        <v>0.59176157817925401</v>
      </c>
      <c r="H2866">
        <v>0.35776213945898799</v>
      </c>
      <c r="I2866">
        <v>0.361949962423046</v>
      </c>
      <c r="J2866">
        <v>0.379252696395736</v>
      </c>
      <c r="K2866">
        <v>0.368169362337948</v>
      </c>
      <c r="L2866">
        <v>938.89233976149899</v>
      </c>
      <c r="M2866">
        <v>17.156631522276001</v>
      </c>
      <c r="N2866">
        <v>58.320734082903897</v>
      </c>
      <c r="O2866">
        <v>53.997494225710497</v>
      </c>
      <c r="P2866">
        <v>-5.3508908861162503E-2</v>
      </c>
      <c r="Q2866">
        <v>0.32640045255504402</v>
      </c>
      <c r="R2866">
        <v>0.97882424272598301</v>
      </c>
      <c r="S2866" t="s">
        <v>9869</v>
      </c>
      <c r="T2866" t="s">
        <v>14004</v>
      </c>
      <c r="U2866" t="s">
        <v>14004</v>
      </c>
      <c r="V2866" t="s">
        <v>14004</v>
      </c>
      <c r="W2866" t="s">
        <v>16829</v>
      </c>
      <c r="X2866">
        <v>5</v>
      </c>
      <c r="Y2866" t="s">
        <v>23706</v>
      </c>
      <c r="Z2866" t="s">
        <v>30576</v>
      </c>
      <c r="AA2866">
        <v>0.66825819737456982</v>
      </c>
      <c r="AB2866" t="str">
        <f>HYPERLINK("Melting_Curves/meltCurve_P50895_BCAM.pdf", "Melting_Curves/meltCurve_P50895_BCAM.pdf")</f>
        <v>Melting_Curves/meltCurve_P50895_BCAM.pdf</v>
      </c>
    </row>
    <row r="2867" spans="1:28" x14ac:dyDescent="0.25">
      <c r="A2867" t="s">
        <v>2871</v>
      </c>
      <c r="B2867">
        <v>0.99999676499088797</v>
      </c>
      <c r="C2867">
        <v>1.0421789676584701</v>
      </c>
      <c r="D2867">
        <v>0.96256064511394501</v>
      </c>
      <c r="E2867">
        <v>0.856952212029787</v>
      </c>
      <c r="F2867">
        <v>0.62802466515942001</v>
      </c>
      <c r="G2867">
        <v>0.33051431095462902</v>
      </c>
      <c r="H2867">
        <v>7.3687552287823005E-2</v>
      </c>
      <c r="I2867">
        <v>7.0010646827051201E-2</v>
      </c>
      <c r="J2867">
        <v>4.6978151963701399E-2</v>
      </c>
      <c r="K2867">
        <v>4.5490093985523797E-2</v>
      </c>
      <c r="L2867">
        <v>1107.36107357792</v>
      </c>
      <c r="M2867">
        <v>20.3628508803716</v>
      </c>
      <c r="N2867">
        <v>54.489500251537997</v>
      </c>
      <c r="O2867">
        <v>53.8651116473714</v>
      </c>
      <c r="P2867">
        <v>-9.26410570325754E-2</v>
      </c>
      <c r="Q2867">
        <v>1.9789599128547001E-2</v>
      </c>
      <c r="R2867">
        <v>0.99647234426355902</v>
      </c>
      <c r="S2867" t="s">
        <v>9870</v>
      </c>
      <c r="T2867" t="s">
        <v>14004</v>
      </c>
      <c r="U2867" t="s">
        <v>14004</v>
      </c>
      <c r="V2867" t="s">
        <v>14004</v>
      </c>
      <c r="W2867" t="s">
        <v>16830</v>
      </c>
      <c r="X2867">
        <v>12</v>
      </c>
      <c r="Y2867" t="s">
        <v>23707</v>
      </c>
      <c r="Z2867" t="s">
        <v>30577</v>
      </c>
      <c r="AA2867">
        <v>0.50254757819330287</v>
      </c>
      <c r="AB2867" t="str">
        <f>HYPERLINK("Melting_Curves/meltCurve_P50897_PPT1.pdf", "Melting_Curves/meltCurve_P50897_PPT1.pdf")</f>
        <v>Melting_Curves/meltCurve_P50897_PPT1.pdf</v>
      </c>
    </row>
    <row r="2868" spans="1:28" x14ac:dyDescent="0.25">
      <c r="A2868" t="s">
        <v>2872</v>
      </c>
      <c r="B2868">
        <v>0.99999676499088797</v>
      </c>
      <c r="C2868">
        <v>0.96695374161486802</v>
      </c>
      <c r="D2868">
        <v>1.0238334085715699</v>
      </c>
      <c r="E2868">
        <v>1.07887473857156</v>
      </c>
      <c r="F2868">
        <v>1.0545159324700799</v>
      </c>
      <c r="G2868">
        <v>0.84719927192242706</v>
      </c>
      <c r="H2868">
        <v>0.49049433648609297</v>
      </c>
      <c r="I2868">
        <v>0.20833042285470699</v>
      </c>
      <c r="J2868">
        <v>0.118969204380486</v>
      </c>
      <c r="K2868">
        <v>8.7835237349789902E-2</v>
      </c>
      <c r="L2868">
        <v>1814.6694089622999</v>
      </c>
      <c r="M2868">
        <v>30.0932545240669</v>
      </c>
      <c r="N2868">
        <v>60.628516936465701</v>
      </c>
      <c r="O2868">
        <v>60.037129362812898</v>
      </c>
      <c r="P2868">
        <v>-0.11592513242921899</v>
      </c>
      <c r="Q2868">
        <v>7.4906645788965096E-2</v>
      </c>
      <c r="R2868">
        <v>0.990973805238751</v>
      </c>
      <c r="S2868" t="s">
        <v>9871</v>
      </c>
      <c r="T2868" t="s">
        <v>14004</v>
      </c>
      <c r="U2868" t="s">
        <v>14004</v>
      </c>
      <c r="V2868" t="s">
        <v>14004</v>
      </c>
      <c r="W2868" t="s">
        <v>16831</v>
      </c>
      <c r="X2868">
        <v>58</v>
      </c>
      <c r="Y2868" t="s">
        <v>23708</v>
      </c>
      <c r="Z2868" t="s">
        <v>30578</v>
      </c>
      <c r="AA2868">
        <v>0.70640559118296986</v>
      </c>
      <c r="AB2868" t="str">
        <f>HYPERLINK("Melting_Curves/meltCurve_P50990_CCT8.pdf", "Melting_Curves/meltCurve_P50990_CCT8.pdf")</f>
        <v>Melting_Curves/meltCurve_P50990_CCT8.pdf</v>
      </c>
    </row>
    <row r="2869" spans="1:28" x14ac:dyDescent="0.25">
      <c r="A2869" t="s">
        <v>2873</v>
      </c>
      <c r="B2869">
        <v>0.99999676499088797</v>
      </c>
      <c r="C2869">
        <v>1.0184540515385101</v>
      </c>
      <c r="D2869">
        <v>1.0505430125563999</v>
      </c>
      <c r="E2869">
        <v>1.13307981801603</v>
      </c>
      <c r="F2869">
        <v>1.0865805267089601</v>
      </c>
      <c r="G2869">
        <v>0.74741544189331899</v>
      </c>
      <c r="H2869">
        <v>0.213562987180485</v>
      </c>
      <c r="I2869">
        <v>0.113197241538701</v>
      </c>
      <c r="J2869">
        <v>7.4231849824694399E-2</v>
      </c>
      <c r="K2869">
        <v>5.5504684458312602E-2</v>
      </c>
      <c r="L2869">
        <v>2520.6066892795898</v>
      </c>
      <c r="M2869">
        <v>43.2990967283408</v>
      </c>
      <c r="N2869">
        <v>58.436113424413698</v>
      </c>
      <c r="O2869">
        <v>58.0900857182314</v>
      </c>
      <c r="P2869">
        <v>-0.172196873962046</v>
      </c>
      <c r="Q2869">
        <v>7.5923936404382497E-2</v>
      </c>
      <c r="R2869">
        <v>0.983920949425936</v>
      </c>
      <c r="S2869" t="s">
        <v>9872</v>
      </c>
      <c r="T2869" t="s">
        <v>14004</v>
      </c>
      <c r="U2869" t="s">
        <v>14004</v>
      </c>
      <c r="V2869" t="s">
        <v>14004</v>
      </c>
      <c r="W2869" t="s">
        <v>16832</v>
      </c>
      <c r="X2869">
        <v>44</v>
      </c>
      <c r="Y2869" t="s">
        <v>23709</v>
      </c>
      <c r="Z2869" t="s">
        <v>30579</v>
      </c>
      <c r="AA2869">
        <v>0.64008321216215402</v>
      </c>
      <c r="AB2869" t="str">
        <f>HYPERLINK("Melting_Curves/meltCurve_P50991_CCT4.pdf", "Melting_Curves/meltCurve_P50991_CCT4.pdf")</f>
        <v>Melting_Curves/meltCurve_P50991_CCT4.pdf</v>
      </c>
    </row>
    <row r="2870" spans="1:28" x14ac:dyDescent="0.25">
      <c r="A2870" t="s">
        <v>2874</v>
      </c>
      <c r="B2870">
        <v>0.99999676499088797</v>
      </c>
      <c r="C2870">
        <v>0.90105733677354405</v>
      </c>
      <c r="D2870">
        <v>0.93869401451697598</v>
      </c>
      <c r="E2870">
        <v>0.990733297689814</v>
      </c>
      <c r="F2870">
        <v>0.40777997586090198</v>
      </c>
      <c r="G2870">
        <v>0.165229227340665</v>
      </c>
      <c r="H2870">
        <v>7.7899336877678499E-2</v>
      </c>
      <c r="I2870">
        <v>7.1550443959306695E-2</v>
      </c>
      <c r="J2870">
        <v>5.9339140918754398E-2</v>
      </c>
      <c r="K2870">
        <v>5.32366114837576E-2</v>
      </c>
      <c r="L2870">
        <v>2603.3255937404901</v>
      </c>
      <c r="M2870">
        <v>49.462202208843102</v>
      </c>
      <c r="N2870">
        <v>52.815686808912297</v>
      </c>
      <c r="O2870">
        <v>52.546808635446801</v>
      </c>
      <c r="P2870">
        <v>-0.216787294535356</v>
      </c>
      <c r="Q2870">
        <v>7.8773739961316105E-2</v>
      </c>
      <c r="R2870">
        <v>0.98844286869739695</v>
      </c>
      <c r="S2870" t="s">
        <v>9873</v>
      </c>
      <c r="T2870" t="s">
        <v>14004</v>
      </c>
      <c r="U2870" t="s">
        <v>14004</v>
      </c>
      <c r="V2870" t="s">
        <v>14004</v>
      </c>
      <c r="W2870" t="s">
        <v>16833</v>
      </c>
      <c r="X2870">
        <v>15</v>
      </c>
      <c r="Y2870" t="s">
        <v>23710</v>
      </c>
      <c r="Z2870" t="s">
        <v>30580</v>
      </c>
      <c r="AA2870">
        <v>0.46887614755380441</v>
      </c>
      <c r="AB2870" t="str">
        <f>HYPERLINK("Melting_Curves/meltCurve_P51003_PAPOLA.pdf", "Melting_Curves/meltCurve_P51003_PAPOLA.pdf")</f>
        <v>Melting_Curves/meltCurve_P51003_PAPOLA.pdf</v>
      </c>
    </row>
    <row r="2871" spans="1:28" x14ac:dyDescent="0.25">
      <c r="A2871" t="s">
        <v>2875</v>
      </c>
      <c r="B2871">
        <v>0.99999676499088797</v>
      </c>
      <c r="C2871">
        <v>0.88966227515876495</v>
      </c>
      <c r="D2871">
        <v>0.56237557923693204</v>
      </c>
      <c r="E2871">
        <v>0.26128649565520401</v>
      </c>
      <c r="F2871">
        <v>0.36691620108841799</v>
      </c>
      <c r="G2871">
        <v>0.17880727884651201</v>
      </c>
      <c r="H2871">
        <v>7.9600965032231602E-2</v>
      </c>
      <c r="I2871">
        <v>5.4159361010245897E-2</v>
      </c>
      <c r="J2871">
        <v>4.9532239961710502E-2</v>
      </c>
      <c r="K2871">
        <v>6.1476107785957801E-2</v>
      </c>
      <c r="L2871">
        <v>721.813546115593</v>
      </c>
      <c r="M2871">
        <v>15.3522592085711</v>
      </c>
      <c r="N2871">
        <v>47.5053697509382</v>
      </c>
      <c r="O2871">
        <v>46.240692906927798</v>
      </c>
      <c r="P2871">
        <v>-7.6947102905927697E-2</v>
      </c>
      <c r="Q2871">
        <v>7.3033179020319305E-2</v>
      </c>
      <c r="R2871">
        <v>0.95517289891101398</v>
      </c>
      <c r="S2871" t="s">
        <v>9874</v>
      </c>
      <c r="T2871" t="s">
        <v>14004</v>
      </c>
      <c r="U2871" t="s">
        <v>14004</v>
      </c>
      <c r="V2871" t="s">
        <v>14004</v>
      </c>
      <c r="W2871" t="s">
        <v>16834</v>
      </c>
      <c r="X2871">
        <v>12</v>
      </c>
      <c r="Y2871" t="s">
        <v>23711</v>
      </c>
      <c r="Z2871" t="s">
        <v>30581</v>
      </c>
      <c r="AA2871">
        <v>0.31382425894237082</v>
      </c>
      <c r="AB2871" t="str">
        <f>HYPERLINK("Melting_Curves/meltCurve_P51116_FXR2.pdf", "Melting_Curves/meltCurve_P51116_FXR2.pdf")</f>
        <v>Melting_Curves/meltCurve_P51116_FXR2.pdf</v>
      </c>
    </row>
    <row r="2872" spans="1:28" x14ac:dyDescent="0.25">
      <c r="A2872" t="s">
        <v>2876</v>
      </c>
      <c r="B2872">
        <v>0.99999676499088797</v>
      </c>
      <c r="C2872">
        <v>0.99527663093358099</v>
      </c>
      <c r="D2872">
        <v>0.98915834736237096</v>
      </c>
      <c r="E2872">
        <v>1.00747855900301</v>
      </c>
      <c r="F2872">
        <v>0.94597363398838397</v>
      </c>
      <c r="G2872">
        <v>0.90326524669587804</v>
      </c>
      <c r="H2872">
        <v>0.55840652497208298</v>
      </c>
      <c r="I2872">
        <v>0.52737419240635497</v>
      </c>
      <c r="J2872">
        <v>0.33641729497258599</v>
      </c>
      <c r="K2872">
        <v>0.206891819701011</v>
      </c>
      <c r="L2872">
        <v>978.86722903663895</v>
      </c>
      <c r="M2872">
        <v>15.599014336245199</v>
      </c>
      <c r="N2872">
        <v>63.419688860833404</v>
      </c>
      <c r="O2872">
        <v>61.747708742542002</v>
      </c>
      <c r="P2872">
        <v>-5.83778603063074E-2</v>
      </c>
      <c r="Q2872">
        <v>7.5739860358017497E-2</v>
      </c>
      <c r="R2872">
        <v>0.98104622093884997</v>
      </c>
      <c r="S2872" t="s">
        <v>9875</v>
      </c>
      <c r="T2872" t="s">
        <v>14004</v>
      </c>
      <c r="U2872" t="s">
        <v>14004</v>
      </c>
      <c r="V2872" t="s">
        <v>14004</v>
      </c>
      <c r="W2872" t="s">
        <v>16835</v>
      </c>
      <c r="X2872">
        <v>13</v>
      </c>
      <c r="Y2872" t="s">
        <v>23712</v>
      </c>
      <c r="Z2872" t="s">
        <v>30582</v>
      </c>
      <c r="AA2872">
        <v>0.77105712815674599</v>
      </c>
      <c r="AB2872" t="str">
        <f>HYPERLINK("Melting_Curves/meltCurve_P51148_RAB5C.pdf", "Melting_Curves/meltCurve_P51148_RAB5C.pdf")</f>
        <v>Melting_Curves/meltCurve_P51148_RAB5C.pdf</v>
      </c>
    </row>
    <row r="2873" spans="1:28" x14ac:dyDescent="0.25">
      <c r="A2873" t="s">
        <v>2877</v>
      </c>
      <c r="B2873">
        <v>0.99999676499088797</v>
      </c>
      <c r="C2873">
        <v>0.93220191637195404</v>
      </c>
      <c r="D2873">
        <v>0.96861762150316499</v>
      </c>
      <c r="E2873">
        <v>1.05930744948794</v>
      </c>
      <c r="F2873">
        <v>1.0520207249204201</v>
      </c>
      <c r="G2873">
        <v>0.93177951978706997</v>
      </c>
      <c r="H2873">
        <v>0.624978223389553</v>
      </c>
      <c r="I2873">
        <v>0.407381701571364</v>
      </c>
      <c r="J2873">
        <v>0.250126017613717</v>
      </c>
      <c r="K2873">
        <v>0.18301735700549901</v>
      </c>
      <c r="L2873">
        <v>1669.0981404439999</v>
      </c>
      <c r="M2873">
        <v>27.1217537074494</v>
      </c>
      <c r="N2873">
        <v>62.469623158752299</v>
      </c>
      <c r="O2873">
        <v>61.209304110024497</v>
      </c>
      <c r="P2873">
        <v>-9.2396768485475997E-2</v>
      </c>
      <c r="Q2873">
        <v>0.16591151436434001</v>
      </c>
      <c r="R2873">
        <v>0.98606703811931096</v>
      </c>
      <c r="S2873" t="s">
        <v>9876</v>
      </c>
      <c r="T2873" t="s">
        <v>14004</v>
      </c>
      <c r="U2873" t="s">
        <v>14004</v>
      </c>
      <c r="V2873" t="s">
        <v>14004</v>
      </c>
      <c r="W2873" t="s">
        <v>16836</v>
      </c>
      <c r="X2873">
        <v>25</v>
      </c>
      <c r="Y2873" t="s">
        <v>23713</v>
      </c>
      <c r="Z2873" t="s">
        <v>30583</v>
      </c>
      <c r="AA2873">
        <v>0.76929837233926868</v>
      </c>
      <c r="AB2873" t="str">
        <f>HYPERLINK("Melting_Curves/meltCurve_P51149_RAB7A.pdf", "Melting_Curves/meltCurve_P51149_RAB7A.pdf")</f>
        <v>Melting_Curves/meltCurve_P51149_RAB7A.pdf</v>
      </c>
    </row>
    <row r="2874" spans="1:28" x14ac:dyDescent="0.25">
      <c r="A2874" t="s">
        <v>2878</v>
      </c>
      <c r="B2874">
        <v>0.99999676499088797</v>
      </c>
      <c r="C2874">
        <v>0.96265112091896798</v>
      </c>
      <c r="D2874">
        <v>1.00042646491871</v>
      </c>
      <c r="E2874">
        <v>1.01192369947313</v>
      </c>
      <c r="F2874">
        <v>0.81775152893974901</v>
      </c>
      <c r="G2874">
        <v>0.53560405859522198</v>
      </c>
      <c r="H2874">
        <v>0.176486254007888</v>
      </c>
      <c r="I2874">
        <v>8.5288277988172498E-2</v>
      </c>
      <c r="J2874">
        <v>7.5826985494499996E-2</v>
      </c>
      <c r="K2874">
        <v>5.5219338188936699E-2</v>
      </c>
      <c r="L2874">
        <v>1435.1003004619499</v>
      </c>
      <c r="M2874">
        <v>25.302391334094001</v>
      </c>
      <c r="N2874">
        <v>56.927309666951103</v>
      </c>
      <c r="O2874">
        <v>56.367247059548397</v>
      </c>
      <c r="P2874">
        <v>-0.10723725171974501</v>
      </c>
      <c r="Q2874">
        <v>4.4423732076272697E-2</v>
      </c>
      <c r="R2874">
        <v>0.99720105885718902</v>
      </c>
      <c r="S2874" t="s">
        <v>9877</v>
      </c>
      <c r="T2874" t="s">
        <v>14004</v>
      </c>
      <c r="U2874" t="s">
        <v>14004</v>
      </c>
      <c r="V2874" t="s">
        <v>14004</v>
      </c>
      <c r="W2874" t="s">
        <v>16837</v>
      </c>
      <c r="X2874">
        <v>6</v>
      </c>
      <c r="Y2874" t="s">
        <v>23714</v>
      </c>
      <c r="Z2874" t="s">
        <v>30584</v>
      </c>
      <c r="AA2874">
        <v>0.58543559681962498</v>
      </c>
      <c r="AB2874" t="str">
        <f>HYPERLINK("Melting_Curves/meltCurve_P51151_RAB9A.pdf", "Melting_Curves/meltCurve_P51151_RAB9A.pdf")</f>
        <v>Melting_Curves/meltCurve_P51151_RAB9A.pdf</v>
      </c>
    </row>
    <row r="2875" spans="1:28" x14ac:dyDescent="0.25">
      <c r="A2875" t="s">
        <v>2879</v>
      </c>
      <c r="B2875">
        <v>0.99999676499088797</v>
      </c>
      <c r="C2875">
        <v>0.99720817233703096</v>
      </c>
      <c r="D2875">
        <v>0.923548887261331</v>
      </c>
      <c r="E2875">
        <v>0.84849881185493603</v>
      </c>
      <c r="F2875">
        <v>0.20749993724652999</v>
      </c>
      <c r="G2875">
        <v>0.13936069412643501</v>
      </c>
      <c r="H2875">
        <v>5.8645659486093099E-2</v>
      </c>
      <c r="I2875">
        <v>5.1924760891243503E-2</v>
      </c>
      <c r="J2875">
        <v>4.7565750765137797E-2</v>
      </c>
      <c r="K2875">
        <v>4.78620003655187E-2</v>
      </c>
      <c r="L2875">
        <v>2323.0191096712902</v>
      </c>
      <c r="M2875">
        <v>45.270641988323902</v>
      </c>
      <c r="N2875">
        <v>51.470892989110403</v>
      </c>
      <c r="O2875">
        <v>51.214211430236404</v>
      </c>
      <c r="P2875">
        <v>-0.20674762435324601</v>
      </c>
      <c r="Q2875">
        <v>6.4435506399344894E-2</v>
      </c>
      <c r="R2875">
        <v>0.99426270334830302</v>
      </c>
      <c r="S2875" t="s">
        <v>9878</v>
      </c>
      <c r="T2875" t="s">
        <v>14004</v>
      </c>
      <c r="U2875" t="s">
        <v>14004</v>
      </c>
      <c r="V2875" t="s">
        <v>14004</v>
      </c>
      <c r="W2875" t="s">
        <v>16838</v>
      </c>
      <c r="X2875">
        <v>8</v>
      </c>
      <c r="Y2875" t="s">
        <v>23715</v>
      </c>
      <c r="Z2875" t="s">
        <v>30585</v>
      </c>
      <c r="AA2875">
        <v>0.41985509005257687</v>
      </c>
      <c r="AB2875" t="str">
        <f>HYPERLINK("Melting_Curves/meltCurve_P51157_RAB28.pdf", "Melting_Curves/meltCurve_P51157_RAB28.pdf")</f>
        <v>Melting_Curves/meltCurve_P51157_RAB28.pdf</v>
      </c>
    </row>
    <row r="2876" spans="1:28" x14ac:dyDescent="0.25">
      <c r="A2876" t="s">
        <v>2880</v>
      </c>
      <c r="B2876">
        <v>0.99999676499088797</v>
      </c>
      <c r="C2876">
        <v>0.98647794347864104</v>
      </c>
      <c r="D2876">
        <v>1.0407092006485199</v>
      </c>
      <c r="E2876">
        <v>1.08931966342363</v>
      </c>
      <c r="F2876">
        <v>0.86116905097999097</v>
      </c>
      <c r="G2876">
        <v>0.50363667230792097</v>
      </c>
      <c r="H2876">
        <v>0.175563176567196</v>
      </c>
      <c r="I2876">
        <v>0.120441251772473</v>
      </c>
      <c r="J2876">
        <v>0.117057348051031</v>
      </c>
      <c r="K2876">
        <v>0.116970638299431</v>
      </c>
      <c r="L2876">
        <v>1863.7119809593701</v>
      </c>
      <c r="M2876">
        <v>33.088756438423403</v>
      </c>
      <c r="N2876">
        <v>56.750789461200803</v>
      </c>
      <c r="O2876">
        <v>56.120097627482203</v>
      </c>
      <c r="P2876">
        <v>-0.131187117073225</v>
      </c>
      <c r="Q2876">
        <v>0.110005679079928</v>
      </c>
      <c r="R2876">
        <v>0.99252465587549499</v>
      </c>
      <c r="S2876" t="s">
        <v>9879</v>
      </c>
      <c r="T2876" t="s">
        <v>14004</v>
      </c>
      <c r="U2876" t="s">
        <v>14004</v>
      </c>
      <c r="V2876" t="s">
        <v>14004</v>
      </c>
      <c r="W2876" t="s">
        <v>16839</v>
      </c>
      <c r="X2876">
        <v>8</v>
      </c>
      <c r="Y2876" t="s">
        <v>23716</v>
      </c>
      <c r="Z2876" t="s">
        <v>30586</v>
      </c>
      <c r="AA2876">
        <v>0.59925439344867593</v>
      </c>
      <c r="AB2876" t="str">
        <f>HYPERLINK("Melting_Curves/meltCurve_P51159_RAB27A.pdf", "Melting_Curves/meltCurve_P51159_RAB27A.pdf")</f>
        <v>Melting_Curves/meltCurve_P51159_RAB27A.pdf</v>
      </c>
    </row>
    <row r="2877" spans="1:28" x14ac:dyDescent="0.25">
      <c r="A2877" t="s">
        <v>2881</v>
      </c>
      <c r="B2877">
        <v>0.99999676499088797</v>
      </c>
      <c r="C2877">
        <v>0.92059958779501205</v>
      </c>
      <c r="D2877">
        <v>0.89390210618460997</v>
      </c>
      <c r="E2877">
        <v>0.59811327017468596</v>
      </c>
      <c r="F2877">
        <v>0.13785825811903701</v>
      </c>
      <c r="G2877">
        <v>8.0703718339975306E-2</v>
      </c>
      <c r="H2877">
        <v>3.2092020748271798E-2</v>
      </c>
      <c r="I2877">
        <v>3.1392472313984898E-2</v>
      </c>
      <c r="J2877">
        <v>3.4815269626720602E-2</v>
      </c>
      <c r="K2877">
        <v>2.77120389625202E-2</v>
      </c>
      <c r="L2877">
        <v>1416.09372576446</v>
      </c>
      <c r="M2877">
        <v>28.3254994302204</v>
      </c>
      <c r="N2877">
        <v>50.096879042290396</v>
      </c>
      <c r="O2877">
        <v>49.746403086591101</v>
      </c>
      <c r="P2877">
        <v>-0.13831341600983299</v>
      </c>
      <c r="Q2877">
        <v>2.8361023461692999E-2</v>
      </c>
      <c r="R2877">
        <v>0.99459583785283301</v>
      </c>
      <c r="S2877" t="s">
        <v>9880</v>
      </c>
      <c r="T2877" t="s">
        <v>14004</v>
      </c>
      <c r="U2877" t="s">
        <v>14004</v>
      </c>
      <c r="V2877" t="s">
        <v>14004</v>
      </c>
      <c r="W2877" t="s">
        <v>16840</v>
      </c>
      <c r="X2877">
        <v>8</v>
      </c>
      <c r="Y2877" t="s">
        <v>23717</v>
      </c>
      <c r="Z2877" t="s">
        <v>30587</v>
      </c>
      <c r="AA2877">
        <v>0.35878297370297568</v>
      </c>
      <c r="AB2877" t="str">
        <f>HYPERLINK("Melting_Curves/meltCurve_P51398_2_DAP3.pdf", "Melting_Curves/meltCurve_P51398_2_DAP3.pdf")</f>
        <v>Melting_Curves/meltCurve_P51398_2_DAP3.pdf</v>
      </c>
    </row>
    <row r="2878" spans="1:28" x14ac:dyDescent="0.25">
      <c r="A2878" t="s">
        <v>2882</v>
      </c>
      <c r="B2878">
        <v>0.99999676499088797</v>
      </c>
      <c r="C2878">
        <v>0.95475266535483405</v>
      </c>
      <c r="D2878">
        <v>1.04831723176611</v>
      </c>
      <c r="E2878">
        <v>1.0634134028122399</v>
      </c>
      <c r="F2878">
        <v>0.34899947270418702</v>
      </c>
      <c r="G2878">
        <v>0.19363637073848</v>
      </c>
      <c r="H2878">
        <v>9.0125373538685494E-2</v>
      </c>
      <c r="I2878">
        <v>6.3922825651034104E-2</v>
      </c>
      <c r="J2878">
        <v>6.4043076601788707E-2</v>
      </c>
      <c r="K2878">
        <v>5.6240119476691497E-2</v>
      </c>
      <c r="L2878">
        <v>8968.1194854990299</v>
      </c>
      <c r="M2878">
        <v>169.50927437117301</v>
      </c>
      <c r="N2878">
        <v>52.971126530523698</v>
      </c>
      <c r="O2878">
        <v>52.898993244852697</v>
      </c>
      <c r="P2878">
        <v>-0.72612326829416296</v>
      </c>
      <c r="Q2878">
        <v>9.3590705933148804E-2</v>
      </c>
      <c r="R2878">
        <v>0.98885336078905794</v>
      </c>
      <c r="S2878" t="s">
        <v>9881</v>
      </c>
      <c r="T2878" t="s">
        <v>14004</v>
      </c>
      <c r="U2878" t="s">
        <v>14004</v>
      </c>
      <c r="V2878" t="s">
        <v>14004</v>
      </c>
      <c r="W2878" t="s">
        <v>16841</v>
      </c>
      <c r="X2878">
        <v>6</v>
      </c>
      <c r="Y2878" t="s">
        <v>23718</v>
      </c>
      <c r="Z2878" t="s">
        <v>30588</v>
      </c>
      <c r="AA2878">
        <v>0.48372211217448441</v>
      </c>
      <c r="AB2878" t="str">
        <f>HYPERLINK("Melting_Curves/meltCurve_P51452_DUSP3.pdf", "Melting_Curves/meltCurve_P51452_DUSP3.pdf")</f>
        <v>Melting_Curves/meltCurve_P51452_DUSP3.pdf</v>
      </c>
    </row>
    <row r="2879" spans="1:28" x14ac:dyDescent="0.25">
      <c r="A2879" t="s">
        <v>2883</v>
      </c>
      <c r="B2879">
        <v>0.99999676499088797</v>
      </c>
      <c r="C2879">
        <v>0.96555232773389998</v>
      </c>
      <c r="D2879">
        <v>0.92293382177945704</v>
      </c>
      <c r="E2879">
        <v>0.70706088943415002</v>
      </c>
      <c r="F2879">
        <v>0.45435441130651899</v>
      </c>
      <c r="G2879">
        <v>0.21096549788601501</v>
      </c>
      <c r="H2879">
        <v>9.3165775708922899E-2</v>
      </c>
      <c r="I2879">
        <v>6.5600569407456594E-2</v>
      </c>
      <c r="J2879">
        <v>7.8791836332743198E-2</v>
      </c>
      <c r="K2879">
        <v>5.9007992928835303E-2</v>
      </c>
      <c r="L2879">
        <v>928.77781298178002</v>
      </c>
      <c r="M2879">
        <v>17.833903686336601</v>
      </c>
      <c r="N2879">
        <v>52.3404601336063</v>
      </c>
      <c r="O2879">
        <v>51.437752793343002</v>
      </c>
      <c r="P2879">
        <v>-8.2991944574760695E-2</v>
      </c>
      <c r="Q2879">
        <v>4.25650557485494E-2</v>
      </c>
      <c r="R2879">
        <v>0.99874929101451604</v>
      </c>
      <c r="S2879" t="s">
        <v>9882</v>
      </c>
      <c r="T2879" t="s">
        <v>14004</v>
      </c>
      <c r="U2879" t="s">
        <v>14004</v>
      </c>
      <c r="V2879" t="s">
        <v>14004</v>
      </c>
      <c r="W2879" t="s">
        <v>16842</v>
      </c>
      <c r="X2879">
        <v>8</v>
      </c>
      <c r="Y2879" t="s">
        <v>23719</v>
      </c>
      <c r="Z2879" t="s">
        <v>30589</v>
      </c>
      <c r="AA2879">
        <v>0.44423770288024989</v>
      </c>
      <c r="AB2879" t="str">
        <f>HYPERLINK("Melting_Curves/meltCurve_P51513_5_NOVA1.pdf", "Melting_Curves/meltCurve_P51513_5_NOVA1.pdf")</f>
        <v>Melting_Curves/meltCurve_P51513_5_NOVA1.pdf</v>
      </c>
    </row>
    <row r="2880" spans="1:28" x14ac:dyDescent="0.25">
      <c r="A2880" t="s">
        <v>2884</v>
      </c>
      <c r="B2880">
        <v>0.99999676499088797</v>
      </c>
      <c r="C2880">
        <v>1.00733000334428</v>
      </c>
      <c r="D2880">
        <v>0.67396853244146104</v>
      </c>
      <c r="E2880">
        <v>0.32711553613275401</v>
      </c>
      <c r="F2880">
        <v>0.21436679547309001</v>
      </c>
      <c r="G2880">
        <v>0.111249440257634</v>
      </c>
      <c r="H2880">
        <v>2.4105198331024799E-2</v>
      </c>
      <c r="I2880">
        <v>0.12219609887336801</v>
      </c>
      <c r="J2880">
        <v>9.9992669327775396E-2</v>
      </c>
      <c r="K2880">
        <v>4.9547224484796197E-2</v>
      </c>
      <c r="L2880">
        <v>1104.7876514867201</v>
      </c>
      <c r="M2880">
        <v>23.246136523951801</v>
      </c>
      <c r="N2880">
        <v>47.905384773625102</v>
      </c>
      <c r="O2880">
        <v>47.178132946401803</v>
      </c>
      <c r="P2880">
        <v>-0.112819697953944</v>
      </c>
      <c r="Q2880">
        <v>8.41442119656063E-2</v>
      </c>
      <c r="R2880">
        <v>0.98662181714830299</v>
      </c>
      <c r="S2880" t="s">
        <v>9883</v>
      </c>
      <c r="T2880" t="s">
        <v>14004</v>
      </c>
      <c r="U2880" t="s">
        <v>14004</v>
      </c>
      <c r="V2880" t="s">
        <v>14004</v>
      </c>
      <c r="W2880" t="s">
        <v>16843</v>
      </c>
      <c r="X2880">
        <v>14</v>
      </c>
      <c r="Y2880" t="s">
        <v>23720</v>
      </c>
      <c r="Z2880" t="s">
        <v>30590</v>
      </c>
      <c r="AA2880">
        <v>0.32339210939416679</v>
      </c>
      <c r="AB2880" t="str">
        <f>HYPERLINK("Melting_Curves/meltCurve_P51531_SMARCA2.pdf", "Melting_Curves/meltCurve_P51531_SMARCA2.pdf")</f>
        <v>Melting_Curves/meltCurve_P51531_SMARCA2.pdf</v>
      </c>
    </row>
    <row r="2881" spans="1:28" x14ac:dyDescent="0.25">
      <c r="A2881" t="s">
        <v>2885</v>
      </c>
      <c r="B2881">
        <v>0.99999676499088797</v>
      </c>
      <c r="C2881">
        <v>0.971482751617049</v>
      </c>
      <c r="D2881">
        <v>0.97463286663423199</v>
      </c>
      <c r="E2881">
        <v>0.93390560167491299</v>
      </c>
      <c r="F2881">
        <v>0.65764793757421902</v>
      </c>
      <c r="G2881">
        <v>0.42169314164275101</v>
      </c>
      <c r="H2881">
        <v>0.155122323041502</v>
      </c>
      <c r="I2881">
        <v>9.7160732041053396E-2</v>
      </c>
      <c r="J2881">
        <v>6.0096126405720901E-2</v>
      </c>
      <c r="K2881">
        <v>5.1170599323141899E-2</v>
      </c>
      <c r="L2881">
        <v>1062.5188536732901</v>
      </c>
      <c r="M2881">
        <v>19.217276308242798</v>
      </c>
      <c r="N2881">
        <v>55.463674757897202</v>
      </c>
      <c r="O2881">
        <v>54.701500815687197</v>
      </c>
      <c r="P2881">
        <v>-8.5263268105669907E-2</v>
      </c>
      <c r="Q2881">
        <v>2.92377194231918E-2</v>
      </c>
      <c r="R2881">
        <v>0.99760939246574798</v>
      </c>
      <c r="S2881" t="s">
        <v>9884</v>
      </c>
      <c r="T2881" t="s">
        <v>14004</v>
      </c>
      <c r="U2881" t="s">
        <v>14004</v>
      </c>
      <c r="V2881" t="s">
        <v>14004</v>
      </c>
      <c r="W2881" t="s">
        <v>16844</v>
      </c>
      <c r="X2881">
        <v>5</v>
      </c>
      <c r="Y2881" t="s">
        <v>23721</v>
      </c>
      <c r="Z2881" t="s">
        <v>30591</v>
      </c>
      <c r="AA2881">
        <v>0.53757081479225322</v>
      </c>
      <c r="AB2881" t="str">
        <f>HYPERLINK("Melting_Curves/meltCurve_P51553_IDH3G.pdf", "Melting_Curves/meltCurve_P51553_IDH3G.pdf")</f>
        <v>Melting_Curves/meltCurve_P51553_IDH3G.pdf</v>
      </c>
    </row>
    <row r="2882" spans="1:28" x14ac:dyDescent="0.25">
      <c r="A2882" t="s">
        <v>2886</v>
      </c>
      <c r="B2882">
        <v>0.99999676499088797</v>
      </c>
      <c r="C2882">
        <v>1.03988169906685</v>
      </c>
      <c r="D2882">
        <v>0.957998542371024</v>
      </c>
      <c r="E2882">
        <v>0.84547651926010303</v>
      </c>
      <c r="F2882">
        <v>0.63140499443707798</v>
      </c>
      <c r="G2882">
        <v>0.28564515435126803</v>
      </c>
      <c r="H2882">
        <v>0.105045284222822</v>
      </c>
      <c r="I2882">
        <v>8.4407081840372794E-2</v>
      </c>
      <c r="J2882">
        <v>8.5491256850362504E-2</v>
      </c>
      <c r="K2882">
        <v>6.6179696158461199E-2</v>
      </c>
      <c r="L2882">
        <v>1166.5308472104</v>
      </c>
      <c r="M2882">
        <v>21.610846015173198</v>
      </c>
      <c r="N2882">
        <v>54.2658803955811</v>
      </c>
      <c r="O2882">
        <v>53.523127908660001</v>
      </c>
      <c r="P2882">
        <v>-9.5494120547256603E-2</v>
      </c>
      <c r="Q2882">
        <v>5.39895433610438E-2</v>
      </c>
      <c r="R2882">
        <v>0.99669584015791801</v>
      </c>
      <c r="S2882" t="s">
        <v>9885</v>
      </c>
      <c r="T2882" t="s">
        <v>14004</v>
      </c>
      <c r="U2882" t="s">
        <v>14004</v>
      </c>
      <c r="V2882" t="s">
        <v>14004</v>
      </c>
      <c r="W2882" t="s">
        <v>16845</v>
      </c>
      <c r="X2882">
        <v>24</v>
      </c>
      <c r="Y2882" t="s">
        <v>23722</v>
      </c>
      <c r="Z2882" t="s">
        <v>30592</v>
      </c>
      <c r="AA2882">
        <v>0.50611217215631921</v>
      </c>
      <c r="AB2882" t="str">
        <f>HYPERLINK("Melting_Curves/meltCurve_P51570_GALK1.pdf", "Melting_Curves/meltCurve_P51570_GALK1.pdf")</f>
        <v>Melting_Curves/meltCurve_P51570_GALK1.pdf</v>
      </c>
    </row>
    <row r="2883" spans="1:28" x14ac:dyDescent="0.25">
      <c r="A2883" t="s">
        <v>2887</v>
      </c>
      <c r="B2883">
        <v>0.99999676499088797</v>
      </c>
      <c r="C2883">
        <v>1.04703133328869</v>
      </c>
      <c r="D2883">
        <v>1.0250900105882399</v>
      </c>
      <c r="E2883">
        <v>0.92489619962444303</v>
      </c>
      <c r="F2883">
        <v>0.75451255594116295</v>
      </c>
      <c r="G2883">
        <v>0.57518427318708398</v>
      </c>
      <c r="H2883">
        <v>0.190850325397452</v>
      </c>
      <c r="I2883">
        <v>0.13674356348977701</v>
      </c>
      <c r="J2883">
        <v>0.10805454779187899</v>
      </c>
      <c r="K2883">
        <v>8.2275539916639495E-2</v>
      </c>
      <c r="L2883">
        <v>1117.1238601381301</v>
      </c>
      <c r="M2883">
        <v>19.7236651804416</v>
      </c>
      <c r="N2883">
        <v>56.949930059817902</v>
      </c>
      <c r="O2883">
        <v>56.066162943946303</v>
      </c>
      <c r="P2883">
        <v>-8.3458368726162593E-2</v>
      </c>
      <c r="Q2883">
        <v>5.10829607488274E-2</v>
      </c>
      <c r="R2883">
        <v>0.99175468854164905</v>
      </c>
      <c r="S2883" t="s">
        <v>9886</v>
      </c>
      <c r="T2883" t="s">
        <v>14004</v>
      </c>
      <c r="U2883" t="s">
        <v>14004</v>
      </c>
      <c r="V2883" t="s">
        <v>14004</v>
      </c>
      <c r="W2883" t="s">
        <v>16846</v>
      </c>
      <c r="X2883">
        <v>7</v>
      </c>
      <c r="Y2883" t="s">
        <v>23723</v>
      </c>
      <c r="Z2883" t="s">
        <v>30593</v>
      </c>
      <c r="AA2883">
        <v>0.58944430208734566</v>
      </c>
      <c r="AB2883" t="str">
        <f>HYPERLINK("Melting_Curves/meltCurve_P51571_SSR4.pdf", "Melting_Curves/meltCurve_P51571_SSR4.pdf")</f>
        <v>Melting_Curves/meltCurve_P51571_SSR4.pdf</v>
      </c>
    </row>
    <row r="2884" spans="1:28" x14ac:dyDescent="0.25">
      <c r="A2884" t="s">
        <v>2888</v>
      </c>
      <c r="B2884">
        <v>0.99999676499088797</v>
      </c>
      <c r="C2884">
        <v>0.98809577316544095</v>
      </c>
      <c r="D2884">
        <v>1.0587580045124401</v>
      </c>
      <c r="E2884">
        <v>0.9757685307235</v>
      </c>
      <c r="F2884">
        <v>0.894595793613019</v>
      </c>
      <c r="G2884">
        <v>0.89877628883619398</v>
      </c>
      <c r="H2884">
        <v>0.66739243865436704</v>
      </c>
      <c r="I2884">
        <v>0.70775862079211904</v>
      </c>
      <c r="J2884">
        <v>0.57979393255086698</v>
      </c>
      <c r="K2884">
        <v>0.75140643589175504</v>
      </c>
      <c r="L2884">
        <v>1422.1358222659101</v>
      </c>
      <c r="M2884">
        <v>24.921903244866598</v>
      </c>
      <c r="O2884">
        <v>56.700088893862997</v>
      </c>
      <c r="P2884">
        <v>-3.7314703351026497E-2</v>
      </c>
      <c r="Q2884">
        <v>0.660424299164873</v>
      </c>
      <c r="R2884">
        <v>0.87668904146995796</v>
      </c>
      <c r="S2884" t="s">
        <v>9887</v>
      </c>
      <c r="T2884" t="s">
        <v>14004</v>
      </c>
      <c r="U2884" t="s">
        <v>14004</v>
      </c>
      <c r="V2884" t="s">
        <v>14004</v>
      </c>
      <c r="W2884" t="s">
        <v>16847</v>
      </c>
      <c r="X2884">
        <v>28</v>
      </c>
      <c r="Y2884" t="s">
        <v>23724</v>
      </c>
      <c r="Z2884" t="s">
        <v>30594</v>
      </c>
      <c r="AA2884">
        <v>0.85664009285027665</v>
      </c>
      <c r="AB2884" t="str">
        <f>HYPERLINK("Melting_Curves/meltCurve_P51572_BCAP31.pdf", "Melting_Curves/meltCurve_P51572_BCAP31.pdf")</f>
        <v>Melting_Curves/meltCurve_P51572_BCAP31.pdf</v>
      </c>
    </row>
    <row r="2885" spans="1:28" x14ac:dyDescent="0.25">
      <c r="A2885" t="s">
        <v>2889</v>
      </c>
      <c r="B2885">
        <v>0.99999676499088797</v>
      </c>
      <c r="C2885">
        <v>0.85598898630235698</v>
      </c>
      <c r="D2885">
        <v>0.90589792745612097</v>
      </c>
      <c r="E2885">
        <v>0.98668933136390802</v>
      </c>
      <c r="F2885">
        <v>0.72460547038419498</v>
      </c>
      <c r="G2885">
        <v>0.294222931839281</v>
      </c>
      <c r="H2885">
        <v>0.10534713293289</v>
      </c>
      <c r="I2885">
        <v>9.6594934090187601E-2</v>
      </c>
      <c r="J2885">
        <v>9.56777241165397E-2</v>
      </c>
      <c r="K2885">
        <v>7.6135082387566194E-2</v>
      </c>
      <c r="L2885">
        <v>1765.2699102640599</v>
      </c>
      <c r="M2885">
        <v>32.313039169421899</v>
      </c>
      <c r="N2885">
        <v>54.939291820723199</v>
      </c>
      <c r="O2885">
        <v>54.422307294704098</v>
      </c>
      <c r="P2885">
        <v>-0.13610240282511499</v>
      </c>
      <c r="Q2885">
        <v>8.3098208101870297E-2</v>
      </c>
      <c r="R2885">
        <v>0.98045542899343796</v>
      </c>
      <c r="S2885" t="s">
        <v>9888</v>
      </c>
      <c r="T2885" t="s">
        <v>14004</v>
      </c>
      <c r="U2885" t="s">
        <v>14004</v>
      </c>
      <c r="V2885" t="s">
        <v>14004</v>
      </c>
      <c r="W2885" t="s">
        <v>16848</v>
      </c>
      <c r="X2885">
        <v>13</v>
      </c>
      <c r="Y2885" t="s">
        <v>23725</v>
      </c>
      <c r="Z2885" t="s">
        <v>30595</v>
      </c>
      <c r="AA2885">
        <v>0.53550495293135725</v>
      </c>
      <c r="AB2885" t="str">
        <f>HYPERLINK("Melting_Curves/meltCurve_P51580_TPMT.pdf", "Melting_Curves/meltCurve_P51580_TPMT.pdf")</f>
        <v>Melting_Curves/meltCurve_P51580_TPMT.pdf</v>
      </c>
    </row>
    <row r="2886" spans="1:28" x14ac:dyDescent="0.25">
      <c r="A2886" t="s">
        <v>2890</v>
      </c>
      <c r="B2886">
        <v>0.99999676499088797</v>
      </c>
      <c r="C2886">
        <v>1.01541774341728</v>
      </c>
      <c r="D2886">
        <v>1.0583884830914001</v>
      </c>
      <c r="E2886">
        <v>0.83918534187855898</v>
      </c>
      <c r="F2886">
        <v>0.43444139081736999</v>
      </c>
      <c r="G2886">
        <v>0.375259520851004</v>
      </c>
      <c r="H2886">
        <v>0.21800599359562101</v>
      </c>
      <c r="I2886">
        <v>0.153525676385247</v>
      </c>
      <c r="J2886">
        <v>0.15243584392020099</v>
      </c>
      <c r="K2886">
        <v>0.16063321373270401</v>
      </c>
      <c r="L2886">
        <v>1263.4431202022899</v>
      </c>
      <c r="M2886">
        <v>24.158959531056301</v>
      </c>
      <c r="N2886">
        <v>53.2306190001242</v>
      </c>
      <c r="O2886">
        <v>51.942713363027202</v>
      </c>
      <c r="P2886">
        <v>-9.6198967427396795E-2</v>
      </c>
      <c r="Q2886">
        <v>0.172686485823312</v>
      </c>
      <c r="R2886">
        <v>0.98250906088004097</v>
      </c>
      <c r="S2886" t="s">
        <v>9889</v>
      </c>
      <c r="T2886" t="s">
        <v>14004</v>
      </c>
      <c r="U2886" t="s">
        <v>14004</v>
      </c>
      <c r="V2886" t="s">
        <v>14004</v>
      </c>
      <c r="W2886" t="s">
        <v>16849</v>
      </c>
      <c r="X2886">
        <v>13</v>
      </c>
      <c r="Y2886" t="s">
        <v>23726</v>
      </c>
      <c r="Z2886" t="s">
        <v>30596</v>
      </c>
      <c r="AA2886">
        <v>0.51988796101116441</v>
      </c>
      <c r="AB2886" t="str">
        <f>HYPERLINK("Melting_Curves/meltCurve_P51608_MECP2.pdf", "Melting_Curves/meltCurve_P51608_MECP2.pdf")</f>
        <v>Melting_Curves/meltCurve_P51608_MECP2.pdf</v>
      </c>
    </row>
    <row r="2887" spans="1:28" x14ac:dyDescent="0.25">
      <c r="A2887" t="s">
        <v>2891</v>
      </c>
      <c r="B2887">
        <v>0.99999676499088797</v>
      </c>
      <c r="C2887">
        <v>0.99272318772549895</v>
      </c>
      <c r="D2887">
        <v>1.0745792119083699</v>
      </c>
      <c r="E2887">
        <v>0.89068721881815105</v>
      </c>
      <c r="F2887">
        <v>0.80127725663887694</v>
      </c>
      <c r="G2887">
        <v>0.571438661988935</v>
      </c>
      <c r="H2887">
        <v>0.53622830220248097</v>
      </c>
      <c r="I2887">
        <v>0.310079253671174</v>
      </c>
      <c r="J2887">
        <v>0.112334072947953</v>
      </c>
      <c r="K2887">
        <v>0.39595576613776501</v>
      </c>
      <c r="L2887">
        <v>888.14638811072803</v>
      </c>
      <c r="M2887">
        <v>15.643245928024101</v>
      </c>
      <c r="N2887">
        <v>59.0279537373697</v>
      </c>
      <c r="O2887">
        <v>55.871551745561398</v>
      </c>
      <c r="P2887">
        <v>-5.4267179256483097E-2</v>
      </c>
      <c r="Q2887">
        <v>0.22478194380067301</v>
      </c>
      <c r="R2887">
        <v>0.92592248086659101</v>
      </c>
      <c r="S2887" t="s">
        <v>9890</v>
      </c>
      <c r="T2887" t="s">
        <v>14004</v>
      </c>
      <c r="U2887" t="s">
        <v>14004</v>
      </c>
      <c r="V2887" t="s">
        <v>14004</v>
      </c>
      <c r="W2887" t="s">
        <v>16850</v>
      </c>
      <c r="X2887">
        <v>45</v>
      </c>
      <c r="Y2887" t="s">
        <v>20975</v>
      </c>
      <c r="Z2887" t="s">
        <v>30597</v>
      </c>
      <c r="AA2887">
        <v>0.67052836386239512</v>
      </c>
      <c r="AB2887" t="str">
        <f>HYPERLINK("Melting_Curves/meltCurve_P51610_2_HCFC1.pdf", "Melting_Curves/meltCurve_P51610_2_HCFC1.pdf")</f>
        <v>Melting_Curves/meltCurve_P51610_2_HCFC1.pdf</v>
      </c>
    </row>
    <row r="2888" spans="1:28" x14ac:dyDescent="0.25">
      <c r="A2888" t="s">
        <v>2892</v>
      </c>
      <c r="B2888">
        <v>0.99999676499088797</v>
      </c>
      <c r="C2888">
        <v>1.0414908047218701</v>
      </c>
      <c r="D2888">
        <v>1.0037316993493</v>
      </c>
      <c r="E2888">
        <v>0.98557461861360596</v>
      </c>
      <c r="F2888">
        <v>0.89587503032790206</v>
      </c>
      <c r="G2888">
        <v>0.77809988219863901</v>
      </c>
      <c r="H2888">
        <v>0.168905976301958</v>
      </c>
      <c r="I2888">
        <v>7.8266774087711294E-2</v>
      </c>
      <c r="J2888">
        <v>6.13916401019E-2</v>
      </c>
      <c r="K2888">
        <v>4.7840733729828999E-2</v>
      </c>
      <c r="L2888">
        <v>2512.4330690689198</v>
      </c>
      <c r="M2888">
        <v>43.140495303798801</v>
      </c>
      <c r="N2888">
        <v>58.385088809766501</v>
      </c>
      <c r="O2888">
        <v>58.1136769235356</v>
      </c>
      <c r="P2888">
        <v>-0.176055049706523</v>
      </c>
      <c r="Q2888">
        <v>5.1360993062371497E-2</v>
      </c>
      <c r="R2888">
        <v>0.99436041715083301</v>
      </c>
      <c r="S2888" t="s">
        <v>9891</v>
      </c>
      <c r="T2888" t="s">
        <v>14004</v>
      </c>
      <c r="U2888" t="s">
        <v>14004</v>
      </c>
      <c r="V2888" t="s">
        <v>14004</v>
      </c>
      <c r="W2888" t="s">
        <v>16851</v>
      </c>
      <c r="X2888">
        <v>23</v>
      </c>
      <c r="Y2888" t="s">
        <v>23727</v>
      </c>
      <c r="Z2888" t="s">
        <v>30598</v>
      </c>
      <c r="AA2888">
        <v>0.63131607374594345</v>
      </c>
      <c r="AB2888" t="str">
        <f>HYPERLINK("Melting_Curves/meltCurve_P51649_ALDH5A1.pdf", "Melting_Curves/meltCurve_P51649_ALDH5A1.pdf")</f>
        <v>Melting_Curves/meltCurve_P51649_ALDH5A1.pdf</v>
      </c>
    </row>
    <row r="2889" spans="1:28" x14ac:dyDescent="0.25">
      <c r="A2889" t="s">
        <v>2893</v>
      </c>
      <c r="B2889">
        <v>0.99999676499088797</v>
      </c>
      <c r="C2889">
        <v>0.98817368871935896</v>
      </c>
      <c r="D2889">
        <v>1.01819435545873</v>
      </c>
      <c r="E2889">
        <v>1.02070880652569</v>
      </c>
      <c r="F2889">
        <v>0.73576669607605605</v>
      </c>
      <c r="G2889">
        <v>0.33401733930386301</v>
      </c>
      <c r="H2889">
        <v>0.120915759351718</v>
      </c>
      <c r="I2889">
        <v>0.103959427505664</v>
      </c>
      <c r="J2889">
        <v>9.8337632274428197E-2</v>
      </c>
      <c r="K2889">
        <v>7.4480581244069699E-2</v>
      </c>
      <c r="L2889">
        <v>1733.9663722769701</v>
      </c>
      <c r="M2889">
        <v>31.589577678115301</v>
      </c>
      <c r="N2889">
        <v>55.225811903120601</v>
      </c>
      <c r="O2889">
        <v>54.671892479783203</v>
      </c>
      <c r="P2889">
        <v>-0.13184456754007001</v>
      </c>
      <c r="Q2889">
        <v>8.7274432005001998E-2</v>
      </c>
      <c r="R2889">
        <v>0.99767053181003995</v>
      </c>
      <c r="S2889" t="s">
        <v>9892</v>
      </c>
      <c r="T2889" t="s">
        <v>14004</v>
      </c>
      <c r="U2889" t="s">
        <v>14004</v>
      </c>
      <c r="V2889" t="s">
        <v>14004</v>
      </c>
      <c r="W2889" t="s">
        <v>16852</v>
      </c>
      <c r="X2889">
        <v>39</v>
      </c>
      <c r="Y2889" t="s">
        <v>23728</v>
      </c>
      <c r="Z2889" t="s">
        <v>30599</v>
      </c>
      <c r="AA2889">
        <v>0.54578644659219211</v>
      </c>
      <c r="AB2889" t="str">
        <f>HYPERLINK("Melting_Curves/meltCurve_P51659_HSD17B4.pdf", "Melting_Curves/meltCurve_P51659_HSD17B4.pdf")</f>
        <v>Melting_Curves/meltCurve_P51659_HSD17B4.pdf</v>
      </c>
    </row>
    <row r="2890" spans="1:28" x14ac:dyDescent="0.25">
      <c r="A2890" t="s">
        <v>2894</v>
      </c>
      <c r="B2890">
        <v>0.99999676499088797</v>
      </c>
      <c r="C2890">
        <v>0.864867321141081</v>
      </c>
      <c r="D2890">
        <v>0.88733040179846601</v>
      </c>
      <c r="E2890">
        <v>0.830514562070088</v>
      </c>
      <c r="F2890">
        <v>0.76582105932517797</v>
      </c>
      <c r="G2890">
        <v>0.363613350200445</v>
      </c>
      <c r="H2890">
        <v>0.11431097511223701</v>
      </c>
      <c r="I2890">
        <v>9.66209286639724E-2</v>
      </c>
      <c r="J2890">
        <v>9.1262055626321101E-2</v>
      </c>
      <c r="K2890">
        <v>7.6749442012799707E-2</v>
      </c>
      <c r="L2890">
        <v>1094.8510272748599</v>
      </c>
      <c r="M2890">
        <v>19.877869401101101</v>
      </c>
      <c r="N2890">
        <v>55.322836242068099</v>
      </c>
      <c r="O2890">
        <v>54.530538351868501</v>
      </c>
      <c r="P2890">
        <v>-8.7310872149343605E-2</v>
      </c>
      <c r="Q2890">
        <v>4.1959602144320103E-2</v>
      </c>
      <c r="R2890">
        <v>0.96909397637625005</v>
      </c>
      <c r="S2890" t="s">
        <v>9893</v>
      </c>
      <c r="T2890" t="s">
        <v>14004</v>
      </c>
      <c r="U2890" t="s">
        <v>14004</v>
      </c>
      <c r="V2890" t="s">
        <v>14004</v>
      </c>
      <c r="W2890" t="s">
        <v>16853</v>
      </c>
      <c r="X2890">
        <v>13</v>
      </c>
      <c r="Y2890" t="s">
        <v>23729</v>
      </c>
      <c r="Z2890" t="s">
        <v>30600</v>
      </c>
      <c r="AA2890">
        <v>0.53634458266020246</v>
      </c>
      <c r="AB2890" t="str">
        <f>HYPERLINK("Melting_Curves/meltCurve_P51665_PSMD7.pdf", "Melting_Curves/meltCurve_P51665_PSMD7.pdf")</f>
        <v>Melting_Curves/meltCurve_P51665_PSMD7.pdf</v>
      </c>
    </row>
    <row r="2891" spans="1:28" x14ac:dyDescent="0.25">
      <c r="A2891" t="s">
        <v>2895</v>
      </c>
      <c r="B2891">
        <v>0.99999676499088797</v>
      </c>
      <c r="C2891">
        <v>0.95513421776731799</v>
      </c>
      <c r="D2891">
        <v>0.88360903245594502</v>
      </c>
      <c r="E2891">
        <v>0.40383149566461901</v>
      </c>
      <c r="F2891">
        <v>0.189280229889533</v>
      </c>
      <c r="G2891">
        <v>0.12638471188390399</v>
      </c>
      <c r="H2891">
        <v>4.4193455989300703E-2</v>
      </c>
      <c r="I2891">
        <v>3.5306108193272102E-2</v>
      </c>
      <c r="J2891">
        <v>2.4227403889808301E-2</v>
      </c>
      <c r="K2891">
        <v>2.99141222457131E-2</v>
      </c>
      <c r="L2891">
        <v>1232.74738282971</v>
      </c>
      <c r="M2891">
        <v>25.184749333069099</v>
      </c>
      <c r="N2891">
        <v>49.1356944479638</v>
      </c>
      <c r="O2891">
        <v>48.642699282082603</v>
      </c>
      <c r="P2891">
        <v>-0.123508161869041</v>
      </c>
      <c r="Q2891">
        <v>4.5820905461058499E-2</v>
      </c>
      <c r="R2891">
        <v>0.99452897225952297</v>
      </c>
      <c r="S2891" t="s">
        <v>9894</v>
      </c>
      <c r="T2891" t="s">
        <v>14004</v>
      </c>
      <c r="U2891" t="s">
        <v>14004</v>
      </c>
      <c r="V2891" t="s">
        <v>14004</v>
      </c>
      <c r="W2891" t="s">
        <v>16854</v>
      </c>
      <c r="X2891">
        <v>2</v>
      </c>
      <c r="Y2891" t="s">
        <v>23730</v>
      </c>
      <c r="Z2891" t="s">
        <v>30601</v>
      </c>
      <c r="AA2891">
        <v>0.33875131320353741</v>
      </c>
      <c r="AB2891" t="str">
        <f>HYPERLINK("Melting_Curves/meltCurve_P51668_UBE2D1.pdf", "Melting_Curves/meltCurve_P51668_UBE2D1.pdf")</f>
        <v>Melting_Curves/meltCurve_P51668_UBE2D1.pdf</v>
      </c>
    </row>
    <row r="2892" spans="1:28" x14ac:dyDescent="0.25">
      <c r="A2892" t="s">
        <v>2896</v>
      </c>
      <c r="B2892">
        <v>0.99999676499088797</v>
      </c>
      <c r="C2892">
        <v>0.99711140019572497</v>
      </c>
      <c r="D2892">
        <v>0.83660424484862395</v>
      </c>
      <c r="E2892">
        <v>0.69955960485101798</v>
      </c>
      <c r="F2892">
        <v>0.82822257349946504</v>
      </c>
      <c r="G2892">
        <v>0.62777123807273305</v>
      </c>
      <c r="H2892">
        <v>0.50947847972132598</v>
      </c>
      <c r="I2892">
        <v>0.61317739082304001</v>
      </c>
      <c r="J2892">
        <v>0.61224270875979203</v>
      </c>
      <c r="K2892">
        <v>0.69723721572686204</v>
      </c>
      <c r="L2892">
        <v>731.982906688811</v>
      </c>
      <c r="M2892">
        <v>15.2337615786188</v>
      </c>
      <c r="O2892">
        <v>47.244867051897998</v>
      </c>
      <c r="P2892">
        <v>-3.10608374103791E-2</v>
      </c>
      <c r="Q2892">
        <v>0.61471745441546799</v>
      </c>
      <c r="R2892">
        <v>0.80434112460697005</v>
      </c>
      <c r="S2892" t="s">
        <v>9895</v>
      </c>
      <c r="T2892" t="s">
        <v>14004</v>
      </c>
      <c r="U2892" t="s">
        <v>14004</v>
      </c>
      <c r="V2892" t="s">
        <v>14004</v>
      </c>
      <c r="W2892" t="s">
        <v>16855</v>
      </c>
      <c r="X2892">
        <v>4</v>
      </c>
      <c r="Y2892" t="s">
        <v>23731</v>
      </c>
      <c r="Z2892" t="s">
        <v>30602</v>
      </c>
      <c r="AA2892">
        <v>0.72769523860904184</v>
      </c>
      <c r="AB2892" t="str">
        <f>HYPERLINK("Melting_Curves/meltCurve_P51688_SGSH.pdf", "Melting_Curves/meltCurve_P51688_SGSH.pdf")</f>
        <v>Melting_Curves/meltCurve_P51688_SGSH.pdf</v>
      </c>
    </row>
    <row r="2893" spans="1:28" x14ac:dyDescent="0.25">
      <c r="A2893" t="s">
        <v>2897</v>
      </c>
      <c r="B2893">
        <v>0.99999676499088797</v>
      </c>
      <c r="C2893">
        <v>0.84218447747029201</v>
      </c>
      <c r="D2893">
        <v>0.501252184727906</v>
      </c>
      <c r="E2893">
        <v>0.28127802430117199</v>
      </c>
      <c r="F2893">
        <v>0.21992668654578401</v>
      </c>
      <c r="G2893">
        <v>0.14473626596293901</v>
      </c>
      <c r="H2893">
        <v>9.1015106353485697E-2</v>
      </c>
      <c r="I2893">
        <v>8.9755377738131706E-2</v>
      </c>
      <c r="J2893">
        <v>8.3004667736972501E-2</v>
      </c>
      <c r="K2893">
        <v>6.7783034193987804E-2</v>
      </c>
      <c r="L2893">
        <v>882.30792443661801</v>
      </c>
      <c r="M2893">
        <v>19.1861730780671</v>
      </c>
      <c r="N2893">
        <v>46.506984713970198</v>
      </c>
      <c r="O2893">
        <v>45.495814883286002</v>
      </c>
      <c r="P2893">
        <v>-9.5248558184919396E-2</v>
      </c>
      <c r="Q2893">
        <v>9.6590146060118107E-2</v>
      </c>
      <c r="R2893">
        <v>0.98950201602055998</v>
      </c>
      <c r="S2893" t="s">
        <v>9896</v>
      </c>
      <c r="T2893" t="s">
        <v>14004</v>
      </c>
      <c r="U2893" t="s">
        <v>14004</v>
      </c>
      <c r="V2893" t="s">
        <v>14004</v>
      </c>
      <c r="W2893" t="s">
        <v>16856</v>
      </c>
      <c r="X2893">
        <v>9</v>
      </c>
      <c r="Y2893" t="s">
        <v>23732</v>
      </c>
      <c r="Z2893" t="s">
        <v>30603</v>
      </c>
      <c r="AA2893">
        <v>0.29224002121150261</v>
      </c>
      <c r="AB2893" t="str">
        <f>HYPERLINK("Melting_Curves/meltCurve_P51692_STAT5B.pdf", "Melting_Curves/meltCurve_P51692_STAT5B.pdf")</f>
        <v>Melting_Curves/meltCurve_P51692_STAT5B.pdf</v>
      </c>
    </row>
    <row r="2894" spans="1:28" x14ac:dyDescent="0.25">
      <c r="A2894" t="s">
        <v>2898</v>
      </c>
      <c r="B2894">
        <v>0.99999676499088797</v>
      </c>
      <c r="C2894">
        <v>1.06440299228722</v>
      </c>
      <c r="D2894">
        <v>1.0620193466830501</v>
      </c>
      <c r="E2894">
        <v>1.0358917565644301</v>
      </c>
      <c r="F2894">
        <v>1.0217723408905901</v>
      </c>
      <c r="G2894">
        <v>0.56627426252928703</v>
      </c>
      <c r="H2894">
        <v>0.28288730660656503</v>
      </c>
      <c r="I2894">
        <v>0.13537178672353301</v>
      </c>
      <c r="J2894">
        <v>0.119350737678487</v>
      </c>
      <c r="K2894">
        <v>8.13780191553959E-2</v>
      </c>
      <c r="L2894">
        <v>1945.2564318247701</v>
      </c>
      <c r="M2894">
        <v>33.982847311407298</v>
      </c>
      <c r="N2894">
        <v>57.684024974680199</v>
      </c>
      <c r="O2894">
        <v>57.045169132671802</v>
      </c>
      <c r="P2894">
        <v>-0.131868200050027</v>
      </c>
      <c r="Q2894">
        <v>0.11456342501523401</v>
      </c>
      <c r="R2894">
        <v>0.98626011597560603</v>
      </c>
      <c r="S2894" t="s">
        <v>9897</v>
      </c>
      <c r="T2894" t="s">
        <v>14004</v>
      </c>
      <c r="U2894" t="s">
        <v>14004</v>
      </c>
      <c r="V2894" t="s">
        <v>14004</v>
      </c>
      <c r="W2894" t="s">
        <v>16857</v>
      </c>
      <c r="X2894">
        <v>4</v>
      </c>
      <c r="Y2894" t="s">
        <v>23733</v>
      </c>
      <c r="Z2894" t="s">
        <v>30604</v>
      </c>
      <c r="AA2894">
        <v>0.62817044314416681</v>
      </c>
      <c r="AB2894" t="str">
        <f>HYPERLINK("Melting_Curves/meltCurve_P51790_4_CLCN3.pdf", "Melting_Curves/meltCurve_P51790_4_CLCN3.pdf")</f>
        <v>Melting_Curves/meltCurve_P51790_4_CLCN3.pdf</v>
      </c>
    </row>
    <row r="2895" spans="1:28" x14ac:dyDescent="0.25">
      <c r="A2895" t="s">
        <v>2899</v>
      </c>
      <c r="B2895">
        <v>0.99999676499088797</v>
      </c>
      <c r="C2895">
        <v>1.47805829502231</v>
      </c>
      <c r="D2895">
        <v>1.4411375367889001</v>
      </c>
      <c r="E2895">
        <v>1.3779534587219999</v>
      </c>
      <c r="F2895">
        <v>0.76087375730103701</v>
      </c>
      <c r="G2895">
        <v>0.61362727500551495</v>
      </c>
      <c r="H2895">
        <v>0.247675811282835</v>
      </c>
      <c r="I2895">
        <v>0.28453942197814303</v>
      </c>
      <c r="J2895">
        <v>0.170794612608209</v>
      </c>
      <c r="K2895">
        <v>0.100475954385147</v>
      </c>
      <c r="L2895">
        <v>1589.7114460968501</v>
      </c>
      <c r="M2895">
        <v>27.979592390854499</v>
      </c>
      <c r="N2895">
        <v>57.617043297167399</v>
      </c>
      <c r="O2895">
        <v>56.528963048234303</v>
      </c>
      <c r="P2895">
        <v>-0.103819184393747</v>
      </c>
      <c r="Q2895">
        <v>0.16099701882023101</v>
      </c>
      <c r="R2895">
        <v>0.77531502964205901</v>
      </c>
      <c r="S2895" t="s">
        <v>9898</v>
      </c>
      <c r="T2895" t="s">
        <v>14004</v>
      </c>
      <c r="U2895" t="s">
        <v>14004</v>
      </c>
      <c r="V2895" t="s">
        <v>14004</v>
      </c>
      <c r="W2895" t="s">
        <v>16858</v>
      </c>
      <c r="X2895">
        <v>3</v>
      </c>
      <c r="Y2895" t="s">
        <v>23734</v>
      </c>
      <c r="Z2895" t="s">
        <v>30605</v>
      </c>
      <c r="AA2895">
        <v>0.63762186745783445</v>
      </c>
      <c r="AB2895" t="str">
        <f>HYPERLINK("Melting_Curves/meltCurve_P51795_CLCN5.pdf", "Melting_Curves/meltCurve_P51795_CLCN5.pdf")</f>
        <v>Melting_Curves/meltCurve_P51795_CLCN5.pdf</v>
      </c>
    </row>
    <row r="2896" spans="1:28" x14ac:dyDescent="0.25">
      <c r="A2896" t="s">
        <v>2900</v>
      </c>
      <c r="B2896">
        <v>0.99999676499088797</v>
      </c>
      <c r="C2896">
        <v>0.92898211751916204</v>
      </c>
      <c r="D2896">
        <v>0.98534356108541998</v>
      </c>
      <c r="E2896">
        <v>1.06953929282535</v>
      </c>
      <c r="F2896">
        <v>0.225272294352026</v>
      </c>
      <c r="G2896">
        <v>0.18593738919448599</v>
      </c>
      <c r="H2896">
        <v>7.1805859908362496E-2</v>
      </c>
      <c r="I2896">
        <v>9.4545307250028604E-2</v>
      </c>
      <c r="J2896">
        <v>6.8438015520832493E-2</v>
      </c>
      <c r="K2896">
        <v>7.7696772880562107E-2</v>
      </c>
      <c r="L2896">
        <v>13203.2022232462</v>
      </c>
      <c r="M2896">
        <v>250</v>
      </c>
      <c r="N2896">
        <v>52.859847513180497</v>
      </c>
      <c r="O2896">
        <v>52.809422854732901</v>
      </c>
      <c r="P2896">
        <v>-1.0655239054496499</v>
      </c>
      <c r="Q2896">
        <v>9.9684652517099306E-2</v>
      </c>
      <c r="R2896">
        <v>0.98942376111358499</v>
      </c>
      <c r="S2896" t="s">
        <v>9899</v>
      </c>
      <c r="T2896" t="s">
        <v>14004</v>
      </c>
      <c r="U2896" t="s">
        <v>14004</v>
      </c>
      <c r="V2896" t="s">
        <v>14004</v>
      </c>
      <c r="W2896" t="s">
        <v>16859</v>
      </c>
      <c r="X2896">
        <v>4</v>
      </c>
      <c r="Y2896" t="s">
        <v>23735</v>
      </c>
      <c r="Z2896" t="s">
        <v>30606</v>
      </c>
      <c r="AA2896">
        <v>0.48428704852783427</v>
      </c>
      <c r="AB2896" t="str">
        <f>HYPERLINK("Melting_Curves/meltCurve_P51797_CLCN6.pdf", "Melting_Curves/meltCurve_P51797_CLCN6.pdf")</f>
        <v>Melting_Curves/meltCurve_P51797_CLCN6.pdf</v>
      </c>
    </row>
    <row r="2897" spans="1:28" x14ac:dyDescent="0.25">
      <c r="A2897" t="s">
        <v>2901</v>
      </c>
      <c r="B2897">
        <v>0.99999676499088797</v>
      </c>
      <c r="C2897">
        <v>0.83631423554064399</v>
      </c>
      <c r="D2897">
        <v>0.84802774390003599</v>
      </c>
      <c r="E2897">
        <v>0.93818149181719501</v>
      </c>
      <c r="F2897">
        <v>0.60925210346952297</v>
      </c>
      <c r="G2897">
        <v>0.28678521448005301</v>
      </c>
      <c r="H2897">
        <v>0.183798608745604</v>
      </c>
      <c r="I2897">
        <v>0.16811079034871801</v>
      </c>
      <c r="J2897">
        <v>0.149831045266198</v>
      </c>
      <c r="K2897">
        <v>0.175000795218337</v>
      </c>
      <c r="L2897">
        <v>1454.4049865197801</v>
      </c>
      <c r="M2897">
        <v>27.205875827627299</v>
      </c>
      <c r="N2897">
        <v>54.206525402388102</v>
      </c>
      <c r="O2897">
        <v>53.172888324535499</v>
      </c>
      <c r="P2897">
        <v>-0.10791043114481701</v>
      </c>
      <c r="Q2897">
        <v>0.15638009744345099</v>
      </c>
      <c r="R2897">
        <v>0.958948100238604</v>
      </c>
      <c r="S2897" t="s">
        <v>9900</v>
      </c>
      <c r="T2897" t="s">
        <v>14004</v>
      </c>
      <c r="U2897" t="s">
        <v>14004</v>
      </c>
      <c r="V2897" t="s">
        <v>14004</v>
      </c>
      <c r="W2897" t="s">
        <v>16860</v>
      </c>
      <c r="X2897">
        <v>4</v>
      </c>
      <c r="Y2897" t="s">
        <v>23736</v>
      </c>
      <c r="Z2897" t="s">
        <v>30607</v>
      </c>
      <c r="AA2897">
        <v>0.54150762791219986</v>
      </c>
      <c r="AB2897" t="str">
        <f>HYPERLINK("Melting_Curves/meltCurve_P51798_2_CLCN7.pdf", "Melting_Curves/meltCurve_P51798_2_CLCN7.pdf")</f>
        <v>Melting_Curves/meltCurve_P51798_2_CLCN7.pdf</v>
      </c>
    </row>
    <row r="2898" spans="1:28" x14ac:dyDescent="0.25">
      <c r="A2898" t="s">
        <v>2902</v>
      </c>
      <c r="B2898">
        <v>0.99999676499088797</v>
      </c>
      <c r="C2898">
        <v>0.92285553769608997</v>
      </c>
      <c r="D2898">
        <v>1.01802885329968</v>
      </c>
      <c r="E2898">
        <v>1.0842610909177599</v>
      </c>
      <c r="F2898">
        <v>0.82325264172322099</v>
      </c>
      <c r="G2898">
        <v>0.29954916767821799</v>
      </c>
      <c r="H2898">
        <v>0.122155439795992</v>
      </c>
      <c r="I2898">
        <v>0.110860783033274</v>
      </c>
      <c r="J2898">
        <v>0.104606709734374</v>
      </c>
      <c r="K2898">
        <v>7.9629721279527596E-2</v>
      </c>
      <c r="L2898">
        <v>2328.6202620551499</v>
      </c>
      <c r="M2898">
        <v>42.279724271756201</v>
      </c>
      <c r="N2898">
        <v>55.3684809566357</v>
      </c>
      <c r="O2898">
        <v>54.953739032429297</v>
      </c>
      <c r="P2898">
        <v>-0.173123700855354</v>
      </c>
      <c r="Q2898">
        <v>9.9920442730739106E-2</v>
      </c>
      <c r="R2898">
        <v>0.99125643723376</v>
      </c>
      <c r="S2898" t="s">
        <v>9901</v>
      </c>
      <c r="T2898" t="s">
        <v>14004</v>
      </c>
      <c r="U2898" t="s">
        <v>14004</v>
      </c>
      <c r="V2898" t="s">
        <v>14004</v>
      </c>
      <c r="W2898" t="s">
        <v>16861</v>
      </c>
      <c r="X2898">
        <v>9</v>
      </c>
      <c r="Y2898" t="s">
        <v>23737</v>
      </c>
      <c r="Z2898" t="s">
        <v>30608</v>
      </c>
      <c r="AA2898">
        <v>0.55531306134607139</v>
      </c>
      <c r="AB2898" t="str">
        <f>HYPERLINK("Melting_Curves/meltCurve_P51809_VAMP7.pdf", "Melting_Curves/meltCurve_P51809_VAMP7.pdf")</f>
        <v>Melting_Curves/meltCurve_P51809_VAMP7.pdf</v>
      </c>
    </row>
    <row r="2899" spans="1:28" x14ac:dyDescent="0.25">
      <c r="A2899" t="s">
        <v>2903</v>
      </c>
      <c r="B2899">
        <v>0.99999676499088797</v>
      </c>
      <c r="C2899">
        <v>1.03776158582556</v>
      </c>
      <c r="D2899">
        <v>1.0376802556985401</v>
      </c>
      <c r="E2899">
        <v>0.88030264671078995</v>
      </c>
      <c r="F2899">
        <v>0.409816997271574</v>
      </c>
      <c r="G2899">
        <v>0.19734357179869599</v>
      </c>
      <c r="H2899">
        <v>0.13700276780846099</v>
      </c>
      <c r="I2899">
        <v>0.117468683022364</v>
      </c>
      <c r="J2899">
        <v>0.149615718569167</v>
      </c>
      <c r="K2899">
        <v>0.119484334623915</v>
      </c>
      <c r="L2899">
        <v>1876.2225151396301</v>
      </c>
      <c r="M2899">
        <v>35.993994845773301</v>
      </c>
      <c r="N2899">
        <v>52.5793422286146</v>
      </c>
      <c r="O2899">
        <v>51.965874651878202</v>
      </c>
      <c r="P2899">
        <v>-0.150061312158528</v>
      </c>
      <c r="Q2899">
        <v>0.133406259078236</v>
      </c>
      <c r="R2899">
        <v>0.99709765160674801</v>
      </c>
      <c r="S2899" t="s">
        <v>9902</v>
      </c>
      <c r="T2899" t="s">
        <v>14004</v>
      </c>
      <c r="U2899" t="s">
        <v>14004</v>
      </c>
      <c r="V2899" t="s">
        <v>14004</v>
      </c>
      <c r="W2899" t="s">
        <v>16862</v>
      </c>
      <c r="X2899">
        <v>1</v>
      </c>
      <c r="Y2899" t="s">
        <v>23738</v>
      </c>
      <c r="Z2899" t="s">
        <v>30609</v>
      </c>
      <c r="AA2899">
        <v>0.48754052822529093</v>
      </c>
      <c r="AB2899" t="str">
        <f>HYPERLINK("Melting_Curves/meltCurve_P51828_ADCY7.pdf", "Melting_Curves/meltCurve_P51828_ADCY7.pdf")</f>
        <v>Melting_Curves/meltCurve_P51828_ADCY7.pdf</v>
      </c>
    </row>
    <row r="2900" spans="1:28" x14ac:dyDescent="0.25">
      <c r="A2900" t="s">
        <v>2904</v>
      </c>
      <c r="B2900">
        <v>0.99999676499088797</v>
      </c>
      <c r="C2900">
        <v>0.97781305353111903</v>
      </c>
      <c r="D2900">
        <v>1.00688568908686</v>
      </c>
      <c r="E2900">
        <v>0.96031270551231496</v>
      </c>
      <c r="F2900">
        <v>0.71132889862166804</v>
      </c>
      <c r="G2900">
        <v>0.43946677170657</v>
      </c>
      <c r="H2900">
        <v>0.268010021844307</v>
      </c>
      <c r="I2900">
        <v>0.28657917188605297</v>
      </c>
      <c r="J2900">
        <v>0.29519714443509099</v>
      </c>
      <c r="K2900">
        <v>0.404088285912866</v>
      </c>
      <c r="L2900">
        <v>1766.78918344509</v>
      </c>
      <c r="M2900">
        <v>32.847815779205199</v>
      </c>
      <c r="N2900">
        <v>55.4491606357861</v>
      </c>
      <c r="O2900">
        <v>53.588937839751097</v>
      </c>
      <c r="P2900">
        <v>-0.10524503924799</v>
      </c>
      <c r="Q2900">
        <v>0.31320314928265802</v>
      </c>
      <c r="R2900">
        <v>0.98514607648591002</v>
      </c>
      <c r="S2900" t="s">
        <v>9903</v>
      </c>
      <c r="T2900" t="s">
        <v>14004</v>
      </c>
      <c r="U2900" t="s">
        <v>14004</v>
      </c>
      <c r="V2900" t="s">
        <v>14004</v>
      </c>
      <c r="W2900" t="s">
        <v>16863</v>
      </c>
      <c r="X2900">
        <v>24</v>
      </c>
      <c r="Y2900" t="s">
        <v>23739</v>
      </c>
      <c r="Z2900" t="s">
        <v>30610</v>
      </c>
      <c r="AA2900">
        <v>0.63260459022252935</v>
      </c>
      <c r="AB2900" t="str">
        <f>HYPERLINK("Melting_Curves/meltCurve_P51858_HDGF.pdf", "Melting_Curves/meltCurve_P51858_HDGF.pdf")</f>
        <v>Melting_Curves/meltCurve_P51858_HDGF.pdf</v>
      </c>
    </row>
    <row r="2901" spans="1:28" x14ac:dyDescent="0.25">
      <c r="A2901" t="s">
        <v>2905</v>
      </c>
      <c r="B2901">
        <v>0.99999676499088797</v>
      </c>
      <c r="C2901">
        <v>1.0549714840567199</v>
      </c>
      <c r="D2901">
        <v>0.93278892799725999</v>
      </c>
      <c r="E2901">
        <v>0.82982276168786295</v>
      </c>
      <c r="F2901">
        <v>0.53242192135004496</v>
      </c>
      <c r="G2901">
        <v>0.34694933211275197</v>
      </c>
      <c r="H2901">
        <v>0.18461038136909699</v>
      </c>
      <c r="I2901">
        <v>0.195416955954825</v>
      </c>
      <c r="J2901">
        <v>0.204464750771676</v>
      </c>
      <c r="K2901">
        <v>0.214438617174845</v>
      </c>
      <c r="L2901">
        <v>1139.61211770965</v>
      </c>
      <c r="M2901">
        <v>21.692853679197501</v>
      </c>
      <c r="N2901">
        <v>53.700878831030998</v>
      </c>
      <c r="O2901">
        <v>52.093648038557099</v>
      </c>
      <c r="P2901">
        <v>-8.4542795633617607E-2</v>
      </c>
      <c r="Q2901">
        <v>0.187927917239432</v>
      </c>
      <c r="R2901">
        <v>0.99334116888118096</v>
      </c>
      <c r="S2901" t="s">
        <v>9904</v>
      </c>
      <c r="T2901" t="s">
        <v>14004</v>
      </c>
      <c r="U2901" t="s">
        <v>14004</v>
      </c>
      <c r="V2901" t="s">
        <v>14004</v>
      </c>
      <c r="W2901" t="s">
        <v>16864</v>
      </c>
      <c r="X2901">
        <v>12</v>
      </c>
      <c r="Y2901" t="s">
        <v>23740</v>
      </c>
      <c r="Z2901" t="s">
        <v>30611</v>
      </c>
      <c r="AA2901">
        <v>0.53690919990019959</v>
      </c>
      <c r="AB2901" t="str">
        <f>HYPERLINK("Melting_Curves/meltCurve_P51948_2_MNAT1.pdf", "Melting_Curves/meltCurve_P51948_2_MNAT1.pdf")</f>
        <v>Melting_Curves/meltCurve_P51948_2_MNAT1.pdf</v>
      </c>
    </row>
    <row r="2902" spans="1:28" x14ac:dyDescent="0.25">
      <c r="A2902" t="s">
        <v>2906</v>
      </c>
      <c r="B2902">
        <v>0.99999676499088797</v>
      </c>
      <c r="C2902">
        <v>0.93966970808441597</v>
      </c>
      <c r="D2902">
        <v>0.82402477046175304</v>
      </c>
      <c r="E2902">
        <v>0.48863638248505797</v>
      </c>
      <c r="F2902">
        <v>0.41155022681021097</v>
      </c>
      <c r="G2902">
        <v>0.31172770767732499</v>
      </c>
      <c r="H2902">
        <v>0.184001860497538</v>
      </c>
      <c r="I2902">
        <v>0.16990922278009099</v>
      </c>
      <c r="J2902">
        <v>0.13736397425240601</v>
      </c>
      <c r="K2902">
        <v>0.12970936860659499</v>
      </c>
      <c r="L2902">
        <v>700.08952529554301</v>
      </c>
      <c r="M2902">
        <v>14.0785687734035</v>
      </c>
      <c r="N2902">
        <v>50.826604253693297</v>
      </c>
      <c r="O2902">
        <v>48.756274782935201</v>
      </c>
      <c r="P2902">
        <v>-6.2721803128447107E-2</v>
      </c>
      <c r="Q2902">
        <v>0.13125104783095001</v>
      </c>
      <c r="R2902">
        <v>0.98664150837113795</v>
      </c>
      <c r="S2902" t="s">
        <v>9905</v>
      </c>
      <c r="T2902" t="s">
        <v>14004</v>
      </c>
      <c r="U2902" t="s">
        <v>14004</v>
      </c>
      <c r="V2902" t="s">
        <v>14004</v>
      </c>
      <c r="W2902" t="s">
        <v>16865</v>
      </c>
      <c r="X2902">
        <v>9</v>
      </c>
      <c r="Y2902" t="s">
        <v>23741</v>
      </c>
      <c r="Z2902" t="s">
        <v>30612</v>
      </c>
      <c r="AA2902">
        <v>0.43633013877263088</v>
      </c>
      <c r="AB2902" t="str">
        <f>HYPERLINK("Melting_Curves/meltCurve_P51970_NDUFA8.pdf", "Melting_Curves/meltCurve_P51970_NDUFA8.pdf")</f>
        <v>Melting_Curves/meltCurve_P51970_NDUFA8.pdf</v>
      </c>
    </row>
    <row r="2903" spans="1:28" x14ac:dyDescent="0.25">
      <c r="A2903" t="s">
        <v>2907</v>
      </c>
      <c r="B2903">
        <v>0.99999676499088797</v>
      </c>
      <c r="C2903">
        <v>0.92900798249074801</v>
      </c>
      <c r="D2903">
        <v>0.93353651118891001</v>
      </c>
      <c r="E2903">
        <v>0.68744683824962405</v>
      </c>
      <c r="F2903">
        <v>0.393249864342198</v>
      </c>
      <c r="G2903">
        <v>0.29051753316295098</v>
      </c>
      <c r="H2903">
        <v>0.18796564178418401</v>
      </c>
      <c r="I2903">
        <v>0.219169875514027</v>
      </c>
      <c r="J2903">
        <v>0.22139899546962799</v>
      </c>
      <c r="K2903">
        <v>0.32417432698481502</v>
      </c>
      <c r="L2903">
        <v>1234.1783019040799</v>
      </c>
      <c r="M2903">
        <v>24.541036938126201</v>
      </c>
      <c r="N2903">
        <v>51.639510797583398</v>
      </c>
      <c r="O2903">
        <v>49.960031649209299</v>
      </c>
      <c r="P2903">
        <v>-9.3742404239738203E-2</v>
      </c>
      <c r="Q2903">
        <v>0.236657262913956</v>
      </c>
      <c r="R2903">
        <v>0.98433373873055496</v>
      </c>
      <c r="S2903" t="s">
        <v>9906</v>
      </c>
      <c r="T2903" t="s">
        <v>14004</v>
      </c>
      <c r="U2903" t="s">
        <v>14004</v>
      </c>
      <c r="V2903" t="s">
        <v>14004</v>
      </c>
      <c r="W2903" t="s">
        <v>16866</v>
      </c>
      <c r="X2903">
        <v>16</v>
      </c>
      <c r="Y2903" t="s">
        <v>23742</v>
      </c>
      <c r="Z2903" t="s">
        <v>30613</v>
      </c>
      <c r="AA2903">
        <v>0.50559472760383273</v>
      </c>
      <c r="AB2903" t="str">
        <f>HYPERLINK("Melting_Curves/meltCurve_P51991_HNRNPA3.pdf", "Melting_Curves/meltCurve_P51991_HNRNPA3.pdf")</f>
        <v>Melting_Curves/meltCurve_P51991_HNRNPA3.pdf</v>
      </c>
    </row>
    <row r="2904" spans="1:28" x14ac:dyDescent="0.25">
      <c r="A2904" t="s">
        <v>2908</v>
      </c>
      <c r="B2904">
        <v>0.99999676499088797</v>
      </c>
      <c r="C2904">
        <v>0.86502106100378895</v>
      </c>
      <c r="D2904">
        <v>0.55744635367343098</v>
      </c>
      <c r="E2904">
        <v>0.22747059514627299</v>
      </c>
      <c r="F2904">
        <v>0.14945809233271001</v>
      </c>
      <c r="G2904">
        <v>9.6745193536958096E-2</v>
      </c>
      <c r="H2904">
        <v>5.2086969271450297E-2</v>
      </c>
      <c r="I2904">
        <v>7.1227714818832402E-2</v>
      </c>
      <c r="J2904">
        <v>7.2489125290336798E-2</v>
      </c>
      <c r="K2904">
        <v>7.2534880585287703E-2</v>
      </c>
      <c r="L2904">
        <v>1053.5347888772801</v>
      </c>
      <c r="M2904">
        <v>22.7940645999035</v>
      </c>
      <c r="N2904">
        <v>46.544468495658499</v>
      </c>
      <c r="O2904">
        <v>45.868379290376801</v>
      </c>
      <c r="P2904">
        <v>-0.115104634847031</v>
      </c>
      <c r="Q2904">
        <v>7.3520359116073103E-2</v>
      </c>
      <c r="R2904">
        <v>0.997824124527253</v>
      </c>
      <c r="S2904" t="s">
        <v>9907</v>
      </c>
      <c r="T2904" t="s">
        <v>14004</v>
      </c>
      <c r="U2904" t="s">
        <v>14004</v>
      </c>
      <c r="V2904" t="s">
        <v>14004</v>
      </c>
      <c r="W2904" t="s">
        <v>16867</v>
      </c>
      <c r="X2904">
        <v>43</v>
      </c>
      <c r="Y2904" t="s">
        <v>22210</v>
      </c>
      <c r="Z2904" t="s">
        <v>30614</v>
      </c>
      <c r="AA2904">
        <v>0.27606686582939621</v>
      </c>
      <c r="AB2904" t="str">
        <f>HYPERLINK("Melting_Curves/meltCurve_P52272_2_HNRNPM.pdf", "Melting_Curves/meltCurve_P52272_2_HNRNPM.pdf")</f>
        <v>Melting_Curves/meltCurve_P52272_2_HNRNPM.pdf</v>
      </c>
    </row>
    <row r="2905" spans="1:28" x14ac:dyDescent="0.25">
      <c r="A2905" t="s">
        <v>2909</v>
      </c>
      <c r="B2905">
        <v>0.99999676499088797</v>
      </c>
      <c r="C2905">
        <v>0.92015621589909002</v>
      </c>
      <c r="D2905">
        <v>0.42232765407332801</v>
      </c>
      <c r="E2905">
        <v>0.178589215623085</v>
      </c>
      <c r="F2905">
        <v>0.111624413942141</v>
      </c>
      <c r="G2905">
        <v>8.0838037426571904E-2</v>
      </c>
      <c r="H2905">
        <v>3.9399143938354898E-2</v>
      </c>
      <c r="I2905">
        <v>4.1506036161683801E-2</v>
      </c>
      <c r="J2905">
        <v>3.6447058623582197E-2</v>
      </c>
      <c r="K2905">
        <v>3.4161312788236302E-2</v>
      </c>
      <c r="L2905">
        <v>1454.57253935125</v>
      </c>
      <c r="M2905">
        <v>31.947935435915898</v>
      </c>
      <c r="N2905">
        <v>45.716752688698101</v>
      </c>
      <c r="O2905">
        <v>45.3521967505799</v>
      </c>
      <c r="P2905">
        <v>-0.16530884113955199</v>
      </c>
      <c r="Q2905">
        <v>6.1337657889056499E-2</v>
      </c>
      <c r="R2905">
        <v>0.99237391428648802</v>
      </c>
      <c r="S2905" t="s">
        <v>9908</v>
      </c>
      <c r="T2905" t="s">
        <v>14004</v>
      </c>
      <c r="U2905" t="s">
        <v>14004</v>
      </c>
      <c r="V2905" t="s">
        <v>14004</v>
      </c>
      <c r="W2905" t="s">
        <v>16868</v>
      </c>
      <c r="X2905">
        <v>17</v>
      </c>
      <c r="Y2905" t="s">
        <v>23743</v>
      </c>
      <c r="Z2905" t="s">
        <v>30615</v>
      </c>
      <c r="AA2905">
        <v>0.23939412930204951</v>
      </c>
      <c r="AB2905" t="str">
        <f>HYPERLINK("Melting_Curves/meltCurve_P52292_KPNA2.pdf", "Melting_Curves/meltCurve_P52292_KPNA2.pdf")</f>
        <v>Melting_Curves/meltCurve_P52292_KPNA2.pdf</v>
      </c>
    </row>
    <row r="2906" spans="1:28" x14ac:dyDescent="0.25">
      <c r="A2906" t="s">
        <v>2910</v>
      </c>
      <c r="B2906">
        <v>0.99999676499088797</v>
      </c>
      <c r="C2906">
        <v>0.92559033088473197</v>
      </c>
      <c r="D2906">
        <v>0.75558805800917095</v>
      </c>
      <c r="E2906">
        <v>0.376872541219477</v>
      </c>
      <c r="F2906">
        <v>0.20729941344238101</v>
      </c>
      <c r="G2906">
        <v>0.17686221561219301</v>
      </c>
      <c r="H2906">
        <v>8.5347681151582006E-2</v>
      </c>
      <c r="I2906">
        <v>8.7958989469335905E-2</v>
      </c>
      <c r="J2906">
        <v>7.7905616531522601E-2</v>
      </c>
      <c r="K2906">
        <v>7.0116983999124E-2</v>
      </c>
      <c r="L2906">
        <v>982.61075913497905</v>
      </c>
      <c r="M2906">
        <v>20.440786121968799</v>
      </c>
      <c r="N2906">
        <v>48.520467248585199</v>
      </c>
      <c r="O2906">
        <v>47.6180750270385</v>
      </c>
      <c r="P2906">
        <v>-9.80642166403633E-2</v>
      </c>
      <c r="Q2906">
        <v>8.6240324015977005E-2</v>
      </c>
      <c r="R2906">
        <v>0.99625577225261897</v>
      </c>
      <c r="S2906" t="s">
        <v>9909</v>
      </c>
      <c r="T2906" t="s">
        <v>14004</v>
      </c>
      <c r="U2906" t="s">
        <v>14004</v>
      </c>
      <c r="V2906" t="s">
        <v>14004</v>
      </c>
      <c r="W2906" t="s">
        <v>16869</v>
      </c>
      <c r="X2906">
        <v>13</v>
      </c>
      <c r="Y2906" t="s">
        <v>23744</v>
      </c>
      <c r="Z2906" t="s">
        <v>30616</v>
      </c>
      <c r="AA2906">
        <v>0.34445727579383217</v>
      </c>
      <c r="AB2906" t="str">
        <f>HYPERLINK("Melting_Curves/meltCurve_P52294_KPNA1.pdf", "Melting_Curves/meltCurve_P52294_KPNA1.pdf")</f>
        <v>Melting_Curves/meltCurve_P52294_KPNA1.pdf</v>
      </c>
    </row>
    <row r="2907" spans="1:28" x14ac:dyDescent="0.25">
      <c r="A2907" t="s">
        <v>2911</v>
      </c>
      <c r="B2907">
        <v>0.99999676499088797</v>
      </c>
      <c r="C2907">
        <v>0.91920786798756704</v>
      </c>
      <c r="D2907">
        <v>0.89078422653013201</v>
      </c>
      <c r="E2907">
        <v>0.861539562511906</v>
      </c>
      <c r="F2907">
        <v>0.41282872203076698</v>
      </c>
      <c r="G2907">
        <v>0.19036324472786001</v>
      </c>
      <c r="H2907">
        <v>9.9681489419434804E-2</v>
      </c>
      <c r="I2907">
        <v>8.8413399330998205E-2</v>
      </c>
      <c r="J2907">
        <v>8.0588270723133196E-2</v>
      </c>
      <c r="K2907">
        <v>0.100651593677426</v>
      </c>
      <c r="L2907">
        <v>1412.46021784137</v>
      </c>
      <c r="M2907">
        <v>27.046234188131901</v>
      </c>
      <c r="N2907">
        <v>52.590641104345799</v>
      </c>
      <c r="O2907">
        <v>51.940919878873203</v>
      </c>
      <c r="P2907">
        <v>-0.118991686937071</v>
      </c>
      <c r="Q2907">
        <v>8.5939049704157305E-2</v>
      </c>
      <c r="R2907">
        <v>0.98921870951481194</v>
      </c>
      <c r="S2907" t="s">
        <v>9910</v>
      </c>
      <c r="T2907" t="s">
        <v>14004</v>
      </c>
      <c r="U2907" t="s">
        <v>14004</v>
      </c>
      <c r="V2907" t="s">
        <v>14004</v>
      </c>
      <c r="W2907" t="s">
        <v>16870</v>
      </c>
      <c r="X2907">
        <v>13</v>
      </c>
      <c r="Y2907" t="s">
        <v>23745</v>
      </c>
      <c r="Z2907" t="s">
        <v>30617</v>
      </c>
      <c r="AA2907">
        <v>0.46556912012948543</v>
      </c>
      <c r="AB2907" t="str">
        <f>HYPERLINK("Melting_Curves/meltCurve_P52298_NCBP2.pdf", "Melting_Curves/meltCurve_P52298_NCBP2.pdf")</f>
        <v>Melting_Curves/meltCurve_P52298_NCBP2.pdf</v>
      </c>
    </row>
    <row r="2908" spans="1:28" x14ac:dyDescent="0.25">
      <c r="A2908" t="s">
        <v>2912</v>
      </c>
      <c r="B2908">
        <v>0.99999676499088797</v>
      </c>
      <c r="C2908">
        <v>0.92214790829589899</v>
      </c>
      <c r="D2908">
        <v>0.91403254050218297</v>
      </c>
      <c r="E2908">
        <v>0.43220089804456002</v>
      </c>
      <c r="F2908">
        <v>0.25812827061210297</v>
      </c>
      <c r="G2908">
        <v>0.17622448065861099</v>
      </c>
      <c r="H2908">
        <v>9.3613997111749295E-2</v>
      </c>
      <c r="I2908">
        <v>8.4008729873536594E-2</v>
      </c>
      <c r="J2908">
        <v>8.4859556995776006E-2</v>
      </c>
      <c r="K2908">
        <v>7.3754344858650497E-2</v>
      </c>
      <c r="L2908">
        <v>1175.44558396915</v>
      </c>
      <c r="M2908">
        <v>23.956270043096499</v>
      </c>
      <c r="N2908">
        <v>49.502861083948901</v>
      </c>
      <c r="O2908">
        <v>48.728238942654897</v>
      </c>
      <c r="P2908">
        <v>-0.111205980418043</v>
      </c>
      <c r="Q2908">
        <v>9.5220535902217601E-2</v>
      </c>
      <c r="R2908">
        <v>0.98894162416714904</v>
      </c>
      <c r="S2908" t="s">
        <v>9911</v>
      </c>
      <c r="T2908" t="s">
        <v>14004</v>
      </c>
      <c r="U2908" t="s">
        <v>14004</v>
      </c>
      <c r="V2908" t="s">
        <v>14004</v>
      </c>
      <c r="W2908" t="s">
        <v>16871</v>
      </c>
      <c r="X2908">
        <v>25</v>
      </c>
      <c r="Y2908" t="s">
        <v>23746</v>
      </c>
      <c r="Z2908" t="s">
        <v>30618</v>
      </c>
      <c r="AA2908">
        <v>0.37741038529103299</v>
      </c>
      <c r="AB2908" t="str">
        <f>HYPERLINK("Melting_Curves/meltCurve_P52306_RAP1GDS1.pdf", "Melting_Curves/meltCurve_P52306_RAP1GDS1.pdf")</f>
        <v>Melting_Curves/meltCurve_P52306_RAP1GDS1.pdf</v>
      </c>
    </row>
    <row r="2909" spans="1:28" x14ac:dyDescent="0.25">
      <c r="A2909" t="s">
        <v>2913</v>
      </c>
      <c r="B2909">
        <v>0.99999676499088797</v>
      </c>
      <c r="C2909">
        <v>0.92922372942071196</v>
      </c>
      <c r="D2909">
        <v>0.80413944693973505</v>
      </c>
      <c r="E2909">
        <v>0.25601088373091502</v>
      </c>
      <c r="F2909">
        <v>0.18171611705562901</v>
      </c>
      <c r="G2909">
        <v>0.12374219692451199</v>
      </c>
      <c r="H2909">
        <v>6.4555742041563405E-2</v>
      </c>
      <c r="I2909">
        <v>5.1985893543978097E-2</v>
      </c>
      <c r="J2909">
        <v>5.6214393303814399E-2</v>
      </c>
      <c r="K2909">
        <v>3.6868743124057801E-2</v>
      </c>
      <c r="L2909">
        <v>1451.68615390797</v>
      </c>
      <c r="M2909">
        <v>30.421696949249</v>
      </c>
      <c r="N2909">
        <v>47.968828388967196</v>
      </c>
      <c r="O2909">
        <v>47.514002233096001</v>
      </c>
      <c r="P2909">
        <v>-0.14833119847665199</v>
      </c>
      <c r="Q2909">
        <v>7.3323762195467698E-2</v>
      </c>
      <c r="R2909">
        <v>0.99070587156230505</v>
      </c>
      <c r="S2909" t="s">
        <v>9912</v>
      </c>
      <c r="T2909" t="s">
        <v>14004</v>
      </c>
      <c r="U2909" t="s">
        <v>14004</v>
      </c>
      <c r="V2909" t="s">
        <v>14004</v>
      </c>
      <c r="W2909" t="s">
        <v>16872</v>
      </c>
      <c r="X2909">
        <v>25</v>
      </c>
      <c r="Y2909" t="s">
        <v>23746</v>
      </c>
      <c r="Z2909" t="s">
        <v>30619</v>
      </c>
      <c r="AA2909">
        <v>0.31715520721500179</v>
      </c>
      <c r="AB2909" t="str">
        <f>HYPERLINK("Melting_Curves/meltCurve_P52306_4_RAP1GDS1.pdf", "Melting_Curves/meltCurve_P52306_4_RAP1GDS1.pdf")</f>
        <v>Melting_Curves/meltCurve_P52306_4_RAP1GDS1.pdf</v>
      </c>
    </row>
    <row r="2910" spans="1:28" x14ac:dyDescent="0.25">
      <c r="A2910" t="s">
        <v>2914</v>
      </c>
      <c r="B2910">
        <v>0.99999676499088797</v>
      </c>
      <c r="C2910">
        <v>1.0534180449550801</v>
      </c>
      <c r="D2910">
        <v>0.86858908554143199</v>
      </c>
      <c r="E2910">
        <v>0.63320436363708599</v>
      </c>
      <c r="F2910">
        <v>0.60080231148552798</v>
      </c>
      <c r="G2910">
        <v>0.59052609686854995</v>
      </c>
      <c r="H2910">
        <v>0.33780896817893902</v>
      </c>
      <c r="I2910">
        <v>0.29166975217915297</v>
      </c>
      <c r="J2910">
        <v>0.309849967383723</v>
      </c>
      <c r="K2910">
        <v>0.292072942899267</v>
      </c>
      <c r="L2910">
        <v>577.36272910958201</v>
      </c>
      <c r="M2910">
        <v>10.9622694531423</v>
      </c>
      <c r="N2910">
        <v>55.9319195238837</v>
      </c>
      <c r="O2910">
        <v>51.006509656340803</v>
      </c>
      <c r="P2910">
        <v>-4.10491866640008E-2</v>
      </c>
      <c r="Q2910">
        <v>0.23626757466756901</v>
      </c>
      <c r="R2910">
        <v>0.94598437418922499</v>
      </c>
      <c r="S2910" t="s">
        <v>9913</v>
      </c>
      <c r="T2910" t="s">
        <v>14004</v>
      </c>
      <c r="U2910" t="s">
        <v>14004</v>
      </c>
      <c r="V2910" t="s">
        <v>14004</v>
      </c>
      <c r="W2910" t="s">
        <v>16873</v>
      </c>
      <c r="X2910">
        <v>1</v>
      </c>
      <c r="Y2910" t="s">
        <v>23747</v>
      </c>
      <c r="Z2910" t="s">
        <v>30620</v>
      </c>
      <c r="AA2910">
        <v>0.58345098060550482</v>
      </c>
      <c r="AB2910" t="str">
        <f>HYPERLINK("Melting_Curves/meltCurve_P52435_POLR2J.pdf", "Melting_Curves/meltCurve_P52435_POLR2J.pdf")</f>
        <v>Melting_Curves/meltCurve_P52435_POLR2J.pdf</v>
      </c>
    </row>
    <row r="2911" spans="1:28" x14ac:dyDescent="0.25">
      <c r="A2911" t="s">
        <v>2915</v>
      </c>
      <c r="B2911">
        <v>0.99999676499088797</v>
      </c>
      <c r="C2911">
        <v>1.09246435567283</v>
      </c>
      <c r="D2911">
        <v>1.0811009922673001</v>
      </c>
      <c r="E2911">
        <v>1.00628480175593</v>
      </c>
      <c r="F2911">
        <v>0.57203930685752702</v>
      </c>
      <c r="G2911">
        <v>0.22283925285846101</v>
      </c>
      <c r="H2911">
        <v>6.5438546030637798E-2</v>
      </c>
      <c r="I2911">
        <v>5.8244772649699898E-2</v>
      </c>
      <c r="J2911">
        <v>4.62909245913131E-2</v>
      </c>
      <c r="K2911">
        <v>4.4034507831912102E-2</v>
      </c>
      <c r="L2911">
        <v>1822.1769764627099</v>
      </c>
      <c r="M2911">
        <v>33.918373241200598</v>
      </c>
      <c r="N2911">
        <v>53.902726949942902</v>
      </c>
      <c r="O2911">
        <v>53.536706869092697</v>
      </c>
      <c r="P2911">
        <v>-0.14989447256969499</v>
      </c>
      <c r="Q2911">
        <v>5.3631012991923702E-2</v>
      </c>
      <c r="R2911">
        <v>0.98934792050345899</v>
      </c>
      <c r="S2911" t="s">
        <v>9914</v>
      </c>
      <c r="T2911" t="s">
        <v>14004</v>
      </c>
      <c r="U2911" t="s">
        <v>14004</v>
      </c>
      <c r="V2911" t="s">
        <v>14004</v>
      </c>
      <c r="W2911" t="s">
        <v>16874</v>
      </c>
      <c r="X2911">
        <v>13</v>
      </c>
      <c r="Y2911" t="s">
        <v>23748</v>
      </c>
      <c r="Z2911" t="s">
        <v>30621</v>
      </c>
      <c r="AA2911">
        <v>0.4913850237936413</v>
      </c>
      <c r="AB2911" t="str">
        <f>HYPERLINK("Melting_Curves/meltCurve_P52564_MAP2K6.pdf", "Melting_Curves/meltCurve_P52564_MAP2K6.pdf")</f>
        <v>Melting_Curves/meltCurve_P52564_MAP2K6.pdf</v>
      </c>
    </row>
    <row r="2912" spans="1:28" x14ac:dyDescent="0.25">
      <c r="A2912" t="s">
        <v>2916</v>
      </c>
      <c r="B2912">
        <v>0.99999676499088797</v>
      </c>
      <c r="C2912">
        <v>1.0684667024569099</v>
      </c>
      <c r="D2912">
        <v>0.93568577285293997</v>
      </c>
      <c r="E2912">
        <v>0.74953533739881295</v>
      </c>
      <c r="F2912">
        <v>0.42587881822297302</v>
      </c>
      <c r="G2912">
        <v>0.21826258921791</v>
      </c>
      <c r="H2912">
        <v>9.6170768957069899E-2</v>
      </c>
      <c r="I2912">
        <v>8.9060613053894205E-2</v>
      </c>
      <c r="J2912">
        <v>8.0570235514603405E-2</v>
      </c>
      <c r="K2912">
        <v>7.8163554958750894E-2</v>
      </c>
      <c r="L2912">
        <v>1104.7340400968501</v>
      </c>
      <c r="M2912">
        <v>21.242973289728798</v>
      </c>
      <c r="N2912">
        <v>52.384245904169802</v>
      </c>
      <c r="O2912">
        <v>51.550391831006102</v>
      </c>
      <c r="P2912">
        <v>-9.5674381541234005E-2</v>
      </c>
      <c r="Q2912">
        <v>7.1330207676840507E-2</v>
      </c>
      <c r="R2912">
        <v>0.99572452845488402</v>
      </c>
      <c r="S2912" t="s">
        <v>9915</v>
      </c>
      <c r="T2912" t="s">
        <v>14004</v>
      </c>
      <c r="U2912" t="s">
        <v>14004</v>
      </c>
      <c r="V2912" t="s">
        <v>14004</v>
      </c>
      <c r="W2912" t="s">
        <v>16875</v>
      </c>
      <c r="X2912">
        <v>17</v>
      </c>
      <c r="Y2912" t="s">
        <v>23749</v>
      </c>
      <c r="Z2912" t="s">
        <v>30622</v>
      </c>
      <c r="AA2912">
        <v>0.454463233661833</v>
      </c>
      <c r="AB2912" t="str">
        <f>HYPERLINK("Melting_Curves/meltCurve_P52565_ARHGDIA.pdf", "Melting_Curves/meltCurve_P52565_ARHGDIA.pdf")</f>
        <v>Melting_Curves/meltCurve_P52565_ARHGDIA.pdf</v>
      </c>
    </row>
    <row r="2913" spans="1:28" x14ac:dyDescent="0.25">
      <c r="A2913" t="s">
        <v>2917</v>
      </c>
      <c r="B2913">
        <v>0.99999676499088797</v>
      </c>
      <c r="C2913">
        <v>0.849411345761799</v>
      </c>
      <c r="D2913">
        <v>0.86521920040276501</v>
      </c>
      <c r="E2913">
        <v>0.931653488495783</v>
      </c>
      <c r="F2913">
        <v>0.58460081524999996</v>
      </c>
      <c r="G2913">
        <v>0.26345904465110898</v>
      </c>
      <c r="H2913">
        <v>0.107170715707535</v>
      </c>
      <c r="I2913">
        <v>9.9725046084009394E-2</v>
      </c>
      <c r="J2913">
        <v>9.4464835746235695E-2</v>
      </c>
      <c r="K2913">
        <v>9.2902522451285302E-2</v>
      </c>
      <c r="L2913">
        <v>1356.20666089782</v>
      </c>
      <c r="M2913">
        <v>25.285838652966799</v>
      </c>
      <c r="N2913">
        <v>54.018507080885499</v>
      </c>
      <c r="O2913">
        <v>53.302934069907103</v>
      </c>
      <c r="P2913">
        <v>-0.10885281598414</v>
      </c>
      <c r="Q2913">
        <v>8.2158139188919801E-2</v>
      </c>
      <c r="R2913">
        <v>0.97235898627714401</v>
      </c>
      <c r="S2913" t="s">
        <v>9916</v>
      </c>
      <c r="T2913" t="s">
        <v>14004</v>
      </c>
      <c r="U2913" t="s">
        <v>14004</v>
      </c>
      <c r="V2913" t="s">
        <v>14004</v>
      </c>
      <c r="W2913" t="s">
        <v>16876</v>
      </c>
      <c r="X2913">
        <v>21</v>
      </c>
      <c r="Y2913" t="s">
        <v>23750</v>
      </c>
      <c r="Z2913" t="s">
        <v>30623</v>
      </c>
      <c r="AA2913">
        <v>0.50762402243521376</v>
      </c>
      <c r="AB2913" t="str">
        <f>HYPERLINK("Melting_Curves/meltCurve_P52566_ARHGDIB.pdf", "Melting_Curves/meltCurve_P52566_ARHGDIB.pdf")</f>
        <v>Melting_Curves/meltCurve_P52566_ARHGDIB.pdf</v>
      </c>
    </row>
    <row r="2914" spans="1:28" x14ac:dyDescent="0.25">
      <c r="A2914" t="s">
        <v>2918</v>
      </c>
      <c r="B2914">
        <v>0.99999676499088797</v>
      </c>
      <c r="C2914">
        <v>0.86897339828168696</v>
      </c>
      <c r="D2914">
        <v>0.85797155811750303</v>
      </c>
      <c r="E2914">
        <v>0.69082634462618397</v>
      </c>
      <c r="F2914">
        <v>0.332098048827694</v>
      </c>
      <c r="G2914">
        <v>0.16583956506404199</v>
      </c>
      <c r="H2914">
        <v>5.6923828870726202E-2</v>
      </c>
      <c r="I2914">
        <v>6.64316498019418E-2</v>
      </c>
      <c r="J2914">
        <v>6.6964449495814204E-2</v>
      </c>
      <c r="K2914">
        <v>6.1026931256694901E-2</v>
      </c>
      <c r="L2914">
        <v>891.759687938958</v>
      </c>
      <c r="M2914">
        <v>17.4691927209388</v>
      </c>
      <c r="N2914">
        <v>51.258734239305802</v>
      </c>
      <c r="O2914">
        <v>50.3927250259731</v>
      </c>
      <c r="P2914">
        <v>-8.3660887603130202E-2</v>
      </c>
      <c r="Q2914">
        <v>3.47199380094695E-2</v>
      </c>
      <c r="R2914">
        <v>0.98920477281562702</v>
      </c>
      <c r="S2914" t="s">
        <v>9917</v>
      </c>
      <c r="T2914" t="s">
        <v>14004</v>
      </c>
      <c r="U2914" t="s">
        <v>14004</v>
      </c>
      <c r="V2914" t="s">
        <v>14004</v>
      </c>
      <c r="W2914" t="s">
        <v>16877</v>
      </c>
      <c r="X2914">
        <v>11</v>
      </c>
      <c r="Y2914" t="s">
        <v>23751</v>
      </c>
      <c r="Z2914" t="s">
        <v>30624</v>
      </c>
      <c r="AA2914">
        <v>0.40733532811366602</v>
      </c>
      <c r="AB2914" t="str">
        <f>HYPERLINK("Melting_Curves/meltCurve_P52594_2_AGFG1.pdf", "Melting_Curves/meltCurve_P52594_2_AGFG1.pdf")</f>
        <v>Melting_Curves/meltCurve_P52594_2_AGFG1.pdf</v>
      </c>
    </row>
    <row r="2915" spans="1:28" x14ac:dyDescent="0.25">
      <c r="A2915" t="s">
        <v>2919</v>
      </c>
      <c r="B2915">
        <v>0.99999676499088797</v>
      </c>
      <c r="C2915">
        <v>0.94689599938426405</v>
      </c>
      <c r="D2915">
        <v>0.68706139092735996</v>
      </c>
      <c r="E2915">
        <v>0.28238059480128003</v>
      </c>
      <c r="F2915">
        <v>0.19363304157699701</v>
      </c>
      <c r="G2915">
        <v>0.13359278947171599</v>
      </c>
      <c r="H2915">
        <v>6.2370580713905603E-2</v>
      </c>
      <c r="I2915">
        <v>6.4855605064039007E-2</v>
      </c>
      <c r="J2915">
        <v>5.9377894093989303E-2</v>
      </c>
      <c r="K2915">
        <v>5.3229577700078697E-2</v>
      </c>
      <c r="L2915">
        <v>1098.2141547975</v>
      </c>
      <c r="M2915">
        <v>23.1974956702404</v>
      </c>
      <c r="N2915">
        <v>47.6731310428911</v>
      </c>
      <c r="O2915">
        <v>46.994322158954702</v>
      </c>
      <c r="P2915">
        <v>-0.114223372308073</v>
      </c>
      <c r="Q2915">
        <v>7.4425464131416499E-2</v>
      </c>
      <c r="R2915">
        <v>0.99446758597595497</v>
      </c>
      <c r="S2915" t="s">
        <v>9918</v>
      </c>
      <c r="T2915" t="s">
        <v>14004</v>
      </c>
      <c r="U2915" t="s">
        <v>14004</v>
      </c>
      <c r="V2915" t="s">
        <v>14004</v>
      </c>
      <c r="W2915" t="s">
        <v>16878</v>
      </c>
      <c r="X2915">
        <v>17</v>
      </c>
      <c r="Y2915" t="s">
        <v>23752</v>
      </c>
      <c r="Z2915" t="s">
        <v>30625</v>
      </c>
      <c r="AA2915">
        <v>0.31061837941328557</v>
      </c>
      <c r="AB2915" t="str">
        <f>HYPERLINK("Melting_Curves/meltCurve_P52597_HNRNPF.pdf", "Melting_Curves/meltCurve_P52597_HNRNPF.pdf")</f>
        <v>Melting_Curves/meltCurve_P52597_HNRNPF.pdf</v>
      </c>
    </row>
    <row r="2916" spans="1:28" x14ac:dyDescent="0.25">
      <c r="A2916" t="s">
        <v>2920</v>
      </c>
      <c r="B2916">
        <v>0.99999676499088797</v>
      </c>
      <c r="C2916">
        <v>0.83498428235729405</v>
      </c>
      <c r="D2916">
        <v>0.42020569290940901</v>
      </c>
      <c r="E2916">
        <v>0.214691168329944</v>
      </c>
      <c r="F2916">
        <v>0.23009904155303701</v>
      </c>
      <c r="G2916">
        <v>0.11900842719815601</v>
      </c>
      <c r="H2916">
        <v>5.9876490259560801E-2</v>
      </c>
      <c r="I2916">
        <v>6.3329682650631505E-2</v>
      </c>
      <c r="J2916">
        <v>4.8555498662711E-2</v>
      </c>
      <c r="K2916">
        <v>3.2264702414382097E-2</v>
      </c>
      <c r="L2916">
        <v>1018.5560472600999</v>
      </c>
      <c r="M2916">
        <v>22.441530869062401</v>
      </c>
      <c r="N2916">
        <v>45.7517449657757</v>
      </c>
      <c r="O2916">
        <v>45.031322461349298</v>
      </c>
      <c r="P2916">
        <v>-0.114388471773756</v>
      </c>
      <c r="Q2916">
        <v>8.1888438083486698E-2</v>
      </c>
      <c r="R2916">
        <v>0.97739678838565203</v>
      </c>
      <c r="S2916" t="s">
        <v>9919</v>
      </c>
      <c r="T2916" t="s">
        <v>14004</v>
      </c>
      <c r="U2916" t="s">
        <v>14004</v>
      </c>
      <c r="V2916" t="s">
        <v>14004</v>
      </c>
      <c r="W2916" t="s">
        <v>16879</v>
      </c>
      <c r="X2916">
        <v>4</v>
      </c>
      <c r="Y2916" t="s">
        <v>23753</v>
      </c>
      <c r="Z2916" t="s">
        <v>30626</v>
      </c>
      <c r="AA2916">
        <v>0.25815139545456178</v>
      </c>
      <c r="AB2916" t="str">
        <f>HYPERLINK("Melting_Curves/meltCurve_P52630_4_STAT2.pdf", "Melting_Curves/meltCurve_P52630_4_STAT2.pdf")</f>
        <v>Melting_Curves/meltCurve_P52630_4_STAT2.pdf</v>
      </c>
    </row>
    <row r="2917" spans="1:28" x14ac:dyDescent="0.25">
      <c r="A2917" t="s">
        <v>2921</v>
      </c>
      <c r="B2917">
        <v>0.99999676499088797</v>
      </c>
      <c r="C2917">
        <v>1.0272326122118201</v>
      </c>
      <c r="D2917">
        <v>0.95260249814474796</v>
      </c>
      <c r="E2917">
        <v>0.75343756817713703</v>
      </c>
      <c r="F2917">
        <v>0.63509480666333196</v>
      </c>
      <c r="G2917">
        <v>0.51728292654375196</v>
      </c>
      <c r="H2917">
        <v>0.31846467313666599</v>
      </c>
      <c r="I2917">
        <v>0.34546540457618102</v>
      </c>
      <c r="J2917">
        <v>0.32516575680863402</v>
      </c>
      <c r="K2917">
        <v>0.244659118490682</v>
      </c>
      <c r="L2917">
        <v>731.79039665003199</v>
      </c>
      <c r="M2917">
        <v>13.7201379951162</v>
      </c>
      <c r="N2917">
        <v>56.189144090303401</v>
      </c>
      <c r="O2917">
        <v>52.242156606331399</v>
      </c>
      <c r="P2917">
        <v>-4.9195406562161703E-2</v>
      </c>
      <c r="Q2917">
        <v>0.250822057840275</v>
      </c>
      <c r="R2917">
        <v>0.98453851249171898</v>
      </c>
      <c r="S2917" t="s">
        <v>9920</v>
      </c>
      <c r="T2917" t="s">
        <v>14004</v>
      </c>
      <c r="U2917" t="s">
        <v>14004</v>
      </c>
      <c r="V2917" t="s">
        <v>14004</v>
      </c>
      <c r="W2917" t="s">
        <v>16880</v>
      </c>
      <c r="X2917">
        <v>6</v>
      </c>
      <c r="Y2917" t="s">
        <v>23754</v>
      </c>
      <c r="Z2917" t="s">
        <v>30627</v>
      </c>
      <c r="AA2917">
        <v>0.60169516717887161</v>
      </c>
      <c r="AB2917" t="str">
        <f>HYPERLINK("Melting_Curves/meltCurve_P52655_GTF2A1.pdf", "Melting_Curves/meltCurve_P52655_GTF2A1.pdf")</f>
        <v>Melting_Curves/meltCurve_P52655_GTF2A1.pdf</v>
      </c>
    </row>
    <row r="2918" spans="1:28" x14ac:dyDescent="0.25">
      <c r="A2918" t="s">
        <v>2922</v>
      </c>
      <c r="B2918">
        <v>0.99999676499088797</v>
      </c>
      <c r="C2918">
        <v>1.10632843434296</v>
      </c>
      <c r="D2918">
        <v>1.0741819811384601</v>
      </c>
      <c r="E2918">
        <v>0.861075202287097</v>
      </c>
      <c r="F2918">
        <v>0.80537763143303898</v>
      </c>
      <c r="G2918">
        <v>0.826960512652679</v>
      </c>
      <c r="H2918">
        <v>0.51076663017381296</v>
      </c>
      <c r="I2918">
        <v>0.49984947054765499</v>
      </c>
      <c r="J2918">
        <v>0.35077286835519</v>
      </c>
      <c r="K2918">
        <v>0.22231978365400801</v>
      </c>
      <c r="L2918">
        <v>650.28554796251603</v>
      </c>
      <c r="M2918">
        <v>10.3696136894037</v>
      </c>
      <c r="N2918">
        <v>62.7106920277621</v>
      </c>
      <c r="O2918">
        <v>60.512920177116698</v>
      </c>
      <c r="P2918">
        <v>-4.2858628237336299E-2</v>
      </c>
      <c r="Q2918">
        <v>0</v>
      </c>
      <c r="R2918">
        <v>0.94535735980859004</v>
      </c>
      <c r="S2918" t="s">
        <v>9921</v>
      </c>
      <c r="T2918" t="s">
        <v>14004</v>
      </c>
      <c r="U2918" t="s">
        <v>14004</v>
      </c>
      <c r="V2918" t="s">
        <v>14004</v>
      </c>
      <c r="W2918" t="s">
        <v>16881</v>
      </c>
      <c r="X2918">
        <v>4</v>
      </c>
      <c r="Y2918" t="s">
        <v>23755</v>
      </c>
      <c r="Z2918" t="s">
        <v>30628</v>
      </c>
      <c r="AA2918">
        <v>0.73120376640352347</v>
      </c>
      <c r="AB2918" t="str">
        <f>HYPERLINK("Melting_Curves/meltCurve_P52657_GTF2A2.pdf", "Melting_Curves/meltCurve_P52657_GTF2A2.pdf")</f>
        <v>Melting_Curves/meltCurve_P52657_GTF2A2.pdf</v>
      </c>
    </row>
    <row r="2919" spans="1:28" x14ac:dyDescent="0.25">
      <c r="A2919" t="s">
        <v>2923</v>
      </c>
      <c r="B2919">
        <v>0.99999676499088797</v>
      </c>
      <c r="C2919">
        <v>0.96437991627380903</v>
      </c>
      <c r="D2919">
        <v>0.56372513793121504</v>
      </c>
      <c r="E2919">
        <v>0.25851128022632502</v>
      </c>
      <c r="F2919">
        <v>0.194629115744714</v>
      </c>
      <c r="G2919">
        <v>0.133045243791478</v>
      </c>
      <c r="H2919">
        <v>6.9332428636515994E-2</v>
      </c>
      <c r="I2919">
        <v>5.5435383521194301E-2</v>
      </c>
      <c r="J2919">
        <v>5.4663746118670399E-2</v>
      </c>
      <c r="K2919">
        <v>5.6201085203319498E-2</v>
      </c>
      <c r="L2919">
        <v>1120.9317479987301</v>
      </c>
      <c r="M2919">
        <v>24.0648116068487</v>
      </c>
      <c r="N2919">
        <v>46.927765766722899</v>
      </c>
      <c r="O2919">
        <v>46.2616413149347</v>
      </c>
      <c r="P2919">
        <v>-0.11942017043124201</v>
      </c>
      <c r="Q2919">
        <v>8.1732275549061595E-2</v>
      </c>
      <c r="R2919">
        <v>0.98746485426837005</v>
      </c>
      <c r="S2919" t="s">
        <v>9922</v>
      </c>
      <c r="T2919" t="s">
        <v>14004</v>
      </c>
      <c r="U2919" t="s">
        <v>14004</v>
      </c>
      <c r="V2919" t="s">
        <v>14004</v>
      </c>
      <c r="W2919" t="s">
        <v>16882</v>
      </c>
      <c r="X2919">
        <v>32</v>
      </c>
      <c r="Y2919" t="s">
        <v>23756</v>
      </c>
      <c r="Z2919" t="s">
        <v>30629</v>
      </c>
      <c r="AA2919">
        <v>0.29215755664775128</v>
      </c>
      <c r="AB2919" t="str">
        <f>HYPERLINK("Melting_Curves/meltCurve_P52732_KIF11.pdf", "Melting_Curves/meltCurve_P52732_KIF11.pdf")</f>
        <v>Melting_Curves/meltCurve_P52732_KIF11.pdf</v>
      </c>
    </row>
    <row r="2920" spans="1:28" x14ac:dyDescent="0.25">
      <c r="A2920" t="s">
        <v>2924</v>
      </c>
      <c r="B2920">
        <v>0.99999676499088797</v>
      </c>
      <c r="C2920">
        <v>0.96752363673352704</v>
      </c>
      <c r="D2920">
        <v>0.67738122912736998</v>
      </c>
      <c r="E2920">
        <v>0.28345423304885298</v>
      </c>
      <c r="F2920">
        <v>0.13889366674145101</v>
      </c>
      <c r="G2920">
        <v>9.3027346641258502E-2</v>
      </c>
      <c r="H2920">
        <v>3.7102912204961903E-2</v>
      </c>
      <c r="I2920">
        <v>5.60236905914136E-2</v>
      </c>
      <c r="J2920">
        <v>3.2664088984254297E-2</v>
      </c>
      <c r="K2920">
        <v>4.3095595581977397E-2</v>
      </c>
      <c r="L2920">
        <v>1158.3281464415199</v>
      </c>
      <c r="M2920">
        <v>24.446184067097199</v>
      </c>
      <c r="N2920">
        <v>47.593367098101297</v>
      </c>
      <c r="O2920">
        <v>47.069127095410302</v>
      </c>
      <c r="P2920">
        <v>-0.12318775563047001</v>
      </c>
      <c r="Q2920">
        <v>5.1262169989673201E-2</v>
      </c>
      <c r="R2920">
        <v>0.99728485240034404</v>
      </c>
      <c r="S2920" t="s">
        <v>9923</v>
      </c>
      <c r="T2920" t="s">
        <v>14004</v>
      </c>
      <c r="U2920" t="s">
        <v>14004</v>
      </c>
      <c r="V2920" t="s">
        <v>14004</v>
      </c>
      <c r="W2920" t="s">
        <v>16883</v>
      </c>
      <c r="X2920">
        <v>3</v>
      </c>
      <c r="Y2920" t="s">
        <v>23757</v>
      </c>
      <c r="Z2920" t="s">
        <v>30630</v>
      </c>
      <c r="AA2920">
        <v>0.29358012280269158</v>
      </c>
      <c r="AB2920" t="str">
        <f>HYPERLINK("Melting_Curves/meltCurve_P52735_3_VAV2.pdf", "Melting_Curves/meltCurve_P52735_3_VAV2.pdf")</f>
        <v>Melting_Curves/meltCurve_P52735_3_VAV2.pdf</v>
      </c>
    </row>
    <row r="2921" spans="1:28" x14ac:dyDescent="0.25">
      <c r="A2921" t="s">
        <v>2925</v>
      </c>
      <c r="B2921">
        <v>0.99999676499088797</v>
      </c>
      <c r="C2921">
        <v>0.63594033692932195</v>
      </c>
      <c r="D2921">
        <v>0.31218373250269499</v>
      </c>
      <c r="E2921">
        <v>0.23373936137944601</v>
      </c>
      <c r="F2921">
        <v>0.19633195646335799</v>
      </c>
      <c r="G2921">
        <v>0.153727422537136</v>
      </c>
      <c r="H2921">
        <v>9.5106499819935506E-2</v>
      </c>
      <c r="I2921">
        <v>0.14142319970153</v>
      </c>
      <c r="J2921">
        <v>0.19396032659175999</v>
      </c>
      <c r="K2921">
        <v>0.172641293483693</v>
      </c>
      <c r="L2921">
        <v>1302.0931356221399</v>
      </c>
      <c r="M2921">
        <v>29.962237310551799</v>
      </c>
      <c r="N2921">
        <v>44.052634314750399</v>
      </c>
      <c r="O2921">
        <v>43.265609675079901</v>
      </c>
      <c r="P2921">
        <v>-0.14432711895115</v>
      </c>
      <c r="Q2921">
        <v>0.16636952585452899</v>
      </c>
      <c r="R2921">
        <v>0.98095838779929601</v>
      </c>
      <c r="S2921" t="s">
        <v>9924</v>
      </c>
      <c r="T2921" t="s">
        <v>14004</v>
      </c>
      <c r="U2921" t="s">
        <v>14004</v>
      </c>
      <c r="V2921" t="s">
        <v>14004</v>
      </c>
      <c r="W2921" t="s">
        <v>16884</v>
      </c>
      <c r="X2921">
        <v>11</v>
      </c>
      <c r="Y2921" t="s">
        <v>23758</v>
      </c>
      <c r="Z2921" t="s">
        <v>30631</v>
      </c>
      <c r="AA2921">
        <v>0.26927676893701968</v>
      </c>
      <c r="AB2921" t="str">
        <f>HYPERLINK("Melting_Curves/meltCurve_P52756_RBM5.pdf", "Melting_Curves/meltCurve_P52756_RBM5.pdf")</f>
        <v>Melting_Curves/meltCurve_P52756_RBM5.pdf</v>
      </c>
    </row>
    <row r="2922" spans="1:28" x14ac:dyDescent="0.25">
      <c r="A2922" t="s">
        <v>2926</v>
      </c>
      <c r="B2922">
        <v>0.99999676499088797</v>
      </c>
      <c r="C2922">
        <v>0.91867232781923402</v>
      </c>
      <c r="D2922">
        <v>0.93491455629706499</v>
      </c>
      <c r="E2922">
        <v>0.93966180784033604</v>
      </c>
      <c r="F2922">
        <v>1.02663363736194</v>
      </c>
      <c r="G2922">
        <v>0.85418857827188599</v>
      </c>
      <c r="H2922">
        <v>0.57382866846477998</v>
      </c>
      <c r="I2922">
        <v>0.60395475745981397</v>
      </c>
      <c r="J2922">
        <v>0.65162807805939804</v>
      </c>
      <c r="K2922">
        <v>0.64395084957544502</v>
      </c>
      <c r="L2922">
        <v>14227.3135966347</v>
      </c>
      <c r="M2922">
        <v>250</v>
      </c>
      <c r="O2922">
        <v>56.905633043589397</v>
      </c>
      <c r="P2922">
        <v>-0.41918033400874</v>
      </c>
      <c r="Q2922">
        <v>0.61834058071966802</v>
      </c>
      <c r="R2922">
        <v>0.93156562968923096</v>
      </c>
      <c r="S2922" t="s">
        <v>9925</v>
      </c>
      <c r="T2922" t="s">
        <v>14004</v>
      </c>
      <c r="U2922" t="s">
        <v>14004</v>
      </c>
      <c r="V2922" t="s">
        <v>14004</v>
      </c>
      <c r="W2922" t="s">
        <v>16885</v>
      </c>
      <c r="X2922">
        <v>7</v>
      </c>
      <c r="Y2922" t="s">
        <v>23759</v>
      </c>
      <c r="Z2922" t="s">
        <v>30632</v>
      </c>
      <c r="AA2922">
        <v>0.83349790588677242</v>
      </c>
      <c r="AB2922" t="str">
        <f>HYPERLINK("Melting_Curves/meltCurve_P52758_HRSP12.pdf", "Melting_Curves/meltCurve_P52758_HRSP12.pdf")</f>
        <v>Melting_Curves/meltCurve_P52758_HRSP12.pdf</v>
      </c>
    </row>
    <row r="2923" spans="1:28" x14ac:dyDescent="0.25">
      <c r="A2923" t="s">
        <v>2927</v>
      </c>
      <c r="B2923">
        <v>0.99999676499088797</v>
      </c>
      <c r="C2923">
        <v>0.97239259119389199</v>
      </c>
      <c r="D2923">
        <v>0.98222955097497899</v>
      </c>
      <c r="E2923">
        <v>1.0550537238340201</v>
      </c>
      <c r="F2923">
        <v>0.92150652302109604</v>
      </c>
      <c r="G2923">
        <v>0.61826950842100403</v>
      </c>
      <c r="H2923">
        <v>0.16700561236452599</v>
      </c>
      <c r="I2923">
        <v>0.10837752100315599</v>
      </c>
      <c r="J2923">
        <v>9.0013278306168107E-2</v>
      </c>
      <c r="K2923">
        <v>6.2148278485568899E-2</v>
      </c>
      <c r="L2923">
        <v>2035.1813990793701</v>
      </c>
      <c r="M2923">
        <v>35.514105539526099</v>
      </c>
      <c r="N2923">
        <v>57.566016033532897</v>
      </c>
      <c r="O2923">
        <v>57.125493199276796</v>
      </c>
      <c r="P2923">
        <v>-0.14391650858691701</v>
      </c>
      <c r="Q2923">
        <v>7.40271575348527E-2</v>
      </c>
      <c r="R2923">
        <v>0.99669601132265295</v>
      </c>
      <c r="S2923" t="s">
        <v>9926</v>
      </c>
      <c r="T2923" t="s">
        <v>14004</v>
      </c>
      <c r="U2923" t="s">
        <v>14004</v>
      </c>
      <c r="V2923" t="s">
        <v>14004</v>
      </c>
      <c r="W2923" t="s">
        <v>16886</v>
      </c>
      <c r="X2923">
        <v>18</v>
      </c>
      <c r="Y2923" t="s">
        <v>23760</v>
      </c>
      <c r="Z2923" t="s">
        <v>30633</v>
      </c>
      <c r="AA2923">
        <v>0.61273673598867751</v>
      </c>
      <c r="AB2923" t="str">
        <f>HYPERLINK("Melting_Curves/meltCurve_P52788_SMS.pdf", "Melting_Curves/meltCurve_P52788_SMS.pdf")</f>
        <v>Melting_Curves/meltCurve_P52788_SMS.pdf</v>
      </c>
    </row>
    <row r="2924" spans="1:28" x14ac:dyDescent="0.25">
      <c r="A2924" t="s">
        <v>2928</v>
      </c>
      <c r="B2924">
        <v>0.99999676499088797</v>
      </c>
      <c r="C2924">
        <v>0.93000313866125095</v>
      </c>
      <c r="D2924">
        <v>0.64345009545582599</v>
      </c>
      <c r="E2924">
        <v>0.228465529165336</v>
      </c>
      <c r="F2924">
        <v>0.15485730441397599</v>
      </c>
      <c r="G2924">
        <v>0.104551650189492</v>
      </c>
      <c r="H2924">
        <v>5.8577327053238301E-2</v>
      </c>
      <c r="I2924">
        <v>5.9304972648250999E-2</v>
      </c>
      <c r="J2924">
        <v>4.6520713820427502E-2</v>
      </c>
      <c r="K2924">
        <v>5.2729188857978199E-2</v>
      </c>
      <c r="L2924">
        <v>1202.66013759468</v>
      </c>
      <c r="M2924">
        <v>25.666065495533601</v>
      </c>
      <c r="N2924">
        <v>47.122590565072002</v>
      </c>
      <c r="O2924">
        <v>46.5762885423703</v>
      </c>
      <c r="P2924">
        <v>-0.12852001270772501</v>
      </c>
      <c r="Q2924">
        <v>6.7108324173103501E-2</v>
      </c>
      <c r="R2924">
        <v>0.99666726776046799</v>
      </c>
      <c r="S2924" t="s">
        <v>9927</v>
      </c>
      <c r="T2924" t="s">
        <v>14004</v>
      </c>
      <c r="U2924" t="s">
        <v>14004</v>
      </c>
      <c r="V2924" t="s">
        <v>14004</v>
      </c>
      <c r="W2924" t="s">
        <v>16887</v>
      </c>
      <c r="X2924">
        <v>32</v>
      </c>
      <c r="Y2924" t="s">
        <v>23761</v>
      </c>
      <c r="Z2924" t="s">
        <v>30634</v>
      </c>
      <c r="AA2924">
        <v>0.28824854128700128</v>
      </c>
      <c r="AB2924" t="str">
        <f>HYPERLINK("Melting_Curves/meltCurve_P52789_HK2.pdf", "Melting_Curves/meltCurve_P52789_HK2.pdf")</f>
        <v>Melting_Curves/meltCurve_P52789_HK2.pdf</v>
      </c>
    </row>
    <row r="2925" spans="1:28" x14ac:dyDescent="0.25">
      <c r="A2925" t="s">
        <v>2929</v>
      </c>
      <c r="B2925">
        <v>0.99999676499088797</v>
      </c>
      <c r="C2925">
        <v>0.898563080746832</v>
      </c>
      <c r="D2925">
        <v>1.1218786637306</v>
      </c>
      <c r="E2925">
        <v>0.94049876554534095</v>
      </c>
      <c r="F2925">
        <v>0.92774444323007899</v>
      </c>
      <c r="G2925">
        <v>0.72953930283703905</v>
      </c>
      <c r="H2925">
        <v>0.39776004159849399</v>
      </c>
      <c r="I2925">
        <v>0.33433363979992903</v>
      </c>
      <c r="J2925">
        <v>0.311495898238977</v>
      </c>
      <c r="K2925">
        <v>0.22866800957007699</v>
      </c>
      <c r="L2925">
        <v>1482.78529059122</v>
      </c>
      <c r="M2925">
        <v>25.622972977474699</v>
      </c>
      <c r="N2925">
        <v>59.536517937521999</v>
      </c>
      <c r="O2925">
        <v>57.520335023328599</v>
      </c>
      <c r="P2925">
        <v>-8.2854714086636902E-2</v>
      </c>
      <c r="Q2925">
        <v>0.25601564265565901</v>
      </c>
      <c r="R2925">
        <v>0.96896964426640297</v>
      </c>
      <c r="S2925" t="s">
        <v>9928</v>
      </c>
      <c r="T2925" t="s">
        <v>14004</v>
      </c>
      <c r="U2925" t="s">
        <v>14004</v>
      </c>
      <c r="V2925" t="s">
        <v>14004</v>
      </c>
      <c r="W2925" t="s">
        <v>16888</v>
      </c>
      <c r="X2925">
        <v>1</v>
      </c>
      <c r="Y2925" t="s">
        <v>23762</v>
      </c>
      <c r="Z2925" t="s">
        <v>30635</v>
      </c>
      <c r="AA2925">
        <v>0.70544970968723886</v>
      </c>
      <c r="AB2925" t="str">
        <f>HYPERLINK("Melting_Curves/meltCurve_P52798_2_EFNA4.pdf", "Melting_Curves/meltCurve_P52798_2_EFNA4.pdf")</f>
        <v>Melting_Curves/meltCurve_P52798_2_EFNA4.pdf</v>
      </c>
    </row>
    <row r="2926" spans="1:28" x14ac:dyDescent="0.25">
      <c r="A2926" t="s">
        <v>2930</v>
      </c>
      <c r="B2926">
        <v>0.99999676499088797</v>
      </c>
      <c r="C2926">
        <v>1.0824386803609201</v>
      </c>
      <c r="D2926">
        <v>1.02949660083328</v>
      </c>
      <c r="E2926">
        <v>0.842404115577569</v>
      </c>
      <c r="F2926">
        <v>0.79326585878174305</v>
      </c>
      <c r="G2926">
        <v>0.67801576663934704</v>
      </c>
      <c r="H2926">
        <v>0.38934855566973697</v>
      </c>
      <c r="I2926">
        <v>0.39311871383371999</v>
      </c>
      <c r="J2926">
        <v>0.36556864983492399</v>
      </c>
      <c r="K2926">
        <v>0.30142540263450102</v>
      </c>
      <c r="L2926">
        <v>849.07259633277101</v>
      </c>
      <c r="M2926">
        <v>15.054215939069699</v>
      </c>
      <c r="N2926">
        <v>59.586457393117499</v>
      </c>
      <c r="O2926">
        <v>55.433835040732397</v>
      </c>
      <c r="P2926">
        <v>-4.9131422801905397E-2</v>
      </c>
      <c r="Q2926">
        <v>0.276409498077754</v>
      </c>
      <c r="R2926">
        <v>0.96898743937016596</v>
      </c>
      <c r="S2926" t="s">
        <v>9929</v>
      </c>
      <c r="T2926" t="s">
        <v>14004</v>
      </c>
      <c r="U2926" t="s">
        <v>14004</v>
      </c>
      <c r="V2926" t="s">
        <v>14004</v>
      </c>
      <c r="W2926" t="s">
        <v>16889</v>
      </c>
      <c r="X2926">
        <v>8</v>
      </c>
      <c r="Y2926" t="s">
        <v>23763</v>
      </c>
      <c r="Z2926" t="s">
        <v>30636</v>
      </c>
      <c r="AA2926">
        <v>0.68427950453843844</v>
      </c>
      <c r="AB2926" t="str">
        <f>HYPERLINK("Melting_Curves/meltCurve_P52815_MRPL12.pdf", "Melting_Curves/meltCurve_P52815_MRPL12.pdf")</f>
        <v>Melting_Curves/meltCurve_P52815_MRPL12.pdf</v>
      </c>
    </row>
    <row r="2927" spans="1:28" x14ac:dyDescent="0.25">
      <c r="A2927" t="s">
        <v>2931</v>
      </c>
      <c r="B2927">
        <v>0.99999676499088797</v>
      </c>
      <c r="C2927">
        <v>1.0175416549143499</v>
      </c>
      <c r="D2927">
        <v>1.03539490798532</v>
      </c>
      <c r="E2927">
        <v>1.1679889883649699</v>
      </c>
      <c r="F2927">
        <v>1.00199754734867</v>
      </c>
      <c r="G2927">
        <v>0.83397593637064205</v>
      </c>
      <c r="H2927">
        <v>0.48941067597606902</v>
      </c>
      <c r="I2927">
        <v>0.25357177001757902</v>
      </c>
      <c r="J2927">
        <v>0.131903676312389</v>
      </c>
      <c r="K2927">
        <v>0.107643007001649</v>
      </c>
      <c r="L2927">
        <v>1633.25554795792</v>
      </c>
      <c r="M2927">
        <v>27.104670775919899</v>
      </c>
      <c r="N2927">
        <v>60.684289652654698</v>
      </c>
      <c r="O2927">
        <v>59.932220977389697</v>
      </c>
      <c r="P2927">
        <v>-0.1032500582863</v>
      </c>
      <c r="Q2927">
        <v>8.6807724117780594E-2</v>
      </c>
      <c r="R2927">
        <v>0.97935268541071696</v>
      </c>
      <c r="S2927" t="s">
        <v>9930</v>
      </c>
      <c r="T2927" t="s">
        <v>14004</v>
      </c>
      <c r="U2927" t="s">
        <v>14004</v>
      </c>
      <c r="V2927" t="s">
        <v>14004</v>
      </c>
      <c r="W2927" t="s">
        <v>16890</v>
      </c>
      <c r="X2927">
        <v>37</v>
      </c>
      <c r="Y2927" t="s">
        <v>23764</v>
      </c>
      <c r="Z2927" t="s">
        <v>30637</v>
      </c>
      <c r="AA2927">
        <v>0.70952808441768977</v>
      </c>
      <c r="AB2927" t="str">
        <f>HYPERLINK("Melting_Curves/meltCurve_P52888_THOP1.pdf", "Melting_Curves/meltCurve_P52888_THOP1.pdf")</f>
        <v>Melting_Curves/meltCurve_P52888_THOP1.pdf</v>
      </c>
    </row>
    <row r="2928" spans="1:28" x14ac:dyDescent="0.25">
      <c r="A2928" t="s">
        <v>2932</v>
      </c>
      <c r="B2928">
        <v>0.99999676499088797</v>
      </c>
      <c r="C2928">
        <v>0.95412925078518396</v>
      </c>
      <c r="D2928">
        <v>0.93976671436038595</v>
      </c>
      <c r="E2928">
        <v>0.74603276963116905</v>
      </c>
      <c r="F2928">
        <v>0.570104393939594</v>
      </c>
      <c r="G2928">
        <v>0.31925085099846801</v>
      </c>
      <c r="H2928">
        <v>0.176235710820105</v>
      </c>
      <c r="I2928">
        <v>0.13811797120078101</v>
      </c>
      <c r="J2928">
        <v>0.13415122943253999</v>
      </c>
      <c r="K2928">
        <v>0.105518532610406</v>
      </c>
      <c r="L2928">
        <v>824.90076009048005</v>
      </c>
      <c r="M2928">
        <v>15.5193240659979</v>
      </c>
      <c r="N2928">
        <v>53.771219793283898</v>
      </c>
      <c r="O2928">
        <v>52.294056730296496</v>
      </c>
      <c r="P2928">
        <v>-6.8137679876032406E-2</v>
      </c>
      <c r="Q2928">
        <v>8.1691777497506002E-2</v>
      </c>
      <c r="R2928">
        <v>0.997314798488806</v>
      </c>
      <c r="S2928" t="s">
        <v>9931</v>
      </c>
      <c r="T2928" t="s">
        <v>14004</v>
      </c>
      <c r="U2928" t="s">
        <v>14004</v>
      </c>
      <c r="V2928" t="s">
        <v>14004</v>
      </c>
      <c r="W2928" t="s">
        <v>16891</v>
      </c>
      <c r="X2928">
        <v>22</v>
      </c>
      <c r="Y2928" t="s">
        <v>23765</v>
      </c>
      <c r="Z2928" t="s">
        <v>30638</v>
      </c>
      <c r="AA2928">
        <v>0.50303672042549252</v>
      </c>
      <c r="AB2928" t="str">
        <f>HYPERLINK("Melting_Curves/meltCurve_P52907_CAPZA1.pdf", "Melting_Curves/meltCurve_P52907_CAPZA1.pdf")</f>
        <v>Melting_Curves/meltCurve_P52907_CAPZA1.pdf</v>
      </c>
    </row>
    <row r="2929" spans="1:28" x14ac:dyDescent="0.25">
      <c r="A2929" t="s">
        <v>2933</v>
      </c>
      <c r="B2929">
        <v>0.99999676499088797</v>
      </c>
      <c r="C2929">
        <v>1.0578280601057699</v>
      </c>
      <c r="D2929">
        <v>1.0168527519046</v>
      </c>
      <c r="E2929">
        <v>0.82774800019196104</v>
      </c>
      <c r="F2929">
        <v>0.63107499123056199</v>
      </c>
      <c r="G2929">
        <v>0.55920536918874897</v>
      </c>
      <c r="H2929">
        <v>0.32782541147552002</v>
      </c>
      <c r="I2929">
        <v>0.36830462464716202</v>
      </c>
      <c r="J2929">
        <v>0.40548895098217802</v>
      </c>
      <c r="K2929">
        <v>0.403818459979158</v>
      </c>
      <c r="L2929">
        <v>1081.51397379423</v>
      </c>
      <c r="M2929">
        <v>20.5839124550143</v>
      </c>
      <c r="N2929">
        <v>56.317609282379401</v>
      </c>
      <c r="O2929">
        <v>52.053346873702402</v>
      </c>
      <c r="P2929">
        <v>-6.1866129304486803E-2</v>
      </c>
      <c r="Q2929">
        <v>0.37422090958465198</v>
      </c>
      <c r="R2929">
        <v>0.97168336132462596</v>
      </c>
      <c r="S2929" t="s">
        <v>9932</v>
      </c>
      <c r="T2929" t="s">
        <v>14004</v>
      </c>
      <c r="U2929" t="s">
        <v>14004</v>
      </c>
      <c r="V2929" t="s">
        <v>14004</v>
      </c>
      <c r="W2929" t="s">
        <v>16892</v>
      </c>
      <c r="X2929">
        <v>4</v>
      </c>
      <c r="Y2929" t="s">
        <v>23766</v>
      </c>
      <c r="Z2929" t="s">
        <v>30639</v>
      </c>
      <c r="AA2929">
        <v>0.64404192462776411</v>
      </c>
      <c r="AB2929" t="str">
        <f>HYPERLINK("Melting_Curves/meltCurve_P52943_CRIP2.pdf", "Melting_Curves/meltCurve_P52943_CRIP2.pdf")</f>
        <v>Melting_Curves/meltCurve_P52943_CRIP2.pdf</v>
      </c>
    </row>
    <row r="2930" spans="1:28" x14ac:dyDescent="0.25">
      <c r="A2930" t="s">
        <v>2934</v>
      </c>
      <c r="B2930">
        <v>0.99999676499088797</v>
      </c>
      <c r="C2930">
        <v>0.93502507903211096</v>
      </c>
      <c r="D2930">
        <v>0.82628878830313801</v>
      </c>
      <c r="E2930">
        <v>0.57678385431941004</v>
      </c>
      <c r="F2930">
        <v>0.268501286572422</v>
      </c>
      <c r="G2930">
        <v>0.187198852356215</v>
      </c>
      <c r="H2930">
        <v>0.109936696715444</v>
      </c>
      <c r="I2930">
        <v>0.11015379000457599</v>
      </c>
      <c r="J2930">
        <v>0.106787392819467</v>
      </c>
      <c r="K2930">
        <v>0.101060757000069</v>
      </c>
      <c r="L2930">
        <v>934.16922837959896</v>
      </c>
      <c r="M2930">
        <v>18.809689748175401</v>
      </c>
      <c r="N2930">
        <v>50.223515401045901</v>
      </c>
      <c r="O2930">
        <v>49.113121878097097</v>
      </c>
      <c r="P2930">
        <v>-8.6703603924309106E-2</v>
      </c>
      <c r="Q2930">
        <v>9.4486269006385695E-2</v>
      </c>
      <c r="R2930">
        <v>0.99813917752620696</v>
      </c>
      <c r="S2930" t="s">
        <v>9933</v>
      </c>
      <c r="T2930" t="s">
        <v>14004</v>
      </c>
      <c r="U2930" t="s">
        <v>14004</v>
      </c>
      <c r="V2930" t="s">
        <v>14004</v>
      </c>
      <c r="W2930" t="s">
        <v>16893</v>
      </c>
      <c r="X2930">
        <v>28</v>
      </c>
      <c r="Y2930" t="s">
        <v>23767</v>
      </c>
      <c r="Z2930" t="s">
        <v>30640</v>
      </c>
      <c r="AA2930">
        <v>0.40043323182886348</v>
      </c>
      <c r="AB2930" t="str">
        <f>HYPERLINK("Melting_Curves/meltCurve_P52948_5_NUP98.pdf", "Melting_Curves/meltCurve_P52948_5_NUP98.pdf")</f>
        <v>Melting_Curves/meltCurve_P52948_5_NUP98.pdf</v>
      </c>
    </row>
    <row r="2931" spans="1:28" x14ac:dyDescent="0.25">
      <c r="A2931" t="s">
        <v>2935</v>
      </c>
      <c r="B2931">
        <v>0.99999676499088797</v>
      </c>
      <c r="C2931">
        <v>0.95527483923370105</v>
      </c>
      <c r="D2931">
        <v>0.97676416858596204</v>
      </c>
      <c r="E2931">
        <v>1.0716937881672799</v>
      </c>
      <c r="F2931">
        <v>0.69675585719784705</v>
      </c>
      <c r="G2931">
        <v>0.230693340261999</v>
      </c>
      <c r="H2931">
        <v>8.0636053981767999E-2</v>
      </c>
      <c r="I2931">
        <v>7.5460727613887196E-2</v>
      </c>
      <c r="J2931">
        <v>6.5829248773174504E-2</v>
      </c>
      <c r="K2931">
        <v>5.3789181157209202E-2</v>
      </c>
      <c r="L2931">
        <v>2121.9315541225601</v>
      </c>
      <c r="M2931">
        <v>39.0490192115818</v>
      </c>
      <c r="N2931">
        <v>54.542021187867398</v>
      </c>
      <c r="O2931">
        <v>54.198272364296699</v>
      </c>
      <c r="P2931">
        <v>-0.16800480650603999</v>
      </c>
      <c r="Q2931">
        <v>6.7269823506379403E-2</v>
      </c>
      <c r="R2931">
        <v>0.993416379573276</v>
      </c>
      <c r="S2931" t="s">
        <v>9934</v>
      </c>
      <c r="T2931" t="s">
        <v>14004</v>
      </c>
      <c r="U2931" t="s">
        <v>14004</v>
      </c>
      <c r="V2931" t="s">
        <v>14004</v>
      </c>
      <c r="W2931" t="s">
        <v>16894</v>
      </c>
      <c r="X2931">
        <v>19</v>
      </c>
      <c r="Y2931" t="s">
        <v>23768</v>
      </c>
      <c r="Z2931" t="s">
        <v>30641</v>
      </c>
      <c r="AA2931">
        <v>0.51678760289128112</v>
      </c>
      <c r="AB2931" t="str">
        <f>HYPERLINK("Melting_Curves/meltCurve_P53004_BLVRA.pdf", "Melting_Curves/meltCurve_P53004_BLVRA.pdf")</f>
        <v>Melting_Curves/meltCurve_P53004_BLVRA.pdf</v>
      </c>
    </row>
    <row r="2932" spans="1:28" x14ac:dyDescent="0.25">
      <c r="A2932" t="s">
        <v>2936</v>
      </c>
      <c r="B2932">
        <v>0.99999676499088797</v>
      </c>
      <c r="C2932">
        <v>1.0821567563984</v>
      </c>
      <c r="D2932">
        <v>1.01647191019998</v>
      </c>
      <c r="E2932">
        <v>0.95105361998947802</v>
      </c>
      <c r="F2932">
        <v>0.77555046990700705</v>
      </c>
      <c r="G2932">
        <v>0.89022778277960102</v>
      </c>
      <c r="H2932">
        <v>0.49589638467540897</v>
      </c>
      <c r="I2932">
        <v>0.363799718950575</v>
      </c>
      <c r="J2932">
        <v>0.25546090991675602</v>
      </c>
      <c r="K2932">
        <v>0.64131008638026898</v>
      </c>
      <c r="L2932">
        <v>2593.5642277370498</v>
      </c>
      <c r="M2932">
        <v>44.474260747414903</v>
      </c>
      <c r="N2932">
        <v>60.765349860482203</v>
      </c>
      <c r="O2932">
        <v>58.198546298544898</v>
      </c>
      <c r="P2932">
        <v>-0.111429476775476</v>
      </c>
      <c r="Q2932">
        <v>0.41673915476864098</v>
      </c>
      <c r="R2932">
        <v>0.82197432047450403</v>
      </c>
      <c r="S2932" t="s">
        <v>9935</v>
      </c>
      <c r="T2932" t="s">
        <v>14004</v>
      </c>
      <c r="U2932" t="s">
        <v>14004</v>
      </c>
      <c r="V2932" t="s">
        <v>14004</v>
      </c>
      <c r="W2932" t="s">
        <v>16895</v>
      </c>
      <c r="X2932">
        <v>15</v>
      </c>
      <c r="Y2932" t="s">
        <v>23769</v>
      </c>
      <c r="Z2932" t="s">
        <v>30642</v>
      </c>
      <c r="AA2932">
        <v>0.77471670577641361</v>
      </c>
      <c r="AB2932" t="str">
        <f>HYPERLINK("Melting_Curves/meltCurve_P53007_SLC25A1.pdf", "Melting_Curves/meltCurve_P53007_SLC25A1.pdf")</f>
        <v>Melting_Curves/meltCurve_P53007_SLC25A1.pdf</v>
      </c>
    </row>
    <row r="2933" spans="1:28" x14ac:dyDescent="0.25">
      <c r="A2933" t="s">
        <v>2937</v>
      </c>
      <c r="B2933">
        <v>0.99999676499088797</v>
      </c>
      <c r="C2933">
        <v>1.0736929689355501</v>
      </c>
      <c r="D2933">
        <v>0.87753060564895002</v>
      </c>
      <c r="E2933">
        <v>0.74843924551123098</v>
      </c>
      <c r="F2933">
        <v>0.34883134402883098</v>
      </c>
      <c r="G2933">
        <v>0.18250937262730499</v>
      </c>
      <c r="H2933">
        <v>7.6610326613317001E-2</v>
      </c>
      <c r="I2933">
        <v>6.2356502963940803E-2</v>
      </c>
      <c r="J2933">
        <v>6.2407886375110098E-2</v>
      </c>
      <c r="K2933">
        <v>5.91577858449523E-2</v>
      </c>
      <c r="L2933">
        <v>1137.8469533602499</v>
      </c>
      <c r="M2933">
        <v>22.074625525467798</v>
      </c>
      <c r="N2933">
        <v>51.814199350163697</v>
      </c>
      <c r="O2933">
        <v>51.128057929610598</v>
      </c>
      <c r="P2933">
        <v>-0.10210205260764001</v>
      </c>
      <c r="Q2933">
        <v>5.4087913545471697E-2</v>
      </c>
      <c r="R2933">
        <v>0.99227372408233505</v>
      </c>
      <c r="S2933" t="s">
        <v>9936</v>
      </c>
      <c r="T2933" t="s">
        <v>14004</v>
      </c>
      <c r="U2933" t="s">
        <v>14004</v>
      </c>
      <c r="V2933" t="s">
        <v>14004</v>
      </c>
      <c r="W2933" t="s">
        <v>16896</v>
      </c>
      <c r="X2933">
        <v>7</v>
      </c>
      <c r="Y2933" t="s">
        <v>23770</v>
      </c>
      <c r="Z2933" t="s">
        <v>30643</v>
      </c>
      <c r="AA2933">
        <v>0.42903417500686281</v>
      </c>
      <c r="AB2933" t="str">
        <f>HYPERLINK("Melting_Curves/meltCurve_P53350_PLK1.pdf", "Melting_Curves/meltCurve_P53350_PLK1.pdf")</f>
        <v>Melting_Curves/meltCurve_P53350_PLK1.pdf</v>
      </c>
    </row>
    <row r="2934" spans="1:28" x14ac:dyDescent="0.25">
      <c r="A2934" t="s">
        <v>2938</v>
      </c>
      <c r="B2934">
        <v>0.99999676499088797</v>
      </c>
      <c r="C2934">
        <v>1.052418044725</v>
      </c>
      <c r="D2934">
        <v>0.99236549623779702</v>
      </c>
      <c r="E2934">
        <v>0.81364416214981194</v>
      </c>
      <c r="F2934">
        <v>0.32450984170828401</v>
      </c>
      <c r="G2934">
        <v>0.220958698202908</v>
      </c>
      <c r="H2934">
        <v>0.12538186088910699</v>
      </c>
      <c r="I2934">
        <v>0.110671709537529</v>
      </c>
      <c r="J2934">
        <v>0.10646705863940301</v>
      </c>
      <c r="K2934">
        <v>8.5671548044471996E-2</v>
      </c>
      <c r="L2934">
        <v>1669.0923988379</v>
      </c>
      <c r="M2934">
        <v>32.398691801161199</v>
      </c>
      <c r="N2934">
        <v>51.9408236104425</v>
      </c>
      <c r="O2934">
        <v>51.322195256610698</v>
      </c>
      <c r="P2934">
        <v>-0.13949982444718001</v>
      </c>
      <c r="Q2934">
        <v>0.116087357577817</v>
      </c>
      <c r="R2934">
        <v>0.994541525503849</v>
      </c>
      <c r="S2934" t="s">
        <v>9937</v>
      </c>
      <c r="T2934" t="s">
        <v>14004</v>
      </c>
      <c r="U2934" t="s">
        <v>14004</v>
      </c>
      <c r="V2934" t="s">
        <v>14004</v>
      </c>
      <c r="W2934" t="s">
        <v>16897</v>
      </c>
      <c r="X2934">
        <v>12</v>
      </c>
      <c r="Y2934" t="s">
        <v>23771</v>
      </c>
      <c r="Z2934" t="s">
        <v>30644</v>
      </c>
      <c r="AA2934">
        <v>0.46023566099055402</v>
      </c>
      <c r="AB2934" t="str">
        <f>HYPERLINK("Melting_Curves/meltCurve_P53365_ARFIP2.pdf", "Melting_Curves/meltCurve_P53365_ARFIP2.pdf")</f>
        <v>Melting_Curves/meltCurve_P53365_ARFIP2.pdf</v>
      </c>
    </row>
    <row r="2935" spans="1:28" x14ac:dyDescent="0.25">
      <c r="A2935" t="s">
        <v>2939</v>
      </c>
      <c r="B2935">
        <v>0.99999676499088797</v>
      </c>
      <c r="C2935">
        <v>0.85155701400717299</v>
      </c>
      <c r="D2935">
        <v>0.79740682174826505</v>
      </c>
      <c r="E2935">
        <v>0.50980986804856299</v>
      </c>
      <c r="F2935">
        <v>0.27278400460379598</v>
      </c>
      <c r="G2935">
        <v>0.185763752267643</v>
      </c>
      <c r="H2935">
        <v>0.10435858638023</v>
      </c>
      <c r="I2935">
        <v>0.102031031857985</v>
      </c>
      <c r="J2935">
        <v>0.10386426972846401</v>
      </c>
      <c r="K2935">
        <v>9.7100237334052805E-2</v>
      </c>
      <c r="L2935">
        <v>777.64696309851297</v>
      </c>
      <c r="M2935">
        <v>15.8367805007314</v>
      </c>
      <c r="N2935">
        <v>49.6564030038978</v>
      </c>
      <c r="O2935">
        <v>48.340908218612903</v>
      </c>
      <c r="P2935">
        <v>-7.5291323825689496E-2</v>
      </c>
      <c r="Q2935">
        <v>8.07844011778273E-2</v>
      </c>
      <c r="R2935">
        <v>0.99422391930784504</v>
      </c>
      <c r="S2935" t="s">
        <v>9938</v>
      </c>
      <c r="T2935" t="s">
        <v>14004</v>
      </c>
      <c r="U2935" t="s">
        <v>14004</v>
      </c>
      <c r="V2935" t="s">
        <v>14004</v>
      </c>
      <c r="W2935" t="s">
        <v>16898</v>
      </c>
      <c r="X2935">
        <v>12</v>
      </c>
      <c r="Y2935" t="s">
        <v>23772</v>
      </c>
      <c r="Z2935" t="s">
        <v>30645</v>
      </c>
      <c r="AA2935">
        <v>0.38012713449208962</v>
      </c>
      <c r="AB2935" t="str">
        <f>HYPERLINK("Melting_Curves/meltCurve_P53367_2_ARFIP1.pdf", "Melting_Curves/meltCurve_P53367_2_ARFIP1.pdf")</f>
        <v>Melting_Curves/meltCurve_P53367_2_ARFIP1.pdf</v>
      </c>
    </row>
    <row r="2936" spans="1:28" x14ac:dyDescent="0.25">
      <c r="A2936" t="s">
        <v>2940</v>
      </c>
      <c r="B2936">
        <v>0.99999676499088797</v>
      </c>
      <c r="C2936">
        <v>1.0408779191512001</v>
      </c>
      <c r="D2936">
        <v>1.04641545034422</v>
      </c>
      <c r="E2936">
        <v>1.0075040723955799</v>
      </c>
      <c r="F2936">
        <v>0.70926464292070002</v>
      </c>
      <c r="G2936">
        <v>0.32171970115651899</v>
      </c>
      <c r="H2936">
        <v>0.122042205113295</v>
      </c>
      <c r="I2936">
        <v>0.11212726871020399</v>
      </c>
      <c r="J2936">
        <v>0.106062473853324</v>
      </c>
      <c r="K2936">
        <v>9.7828768914401398E-2</v>
      </c>
      <c r="L2936">
        <v>1734.5996739428001</v>
      </c>
      <c r="M2936">
        <v>31.761446468290401</v>
      </c>
      <c r="N2936">
        <v>55.001156147252402</v>
      </c>
      <c r="O2936">
        <v>54.398241786221703</v>
      </c>
      <c r="P2936">
        <v>-0.13132501787451001</v>
      </c>
      <c r="Q2936">
        <v>0.100316419984684</v>
      </c>
      <c r="R2936">
        <v>0.99615761626060995</v>
      </c>
      <c r="S2936" t="s">
        <v>9939</v>
      </c>
      <c r="T2936" t="s">
        <v>14004</v>
      </c>
      <c r="U2936" t="s">
        <v>14004</v>
      </c>
      <c r="V2936" t="s">
        <v>14004</v>
      </c>
      <c r="W2936" t="s">
        <v>16899</v>
      </c>
      <c r="X2936">
        <v>6</v>
      </c>
      <c r="Y2936" t="s">
        <v>23773</v>
      </c>
      <c r="Z2936" t="s">
        <v>30646</v>
      </c>
      <c r="AA2936">
        <v>0.54389458146773406</v>
      </c>
      <c r="AB2936" t="str">
        <f>HYPERLINK("Melting_Curves/meltCurve_P53384_2_NUBP1.pdf", "Melting_Curves/meltCurve_P53384_2_NUBP1.pdf")</f>
        <v>Melting_Curves/meltCurve_P53384_2_NUBP1.pdf</v>
      </c>
    </row>
    <row r="2937" spans="1:28" x14ac:dyDescent="0.25">
      <c r="A2937" t="s">
        <v>2941</v>
      </c>
      <c r="B2937">
        <v>0.99999676499088797</v>
      </c>
      <c r="C2937">
        <v>1.0607259662042099</v>
      </c>
      <c r="D2937">
        <v>1.12385613219497</v>
      </c>
      <c r="E2937">
        <v>1.32031653949979</v>
      </c>
      <c r="F2937">
        <v>0.65014423911867103</v>
      </c>
      <c r="G2937">
        <v>0.20673915029900899</v>
      </c>
      <c r="H2937">
        <v>9.1740175122154294E-2</v>
      </c>
      <c r="I2937">
        <v>8.7562710242053296E-2</v>
      </c>
      <c r="J2937">
        <v>7.4767021381218796E-2</v>
      </c>
      <c r="K2937">
        <v>6.2579728924810799E-2</v>
      </c>
      <c r="L2937">
        <v>3142.2373792961598</v>
      </c>
      <c r="M2937">
        <v>58.493104429334103</v>
      </c>
      <c r="N2937">
        <v>53.9149269443798</v>
      </c>
      <c r="O2937">
        <v>53.6571110179665</v>
      </c>
      <c r="P2937">
        <v>-0.246532977369329</v>
      </c>
      <c r="Q2937">
        <v>9.5398255184380207E-2</v>
      </c>
      <c r="R2937">
        <v>0.94415853370718394</v>
      </c>
      <c r="S2937" t="s">
        <v>9940</v>
      </c>
      <c r="T2937" t="s">
        <v>14004</v>
      </c>
      <c r="U2937" t="s">
        <v>14004</v>
      </c>
      <c r="V2937" t="s">
        <v>14004</v>
      </c>
      <c r="W2937" t="s">
        <v>16900</v>
      </c>
      <c r="X2937">
        <v>67</v>
      </c>
      <c r="Y2937" t="s">
        <v>23774</v>
      </c>
      <c r="Z2937" t="s">
        <v>30647</v>
      </c>
      <c r="AA2937">
        <v>0.5106603313153284</v>
      </c>
      <c r="AB2937" t="str">
        <f>HYPERLINK("Melting_Curves/meltCurve_P53396_ACLY.pdf", "Melting_Curves/meltCurve_P53396_ACLY.pdf")</f>
        <v>Melting_Curves/meltCurve_P53396_ACLY.pdf</v>
      </c>
    </row>
    <row r="2938" spans="1:28" x14ac:dyDescent="0.25">
      <c r="A2938" t="s">
        <v>2942</v>
      </c>
      <c r="B2938">
        <v>0.99999676499088797</v>
      </c>
      <c r="C2938">
        <v>1.2904543531988699</v>
      </c>
      <c r="D2938">
        <v>0.94372231444143395</v>
      </c>
      <c r="E2938">
        <v>0.62016846044333995</v>
      </c>
      <c r="F2938">
        <v>0.41866242403361398</v>
      </c>
      <c r="G2938">
        <v>0.53722146466543597</v>
      </c>
      <c r="H2938">
        <v>0.30803760415612502</v>
      </c>
      <c r="I2938">
        <v>0.49314532567547098</v>
      </c>
      <c r="J2938">
        <v>0.54478580282487099</v>
      </c>
      <c r="K2938">
        <v>0.30195488687725203</v>
      </c>
      <c r="L2938">
        <v>2247.0494464140502</v>
      </c>
      <c r="M2938">
        <v>46.050260641464199</v>
      </c>
      <c r="N2938">
        <v>51.010486290855198</v>
      </c>
      <c r="O2938">
        <v>48.703822097726899</v>
      </c>
      <c r="P2938">
        <v>-0.13419249048309501</v>
      </c>
      <c r="Q2938">
        <v>0.43230018666298597</v>
      </c>
      <c r="R2938">
        <v>0.84802529656959702</v>
      </c>
      <c r="S2938" t="s">
        <v>9941</v>
      </c>
      <c r="T2938" t="s">
        <v>14004</v>
      </c>
      <c r="U2938" t="s">
        <v>14004</v>
      </c>
      <c r="V2938" t="s">
        <v>14004</v>
      </c>
      <c r="W2938" t="s">
        <v>16901</v>
      </c>
      <c r="X2938">
        <v>5</v>
      </c>
      <c r="Y2938" t="s">
        <v>23775</v>
      </c>
      <c r="Z2938" t="s">
        <v>30648</v>
      </c>
      <c r="AA2938">
        <v>0.60018438470852142</v>
      </c>
      <c r="AB2938" t="str">
        <f>HYPERLINK("Melting_Curves/meltCurve_P53567_CEBPG.pdf", "Melting_Curves/meltCurve_P53567_CEBPG.pdf")</f>
        <v>Melting_Curves/meltCurve_P53567_CEBPG.pdf</v>
      </c>
    </row>
    <row r="2939" spans="1:28" x14ac:dyDescent="0.25">
      <c r="A2939" t="s">
        <v>2943</v>
      </c>
      <c r="B2939">
        <v>0.99999676499088797</v>
      </c>
      <c r="C2939">
        <v>1.00539695067337</v>
      </c>
      <c r="D2939">
        <v>0.82576495938210903</v>
      </c>
      <c r="E2939">
        <v>0.60551200829713503</v>
      </c>
      <c r="F2939">
        <v>0.43428300804766701</v>
      </c>
      <c r="G2939">
        <v>0.26713741356818199</v>
      </c>
      <c r="H2939">
        <v>9.1563478687413297E-2</v>
      </c>
      <c r="I2939">
        <v>8.0279272393190396E-2</v>
      </c>
      <c r="J2939">
        <v>7.0435822177551302E-2</v>
      </c>
      <c r="K2939">
        <v>5.8090637172414097E-2</v>
      </c>
      <c r="L2939">
        <v>713.66667093131196</v>
      </c>
      <c r="M2939">
        <v>13.8454052418685</v>
      </c>
      <c r="N2939">
        <v>51.738592629777202</v>
      </c>
      <c r="O2939">
        <v>50.5057789074962</v>
      </c>
      <c r="P2939">
        <v>-6.6816277958479803E-2</v>
      </c>
      <c r="Q2939">
        <v>2.5195201665039101E-2</v>
      </c>
      <c r="R2939">
        <v>0.99339356679747803</v>
      </c>
      <c r="S2939" t="s">
        <v>9942</v>
      </c>
      <c r="T2939" t="s">
        <v>14004</v>
      </c>
      <c r="U2939" t="s">
        <v>14004</v>
      </c>
      <c r="V2939" t="s">
        <v>14004</v>
      </c>
      <c r="W2939" t="s">
        <v>16902</v>
      </c>
      <c r="X2939">
        <v>20</v>
      </c>
      <c r="Y2939" t="s">
        <v>23776</v>
      </c>
      <c r="Z2939" t="s">
        <v>30649</v>
      </c>
      <c r="AA2939">
        <v>0.42539359291477991</v>
      </c>
      <c r="AB2939" t="str">
        <f>HYPERLINK("Melting_Curves/meltCurve_P53582_METAP1.pdf", "Melting_Curves/meltCurve_P53582_METAP1.pdf")</f>
        <v>Melting_Curves/meltCurve_P53582_METAP1.pdf</v>
      </c>
    </row>
    <row r="2940" spans="1:28" x14ac:dyDescent="0.25">
      <c r="A2940" t="s">
        <v>2944</v>
      </c>
      <c r="B2940">
        <v>0.99999676499088797</v>
      </c>
      <c r="C2940">
        <v>0.98025434620002505</v>
      </c>
      <c r="D2940">
        <v>0.99270144509187297</v>
      </c>
      <c r="E2940">
        <v>0.93422188058477995</v>
      </c>
      <c r="F2940">
        <v>0.219168076118857</v>
      </c>
      <c r="G2940">
        <v>0.139664638258574</v>
      </c>
      <c r="H2940">
        <v>6.4119082708984504E-2</v>
      </c>
      <c r="I2940">
        <v>6.1100372583704397E-2</v>
      </c>
      <c r="J2940">
        <v>4.4975468936867699E-2</v>
      </c>
      <c r="K2940">
        <v>4.1910032071916903E-2</v>
      </c>
      <c r="L2940">
        <v>3012.94548500568</v>
      </c>
      <c r="M2940">
        <v>58.241192172834097</v>
      </c>
      <c r="N2940">
        <v>51.8633634269897</v>
      </c>
      <c r="O2940">
        <v>51.671325800235202</v>
      </c>
      <c r="P2940">
        <v>-0.26249151383017699</v>
      </c>
      <c r="Q2940">
        <v>6.8475271008244895E-2</v>
      </c>
      <c r="R2940">
        <v>0.99673720193668802</v>
      </c>
      <c r="S2940" t="s">
        <v>9943</v>
      </c>
      <c r="T2940" t="s">
        <v>14004</v>
      </c>
      <c r="U2940" t="s">
        <v>14004</v>
      </c>
      <c r="V2940" t="s">
        <v>14004</v>
      </c>
      <c r="W2940" t="s">
        <v>16903</v>
      </c>
      <c r="X2940">
        <v>9</v>
      </c>
      <c r="Y2940" t="s">
        <v>23777</v>
      </c>
      <c r="Z2940" t="s">
        <v>30650</v>
      </c>
      <c r="AA2940">
        <v>0.43433434755925199</v>
      </c>
      <c r="AB2940" t="str">
        <f>HYPERLINK("Melting_Curves/meltCurve_P53597_SUCLG1.pdf", "Melting_Curves/meltCurve_P53597_SUCLG1.pdf")</f>
        <v>Melting_Curves/meltCurve_P53597_SUCLG1.pdf</v>
      </c>
    </row>
    <row r="2941" spans="1:28" x14ac:dyDescent="0.25">
      <c r="A2941" t="s">
        <v>2945</v>
      </c>
      <c r="B2941">
        <v>0.99999676499088797</v>
      </c>
      <c r="C2941">
        <v>0.96326975214139499</v>
      </c>
      <c r="D2941">
        <v>0.97309670698780704</v>
      </c>
      <c r="E2941">
        <v>0.89453052652657306</v>
      </c>
      <c r="F2941">
        <v>0.62243137646377</v>
      </c>
      <c r="G2941">
        <v>0.27027245255230797</v>
      </c>
      <c r="H2941">
        <v>0.117619638125985</v>
      </c>
      <c r="I2941">
        <v>9.1230270596017599E-2</v>
      </c>
      <c r="J2941">
        <v>8.1666121034310604E-2</v>
      </c>
      <c r="K2941">
        <v>7.3278943654288706E-2</v>
      </c>
      <c r="L2941">
        <v>1328.41832559822</v>
      </c>
      <c r="M2941">
        <v>24.634205857800801</v>
      </c>
      <c r="N2941">
        <v>54.255634346564499</v>
      </c>
      <c r="O2941">
        <v>53.574175802060601</v>
      </c>
      <c r="P2941">
        <v>-0.106960332009742</v>
      </c>
      <c r="Q2941">
        <v>6.9549209691010597E-2</v>
      </c>
      <c r="R2941">
        <v>0.998919531399584</v>
      </c>
      <c r="S2941" t="s">
        <v>9944</v>
      </c>
      <c r="T2941" t="s">
        <v>14004</v>
      </c>
      <c r="U2941" t="s">
        <v>14004</v>
      </c>
      <c r="V2941" t="s">
        <v>14004</v>
      </c>
      <c r="W2941" t="s">
        <v>16904</v>
      </c>
      <c r="X2941">
        <v>14</v>
      </c>
      <c r="Y2941" t="s">
        <v>23778</v>
      </c>
      <c r="Z2941" t="s">
        <v>30651</v>
      </c>
      <c r="AA2941">
        <v>0.51029943233922281</v>
      </c>
      <c r="AB2941" t="str">
        <f>HYPERLINK("Melting_Curves/meltCurve_P53602_MVD.pdf", "Melting_Curves/meltCurve_P53602_MVD.pdf")</f>
        <v>Melting_Curves/meltCurve_P53602_MVD.pdf</v>
      </c>
    </row>
    <row r="2942" spans="1:28" x14ac:dyDescent="0.25">
      <c r="A2942" t="s">
        <v>2946</v>
      </c>
      <c r="B2942">
        <v>0.99999676499088797</v>
      </c>
      <c r="C2942">
        <v>1.0238668805703799</v>
      </c>
      <c r="D2942">
        <v>0.89905458105851499</v>
      </c>
      <c r="E2942">
        <v>1.05345409287286</v>
      </c>
      <c r="F2942">
        <v>0.59535478276308196</v>
      </c>
      <c r="G2942">
        <v>0.19890859505445099</v>
      </c>
      <c r="H2942">
        <v>8.5996401280738904E-2</v>
      </c>
      <c r="I2942">
        <v>9.3238036626030099E-2</v>
      </c>
      <c r="J2942">
        <v>6.9986756969236494E-2</v>
      </c>
      <c r="K2942">
        <v>6.1196722555310001E-2</v>
      </c>
      <c r="L2942">
        <v>2228.0950605524699</v>
      </c>
      <c r="M2942">
        <v>41.5443597814455</v>
      </c>
      <c r="N2942">
        <v>53.863420836424098</v>
      </c>
      <c r="O2942">
        <v>53.507908573138103</v>
      </c>
      <c r="P2942">
        <v>-0.17822235147513299</v>
      </c>
      <c r="Q2942">
        <v>8.1821416367016397E-2</v>
      </c>
      <c r="R2942">
        <v>0.98892177445634299</v>
      </c>
      <c r="S2942" t="s">
        <v>9945</v>
      </c>
      <c r="T2942" t="s">
        <v>14004</v>
      </c>
      <c r="U2942" t="s">
        <v>14004</v>
      </c>
      <c r="V2942" t="s">
        <v>14004</v>
      </c>
      <c r="W2942" t="s">
        <v>16905</v>
      </c>
      <c r="X2942">
        <v>6</v>
      </c>
      <c r="Y2942" t="s">
        <v>23779</v>
      </c>
      <c r="Z2942" t="s">
        <v>30652</v>
      </c>
      <c r="AA2942">
        <v>0.50218290572456958</v>
      </c>
      <c r="AB2942" t="str">
        <f>HYPERLINK("Melting_Curves/meltCurve_P53609_PGGT1B.pdf", "Melting_Curves/meltCurve_P53609_PGGT1B.pdf")</f>
        <v>Melting_Curves/meltCurve_P53609_PGGT1B.pdf</v>
      </c>
    </row>
    <row r="2943" spans="1:28" x14ac:dyDescent="0.25">
      <c r="A2943" t="s">
        <v>2947</v>
      </c>
      <c r="B2943">
        <v>0.99999676499088797</v>
      </c>
      <c r="C2943">
        <v>0.98854424458632995</v>
      </c>
      <c r="D2943">
        <v>1.0136014340714199</v>
      </c>
      <c r="E2943">
        <v>1.04084401900574</v>
      </c>
      <c r="F2943">
        <v>0.57743226188004404</v>
      </c>
      <c r="G2943">
        <v>0.31307774748827899</v>
      </c>
      <c r="H2943">
        <v>0.142956718177881</v>
      </c>
      <c r="I2943">
        <v>9.9822313539285196E-2</v>
      </c>
      <c r="J2943">
        <v>8.1993971581911407E-2</v>
      </c>
      <c r="K2943">
        <v>9.0574710800834096E-2</v>
      </c>
      <c r="L2943">
        <v>1604.50916216562</v>
      </c>
      <c r="M2943">
        <v>29.760263729882102</v>
      </c>
      <c r="N2943">
        <v>54.319370113670701</v>
      </c>
      <c r="O2943">
        <v>53.672812380303398</v>
      </c>
      <c r="P2943">
        <v>-0.124830770098112</v>
      </c>
      <c r="Q2943">
        <v>9.9474095248325206E-2</v>
      </c>
      <c r="R2943">
        <v>0.98924777390478202</v>
      </c>
      <c r="S2943" t="s">
        <v>9946</v>
      </c>
      <c r="T2943" t="s">
        <v>14004</v>
      </c>
      <c r="U2943" t="s">
        <v>14004</v>
      </c>
      <c r="V2943" t="s">
        <v>14004</v>
      </c>
      <c r="W2943" t="s">
        <v>16906</v>
      </c>
      <c r="X2943">
        <v>5</v>
      </c>
      <c r="Y2943" t="s">
        <v>23780</v>
      </c>
      <c r="Z2943" t="s">
        <v>30653</v>
      </c>
      <c r="AA2943">
        <v>0.52315409517719869</v>
      </c>
      <c r="AB2943" t="str">
        <f>HYPERLINK("Melting_Curves/meltCurve_P53611_RABGGTB.pdf", "Melting_Curves/meltCurve_P53611_RABGGTB.pdf")</f>
        <v>Melting_Curves/meltCurve_P53611_RABGGTB.pdf</v>
      </c>
    </row>
    <row r="2944" spans="1:28" x14ac:dyDescent="0.25">
      <c r="A2944" t="s">
        <v>2948</v>
      </c>
      <c r="B2944">
        <v>0.99999676499088797</v>
      </c>
      <c r="C2944">
        <v>1.0654439231177999</v>
      </c>
      <c r="D2944">
        <v>1.12706079617711</v>
      </c>
      <c r="E2944">
        <v>1.32501642146104</v>
      </c>
      <c r="F2944">
        <v>0.77700955987231402</v>
      </c>
      <c r="G2944">
        <v>0.28476336931663698</v>
      </c>
      <c r="H2944">
        <v>0.112632736204986</v>
      </c>
      <c r="I2944">
        <v>8.68390276100416E-2</v>
      </c>
      <c r="J2944">
        <v>7.3297266287004698E-2</v>
      </c>
      <c r="K2944">
        <v>7.1408700727258398E-2</v>
      </c>
      <c r="L2944">
        <v>2367.1314278012601</v>
      </c>
      <c r="M2944">
        <v>43.090498759326103</v>
      </c>
      <c r="N2944">
        <v>55.171951342133802</v>
      </c>
      <c r="O2944">
        <v>54.816035685212498</v>
      </c>
      <c r="P2944">
        <v>-0.17985545320916899</v>
      </c>
      <c r="Q2944">
        <v>8.4814721964666606E-2</v>
      </c>
      <c r="R2944">
        <v>0.94311614154623002</v>
      </c>
      <c r="S2944" t="s">
        <v>9947</v>
      </c>
      <c r="T2944" t="s">
        <v>14004</v>
      </c>
      <c r="U2944" t="s">
        <v>14004</v>
      </c>
      <c r="V2944" t="s">
        <v>14004</v>
      </c>
      <c r="W2944" t="s">
        <v>16576</v>
      </c>
      <c r="X2944">
        <v>45</v>
      </c>
      <c r="Y2944" t="s">
        <v>23781</v>
      </c>
      <c r="Z2944" t="s">
        <v>30654</v>
      </c>
      <c r="AA2944">
        <v>0.54337791947202663</v>
      </c>
      <c r="AB2944" t="str">
        <f>HYPERLINK("Melting_Curves/meltCurve_P53618_COPB1.pdf", "Melting_Curves/meltCurve_P53618_COPB1.pdf")</f>
        <v>Melting_Curves/meltCurve_P53618_COPB1.pdf</v>
      </c>
    </row>
    <row r="2945" spans="1:28" x14ac:dyDescent="0.25">
      <c r="A2945" t="s">
        <v>2949</v>
      </c>
      <c r="B2945">
        <v>0.99999676499088797</v>
      </c>
      <c r="C2945">
        <v>1.1432788960704099</v>
      </c>
      <c r="D2945">
        <v>1.16389670772586</v>
      </c>
      <c r="E2945">
        <v>1.3074484368949899</v>
      </c>
      <c r="F2945">
        <v>0.48517753056969198</v>
      </c>
      <c r="G2945">
        <v>0.196978528168749</v>
      </c>
      <c r="H2945">
        <v>8.8765892532212398E-2</v>
      </c>
      <c r="I2945">
        <v>8.4342647349337205E-2</v>
      </c>
      <c r="J2945">
        <v>7.7545996751318805E-2</v>
      </c>
      <c r="K2945">
        <v>7.3386776844476698E-2</v>
      </c>
      <c r="L2945">
        <v>11208.3749090167</v>
      </c>
      <c r="M2945">
        <v>210.98482653507301</v>
      </c>
      <c r="N2945">
        <v>53.183010769555104</v>
      </c>
      <c r="O2945">
        <v>53.119307605484202</v>
      </c>
      <c r="P2945">
        <v>-0.88950442290870901</v>
      </c>
      <c r="Q2945">
        <v>0.10420365891227901</v>
      </c>
      <c r="R2945">
        <v>0.93917507749658202</v>
      </c>
      <c r="S2945" t="s">
        <v>9948</v>
      </c>
      <c r="T2945" t="s">
        <v>14004</v>
      </c>
      <c r="U2945" t="s">
        <v>14004</v>
      </c>
      <c r="V2945" t="s">
        <v>14004</v>
      </c>
      <c r="W2945" t="s">
        <v>16907</v>
      </c>
      <c r="X2945">
        <v>52</v>
      </c>
      <c r="Y2945" t="s">
        <v>23782</v>
      </c>
      <c r="Z2945" t="s">
        <v>30655</v>
      </c>
      <c r="AA2945">
        <v>0.49620437289745312</v>
      </c>
      <c r="AB2945" t="str">
        <f>HYPERLINK("Melting_Curves/meltCurve_P53621_COPA.pdf", "Melting_Curves/meltCurve_P53621_COPA.pdf")</f>
        <v>Melting_Curves/meltCurve_P53621_COPA.pdf</v>
      </c>
    </row>
    <row r="2946" spans="1:28" x14ac:dyDescent="0.25">
      <c r="A2946" t="s">
        <v>2950</v>
      </c>
      <c r="B2946">
        <v>0.99999676499088797</v>
      </c>
      <c r="C2946">
        <v>1.0801723906804299</v>
      </c>
      <c r="D2946">
        <v>1.0706974724909899</v>
      </c>
      <c r="E2946">
        <v>1.1124796676495401</v>
      </c>
      <c r="F2946">
        <v>1.20572629809009</v>
      </c>
      <c r="G2946">
        <v>1.1369760426404101</v>
      </c>
      <c r="H2946">
        <v>0.64177470805133296</v>
      </c>
      <c r="I2946">
        <v>0.32168892212477002</v>
      </c>
      <c r="J2946">
        <v>0.25354023639530798</v>
      </c>
      <c r="K2946">
        <v>0.29684244483406702</v>
      </c>
      <c r="L2946">
        <v>5965.6765883162798</v>
      </c>
      <c r="M2946">
        <v>98.126574671083304</v>
      </c>
      <c r="N2946">
        <v>61.334078760445003</v>
      </c>
      <c r="O2946">
        <v>60.7705020787308</v>
      </c>
      <c r="P2946">
        <v>-0.28713908107620001</v>
      </c>
      <c r="Q2946">
        <v>0.28869088632911299</v>
      </c>
      <c r="R2946">
        <v>0.93625539096754895</v>
      </c>
      <c r="S2946" t="s">
        <v>9949</v>
      </c>
      <c r="T2946" t="s">
        <v>14004</v>
      </c>
      <c r="U2946" t="s">
        <v>14004</v>
      </c>
      <c r="V2946" t="s">
        <v>14004</v>
      </c>
      <c r="W2946" t="s">
        <v>16908</v>
      </c>
      <c r="X2946">
        <v>9</v>
      </c>
      <c r="Y2946" t="s">
        <v>23783</v>
      </c>
      <c r="Z2946" t="s">
        <v>30656</v>
      </c>
      <c r="AA2946">
        <v>0.78225709535675603</v>
      </c>
      <c r="AB2946" t="str">
        <f>HYPERLINK("Melting_Curves/meltCurve_P53634_CTSC.pdf", "Melting_Curves/meltCurve_P53634_CTSC.pdf")</f>
        <v>Melting_Curves/meltCurve_P53634_CTSC.pdf</v>
      </c>
    </row>
    <row r="2947" spans="1:28" x14ac:dyDescent="0.25">
      <c r="A2947" t="s">
        <v>2951</v>
      </c>
      <c r="B2947">
        <v>0.99999676499088797</v>
      </c>
      <c r="C2947">
        <v>1.06764670231668</v>
      </c>
      <c r="D2947">
        <v>1.0938238096421999</v>
      </c>
      <c r="E2947">
        <v>0.91328616289947395</v>
      </c>
      <c r="F2947">
        <v>0.269885874248252</v>
      </c>
      <c r="G2947">
        <v>0.236197332131413</v>
      </c>
      <c r="H2947">
        <v>9.71040789236573E-2</v>
      </c>
      <c r="I2947">
        <v>0.109658969642244</v>
      </c>
      <c r="J2947">
        <v>0.101138481873254</v>
      </c>
      <c r="K2947">
        <v>0.106225296110975</v>
      </c>
      <c r="L2947">
        <v>2718.4158973557101</v>
      </c>
      <c r="M2947">
        <v>52.652585622728999</v>
      </c>
      <c r="N2947">
        <v>51.918140232966699</v>
      </c>
      <c r="O2947">
        <v>51.554988048717703</v>
      </c>
      <c r="P2947">
        <v>-0.22290610504318301</v>
      </c>
      <c r="Q2947">
        <v>0.126963138522595</v>
      </c>
      <c r="R2947">
        <v>0.98566794403424296</v>
      </c>
      <c r="S2947" t="s">
        <v>9950</v>
      </c>
      <c r="T2947" t="s">
        <v>14004</v>
      </c>
      <c r="U2947" t="s">
        <v>14004</v>
      </c>
      <c r="V2947" t="s">
        <v>14004</v>
      </c>
      <c r="W2947" t="s">
        <v>16909</v>
      </c>
      <c r="X2947">
        <v>18</v>
      </c>
      <c r="Y2947" t="s">
        <v>23784</v>
      </c>
      <c r="Z2947" t="s">
        <v>30657</v>
      </c>
      <c r="AA2947">
        <v>0.4671818419654537</v>
      </c>
      <c r="AB2947" t="str">
        <f>HYPERLINK("Melting_Curves/meltCurve_P53675_2_CLTCL1.pdf", "Melting_Curves/meltCurve_P53675_2_CLTCL1.pdf")</f>
        <v>Melting_Curves/meltCurve_P53675_2_CLTCL1.pdf</v>
      </c>
    </row>
    <row r="2948" spans="1:28" x14ac:dyDescent="0.25">
      <c r="A2948" t="s">
        <v>2952</v>
      </c>
      <c r="B2948">
        <v>0.99999676499088797</v>
      </c>
      <c r="C2948">
        <v>0.91438718077831804</v>
      </c>
      <c r="D2948">
        <v>0.89467071820364896</v>
      </c>
      <c r="E2948">
        <v>0.85240314908358705</v>
      </c>
      <c r="F2948">
        <v>0.67643239778368003</v>
      </c>
      <c r="G2948">
        <v>0.477929903321203</v>
      </c>
      <c r="H2948">
        <v>0.235543036980217</v>
      </c>
      <c r="I2948">
        <v>0.166077129925045</v>
      </c>
      <c r="J2948">
        <v>0.16376529095700301</v>
      </c>
      <c r="K2948">
        <v>0.11697362253921301</v>
      </c>
      <c r="L2948">
        <v>722.70590666910095</v>
      </c>
      <c r="M2948">
        <v>13.001717728052901</v>
      </c>
      <c r="N2948">
        <v>55.979325579231798</v>
      </c>
      <c r="O2948">
        <v>54.319756046831699</v>
      </c>
      <c r="P2948">
        <v>-5.72331019703297E-2</v>
      </c>
      <c r="Q2948">
        <v>4.3714246578930797E-2</v>
      </c>
      <c r="R2948">
        <v>0.99043484933930004</v>
      </c>
      <c r="S2948" t="s">
        <v>9951</v>
      </c>
      <c r="T2948" t="s">
        <v>14004</v>
      </c>
      <c r="U2948" t="s">
        <v>14004</v>
      </c>
      <c r="V2948" t="s">
        <v>14004</v>
      </c>
      <c r="W2948" t="s">
        <v>16910</v>
      </c>
      <c r="X2948">
        <v>16</v>
      </c>
      <c r="Y2948" t="s">
        <v>23785</v>
      </c>
      <c r="Z2948" t="s">
        <v>30658</v>
      </c>
      <c r="AA2948">
        <v>0.56030195906935032</v>
      </c>
      <c r="AB2948" t="str">
        <f>HYPERLINK("Melting_Curves/meltCurve_P53701_HCCS.pdf", "Melting_Curves/meltCurve_P53701_HCCS.pdf")</f>
        <v>Melting_Curves/meltCurve_P53701_HCCS.pdf</v>
      </c>
    </row>
    <row r="2949" spans="1:28" x14ac:dyDescent="0.25">
      <c r="A2949" t="s">
        <v>2953</v>
      </c>
      <c r="B2949">
        <v>0.99999676499088797</v>
      </c>
      <c r="C2949">
        <v>1.0573302386152399</v>
      </c>
      <c r="D2949">
        <v>1.0750571671897999</v>
      </c>
      <c r="E2949">
        <v>1.1348659285828999</v>
      </c>
      <c r="F2949">
        <v>0.54164033385024202</v>
      </c>
      <c r="G2949">
        <v>0.16718803087419301</v>
      </c>
      <c r="H2949">
        <v>5.2415949198142298E-2</v>
      </c>
      <c r="I2949">
        <v>4.9252153791526698E-2</v>
      </c>
      <c r="J2949">
        <v>5.42039088965586E-2</v>
      </c>
      <c r="K2949">
        <v>3.42906270071947E-2</v>
      </c>
      <c r="L2949">
        <v>3287.0708868195702</v>
      </c>
      <c r="M2949">
        <v>61.696194012271597</v>
      </c>
      <c r="N2949">
        <v>53.401133792239897</v>
      </c>
      <c r="O2949">
        <v>53.222458921251601</v>
      </c>
      <c r="P2949">
        <v>-0.27063842129571902</v>
      </c>
      <c r="Q2949">
        <v>6.6131377432646493E-2</v>
      </c>
      <c r="R2949">
        <v>0.98283602107571599</v>
      </c>
      <c r="S2949" t="s">
        <v>9952</v>
      </c>
      <c r="T2949" t="s">
        <v>14004</v>
      </c>
      <c r="U2949" t="s">
        <v>14004</v>
      </c>
      <c r="V2949" t="s">
        <v>14004</v>
      </c>
      <c r="W2949" t="s">
        <v>16911</v>
      </c>
      <c r="X2949">
        <v>4</v>
      </c>
      <c r="Y2949" t="s">
        <v>23786</v>
      </c>
      <c r="Z2949" t="s">
        <v>30659</v>
      </c>
      <c r="AA2949">
        <v>0.48091091583040813</v>
      </c>
      <c r="AB2949" t="str">
        <f>HYPERLINK("Melting_Curves/meltCurve_P53778_MAPK12.pdf", "Melting_Curves/meltCurve_P53778_MAPK12.pdf")</f>
        <v>Melting_Curves/meltCurve_P53778_MAPK12.pdf</v>
      </c>
    </row>
    <row r="2950" spans="1:28" x14ac:dyDescent="0.25">
      <c r="A2950" t="s">
        <v>2954</v>
      </c>
      <c r="B2950">
        <v>0.99999676499088797</v>
      </c>
      <c r="C2950">
        <v>0.98814529364344295</v>
      </c>
      <c r="D2950">
        <v>1.0187150246709999</v>
      </c>
      <c r="E2950">
        <v>1.0096765800219001</v>
      </c>
      <c r="F2950">
        <v>1.1249196203993499</v>
      </c>
      <c r="G2950">
        <v>0.87108573775692599</v>
      </c>
      <c r="H2950">
        <v>0.55333335303307996</v>
      </c>
      <c r="I2950">
        <v>0.521624230089067</v>
      </c>
      <c r="J2950">
        <v>0.52812835879293796</v>
      </c>
      <c r="K2950">
        <v>0.45215682973627003</v>
      </c>
      <c r="L2950">
        <v>3097.7203766247699</v>
      </c>
      <c r="M2950">
        <v>53.372077957988097</v>
      </c>
      <c r="O2950">
        <v>57.958784261452699</v>
      </c>
      <c r="P2950">
        <v>-0.11462908504536599</v>
      </c>
      <c r="Q2950">
        <v>0.50207987674152099</v>
      </c>
      <c r="R2950">
        <v>0.96592179665726396</v>
      </c>
      <c r="S2950" t="s">
        <v>9953</v>
      </c>
      <c r="T2950" t="s">
        <v>14004</v>
      </c>
      <c r="U2950" t="s">
        <v>14004</v>
      </c>
      <c r="V2950" t="s">
        <v>14004</v>
      </c>
      <c r="W2950" t="s">
        <v>16912</v>
      </c>
      <c r="X2950">
        <v>2</v>
      </c>
      <c r="Y2950" t="s">
        <v>23787</v>
      </c>
      <c r="Z2950" t="s">
        <v>30660</v>
      </c>
      <c r="AA2950">
        <v>0.80261237397439278</v>
      </c>
      <c r="AB2950" t="str">
        <f>HYPERLINK("Melting_Curves/meltCurve_P53794_SLC5A3.pdf", "Melting_Curves/meltCurve_P53794_SLC5A3.pdf")</f>
        <v>Melting_Curves/meltCurve_P53794_SLC5A3.pdf</v>
      </c>
    </row>
    <row r="2951" spans="1:28" x14ac:dyDescent="0.25">
      <c r="A2951" t="s">
        <v>2955</v>
      </c>
      <c r="B2951">
        <v>0.99999676499088797</v>
      </c>
      <c r="C2951">
        <v>1.15589176378159</v>
      </c>
      <c r="D2951">
        <v>1.1171645930348599</v>
      </c>
      <c r="E2951">
        <v>1.1941992359891</v>
      </c>
      <c r="F2951">
        <v>0.86679961794002602</v>
      </c>
      <c r="G2951">
        <v>0.75847500958750402</v>
      </c>
      <c r="H2951">
        <v>0.56520987045599602</v>
      </c>
      <c r="I2951">
        <v>0.48318983983413399</v>
      </c>
      <c r="J2951">
        <v>0.52808403792485403</v>
      </c>
      <c r="K2951">
        <v>0.46633917682359</v>
      </c>
      <c r="L2951">
        <v>1593.8738709255999</v>
      </c>
      <c r="M2951">
        <v>28.0506761107196</v>
      </c>
      <c r="N2951">
        <v>65.064731604809296</v>
      </c>
      <c r="O2951">
        <v>56.534794649641</v>
      </c>
      <c r="P2951">
        <v>-6.3795896149215894E-2</v>
      </c>
      <c r="Q2951">
        <v>0.48569408295772099</v>
      </c>
      <c r="R2951">
        <v>0.88752144214972095</v>
      </c>
      <c r="S2951" t="s">
        <v>9954</v>
      </c>
      <c r="T2951" t="s">
        <v>14004</v>
      </c>
      <c r="U2951" t="s">
        <v>14004</v>
      </c>
      <c r="V2951" t="s">
        <v>14004</v>
      </c>
      <c r="W2951" t="s">
        <v>16913</v>
      </c>
      <c r="X2951">
        <v>4</v>
      </c>
      <c r="Y2951" t="s">
        <v>23788</v>
      </c>
      <c r="Z2951" t="s">
        <v>30661</v>
      </c>
      <c r="AA2951">
        <v>0.77792216951220827</v>
      </c>
      <c r="AB2951" t="str">
        <f>HYPERLINK("Melting_Curves/meltCurve_P53801_PTTG1IP.pdf", "Melting_Curves/meltCurve_P53801_PTTG1IP.pdf")</f>
        <v>Melting_Curves/meltCurve_P53801_PTTG1IP.pdf</v>
      </c>
    </row>
    <row r="2952" spans="1:28" x14ac:dyDescent="0.25">
      <c r="A2952" t="s">
        <v>2956</v>
      </c>
      <c r="B2952">
        <v>0.99999676499088797</v>
      </c>
      <c r="C2952">
        <v>0.88480062270175297</v>
      </c>
      <c r="D2952">
        <v>0.970730305645921</v>
      </c>
      <c r="E2952">
        <v>0.91348152539486605</v>
      </c>
      <c r="F2952">
        <v>0.76798678750639904</v>
      </c>
      <c r="G2952">
        <v>0.66907862379555605</v>
      </c>
      <c r="H2952">
        <v>0.37304861371690901</v>
      </c>
      <c r="I2952">
        <v>0.25451302832783301</v>
      </c>
      <c r="J2952">
        <v>0.21869681921597001</v>
      </c>
      <c r="K2952">
        <v>0.33499481791080099</v>
      </c>
      <c r="L2952">
        <v>956.29042497803403</v>
      </c>
      <c r="M2952">
        <v>16.9089299417817</v>
      </c>
      <c r="N2952">
        <v>58.505503549390603</v>
      </c>
      <c r="O2952">
        <v>55.782099006673597</v>
      </c>
      <c r="P2952">
        <v>-5.9459611759110902E-2</v>
      </c>
      <c r="Q2952">
        <v>0.21542711784861501</v>
      </c>
      <c r="R2952">
        <v>0.961249708150969</v>
      </c>
      <c r="S2952" t="s">
        <v>9955</v>
      </c>
      <c r="T2952" t="s">
        <v>14004</v>
      </c>
      <c r="U2952" t="s">
        <v>14004</v>
      </c>
      <c r="V2952" t="s">
        <v>14004</v>
      </c>
      <c r="W2952" t="s">
        <v>16914</v>
      </c>
      <c r="X2952">
        <v>4</v>
      </c>
      <c r="Y2952" t="s">
        <v>23789</v>
      </c>
      <c r="Z2952" t="s">
        <v>30662</v>
      </c>
      <c r="AA2952">
        <v>0.66026913562422285</v>
      </c>
      <c r="AB2952" t="str">
        <f>HYPERLINK("Melting_Curves/meltCurve_P53803_POLR2K.pdf", "Melting_Curves/meltCurve_P53803_POLR2K.pdf")</f>
        <v>Melting_Curves/meltCurve_P53803_POLR2K.pdf</v>
      </c>
    </row>
    <row r="2953" spans="1:28" x14ac:dyDescent="0.25">
      <c r="A2953" t="s">
        <v>2957</v>
      </c>
      <c r="B2953">
        <v>0.99999676499088797</v>
      </c>
      <c r="C2953">
        <v>0.87431639136005901</v>
      </c>
      <c r="D2953">
        <v>0.72225587605320396</v>
      </c>
      <c r="E2953">
        <v>0.41060541546912199</v>
      </c>
      <c r="F2953">
        <v>0.28793682438463097</v>
      </c>
      <c r="G2953">
        <v>0.19192219008091799</v>
      </c>
      <c r="H2953">
        <v>8.6915696847455995E-2</v>
      </c>
      <c r="I2953">
        <v>9.1558673817808606E-2</v>
      </c>
      <c r="J2953">
        <v>9.7976516103398706E-2</v>
      </c>
      <c r="K2953">
        <v>7.49016115111244E-2</v>
      </c>
      <c r="L2953">
        <v>738.71988788890496</v>
      </c>
      <c r="M2953">
        <v>15.2835259938024</v>
      </c>
      <c r="N2953">
        <v>48.861288532579202</v>
      </c>
      <c r="O2953">
        <v>47.529568417141903</v>
      </c>
      <c r="P2953">
        <v>-7.42890989193533E-2</v>
      </c>
      <c r="Q2953">
        <v>7.5973078115601403E-2</v>
      </c>
      <c r="R2953">
        <v>0.99488024638538297</v>
      </c>
      <c r="S2953" t="s">
        <v>9956</v>
      </c>
      <c r="T2953" t="s">
        <v>14004</v>
      </c>
      <c r="U2953" t="s">
        <v>14004</v>
      </c>
      <c r="V2953" t="s">
        <v>14004</v>
      </c>
      <c r="W2953" t="s">
        <v>16915</v>
      </c>
      <c r="X2953">
        <v>5</v>
      </c>
      <c r="Y2953" t="s">
        <v>23790</v>
      </c>
      <c r="Z2953" t="s">
        <v>30663</v>
      </c>
      <c r="AA2953">
        <v>0.35525978673844011</v>
      </c>
      <c r="AB2953" t="str">
        <f>HYPERLINK("Melting_Curves/meltCurve_P53814_5_SMTN.pdf", "Melting_Curves/meltCurve_P53814_5_SMTN.pdf")</f>
        <v>Melting_Curves/meltCurve_P53814_5_SMTN.pdf</v>
      </c>
    </row>
    <row r="2954" spans="1:28" x14ac:dyDescent="0.25">
      <c r="A2954" t="s">
        <v>2958</v>
      </c>
      <c r="B2954">
        <v>0.99999676499088797</v>
      </c>
      <c r="C2954">
        <v>0.86944883583046995</v>
      </c>
      <c r="D2954">
        <v>0.78752473793066702</v>
      </c>
      <c r="E2954">
        <v>0.75780884138558102</v>
      </c>
      <c r="F2954">
        <v>0.66849130502627296</v>
      </c>
      <c r="G2954">
        <v>0.62966685103357201</v>
      </c>
      <c r="H2954">
        <v>0.51876919004727096</v>
      </c>
      <c r="I2954">
        <v>0.48176706181986301</v>
      </c>
      <c r="J2954">
        <v>0.42627381393150199</v>
      </c>
      <c r="K2954">
        <v>0.55917984484056704</v>
      </c>
      <c r="L2954">
        <v>430.56549753267001</v>
      </c>
      <c r="M2954">
        <v>8.5214905819061801</v>
      </c>
      <c r="N2954">
        <v>65.932771781511804</v>
      </c>
      <c r="O2954">
        <v>47.974998675305002</v>
      </c>
      <c r="P2954">
        <v>-2.52571161768083E-2</v>
      </c>
      <c r="Q2954">
        <v>0.431728726834607</v>
      </c>
      <c r="R2954">
        <v>0.93495800693783604</v>
      </c>
      <c r="S2954" t="s">
        <v>9957</v>
      </c>
      <c r="T2954" t="s">
        <v>14004</v>
      </c>
      <c r="U2954" t="s">
        <v>14004</v>
      </c>
      <c r="V2954" t="s">
        <v>14004</v>
      </c>
      <c r="W2954" t="s">
        <v>16916</v>
      </c>
      <c r="X2954">
        <v>9</v>
      </c>
      <c r="Y2954" t="s">
        <v>23791</v>
      </c>
      <c r="Z2954" t="s">
        <v>30664</v>
      </c>
      <c r="AA2954">
        <v>0.66101000743968918</v>
      </c>
      <c r="AB2954" t="str">
        <f>HYPERLINK("Melting_Curves/meltCurve_P53985_SLC16A1.pdf", "Melting_Curves/meltCurve_P53985_SLC16A1.pdf")</f>
        <v>Melting_Curves/meltCurve_P53985_SLC16A1.pdf</v>
      </c>
    </row>
    <row r="2955" spans="1:28" x14ac:dyDescent="0.25">
      <c r="A2955" t="s">
        <v>2959</v>
      </c>
      <c r="B2955">
        <v>0.99999676499088797</v>
      </c>
      <c r="C2955">
        <v>0.87354484838157898</v>
      </c>
      <c r="D2955">
        <v>0.91163558013800705</v>
      </c>
      <c r="E2955">
        <v>0.51057264102453803</v>
      </c>
      <c r="F2955">
        <v>0.20567645801190601</v>
      </c>
      <c r="G2955">
        <v>0.155164240258578</v>
      </c>
      <c r="H2955">
        <v>8.5897361349846699E-2</v>
      </c>
      <c r="I2955">
        <v>8.5992875772818902E-2</v>
      </c>
      <c r="J2955">
        <v>8.7839012456751006E-2</v>
      </c>
      <c r="K2955">
        <v>9.0811782674184494E-2</v>
      </c>
      <c r="L2955">
        <v>1220.79977962629</v>
      </c>
      <c r="M2955">
        <v>24.731098214526501</v>
      </c>
      <c r="N2955">
        <v>49.756208280565602</v>
      </c>
      <c r="O2955">
        <v>49.043594142132299</v>
      </c>
      <c r="P2955">
        <v>-0.114876904014374</v>
      </c>
      <c r="Q2955">
        <v>8.8775376968844896E-2</v>
      </c>
      <c r="R2955">
        <v>0.98953904378374402</v>
      </c>
      <c r="S2955" t="s">
        <v>9958</v>
      </c>
      <c r="T2955" t="s">
        <v>14004</v>
      </c>
      <c r="U2955" t="s">
        <v>14004</v>
      </c>
      <c r="V2955" t="s">
        <v>14004</v>
      </c>
      <c r="W2955" t="s">
        <v>16917</v>
      </c>
      <c r="X2955">
        <v>9</v>
      </c>
      <c r="Y2955" t="s">
        <v>23792</v>
      </c>
      <c r="Z2955" t="s">
        <v>30665</v>
      </c>
      <c r="AA2955">
        <v>0.38144383756675959</v>
      </c>
      <c r="AB2955" t="str">
        <f>HYPERLINK("Melting_Curves/meltCurve_P53990_2_IST1.pdf", "Melting_Curves/meltCurve_P53990_2_IST1.pdf")</f>
        <v>Melting_Curves/meltCurve_P53990_2_IST1.pdf</v>
      </c>
    </row>
    <row r="2956" spans="1:28" x14ac:dyDescent="0.25">
      <c r="A2956" t="s">
        <v>2960</v>
      </c>
      <c r="B2956">
        <v>0.99999676499088797</v>
      </c>
      <c r="C2956">
        <v>1.0136828568056599</v>
      </c>
      <c r="D2956">
        <v>0.95146353346874601</v>
      </c>
      <c r="E2956">
        <v>0.60160186662566495</v>
      </c>
      <c r="F2956">
        <v>0.18083004957198001</v>
      </c>
      <c r="G2956">
        <v>0.12455123368125499</v>
      </c>
      <c r="H2956">
        <v>5.75232898337871E-2</v>
      </c>
      <c r="I2956">
        <v>6.1113239691562599E-2</v>
      </c>
      <c r="J2956">
        <v>5.5261087838307403E-2</v>
      </c>
      <c r="K2956">
        <v>5.8123450177979603E-2</v>
      </c>
      <c r="L2956">
        <v>1591.3990998325701</v>
      </c>
      <c r="M2956">
        <v>31.783296704300898</v>
      </c>
      <c r="N2956">
        <v>50.288790506987702</v>
      </c>
      <c r="O2956">
        <v>49.8733302687004</v>
      </c>
      <c r="P2956">
        <v>-0.14904626967343501</v>
      </c>
      <c r="Q2956">
        <v>6.4490295889629706E-2</v>
      </c>
      <c r="R2956">
        <v>0.99868416080912503</v>
      </c>
      <c r="S2956" t="s">
        <v>9959</v>
      </c>
      <c r="T2956" t="s">
        <v>14004</v>
      </c>
      <c r="U2956" t="s">
        <v>14004</v>
      </c>
      <c r="V2956" t="s">
        <v>14004</v>
      </c>
      <c r="W2956" t="s">
        <v>16918</v>
      </c>
      <c r="X2956">
        <v>31</v>
      </c>
      <c r="Y2956" t="s">
        <v>23793</v>
      </c>
      <c r="Z2956" t="s">
        <v>30666</v>
      </c>
      <c r="AA2956">
        <v>0.38367334595567548</v>
      </c>
      <c r="AB2956" t="str">
        <f>HYPERLINK("Melting_Curves/meltCurve_P53992_SEC24C.pdf", "Melting_Curves/meltCurve_P53992_SEC24C.pdf")</f>
        <v>Melting_Curves/meltCurve_P53992_SEC24C.pdf</v>
      </c>
    </row>
    <row r="2957" spans="1:28" x14ac:dyDescent="0.25">
      <c r="A2957" t="s">
        <v>2961</v>
      </c>
      <c r="B2957">
        <v>0.99999676499088797</v>
      </c>
      <c r="C2957">
        <v>1.0662344962194401</v>
      </c>
      <c r="D2957">
        <v>1.0009638129748599</v>
      </c>
      <c r="E2957">
        <v>0.92127906873391496</v>
      </c>
      <c r="F2957">
        <v>0.74942071473004701</v>
      </c>
      <c r="G2957">
        <v>0.56130307526424805</v>
      </c>
      <c r="H2957">
        <v>0.26287193917861101</v>
      </c>
      <c r="I2957">
        <v>0.23345642267560399</v>
      </c>
      <c r="J2957">
        <v>0.23315807077055301</v>
      </c>
      <c r="K2957">
        <v>0.20099117535028699</v>
      </c>
      <c r="L2957">
        <v>1114.4791382436899</v>
      </c>
      <c r="M2957">
        <v>20.0041604643115</v>
      </c>
      <c r="N2957">
        <v>57.013191174948702</v>
      </c>
      <c r="O2957">
        <v>55.1645859757095</v>
      </c>
      <c r="P2957">
        <v>-7.4048489451044697E-2</v>
      </c>
      <c r="Q2957">
        <v>0.18322573401932499</v>
      </c>
      <c r="R2957">
        <v>0.99103199640622797</v>
      </c>
      <c r="S2957" t="s">
        <v>9960</v>
      </c>
      <c r="T2957" t="s">
        <v>14004</v>
      </c>
      <c r="U2957" t="s">
        <v>14004</v>
      </c>
      <c r="V2957" t="s">
        <v>14004</v>
      </c>
      <c r="W2957" t="s">
        <v>16919</v>
      </c>
      <c r="X2957">
        <v>16</v>
      </c>
      <c r="Y2957" t="s">
        <v>23794</v>
      </c>
      <c r="Z2957" t="s">
        <v>30667</v>
      </c>
      <c r="AA2957">
        <v>0.6216429279630542</v>
      </c>
      <c r="AB2957" t="str">
        <f>HYPERLINK("Melting_Curves/meltCurve_P53999_SUB1.pdf", "Melting_Curves/meltCurve_P53999_SUB1.pdf")</f>
        <v>Melting_Curves/meltCurve_P53999_SUB1.pdf</v>
      </c>
    </row>
    <row r="2958" spans="1:28" x14ac:dyDescent="0.25">
      <c r="A2958" t="s">
        <v>2962</v>
      </c>
      <c r="B2958">
        <v>0.99999676499088797</v>
      </c>
      <c r="C2958">
        <v>0.92286330511917403</v>
      </c>
      <c r="D2958">
        <v>0.66208941282912803</v>
      </c>
      <c r="E2958">
        <v>0.45825313509563598</v>
      </c>
      <c r="F2958">
        <v>0.26436797127670503</v>
      </c>
      <c r="G2958">
        <v>0.19226331434539301</v>
      </c>
      <c r="H2958">
        <v>0.11395349104889101</v>
      </c>
      <c r="I2958">
        <v>0.13577845124353899</v>
      </c>
      <c r="J2958">
        <v>0.123752814563746</v>
      </c>
      <c r="K2958">
        <v>0.10570296873776901</v>
      </c>
      <c r="L2958">
        <v>785.74864372555498</v>
      </c>
      <c r="M2958">
        <v>16.369685334441499</v>
      </c>
      <c r="N2958">
        <v>48.747714765976703</v>
      </c>
      <c r="O2958">
        <v>47.301048451579099</v>
      </c>
      <c r="P2958">
        <v>-7.6921077238928506E-2</v>
      </c>
      <c r="Q2958">
        <v>0.110994092067411</v>
      </c>
      <c r="R2958">
        <v>0.99476393351991699</v>
      </c>
      <c r="S2958" t="s">
        <v>9961</v>
      </c>
      <c r="T2958" t="s">
        <v>14004</v>
      </c>
      <c r="U2958" t="s">
        <v>14004</v>
      </c>
      <c r="V2958" t="s">
        <v>14004</v>
      </c>
      <c r="W2958" t="s">
        <v>16920</v>
      </c>
      <c r="X2958">
        <v>7</v>
      </c>
      <c r="Y2958" t="s">
        <v>23795</v>
      </c>
      <c r="Z2958" t="s">
        <v>30668</v>
      </c>
      <c r="AA2958">
        <v>0.36725985153162027</v>
      </c>
      <c r="AB2958" t="str">
        <f>HYPERLINK("Melting_Curves/meltCurve_P54098_POLG.pdf", "Melting_Curves/meltCurve_P54098_POLG.pdf")</f>
        <v>Melting_Curves/meltCurve_P54098_POLG.pdf</v>
      </c>
    </row>
    <row r="2959" spans="1:28" x14ac:dyDescent="0.25">
      <c r="A2959" t="s">
        <v>2963</v>
      </c>
      <c r="B2959">
        <v>0.99999676499088797</v>
      </c>
      <c r="C2959">
        <v>1.03014311293065</v>
      </c>
      <c r="D2959">
        <v>0.72083294550099897</v>
      </c>
      <c r="E2959">
        <v>0.223296595549032</v>
      </c>
      <c r="F2959">
        <v>0.16289627650577801</v>
      </c>
      <c r="G2959">
        <v>9.6668064362827696E-2</v>
      </c>
      <c r="H2959">
        <v>5.0158276157675499E-2</v>
      </c>
      <c r="I2959">
        <v>5.0078802071726602E-2</v>
      </c>
      <c r="J2959">
        <v>5.2024461021412401E-2</v>
      </c>
      <c r="K2959">
        <v>4.2683860250533903E-2</v>
      </c>
      <c r="L2959">
        <v>1556.98550594059</v>
      </c>
      <c r="M2959">
        <v>32.938256980585201</v>
      </c>
      <c r="N2959">
        <v>47.485029813463399</v>
      </c>
      <c r="O2959">
        <v>47.096584134811103</v>
      </c>
      <c r="P2959">
        <v>-0.16272178724136299</v>
      </c>
      <c r="Q2959">
        <v>6.9336363343614399E-2</v>
      </c>
      <c r="R2959">
        <v>0.992449625260308</v>
      </c>
      <c r="S2959" t="s">
        <v>9962</v>
      </c>
      <c r="T2959" t="s">
        <v>14004</v>
      </c>
      <c r="U2959" t="s">
        <v>14004</v>
      </c>
      <c r="V2959" t="s">
        <v>14004</v>
      </c>
      <c r="W2959" t="s">
        <v>16921</v>
      </c>
      <c r="X2959">
        <v>25</v>
      </c>
      <c r="Y2959" t="s">
        <v>23796</v>
      </c>
      <c r="Z2959" t="s">
        <v>30669</v>
      </c>
      <c r="AA2959">
        <v>0.29944036429900989</v>
      </c>
      <c r="AB2959" t="str">
        <f>HYPERLINK("Melting_Curves/meltCurve_P54136_RARS.pdf", "Melting_Curves/meltCurve_P54136_RARS.pdf")</f>
        <v>Melting_Curves/meltCurve_P54136_RARS.pdf</v>
      </c>
    </row>
    <row r="2960" spans="1:28" x14ac:dyDescent="0.25">
      <c r="A2960" t="s">
        <v>2964</v>
      </c>
      <c r="B2960">
        <v>0.99999676499088797</v>
      </c>
      <c r="C2960">
        <v>0.91263771840249397</v>
      </c>
      <c r="D2960">
        <v>0.71884028383812304</v>
      </c>
      <c r="E2960">
        <v>0.29899060241251901</v>
      </c>
      <c r="F2960">
        <v>0.24190268446192101</v>
      </c>
      <c r="G2960">
        <v>0.14988749275237001</v>
      </c>
      <c r="H2960">
        <v>0.10632963805467301</v>
      </c>
      <c r="I2960">
        <v>7.8812258088510403E-2</v>
      </c>
      <c r="J2960">
        <v>8.6181983379451793E-2</v>
      </c>
      <c r="K2960">
        <v>7.3337799231633694E-2</v>
      </c>
      <c r="L2960">
        <v>1015.38373212031</v>
      </c>
      <c r="M2960">
        <v>21.3935405187712</v>
      </c>
      <c r="N2960">
        <v>47.9403905708065</v>
      </c>
      <c r="O2960">
        <v>47.0532865201316</v>
      </c>
      <c r="P2960">
        <v>-0.10274762730669899</v>
      </c>
      <c r="Q2960">
        <v>9.6083284976751004E-2</v>
      </c>
      <c r="R2960">
        <v>0.99191768654046697</v>
      </c>
      <c r="S2960" t="s">
        <v>9963</v>
      </c>
      <c r="T2960" t="s">
        <v>14004</v>
      </c>
      <c r="U2960" t="s">
        <v>14004</v>
      </c>
      <c r="V2960" t="s">
        <v>14004</v>
      </c>
      <c r="W2960" t="s">
        <v>16922</v>
      </c>
      <c r="X2960">
        <v>25</v>
      </c>
      <c r="Y2960" t="s">
        <v>23796</v>
      </c>
      <c r="Z2960" t="s">
        <v>30670</v>
      </c>
      <c r="AA2960">
        <v>0.33216959376791161</v>
      </c>
      <c r="AB2960" t="str">
        <f>HYPERLINK("Melting_Curves/meltCurve_P54136_2_RARS.pdf", "Melting_Curves/meltCurve_P54136_2_RARS.pdf")</f>
        <v>Melting_Curves/meltCurve_P54136_2_RARS.pdf</v>
      </c>
    </row>
    <row r="2961" spans="1:28" x14ac:dyDescent="0.25">
      <c r="A2961" t="s">
        <v>2965</v>
      </c>
      <c r="B2961">
        <v>0.99999676499088797</v>
      </c>
      <c r="C2961">
        <v>1.0087771047362799</v>
      </c>
      <c r="D2961">
        <v>0.91639915051355303</v>
      </c>
      <c r="E2961">
        <v>0.75857311888581302</v>
      </c>
      <c r="F2961">
        <v>0.83546849734863304</v>
      </c>
      <c r="G2961">
        <v>0.48092394060687099</v>
      </c>
      <c r="H2961">
        <v>0.145326239795595</v>
      </c>
      <c r="I2961">
        <v>6.1586221622815497E-2</v>
      </c>
      <c r="J2961">
        <v>5.9624151854185597E-2</v>
      </c>
      <c r="K2961">
        <v>0</v>
      </c>
      <c r="L2961">
        <v>1073.76187305693</v>
      </c>
      <c r="M2961">
        <v>19.081968431097199</v>
      </c>
      <c r="N2961">
        <v>56.2710223690205</v>
      </c>
      <c r="O2961">
        <v>55.663949967087198</v>
      </c>
      <c r="P2961">
        <v>-8.5705003889025896E-2</v>
      </c>
      <c r="Q2961">
        <v>0</v>
      </c>
      <c r="R2961">
        <v>0.97166541110040305</v>
      </c>
      <c r="S2961" t="s">
        <v>9964</v>
      </c>
      <c r="T2961" t="s">
        <v>14004</v>
      </c>
      <c r="U2961" t="s">
        <v>14004</v>
      </c>
      <c r="V2961" t="s">
        <v>14004</v>
      </c>
      <c r="W2961" t="s">
        <v>16923</v>
      </c>
      <c r="X2961">
        <v>1</v>
      </c>
      <c r="Y2961" t="s">
        <v>23797</v>
      </c>
      <c r="Z2961" t="s">
        <v>30671</v>
      </c>
      <c r="AA2961">
        <v>0.55588547294741231</v>
      </c>
      <c r="AB2961" t="str">
        <f>HYPERLINK("Melting_Curves/meltCurve_P54259_ATN1.pdf", "Melting_Curves/meltCurve_P54259_ATN1.pdf")</f>
        <v>Melting_Curves/meltCurve_P54259_ATN1.pdf</v>
      </c>
    </row>
    <row r="2962" spans="1:28" x14ac:dyDescent="0.25">
      <c r="A2962" t="s">
        <v>2966</v>
      </c>
      <c r="B2962">
        <v>0.99999676499088797</v>
      </c>
      <c r="C2962">
        <v>0.86033220964913204</v>
      </c>
      <c r="D2962">
        <v>0.61450143698742499</v>
      </c>
      <c r="E2962">
        <v>0.29488198613414501</v>
      </c>
      <c r="F2962">
        <v>0.20088286791353199</v>
      </c>
      <c r="G2962">
        <v>0.13008233865368399</v>
      </c>
      <c r="H2962">
        <v>6.5835499528828695E-2</v>
      </c>
      <c r="I2962">
        <v>7.0017004732549196E-2</v>
      </c>
      <c r="J2962">
        <v>7.2014119140583005E-2</v>
      </c>
      <c r="K2962">
        <v>6.9001007281636204E-2</v>
      </c>
      <c r="L2962">
        <v>877.25686836421505</v>
      </c>
      <c r="M2962">
        <v>18.7175054277361</v>
      </c>
      <c r="N2962">
        <v>47.2684516902452</v>
      </c>
      <c r="O2962">
        <v>46.343112389450503</v>
      </c>
      <c r="P2962">
        <v>-9.3577552677369502E-2</v>
      </c>
      <c r="Q2962">
        <v>7.3275728220727698E-2</v>
      </c>
      <c r="R2962">
        <v>0.99626944834590503</v>
      </c>
      <c r="S2962" t="s">
        <v>9965</v>
      </c>
      <c r="T2962" t="s">
        <v>14004</v>
      </c>
      <c r="U2962" t="s">
        <v>14004</v>
      </c>
      <c r="V2962" t="s">
        <v>14004</v>
      </c>
      <c r="W2962" t="s">
        <v>16924</v>
      </c>
      <c r="X2962">
        <v>10</v>
      </c>
      <c r="Y2962" t="s">
        <v>23798</v>
      </c>
      <c r="Z2962" t="s">
        <v>30672</v>
      </c>
      <c r="AA2962">
        <v>0.3012387610005644</v>
      </c>
      <c r="AB2962" t="str">
        <f>HYPERLINK("Melting_Curves/meltCurve_P54278_PMS2.pdf", "Melting_Curves/meltCurve_P54278_PMS2.pdf")</f>
        <v>Melting_Curves/meltCurve_P54278_PMS2.pdf</v>
      </c>
    </row>
    <row r="2963" spans="1:28" x14ac:dyDescent="0.25">
      <c r="A2963" t="s">
        <v>2967</v>
      </c>
      <c r="B2963">
        <v>0.99999676499088797</v>
      </c>
      <c r="C2963">
        <v>0.91360475863208401</v>
      </c>
      <c r="D2963">
        <v>0.87435246679419898</v>
      </c>
      <c r="E2963">
        <v>0.66524357644290999</v>
      </c>
      <c r="F2963">
        <v>0.53708352874064802</v>
      </c>
      <c r="G2963">
        <v>0.27790452943815902</v>
      </c>
      <c r="H2963">
        <v>0.17053141637212099</v>
      </c>
      <c r="I2963">
        <v>0.172565428140348</v>
      </c>
      <c r="J2963">
        <v>0.15225339999970799</v>
      </c>
      <c r="K2963">
        <v>0.11970088346256499</v>
      </c>
      <c r="L2963">
        <v>693.78273992767595</v>
      </c>
      <c r="M2963">
        <v>13.3337045042655</v>
      </c>
      <c r="N2963">
        <v>52.813447409907297</v>
      </c>
      <c r="O2963">
        <v>50.903681022986802</v>
      </c>
      <c r="P2963">
        <v>-5.96337942575541E-2</v>
      </c>
      <c r="Q2963">
        <v>8.9497193940499306E-2</v>
      </c>
      <c r="R2963">
        <v>0.99224562097779101</v>
      </c>
      <c r="S2963" t="s">
        <v>9966</v>
      </c>
      <c r="T2963" t="s">
        <v>14004</v>
      </c>
      <c r="U2963" t="s">
        <v>14004</v>
      </c>
      <c r="V2963" t="s">
        <v>14004</v>
      </c>
      <c r="W2963" t="s">
        <v>16925</v>
      </c>
      <c r="X2963">
        <v>3</v>
      </c>
      <c r="Y2963" t="s">
        <v>23799</v>
      </c>
      <c r="Z2963" t="s">
        <v>30673</v>
      </c>
      <c r="AA2963">
        <v>0.47882590646963052</v>
      </c>
      <c r="AB2963" t="str">
        <f>HYPERLINK("Melting_Curves/meltCurve_P54284_3_CACNB3.pdf", "Melting_Curves/meltCurve_P54284_3_CACNB3.pdf")</f>
        <v>Melting_Curves/meltCurve_P54284_3_CACNB3.pdf</v>
      </c>
    </row>
    <row r="2964" spans="1:28" x14ac:dyDescent="0.25">
      <c r="A2964" t="s">
        <v>2968</v>
      </c>
      <c r="B2964">
        <v>0.99999676499088797</v>
      </c>
      <c r="C2964">
        <v>0.78664046468577198</v>
      </c>
      <c r="D2964">
        <v>0.49414198769640899</v>
      </c>
      <c r="E2964">
        <v>0.242506148177562</v>
      </c>
      <c r="F2964">
        <v>0.171464814611301</v>
      </c>
      <c r="G2964">
        <v>0.11504261980017801</v>
      </c>
      <c r="H2964">
        <v>5.89381409074504E-2</v>
      </c>
      <c r="I2964">
        <v>5.7877955599438202E-2</v>
      </c>
      <c r="J2964">
        <v>5.82694829389587E-2</v>
      </c>
      <c r="K2964">
        <v>5.3675043121593297E-2</v>
      </c>
      <c r="L2964">
        <v>863.91518075447004</v>
      </c>
      <c r="M2964">
        <v>18.869325466622101</v>
      </c>
      <c r="N2964">
        <v>46.134068306222602</v>
      </c>
      <c r="O2964">
        <v>45.279179160594502</v>
      </c>
      <c r="P2964">
        <v>-9.7239925684273004E-2</v>
      </c>
      <c r="Q2964">
        <v>6.6683406453469707E-2</v>
      </c>
      <c r="R2964">
        <v>0.99350440286688702</v>
      </c>
      <c r="S2964" t="s">
        <v>9967</v>
      </c>
      <c r="T2964" t="s">
        <v>14004</v>
      </c>
      <c r="U2964" t="s">
        <v>14004</v>
      </c>
      <c r="V2964" t="s">
        <v>14004</v>
      </c>
      <c r="W2964" t="s">
        <v>16926</v>
      </c>
      <c r="X2964">
        <v>40</v>
      </c>
      <c r="Y2964" t="s">
        <v>23800</v>
      </c>
      <c r="Z2964" t="s">
        <v>30674</v>
      </c>
      <c r="AA2964">
        <v>0.26338395282475208</v>
      </c>
      <c r="AB2964" t="str">
        <f>HYPERLINK("Melting_Curves/meltCurve_P54577_YARS.pdf", "Melting_Curves/meltCurve_P54577_YARS.pdf")</f>
        <v>Melting_Curves/meltCurve_P54577_YARS.pdf</v>
      </c>
    </row>
    <row r="2965" spans="1:28" x14ac:dyDescent="0.25">
      <c r="A2965" t="s">
        <v>2969</v>
      </c>
      <c r="B2965">
        <v>0.99999676499088797</v>
      </c>
      <c r="C2965">
        <v>0.92292121185314901</v>
      </c>
      <c r="D2965">
        <v>0.96334050004141203</v>
      </c>
      <c r="E2965">
        <v>0.72454063674055003</v>
      </c>
      <c r="F2965">
        <v>0.22693064942624899</v>
      </c>
      <c r="G2965">
        <v>0.15368426970553001</v>
      </c>
      <c r="H2965">
        <v>8.0450682670010404E-2</v>
      </c>
      <c r="I2965">
        <v>6.3507015026647795E-2</v>
      </c>
      <c r="J2965">
        <v>6.3860592578929704E-2</v>
      </c>
      <c r="K2965">
        <v>5.9275728502517999E-2</v>
      </c>
      <c r="L2965">
        <v>1648.67017176523</v>
      </c>
      <c r="M2965">
        <v>32.436828005408799</v>
      </c>
      <c r="N2965">
        <v>51.077695751502702</v>
      </c>
      <c r="O2965">
        <v>50.635094489258698</v>
      </c>
      <c r="P2965">
        <v>-0.14837056632950199</v>
      </c>
      <c r="Q2965">
        <v>7.3556586588935199E-2</v>
      </c>
      <c r="R2965">
        <v>0.99413575627787298</v>
      </c>
      <c r="S2965" t="s">
        <v>9968</v>
      </c>
      <c r="T2965" t="s">
        <v>14004</v>
      </c>
      <c r="U2965" t="s">
        <v>14004</v>
      </c>
      <c r="V2965" t="s">
        <v>14004</v>
      </c>
      <c r="W2965" t="s">
        <v>16927</v>
      </c>
      <c r="X2965">
        <v>32</v>
      </c>
      <c r="Y2965" t="s">
        <v>23801</v>
      </c>
      <c r="Z2965" t="s">
        <v>30675</v>
      </c>
      <c r="AA2965">
        <v>0.4128781676762317</v>
      </c>
      <c r="AB2965" t="str">
        <f>HYPERLINK("Melting_Curves/meltCurve_P54578_USP14.pdf", "Melting_Curves/meltCurve_P54578_USP14.pdf")</f>
        <v>Melting_Curves/meltCurve_P54578_USP14.pdf</v>
      </c>
    </row>
    <row r="2966" spans="1:28" x14ac:dyDescent="0.25">
      <c r="A2966" t="s">
        <v>2970</v>
      </c>
      <c r="B2966">
        <v>0.99999676499088797</v>
      </c>
      <c r="C2966">
        <v>0.91281261511287104</v>
      </c>
      <c r="D2966">
        <v>0.90313592357738703</v>
      </c>
      <c r="E2966">
        <v>0.83409515707411497</v>
      </c>
      <c r="F2966">
        <v>0.45926331140586502</v>
      </c>
      <c r="G2966">
        <v>0.26359230815822399</v>
      </c>
      <c r="H2966">
        <v>0.121013495145066</v>
      </c>
      <c r="I2966">
        <v>9.7108643135599707E-2</v>
      </c>
      <c r="J2966">
        <v>6.18720949764201E-2</v>
      </c>
      <c r="K2966">
        <v>5.79570292495344E-2</v>
      </c>
      <c r="L2966">
        <v>977.88632649125202</v>
      </c>
      <c r="M2966">
        <v>18.5175865200559</v>
      </c>
      <c r="N2966">
        <v>53.106789358055202</v>
      </c>
      <c r="O2966">
        <v>52.204213499668001</v>
      </c>
      <c r="P2966">
        <v>-8.4302665159374707E-2</v>
      </c>
      <c r="Q2966">
        <v>4.9387963181865502E-2</v>
      </c>
      <c r="R2966">
        <v>0.99204701189236799</v>
      </c>
      <c r="S2966" t="s">
        <v>9969</v>
      </c>
      <c r="T2966" t="s">
        <v>14004</v>
      </c>
      <c r="U2966" t="s">
        <v>14004</v>
      </c>
      <c r="V2966" t="s">
        <v>14004</v>
      </c>
      <c r="W2966" t="s">
        <v>16928</v>
      </c>
      <c r="X2966">
        <v>16</v>
      </c>
      <c r="Y2966" t="s">
        <v>23802</v>
      </c>
      <c r="Z2966" t="s">
        <v>30676</v>
      </c>
      <c r="AA2966">
        <v>0.47016467270550771</v>
      </c>
      <c r="AB2966" t="str">
        <f>HYPERLINK("Melting_Curves/meltCurve_P54619_2_PRKAG1.pdf", "Melting_Curves/meltCurve_P54619_2_PRKAG1.pdf")</f>
        <v>Melting_Curves/meltCurve_P54619_2_PRKAG1.pdf</v>
      </c>
    </row>
    <row r="2967" spans="1:28" x14ac:dyDescent="0.25">
      <c r="A2967" t="s">
        <v>2971</v>
      </c>
      <c r="B2967">
        <v>0.99999676499088797</v>
      </c>
      <c r="C2967">
        <v>0.98334284926020599</v>
      </c>
      <c r="D2967">
        <v>0.90963421085702001</v>
      </c>
      <c r="E2967">
        <v>0.82755092967084798</v>
      </c>
      <c r="F2967">
        <v>0.892174904856186</v>
      </c>
      <c r="G2967">
        <v>0.59638115723303697</v>
      </c>
      <c r="H2967">
        <v>0.199459727692615</v>
      </c>
      <c r="I2967">
        <v>0.12408879195116899</v>
      </c>
      <c r="J2967">
        <v>0.107509152737908</v>
      </c>
      <c r="K2967">
        <v>8.8114382364469196E-2</v>
      </c>
      <c r="L2967">
        <v>1398.4700019141201</v>
      </c>
      <c r="M2967">
        <v>24.473396600224401</v>
      </c>
      <c r="N2967">
        <v>57.480091398122902</v>
      </c>
      <c r="O2967">
        <v>56.7650311720517</v>
      </c>
      <c r="P2967">
        <v>-0.100569040056404</v>
      </c>
      <c r="Q2967">
        <v>6.6950738143015096E-2</v>
      </c>
      <c r="R2967">
        <v>0.97604417231726504</v>
      </c>
      <c r="S2967" t="s">
        <v>9970</v>
      </c>
      <c r="T2967" t="s">
        <v>14004</v>
      </c>
      <c r="U2967" t="s">
        <v>14004</v>
      </c>
      <c r="V2967" t="s">
        <v>14004</v>
      </c>
      <c r="W2967" t="s">
        <v>16929</v>
      </c>
      <c r="X2967">
        <v>33</v>
      </c>
      <c r="Y2967" t="s">
        <v>23803</v>
      </c>
      <c r="Z2967" t="s">
        <v>30677</v>
      </c>
      <c r="AA2967">
        <v>0.60875601326036055</v>
      </c>
      <c r="AB2967" t="str">
        <f>HYPERLINK("Melting_Curves/meltCurve_P54652_HSPA2.pdf", "Melting_Curves/meltCurve_P54652_HSPA2.pdf")</f>
        <v>Melting_Curves/meltCurve_P54652_HSPA2.pdf</v>
      </c>
    </row>
    <row r="2968" spans="1:28" x14ac:dyDescent="0.25">
      <c r="A2968" t="s">
        <v>2972</v>
      </c>
      <c r="B2968">
        <v>0.99999676499088797</v>
      </c>
      <c r="C2968">
        <v>1.0324420123336</v>
      </c>
      <c r="D2968">
        <v>1.04843286211317</v>
      </c>
      <c r="E2968">
        <v>0.92914350982814797</v>
      </c>
      <c r="F2968">
        <v>0.86356139707291502</v>
      </c>
      <c r="G2968">
        <v>0.81272272632178599</v>
      </c>
      <c r="H2968">
        <v>0.46333093545695597</v>
      </c>
      <c r="I2968">
        <v>0.31483277793558201</v>
      </c>
      <c r="J2968">
        <v>0.220739568833347</v>
      </c>
      <c r="K2968">
        <v>0.14616605392360901</v>
      </c>
      <c r="L2968">
        <v>1023.72253952672</v>
      </c>
      <c r="M2968">
        <v>17.013123942988301</v>
      </c>
      <c r="N2968">
        <v>60.719079078848203</v>
      </c>
      <c r="O2968">
        <v>59.359631266267598</v>
      </c>
      <c r="P2968">
        <v>-6.6569811331082404E-2</v>
      </c>
      <c r="Q2968">
        <v>7.0995869448419693E-2</v>
      </c>
      <c r="R2968">
        <v>0.988584782703814</v>
      </c>
      <c r="S2968" t="s">
        <v>9971</v>
      </c>
      <c r="T2968" t="s">
        <v>14004</v>
      </c>
      <c r="U2968" t="s">
        <v>14004</v>
      </c>
      <c r="V2968" t="s">
        <v>14004</v>
      </c>
      <c r="W2968" t="s">
        <v>16930</v>
      </c>
      <c r="X2968">
        <v>12</v>
      </c>
      <c r="Y2968" t="s">
        <v>23804</v>
      </c>
      <c r="Z2968" t="s">
        <v>30678</v>
      </c>
      <c r="AA2968">
        <v>0.70263393761025383</v>
      </c>
      <c r="AB2968" t="str">
        <f>HYPERLINK("Melting_Curves/meltCurve_P54687_BCAT1.pdf", "Melting_Curves/meltCurve_P54687_BCAT1.pdf")</f>
        <v>Melting_Curves/meltCurve_P54687_BCAT1.pdf</v>
      </c>
    </row>
    <row r="2969" spans="1:28" x14ac:dyDescent="0.25">
      <c r="A2969" t="s">
        <v>2973</v>
      </c>
      <c r="B2969">
        <v>0.99999676499088797</v>
      </c>
      <c r="C2969">
        <v>0.83811193182776</v>
      </c>
      <c r="D2969">
        <v>0.89899185528597902</v>
      </c>
      <c r="E2969">
        <v>0.94767624588126498</v>
      </c>
      <c r="F2969">
        <v>0.86089715077739304</v>
      </c>
      <c r="G2969">
        <v>0.73124050432526799</v>
      </c>
      <c r="H2969">
        <v>0.52531142131955399</v>
      </c>
      <c r="I2969">
        <v>0.29522733190117301</v>
      </c>
      <c r="J2969">
        <v>0.166290077119292</v>
      </c>
      <c r="K2969">
        <v>0.17877147244816299</v>
      </c>
      <c r="L2969">
        <v>817.363324962516</v>
      </c>
      <c r="M2969">
        <v>13.4879328826906</v>
      </c>
      <c r="N2969">
        <v>60.5995991760972</v>
      </c>
      <c r="O2969">
        <v>59.314040019648402</v>
      </c>
      <c r="P2969">
        <v>-5.6858364060116399E-2</v>
      </c>
      <c r="Q2969">
        <v>0</v>
      </c>
      <c r="R2969">
        <v>0.95909290713786599</v>
      </c>
      <c r="S2969" t="s">
        <v>9972</v>
      </c>
      <c r="T2969" t="s">
        <v>14004</v>
      </c>
      <c r="U2969" t="s">
        <v>14004</v>
      </c>
      <c r="V2969" t="s">
        <v>14004</v>
      </c>
      <c r="W2969" t="s">
        <v>16931</v>
      </c>
      <c r="X2969">
        <v>11</v>
      </c>
      <c r="Y2969" t="s">
        <v>23805</v>
      </c>
      <c r="Z2969" t="s">
        <v>30679</v>
      </c>
      <c r="AA2969">
        <v>0.68872815591428582</v>
      </c>
      <c r="AB2969" t="str">
        <f>HYPERLINK("Melting_Curves/meltCurve_P54709_ATP1B3.pdf", "Melting_Curves/meltCurve_P54709_ATP1B3.pdf")</f>
        <v>Melting_Curves/meltCurve_P54709_ATP1B3.pdf</v>
      </c>
    </row>
    <row r="2970" spans="1:28" x14ac:dyDescent="0.25">
      <c r="A2970" t="s">
        <v>2974</v>
      </c>
      <c r="B2970">
        <v>0.99999676499088797</v>
      </c>
      <c r="C2970">
        <v>1.13971010004863</v>
      </c>
      <c r="D2970">
        <v>1.1966006252825601</v>
      </c>
      <c r="E2970">
        <v>0.82084898024844999</v>
      </c>
      <c r="F2970">
        <v>1.12049985105443</v>
      </c>
      <c r="G2970">
        <v>0.81245917105203402</v>
      </c>
      <c r="H2970">
        <v>0.58456521022877606</v>
      </c>
      <c r="I2970">
        <v>0.63328475971412401</v>
      </c>
      <c r="J2970">
        <v>0.73208072771787103</v>
      </c>
      <c r="K2970">
        <v>0.58075147520176296</v>
      </c>
      <c r="L2970">
        <v>14197.602213848</v>
      </c>
      <c r="M2970">
        <v>250</v>
      </c>
      <c r="O2970">
        <v>56.786797975864403</v>
      </c>
      <c r="P2970">
        <v>-0.404285883755646</v>
      </c>
      <c r="Q2970">
        <v>0.63267053748894597</v>
      </c>
      <c r="R2970">
        <v>0.76270926283977303</v>
      </c>
      <c r="S2970" t="s">
        <v>9973</v>
      </c>
      <c r="T2970" t="s">
        <v>14004</v>
      </c>
      <c r="U2970" t="s">
        <v>14004</v>
      </c>
      <c r="V2970" t="s">
        <v>14004</v>
      </c>
      <c r="W2970" t="s">
        <v>16932</v>
      </c>
      <c r="X2970">
        <v>2</v>
      </c>
      <c r="Y2970" t="s">
        <v>23806</v>
      </c>
      <c r="Z2970" t="s">
        <v>30680</v>
      </c>
      <c r="AA2970">
        <v>0.83829420985776271</v>
      </c>
      <c r="AB2970" t="str">
        <f>HYPERLINK("Melting_Curves/meltCurve_P54710_2_FXYD2.pdf", "Melting_Curves/meltCurve_P54710_2_FXYD2.pdf")</f>
        <v>Melting_Curves/meltCurve_P54710_2_FXYD2.pdf</v>
      </c>
    </row>
    <row r="2971" spans="1:28" x14ac:dyDescent="0.25">
      <c r="A2971" t="s">
        <v>2975</v>
      </c>
      <c r="B2971">
        <v>0.99999676499088797</v>
      </c>
      <c r="C2971">
        <v>0.85134150024115196</v>
      </c>
      <c r="D2971">
        <v>0.95938719694260999</v>
      </c>
      <c r="E2971">
        <v>1.20619232881202</v>
      </c>
      <c r="F2971">
        <v>1.3029416376701299</v>
      </c>
      <c r="G2971">
        <v>0.88505230447848104</v>
      </c>
      <c r="H2971">
        <v>0.57590084809534503</v>
      </c>
      <c r="I2971">
        <v>0.37218258064867699</v>
      </c>
      <c r="J2971">
        <v>0.29123327045692798</v>
      </c>
      <c r="K2971">
        <v>0.419779297522683</v>
      </c>
      <c r="L2971">
        <v>2543.5293052743</v>
      </c>
      <c r="M2971">
        <v>42.5920493159526</v>
      </c>
      <c r="N2971">
        <v>61.458280981662199</v>
      </c>
      <c r="O2971">
        <v>59.587210733091801</v>
      </c>
      <c r="P2971">
        <v>-0.11610450670228201</v>
      </c>
      <c r="Q2971">
        <v>0.35027004601350897</v>
      </c>
      <c r="R2971">
        <v>0.84746551098627299</v>
      </c>
      <c r="S2971" t="s">
        <v>9974</v>
      </c>
      <c r="T2971" t="s">
        <v>14004</v>
      </c>
      <c r="U2971" t="s">
        <v>14004</v>
      </c>
      <c r="V2971" t="s">
        <v>14004</v>
      </c>
      <c r="W2971" t="s">
        <v>16933</v>
      </c>
      <c r="X2971">
        <v>19</v>
      </c>
      <c r="Y2971" t="s">
        <v>23807</v>
      </c>
      <c r="Z2971" t="s">
        <v>30681</v>
      </c>
      <c r="AA2971">
        <v>0.77960359344740315</v>
      </c>
      <c r="AB2971" t="str">
        <f>HYPERLINK("Melting_Curves/meltCurve_P54727_RAD23B.pdf", "Melting_Curves/meltCurve_P54727_RAD23B.pdf")</f>
        <v>Melting_Curves/meltCurve_P54727_RAD23B.pdf</v>
      </c>
    </row>
    <row r="2972" spans="1:28" x14ac:dyDescent="0.25">
      <c r="A2972" t="s">
        <v>2976</v>
      </c>
      <c r="B2972">
        <v>0.99999676499088797</v>
      </c>
      <c r="C2972">
        <v>1.04444857288295</v>
      </c>
      <c r="D2972">
        <v>0.95979226144360597</v>
      </c>
      <c r="E2972">
        <v>0.84327735742510501</v>
      </c>
      <c r="F2972">
        <v>0.80452223317801297</v>
      </c>
      <c r="G2972">
        <v>0.75938748661247402</v>
      </c>
      <c r="H2972">
        <v>0.45379437079671198</v>
      </c>
      <c r="I2972">
        <v>0.42402167026035498</v>
      </c>
      <c r="J2972">
        <v>0.20883013524611199</v>
      </c>
      <c r="K2972">
        <v>0.131561002754396</v>
      </c>
      <c r="L2972">
        <v>701.06564889491597</v>
      </c>
      <c r="M2972">
        <v>11.564554246477501</v>
      </c>
      <c r="N2972">
        <v>60.621934438342201</v>
      </c>
      <c r="O2972">
        <v>58.894283387973999</v>
      </c>
      <c r="P2972">
        <v>-4.9103962757624603E-2</v>
      </c>
      <c r="Q2972">
        <v>0</v>
      </c>
      <c r="R2972">
        <v>0.97329237703692095</v>
      </c>
      <c r="S2972" t="s">
        <v>9975</v>
      </c>
      <c r="T2972" t="s">
        <v>14004</v>
      </c>
      <c r="U2972" t="s">
        <v>14004</v>
      </c>
      <c r="V2972" t="s">
        <v>14004</v>
      </c>
      <c r="W2972" t="s">
        <v>16934</v>
      </c>
      <c r="X2972">
        <v>20</v>
      </c>
      <c r="Y2972" t="s">
        <v>23808</v>
      </c>
      <c r="Z2972" t="s">
        <v>30682</v>
      </c>
      <c r="AA2972">
        <v>0.68459446705495208</v>
      </c>
      <c r="AB2972" t="str">
        <f>HYPERLINK("Melting_Curves/meltCurve_P54819_AK2.pdf", "Melting_Curves/meltCurve_P54819_AK2.pdf")</f>
        <v>Melting_Curves/meltCurve_P54819_AK2.pdf</v>
      </c>
    </row>
    <row r="2973" spans="1:28" x14ac:dyDescent="0.25">
      <c r="A2973" t="s">
        <v>2977</v>
      </c>
      <c r="B2973">
        <v>0.99999676499088797</v>
      </c>
      <c r="C2973">
        <v>0.932596418845268</v>
      </c>
      <c r="D2973">
        <v>0.84423687572473305</v>
      </c>
      <c r="E2973">
        <v>0.26772387023064498</v>
      </c>
      <c r="F2973">
        <v>7.6136379685075903E-2</v>
      </c>
      <c r="G2973">
        <v>2.6669282288221199E-2</v>
      </c>
      <c r="H2973">
        <v>8.8251569391645107E-3</v>
      </c>
      <c r="I2973">
        <v>2.7910582907930098E-3</v>
      </c>
      <c r="J2973">
        <v>0</v>
      </c>
      <c r="K2973">
        <v>1.1793521752291899E-3</v>
      </c>
      <c r="L2973">
        <v>1592.46493431314</v>
      </c>
      <c r="M2973">
        <v>33.074095878560598</v>
      </c>
      <c r="N2973">
        <v>48.176584643140302</v>
      </c>
      <c r="O2973">
        <v>47.973410720259203</v>
      </c>
      <c r="P2973">
        <v>-0.17070608711360899</v>
      </c>
      <c r="Q2973">
        <v>9.5793963660350308E-3</v>
      </c>
      <c r="R2973">
        <v>0.99755082253201099</v>
      </c>
      <c r="S2973" t="s">
        <v>9976</v>
      </c>
      <c r="T2973" t="s">
        <v>14004</v>
      </c>
      <c r="U2973" t="s">
        <v>14004</v>
      </c>
      <c r="V2973" t="s">
        <v>14004</v>
      </c>
      <c r="W2973" t="s">
        <v>16935</v>
      </c>
      <c r="X2973">
        <v>3</v>
      </c>
      <c r="Y2973" t="s">
        <v>23809</v>
      </c>
      <c r="Z2973" t="s">
        <v>30683</v>
      </c>
      <c r="AA2973">
        <v>0.28346757447506959</v>
      </c>
      <c r="AB2973" t="str">
        <f>HYPERLINK("Melting_Curves/meltCurve_P54868_HMGCS2.pdf", "Melting_Curves/meltCurve_P54868_HMGCS2.pdf")</f>
        <v>Melting_Curves/meltCurve_P54868_HMGCS2.pdf</v>
      </c>
    </row>
    <row r="2974" spans="1:28" x14ac:dyDescent="0.25">
      <c r="A2974" t="s">
        <v>2978</v>
      </c>
      <c r="B2974">
        <v>0.99999676499088797</v>
      </c>
      <c r="C2974">
        <v>1.07483507359346</v>
      </c>
      <c r="D2974">
        <v>1.1015884573628301</v>
      </c>
      <c r="E2974">
        <v>1.2367409471527899</v>
      </c>
      <c r="F2974">
        <v>1.1865930474697799</v>
      </c>
      <c r="G2974">
        <v>0.76528857193608002</v>
      </c>
      <c r="H2974">
        <v>0.117582230990944</v>
      </c>
      <c r="I2974">
        <v>0.10746679322878</v>
      </c>
      <c r="J2974">
        <v>9.3698833891836794E-2</v>
      </c>
      <c r="K2974">
        <v>9.5171138763931004E-2</v>
      </c>
      <c r="L2974">
        <v>14258.8800250313</v>
      </c>
      <c r="M2974">
        <v>250</v>
      </c>
      <c r="N2974">
        <v>57.088471036147901</v>
      </c>
      <c r="O2974">
        <v>57.031863548137103</v>
      </c>
      <c r="P2974">
        <v>-0.98247730835075797</v>
      </c>
      <c r="Q2974">
        <v>0.103479707589531</v>
      </c>
      <c r="R2974">
        <v>0.95419862858600901</v>
      </c>
      <c r="S2974" t="s">
        <v>9977</v>
      </c>
      <c r="T2974" t="s">
        <v>14004</v>
      </c>
      <c r="U2974" t="s">
        <v>14004</v>
      </c>
      <c r="V2974" t="s">
        <v>14004</v>
      </c>
      <c r="W2974" t="s">
        <v>16936</v>
      </c>
      <c r="X2974">
        <v>28</v>
      </c>
      <c r="Y2974" t="s">
        <v>23810</v>
      </c>
      <c r="Z2974" t="s">
        <v>30684</v>
      </c>
      <c r="AA2974">
        <v>0.612659094805872</v>
      </c>
      <c r="AB2974" t="str">
        <f>HYPERLINK("Melting_Curves/meltCurve_P54886_ALDH18A1.pdf", "Melting_Curves/meltCurve_P54886_ALDH18A1.pdf")</f>
        <v>Melting_Curves/meltCurve_P54886_ALDH18A1.pdf</v>
      </c>
    </row>
    <row r="2975" spans="1:28" x14ac:dyDescent="0.25">
      <c r="A2975" t="s">
        <v>2979</v>
      </c>
      <c r="B2975">
        <v>0.99999676499088797</v>
      </c>
      <c r="C2975">
        <v>0.95362481407311495</v>
      </c>
      <c r="D2975">
        <v>1.03446829274831</v>
      </c>
      <c r="E2975">
        <v>1.13190982046473</v>
      </c>
      <c r="F2975">
        <v>0.69196811387605595</v>
      </c>
      <c r="G2975">
        <v>0.31348050027763702</v>
      </c>
      <c r="H2975">
        <v>0.13611506624699499</v>
      </c>
      <c r="I2975">
        <v>0.114625610986705</v>
      </c>
      <c r="J2975">
        <v>0.111200137615387</v>
      </c>
      <c r="K2975">
        <v>8.9030645504362002E-2</v>
      </c>
      <c r="L2975">
        <v>1936.9306713927599</v>
      </c>
      <c r="M2975">
        <v>35.534524579228801</v>
      </c>
      <c r="N2975">
        <v>54.892121910897501</v>
      </c>
      <c r="O2975">
        <v>54.336650235566403</v>
      </c>
      <c r="P2975">
        <v>-0.14551272873323401</v>
      </c>
      <c r="Q2975">
        <v>0.10997564900427299</v>
      </c>
      <c r="R2975">
        <v>0.98209630073735199</v>
      </c>
      <c r="S2975" t="s">
        <v>9978</v>
      </c>
      <c r="T2975" t="s">
        <v>14004</v>
      </c>
      <c r="U2975" t="s">
        <v>14004</v>
      </c>
      <c r="V2975" t="s">
        <v>14004</v>
      </c>
      <c r="W2975" t="s">
        <v>16937</v>
      </c>
      <c r="X2975">
        <v>24</v>
      </c>
      <c r="Y2975" t="s">
        <v>23811</v>
      </c>
      <c r="Z2975" t="s">
        <v>30685</v>
      </c>
      <c r="AA2975">
        <v>0.54463325120808537</v>
      </c>
      <c r="AB2975" t="str">
        <f>HYPERLINK("Melting_Curves/meltCurve_P54920_NAPA.pdf", "Melting_Curves/meltCurve_P54920_NAPA.pdf")</f>
        <v>Melting_Curves/meltCurve_P54920_NAPA.pdf</v>
      </c>
    </row>
    <row r="2976" spans="1:28" x14ac:dyDescent="0.25">
      <c r="A2976" t="s">
        <v>2980</v>
      </c>
      <c r="B2976">
        <v>0.99999676499088797</v>
      </c>
      <c r="C2976">
        <v>0.97289250049596598</v>
      </c>
      <c r="D2976">
        <v>0.98007756869231899</v>
      </c>
      <c r="E2976">
        <v>0.91770565993739805</v>
      </c>
      <c r="F2976">
        <v>0.36645133213769399</v>
      </c>
      <c r="G2976">
        <v>0.20727046648188499</v>
      </c>
      <c r="H2976">
        <v>9.9520047433098793E-2</v>
      </c>
      <c r="I2976">
        <v>0.105440545767942</v>
      </c>
      <c r="J2976">
        <v>9.6968934729649001E-2</v>
      </c>
      <c r="K2976">
        <v>8.0026359252870896E-2</v>
      </c>
      <c r="L2976">
        <v>2061.8851795902001</v>
      </c>
      <c r="M2976">
        <v>39.541304373035402</v>
      </c>
      <c r="N2976">
        <v>52.466189289576299</v>
      </c>
      <c r="O2976">
        <v>52.012259160862399</v>
      </c>
      <c r="P2976">
        <v>-0.16963273508965099</v>
      </c>
      <c r="Q2976">
        <v>0.10746873438995801</v>
      </c>
      <c r="R2976">
        <v>0.99557394341085703</v>
      </c>
      <c r="S2976" t="s">
        <v>9979</v>
      </c>
      <c r="T2976" t="s">
        <v>14004</v>
      </c>
      <c r="U2976" t="s">
        <v>14004</v>
      </c>
      <c r="V2976" t="s">
        <v>14004</v>
      </c>
      <c r="W2976" t="s">
        <v>16938</v>
      </c>
      <c r="X2976">
        <v>24</v>
      </c>
      <c r="Y2976" t="s">
        <v>23812</v>
      </c>
      <c r="Z2976" t="s">
        <v>30686</v>
      </c>
      <c r="AA2976">
        <v>0.47208877676511002</v>
      </c>
      <c r="AB2976" t="str">
        <f>HYPERLINK("Melting_Curves/meltCurve_P55010_EIF5.pdf", "Melting_Curves/meltCurve_P55010_EIF5.pdf")</f>
        <v>Melting_Curves/meltCurve_P55010_EIF5.pdf</v>
      </c>
    </row>
    <row r="2977" spans="1:28" x14ac:dyDescent="0.25">
      <c r="A2977" t="s">
        <v>2981</v>
      </c>
      <c r="B2977">
        <v>0.99999676499088797</v>
      </c>
      <c r="C2977">
        <v>0.97401889866270397</v>
      </c>
      <c r="D2977">
        <v>1.0548168472414501</v>
      </c>
      <c r="E2977">
        <v>1.1246891374883301</v>
      </c>
      <c r="F2977">
        <v>1.0241408965555101</v>
      </c>
      <c r="G2977">
        <v>0.86686176471264498</v>
      </c>
      <c r="H2977">
        <v>0.223017491100993</v>
      </c>
      <c r="I2977">
        <v>0.211126671715576</v>
      </c>
      <c r="J2977">
        <v>0.20202958226961401</v>
      </c>
      <c r="K2977">
        <v>0.16979864322459001</v>
      </c>
      <c r="L2977">
        <v>4241.0098254040104</v>
      </c>
      <c r="M2977">
        <v>73.042084158226501</v>
      </c>
      <c r="N2977">
        <v>58.455498456458997</v>
      </c>
      <c r="O2977">
        <v>58.0190745416159</v>
      </c>
      <c r="P2977">
        <v>-0.25367718831784603</v>
      </c>
      <c r="Q2977">
        <v>0.19399271893570599</v>
      </c>
      <c r="R2977">
        <v>0.98699723996686395</v>
      </c>
      <c r="S2977" t="s">
        <v>9980</v>
      </c>
      <c r="T2977" t="s">
        <v>14004</v>
      </c>
      <c r="U2977" t="s">
        <v>14004</v>
      </c>
      <c r="V2977" t="s">
        <v>14004</v>
      </c>
      <c r="W2977" t="s">
        <v>16939</v>
      </c>
      <c r="X2977">
        <v>23</v>
      </c>
      <c r="Y2977" t="s">
        <v>23813</v>
      </c>
      <c r="Z2977" t="s">
        <v>30687</v>
      </c>
      <c r="AA2977">
        <v>0.68024198890476906</v>
      </c>
      <c r="AB2977" t="str">
        <f>HYPERLINK("Melting_Curves/meltCurve_P55011_3_SLC12A2.pdf", "Melting_Curves/meltCurve_P55011_3_SLC12A2.pdf")</f>
        <v>Melting_Curves/meltCurve_P55011_3_SLC12A2.pdf</v>
      </c>
    </row>
    <row r="2978" spans="1:28" x14ac:dyDescent="0.25">
      <c r="A2978" t="s">
        <v>2982</v>
      </c>
      <c r="B2978">
        <v>0.99999676499088797</v>
      </c>
      <c r="C2978">
        <v>0.99194953028284805</v>
      </c>
      <c r="D2978">
        <v>0.96995709083272497</v>
      </c>
      <c r="E2978">
        <v>0.91426708351066799</v>
      </c>
      <c r="F2978">
        <v>0.73714965769571295</v>
      </c>
      <c r="G2978">
        <v>0.34385475846473101</v>
      </c>
      <c r="H2978">
        <v>9.8364952293041999E-2</v>
      </c>
      <c r="I2978">
        <v>0.12554155412960699</v>
      </c>
      <c r="J2978">
        <v>0.140158561882472</v>
      </c>
      <c r="K2978">
        <v>0.16591901353032401</v>
      </c>
      <c r="L2978">
        <v>1652.53117049604</v>
      </c>
      <c r="M2978">
        <v>30.268418843868002</v>
      </c>
      <c r="N2978">
        <v>55.109639680719098</v>
      </c>
      <c r="O2978">
        <v>54.359243907870002</v>
      </c>
      <c r="P2978">
        <v>-0.12209385914412201</v>
      </c>
      <c r="Q2978">
        <v>0.12292900855837401</v>
      </c>
      <c r="R2978">
        <v>0.99383029178900595</v>
      </c>
      <c r="S2978" t="s">
        <v>9981</v>
      </c>
      <c r="T2978" t="s">
        <v>14004</v>
      </c>
      <c r="U2978" t="s">
        <v>14004</v>
      </c>
      <c r="V2978" t="s">
        <v>14004</v>
      </c>
      <c r="W2978" t="s">
        <v>16940</v>
      </c>
      <c r="X2978">
        <v>16</v>
      </c>
      <c r="Y2978" t="s">
        <v>23814</v>
      </c>
      <c r="Z2978" t="s">
        <v>30688</v>
      </c>
      <c r="AA2978">
        <v>0.55534979917480398</v>
      </c>
      <c r="AB2978" t="str">
        <f>HYPERLINK("Melting_Curves/meltCurve_P55036_PSMD4.pdf", "Melting_Curves/meltCurve_P55036_PSMD4.pdf")</f>
        <v>Melting_Curves/meltCurve_P55036_PSMD4.pdf</v>
      </c>
    </row>
    <row r="2979" spans="1:28" x14ac:dyDescent="0.25">
      <c r="A2979" t="s">
        <v>2983</v>
      </c>
      <c r="B2979">
        <v>0.99999676499088797</v>
      </c>
      <c r="C2979">
        <v>0.96398416499990802</v>
      </c>
      <c r="D2979">
        <v>0.95869917238129299</v>
      </c>
      <c r="E2979">
        <v>0.96557328245393903</v>
      </c>
      <c r="F2979">
        <v>0.39951197806039601</v>
      </c>
      <c r="G2979">
        <v>0.19549648799675701</v>
      </c>
      <c r="H2979">
        <v>9.2888125299809901E-2</v>
      </c>
      <c r="I2979">
        <v>9.1277777453573794E-2</v>
      </c>
      <c r="J2979">
        <v>9.5520658563405705E-2</v>
      </c>
      <c r="K2979">
        <v>8.6040803578756903E-2</v>
      </c>
      <c r="L2979">
        <v>2372.1516151596302</v>
      </c>
      <c r="M2979">
        <v>45.221495484490802</v>
      </c>
      <c r="N2979">
        <v>52.729054839614797</v>
      </c>
      <c r="O2979">
        <v>52.354014090654097</v>
      </c>
      <c r="P2979">
        <v>-0.19342007544683301</v>
      </c>
      <c r="Q2979">
        <v>0.10429285046018801</v>
      </c>
      <c r="R2979">
        <v>0.99476107348749498</v>
      </c>
      <c r="S2979" t="s">
        <v>9982</v>
      </c>
      <c r="T2979" t="s">
        <v>14004</v>
      </c>
      <c r="U2979" t="s">
        <v>14004</v>
      </c>
      <c r="V2979" t="s">
        <v>14004</v>
      </c>
      <c r="W2979" t="s">
        <v>16941</v>
      </c>
      <c r="X2979">
        <v>20</v>
      </c>
      <c r="Y2979" t="s">
        <v>23815</v>
      </c>
      <c r="Z2979" t="s">
        <v>30689</v>
      </c>
      <c r="AA2979">
        <v>0.47873505883318979</v>
      </c>
      <c r="AB2979" t="str">
        <f>HYPERLINK("Melting_Curves/meltCurve_P55039_DRG2.pdf", "Melting_Curves/meltCurve_P55039_DRG2.pdf")</f>
        <v>Melting_Curves/meltCurve_P55039_DRG2.pdf</v>
      </c>
    </row>
    <row r="2980" spans="1:28" x14ac:dyDescent="0.25">
      <c r="A2980" t="s">
        <v>2984</v>
      </c>
      <c r="B2980">
        <v>0.99999676499088797</v>
      </c>
      <c r="C2980">
        <v>0.96278132676867001</v>
      </c>
      <c r="D2980">
        <v>0.97015036419674705</v>
      </c>
      <c r="E2980">
        <v>0.55763181138909701</v>
      </c>
      <c r="F2980">
        <v>0.21401561724316301</v>
      </c>
      <c r="G2980">
        <v>0.136783904291156</v>
      </c>
      <c r="H2980">
        <v>6.5659864913095903E-2</v>
      </c>
      <c r="I2980">
        <v>6.1396426300627097E-2</v>
      </c>
      <c r="J2980">
        <v>5.3116437307356497E-2</v>
      </c>
      <c r="K2980">
        <v>4.5157115145765099E-2</v>
      </c>
      <c r="L2980">
        <v>1412.80628412547</v>
      </c>
      <c r="M2980">
        <v>28.281152971455501</v>
      </c>
      <c r="N2980">
        <v>50.200815737087602</v>
      </c>
      <c r="O2980">
        <v>49.707981541309998</v>
      </c>
      <c r="P2980">
        <v>-0.13306674059580001</v>
      </c>
      <c r="Q2980">
        <v>6.4475964874700004E-2</v>
      </c>
      <c r="R2980">
        <v>0.99637744670014605</v>
      </c>
      <c r="S2980" t="s">
        <v>9983</v>
      </c>
      <c r="T2980" t="s">
        <v>14004</v>
      </c>
      <c r="U2980" t="s">
        <v>14004</v>
      </c>
      <c r="V2980" t="s">
        <v>14004</v>
      </c>
      <c r="W2980" t="s">
        <v>16942</v>
      </c>
      <c r="X2980">
        <v>41</v>
      </c>
      <c r="Y2980" t="s">
        <v>23816</v>
      </c>
      <c r="Z2980" t="s">
        <v>30690</v>
      </c>
      <c r="AA2980">
        <v>0.38145316336391871</v>
      </c>
      <c r="AB2980" t="str">
        <f>HYPERLINK("Melting_Curves/meltCurve_P55060_3_CSE1L.pdf", "Melting_Curves/meltCurve_P55060_3_CSE1L.pdf")</f>
        <v>Melting_Curves/meltCurve_P55060_3_CSE1L.pdf</v>
      </c>
    </row>
    <row r="2981" spans="1:28" x14ac:dyDescent="0.25">
      <c r="A2981" t="s">
        <v>2985</v>
      </c>
      <c r="B2981">
        <v>0.99999676499088797</v>
      </c>
      <c r="C2981">
        <v>1.0919434839189299</v>
      </c>
      <c r="D2981">
        <v>1.06939407767521</v>
      </c>
      <c r="E2981">
        <v>1.29142337262766</v>
      </c>
      <c r="F2981">
        <v>1.4337885704373801</v>
      </c>
      <c r="G2981">
        <v>1.5176510741098399</v>
      </c>
      <c r="H2981">
        <v>1.0542199722240899</v>
      </c>
      <c r="I2981">
        <v>0.87178696225270202</v>
      </c>
      <c r="J2981">
        <v>0.43432235065767</v>
      </c>
      <c r="K2981">
        <v>0.24982862262941399</v>
      </c>
      <c r="L2981">
        <v>3794.0267300031601</v>
      </c>
      <c r="M2981">
        <v>57.571014086696799</v>
      </c>
      <c r="N2981">
        <v>66.598796178292403</v>
      </c>
      <c r="O2981">
        <v>65.822310232063899</v>
      </c>
      <c r="P2981">
        <v>-0.1691754086516</v>
      </c>
      <c r="Q2981">
        <v>0.226311302825532</v>
      </c>
      <c r="R2981">
        <v>0.616756052009093</v>
      </c>
      <c r="S2981" t="s">
        <v>9984</v>
      </c>
      <c r="T2981" t="s">
        <v>14004</v>
      </c>
      <c r="U2981" t="s">
        <v>14004</v>
      </c>
      <c r="V2981" t="s">
        <v>14004</v>
      </c>
      <c r="W2981" t="s">
        <v>16943</v>
      </c>
      <c r="X2981">
        <v>69</v>
      </c>
      <c r="Y2981" t="s">
        <v>23817</v>
      </c>
      <c r="Z2981" t="s">
        <v>30691</v>
      </c>
      <c r="AA2981">
        <v>0.89483016762414624</v>
      </c>
      <c r="AB2981" t="str">
        <f>HYPERLINK("Melting_Curves/meltCurve_P55072_VCP.pdf", "Melting_Curves/meltCurve_P55072_VCP.pdf")</f>
        <v>Melting_Curves/meltCurve_P55072_VCP.pdf</v>
      </c>
    </row>
    <row r="2982" spans="1:28" x14ac:dyDescent="0.25">
      <c r="A2982" t="s">
        <v>2986</v>
      </c>
      <c r="B2982">
        <v>0.99999676499088797</v>
      </c>
      <c r="C2982">
        <v>0.97132010229465005</v>
      </c>
      <c r="D2982">
        <v>0.93662816155892004</v>
      </c>
      <c r="E2982">
        <v>0.77740330714683703</v>
      </c>
      <c r="F2982">
        <v>0.70019382536369801</v>
      </c>
      <c r="G2982">
        <v>0.56505290898441496</v>
      </c>
      <c r="H2982">
        <v>0.440226760838199</v>
      </c>
      <c r="I2982">
        <v>0.49973484371084897</v>
      </c>
      <c r="J2982">
        <v>0.50393507928598602</v>
      </c>
      <c r="K2982">
        <v>0.54024088819969696</v>
      </c>
      <c r="L2982">
        <v>870.66646224549504</v>
      </c>
      <c r="M2982">
        <v>17.072551120577099</v>
      </c>
      <c r="N2982">
        <v>64.993830362075101</v>
      </c>
      <c r="O2982">
        <v>50.313763890780599</v>
      </c>
      <c r="P2982">
        <v>-4.34915454641649E-2</v>
      </c>
      <c r="Q2982">
        <v>0.48734313774347199</v>
      </c>
      <c r="R2982">
        <v>0.97303435800839799</v>
      </c>
      <c r="S2982" t="s">
        <v>9985</v>
      </c>
      <c r="T2982" t="s">
        <v>14004</v>
      </c>
      <c r="U2982" t="s">
        <v>14004</v>
      </c>
      <c r="V2982" t="s">
        <v>14004</v>
      </c>
      <c r="W2982" t="s">
        <v>16944</v>
      </c>
      <c r="X2982">
        <v>27</v>
      </c>
      <c r="Y2982" t="s">
        <v>23818</v>
      </c>
      <c r="Z2982" t="s">
        <v>30692</v>
      </c>
      <c r="AA2982">
        <v>0.68477684846018905</v>
      </c>
      <c r="AB2982" t="str">
        <f>HYPERLINK("Melting_Curves/meltCurve_P55081_MFAP1.pdf", "Melting_Curves/meltCurve_P55081_MFAP1.pdf")</f>
        <v>Melting_Curves/meltCurve_P55081_MFAP1.pdf</v>
      </c>
    </row>
    <row r="2983" spans="1:28" x14ac:dyDescent="0.25">
      <c r="A2983" t="s">
        <v>2987</v>
      </c>
      <c r="B2983">
        <v>0.99999676499088797</v>
      </c>
      <c r="C2983">
        <v>1.08053162796379</v>
      </c>
      <c r="D2983">
        <v>1.08330737991235</v>
      </c>
      <c r="E2983">
        <v>1.01567106775611</v>
      </c>
      <c r="F2983">
        <v>0.23416274206329399</v>
      </c>
      <c r="G2983">
        <v>0.16726050770103901</v>
      </c>
      <c r="H2983">
        <v>6.76399804162576E-2</v>
      </c>
      <c r="I2983">
        <v>5.9119728276710803E-2</v>
      </c>
      <c r="J2983">
        <v>5.52420807155505E-2</v>
      </c>
      <c r="K2983">
        <v>4.20858153908205E-2</v>
      </c>
      <c r="L2983">
        <v>9153.2248597277103</v>
      </c>
      <c r="M2983">
        <v>173.644854729548</v>
      </c>
      <c r="N2983">
        <v>52.764039822695899</v>
      </c>
      <c r="O2983">
        <v>52.705340021448301</v>
      </c>
      <c r="P2983">
        <v>-0.75919248410684803</v>
      </c>
      <c r="Q2983">
        <v>7.8268186002918502E-2</v>
      </c>
      <c r="R2983">
        <v>0.98892852524229602</v>
      </c>
      <c r="S2983" t="s">
        <v>9986</v>
      </c>
      <c r="T2983" t="s">
        <v>14004</v>
      </c>
      <c r="U2983" t="s">
        <v>14004</v>
      </c>
      <c r="V2983" t="s">
        <v>14004</v>
      </c>
      <c r="W2983" t="s">
        <v>16945</v>
      </c>
      <c r="X2983">
        <v>23</v>
      </c>
      <c r="Y2983" t="s">
        <v>23819</v>
      </c>
      <c r="Z2983" t="s">
        <v>30693</v>
      </c>
      <c r="AA2983">
        <v>0.46902360111988389</v>
      </c>
      <c r="AB2983" t="str">
        <f>HYPERLINK("Melting_Curves/meltCurve_P55084_HADHB.pdf", "Melting_Curves/meltCurve_P55084_HADHB.pdf")</f>
        <v>Melting_Curves/meltCurve_P55084_HADHB.pdf</v>
      </c>
    </row>
    <row r="2984" spans="1:28" x14ac:dyDescent="0.25">
      <c r="A2984" t="s">
        <v>2988</v>
      </c>
      <c r="B2984">
        <v>0.99999676499088797</v>
      </c>
      <c r="C2984">
        <v>0.88594512061765995</v>
      </c>
      <c r="D2984">
        <v>0.90784893150461499</v>
      </c>
      <c r="E2984">
        <v>0.89457796113960997</v>
      </c>
      <c r="F2984">
        <v>0.85190339153164996</v>
      </c>
      <c r="G2984">
        <v>0.82559068589705298</v>
      </c>
      <c r="H2984">
        <v>0.56776011687330097</v>
      </c>
      <c r="I2984">
        <v>0.67042377970327205</v>
      </c>
      <c r="J2984">
        <v>0.62200333275209796</v>
      </c>
      <c r="K2984">
        <v>0.76533809438305</v>
      </c>
      <c r="L2984">
        <v>485.587824171752</v>
      </c>
      <c r="M2984">
        <v>9.1469729236500399</v>
      </c>
      <c r="O2984">
        <v>50.734569869108398</v>
      </c>
      <c r="P2984">
        <v>-1.7130130889788198E-2</v>
      </c>
      <c r="Q2984">
        <v>0.62020369691260502</v>
      </c>
      <c r="R2984">
        <v>0.72357291806401403</v>
      </c>
      <c r="S2984" t="s">
        <v>9987</v>
      </c>
      <c r="T2984" t="s">
        <v>14004</v>
      </c>
      <c r="U2984" t="s">
        <v>14004</v>
      </c>
      <c r="V2984" t="s">
        <v>14004</v>
      </c>
      <c r="W2984" t="s">
        <v>16946</v>
      </c>
      <c r="X2984">
        <v>18</v>
      </c>
      <c r="Y2984" t="s">
        <v>23820</v>
      </c>
      <c r="Z2984" t="s">
        <v>30694</v>
      </c>
      <c r="AA2984">
        <v>0.79974305844946558</v>
      </c>
      <c r="AB2984" t="str">
        <f>HYPERLINK("Melting_Curves/meltCurve_P55145_MANF.pdf", "Melting_Curves/meltCurve_P55145_MANF.pdf")</f>
        <v>Melting_Curves/meltCurve_P55145_MANF.pdf</v>
      </c>
    </row>
    <row r="2985" spans="1:28" x14ac:dyDescent="0.25">
      <c r="A2985" t="s">
        <v>2989</v>
      </c>
      <c r="B2985">
        <v>0.99999676499088797</v>
      </c>
      <c r="C2985">
        <v>1.0510857654266399</v>
      </c>
      <c r="D2985">
        <v>1.10006125946153</v>
      </c>
      <c r="E2985">
        <v>1.05322484648891</v>
      </c>
      <c r="F2985">
        <v>0.278498985119988</v>
      </c>
      <c r="G2985">
        <v>0.16876332327733001</v>
      </c>
      <c r="H2985">
        <v>7.4997825312635297E-2</v>
      </c>
      <c r="I2985">
        <v>7.8755363362171399E-2</v>
      </c>
      <c r="J2985">
        <v>7.8974314687724298E-2</v>
      </c>
      <c r="K2985">
        <v>7.4612933009900906E-2</v>
      </c>
      <c r="L2985">
        <v>13227.098546341</v>
      </c>
      <c r="M2985">
        <v>250</v>
      </c>
      <c r="N2985">
        <v>52.9531368651405</v>
      </c>
      <c r="O2985">
        <v>52.905018187813603</v>
      </c>
      <c r="P2985">
        <v>-1.0688724093206401</v>
      </c>
      <c r="Q2985">
        <v>9.5220739895220993E-2</v>
      </c>
      <c r="R2985">
        <v>0.98938662752935602</v>
      </c>
      <c r="S2985" t="s">
        <v>9988</v>
      </c>
      <c r="T2985" t="s">
        <v>14004</v>
      </c>
      <c r="U2985" t="s">
        <v>14004</v>
      </c>
      <c r="V2985" t="s">
        <v>14004</v>
      </c>
      <c r="W2985" t="s">
        <v>16947</v>
      </c>
      <c r="X2985">
        <v>23</v>
      </c>
      <c r="Y2985" t="s">
        <v>23821</v>
      </c>
      <c r="Z2985" t="s">
        <v>30695</v>
      </c>
      <c r="AA2985">
        <v>0.48461299640581801</v>
      </c>
      <c r="AB2985" t="str">
        <f>HYPERLINK("Melting_Curves/meltCurve_P55160_NCKAP1L.pdf", "Melting_Curves/meltCurve_P55160_NCKAP1L.pdf")</f>
        <v>Melting_Curves/meltCurve_P55160_NCKAP1L.pdf</v>
      </c>
    </row>
    <row r="2986" spans="1:28" x14ac:dyDescent="0.25">
      <c r="A2986" t="s">
        <v>2990</v>
      </c>
      <c r="B2986">
        <v>0.99999676499088797</v>
      </c>
      <c r="C2986">
        <v>0.91403618938867304</v>
      </c>
      <c r="D2986">
        <v>0.58038935904264499</v>
      </c>
      <c r="E2986">
        <v>0.27789942906340298</v>
      </c>
      <c r="F2986">
        <v>0.22951183465910899</v>
      </c>
      <c r="G2986">
        <v>0.13548466120069799</v>
      </c>
      <c r="H2986">
        <v>7.9536110165592894E-2</v>
      </c>
      <c r="I2986">
        <v>8.1184478006077795E-2</v>
      </c>
      <c r="J2986">
        <v>6.7162970014269699E-2</v>
      </c>
      <c r="K2986">
        <v>5.2321217650045701E-2</v>
      </c>
      <c r="L2986">
        <v>949.55562299348196</v>
      </c>
      <c r="M2986">
        <v>20.327437282635199</v>
      </c>
      <c r="N2986">
        <v>47.141300786438997</v>
      </c>
      <c r="O2986">
        <v>46.267962957166397</v>
      </c>
      <c r="P2986">
        <v>-0.100577539975304</v>
      </c>
      <c r="Q2986">
        <v>8.4316278754632795E-2</v>
      </c>
      <c r="R2986">
        <v>0.98959261536658905</v>
      </c>
      <c r="S2986" t="s">
        <v>9989</v>
      </c>
      <c r="T2986" t="s">
        <v>14004</v>
      </c>
      <c r="U2986" t="s">
        <v>14004</v>
      </c>
      <c r="V2986" t="s">
        <v>14004</v>
      </c>
      <c r="W2986" t="s">
        <v>16948</v>
      </c>
      <c r="X2986">
        <v>5</v>
      </c>
      <c r="Y2986" t="s">
        <v>23822</v>
      </c>
      <c r="Z2986" t="s">
        <v>30696</v>
      </c>
      <c r="AA2986">
        <v>0.3023067449724175</v>
      </c>
      <c r="AB2986" t="str">
        <f>HYPERLINK("Melting_Curves/meltCurve_P55199_ELL.pdf", "Melting_Curves/meltCurve_P55199_ELL.pdf")</f>
        <v>Melting_Curves/meltCurve_P55199_ELL.pdf</v>
      </c>
    </row>
    <row r="2987" spans="1:28" x14ac:dyDescent="0.25">
      <c r="A2987" t="s">
        <v>2991</v>
      </c>
      <c r="B2987">
        <v>0.99999676499088797</v>
      </c>
      <c r="C2987">
        <v>0.99342113806134902</v>
      </c>
      <c r="D2987">
        <v>0.98907309004301502</v>
      </c>
      <c r="E2987">
        <v>0.92530243790892797</v>
      </c>
      <c r="F2987">
        <v>0.77168121554867997</v>
      </c>
      <c r="G2987">
        <v>0.58328353304474301</v>
      </c>
      <c r="H2987">
        <v>0.28417452071535099</v>
      </c>
      <c r="I2987">
        <v>0.17997534237142199</v>
      </c>
      <c r="J2987">
        <v>0.13081092174949199</v>
      </c>
      <c r="K2987">
        <v>0.12632049709308599</v>
      </c>
      <c r="L2987">
        <v>994.43840179451195</v>
      </c>
      <c r="M2987">
        <v>17.4578955119391</v>
      </c>
      <c r="N2987">
        <v>57.484774924728498</v>
      </c>
      <c r="O2987">
        <v>56.230464225685303</v>
      </c>
      <c r="P2987">
        <v>-7.1925375660123803E-2</v>
      </c>
      <c r="Q2987">
        <v>7.3388390105429899E-2</v>
      </c>
      <c r="R2987">
        <v>0.997999684775284</v>
      </c>
      <c r="S2987" t="s">
        <v>9990</v>
      </c>
      <c r="T2987" t="s">
        <v>14004</v>
      </c>
      <c r="U2987" t="s">
        <v>14004</v>
      </c>
      <c r="V2987" t="s">
        <v>14004</v>
      </c>
      <c r="W2987" t="s">
        <v>16949</v>
      </c>
      <c r="X2987">
        <v>15</v>
      </c>
      <c r="Y2987" t="s">
        <v>23823</v>
      </c>
      <c r="Z2987" t="s">
        <v>30697</v>
      </c>
      <c r="AA2987">
        <v>0.61043210856590469</v>
      </c>
      <c r="AB2987" t="str">
        <f>HYPERLINK("Melting_Curves/meltCurve_P55210_CASP7.pdf", "Melting_Curves/meltCurve_P55210_CASP7.pdf")</f>
        <v>Melting_Curves/meltCurve_P55210_CASP7.pdf</v>
      </c>
    </row>
    <row r="2988" spans="1:28" x14ac:dyDescent="0.25">
      <c r="A2988" t="s">
        <v>2992</v>
      </c>
      <c r="B2988">
        <v>0.99999676499088797</v>
      </c>
      <c r="C2988">
        <v>0.99652798828718703</v>
      </c>
      <c r="D2988">
        <v>0.69782097798141296</v>
      </c>
      <c r="E2988">
        <v>0.264646701714702</v>
      </c>
      <c r="F2988">
        <v>0.15401128423883401</v>
      </c>
      <c r="G2988">
        <v>0.11141793300048899</v>
      </c>
      <c r="H2988">
        <v>6.7983173800827107E-2</v>
      </c>
      <c r="I2988">
        <v>5.1505569849618099E-2</v>
      </c>
      <c r="J2988">
        <v>7.1673656998233096E-2</v>
      </c>
      <c r="K2988">
        <v>7.6484500311277903E-2</v>
      </c>
      <c r="L2988">
        <v>1351.33601220828</v>
      </c>
      <c r="M2988">
        <v>28.5926001517179</v>
      </c>
      <c r="N2988">
        <v>47.551213761875402</v>
      </c>
      <c r="O2988">
        <v>47.032389856618202</v>
      </c>
      <c r="P2988">
        <v>-0.139844696248585</v>
      </c>
      <c r="Q2988">
        <v>7.9877274532126105E-2</v>
      </c>
      <c r="R2988">
        <v>0.99617291562487997</v>
      </c>
      <c r="S2988" t="s">
        <v>9991</v>
      </c>
      <c r="T2988" t="s">
        <v>14004</v>
      </c>
      <c r="U2988" t="s">
        <v>14004</v>
      </c>
      <c r="V2988" t="s">
        <v>14004</v>
      </c>
      <c r="W2988" t="s">
        <v>16950</v>
      </c>
      <c r="X2988">
        <v>2</v>
      </c>
      <c r="Y2988" t="s">
        <v>23824</v>
      </c>
      <c r="Z2988" t="s">
        <v>30698</v>
      </c>
      <c r="AA2988">
        <v>0.30871519690158261</v>
      </c>
      <c r="AB2988" t="str">
        <f>HYPERLINK("Melting_Curves/meltCurve_P55211_CASP9.pdf", "Melting_Curves/meltCurve_P55211_CASP9.pdf")</f>
        <v>Melting_Curves/meltCurve_P55211_CASP9.pdf</v>
      </c>
    </row>
    <row r="2989" spans="1:28" x14ac:dyDescent="0.25">
      <c r="A2989" t="s">
        <v>2993</v>
      </c>
      <c r="B2989">
        <v>0.99999676499088797</v>
      </c>
      <c r="C2989">
        <v>0.93705778337391199</v>
      </c>
      <c r="D2989">
        <v>0.94329201550567299</v>
      </c>
      <c r="E2989">
        <v>0.97845484891190404</v>
      </c>
      <c r="F2989">
        <v>0.93415909558281196</v>
      </c>
      <c r="G2989">
        <v>0.81589202840009001</v>
      </c>
      <c r="H2989">
        <v>0.58857010702594903</v>
      </c>
      <c r="I2989">
        <v>0.54539427311739697</v>
      </c>
      <c r="J2989">
        <v>0.47723746609818601</v>
      </c>
      <c r="K2989">
        <v>0.40011068114638398</v>
      </c>
      <c r="L2989">
        <v>996.990616975855</v>
      </c>
      <c r="M2989">
        <v>16.795547273824099</v>
      </c>
      <c r="N2989">
        <v>64.786849800505394</v>
      </c>
      <c r="O2989">
        <v>58.538056629383902</v>
      </c>
      <c r="P2989">
        <v>-4.4651935635293197E-2</v>
      </c>
      <c r="Q2989">
        <v>0.37753307733858299</v>
      </c>
      <c r="R2989">
        <v>0.97943434475143798</v>
      </c>
      <c r="S2989" t="s">
        <v>9992</v>
      </c>
      <c r="T2989" t="s">
        <v>14004</v>
      </c>
      <c r="U2989" t="s">
        <v>14004</v>
      </c>
      <c r="V2989" t="s">
        <v>14004</v>
      </c>
      <c r="W2989" t="s">
        <v>16951</v>
      </c>
      <c r="X2989">
        <v>16</v>
      </c>
      <c r="Y2989" t="s">
        <v>23825</v>
      </c>
      <c r="Z2989" t="s">
        <v>30699</v>
      </c>
      <c r="AA2989">
        <v>0.78533630104285757</v>
      </c>
      <c r="AB2989" t="str">
        <f>HYPERLINK("Melting_Curves/meltCurve_P55212_CASP6.pdf", "Melting_Curves/meltCurve_P55212_CASP6.pdf")</f>
        <v>Melting_Curves/meltCurve_P55212_CASP6.pdf</v>
      </c>
    </row>
    <row r="2990" spans="1:28" x14ac:dyDescent="0.25">
      <c r="A2990" t="s">
        <v>2994</v>
      </c>
      <c r="B2990">
        <v>0.99999676499088797</v>
      </c>
      <c r="C2990">
        <v>0.91064442519850597</v>
      </c>
      <c r="D2990">
        <v>0.94743942741607001</v>
      </c>
      <c r="E2990">
        <v>1.0943094418291699</v>
      </c>
      <c r="F2990">
        <v>1.0416966825165499</v>
      </c>
      <c r="G2990">
        <v>0.663807821402008</v>
      </c>
      <c r="H2990">
        <v>0.24933571541462199</v>
      </c>
      <c r="I2990">
        <v>0.12113550442000399</v>
      </c>
      <c r="J2990">
        <v>9.3939983468493998E-2</v>
      </c>
      <c r="K2990">
        <v>8.0586203746116206E-2</v>
      </c>
      <c r="L2990">
        <v>2139.0637580017701</v>
      </c>
      <c r="M2990">
        <v>36.992768724768503</v>
      </c>
      <c r="N2990">
        <v>58.150604052161</v>
      </c>
      <c r="O2990">
        <v>57.655643666822897</v>
      </c>
      <c r="P2990">
        <v>-0.145351111109779</v>
      </c>
      <c r="Q2990">
        <v>9.3845925884932097E-2</v>
      </c>
      <c r="R2990">
        <v>0.98362077795992997</v>
      </c>
      <c r="S2990" t="s">
        <v>9993</v>
      </c>
      <c r="T2990" t="s">
        <v>14004</v>
      </c>
      <c r="U2990" t="s">
        <v>14004</v>
      </c>
      <c r="V2990" t="s">
        <v>14004</v>
      </c>
      <c r="W2990" t="s">
        <v>16952</v>
      </c>
      <c r="X2990">
        <v>16</v>
      </c>
      <c r="Y2990" t="s">
        <v>23826</v>
      </c>
      <c r="Z2990" t="s">
        <v>30700</v>
      </c>
      <c r="AA2990">
        <v>0.63634051874169573</v>
      </c>
      <c r="AB2990" t="str">
        <f>HYPERLINK("Melting_Curves/meltCurve_P55263_ADK.pdf", "Melting_Curves/meltCurve_P55263_ADK.pdf")</f>
        <v>Melting_Curves/meltCurve_P55263_ADK.pdf</v>
      </c>
    </row>
    <row r="2991" spans="1:28" x14ac:dyDescent="0.25">
      <c r="A2991" t="s">
        <v>2995</v>
      </c>
      <c r="B2991">
        <v>0.99999676499088797</v>
      </c>
      <c r="C2991">
        <v>1.0562764044119599</v>
      </c>
      <c r="D2991">
        <v>1.0090895416033401</v>
      </c>
      <c r="E2991">
        <v>0.87407777429690803</v>
      </c>
      <c r="F2991">
        <v>0.66119459430833405</v>
      </c>
      <c r="G2991">
        <v>0.360804487498391</v>
      </c>
      <c r="H2991">
        <v>0.15204430671455499</v>
      </c>
      <c r="I2991">
        <v>0.145939722487125</v>
      </c>
      <c r="J2991">
        <v>0.115163398209055</v>
      </c>
      <c r="K2991">
        <v>0.12549776726467701</v>
      </c>
      <c r="L2991">
        <v>1205.07074241125</v>
      </c>
      <c r="M2991">
        <v>22.197492917150999</v>
      </c>
      <c r="N2991">
        <v>54.879287689793998</v>
      </c>
      <c r="O2991">
        <v>53.853744305598703</v>
      </c>
      <c r="P2991">
        <v>-9.2097465198148099E-2</v>
      </c>
      <c r="Q2991">
        <v>0.106261765919911</v>
      </c>
      <c r="R2991">
        <v>0.99586236723904098</v>
      </c>
      <c r="S2991" t="s">
        <v>9994</v>
      </c>
      <c r="T2991" t="s">
        <v>14004</v>
      </c>
      <c r="U2991" t="s">
        <v>14004</v>
      </c>
      <c r="V2991" t="s">
        <v>14004</v>
      </c>
      <c r="W2991" t="s">
        <v>16953</v>
      </c>
      <c r="X2991">
        <v>3</v>
      </c>
      <c r="Y2991" t="s">
        <v>23827</v>
      </c>
      <c r="Z2991" t="s">
        <v>30701</v>
      </c>
      <c r="AA2991">
        <v>0.54212709890083977</v>
      </c>
      <c r="AB2991" t="str">
        <f>HYPERLINK("Melting_Curves/meltCurve_P55273_CDKN2D.pdf", "Melting_Curves/meltCurve_P55273_CDKN2D.pdf")</f>
        <v>Melting_Curves/meltCurve_P55273_CDKN2D.pdf</v>
      </c>
    </row>
    <row r="2992" spans="1:28" x14ac:dyDescent="0.25">
      <c r="A2992" t="s">
        <v>2996</v>
      </c>
      <c r="B2992">
        <v>0.99999676499088797</v>
      </c>
      <c r="C2992">
        <v>0.91740941281675303</v>
      </c>
      <c r="D2992">
        <v>0.94702722608498802</v>
      </c>
      <c r="E2992">
        <v>0.93545654600271599</v>
      </c>
      <c r="F2992">
        <v>0.82608665609363097</v>
      </c>
      <c r="G2992">
        <v>0.60765157784744905</v>
      </c>
      <c r="H2992">
        <v>0.55890378168624</v>
      </c>
      <c r="I2992">
        <v>0.40051484836462897</v>
      </c>
      <c r="J2992">
        <v>0.35812641942927997</v>
      </c>
      <c r="K2992">
        <v>0.39386633691857897</v>
      </c>
      <c r="L2992">
        <v>789.34353868402695</v>
      </c>
      <c r="M2992">
        <v>13.950335603748499</v>
      </c>
      <c r="N2992">
        <v>61.026890542075698</v>
      </c>
      <c r="O2992">
        <v>55.457773939106801</v>
      </c>
      <c r="P2992">
        <v>-4.2833434900109602E-2</v>
      </c>
      <c r="Q2992">
        <v>0.318976244108372</v>
      </c>
      <c r="R2992">
        <v>0.975482875666983</v>
      </c>
      <c r="S2992" t="s">
        <v>9995</v>
      </c>
      <c r="T2992" t="s">
        <v>14004</v>
      </c>
      <c r="U2992" t="s">
        <v>14004</v>
      </c>
      <c r="V2992" t="s">
        <v>14004</v>
      </c>
      <c r="W2992" t="s">
        <v>16954</v>
      </c>
      <c r="X2992">
        <v>4</v>
      </c>
      <c r="Y2992" t="s">
        <v>23828</v>
      </c>
      <c r="Z2992" t="s">
        <v>30702</v>
      </c>
      <c r="AA2992">
        <v>0.70728339565882281</v>
      </c>
      <c r="AB2992" t="str">
        <f>HYPERLINK("Melting_Curves/meltCurve_P55283_CDH4.pdf", "Melting_Curves/meltCurve_P55283_CDH4.pdf")</f>
        <v>Melting_Curves/meltCurve_P55283_CDH4.pdf</v>
      </c>
    </row>
    <row r="2993" spans="1:28" x14ac:dyDescent="0.25">
      <c r="A2993" t="s">
        <v>2997</v>
      </c>
      <c r="B2993">
        <v>0.99999676499088797</v>
      </c>
      <c r="C2993">
        <v>0.85975834719348998</v>
      </c>
      <c r="D2993">
        <v>0.86810117064863301</v>
      </c>
      <c r="E2993">
        <v>0.83305036572184499</v>
      </c>
      <c r="F2993">
        <v>0.84426888005407597</v>
      </c>
      <c r="G2993">
        <v>0.77682610883971503</v>
      </c>
      <c r="H2993">
        <v>0.60758017417326604</v>
      </c>
      <c r="I2993">
        <v>0.63713319688189796</v>
      </c>
      <c r="J2993">
        <v>0.62691602156014004</v>
      </c>
      <c r="K2993">
        <v>0.81057415165574698</v>
      </c>
      <c r="L2993">
        <v>411.147525280683</v>
      </c>
      <c r="M2993">
        <v>8.3067969467876406</v>
      </c>
      <c r="O2993">
        <v>46.875751953286702</v>
      </c>
      <c r="P2993">
        <v>-1.55586569366975E-2</v>
      </c>
      <c r="Q2993">
        <v>0.649150879146278</v>
      </c>
      <c r="R2993">
        <v>0.66946574681786797</v>
      </c>
      <c r="S2993" t="s">
        <v>9996</v>
      </c>
      <c r="T2993" t="s">
        <v>14004</v>
      </c>
      <c r="U2993" t="s">
        <v>14004</v>
      </c>
      <c r="V2993" t="s">
        <v>14004</v>
      </c>
      <c r="W2993" t="s">
        <v>16955</v>
      </c>
      <c r="X2993">
        <v>15</v>
      </c>
      <c r="Y2993" t="s">
        <v>21631</v>
      </c>
      <c r="Z2993" t="s">
        <v>30703</v>
      </c>
      <c r="AA2993">
        <v>0.78127778038246254</v>
      </c>
      <c r="AB2993" t="str">
        <f>HYPERLINK("Melting_Curves/meltCurve_P55327_2_TPD52.pdf", "Melting_Curves/meltCurve_P55327_2_TPD52.pdf")</f>
        <v>Melting_Curves/meltCurve_P55327_2_TPD52.pdf</v>
      </c>
    </row>
    <row r="2994" spans="1:28" x14ac:dyDescent="0.25">
      <c r="A2994" t="s">
        <v>2998</v>
      </c>
      <c r="B2994">
        <v>0.99999676499088797</v>
      </c>
      <c r="C2994">
        <v>0.99959070062112199</v>
      </c>
      <c r="D2994">
        <v>0.86463328560262598</v>
      </c>
      <c r="E2994">
        <v>0.61906058625318505</v>
      </c>
      <c r="F2994">
        <v>0.40673699070790498</v>
      </c>
      <c r="G2994">
        <v>0.22839649481459101</v>
      </c>
      <c r="H2994">
        <v>0.108977295663651</v>
      </c>
      <c r="I2994">
        <v>9.3404009823221404E-2</v>
      </c>
      <c r="J2994">
        <v>7.9998626187994901E-2</v>
      </c>
      <c r="K2994">
        <v>8.1430079377763004E-2</v>
      </c>
      <c r="L2994">
        <v>826.74318772659296</v>
      </c>
      <c r="M2994">
        <v>16.171046689116299</v>
      </c>
      <c r="N2994">
        <v>51.543267504878102</v>
      </c>
      <c r="O2994">
        <v>50.362256420723703</v>
      </c>
      <c r="P2994">
        <v>-7.53422116987017E-2</v>
      </c>
      <c r="Q2994">
        <v>6.1503365703984798E-2</v>
      </c>
      <c r="R2994">
        <v>0.99757490792518599</v>
      </c>
      <c r="S2994" t="s">
        <v>9997</v>
      </c>
      <c r="T2994" t="s">
        <v>14004</v>
      </c>
      <c r="U2994" t="s">
        <v>14004</v>
      </c>
      <c r="V2994" t="s">
        <v>14004</v>
      </c>
      <c r="W2994" t="s">
        <v>16956</v>
      </c>
      <c r="X2994">
        <v>10</v>
      </c>
      <c r="Y2994" t="s">
        <v>23829</v>
      </c>
      <c r="Z2994" t="s">
        <v>30704</v>
      </c>
      <c r="AA2994">
        <v>0.42857245843456088</v>
      </c>
      <c r="AB2994" t="str">
        <f>HYPERLINK("Melting_Curves/meltCurve_P55735_SEC13.pdf", "Melting_Curves/meltCurve_P55735_SEC13.pdf")</f>
        <v>Melting_Curves/meltCurve_P55735_SEC13.pdf</v>
      </c>
    </row>
    <row r="2995" spans="1:28" x14ac:dyDescent="0.25">
      <c r="A2995" t="s">
        <v>2999</v>
      </c>
      <c r="B2995">
        <v>0.99999676499088797</v>
      </c>
      <c r="C2995">
        <v>0.98718011718890497</v>
      </c>
      <c r="D2995">
        <v>0.53236943655923497</v>
      </c>
      <c r="E2995">
        <v>0.37375472385277603</v>
      </c>
      <c r="F2995">
        <v>0.363325408610013</v>
      </c>
      <c r="G2995">
        <v>0.18833453452195201</v>
      </c>
      <c r="H2995">
        <v>0.154907021252844</v>
      </c>
      <c r="I2995">
        <v>7.0138668517675695E-2</v>
      </c>
      <c r="J2995">
        <v>4.3720817494106799E-2</v>
      </c>
      <c r="K2995">
        <v>5.5868892413976697E-2</v>
      </c>
      <c r="L2995">
        <v>677.85183822628699</v>
      </c>
      <c r="M2995">
        <v>14.172381571017</v>
      </c>
      <c r="N2995">
        <v>48.3685426715925</v>
      </c>
      <c r="O2995">
        <v>46.907021081206601</v>
      </c>
      <c r="P2995">
        <v>-7.0021256205165999E-2</v>
      </c>
      <c r="Q2995">
        <v>7.3105891701982395E-2</v>
      </c>
      <c r="R2995">
        <v>0.94900910947089101</v>
      </c>
      <c r="S2995" t="s">
        <v>9998</v>
      </c>
      <c r="T2995" t="s">
        <v>14004</v>
      </c>
      <c r="U2995" t="s">
        <v>14004</v>
      </c>
      <c r="V2995" t="s">
        <v>14004</v>
      </c>
      <c r="W2995" t="s">
        <v>16957</v>
      </c>
      <c r="X2995">
        <v>2</v>
      </c>
      <c r="Y2995" t="s">
        <v>23830</v>
      </c>
      <c r="Z2995" t="s">
        <v>30705</v>
      </c>
      <c r="AA2995">
        <v>0.34189271031607921</v>
      </c>
      <c r="AB2995" t="str">
        <f>HYPERLINK("Melting_Curves/meltCurve_P55771_PAX9.pdf", "Melting_Curves/meltCurve_P55771_PAX9.pdf")</f>
        <v>Melting_Curves/meltCurve_P55771_PAX9.pdf</v>
      </c>
    </row>
    <row r="2996" spans="1:28" x14ac:dyDescent="0.25">
      <c r="A2996" t="s">
        <v>3000</v>
      </c>
      <c r="B2996">
        <v>0.99999676499088797</v>
      </c>
      <c r="C2996">
        <v>0.91561285051699903</v>
      </c>
      <c r="D2996">
        <v>0.93045355657715001</v>
      </c>
      <c r="E2996">
        <v>0.84330523577502003</v>
      </c>
      <c r="F2996">
        <v>0.87017277705017104</v>
      </c>
      <c r="G2996">
        <v>0.66710111091605095</v>
      </c>
      <c r="H2996">
        <v>0.44504842043848902</v>
      </c>
      <c r="I2996">
        <v>0.421447051229493</v>
      </c>
      <c r="J2996">
        <v>0.42544983622055599</v>
      </c>
      <c r="K2996">
        <v>0.502876401577531</v>
      </c>
      <c r="L2996">
        <v>904.35139566303599</v>
      </c>
      <c r="M2996">
        <v>16.360514953629401</v>
      </c>
      <c r="N2996">
        <v>61.559376817771003</v>
      </c>
      <c r="O2996">
        <v>54.470417252756903</v>
      </c>
      <c r="P2996">
        <v>-4.4616747960085502E-2</v>
      </c>
      <c r="Q2996">
        <v>0.40585779271418199</v>
      </c>
      <c r="R2996">
        <v>0.93125558568339295</v>
      </c>
      <c r="S2996" t="s">
        <v>9999</v>
      </c>
      <c r="T2996" t="s">
        <v>14004</v>
      </c>
      <c r="U2996" t="s">
        <v>14004</v>
      </c>
      <c r="V2996" t="s">
        <v>14004</v>
      </c>
      <c r="W2996" t="s">
        <v>16958</v>
      </c>
      <c r="X2996">
        <v>7</v>
      </c>
      <c r="Y2996" t="s">
        <v>23831</v>
      </c>
      <c r="Z2996" t="s">
        <v>30706</v>
      </c>
      <c r="AA2996">
        <v>0.71862169372050277</v>
      </c>
      <c r="AB2996" t="str">
        <f>HYPERLINK("Melting_Curves/meltCurve_P55789_GFER.pdf", "Melting_Curves/meltCurve_P55789_GFER.pdf")</f>
        <v>Melting_Curves/meltCurve_P55789_GFER.pdf</v>
      </c>
    </row>
    <row r="2997" spans="1:28" x14ac:dyDescent="0.25">
      <c r="A2997" t="s">
        <v>3001</v>
      </c>
      <c r="B2997">
        <v>0.99999676499088797</v>
      </c>
      <c r="C2997">
        <v>0.49020981201098301</v>
      </c>
      <c r="D2997">
        <v>0.20856692232059601</v>
      </c>
      <c r="E2997">
        <v>0.14622617016426501</v>
      </c>
      <c r="F2997">
        <v>0.16308159785519</v>
      </c>
      <c r="G2997">
        <v>7.9796521627221007E-2</v>
      </c>
      <c r="H2997">
        <v>4.7535297514663399E-2</v>
      </c>
      <c r="I2997">
        <v>5.2650853994481897E-2</v>
      </c>
      <c r="J2997">
        <v>6.2565922135476695E-2</v>
      </c>
      <c r="K2997">
        <v>5.6164497776619401E-2</v>
      </c>
      <c r="L2997">
        <v>1618.97929323024</v>
      </c>
      <c r="M2997">
        <v>37.8486118048788</v>
      </c>
      <c r="N2997">
        <v>43.005884689334401</v>
      </c>
      <c r="O2997">
        <v>42.656265212654702</v>
      </c>
      <c r="P2997">
        <v>-0.20144033482545901</v>
      </c>
      <c r="Q2997">
        <v>9.1891069836994299E-2</v>
      </c>
      <c r="R2997">
        <v>0.97412661338217799</v>
      </c>
      <c r="S2997" t="s">
        <v>10000</v>
      </c>
      <c r="T2997" t="s">
        <v>14004</v>
      </c>
      <c r="U2997" t="s">
        <v>14004</v>
      </c>
      <c r="V2997" t="s">
        <v>14004</v>
      </c>
      <c r="W2997" t="s">
        <v>16959</v>
      </c>
      <c r="X2997">
        <v>12</v>
      </c>
      <c r="Y2997" t="s">
        <v>23832</v>
      </c>
      <c r="Z2997" t="s">
        <v>30707</v>
      </c>
      <c r="AA2997">
        <v>0.18089046817375559</v>
      </c>
      <c r="AB2997" t="str">
        <f>HYPERLINK("Melting_Curves/meltCurve_P55795_HNRNPH2.pdf", "Melting_Curves/meltCurve_P55795_HNRNPH2.pdf")</f>
        <v>Melting_Curves/meltCurve_P55795_HNRNPH2.pdf</v>
      </c>
    </row>
    <row r="2998" spans="1:28" x14ac:dyDescent="0.25">
      <c r="A2998" t="s">
        <v>3002</v>
      </c>
      <c r="B2998">
        <v>0.99999676499088797</v>
      </c>
      <c r="C2998">
        <v>1.0111522950354399</v>
      </c>
      <c r="D2998">
        <v>0.99101489530243003</v>
      </c>
      <c r="E2998">
        <v>1.02334226398039</v>
      </c>
      <c r="F2998">
        <v>0.63311760059130096</v>
      </c>
      <c r="G2998">
        <v>0.17774469439646401</v>
      </c>
      <c r="H2998">
        <v>8.2524278312301302E-2</v>
      </c>
      <c r="I2998">
        <v>7.7373260437253302E-2</v>
      </c>
      <c r="J2998">
        <v>7.3155617376213594E-2</v>
      </c>
      <c r="K2998">
        <v>5.4179121440163902E-2</v>
      </c>
      <c r="L2998">
        <v>2279.3715833203801</v>
      </c>
      <c r="M2998">
        <v>42.370078817305902</v>
      </c>
      <c r="N2998">
        <v>53.996546935018401</v>
      </c>
      <c r="O2998">
        <v>53.677304438685802</v>
      </c>
      <c r="P2998">
        <v>-0.183017233563538</v>
      </c>
      <c r="Q2998">
        <v>7.2566693111199301E-2</v>
      </c>
      <c r="R2998">
        <v>0.99825578088859301</v>
      </c>
      <c r="S2998" t="s">
        <v>10001</v>
      </c>
      <c r="T2998" t="s">
        <v>14004</v>
      </c>
      <c r="U2998" t="s">
        <v>14004</v>
      </c>
      <c r="V2998" t="s">
        <v>14004</v>
      </c>
      <c r="W2998" t="s">
        <v>16960</v>
      </c>
      <c r="X2998">
        <v>25</v>
      </c>
      <c r="Y2998" t="s">
        <v>23833</v>
      </c>
      <c r="Z2998" t="s">
        <v>30708</v>
      </c>
      <c r="AA2998">
        <v>0.50215256461558722</v>
      </c>
      <c r="AB2998" t="str">
        <f>HYPERLINK("Melting_Curves/meltCurve_P55809_OXCT1.pdf", "Melting_Curves/meltCurve_P55809_OXCT1.pdf")</f>
        <v>Melting_Curves/meltCurve_P55809_OXCT1.pdf</v>
      </c>
    </row>
    <row r="2999" spans="1:28" x14ac:dyDescent="0.25">
      <c r="A2999" t="s">
        <v>3003</v>
      </c>
      <c r="B2999">
        <v>0.99999676499088797</v>
      </c>
      <c r="C2999">
        <v>1.0283604107086901</v>
      </c>
      <c r="D2999">
        <v>0.97851651217112601</v>
      </c>
      <c r="E2999">
        <v>0.383741470710875</v>
      </c>
      <c r="F2999">
        <v>0.28468532974458799</v>
      </c>
      <c r="G2999">
        <v>0.17416563219001699</v>
      </c>
      <c r="H2999">
        <v>9.5721741853241102E-2</v>
      </c>
      <c r="I2999">
        <v>0.10190110140523501</v>
      </c>
      <c r="J2999">
        <v>9.5110466701369495E-2</v>
      </c>
      <c r="K2999">
        <v>9.0632117790315603E-2</v>
      </c>
      <c r="L2999">
        <v>2065.93884355712</v>
      </c>
      <c r="M2999">
        <v>42.386292993047498</v>
      </c>
      <c r="N2999">
        <v>49.097367555851598</v>
      </c>
      <c r="O2999">
        <v>48.632620796191901</v>
      </c>
      <c r="P2999">
        <v>-0.18901950430074299</v>
      </c>
      <c r="Q2999">
        <v>0.132502836745162</v>
      </c>
      <c r="R2999">
        <v>0.98214900718989195</v>
      </c>
      <c r="S2999" t="s">
        <v>10002</v>
      </c>
      <c r="T2999" t="s">
        <v>14004</v>
      </c>
      <c r="U2999" t="s">
        <v>14004</v>
      </c>
      <c r="V2999" t="s">
        <v>14004</v>
      </c>
      <c r="W2999" t="s">
        <v>16961</v>
      </c>
      <c r="X2999">
        <v>36</v>
      </c>
      <c r="Y2999" t="s">
        <v>23834</v>
      </c>
      <c r="Z2999" t="s">
        <v>30709</v>
      </c>
      <c r="AA2999">
        <v>0.38785770967630129</v>
      </c>
      <c r="AB2999" t="str">
        <f>HYPERLINK("Melting_Curves/meltCurve_P55884_EIF3B.pdf", "Melting_Curves/meltCurve_P55884_EIF3B.pdf")</f>
        <v>Melting_Curves/meltCurve_P55884_EIF3B.pdf</v>
      </c>
    </row>
    <row r="3000" spans="1:28" x14ac:dyDescent="0.25">
      <c r="A3000" t="s">
        <v>3004</v>
      </c>
      <c r="B3000">
        <v>0.99999676499088797</v>
      </c>
      <c r="C3000">
        <v>0.98662272602001</v>
      </c>
      <c r="D3000">
        <v>0.91055584176461901</v>
      </c>
      <c r="E3000">
        <v>0.95724272732593296</v>
      </c>
      <c r="F3000">
        <v>0.87383171496699696</v>
      </c>
      <c r="G3000">
        <v>0.63406363981393399</v>
      </c>
      <c r="H3000">
        <v>0.28703278551862499</v>
      </c>
      <c r="I3000">
        <v>0.16385935491737999</v>
      </c>
      <c r="J3000">
        <v>0.16492849022803899</v>
      </c>
      <c r="K3000">
        <v>0.18538793275448601</v>
      </c>
      <c r="L3000">
        <v>1482.58322953025</v>
      </c>
      <c r="M3000">
        <v>25.9251467235758</v>
      </c>
      <c r="N3000">
        <v>57.961070500076701</v>
      </c>
      <c r="O3000">
        <v>56.850067881388703</v>
      </c>
      <c r="P3000">
        <v>-9.7327036571076594E-2</v>
      </c>
      <c r="Q3000">
        <v>0.14631392031193599</v>
      </c>
      <c r="R3000">
        <v>0.99065216393953104</v>
      </c>
      <c r="S3000" t="s">
        <v>10003</v>
      </c>
      <c r="T3000" t="s">
        <v>14004</v>
      </c>
      <c r="U3000" t="s">
        <v>14004</v>
      </c>
      <c r="V3000" t="s">
        <v>14004</v>
      </c>
      <c r="W3000" t="s">
        <v>16962</v>
      </c>
      <c r="X3000">
        <v>3</v>
      </c>
      <c r="Y3000" t="s">
        <v>23835</v>
      </c>
      <c r="Z3000" t="s">
        <v>30710</v>
      </c>
      <c r="AA3000">
        <v>0.64262609111691549</v>
      </c>
      <c r="AB3000" t="str">
        <f>HYPERLINK("Melting_Curves/meltCurve_P55899_FCGRT.pdf", "Melting_Curves/meltCurve_P55899_FCGRT.pdf")</f>
        <v>Melting_Curves/meltCurve_P55899_FCGRT.pdf</v>
      </c>
    </row>
    <row r="3001" spans="1:28" x14ac:dyDescent="0.25">
      <c r="A3001" t="s">
        <v>3005</v>
      </c>
      <c r="B3001">
        <v>0.99999676499088797</v>
      </c>
      <c r="C3001">
        <v>0.96456135240770802</v>
      </c>
      <c r="D3001">
        <v>0.99495084566062597</v>
      </c>
      <c r="E3001">
        <v>0.91207045968153999</v>
      </c>
      <c r="F3001">
        <v>0.89267459238418201</v>
      </c>
      <c r="G3001">
        <v>0.63483464133523604</v>
      </c>
      <c r="H3001">
        <v>0.425744444879949</v>
      </c>
      <c r="I3001">
        <v>0.323456057536051</v>
      </c>
      <c r="J3001">
        <v>0.24890838536190699</v>
      </c>
      <c r="K3001">
        <v>0.239855219100714</v>
      </c>
      <c r="L3001">
        <v>1040.6842381717499</v>
      </c>
      <c r="M3001">
        <v>18.068956687815099</v>
      </c>
      <c r="N3001">
        <v>59.304732714843702</v>
      </c>
      <c r="O3001">
        <v>56.903591823827597</v>
      </c>
      <c r="P3001">
        <v>-6.3272153163512895E-2</v>
      </c>
      <c r="Q3001">
        <v>0.20300040409020301</v>
      </c>
      <c r="R3001">
        <v>0.99435619790822505</v>
      </c>
      <c r="S3001" t="s">
        <v>10004</v>
      </c>
      <c r="T3001" t="s">
        <v>14004</v>
      </c>
      <c r="U3001" t="s">
        <v>14004</v>
      </c>
      <c r="V3001" t="s">
        <v>14004</v>
      </c>
      <c r="W3001" t="s">
        <v>16963</v>
      </c>
      <c r="X3001">
        <v>11</v>
      </c>
      <c r="Y3001" t="s">
        <v>23836</v>
      </c>
      <c r="Z3001" t="s">
        <v>30711</v>
      </c>
      <c r="AA3001">
        <v>0.68074398547949155</v>
      </c>
      <c r="AB3001" t="str">
        <f>HYPERLINK("Melting_Curves/meltCurve_P55957_BID.pdf", "Melting_Curves/meltCurve_P55957_BID.pdf")</f>
        <v>Melting_Curves/meltCurve_P55957_BID.pdf</v>
      </c>
    </row>
    <row r="3002" spans="1:28" x14ac:dyDescent="0.25">
      <c r="A3002" t="s">
        <v>3006</v>
      </c>
      <c r="B3002">
        <v>0.99999676499088797</v>
      </c>
      <c r="C3002">
        <v>1.00842842152651</v>
      </c>
      <c r="D3002">
        <v>1.0068975131862601</v>
      </c>
      <c r="E3002">
        <v>1.19475228193566</v>
      </c>
      <c r="F3002">
        <v>1.35450754537239</v>
      </c>
      <c r="G3002">
        <v>1.26812976633521</v>
      </c>
      <c r="H3002">
        <v>0.749991080930972</v>
      </c>
      <c r="I3002">
        <v>0.44702003106620097</v>
      </c>
      <c r="J3002">
        <v>0.214401681905286</v>
      </c>
      <c r="K3002">
        <v>0.35882606221479402</v>
      </c>
      <c r="L3002">
        <v>3282.7657746771401</v>
      </c>
      <c r="M3002">
        <v>53.1738998955339</v>
      </c>
      <c r="N3002">
        <v>62.8238295695514</v>
      </c>
      <c r="O3002">
        <v>61.649279092084399</v>
      </c>
      <c r="P3002">
        <v>-0.15076518041443099</v>
      </c>
      <c r="Q3002">
        <v>0.30081799650545099</v>
      </c>
      <c r="R3002">
        <v>0.82179825378591598</v>
      </c>
      <c r="S3002" t="s">
        <v>10005</v>
      </c>
      <c r="T3002" t="s">
        <v>14004</v>
      </c>
      <c r="U3002" t="s">
        <v>14004</v>
      </c>
      <c r="V3002" t="s">
        <v>14004</v>
      </c>
      <c r="W3002" t="s">
        <v>16964</v>
      </c>
      <c r="X3002">
        <v>2</v>
      </c>
      <c r="Y3002" t="s">
        <v>23837</v>
      </c>
      <c r="Z3002" t="s">
        <v>30712</v>
      </c>
      <c r="AA3002">
        <v>0.80902240186145868</v>
      </c>
      <c r="AB3002" t="str">
        <f>HYPERLINK("Melting_Curves/meltCurve_P56134_3_ATP5J2.pdf", "Melting_Curves/meltCurve_P56134_3_ATP5J2.pdf")</f>
        <v>Melting_Curves/meltCurve_P56134_3_ATP5J2.pdf</v>
      </c>
    </row>
    <row r="3003" spans="1:28" x14ac:dyDescent="0.25">
      <c r="A3003" t="s">
        <v>3007</v>
      </c>
      <c r="B3003">
        <v>0.99999676499088797</v>
      </c>
      <c r="C3003">
        <v>0.92911686186585796</v>
      </c>
      <c r="D3003">
        <v>0.913410601388847</v>
      </c>
      <c r="E3003">
        <v>0.77786909225574197</v>
      </c>
      <c r="F3003">
        <v>0.753776120402462</v>
      </c>
      <c r="G3003">
        <v>0.69514403045637796</v>
      </c>
      <c r="H3003">
        <v>0.43958141519539201</v>
      </c>
      <c r="I3003">
        <v>0.425781729460108</v>
      </c>
      <c r="J3003">
        <v>0.30901674226808901</v>
      </c>
      <c r="K3003">
        <v>0.28351779844930303</v>
      </c>
      <c r="L3003">
        <v>439.58296037107402</v>
      </c>
      <c r="M3003">
        <v>7.2460201041969601</v>
      </c>
      <c r="N3003">
        <v>60.665434818295097</v>
      </c>
      <c r="O3003">
        <v>56.556271922177999</v>
      </c>
      <c r="P3003">
        <v>-3.2082436629135902E-2</v>
      </c>
      <c r="Q3003">
        <v>0</v>
      </c>
      <c r="R3003">
        <v>0.97769395906868695</v>
      </c>
      <c r="S3003" t="s">
        <v>10006</v>
      </c>
      <c r="T3003" t="s">
        <v>14004</v>
      </c>
      <c r="U3003" t="s">
        <v>14004</v>
      </c>
      <c r="V3003" t="s">
        <v>14004</v>
      </c>
      <c r="W3003" t="s">
        <v>16965</v>
      </c>
      <c r="X3003">
        <v>10</v>
      </c>
      <c r="Y3003" t="s">
        <v>23838</v>
      </c>
      <c r="Z3003" t="s">
        <v>30713</v>
      </c>
      <c r="AA3003">
        <v>0.66018447614058584</v>
      </c>
      <c r="AB3003" t="str">
        <f>HYPERLINK("Melting_Curves/meltCurve_P56159_2_GFRA1.pdf", "Melting_Curves/meltCurve_P56159_2_GFRA1.pdf")</f>
        <v>Melting_Curves/meltCurve_P56159_2_GFRA1.pdf</v>
      </c>
    </row>
    <row r="3004" spans="1:28" x14ac:dyDescent="0.25">
      <c r="A3004" t="s">
        <v>3008</v>
      </c>
      <c r="B3004">
        <v>0.99999676499088797</v>
      </c>
      <c r="C3004">
        <v>0.89506273764663702</v>
      </c>
      <c r="D3004">
        <v>0.95552866172476403</v>
      </c>
      <c r="E3004">
        <v>1.35475249074521</v>
      </c>
      <c r="F3004">
        <v>1.07517914599353</v>
      </c>
      <c r="G3004">
        <v>0.73222523294701303</v>
      </c>
      <c r="H3004">
        <v>0.48032924564635798</v>
      </c>
      <c r="I3004">
        <v>0.60699790784362495</v>
      </c>
      <c r="J3004">
        <v>0.451529036887242</v>
      </c>
      <c r="K3004">
        <v>0.89258795606341901</v>
      </c>
      <c r="L3004">
        <v>14156.4382832142</v>
      </c>
      <c r="M3004">
        <v>250</v>
      </c>
      <c r="O3004">
        <v>56.622144293545297</v>
      </c>
      <c r="P3004">
        <v>-0.43284640929646501</v>
      </c>
      <c r="Q3004">
        <v>0.607861033262311</v>
      </c>
      <c r="R3004">
        <v>0.62550921166642404</v>
      </c>
      <c r="S3004" t="s">
        <v>10007</v>
      </c>
      <c r="T3004" t="s">
        <v>14004</v>
      </c>
      <c r="U3004" t="s">
        <v>14004</v>
      </c>
      <c r="V3004" t="s">
        <v>14004</v>
      </c>
      <c r="W3004" t="s">
        <v>16966</v>
      </c>
      <c r="X3004">
        <v>1</v>
      </c>
      <c r="Y3004" t="s">
        <v>23839</v>
      </c>
      <c r="Z3004" t="s">
        <v>30714</v>
      </c>
      <c r="AA3004">
        <v>0.82522019147192294</v>
      </c>
      <c r="AB3004" t="str">
        <f>HYPERLINK("Melting_Curves/meltCurve_P56181_NDUFV3.pdf", "Melting_Curves/meltCurve_P56181_NDUFV3.pdf")</f>
        <v>Melting_Curves/meltCurve_P56181_NDUFV3.pdf</v>
      </c>
    </row>
    <row r="3005" spans="1:28" x14ac:dyDescent="0.25">
      <c r="A3005" t="s">
        <v>3009</v>
      </c>
      <c r="B3005">
        <v>0.99999676499088797</v>
      </c>
      <c r="C3005">
        <v>0.98850490794380697</v>
      </c>
      <c r="D3005">
        <v>1.08585659363162</v>
      </c>
      <c r="E3005">
        <v>1.1005884740165199</v>
      </c>
      <c r="F3005">
        <v>1.10673859809109</v>
      </c>
      <c r="G3005">
        <v>0.93014470849064901</v>
      </c>
      <c r="H3005">
        <v>0.72435132175206796</v>
      </c>
      <c r="I3005">
        <v>0.76472485189847705</v>
      </c>
      <c r="J3005">
        <v>0.73104799794368402</v>
      </c>
      <c r="K3005">
        <v>0.89045803815682201</v>
      </c>
      <c r="L3005">
        <v>14244.3456199186</v>
      </c>
      <c r="M3005">
        <v>250</v>
      </c>
      <c r="O3005">
        <v>56.973728621651901</v>
      </c>
      <c r="P3005">
        <v>-0.243922096854788</v>
      </c>
      <c r="Q3005">
        <v>0.77764554859411394</v>
      </c>
      <c r="R3005">
        <v>0.76960885882235797</v>
      </c>
      <c r="S3005" t="s">
        <v>10008</v>
      </c>
      <c r="T3005" t="s">
        <v>14004</v>
      </c>
      <c r="U3005" t="s">
        <v>14004</v>
      </c>
      <c r="V3005" t="s">
        <v>14004</v>
      </c>
      <c r="W3005" t="s">
        <v>16967</v>
      </c>
      <c r="X3005">
        <v>13</v>
      </c>
      <c r="Y3005" t="s">
        <v>23839</v>
      </c>
      <c r="Z3005" t="s">
        <v>30715</v>
      </c>
      <c r="AA3005">
        <v>0.90350100171759951</v>
      </c>
      <c r="AB3005" t="str">
        <f>HYPERLINK("Melting_Curves/meltCurve_P56181_2_NDUFV3.pdf", "Melting_Curves/meltCurve_P56181_2_NDUFV3.pdf")</f>
        <v>Melting_Curves/meltCurve_P56181_2_NDUFV3.pdf</v>
      </c>
    </row>
    <row r="3006" spans="1:28" x14ac:dyDescent="0.25">
      <c r="A3006" t="s">
        <v>3010</v>
      </c>
      <c r="B3006">
        <v>0.99999676499088797</v>
      </c>
      <c r="C3006">
        <v>0.98766070368246905</v>
      </c>
      <c r="D3006">
        <v>0.795680184779612</v>
      </c>
      <c r="E3006">
        <v>0.426543689995316</v>
      </c>
      <c r="F3006">
        <v>0.38291895812733201</v>
      </c>
      <c r="G3006">
        <v>0.197288424538544</v>
      </c>
      <c r="H3006">
        <v>8.3577634394453301E-2</v>
      </c>
      <c r="I3006">
        <v>5.1688600551814998E-2</v>
      </c>
      <c r="J3006">
        <v>4.8271294958549101E-2</v>
      </c>
      <c r="K3006">
        <v>3.3009489977569098E-2</v>
      </c>
      <c r="L3006">
        <v>732.86178954816103</v>
      </c>
      <c r="M3006">
        <v>14.702444240491999</v>
      </c>
      <c r="N3006">
        <v>50.06022851817</v>
      </c>
      <c r="O3006">
        <v>48.951341447885497</v>
      </c>
      <c r="P3006">
        <v>-7.2808252442543603E-2</v>
      </c>
      <c r="Q3006">
        <v>3.0454489598520901E-2</v>
      </c>
      <c r="R3006">
        <v>0.98236686134217699</v>
      </c>
      <c r="S3006" t="s">
        <v>10009</v>
      </c>
      <c r="T3006" t="s">
        <v>14004</v>
      </c>
      <c r="U3006" t="s">
        <v>14004</v>
      </c>
      <c r="V3006" t="s">
        <v>14004</v>
      </c>
      <c r="W3006" t="s">
        <v>16968</v>
      </c>
      <c r="X3006">
        <v>6</v>
      </c>
      <c r="Y3006" t="s">
        <v>23840</v>
      </c>
      <c r="Z3006" t="s">
        <v>30716</v>
      </c>
      <c r="AA3006">
        <v>0.372747289570799</v>
      </c>
      <c r="AB3006" t="str">
        <f>HYPERLINK("Melting_Curves/meltCurve_P56182_RRP1.pdf", "Melting_Curves/meltCurve_P56182_RRP1.pdf")</f>
        <v>Melting_Curves/meltCurve_P56182_RRP1.pdf</v>
      </c>
    </row>
    <row r="3007" spans="1:28" x14ac:dyDescent="0.25">
      <c r="A3007" t="s">
        <v>3011</v>
      </c>
      <c r="B3007">
        <v>0.99999676499088797</v>
      </c>
      <c r="C3007">
        <v>0.95409090264152996</v>
      </c>
      <c r="D3007">
        <v>0.84765623377062504</v>
      </c>
      <c r="E3007">
        <v>0.420793794268494</v>
      </c>
      <c r="F3007">
        <v>0.20308398101106201</v>
      </c>
      <c r="G3007">
        <v>0.14442595214266299</v>
      </c>
      <c r="H3007">
        <v>6.8943056192085697E-2</v>
      </c>
      <c r="I3007">
        <v>5.9042545787459398E-2</v>
      </c>
      <c r="J3007">
        <v>5.7311419583940502E-2</v>
      </c>
      <c r="K3007">
        <v>4.0332079047662402E-2</v>
      </c>
      <c r="L3007">
        <v>1123.60251368532</v>
      </c>
      <c r="M3007">
        <v>22.997505197435299</v>
      </c>
      <c r="N3007">
        <v>49.146396088340403</v>
      </c>
      <c r="O3007">
        <v>48.492677717370299</v>
      </c>
      <c r="P3007">
        <v>-0.111070031676697</v>
      </c>
      <c r="Q3007">
        <v>6.3206133947472806E-2</v>
      </c>
      <c r="R3007">
        <v>0.99660865217957295</v>
      </c>
      <c r="S3007" t="s">
        <v>10010</v>
      </c>
      <c r="T3007" t="s">
        <v>14004</v>
      </c>
      <c r="U3007" t="s">
        <v>14004</v>
      </c>
      <c r="V3007" t="s">
        <v>14004</v>
      </c>
      <c r="W3007" t="s">
        <v>16969</v>
      </c>
      <c r="X3007">
        <v>25</v>
      </c>
      <c r="Y3007" t="s">
        <v>23841</v>
      </c>
      <c r="Z3007" t="s">
        <v>30717</v>
      </c>
      <c r="AA3007">
        <v>0.34965488848203541</v>
      </c>
      <c r="AB3007" t="str">
        <f>HYPERLINK("Melting_Curves/meltCurve_P56192_MARS.pdf", "Melting_Curves/meltCurve_P56192_MARS.pdf")</f>
        <v>Melting_Curves/meltCurve_P56192_MARS.pdf</v>
      </c>
    </row>
    <row r="3008" spans="1:28" x14ac:dyDescent="0.25">
      <c r="A3008" t="s">
        <v>3012</v>
      </c>
      <c r="B3008">
        <v>0.99999676499088797</v>
      </c>
      <c r="C3008">
        <v>0.99852779462170904</v>
      </c>
      <c r="D3008">
        <v>1.09783813791214</v>
      </c>
      <c r="E3008">
        <v>1.1309382058869499</v>
      </c>
      <c r="F3008">
        <v>0.97055232697887295</v>
      </c>
      <c r="G3008">
        <v>0.94093211412639799</v>
      </c>
      <c r="H3008">
        <v>0.68894978587969602</v>
      </c>
      <c r="I3008">
        <v>0.60773399342734302</v>
      </c>
      <c r="J3008">
        <v>0.73493809982873104</v>
      </c>
      <c r="K3008">
        <v>0.69190993442226001</v>
      </c>
      <c r="L3008">
        <v>4414.4516228008397</v>
      </c>
      <c r="M3008">
        <v>76.233626016311902</v>
      </c>
      <c r="O3008">
        <v>57.867071936836801</v>
      </c>
      <c r="P3008">
        <v>-0.105804261712619</v>
      </c>
      <c r="Q3008">
        <v>0.67874639222018496</v>
      </c>
      <c r="R3008">
        <v>0.88668018651319003</v>
      </c>
      <c r="S3008" t="s">
        <v>10011</v>
      </c>
      <c r="T3008" t="s">
        <v>14004</v>
      </c>
      <c r="U3008" t="s">
        <v>14004</v>
      </c>
      <c r="V3008" t="s">
        <v>14004</v>
      </c>
      <c r="W3008" t="s">
        <v>16970</v>
      </c>
      <c r="X3008">
        <v>4</v>
      </c>
      <c r="Y3008" t="s">
        <v>23842</v>
      </c>
      <c r="Z3008" t="s">
        <v>30718</v>
      </c>
      <c r="AA3008">
        <v>0.87085325637748834</v>
      </c>
      <c r="AB3008" t="str">
        <f>HYPERLINK("Melting_Curves/meltCurve_P56199_ITGA1.pdf", "Melting_Curves/meltCurve_P56199_ITGA1.pdf")</f>
        <v>Melting_Curves/meltCurve_P56199_ITGA1.pdf</v>
      </c>
    </row>
    <row r="3009" spans="1:28" x14ac:dyDescent="0.25">
      <c r="A3009" t="s">
        <v>3013</v>
      </c>
      <c r="B3009">
        <v>0.99999676499088797</v>
      </c>
      <c r="C3009">
        <v>0.98917557873619699</v>
      </c>
      <c r="D3009">
        <v>1.0755810438640301</v>
      </c>
      <c r="E3009">
        <v>1.0495170736200401</v>
      </c>
      <c r="F3009">
        <v>0.92007235953393995</v>
      </c>
      <c r="G3009">
        <v>1.05720673367186</v>
      </c>
      <c r="H3009">
        <v>0.76064155198063499</v>
      </c>
      <c r="I3009">
        <v>0.83070696324404203</v>
      </c>
      <c r="J3009">
        <v>0.74973412151432794</v>
      </c>
      <c r="K3009">
        <v>0.77287185187202501</v>
      </c>
      <c r="L3009">
        <v>9145.5609440757198</v>
      </c>
      <c r="M3009">
        <v>155.12905661498999</v>
      </c>
      <c r="O3009">
        <v>58.944735621927897</v>
      </c>
      <c r="P3009">
        <v>-0.14601293334347501</v>
      </c>
      <c r="Q3009">
        <v>0.77807655493367101</v>
      </c>
      <c r="R3009">
        <v>0.858117699961499</v>
      </c>
      <c r="S3009" t="s">
        <v>10012</v>
      </c>
      <c r="T3009" t="s">
        <v>14004</v>
      </c>
      <c r="U3009" t="s">
        <v>14004</v>
      </c>
      <c r="V3009" t="s">
        <v>14004</v>
      </c>
      <c r="W3009" t="s">
        <v>16971</v>
      </c>
      <c r="X3009">
        <v>8</v>
      </c>
      <c r="Y3009" t="s">
        <v>23843</v>
      </c>
      <c r="Z3009" t="s">
        <v>30719</v>
      </c>
      <c r="AA3009">
        <v>0.91835137771508368</v>
      </c>
      <c r="AB3009" t="str">
        <f>HYPERLINK("Melting_Curves/meltCurve_P56211_ARPP19.pdf", "Melting_Curves/meltCurve_P56211_ARPP19.pdf")</f>
        <v>Melting_Curves/meltCurve_P56211_ARPP19.pdf</v>
      </c>
    </row>
    <row r="3010" spans="1:28" x14ac:dyDescent="0.25">
      <c r="A3010" t="s">
        <v>3014</v>
      </c>
      <c r="B3010">
        <v>0.99999676499088797</v>
      </c>
      <c r="C3010">
        <v>1.08469507078781</v>
      </c>
      <c r="D3010">
        <v>0.99418981898037695</v>
      </c>
      <c r="E3010">
        <v>0.77048933354568305</v>
      </c>
      <c r="F3010">
        <v>0.45017892975837098</v>
      </c>
      <c r="G3010">
        <v>0.57333009202312202</v>
      </c>
      <c r="H3010">
        <v>0.39856780829732003</v>
      </c>
      <c r="I3010">
        <v>0.60889663731014398</v>
      </c>
      <c r="J3010">
        <v>0.59989050154889101</v>
      </c>
      <c r="K3010">
        <v>0.56248886877908599</v>
      </c>
      <c r="L3010">
        <v>12401.856483231601</v>
      </c>
      <c r="M3010">
        <v>250</v>
      </c>
      <c r="O3010">
        <v>49.6042514017877</v>
      </c>
      <c r="P3010">
        <v>-0.58938311284081701</v>
      </c>
      <c r="Q3010">
        <v>0.53222547106933604</v>
      </c>
      <c r="R3010">
        <v>0.91627545697925905</v>
      </c>
      <c r="S3010" t="s">
        <v>10013</v>
      </c>
      <c r="T3010" t="s">
        <v>14004</v>
      </c>
      <c r="U3010" t="s">
        <v>14004</v>
      </c>
      <c r="V3010" t="s">
        <v>14004</v>
      </c>
      <c r="W3010" t="s">
        <v>16972</v>
      </c>
      <c r="X3010">
        <v>12</v>
      </c>
      <c r="Y3010" t="s">
        <v>23844</v>
      </c>
      <c r="Z3010" t="s">
        <v>30720</v>
      </c>
      <c r="AA3010">
        <v>0.68206983364201623</v>
      </c>
      <c r="AB3010" t="str">
        <f>HYPERLINK("Melting_Curves/meltCurve_P56270_2_MAZ.pdf", "Melting_Curves/meltCurve_P56270_2_MAZ.pdf")</f>
        <v>Melting_Curves/meltCurve_P56270_2_MAZ.pdf</v>
      </c>
    </row>
    <row r="3011" spans="1:28" x14ac:dyDescent="0.25">
      <c r="A3011" t="s">
        <v>3015</v>
      </c>
      <c r="B3011">
        <v>0.99999676499088797</v>
      </c>
      <c r="C3011">
        <v>1.1231269626987701</v>
      </c>
      <c r="D3011">
        <v>1.0895608429025001</v>
      </c>
      <c r="E3011">
        <v>0.97535514249012201</v>
      </c>
      <c r="F3011">
        <v>0.86245098629705097</v>
      </c>
      <c r="G3011">
        <v>0.76065630619371505</v>
      </c>
      <c r="H3011">
        <v>0.47962281033175103</v>
      </c>
      <c r="I3011">
        <v>0.57236085807040105</v>
      </c>
      <c r="J3011">
        <v>0.62868929068409296</v>
      </c>
      <c r="K3011">
        <v>0.50421359291368395</v>
      </c>
      <c r="L3011">
        <v>1539.2159230008699</v>
      </c>
      <c r="M3011">
        <v>27.687966586297399</v>
      </c>
      <c r="O3011">
        <v>55.303970790440999</v>
      </c>
      <c r="P3011">
        <v>-5.7447363514281098E-2</v>
      </c>
      <c r="Q3011">
        <v>0.54102260992532303</v>
      </c>
      <c r="R3011">
        <v>0.91252286819597095</v>
      </c>
      <c r="S3011" t="s">
        <v>10014</v>
      </c>
      <c r="T3011" t="s">
        <v>14004</v>
      </c>
      <c r="U3011" t="s">
        <v>14004</v>
      </c>
      <c r="V3011" t="s">
        <v>14004</v>
      </c>
      <c r="W3011" t="s">
        <v>16973</v>
      </c>
      <c r="X3011">
        <v>4</v>
      </c>
      <c r="Y3011" t="s">
        <v>23845</v>
      </c>
      <c r="Z3011" t="s">
        <v>30721</v>
      </c>
      <c r="AA3011">
        <v>0.78309968240184857</v>
      </c>
      <c r="AB3011" t="str">
        <f>HYPERLINK("Melting_Curves/meltCurve_P56277_CMC4.pdf", "Melting_Curves/meltCurve_P56277_CMC4.pdf")</f>
        <v>Melting_Curves/meltCurve_P56277_CMC4.pdf</v>
      </c>
    </row>
    <row r="3012" spans="1:28" x14ac:dyDescent="0.25">
      <c r="A3012" t="s">
        <v>3016</v>
      </c>
      <c r="B3012">
        <v>0.99999676499088797</v>
      </c>
      <c r="C3012">
        <v>0.92060987606146405</v>
      </c>
      <c r="D3012">
        <v>0.767636307579877</v>
      </c>
      <c r="E3012">
        <v>0.39253376628356001</v>
      </c>
      <c r="F3012">
        <v>0.25033411417756202</v>
      </c>
      <c r="G3012">
        <v>0.15333151509798201</v>
      </c>
      <c r="H3012">
        <v>6.2502653133262101E-2</v>
      </c>
      <c r="I3012">
        <v>4.9831498118167401E-2</v>
      </c>
      <c r="J3012">
        <v>4.0806429623148302E-2</v>
      </c>
      <c r="K3012">
        <v>2.26714330734255E-2</v>
      </c>
      <c r="L3012">
        <v>838.03138161579102</v>
      </c>
      <c r="M3012">
        <v>17.208147799558699</v>
      </c>
      <c r="N3012">
        <v>48.927777197350402</v>
      </c>
      <c r="O3012">
        <v>48.056285211746903</v>
      </c>
      <c r="P3012">
        <v>-8.6075390283776698E-2</v>
      </c>
      <c r="Q3012">
        <v>3.8543858505490802E-2</v>
      </c>
      <c r="R3012">
        <v>0.99495692326276697</v>
      </c>
      <c r="S3012" t="s">
        <v>10015</v>
      </c>
      <c r="T3012" t="s">
        <v>14004</v>
      </c>
      <c r="U3012" t="s">
        <v>14004</v>
      </c>
      <c r="V3012" t="s">
        <v>14004</v>
      </c>
      <c r="W3012" t="s">
        <v>16974</v>
      </c>
      <c r="X3012">
        <v>4</v>
      </c>
      <c r="Y3012" t="s">
        <v>23846</v>
      </c>
      <c r="Z3012" t="s">
        <v>30722</v>
      </c>
      <c r="AA3012">
        <v>0.33569792577866331</v>
      </c>
      <c r="AB3012" t="str">
        <f>HYPERLINK("Melting_Curves/meltCurve_P56282_POLE2.pdf", "Melting_Curves/meltCurve_P56282_POLE2.pdf")</f>
        <v>Melting_Curves/meltCurve_P56282_POLE2.pdf</v>
      </c>
    </row>
    <row r="3013" spans="1:28" x14ac:dyDescent="0.25">
      <c r="A3013" t="s">
        <v>3017</v>
      </c>
      <c r="B3013">
        <v>0.99999676499088797</v>
      </c>
      <c r="C3013">
        <v>0.87063107837870302</v>
      </c>
      <c r="D3013">
        <v>0.71203880828495303</v>
      </c>
      <c r="E3013">
        <v>0.43850441888017599</v>
      </c>
      <c r="F3013">
        <v>0.31652289620181001</v>
      </c>
      <c r="G3013">
        <v>0.19357000003104199</v>
      </c>
      <c r="H3013">
        <v>0.114143191819139</v>
      </c>
      <c r="I3013">
        <v>8.8451775680292402E-2</v>
      </c>
      <c r="J3013">
        <v>7.2434443467004894E-2</v>
      </c>
      <c r="K3013">
        <v>8.0629988180713402E-2</v>
      </c>
      <c r="L3013">
        <v>672.35461348735998</v>
      </c>
      <c r="M3013">
        <v>13.8088491150304</v>
      </c>
      <c r="N3013">
        <v>49.171915241823598</v>
      </c>
      <c r="O3013">
        <v>47.703078467519703</v>
      </c>
      <c r="P3013">
        <v>-6.77992315000637E-2</v>
      </c>
      <c r="Q3013">
        <v>6.3272941260006904E-2</v>
      </c>
      <c r="R3013">
        <v>0.99585111833671203</v>
      </c>
      <c r="S3013" t="s">
        <v>10016</v>
      </c>
      <c r="T3013" t="s">
        <v>14004</v>
      </c>
      <c r="U3013" t="s">
        <v>14004</v>
      </c>
      <c r="V3013" t="s">
        <v>14004</v>
      </c>
      <c r="W3013" t="s">
        <v>16975</v>
      </c>
      <c r="X3013">
        <v>3</v>
      </c>
      <c r="Y3013" t="s">
        <v>23847</v>
      </c>
      <c r="Z3013" t="s">
        <v>30723</v>
      </c>
      <c r="AA3013">
        <v>0.36194755698657449</v>
      </c>
      <c r="AB3013" t="str">
        <f>HYPERLINK("Melting_Curves/meltCurve_P56377_AP1S2.pdf", "Melting_Curves/meltCurve_P56377_AP1S2.pdf")</f>
        <v>Melting_Curves/meltCurve_P56377_AP1S2.pdf</v>
      </c>
    </row>
    <row r="3014" spans="1:28" x14ac:dyDescent="0.25">
      <c r="A3014" t="s">
        <v>3018</v>
      </c>
      <c r="B3014">
        <v>0.99999676499088797</v>
      </c>
      <c r="C3014">
        <v>1.00794790145799</v>
      </c>
      <c r="D3014">
        <v>1.02486703877429</v>
      </c>
      <c r="E3014">
        <v>0.98258492064511904</v>
      </c>
      <c r="F3014">
        <v>0.81219261856318103</v>
      </c>
      <c r="G3014">
        <v>0.88185292603478205</v>
      </c>
      <c r="H3014">
        <v>0.56240711298962098</v>
      </c>
      <c r="I3014">
        <v>0.37501354917808399</v>
      </c>
      <c r="J3014">
        <v>0.24100239882853799</v>
      </c>
      <c r="K3014">
        <v>0.25210448988496897</v>
      </c>
      <c r="L3014">
        <v>1060.9920950377</v>
      </c>
      <c r="M3014">
        <v>17.469394221387201</v>
      </c>
      <c r="N3014">
        <v>61.886003377755998</v>
      </c>
      <c r="O3014">
        <v>59.955254854408601</v>
      </c>
      <c r="P3014">
        <v>-6.2738463441104203E-2</v>
      </c>
      <c r="Q3014">
        <v>0.13876996411957199</v>
      </c>
      <c r="R3014">
        <v>0.97411601429075101</v>
      </c>
      <c r="S3014" t="s">
        <v>10017</v>
      </c>
      <c r="T3014" t="s">
        <v>14004</v>
      </c>
      <c r="U3014" t="s">
        <v>14004</v>
      </c>
      <c r="V3014" t="s">
        <v>14004</v>
      </c>
      <c r="W3014" t="s">
        <v>16976</v>
      </c>
      <c r="X3014">
        <v>3</v>
      </c>
      <c r="Y3014" t="s">
        <v>23848</v>
      </c>
      <c r="Z3014" t="s">
        <v>30724</v>
      </c>
      <c r="AA3014">
        <v>0.73907360436037739</v>
      </c>
      <c r="AB3014" t="str">
        <f>HYPERLINK("Melting_Curves/meltCurve_P56378_MP68.pdf", "Melting_Curves/meltCurve_P56378_MP68.pdf")</f>
        <v>Melting_Curves/meltCurve_P56378_MP68.pdf</v>
      </c>
    </row>
    <row r="3015" spans="1:28" x14ac:dyDescent="0.25">
      <c r="A3015" t="s">
        <v>3019</v>
      </c>
      <c r="B3015">
        <v>0.99999676499088797</v>
      </c>
      <c r="C3015">
        <v>1.49238866767635</v>
      </c>
      <c r="D3015">
        <v>1.2924431197950601</v>
      </c>
      <c r="E3015">
        <v>0.742280639505289</v>
      </c>
      <c r="F3015">
        <v>0.58741181544903198</v>
      </c>
      <c r="G3015">
        <v>1.1456082387171</v>
      </c>
      <c r="H3015">
        <v>0.68151879393855996</v>
      </c>
      <c r="I3015">
        <v>0.87542018093791896</v>
      </c>
      <c r="J3015">
        <v>0.27318359582576501</v>
      </c>
      <c r="K3015">
        <v>0.21656427520143401</v>
      </c>
      <c r="L3015">
        <v>1655.7361097069499</v>
      </c>
      <c r="M3015">
        <v>25.115605273766398</v>
      </c>
      <c r="N3015">
        <v>65.924594564308293</v>
      </c>
      <c r="O3015">
        <v>65.510918698984597</v>
      </c>
      <c r="P3015">
        <v>-9.5846378133207399E-2</v>
      </c>
      <c r="Q3015">
        <v>0</v>
      </c>
      <c r="R3015">
        <v>0.55940322757031002</v>
      </c>
      <c r="S3015" t="s">
        <v>10018</v>
      </c>
      <c r="T3015" t="s">
        <v>14004</v>
      </c>
      <c r="U3015" t="s">
        <v>14004</v>
      </c>
      <c r="V3015" t="s">
        <v>14004</v>
      </c>
      <c r="W3015" t="s">
        <v>16977</v>
      </c>
      <c r="X3015">
        <v>4</v>
      </c>
      <c r="Y3015" t="s">
        <v>23849</v>
      </c>
      <c r="Z3015" t="s">
        <v>30725</v>
      </c>
      <c r="AA3015">
        <v>0.85319745060693419</v>
      </c>
      <c r="AB3015" t="str">
        <f>HYPERLINK("Melting_Curves/meltCurve_P56381_ATP5E.pdf", "Melting_Curves/meltCurve_P56381_ATP5E.pdf")</f>
        <v>Melting_Curves/meltCurve_P56381_ATP5E.pdf</v>
      </c>
    </row>
    <row r="3016" spans="1:28" x14ac:dyDescent="0.25">
      <c r="A3016" t="s">
        <v>3020</v>
      </c>
      <c r="B3016">
        <v>0.99999676499088797</v>
      </c>
      <c r="C3016">
        <v>1.0183573064581499</v>
      </c>
      <c r="D3016">
        <v>0.99799613873981896</v>
      </c>
      <c r="E3016">
        <v>0.95354444094008595</v>
      </c>
      <c r="F3016">
        <v>0.88573219264342895</v>
      </c>
      <c r="G3016">
        <v>0.91085198109891397</v>
      </c>
      <c r="H3016">
        <v>0.575027246970787</v>
      </c>
      <c r="I3016">
        <v>0.455107153208822</v>
      </c>
      <c r="J3016">
        <v>0.31264097579384598</v>
      </c>
      <c r="K3016">
        <v>0.27100325599269498</v>
      </c>
      <c r="L3016">
        <v>1153.9559915544401</v>
      </c>
      <c r="M3016">
        <v>18.911119425315398</v>
      </c>
      <c r="N3016">
        <v>62.726230643774997</v>
      </c>
      <c r="O3016">
        <v>60.349936138532399</v>
      </c>
      <c r="P3016">
        <v>-6.2590060977131004E-2</v>
      </c>
      <c r="Q3016">
        <v>0.201072613557392</v>
      </c>
      <c r="R3016">
        <v>0.98417053108724695</v>
      </c>
      <c r="S3016" t="s">
        <v>10019</v>
      </c>
      <c r="T3016" t="s">
        <v>14004</v>
      </c>
      <c r="U3016" t="s">
        <v>14004</v>
      </c>
      <c r="V3016" t="s">
        <v>14004</v>
      </c>
      <c r="W3016" t="s">
        <v>16978</v>
      </c>
      <c r="X3016">
        <v>7</v>
      </c>
      <c r="Y3016" t="s">
        <v>23850</v>
      </c>
      <c r="Z3016" t="s">
        <v>30726</v>
      </c>
      <c r="AA3016">
        <v>0.76537968813806956</v>
      </c>
      <c r="AB3016" t="str">
        <f>HYPERLINK("Melting_Curves/meltCurve_P56385_ATP5I.pdf", "Melting_Curves/meltCurve_P56385_ATP5I.pdf")</f>
        <v>Melting_Curves/meltCurve_P56385_ATP5I.pdf</v>
      </c>
    </row>
    <row r="3017" spans="1:28" x14ac:dyDescent="0.25">
      <c r="A3017" t="s">
        <v>3021</v>
      </c>
      <c r="B3017">
        <v>0.99999676499088797</v>
      </c>
      <c r="C3017">
        <v>1.0507142051612499</v>
      </c>
      <c r="D3017">
        <v>1.01330360666061</v>
      </c>
      <c r="E3017">
        <v>0.89728845588162898</v>
      </c>
      <c r="F3017">
        <v>0.65229953389458795</v>
      </c>
      <c r="G3017">
        <v>0.4491245596358</v>
      </c>
      <c r="H3017">
        <v>0.24367451861443401</v>
      </c>
      <c r="I3017">
        <v>0.21074809792150101</v>
      </c>
      <c r="J3017">
        <v>0.19739971840331699</v>
      </c>
      <c r="K3017">
        <v>0.18882501263471199</v>
      </c>
      <c r="L3017">
        <v>1103.8874138783699</v>
      </c>
      <c r="M3017">
        <v>20.316104011836501</v>
      </c>
      <c r="N3017">
        <v>55.531986865764402</v>
      </c>
      <c r="O3017">
        <v>53.817364682763298</v>
      </c>
      <c r="P3017">
        <v>-7.7650630026303E-2</v>
      </c>
      <c r="Q3017">
        <v>0.17723913342067099</v>
      </c>
      <c r="R3017">
        <v>0.995229797269226</v>
      </c>
      <c r="S3017" t="s">
        <v>10020</v>
      </c>
      <c r="T3017" t="s">
        <v>14004</v>
      </c>
      <c r="U3017" t="s">
        <v>14004</v>
      </c>
      <c r="V3017" t="s">
        <v>14004</v>
      </c>
      <c r="W3017" t="s">
        <v>16979</v>
      </c>
      <c r="X3017">
        <v>21</v>
      </c>
      <c r="Y3017" t="s">
        <v>23851</v>
      </c>
      <c r="Z3017" t="s">
        <v>30727</v>
      </c>
      <c r="AA3017">
        <v>0.58124316534501597</v>
      </c>
      <c r="AB3017" t="str">
        <f>HYPERLINK("Melting_Curves/meltCurve_P56524_HDAC4.pdf", "Melting_Curves/meltCurve_P56524_HDAC4.pdf")</f>
        <v>Melting_Curves/meltCurve_P56524_HDAC4.pdf</v>
      </c>
    </row>
    <row r="3018" spans="1:28" x14ac:dyDescent="0.25">
      <c r="A3018" t="s">
        <v>3022</v>
      </c>
      <c r="B3018">
        <v>0.99999676499088797</v>
      </c>
      <c r="C3018">
        <v>0.99356229056950796</v>
      </c>
      <c r="D3018">
        <v>1.0357384133509</v>
      </c>
      <c r="E3018">
        <v>1.0155265779512901</v>
      </c>
      <c r="F3018">
        <v>1.15000846254117</v>
      </c>
      <c r="G3018">
        <v>1.0164060486485</v>
      </c>
      <c r="H3018">
        <v>0.48930930355497099</v>
      </c>
      <c r="I3018">
        <v>0.185539246581226</v>
      </c>
      <c r="J3018">
        <v>0.120446807055412</v>
      </c>
      <c r="K3018">
        <v>8.4419284827202304E-2</v>
      </c>
      <c r="L3018">
        <v>3459.52288460203</v>
      </c>
      <c r="M3018">
        <v>57.166960572696802</v>
      </c>
      <c r="N3018">
        <v>60.792533912552997</v>
      </c>
      <c r="O3018">
        <v>60.442212423901601</v>
      </c>
      <c r="P3018">
        <v>-0.20939097437748899</v>
      </c>
      <c r="Q3018">
        <v>0.114450318516335</v>
      </c>
      <c r="R3018">
        <v>0.983864067293308</v>
      </c>
      <c r="S3018" t="s">
        <v>10021</v>
      </c>
      <c r="T3018" t="s">
        <v>14004</v>
      </c>
      <c r="U3018" t="s">
        <v>14004</v>
      </c>
      <c r="V3018" t="s">
        <v>14004</v>
      </c>
      <c r="W3018" t="s">
        <v>16980</v>
      </c>
      <c r="X3018">
        <v>8</v>
      </c>
      <c r="Y3018" t="s">
        <v>23852</v>
      </c>
      <c r="Z3018" t="s">
        <v>30728</v>
      </c>
      <c r="AA3018">
        <v>0.72183895155438627</v>
      </c>
      <c r="AB3018" t="str">
        <f>HYPERLINK("Melting_Curves/meltCurve_P56537_EIF6.pdf", "Melting_Curves/meltCurve_P56537_EIF6.pdf")</f>
        <v>Melting_Curves/meltCurve_P56537_EIF6.pdf</v>
      </c>
    </row>
    <row r="3019" spans="1:28" x14ac:dyDescent="0.25">
      <c r="A3019" t="s">
        <v>3023</v>
      </c>
      <c r="B3019">
        <v>0.99999676499088797</v>
      </c>
      <c r="C3019">
        <v>0.86466191861373898</v>
      </c>
      <c r="D3019">
        <v>0.71319517649803099</v>
      </c>
      <c r="E3019">
        <v>0.24465465976709599</v>
      </c>
      <c r="F3019">
        <v>7.5262311331546997E-2</v>
      </c>
      <c r="G3019">
        <v>5.1100864587412698E-2</v>
      </c>
      <c r="H3019">
        <v>1.42031321589357E-2</v>
      </c>
      <c r="I3019">
        <v>1.54680897158308E-2</v>
      </c>
      <c r="J3019">
        <v>5.0204453808373201E-3</v>
      </c>
      <c r="K3019">
        <v>1.9890946843811302E-2</v>
      </c>
      <c r="L3019">
        <v>1128.44093193047</v>
      </c>
      <c r="M3019">
        <v>23.815115425321999</v>
      </c>
      <c r="N3019">
        <v>47.435608045388399</v>
      </c>
      <c r="O3019">
        <v>47.053086744782</v>
      </c>
      <c r="P3019">
        <v>-0.124898253791494</v>
      </c>
      <c r="Q3019">
        <v>1.29373809323673E-2</v>
      </c>
      <c r="R3019">
        <v>0.99571634552201105</v>
      </c>
      <c r="S3019" t="s">
        <v>10022</v>
      </c>
      <c r="T3019" t="s">
        <v>14004</v>
      </c>
      <c r="U3019" t="s">
        <v>14004</v>
      </c>
      <c r="V3019" t="s">
        <v>14004</v>
      </c>
      <c r="W3019" t="s">
        <v>16981</v>
      </c>
      <c r="X3019">
        <v>3</v>
      </c>
      <c r="Y3019" t="s">
        <v>23853</v>
      </c>
      <c r="Z3019" t="s">
        <v>30729</v>
      </c>
      <c r="AA3019">
        <v>0.26560305967693248</v>
      </c>
      <c r="AB3019" t="str">
        <f>HYPERLINK("Melting_Curves/meltCurve_P56556_NDUFA6.pdf", "Melting_Curves/meltCurve_P56556_NDUFA6.pdf")</f>
        <v>Melting_Curves/meltCurve_P56556_NDUFA6.pdf</v>
      </c>
    </row>
    <row r="3020" spans="1:28" x14ac:dyDescent="0.25">
      <c r="A3020" t="s">
        <v>3024</v>
      </c>
      <c r="B3020">
        <v>0.99999676499088797</v>
      </c>
      <c r="C3020">
        <v>1.0346173335314299</v>
      </c>
      <c r="D3020">
        <v>0.96697087896247003</v>
      </c>
      <c r="E3020">
        <v>0.75130334879361105</v>
      </c>
      <c r="F3020">
        <v>0.35422839029279002</v>
      </c>
      <c r="G3020">
        <v>0.52334422240171696</v>
      </c>
      <c r="H3020">
        <v>0.36174390849704302</v>
      </c>
      <c r="I3020">
        <v>0.389730076072072</v>
      </c>
      <c r="J3020">
        <v>0.37355228271593399</v>
      </c>
      <c r="K3020">
        <v>0.45482397426036902</v>
      </c>
      <c r="L3020">
        <v>12415.7626516042</v>
      </c>
      <c r="M3020">
        <v>250</v>
      </c>
      <c r="N3020">
        <v>50.005077514375003</v>
      </c>
      <c r="O3020">
        <v>49.659872966001302</v>
      </c>
      <c r="P3020">
        <v>-0.74309183111018995</v>
      </c>
      <c r="Q3020">
        <v>0.40957047126474699</v>
      </c>
      <c r="R3020">
        <v>0.96720418853735701</v>
      </c>
      <c r="S3020" t="s">
        <v>10023</v>
      </c>
      <c r="T3020" t="s">
        <v>14004</v>
      </c>
      <c r="U3020" t="s">
        <v>14004</v>
      </c>
      <c r="V3020" t="s">
        <v>14004</v>
      </c>
      <c r="W3020" t="s">
        <v>16982</v>
      </c>
      <c r="X3020">
        <v>3</v>
      </c>
      <c r="Y3020" t="s">
        <v>23854</v>
      </c>
      <c r="Z3020" t="s">
        <v>30730</v>
      </c>
      <c r="AA3020">
        <v>0.59980027904100341</v>
      </c>
      <c r="AB3020" t="str">
        <f>HYPERLINK("Melting_Curves/meltCurve_P56559_ARL4C.pdf", "Melting_Curves/meltCurve_P56559_ARL4C.pdf")</f>
        <v>Melting_Curves/meltCurve_P56559_ARL4C.pdf</v>
      </c>
    </row>
    <row r="3021" spans="1:28" x14ac:dyDescent="0.25">
      <c r="A3021" t="s">
        <v>3025</v>
      </c>
      <c r="B3021">
        <v>0.99999676499088797</v>
      </c>
      <c r="C3021">
        <v>1.0666795224208601</v>
      </c>
      <c r="D3021">
        <v>1.00566795353331</v>
      </c>
      <c r="E3021">
        <v>0.745132167342901</v>
      </c>
      <c r="F3021">
        <v>0.23527804585217599</v>
      </c>
      <c r="G3021">
        <v>0.153507844871385</v>
      </c>
      <c r="H3021">
        <v>6.4483901692234905E-2</v>
      </c>
      <c r="I3021">
        <v>8.5160536665599904E-2</v>
      </c>
      <c r="J3021">
        <v>7.75337721548882E-2</v>
      </c>
      <c r="K3021">
        <v>4.95882089893133E-2</v>
      </c>
      <c r="L3021">
        <v>1823.43794133751</v>
      </c>
      <c r="M3021">
        <v>35.791914426035603</v>
      </c>
      <c r="N3021">
        <v>51.191685655553101</v>
      </c>
      <c r="O3021">
        <v>50.787280536471201</v>
      </c>
      <c r="P3021">
        <v>-0.16225741607681099</v>
      </c>
      <c r="Q3021">
        <v>7.9056163564685797E-2</v>
      </c>
      <c r="R3021">
        <v>0.994859667315941</v>
      </c>
      <c r="S3021" t="s">
        <v>10024</v>
      </c>
      <c r="T3021" t="s">
        <v>14004</v>
      </c>
      <c r="U3021" t="s">
        <v>14004</v>
      </c>
      <c r="V3021" t="s">
        <v>14004</v>
      </c>
      <c r="W3021" t="s">
        <v>16983</v>
      </c>
      <c r="X3021">
        <v>5</v>
      </c>
      <c r="Y3021" t="s">
        <v>23855</v>
      </c>
      <c r="Z3021" t="s">
        <v>30731</v>
      </c>
      <c r="AA3021">
        <v>0.41912025380614798</v>
      </c>
      <c r="AB3021" t="str">
        <f>HYPERLINK("Melting_Curves/meltCurve_P56589_PEX3.pdf", "Melting_Curves/meltCurve_P56589_PEX3.pdf")</f>
        <v>Melting_Curves/meltCurve_P56589_PEX3.pdf</v>
      </c>
    </row>
    <row r="3022" spans="1:28" x14ac:dyDescent="0.25">
      <c r="A3022" t="s">
        <v>3026</v>
      </c>
      <c r="B3022">
        <v>0.99999676499088797</v>
      </c>
      <c r="C3022">
        <v>0.90172568330857505</v>
      </c>
      <c r="D3022">
        <v>0.926511955099664</v>
      </c>
      <c r="E3022">
        <v>0.74355131264436702</v>
      </c>
      <c r="F3022">
        <v>0.22793104840425901</v>
      </c>
      <c r="G3022">
        <v>0.21575103728572001</v>
      </c>
      <c r="H3022">
        <v>9.4130737643445095E-2</v>
      </c>
      <c r="I3022">
        <v>8.6473897299865404E-2</v>
      </c>
      <c r="J3022">
        <v>8.1432305577639294E-2</v>
      </c>
      <c r="K3022">
        <v>8.7954776863192405E-2</v>
      </c>
      <c r="L3022">
        <v>1596.37768655173</v>
      </c>
      <c r="M3022">
        <v>31.418486863325299</v>
      </c>
      <c r="N3022">
        <v>51.168263179469299</v>
      </c>
      <c r="O3022">
        <v>50.605627534810601</v>
      </c>
      <c r="P3022">
        <v>-0.139893868560444</v>
      </c>
      <c r="Q3022">
        <v>9.8698986678598097E-2</v>
      </c>
      <c r="R3022">
        <v>0.98485428767124505</v>
      </c>
      <c r="S3022" t="s">
        <v>10025</v>
      </c>
      <c r="T3022" t="s">
        <v>14004</v>
      </c>
      <c r="U3022" t="s">
        <v>14004</v>
      </c>
      <c r="V3022" t="s">
        <v>14004</v>
      </c>
      <c r="W3022" t="s">
        <v>16984</v>
      </c>
      <c r="X3022">
        <v>5</v>
      </c>
      <c r="Y3022" t="s">
        <v>23856</v>
      </c>
      <c r="Z3022" t="s">
        <v>30732</v>
      </c>
      <c r="AA3022">
        <v>0.42862053245686083</v>
      </c>
      <c r="AB3022" t="str">
        <f>HYPERLINK("Melting_Curves/meltCurve_P56937_3_HSD17B7.pdf", "Melting_Curves/meltCurve_P56937_3_HSD17B7.pdf")</f>
        <v>Melting_Curves/meltCurve_P56937_3_HSD17B7.pdf</v>
      </c>
    </row>
    <row r="3023" spans="1:28" x14ac:dyDescent="0.25">
      <c r="A3023" t="s">
        <v>3027</v>
      </c>
      <c r="B3023">
        <v>0.99999676499088797</v>
      </c>
      <c r="C3023">
        <v>0.83102441098739399</v>
      </c>
      <c r="D3023">
        <v>0.60815134754034506</v>
      </c>
      <c r="E3023">
        <v>0.40504008875779302</v>
      </c>
      <c r="F3023">
        <v>0.220285776283555</v>
      </c>
      <c r="G3023">
        <v>0.146870970155528</v>
      </c>
      <c r="H3023">
        <v>9.7652400334261799E-2</v>
      </c>
      <c r="I3023">
        <v>0.107964808860339</v>
      </c>
      <c r="J3023">
        <v>0.112017730581962</v>
      </c>
      <c r="K3023">
        <v>0.118904552182361</v>
      </c>
      <c r="L3023">
        <v>754.54810638096797</v>
      </c>
      <c r="M3023">
        <v>16.024999498701</v>
      </c>
      <c r="N3023">
        <v>47.7365196267166</v>
      </c>
      <c r="O3023">
        <v>46.370774021646803</v>
      </c>
      <c r="P3023">
        <v>-7.7924041491288495E-2</v>
      </c>
      <c r="Q3023">
        <v>9.8130402972175207E-2</v>
      </c>
      <c r="R3023">
        <v>0.99496896149538605</v>
      </c>
      <c r="S3023" t="s">
        <v>10026</v>
      </c>
      <c r="T3023" t="s">
        <v>14004</v>
      </c>
      <c r="U3023" t="s">
        <v>14004</v>
      </c>
      <c r="V3023" t="s">
        <v>14004</v>
      </c>
      <c r="W3023" t="s">
        <v>16985</v>
      </c>
      <c r="X3023">
        <v>5</v>
      </c>
      <c r="Y3023" t="s">
        <v>23857</v>
      </c>
      <c r="Z3023" t="s">
        <v>30733</v>
      </c>
      <c r="AA3023">
        <v>0.33238855128386352</v>
      </c>
      <c r="AB3023" t="str">
        <f>HYPERLINK("Melting_Curves/meltCurve_P56962_STX17.pdf", "Melting_Curves/meltCurve_P56962_STX17.pdf")</f>
        <v>Melting_Curves/meltCurve_P56962_STX17.pdf</v>
      </c>
    </row>
    <row r="3024" spans="1:28" x14ac:dyDescent="0.25">
      <c r="A3024" t="s">
        <v>3028</v>
      </c>
      <c r="B3024">
        <v>0.99999676499088797</v>
      </c>
      <c r="C3024">
        <v>1.0691742077545501</v>
      </c>
      <c r="D3024">
        <v>0.85325266954448997</v>
      </c>
      <c r="E3024">
        <v>0.74002390417651798</v>
      </c>
      <c r="F3024">
        <v>0.36252211207061902</v>
      </c>
      <c r="G3024">
        <v>0.45445192097966902</v>
      </c>
      <c r="H3024">
        <v>0</v>
      </c>
      <c r="I3024">
        <v>0.32077683641661398</v>
      </c>
      <c r="J3024">
        <v>0.10426840899204599</v>
      </c>
      <c r="K3024">
        <v>0.118449346177971</v>
      </c>
      <c r="L3024">
        <v>851.83781839746405</v>
      </c>
      <c r="M3024">
        <v>16.502034393146999</v>
      </c>
      <c r="N3024">
        <v>52.557524792905497</v>
      </c>
      <c r="O3024">
        <v>50.879980155294596</v>
      </c>
      <c r="P3024">
        <v>-7.0751987220466897E-2</v>
      </c>
      <c r="Q3024">
        <v>0.127474798511372</v>
      </c>
      <c r="R3024">
        <v>0.91498151302990405</v>
      </c>
      <c r="S3024" t="s">
        <v>10027</v>
      </c>
      <c r="T3024" t="s">
        <v>14004</v>
      </c>
      <c r="U3024" t="s">
        <v>14004</v>
      </c>
      <c r="V3024" t="s">
        <v>14004</v>
      </c>
      <c r="W3024" t="s">
        <v>16986</v>
      </c>
      <c r="X3024">
        <v>2</v>
      </c>
      <c r="Y3024" t="s">
        <v>23858</v>
      </c>
      <c r="Z3024" t="s">
        <v>30734</v>
      </c>
      <c r="AA3024">
        <v>0.48236241189984291</v>
      </c>
      <c r="AB3024" t="str">
        <f>HYPERLINK("Melting_Curves/meltCurve_P57060_RWDD2B.pdf", "Melting_Curves/meltCurve_P57060_RWDD2B.pdf")</f>
        <v>Melting_Curves/meltCurve_P57060_RWDD2B.pdf</v>
      </c>
    </row>
    <row r="3025" spans="1:28" x14ac:dyDescent="0.25">
      <c r="A3025" t="s">
        <v>3029</v>
      </c>
      <c r="B3025">
        <v>0.99999676499088797</v>
      </c>
      <c r="C3025">
        <v>1.1207874023662701</v>
      </c>
      <c r="D3025">
        <v>1.0826022350926601</v>
      </c>
      <c r="E3025">
        <v>0.71187835735415705</v>
      </c>
      <c r="F3025">
        <v>0.50898088409225495</v>
      </c>
      <c r="G3025">
        <v>0.39287926762297398</v>
      </c>
      <c r="H3025">
        <v>0.17416215822862299</v>
      </c>
      <c r="I3025">
        <v>0.24387535320742901</v>
      </c>
      <c r="J3025">
        <v>0.32992169310114999</v>
      </c>
      <c r="K3025">
        <v>0.27467391082707598</v>
      </c>
      <c r="L3025">
        <v>1281.35071518112</v>
      </c>
      <c r="M3025">
        <v>24.954444067034899</v>
      </c>
      <c r="N3025">
        <v>52.962465555946203</v>
      </c>
      <c r="O3025">
        <v>51.021258616657498</v>
      </c>
      <c r="P3025">
        <v>-8.9705281071312704E-2</v>
      </c>
      <c r="Q3025">
        <v>0.26637286115920999</v>
      </c>
      <c r="R3025">
        <v>0.95313193745922398</v>
      </c>
      <c r="S3025" t="s">
        <v>10028</v>
      </c>
      <c r="T3025" t="s">
        <v>14004</v>
      </c>
      <c r="U3025" t="s">
        <v>14004</v>
      </c>
      <c r="V3025" t="s">
        <v>14004</v>
      </c>
      <c r="W3025" t="s">
        <v>16987</v>
      </c>
      <c r="X3025">
        <v>2</v>
      </c>
      <c r="Y3025" t="s">
        <v>23859</v>
      </c>
      <c r="Z3025" t="s">
        <v>30735</v>
      </c>
      <c r="AA3025">
        <v>0.55054593420937581</v>
      </c>
      <c r="AB3025" t="str">
        <f>HYPERLINK("Melting_Curves/meltCurve_P57075_2_UBASH3A.pdf", "Melting_Curves/meltCurve_P57075_2_UBASH3A.pdf")</f>
        <v>Melting_Curves/meltCurve_P57075_2_UBASH3A.pdf</v>
      </c>
    </row>
    <row r="3026" spans="1:28" x14ac:dyDescent="0.25">
      <c r="A3026" t="s">
        <v>3030</v>
      </c>
      <c r="B3026">
        <v>0.99999676499088797</v>
      </c>
      <c r="C3026">
        <v>0.79707057412244897</v>
      </c>
      <c r="D3026">
        <v>0.36662501491432298</v>
      </c>
      <c r="E3026">
        <v>0.22907613312733099</v>
      </c>
      <c r="F3026">
        <v>0.19090302423944</v>
      </c>
      <c r="G3026">
        <v>0.111926719977918</v>
      </c>
      <c r="H3026">
        <v>6.2533870169734607E-2</v>
      </c>
      <c r="I3026">
        <v>4.7532602312847998E-2</v>
      </c>
      <c r="J3026">
        <v>5.7954870632670699E-2</v>
      </c>
      <c r="K3026">
        <v>3.9545263007566202E-2</v>
      </c>
      <c r="L3026">
        <v>1045.23029857962</v>
      </c>
      <c r="M3026">
        <v>23.239296753604702</v>
      </c>
      <c r="N3026">
        <v>45.325687561838599</v>
      </c>
      <c r="O3026">
        <v>44.647783088700002</v>
      </c>
      <c r="P3026">
        <v>-0.119472616551193</v>
      </c>
      <c r="Q3026">
        <v>8.18842215012828E-2</v>
      </c>
      <c r="R3026">
        <v>0.98003375185731201</v>
      </c>
      <c r="S3026" t="s">
        <v>10029</v>
      </c>
      <c r="T3026" t="s">
        <v>14004</v>
      </c>
      <c r="U3026" t="s">
        <v>14004</v>
      </c>
      <c r="V3026" t="s">
        <v>14004</v>
      </c>
      <c r="W3026" t="s">
        <v>16988</v>
      </c>
      <c r="X3026">
        <v>6</v>
      </c>
      <c r="Y3026" t="s">
        <v>23860</v>
      </c>
      <c r="Z3026" t="s">
        <v>30736</v>
      </c>
      <c r="AA3026">
        <v>0.2451205666167961</v>
      </c>
      <c r="AB3026" t="str">
        <f>HYPERLINK("Melting_Curves/meltCurve_P57076_C21orf59.pdf", "Melting_Curves/meltCurve_P57076_C21orf59.pdf")</f>
        <v>Melting_Curves/meltCurve_P57076_C21orf59.pdf</v>
      </c>
    </row>
    <row r="3027" spans="1:28" x14ac:dyDescent="0.25">
      <c r="A3027" t="s">
        <v>3031</v>
      </c>
      <c r="B3027">
        <v>0.99999676499088797</v>
      </c>
      <c r="C3027">
        <v>0.95337474733701499</v>
      </c>
      <c r="D3027">
        <v>0.92184699466889497</v>
      </c>
      <c r="E3027">
        <v>0.96002605240669803</v>
      </c>
      <c r="F3027">
        <v>0.71135654731861098</v>
      </c>
      <c r="G3027">
        <v>0.332876125667323</v>
      </c>
      <c r="H3027">
        <v>0.135380564612674</v>
      </c>
      <c r="I3027">
        <v>0.135936646402879</v>
      </c>
      <c r="J3027">
        <v>0.108029662787635</v>
      </c>
      <c r="K3027">
        <v>7.8107048254759795E-2</v>
      </c>
      <c r="L3027">
        <v>1498.7194268046401</v>
      </c>
      <c r="M3027">
        <v>27.416331194673301</v>
      </c>
      <c r="N3027">
        <v>55.089167351080199</v>
      </c>
      <c r="O3027">
        <v>54.3768561697484</v>
      </c>
      <c r="P3027">
        <v>-0.11406043482699001</v>
      </c>
      <c r="Q3027">
        <v>9.5110146387518496E-2</v>
      </c>
      <c r="R3027">
        <v>0.994145263317606</v>
      </c>
      <c r="S3027" t="s">
        <v>10030</v>
      </c>
      <c r="T3027" t="s">
        <v>14004</v>
      </c>
      <c r="U3027" t="s">
        <v>14004</v>
      </c>
      <c r="V3027" t="s">
        <v>14004</v>
      </c>
      <c r="W3027" t="s">
        <v>16989</v>
      </c>
      <c r="X3027">
        <v>8</v>
      </c>
      <c r="Y3027" t="s">
        <v>23861</v>
      </c>
      <c r="Z3027" t="s">
        <v>30737</v>
      </c>
      <c r="AA3027">
        <v>0.54454417500720298</v>
      </c>
      <c r="AB3027" t="str">
        <f>HYPERLINK("Melting_Curves/meltCurve_P57081_2_WDR4.pdf", "Melting_Curves/meltCurve_P57081_2_WDR4.pdf")</f>
        <v>Melting_Curves/meltCurve_P57081_2_WDR4.pdf</v>
      </c>
    </row>
    <row r="3028" spans="1:28" x14ac:dyDescent="0.25">
      <c r="A3028" t="s">
        <v>3032</v>
      </c>
      <c r="B3028">
        <v>0.99999676499088797</v>
      </c>
      <c r="C3028">
        <v>0.95883558225945498</v>
      </c>
      <c r="D3028">
        <v>1.0289391317277501</v>
      </c>
      <c r="E3028">
        <v>1.4857923053400901</v>
      </c>
      <c r="F3028">
        <v>1.5524632910163001</v>
      </c>
      <c r="G3028">
        <v>1.24494266365286</v>
      </c>
      <c r="H3028">
        <v>0.668555096141496</v>
      </c>
      <c r="I3028">
        <v>0.20882239263628299</v>
      </c>
      <c r="J3028">
        <v>0.14474325926368001</v>
      </c>
      <c r="K3028">
        <v>0.112297303488507</v>
      </c>
      <c r="L3028">
        <v>4434.5403307727602</v>
      </c>
      <c r="M3028">
        <v>72.427781286458199</v>
      </c>
      <c r="N3028">
        <v>61.509769534170601</v>
      </c>
      <c r="O3028">
        <v>61.180411223850797</v>
      </c>
      <c r="P3028">
        <v>-0.25405958237620502</v>
      </c>
      <c r="Q3028">
        <v>0.14157398510313901</v>
      </c>
      <c r="R3028">
        <v>0.76689137874623203</v>
      </c>
      <c r="S3028" t="s">
        <v>10031</v>
      </c>
      <c r="T3028" t="s">
        <v>14004</v>
      </c>
      <c r="U3028" t="s">
        <v>14004</v>
      </c>
      <c r="V3028" t="s">
        <v>14004</v>
      </c>
      <c r="W3028" t="s">
        <v>16990</v>
      </c>
      <c r="X3028">
        <v>8</v>
      </c>
      <c r="Y3028" t="s">
        <v>23862</v>
      </c>
      <c r="Z3028" t="s">
        <v>30738</v>
      </c>
      <c r="AA3028">
        <v>0.75006733834833139</v>
      </c>
      <c r="AB3028" t="str">
        <f>HYPERLINK("Melting_Curves/meltCurve_P57088_TMEM33.pdf", "Melting_Curves/meltCurve_P57088_TMEM33.pdf")</f>
        <v>Melting_Curves/meltCurve_P57088_TMEM33.pdf</v>
      </c>
    </row>
    <row r="3029" spans="1:28" x14ac:dyDescent="0.25">
      <c r="A3029" t="s">
        <v>3033</v>
      </c>
      <c r="B3029">
        <v>0.99999676499088797</v>
      </c>
      <c r="C3029">
        <v>0.89125302675101203</v>
      </c>
      <c r="D3029">
        <v>0.83554754485432203</v>
      </c>
      <c r="E3029">
        <v>0.79032126814453496</v>
      </c>
      <c r="F3029">
        <v>0.51843223899258595</v>
      </c>
      <c r="G3029">
        <v>0.49323439007919601</v>
      </c>
      <c r="H3029">
        <v>0.30389449338859498</v>
      </c>
      <c r="I3029">
        <v>0.297749784983319</v>
      </c>
      <c r="J3029">
        <v>0.21443424478874501</v>
      </c>
      <c r="K3029">
        <v>0.14143761201705399</v>
      </c>
      <c r="L3029">
        <v>465.11741932785998</v>
      </c>
      <c r="M3029">
        <v>8.4161871279240597</v>
      </c>
      <c r="N3029">
        <v>55.590256671709</v>
      </c>
      <c r="O3029">
        <v>52.408951887930002</v>
      </c>
      <c r="P3029">
        <v>-3.92177539523565E-2</v>
      </c>
      <c r="Q3029">
        <v>2.40521029053039E-2</v>
      </c>
      <c r="R3029">
        <v>0.98176408034893703</v>
      </c>
      <c r="S3029" t="s">
        <v>10032</v>
      </c>
      <c r="T3029" t="s">
        <v>14004</v>
      </c>
      <c r="U3029" t="s">
        <v>14004</v>
      </c>
      <c r="V3029" t="s">
        <v>14004</v>
      </c>
      <c r="W3029" t="s">
        <v>16991</v>
      </c>
      <c r="X3029">
        <v>3</v>
      </c>
      <c r="Y3029" t="s">
        <v>23863</v>
      </c>
      <c r="Z3029" t="s">
        <v>30739</v>
      </c>
      <c r="AA3029">
        <v>0.54533019650067804</v>
      </c>
      <c r="AB3029" t="str">
        <f>HYPERLINK("Melting_Curves/meltCurve_P57105_SYNJ2BP.pdf", "Melting_Curves/meltCurve_P57105_SYNJ2BP.pdf")</f>
        <v>Melting_Curves/meltCurve_P57105_SYNJ2BP.pdf</v>
      </c>
    </row>
    <row r="3030" spans="1:28" x14ac:dyDescent="0.25">
      <c r="A3030" t="s">
        <v>3034</v>
      </c>
      <c r="B3030">
        <v>0.99999676499088797</v>
      </c>
      <c r="C3030">
        <v>0.87663157410814296</v>
      </c>
      <c r="D3030">
        <v>0.62012241081637598</v>
      </c>
      <c r="E3030">
        <v>0.45452026744444102</v>
      </c>
      <c r="F3030">
        <v>0.28713803758570999</v>
      </c>
      <c r="G3030">
        <v>0.201994696955238</v>
      </c>
      <c r="H3030">
        <v>9.1104111184082195E-2</v>
      </c>
      <c r="I3030">
        <v>9.5920098131842199E-2</v>
      </c>
      <c r="J3030">
        <v>9.5634577395027995E-2</v>
      </c>
      <c r="K3030">
        <v>9.5552410365737903E-2</v>
      </c>
      <c r="L3030">
        <v>664.22979038524602</v>
      </c>
      <c r="M3030">
        <v>13.819096631436199</v>
      </c>
      <c r="N3030">
        <v>48.651444409213902</v>
      </c>
      <c r="O3030">
        <v>47.093077315607196</v>
      </c>
      <c r="P3030">
        <v>-6.7751052787192304E-2</v>
      </c>
      <c r="Q3030">
        <v>7.6593309816525901E-2</v>
      </c>
      <c r="R3030">
        <v>0.99132849535329504</v>
      </c>
      <c r="S3030" t="s">
        <v>10033</v>
      </c>
      <c r="T3030" t="s">
        <v>14004</v>
      </c>
      <c r="U3030" t="s">
        <v>14004</v>
      </c>
      <c r="V3030" t="s">
        <v>14004</v>
      </c>
      <c r="W3030" t="s">
        <v>16992</v>
      </c>
      <c r="X3030">
        <v>33</v>
      </c>
      <c r="Y3030" t="s">
        <v>23864</v>
      </c>
      <c r="Z3030" t="s">
        <v>30740</v>
      </c>
      <c r="AA3030">
        <v>0.35264125530999912</v>
      </c>
      <c r="AB3030" t="str">
        <f>HYPERLINK("Melting_Curves/meltCurve_P57737_3_CORO7.pdf", "Melting_Curves/meltCurve_P57737_3_CORO7.pdf")</f>
        <v>Melting_Curves/meltCurve_P57737_3_CORO7.pdf</v>
      </c>
    </row>
    <row r="3031" spans="1:28" x14ac:dyDescent="0.25">
      <c r="A3031" t="s">
        <v>3035</v>
      </c>
      <c r="B3031">
        <v>0.99999676499088797</v>
      </c>
      <c r="C3031">
        <v>0.93610452960137902</v>
      </c>
      <c r="D3031">
        <v>0.84999812769549998</v>
      </c>
      <c r="E3031">
        <v>0.83189249720361502</v>
      </c>
      <c r="F3031">
        <v>0.26027076189216303</v>
      </c>
      <c r="G3031">
        <v>0.15967557868120899</v>
      </c>
      <c r="H3031">
        <v>7.6738944951996804E-2</v>
      </c>
      <c r="I3031">
        <v>7.4923529929580193E-2</v>
      </c>
      <c r="J3031">
        <v>8.8431286908100301E-2</v>
      </c>
      <c r="K3031">
        <v>6.3675826011749898E-2</v>
      </c>
      <c r="L3031">
        <v>1823.2402219636999</v>
      </c>
      <c r="M3031">
        <v>35.497558711284697</v>
      </c>
      <c r="N3031">
        <v>51.622702607707197</v>
      </c>
      <c r="O3031">
        <v>51.200223551345402</v>
      </c>
      <c r="P3031">
        <v>-0.15912511054213499</v>
      </c>
      <c r="Q3031">
        <v>8.1940912365430205E-2</v>
      </c>
      <c r="R3031">
        <v>0.98208468441882901</v>
      </c>
      <c r="S3031" t="s">
        <v>10034</v>
      </c>
      <c r="T3031" t="s">
        <v>14004</v>
      </c>
      <c r="U3031" t="s">
        <v>14004</v>
      </c>
      <c r="V3031" t="s">
        <v>14004</v>
      </c>
      <c r="W3031" t="s">
        <v>16993</v>
      </c>
      <c r="X3031">
        <v>11</v>
      </c>
      <c r="Y3031" t="s">
        <v>23865</v>
      </c>
      <c r="Z3031" t="s">
        <v>30741</v>
      </c>
      <c r="AA3031">
        <v>0.43379700988723818</v>
      </c>
      <c r="AB3031" t="str">
        <f>HYPERLINK("Melting_Curves/meltCurve_P57740_NUP107.pdf", "Melting_Curves/meltCurve_P57740_NUP107.pdf")</f>
        <v>Melting_Curves/meltCurve_P57740_NUP107.pdf</v>
      </c>
    </row>
    <row r="3032" spans="1:28" x14ac:dyDescent="0.25">
      <c r="A3032" t="s">
        <v>3036</v>
      </c>
      <c r="B3032">
        <v>0.99999676499088797</v>
      </c>
      <c r="C3032">
        <v>0.80478308746920302</v>
      </c>
      <c r="D3032">
        <v>1.04920381820822</v>
      </c>
      <c r="E3032">
        <v>0.63061634238652398</v>
      </c>
      <c r="F3032">
        <v>0.33626005631997202</v>
      </c>
      <c r="G3032">
        <v>0.21224290458195599</v>
      </c>
      <c r="H3032">
        <v>0.145728448520623</v>
      </c>
      <c r="I3032">
        <v>0.10501994846969399</v>
      </c>
      <c r="J3032">
        <v>0</v>
      </c>
      <c r="K3032">
        <v>0</v>
      </c>
      <c r="L3032">
        <v>935.94152092673698</v>
      </c>
      <c r="M3032">
        <v>18.2199359628097</v>
      </c>
      <c r="N3032">
        <v>51.588034008511897</v>
      </c>
      <c r="O3032">
        <v>50.7622711173304</v>
      </c>
      <c r="P3032">
        <v>-8.6397155649066706E-2</v>
      </c>
      <c r="Q3032">
        <v>3.7206367602855103E-2</v>
      </c>
      <c r="R3032">
        <v>0.956744028652177</v>
      </c>
      <c r="S3032" t="s">
        <v>10035</v>
      </c>
      <c r="T3032" t="s">
        <v>14004</v>
      </c>
      <c r="U3032" t="s">
        <v>14004</v>
      </c>
      <c r="V3032" t="s">
        <v>14004</v>
      </c>
      <c r="W3032" t="s">
        <v>16994</v>
      </c>
      <c r="X3032">
        <v>4</v>
      </c>
      <c r="Y3032" t="s">
        <v>23866</v>
      </c>
      <c r="Z3032" t="s">
        <v>30742</v>
      </c>
      <c r="AA3032">
        <v>0.41788373851176769</v>
      </c>
      <c r="AB3032" t="str">
        <f>HYPERLINK("Melting_Curves/meltCurve_P57768_SNX16.pdf", "Melting_Curves/meltCurve_P57768_SNX16.pdf")</f>
        <v>Melting_Curves/meltCurve_P57768_SNX16.pdf</v>
      </c>
    </row>
    <row r="3033" spans="1:28" x14ac:dyDescent="0.25">
      <c r="A3033" t="s">
        <v>3037</v>
      </c>
      <c r="B3033">
        <v>0.99999676499088797</v>
      </c>
      <c r="C3033">
        <v>0.93814234337268299</v>
      </c>
      <c r="D3033">
        <v>0.86326774029796405</v>
      </c>
      <c r="E3033">
        <v>0.51357418450490899</v>
      </c>
      <c r="F3033">
        <v>0.20981877344887501</v>
      </c>
      <c r="G3033">
        <v>0.164354080829542</v>
      </c>
      <c r="H3033">
        <v>9.20993408217059E-2</v>
      </c>
      <c r="I3033">
        <v>7.6486176249898799E-2</v>
      </c>
      <c r="J3033">
        <v>5.5176644754258902E-2</v>
      </c>
      <c r="K3033">
        <v>4.5798416714359497E-2</v>
      </c>
      <c r="L3033">
        <v>1058.5336233777</v>
      </c>
      <c r="M3033">
        <v>21.4103302916728</v>
      </c>
      <c r="N3033">
        <v>49.767358780580601</v>
      </c>
      <c r="O3033">
        <v>49.015059883319999</v>
      </c>
      <c r="P3033">
        <v>-0.102039177143914</v>
      </c>
      <c r="Q3033">
        <v>6.5622269864838295E-2</v>
      </c>
      <c r="R3033">
        <v>0.99682589895826401</v>
      </c>
      <c r="S3033" t="s">
        <v>10036</v>
      </c>
      <c r="T3033" t="s">
        <v>14004</v>
      </c>
      <c r="U3033" t="s">
        <v>14004</v>
      </c>
      <c r="V3033" t="s">
        <v>14004</v>
      </c>
      <c r="W3033" t="s">
        <v>16995</v>
      </c>
      <c r="X3033">
        <v>18</v>
      </c>
      <c r="Y3033" t="s">
        <v>23867</v>
      </c>
      <c r="Z3033" t="s">
        <v>30743</v>
      </c>
      <c r="AA3033">
        <v>0.37102699734017403</v>
      </c>
      <c r="AB3033" t="str">
        <f>HYPERLINK("Melting_Curves/meltCurve_P57772_EEFSEC.pdf", "Melting_Curves/meltCurve_P57772_EEFSEC.pdf")</f>
        <v>Melting_Curves/meltCurve_P57772_EEFSEC.pdf</v>
      </c>
    </row>
    <row r="3034" spans="1:28" x14ac:dyDescent="0.25">
      <c r="A3034" t="s">
        <v>3038</v>
      </c>
      <c r="B3034">
        <v>0.99999676499088797</v>
      </c>
      <c r="C3034">
        <v>1.14547802061102</v>
      </c>
      <c r="D3034">
        <v>0.990965199382845</v>
      </c>
      <c r="E3034">
        <v>0.38485365680804301</v>
      </c>
      <c r="F3034">
        <v>0.65641076451575098</v>
      </c>
      <c r="G3034">
        <v>0.228716275687496</v>
      </c>
      <c r="H3034">
        <v>9.2681394977984499E-2</v>
      </c>
      <c r="I3034">
        <v>0.118878536005392</v>
      </c>
      <c r="J3034">
        <v>0.10956475396456899</v>
      </c>
      <c r="K3034">
        <v>9.4723102795934905E-2</v>
      </c>
      <c r="L3034">
        <v>790.61207890823505</v>
      </c>
      <c r="M3034">
        <v>15.3258663172276</v>
      </c>
      <c r="N3034">
        <v>52.120320837929299</v>
      </c>
      <c r="O3034">
        <v>50.732426053369203</v>
      </c>
      <c r="P3034">
        <v>-7.0046626255291997E-2</v>
      </c>
      <c r="Q3034">
        <v>7.2599408296983706E-2</v>
      </c>
      <c r="R3034">
        <v>0.88593006363694704</v>
      </c>
      <c r="S3034" t="s">
        <v>10037</v>
      </c>
      <c r="T3034" t="s">
        <v>14004</v>
      </c>
      <c r="U3034" t="s">
        <v>14004</v>
      </c>
      <c r="V3034" t="s">
        <v>14004</v>
      </c>
      <c r="W3034" t="s">
        <v>16996</v>
      </c>
      <c r="X3034">
        <v>3</v>
      </c>
      <c r="Y3034" t="s">
        <v>23868</v>
      </c>
      <c r="Z3034" t="s">
        <v>30744</v>
      </c>
      <c r="AA3034">
        <v>0.45110470576522732</v>
      </c>
      <c r="AB3034" t="str">
        <f>HYPERLINK("Melting_Curves/meltCurve_P58004_SESN2.pdf", "Melting_Curves/meltCurve_P58004_SESN2.pdf")</f>
        <v>Melting_Curves/meltCurve_P58004_SESN2.pdf</v>
      </c>
    </row>
    <row r="3035" spans="1:28" x14ac:dyDescent="0.25">
      <c r="A3035" t="s">
        <v>3039</v>
      </c>
      <c r="B3035">
        <v>0.99999676499088797</v>
      </c>
      <c r="C3035">
        <v>0.88991626280261404</v>
      </c>
      <c r="D3035">
        <v>1.0422478767062999</v>
      </c>
      <c r="E3035">
        <v>1.0995253769953801</v>
      </c>
      <c r="F3035">
        <v>0.46213645652989999</v>
      </c>
      <c r="G3035">
        <v>0.22426036525162299</v>
      </c>
      <c r="H3035">
        <v>0.130632295967055</v>
      </c>
      <c r="I3035">
        <v>0.102600442138212</v>
      </c>
      <c r="J3035">
        <v>9.5666334933939806E-2</v>
      </c>
      <c r="K3035">
        <v>0.10593913436250101</v>
      </c>
      <c r="L3035">
        <v>6853.8768045855404</v>
      </c>
      <c r="M3035">
        <v>129.31905632980499</v>
      </c>
      <c r="N3035">
        <v>53.125409436182103</v>
      </c>
      <c r="O3035">
        <v>52.987071492871202</v>
      </c>
      <c r="P3035">
        <v>-0.52974378598668004</v>
      </c>
      <c r="Q3035">
        <v>0.131773081843302</v>
      </c>
      <c r="R3035">
        <v>0.97982373943386403</v>
      </c>
      <c r="S3035" t="s">
        <v>10038</v>
      </c>
      <c r="T3035" t="s">
        <v>14004</v>
      </c>
      <c r="U3035" t="s">
        <v>14004</v>
      </c>
      <c r="V3035" t="s">
        <v>14004</v>
      </c>
      <c r="W3035" t="s">
        <v>16997</v>
      </c>
      <c r="X3035">
        <v>7</v>
      </c>
      <c r="Y3035" t="s">
        <v>23869</v>
      </c>
      <c r="Z3035" t="s">
        <v>30745</v>
      </c>
      <c r="AA3035">
        <v>0.50829931483758894</v>
      </c>
      <c r="AB3035" t="str">
        <f>HYPERLINK("Melting_Curves/meltCurve_P58546_MTPN.pdf", "Melting_Curves/meltCurve_P58546_MTPN.pdf")</f>
        <v>Melting_Curves/meltCurve_P58546_MTPN.pdf</v>
      </c>
    </row>
    <row r="3036" spans="1:28" x14ac:dyDescent="0.25">
      <c r="A3036" t="s">
        <v>3040</v>
      </c>
      <c r="B3036">
        <v>0.99999676499088797</v>
      </c>
      <c r="C3036">
        <v>1.2230414074479199</v>
      </c>
      <c r="D3036">
        <v>0.84838548507601097</v>
      </c>
      <c r="E3036">
        <v>0.47109182198060301</v>
      </c>
      <c r="F3036">
        <v>0.148640813446383</v>
      </c>
      <c r="G3036">
        <v>0.10276785721439199</v>
      </c>
      <c r="H3036">
        <v>3.8554791199144699E-2</v>
      </c>
      <c r="I3036">
        <v>7.1701082210949493E-2</v>
      </c>
      <c r="J3036">
        <v>0</v>
      </c>
      <c r="K3036">
        <v>8.1339531406192603E-3</v>
      </c>
      <c r="L3036">
        <v>1423.63028977512</v>
      </c>
      <c r="M3036">
        <v>28.8973575713587</v>
      </c>
      <c r="N3036">
        <v>49.406301666382703</v>
      </c>
      <c r="O3036">
        <v>49.0309285080479</v>
      </c>
      <c r="P3036">
        <v>-0.14150240496458699</v>
      </c>
      <c r="Q3036">
        <v>3.9642987257071001E-2</v>
      </c>
      <c r="R3036">
        <v>0.96763745980924898</v>
      </c>
      <c r="S3036" t="s">
        <v>10039</v>
      </c>
      <c r="T3036" t="s">
        <v>14004</v>
      </c>
      <c r="U3036" t="s">
        <v>14004</v>
      </c>
      <c r="V3036" t="s">
        <v>14004</v>
      </c>
      <c r="W3036" t="s">
        <v>16998</v>
      </c>
      <c r="X3036">
        <v>1</v>
      </c>
      <c r="Y3036" t="s">
        <v>23870</v>
      </c>
      <c r="Z3036" t="s">
        <v>30746</v>
      </c>
      <c r="AA3036">
        <v>0.34257419142084827</v>
      </c>
      <c r="AB3036" t="str">
        <f>HYPERLINK("Melting_Curves/meltCurve_P58557_2_YBEY.pdf", "Melting_Curves/meltCurve_P58557_2_YBEY.pdf")</f>
        <v>Melting_Curves/meltCurve_P58557_2_YBEY.pdf</v>
      </c>
    </row>
    <row r="3037" spans="1:28" x14ac:dyDescent="0.25">
      <c r="A3037" t="s">
        <v>3041</v>
      </c>
      <c r="B3037">
        <v>0.99999676499088797</v>
      </c>
      <c r="C3037">
        <v>1.3085542425405501</v>
      </c>
      <c r="D3037">
        <v>1.19346339242633</v>
      </c>
      <c r="E3037">
        <v>0.31127851486457297</v>
      </c>
      <c r="F3037">
        <v>0.295552203440413</v>
      </c>
      <c r="G3037">
        <v>0.29077104547169702</v>
      </c>
      <c r="H3037">
        <v>0.16328718104395601</v>
      </c>
      <c r="I3037">
        <v>0.46110196738678799</v>
      </c>
      <c r="J3037">
        <v>0.69964437793529799</v>
      </c>
      <c r="K3037">
        <v>8.0691159578952704E-2</v>
      </c>
      <c r="L3037">
        <v>11991.787936422301</v>
      </c>
      <c r="M3037">
        <v>250</v>
      </c>
      <c r="N3037">
        <v>48.173769585726902</v>
      </c>
      <c r="O3037">
        <v>47.964074877597703</v>
      </c>
      <c r="P3037">
        <v>-0.87450915053504197</v>
      </c>
      <c r="Q3037">
        <v>0.32887954052304103</v>
      </c>
      <c r="R3037">
        <v>0.78580776441623801</v>
      </c>
      <c r="S3037" t="s">
        <v>10040</v>
      </c>
      <c r="T3037" t="s">
        <v>14004</v>
      </c>
      <c r="U3037" t="s">
        <v>14004</v>
      </c>
      <c r="V3037" t="s">
        <v>14004</v>
      </c>
      <c r="W3037" t="s">
        <v>16999</v>
      </c>
      <c r="X3037">
        <v>11</v>
      </c>
      <c r="Y3037" t="s">
        <v>23871</v>
      </c>
      <c r="Z3037" t="s">
        <v>30747</v>
      </c>
      <c r="AA3037">
        <v>0.50716665452997545</v>
      </c>
      <c r="AB3037" t="str">
        <f>HYPERLINK("Melting_Curves/meltCurve_P58876_HIST1H2BD.pdf", "Melting_Curves/meltCurve_P58876_HIST1H2BD.pdf")</f>
        <v>Melting_Curves/meltCurve_P58876_HIST1H2BD.pdf</v>
      </c>
    </row>
    <row r="3038" spans="1:28" x14ac:dyDescent="0.25">
      <c r="A3038" t="s">
        <v>3042</v>
      </c>
      <c r="B3038">
        <v>0.99999676499088797</v>
      </c>
      <c r="C3038">
        <v>1.0159003352738201</v>
      </c>
      <c r="D3038">
        <v>1.0333368704121999</v>
      </c>
      <c r="E3038">
        <v>0.98597106760331099</v>
      </c>
      <c r="F3038">
        <v>0.87962272347409498</v>
      </c>
      <c r="G3038">
        <v>0.518152256416896</v>
      </c>
      <c r="H3038">
        <v>0.140658336885778</v>
      </c>
      <c r="I3038">
        <v>8.4151375475430598E-2</v>
      </c>
      <c r="J3038">
        <v>6.7467288852294693E-2</v>
      </c>
      <c r="K3038">
        <v>5.0245112555319299E-2</v>
      </c>
      <c r="L3038">
        <v>1756.51240597071</v>
      </c>
      <c r="M3038">
        <v>30.994076539548299</v>
      </c>
      <c r="N3038">
        <v>56.8734640096121</v>
      </c>
      <c r="O3038">
        <v>56.438165123182898</v>
      </c>
      <c r="P3038">
        <v>-0.13017248987697699</v>
      </c>
      <c r="Q3038">
        <v>5.1863434657612298E-2</v>
      </c>
      <c r="R3038">
        <v>0.99894712593085999</v>
      </c>
      <c r="S3038" t="s">
        <v>10041</v>
      </c>
      <c r="T3038" t="s">
        <v>14004</v>
      </c>
      <c r="U3038" t="s">
        <v>14004</v>
      </c>
      <c r="V3038" t="s">
        <v>14004</v>
      </c>
      <c r="W3038" t="s">
        <v>17000</v>
      </c>
      <c r="X3038">
        <v>3</v>
      </c>
      <c r="Y3038" t="s">
        <v>23872</v>
      </c>
      <c r="Z3038" t="s">
        <v>30748</v>
      </c>
      <c r="AA3038">
        <v>0.58475337006790551</v>
      </c>
      <c r="AB3038" t="str">
        <f>HYPERLINK("Melting_Curves/meltCurve_P59190_RAB15.pdf", "Melting_Curves/meltCurve_P59190_RAB15.pdf")</f>
        <v>Melting_Curves/meltCurve_P59190_RAB15.pdf</v>
      </c>
    </row>
    <row r="3039" spans="1:28" x14ac:dyDescent="0.25">
      <c r="A3039" t="s">
        <v>3043</v>
      </c>
      <c r="B3039">
        <v>0.99999676499088797</v>
      </c>
      <c r="C3039">
        <v>1.16563409673726</v>
      </c>
      <c r="D3039">
        <v>1.27143535842641</v>
      </c>
      <c r="E3039">
        <v>0.30044397177230397</v>
      </c>
      <c r="F3039">
        <v>13.062614759920599</v>
      </c>
      <c r="G3039">
        <v>0.40532424747601098</v>
      </c>
      <c r="H3039">
        <v>0.35371167513581597</v>
      </c>
      <c r="I3039">
        <v>7.6064500312130107E-2</v>
      </c>
      <c r="J3039">
        <v>9.7144354123984505E-2</v>
      </c>
      <c r="K3039">
        <v>9.7233786451008095E-2</v>
      </c>
      <c r="L3039">
        <v>14150.6196312467</v>
      </c>
      <c r="M3039">
        <v>250</v>
      </c>
      <c r="N3039">
        <v>56.687300341128299</v>
      </c>
      <c r="O3039">
        <v>56.598856342511901</v>
      </c>
      <c r="P3039">
        <v>-0.93195609594039497</v>
      </c>
      <c r="Q3039">
        <v>0.156037613933356</v>
      </c>
      <c r="R3039">
        <v>-2.0440632925018899E-2</v>
      </c>
      <c r="S3039" t="s">
        <v>10042</v>
      </c>
      <c r="T3039" t="s">
        <v>14004</v>
      </c>
      <c r="U3039" t="s">
        <v>14004</v>
      </c>
      <c r="V3039" t="s">
        <v>14004</v>
      </c>
      <c r="W3039" t="s">
        <v>17001</v>
      </c>
      <c r="X3039">
        <v>3</v>
      </c>
      <c r="Y3039" t="s">
        <v>23873</v>
      </c>
      <c r="Z3039" t="s">
        <v>30749</v>
      </c>
      <c r="AA3039">
        <v>0.62318369652892514</v>
      </c>
      <c r="AB3039" t="str">
        <f>HYPERLINK("Melting_Curves/meltCurve_P59666_DEFA3.pdf", "Melting_Curves/meltCurve_P59666_DEFA3.pdf")</f>
        <v>Melting_Curves/meltCurve_P59666_DEFA3.pdf</v>
      </c>
    </row>
    <row r="3040" spans="1:28" x14ac:dyDescent="0.25">
      <c r="A3040" t="s">
        <v>3044</v>
      </c>
      <c r="B3040">
        <v>0.99999676499088797</v>
      </c>
      <c r="C3040">
        <v>0.91266341235266502</v>
      </c>
      <c r="D3040">
        <v>0.90030827422291604</v>
      </c>
      <c r="E3040">
        <v>0.53897367428334997</v>
      </c>
      <c r="F3040">
        <v>0.34927895039774398</v>
      </c>
      <c r="G3040">
        <v>0.50392587524230603</v>
      </c>
      <c r="H3040">
        <v>0.29049310436245701</v>
      </c>
      <c r="I3040">
        <v>0.61823253739556805</v>
      </c>
      <c r="J3040">
        <v>0.666693024230262</v>
      </c>
      <c r="K3040">
        <v>0.10117526783052599</v>
      </c>
      <c r="L3040">
        <v>1880.7500849242001</v>
      </c>
      <c r="M3040">
        <v>39.3811952930145</v>
      </c>
      <c r="N3040">
        <v>50.108207498506097</v>
      </c>
      <c r="O3040">
        <v>47.634928942129001</v>
      </c>
      <c r="P3040">
        <v>-0.119632470277078</v>
      </c>
      <c r="Q3040">
        <v>0.42117852024527103</v>
      </c>
      <c r="R3040">
        <v>0.69079908133757395</v>
      </c>
      <c r="S3040" t="s">
        <v>10043</v>
      </c>
      <c r="T3040" t="s">
        <v>14004</v>
      </c>
      <c r="U3040" t="s">
        <v>14004</v>
      </c>
      <c r="V3040" t="s">
        <v>14004</v>
      </c>
      <c r="W3040" t="s">
        <v>17002</v>
      </c>
      <c r="X3040">
        <v>1</v>
      </c>
      <c r="Y3040" t="s">
        <v>23874</v>
      </c>
      <c r="Z3040" t="s">
        <v>30750</v>
      </c>
      <c r="AA3040">
        <v>0.57283321578471202</v>
      </c>
      <c r="AB3040" t="str">
        <f>HYPERLINK("Melting_Curves/meltCurve_P60059_SEC61G.pdf", "Melting_Curves/meltCurve_P60059_SEC61G.pdf")</f>
        <v>Melting_Curves/meltCurve_P60059_SEC61G.pdf</v>
      </c>
    </row>
    <row r="3041" spans="1:28" x14ac:dyDescent="0.25">
      <c r="A3041" t="s">
        <v>3045</v>
      </c>
      <c r="B3041">
        <v>0.99999676499088797</v>
      </c>
      <c r="C3041">
        <v>0.91463416907492301</v>
      </c>
      <c r="D3041">
        <v>0.92966275139569399</v>
      </c>
      <c r="E3041">
        <v>0.87415733005927398</v>
      </c>
      <c r="F3041">
        <v>0.85629861668559804</v>
      </c>
      <c r="G3041">
        <v>0.72177203801455903</v>
      </c>
      <c r="H3041">
        <v>0.38640983011840901</v>
      </c>
      <c r="I3041">
        <v>0.205202819974795</v>
      </c>
      <c r="J3041">
        <v>0.15442230059449999</v>
      </c>
      <c r="K3041">
        <v>0.13810302640024599</v>
      </c>
      <c r="L3041">
        <v>944.61521270301898</v>
      </c>
      <c r="M3041">
        <v>16.018316632316498</v>
      </c>
      <c r="N3041">
        <v>59.240318152179</v>
      </c>
      <c r="O3041">
        <v>58.074820117970098</v>
      </c>
      <c r="P3041">
        <v>-6.6538700816767798E-2</v>
      </c>
      <c r="Q3041">
        <v>3.5124243673190197E-2</v>
      </c>
      <c r="R3041">
        <v>0.97886982879727802</v>
      </c>
      <c r="S3041" t="s">
        <v>10044</v>
      </c>
      <c r="T3041" t="s">
        <v>14004</v>
      </c>
      <c r="U3041" t="s">
        <v>14004</v>
      </c>
      <c r="V3041" t="s">
        <v>14004</v>
      </c>
      <c r="W3041" t="s">
        <v>17003</v>
      </c>
      <c r="X3041">
        <v>25</v>
      </c>
      <c r="Y3041" t="s">
        <v>23875</v>
      </c>
      <c r="Z3041" t="s">
        <v>30751</v>
      </c>
      <c r="AA3041">
        <v>0.6556748414986705</v>
      </c>
      <c r="AB3041" t="str">
        <f>HYPERLINK("Melting_Curves/meltCurve_P60174_TPI1.pdf", "Melting_Curves/meltCurve_P60174_TPI1.pdf")</f>
        <v>Melting_Curves/meltCurve_P60174_TPI1.pdf</v>
      </c>
    </row>
    <row r="3042" spans="1:28" x14ac:dyDescent="0.25">
      <c r="A3042" t="s">
        <v>3046</v>
      </c>
      <c r="B3042">
        <v>0.99999676499088797</v>
      </c>
      <c r="C3042">
        <v>0.92572989299105102</v>
      </c>
      <c r="D3042">
        <v>0.86388326627315604</v>
      </c>
      <c r="E3042">
        <v>0.36282578410215</v>
      </c>
      <c r="F3042">
        <v>0.20771017642565401</v>
      </c>
      <c r="G3042">
        <v>0.14308808650170801</v>
      </c>
      <c r="H3042">
        <v>6.1097696024325E-2</v>
      </c>
      <c r="I3042">
        <v>5.95147504448248E-2</v>
      </c>
      <c r="J3042">
        <v>5.40086228543184E-2</v>
      </c>
      <c r="K3042">
        <v>4.87352162045721E-2</v>
      </c>
      <c r="L3042">
        <v>1223.9970236857801</v>
      </c>
      <c r="M3042">
        <v>25.217426482809</v>
      </c>
      <c r="N3042">
        <v>48.830807453838403</v>
      </c>
      <c r="O3042">
        <v>48.235585505222602</v>
      </c>
      <c r="P3042">
        <v>-0.121522581664028</v>
      </c>
      <c r="Q3042">
        <v>7.0224159597019303E-2</v>
      </c>
      <c r="R3042">
        <v>0.99132430163704799</v>
      </c>
      <c r="S3042" t="s">
        <v>10045</v>
      </c>
      <c r="T3042" t="s">
        <v>14004</v>
      </c>
      <c r="U3042" t="s">
        <v>14004</v>
      </c>
      <c r="V3042" t="s">
        <v>14004</v>
      </c>
      <c r="W3042" t="s">
        <v>17004</v>
      </c>
      <c r="X3042">
        <v>18</v>
      </c>
      <c r="Y3042" t="s">
        <v>23876</v>
      </c>
      <c r="Z3042" t="s">
        <v>30752</v>
      </c>
      <c r="AA3042">
        <v>0.34290376755886159</v>
      </c>
      <c r="AB3042" t="str">
        <f>HYPERLINK("Melting_Curves/meltCurve_P60228_EIF3E.pdf", "Melting_Curves/meltCurve_P60228_EIF3E.pdf")</f>
        <v>Melting_Curves/meltCurve_P60228_EIF3E.pdf</v>
      </c>
    </row>
    <row r="3043" spans="1:28" x14ac:dyDescent="0.25">
      <c r="A3043" t="s">
        <v>3047</v>
      </c>
      <c r="B3043">
        <v>0.99999676499088797</v>
      </c>
      <c r="C3043">
        <v>1.19370901225672</v>
      </c>
      <c r="D3043">
        <v>1.2747595059622101</v>
      </c>
      <c r="E3043">
        <v>1.03018479933492</v>
      </c>
      <c r="F3043">
        <v>0.75008561883728397</v>
      </c>
      <c r="G3043">
        <v>0.589896496208829</v>
      </c>
      <c r="H3043">
        <v>0.37849146238041098</v>
      </c>
      <c r="I3043">
        <v>0.35981689205443601</v>
      </c>
      <c r="J3043">
        <v>0.311618830641756</v>
      </c>
      <c r="K3043">
        <v>0.25362297607402201</v>
      </c>
      <c r="L3043">
        <v>1311.55276250971</v>
      </c>
      <c r="M3043">
        <v>23.575431178541901</v>
      </c>
      <c r="N3043">
        <v>57.800404735434398</v>
      </c>
      <c r="O3043">
        <v>55.2365476866146</v>
      </c>
      <c r="P3043">
        <v>-7.5385063150494994E-2</v>
      </c>
      <c r="Q3043">
        <v>0.293511972484087</v>
      </c>
      <c r="R3043">
        <v>0.90422579408149495</v>
      </c>
      <c r="S3043" t="s">
        <v>10046</v>
      </c>
      <c r="T3043" t="s">
        <v>14004</v>
      </c>
      <c r="U3043" t="s">
        <v>14004</v>
      </c>
      <c r="V3043" t="s">
        <v>14004</v>
      </c>
      <c r="W3043" t="s">
        <v>17005</v>
      </c>
      <c r="X3043">
        <v>3</v>
      </c>
      <c r="Y3043" t="s">
        <v>23877</v>
      </c>
      <c r="Z3043" t="s">
        <v>30753</v>
      </c>
      <c r="AA3043">
        <v>0.66882281321647297</v>
      </c>
      <c r="AB3043" t="str">
        <f>HYPERLINK("Melting_Curves/meltCurve_P60468_SEC61B.pdf", "Melting_Curves/meltCurve_P60468_SEC61B.pdf")</f>
        <v>Melting_Curves/meltCurve_P60468_SEC61B.pdf</v>
      </c>
    </row>
    <row r="3044" spans="1:28" x14ac:dyDescent="0.25">
      <c r="A3044" t="s">
        <v>3048</v>
      </c>
      <c r="B3044">
        <v>0.99999676499088797</v>
      </c>
      <c r="C3044">
        <v>0.94743015233157801</v>
      </c>
      <c r="D3044">
        <v>0.91630567833887899</v>
      </c>
      <c r="E3044">
        <v>0.84297352790816205</v>
      </c>
      <c r="F3044">
        <v>0.731739251479539</v>
      </c>
      <c r="G3044">
        <v>0.59440556509193898</v>
      </c>
      <c r="H3044">
        <v>0.25527338582362802</v>
      </c>
      <c r="I3044">
        <v>0.157811589083688</v>
      </c>
      <c r="J3044">
        <v>0.13025877876710401</v>
      </c>
      <c r="K3044">
        <v>0.10342368048952</v>
      </c>
      <c r="L3044">
        <v>750.20531055658</v>
      </c>
      <c r="M3044">
        <v>13.140635683534001</v>
      </c>
      <c r="N3044">
        <v>57.090471118622197</v>
      </c>
      <c r="O3044">
        <v>55.816893158544502</v>
      </c>
      <c r="P3044">
        <v>-5.8865968782772102E-2</v>
      </c>
      <c r="Q3044">
        <v>0</v>
      </c>
      <c r="R3044">
        <v>0.98718979043466404</v>
      </c>
      <c r="S3044" t="s">
        <v>10047</v>
      </c>
      <c r="T3044" t="s">
        <v>14004</v>
      </c>
      <c r="U3044" t="s">
        <v>14004</v>
      </c>
      <c r="V3044" t="s">
        <v>14004</v>
      </c>
      <c r="W3044" t="s">
        <v>17006</v>
      </c>
      <c r="X3044">
        <v>16</v>
      </c>
      <c r="Y3044" t="s">
        <v>23878</v>
      </c>
      <c r="Z3044" t="s">
        <v>30754</v>
      </c>
      <c r="AA3044">
        <v>0.58608640699016723</v>
      </c>
      <c r="AB3044" t="str">
        <f>HYPERLINK("Melting_Curves/meltCurve_P60510_PPP4C.pdf", "Melting_Curves/meltCurve_P60510_PPP4C.pdf")</f>
        <v>Melting_Curves/meltCurve_P60510_PPP4C.pdf</v>
      </c>
    </row>
    <row r="3045" spans="1:28" x14ac:dyDescent="0.25">
      <c r="A3045" t="s">
        <v>3049</v>
      </c>
      <c r="B3045">
        <v>0.99999676499088797</v>
      </c>
      <c r="C3045">
        <v>0.80592125265696901</v>
      </c>
      <c r="D3045">
        <v>0.87969913592426097</v>
      </c>
      <c r="E3045">
        <v>0.96809504294306603</v>
      </c>
      <c r="F3045">
        <v>0.72589419475060102</v>
      </c>
      <c r="G3045">
        <v>0.38463685797853298</v>
      </c>
      <c r="H3045">
        <v>0.15390544433975201</v>
      </c>
      <c r="I3045">
        <v>0.13656355699834899</v>
      </c>
      <c r="J3045">
        <v>0.118959300843744</v>
      </c>
      <c r="K3045">
        <v>0.102332568096923</v>
      </c>
      <c r="L3045">
        <v>1371.1606041841801</v>
      </c>
      <c r="M3045">
        <v>24.941588838700799</v>
      </c>
      <c r="N3045">
        <v>55.473505968584497</v>
      </c>
      <c r="O3045">
        <v>54.625108520222398</v>
      </c>
      <c r="P3045">
        <v>-0.102687584716698</v>
      </c>
      <c r="Q3045">
        <v>0.100418845711765</v>
      </c>
      <c r="R3045">
        <v>0.96092548223971297</v>
      </c>
      <c r="S3045" t="s">
        <v>10048</v>
      </c>
      <c r="T3045" t="s">
        <v>14004</v>
      </c>
      <c r="U3045" t="s">
        <v>14004</v>
      </c>
      <c r="V3045" t="s">
        <v>14004</v>
      </c>
      <c r="W3045" t="s">
        <v>17007</v>
      </c>
      <c r="X3045">
        <v>7</v>
      </c>
      <c r="Y3045" t="s">
        <v>23879</v>
      </c>
      <c r="Z3045" t="s">
        <v>30755</v>
      </c>
      <c r="AA3045">
        <v>0.55781347434702</v>
      </c>
      <c r="AB3045" t="str">
        <f>HYPERLINK("Melting_Curves/meltCurve_P60520_GABARAPL2.pdf", "Melting_Curves/meltCurve_P60520_GABARAPL2.pdf")</f>
        <v>Melting_Curves/meltCurve_P60520_GABARAPL2.pdf</v>
      </c>
    </row>
    <row r="3046" spans="1:28" x14ac:dyDescent="0.25">
      <c r="A3046" t="s">
        <v>3050</v>
      </c>
      <c r="B3046">
        <v>0.99999676499088797</v>
      </c>
      <c r="C3046">
        <v>0.77406543599438504</v>
      </c>
      <c r="D3046">
        <v>0.86594389328063404</v>
      </c>
      <c r="E3046">
        <v>0.57775997861799799</v>
      </c>
      <c r="F3046">
        <v>0.472322788458303</v>
      </c>
      <c r="G3046">
        <v>0.66797626688309397</v>
      </c>
      <c r="H3046">
        <v>0.52185461294468205</v>
      </c>
      <c r="I3046">
        <v>0.62736795686647095</v>
      </c>
      <c r="J3046">
        <v>0.49109054076846798</v>
      </c>
      <c r="K3046">
        <v>0.69914319899516697</v>
      </c>
      <c r="L3046">
        <v>850.04359725499603</v>
      </c>
      <c r="M3046">
        <v>18.9235665155609</v>
      </c>
      <c r="O3046">
        <v>44.4272305621637</v>
      </c>
      <c r="P3046">
        <v>-4.52680189895193E-2</v>
      </c>
      <c r="Q3046">
        <v>0.57491073148711702</v>
      </c>
      <c r="R3046">
        <v>0.68864845741355796</v>
      </c>
      <c r="S3046" t="s">
        <v>10049</v>
      </c>
      <c r="T3046" t="s">
        <v>14004</v>
      </c>
      <c r="U3046" t="s">
        <v>14004</v>
      </c>
      <c r="V3046" t="s">
        <v>14004</v>
      </c>
      <c r="W3046" t="s">
        <v>17008</v>
      </c>
      <c r="X3046">
        <v>6</v>
      </c>
      <c r="Y3046" t="s">
        <v>23880</v>
      </c>
      <c r="Z3046" t="s">
        <v>30756</v>
      </c>
      <c r="AA3046">
        <v>0.65287815823637918</v>
      </c>
      <c r="AB3046" t="str">
        <f>HYPERLINK("Melting_Curves/meltCurve_P60602_ROMO1.pdf", "Melting_Curves/meltCurve_P60602_ROMO1.pdf")</f>
        <v>Melting_Curves/meltCurve_P60602_ROMO1.pdf</v>
      </c>
    </row>
    <row r="3047" spans="1:28" x14ac:dyDescent="0.25">
      <c r="A3047" t="s">
        <v>3051</v>
      </c>
      <c r="B3047">
        <v>0.99999676499088797</v>
      </c>
      <c r="C3047">
        <v>0.99143908540247605</v>
      </c>
      <c r="D3047">
        <v>0.93494254114019404</v>
      </c>
      <c r="E3047">
        <v>0.587738044994773</v>
      </c>
      <c r="F3047">
        <v>0.31676869176107197</v>
      </c>
      <c r="G3047">
        <v>0.278301007573727</v>
      </c>
      <c r="H3047">
        <v>0.154216938882243</v>
      </c>
      <c r="I3047">
        <v>0.13878885919548301</v>
      </c>
      <c r="J3047">
        <v>0.11824138334918</v>
      </c>
      <c r="K3047">
        <v>0.13037898476774101</v>
      </c>
      <c r="L3047">
        <v>1091.8492415656301</v>
      </c>
      <c r="M3047">
        <v>21.790849163322399</v>
      </c>
      <c r="N3047">
        <v>50.879140168560703</v>
      </c>
      <c r="O3047">
        <v>49.689606524621801</v>
      </c>
      <c r="P3047">
        <v>-9.4182097312192695E-2</v>
      </c>
      <c r="Q3047">
        <v>0.14096732290319899</v>
      </c>
      <c r="R3047">
        <v>0.99239702250700801</v>
      </c>
      <c r="S3047" t="s">
        <v>10050</v>
      </c>
      <c r="T3047" t="s">
        <v>14004</v>
      </c>
      <c r="U3047" t="s">
        <v>14004</v>
      </c>
      <c r="V3047" t="s">
        <v>14004</v>
      </c>
      <c r="W3047" t="s">
        <v>17009</v>
      </c>
      <c r="X3047">
        <v>3</v>
      </c>
      <c r="Y3047" t="s">
        <v>23881</v>
      </c>
      <c r="Z3047" t="s">
        <v>30757</v>
      </c>
      <c r="AA3047">
        <v>0.44044828745148101</v>
      </c>
      <c r="AB3047" t="str">
        <f>HYPERLINK("Melting_Curves/meltCurve_P60604_2_UBE2G2.pdf", "Melting_Curves/meltCurve_P60604_2_UBE2G2.pdf")</f>
        <v>Melting_Curves/meltCurve_P60604_2_UBE2G2.pdf</v>
      </c>
    </row>
    <row r="3048" spans="1:28" x14ac:dyDescent="0.25">
      <c r="A3048" t="s">
        <v>3052</v>
      </c>
      <c r="B3048">
        <v>0.99999676499088797</v>
      </c>
      <c r="C3048">
        <v>0.92302642566465498</v>
      </c>
      <c r="D3048">
        <v>0.93559996861510297</v>
      </c>
      <c r="E3048">
        <v>0.80862478744553301</v>
      </c>
      <c r="F3048">
        <v>0.74798535196607596</v>
      </c>
      <c r="G3048">
        <v>0.56031401254018898</v>
      </c>
      <c r="H3048">
        <v>0.425488025895365</v>
      </c>
      <c r="I3048">
        <v>0.38797920118882701</v>
      </c>
      <c r="J3048">
        <v>0.31321779027824398</v>
      </c>
      <c r="K3048">
        <v>0.14872164531177801</v>
      </c>
      <c r="L3048">
        <v>493.68407158981699</v>
      </c>
      <c r="M3048">
        <v>8.3496915508889096</v>
      </c>
      <c r="N3048">
        <v>59.126025001078503</v>
      </c>
      <c r="O3048">
        <v>56.0261024186226</v>
      </c>
      <c r="P3048">
        <v>-3.7293942247877E-2</v>
      </c>
      <c r="Q3048">
        <v>0</v>
      </c>
      <c r="R3048">
        <v>0.98450127770652895</v>
      </c>
      <c r="S3048" t="s">
        <v>10051</v>
      </c>
      <c r="T3048" t="s">
        <v>14004</v>
      </c>
      <c r="U3048" t="s">
        <v>14004</v>
      </c>
      <c r="V3048" t="s">
        <v>14004</v>
      </c>
      <c r="W3048" t="s">
        <v>17010</v>
      </c>
      <c r="X3048">
        <v>37</v>
      </c>
      <c r="Y3048" t="s">
        <v>21303</v>
      </c>
      <c r="Z3048" t="s">
        <v>30758</v>
      </c>
      <c r="AA3048">
        <v>0.63292410918956166</v>
      </c>
      <c r="AB3048" t="str">
        <f>HYPERLINK("Melting_Curves/meltCurve_P60709_ACTB.pdf", "Melting_Curves/meltCurve_P60709_ACTB.pdf")</f>
        <v>Melting_Curves/meltCurve_P60709_ACTB.pdf</v>
      </c>
    </row>
    <row r="3049" spans="1:28" x14ac:dyDescent="0.25">
      <c r="A3049" t="s">
        <v>3053</v>
      </c>
      <c r="B3049">
        <v>0.99999676499088797</v>
      </c>
      <c r="C3049">
        <v>0.92596892502088701</v>
      </c>
      <c r="D3049">
        <v>0.92139845244681395</v>
      </c>
      <c r="E3049">
        <v>0.79256822705249197</v>
      </c>
      <c r="F3049">
        <v>0.68257842431107896</v>
      </c>
      <c r="G3049">
        <v>0.44399382924994502</v>
      </c>
      <c r="H3049">
        <v>0.16852815054379</v>
      </c>
      <c r="I3049">
        <v>9.7462820397416494E-2</v>
      </c>
      <c r="J3049">
        <v>2.7854455204322399E-2</v>
      </c>
      <c r="K3049">
        <v>7.0568791730269906E-2</v>
      </c>
      <c r="L3049">
        <v>812.14993313042203</v>
      </c>
      <c r="M3049">
        <v>14.689493909236701</v>
      </c>
      <c r="N3049">
        <v>55.287807167493298</v>
      </c>
      <c r="O3049">
        <v>54.293502280768102</v>
      </c>
      <c r="P3049">
        <v>-6.7646699476853006E-2</v>
      </c>
      <c r="Q3049">
        <v>0</v>
      </c>
      <c r="R3049">
        <v>0.98927446828296595</v>
      </c>
      <c r="S3049" t="s">
        <v>10052</v>
      </c>
      <c r="T3049" t="s">
        <v>14004</v>
      </c>
      <c r="U3049" t="s">
        <v>14004</v>
      </c>
      <c r="V3049" t="s">
        <v>14004</v>
      </c>
      <c r="W3049" t="s">
        <v>17011</v>
      </c>
      <c r="X3049">
        <v>9</v>
      </c>
      <c r="Y3049" t="s">
        <v>23882</v>
      </c>
      <c r="Z3049" t="s">
        <v>30759</v>
      </c>
      <c r="AA3049">
        <v>0.52886146935629308</v>
      </c>
      <c r="AB3049" t="str">
        <f>HYPERLINK("Melting_Curves/meltCurve_P60763_RAC3.pdf", "Melting_Curves/meltCurve_P60763_RAC3.pdf")</f>
        <v>Melting_Curves/meltCurve_P60763_RAC3.pdf</v>
      </c>
    </row>
    <row r="3050" spans="1:28" x14ac:dyDescent="0.25">
      <c r="A3050" t="s">
        <v>3054</v>
      </c>
      <c r="B3050">
        <v>0.99999676499088797</v>
      </c>
      <c r="C3050">
        <v>0.894183910661563</v>
      </c>
      <c r="D3050">
        <v>0.86534601910247499</v>
      </c>
      <c r="E3050">
        <v>0.69825303094587698</v>
      </c>
      <c r="F3050">
        <v>0.34839491949127699</v>
      </c>
      <c r="G3050">
        <v>0.194744432703432</v>
      </c>
      <c r="H3050">
        <v>7.8261033443769903E-2</v>
      </c>
      <c r="I3050">
        <v>6.9350527357536496E-2</v>
      </c>
      <c r="J3050">
        <v>6.5030654986733799E-2</v>
      </c>
      <c r="K3050">
        <v>5.0858523746617097E-2</v>
      </c>
      <c r="L3050">
        <v>867.97768055511904</v>
      </c>
      <c r="M3050">
        <v>16.921618631764499</v>
      </c>
      <c r="N3050">
        <v>51.511151658306296</v>
      </c>
      <c r="O3050">
        <v>50.5936960349513</v>
      </c>
      <c r="P3050">
        <v>-8.0741977360498998E-2</v>
      </c>
      <c r="Q3050">
        <v>3.4423470090589998E-2</v>
      </c>
      <c r="R3050">
        <v>0.99367309173650598</v>
      </c>
      <c r="S3050" t="s">
        <v>10053</v>
      </c>
      <c r="T3050" t="s">
        <v>14004</v>
      </c>
      <c r="U3050" t="s">
        <v>14004</v>
      </c>
      <c r="V3050" t="s">
        <v>14004</v>
      </c>
      <c r="W3050" t="s">
        <v>17012</v>
      </c>
      <c r="X3050">
        <v>39</v>
      </c>
      <c r="Y3050" t="s">
        <v>23883</v>
      </c>
      <c r="Z3050" t="s">
        <v>30760</v>
      </c>
      <c r="AA3050">
        <v>0.41599645995166112</v>
      </c>
      <c r="AB3050" t="str">
        <f>HYPERLINK("Melting_Curves/meltCurve_P60842_EIF4A1.pdf", "Melting_Curves/meltCurve_P60842_EIF4A1.pdf")</f>
        <v>Melting_Curves/meltCurve_P60842_EIF4A1.pdf</v>
      </c>
    </row>
    <row r="3051" spans="1:28" x14ac:dyDescent="0.25">
      <c r="A3051" t="s">
        <v>3055</v>
      </c>
      <c r="B3051">
        <v>0.99999676499088797</v>
      </c>
      <c r="C3051">
        <v>0.97839253526928605</v>
      </c>
      <c r="D3051">
        <v>0.97116657838623999</v>
      </c>
      <c r="E3051">
        <v>0.63314262297693102</v>
      </c>
      <c r="F3051">
        <v>0.39788693104520201</v>
      </c>
      <c r="G3051">
        <v>0.23911418344134899</v>
      </c>
      <c r="H3051">
        <v>6.6914937684927706E-2</v>
      </c>
      <c r="I3051">
        <v>5.7504631605229999E-2</v>
      </c>
      <c r="J3051">
        <v>4.65808102880945E-2</v>
      </c>
      <c r="K3051">
        <v>3.3006468017301199E-2</v>
      </c>
      <c r="L3051">
        <v>908.79613894736701</v>
      </c>
      <c r="M3051">
        <v>17.578071802189299</v>
      </c>
      <c r="N3051">
        <v>51.8682753507073</v>
      </c>
      <c r="O3051">
        <v>51.045362178530802</v>
      </c>
      <c r="P3051">
        <v>-8.3716577365905598E-2</v>
      </c>
      <c r="Q3051">
        <v>2.76267919607576E-2</v>
      </c>
      <c r="R3051">
        <v>0.99325668802744504</v>
      </c>
      <c r="S3051" t="s">
        <v>10054</v>
      </c>
      <c r="T3051" t="s">
        <v>14004</v>
      </c>
      <c r="U3051" t="s">
        <v>14004</v>
      </c>
      <c r="V3051" t="s">
        <v>14004</v>
      </c>
      <c r="W3051" t="s">
        <v>17013</v>
      </c>
      <c r="X3051">
        <v>9</v>
      </c>
      <c r="Y3051" t="s">
        <v>23884</v>
      </c>
      <c r="Z3051" t="s">
        <v>30761</v>
      </c>
      <c r="AA3051">
        <v>0.42379476591071502</v>
      </c>
      <c r="AB3051" t="str">
        <f>HYPERLINK("Melting_Curves/meltCurve_P60866_RPS20.pdf", "Melting_Curves/meltCurve_P60866_RPS20.pdf")</f>
        <v>Melting_Curves/meltCurve_P60866_RPS20.pdf</v>
      </c>
    </row>
    <row r="3052" spans="1:28" x14ac:dyDescent="0.25">
      <c r="A3052" t="s">
        <v>3056</v>
      </c>
      <c r="B3052">
        <v>0.99999676499088797</v>
      </c>
      <c r="C3052">
        <v>0.99339928863858995</v>
      </c>
      <c r="D3052">
        <v>1.0156166734690799</v>
      </c>
      <c r="E3052">
        <v>0.95980178709377895</v>
      </c>
      <c r="F3052">
        <v>1.02673496366373</v>
      </c>
      <c r="G3052">
        <v>0.83146663384375696</v>
      </c>
      <c r="H3052">
        <v>0.45454432561379698</v>
      </c>
      <c r="I3052">
        <v>0.17294732869318799</v>
      </c>
      <c r="J3052">
        <v>0.11940231488104699</v>
      </c>
      <c r="K3052">
        <v>9.7268859552809603E-2</v>
      </c>
      <c r="L3052">
        <v>1830.40467309682</v>
      </c>
      <c r="M3052">
        <v>30.562193456020399</v>
      </c>
      <c r="N3052">
        <v>60.238640105111102</v>
      </c>
      <c r="O3052">
        <v>59.636480063210101</v>
      </c>
      <c r="P3052">
        <v>-0.117765078661464</v>
      </c>
      <c r="Q3052">
        <v>8.0818329890333399E-2</v>
      </c>
      <c r="R3052">
        <v>0.99652899697547503</v>
      </c>
      <c r="S3052" t="s">
        <v>10055</v>
      </c>
      <c r="T3052" t="s">
        <v>14004</v>
      </c>
      <c r="U3052" t="s">
        <v>14004</v>
      </c>
      <c r="V3052" t="s">
        <v>14004</v>
      </c>
      <c r="W3052" t="s">
        <v>17014</v>
      </c>
      <c r="X3052">
        <v>23</v>
      </c>
      <c r="Y3052" t="s">
        <v>23885</v>
      </c>
      <c r="Z3052" t="s">
        <v>30762</v>
      </c>
      <c r="AA3052">
        <v>0.6957594573953253</v>
      </c>
      <c r="AB3052" t="str">
        <f>HYPERLINK("Melting_Curves/meltCurve_P60891_PRPS1.pdf", "Melting_Curves/meltCurve_P60891_PRPS1.pdf")</f>
        <v>Melting_Curves/meltCurve_P60891_PRPS1.pdf</v>
      </c>
    </row>
    <row r="3053" spans="1:28" x14ac:dyDescent="0.25">
      <c r="A3053" t="s">
        <v>3057</v>
      </c>
      <c r="B3053">
        <v>0.99999676499088797</v>
      </c>
      <c r="C3053">
        <v>1.2167687929641</v>
      </c>
      <c r="D3053">
        <v>0.98753950772554</v>
      </c>
      <c r="E3053">
        <v>0.37709778388662502</v>
      </c>
      <c r="F3053">
        <v>0.23731886467692501</v>
      </c>
      <c r="G3053">
        <v>0.27095022458422602</v>
      </c>
      <c r="H3053">
        <v>0.15908095904406</v>
      </c>
      <c r="I3053">
        <v>0.33371718658539401</v>
      </c>
      <c r="J3053">
        <v>0.411015180301738</v>
      </c>
      <c r="K3053">
        <v>7.2450487171594802E-2</v>
      </c>
      <c r="L3053">
        <v>3708.8071491338701</v>
      </c>
      <c r="M3053">
        <v>76.344924683290699</v>
      </c>
      <c r="N3053">
        <v>49.017726629455701</v>
      </c>
      <c r="O3053">
        <v>48.546315015427403</v>
      </c>
      <c r="P3053">
        <v>-0.29593287684581598</v>
      </c>
      <c r="Q3053">
        <v>0.24728730512856101</v>
      </c>
      <c r="R3053">
        <v>0.918276381132203</v>
      </c>
      <c r="S3053" t="s">
        <v>10056</v>
      </c>
      <c r="T3053" t="s">
        <v>14004</v>
      </c>
      <c r="U3053" t="s">
        <v>14004</v>
      </c>
      <c r="V3053" t="s">
        <v>14004</v>
      </c>
      <c r="W3053" t="s">
        <v>17015</v>
      </c>
      <c r="X3053">
        <v>3</v>
      </c>
      <c r="Y3053" t="s">
        <v>23886</v>
      </c>
      <c r="Z3053" t="s">
        <v>30763</v>
      </c>
      <c r="AA3053">
        <v>0.46324313677041912</v>
      </c>
      <c r="AB3053" t="str">
        <f>HYPERLINK("Melting_Curves/meltCurve_P60896_SHFM1.pdf", "Melting_Curves/meltCurve_P60896_SHFM1.pdf")</f>
        <v>Melting_Curves/meltCurve_P60896_SHFM1.pdf</v>
      </c>
    </row>
    <row r="3054" spans="1:28" x14ac:dyDescent="0.25">
      <c r="A3054" t="s">
        <v>3058</v>
      </c>
      <c r="B3054">
        <v>0.99999676499088797</v>
      </c>
      <c r="C3054">
        <v>1.1046279021070899</v>
      </c>
      <c r="D3054">
        <v>1.0856399291104999</v>
      </c>
      <c r="E3054">
        <v>1.0965494222505401</v>
      </c>
      <c r="F3054">
        <v>1.1144707887493099</v>
      </c>
      <c r="G3054">
        <v>1.3034515082151701</v>
      </c>
      <c r="H3054">
        <v>0.88875263650967895</v>
      </c>
      <c r="I3054">
        <v>0.75716833629575697</v>
      </c>
      <c r="J3054">
        <v>0.51191249779374304</v>
      </c>
      <c r="K3054">
        <v>0.38562422712746097</v>
      </c>
      <c r="L3054">
        <v>2277.31875047519</v>
      </c>
      <c r="M3054">
        <v>35.080688915073203</v>
      </c>
      <c r="N3054">
        <v>67.149299935510101</v>
      </c>
      <c r="O3054">
        <v>64.706728848572993</v>
      </c>
      <c r="P3054">
        <v>-8.8877302737733296E-2</v>
      </c>
      <c r="Q3054">
        <v>0.344261516971473</v>
      </c>
      <c r="R3054">
        <v>0.81826297341193299</v>
      </c>
      <c r="S3054" t="s">
        <v>10057</v>
      </c>
      <c r="T3054" t="s">
        <v>14004</v>
      </c>
      <c r="U3054" t="s">
        <v>14004</v>
      </c>
      <c r="V3054" t="s">
        <v>14004</v>
      </c>
      <c r="W3054" t="s">
        <v>17016</v>
      </c>
      <c r="X3054">
        <v>22</v>
      </c>
      <c r="Y3054" t="s">
        <v>23887</v>
      </c>
      <c r="Z3054" t="s">
        <v>30764</v>
      </c>
      <c r="AA3054">
        <v>0.88893408903202842</v>
      </c>
      <c r="AB3054" t="str">
        <f>HYPERLINK("Melting_Curves/meltCurve_P60900_PSMA6.pdf", "Melting_Curves/meltCurve_P60900_PSMA6.pdf")</f>
        <v>Melting_Curves/meltCurve_P60900_PSMA6.pdf</v>
      </c>
    </row>
    <row r="3055" spans="1:28" x14ac:dyDescent="0.25">
      <c r="A3055" t="s">
        <v>3059</v>
      </c>
      <c r="B3055">
        <v>0.99999676499088797</v>
      </c>
      <c r="C3055">
        <v>0.76812254345972897</v>
      </c>
      <c r="D3055">
        <v>0.83474004133622803</v>
      </c>
      <c r="E3055">
        <v>0.78383228941126903</v>
      </c>
      <c r="F3055">
        <v>0.36251438961033999</v>
      </c>
      <c r="G3055">
        <v>0.12588333417335201</v>
      </c>
      <c r="H3055">
        <v>8.1468433586316405E-2</v>
      </c>
      <c r="I3055">
        <v>5.3468972182057498E-2</v>
      </c>
      <c r="J3055">
        <v>4.9018368530890997E-2</v>
      </c>
      <c r="K3055">
        <v>6.8398173220421299E-2</v>
      </c>
      <c r="L3055">
        <v>894.55336283646398</v>
      </c>
      <c r="M3055">
        <v>17.347520325032999</v>
      </c>
      <c r="N3055">
        <v>51.700644530850298</v>
      </c>
      <c r="O3055">
        <v>50.896032712971099</v>
      </c>
      <c r="P3055">
        <v>-8.3342095033409905E-2</v>
      </c>
      <c r="Q3055">
        <v>2.19835767557005E-2</v>
      </c>
      <c r="R3055">
        <v>0.95394029584920803</v>
      </c>
      <c r="S3055" t="s">
        <v>10058</v>
      </c>
      <c r="T3055" t="s">
        <v>14004</v>
      </c>
      <c r="U3055" t="s">
        <v>14004</v>
      </c>
      <c r="V3055" t="s">
        <v>14004</v>
      </c>
      <c r="W3055" t="s">
        <v>17017</v>
      </c>
      <c r="X3055">
        <v>3</v>
      </c>
      <c r="Y3055" t="s">
        <v>23888</v>
      </c>
      <c r="Z3055" t="s">
        <v>30765</v>
      </c>
      <c r="AA3055">
        <v>0.41651180932955478</v>
      </c>
      <c r="AB3055" t="str">
        <f>HYPERLINK("Melting_Curves/meltCurve_P60903_S100A10.pdf", "Melting_Curves/meltCurve_P60903_S100A10.pdf")</f>
        <v>Melting_Curves/meltCurve_P60903_S100A10.pdf</v>
      </c>
    </row>
    <row r="3056" spans="1:28" x14ac:dyDescent="0.25">
      <c r="A3056" t="s">
        <v>3060</v>
      </c>
      <c r="B3056">
        <v>0.99999676499088797</v>
      </c>
      <c r="C3056">
        <v>1.0093236220306301</v>
      </c>
      <c r="D3056">
        <v>0.89914860182880896</v>
      </c>
      <c r="E3056">
        <v>0.95088050512175604</v>
      </c>
      <c r="F3056">
        <v>0.85630359738430495</v>
      </c>
      <c r="G3056">
        <v>0.64578405535052297</v>
      </c>
      <c r="H3056">
        <v>0.364935113416131</v>
      </c>
      <c r="I3056">
        <v>0.29021287893993902</v>
      </c>
      <c r="J3056">
        <v>0.180687440012857</v>
      </c>
      <c r="K3056">
        <v>0.105142169612661</v>
      </c>
      <c r="L3056">
        <v>876.63493532345001</v>
      </c>
      <c r="M3056">
        <v>14.9160016828666</v>
      </c>
      <c r="N3056">
        <v>59.102251350055099</v>
      </c>
      <c r="O3056">
        <v>57.745428433131501</v>
      </c>
      <c r="P3056">
        <v>-6.1996729286731E-2</v>
      </c>
      <c r="Q3056">
        <v>4.0049004460249997E-2</v>
      </c>
      <c r="R3056">
        <v>0.99069183437289998</v>
      </c>
      <c r="S3056" t="s">
        <v>10059</v>
      </c>
      <c r="T3056" t="s">
        <v>14004</v>
      </c>
      <c r="U3056" t="s">
        <v>14004</v>
      </c>
      <c r="V3056" t="s">
        <v>14004</v>
      </c>
      <c r="W3056" t="s">
        <v>17018</v>
      </c>
      <c r="X3056">
        <v>13</v>
      </c>
      <c r="Y3056" t="s">
        <v>23889</v>
      </c>
      <c r="Z3056" t="s">
        <v>30766</v>
      </c>
      <c r="AA3056">
        <v>0.65144940047664479</v>
      </c>
      <c r="AB3056" t="str">
        <f>HYPERLINK("Melting_Curves/meltCurve_P60953_CDC42.pdf", "Melting_Curves/meltCurve_P60953_CDC42.pdf")</f>
        <v>Melting_Curves/meltCurve_P60953_CDC42.pdf</v>
      </c>
    </row>
    <row r="3057" spans="1:28" x14ac:dyDescent="0.25">
      <c r="A3057" t="s">
        <v>3061</v>
      </c>
      <c r="B3057">
        <v>0.99999676499088797</v>
      </c>
      <c r="C3057">
        <v>1.0480014516695699</v>
      </c>
      <c r="D3057">
        <v>1.0201415374868601</v>
      </c>
      <c r="E3057">
        <v>0.94896594840771598</v>
      </c>
      <c r="F3057">
        <v>0.84562108912221801</v>
      </c>
      <c r="G3057">
        <v>0.74021870700328096</v>
      </c>
      <c r="H3057">
        <v>0.52674790539801897</v>
      </c>
      <c r="I3057">
        <v>0.56625629679466205</v>
      </c>
      <c r="J3057">
        <v>0.29815618795208798</v>
      </c>
      <c r="K3057">
        <v>0.123005956987276</v>
      </c>
      <c r="L3057">
        <v>727.526517541006</v>
      </c>
      <c r="M3057">
        <v>11.6725996677929</v>
      </c>
      <c r="N3057">
        <v>62.3277194914834</v>
      </c>
      <c r="O3057">
        <v>60.582680144229101</v>
      </c>
      <c r="P3057">
        <v>-4.8180979189451897E-2</v>
      </c>
      <c r="Q3057">
        <v>0</v>
      </c>
      <c r="R3057">
        <v>0.96072313809891896</v>
      </c>
      <c r="S3057" t="s">
        <v>10060</v>
      </c>
      <c r="T3057" t="s">
        <v>14004</v>
      </c>
      <c r="U3057" t="s">
        <v>14004</v>
      </c>
      <c r="V3057" t="s">
        <v>14004</v>
      </c>
      <c r="W3057" t="s">
        <v>17019</v>
      </c>
      <c r="X3057">
        <v>11</v>
      </c>
      <c r="Y3057" t="s">
        <v>23889</v>
      </c>
      <c r="Z3057" t="s">
        <v>30767</v>
      </c>
      <c r="AA3057">
        <v>0.72887914726992864</v>
      </c>
      <c r="AB3057" t="str">
        <f>HYPERLINK("Melting_Curves/meltCurve_P60953_1_CDC42.pdf", "Melting_Curves/meltCurve_P60953_1_CDC42.pdf")</f>
        <v>Melting_Curves/meltCurve_P60953_1_CDC42.pdf</v>
      </c>
    </row>
    <row r="3058" spans="1:28" x14ac:dyDescent="0.25">
      <c r="A3058" t="s">
        <v>3062</v>
      </c>
      <c r="B3058">
        <v>0.99999676499088797</v>
      </c>
      <c r="C3058">
        <v>0.95417055535071005</v>
      </c>
      <c r="D3058">
        <v>0.94676795434763295</v>
      </c>
      <c r="E3058">
        <v>0.92612141930499703</v>
      </c>
      <c r="F3058">
        <v>0.57710126636732695</v>
      </c>
      <c r="G3058">
        <v>0.23249759213353</v>
      </c>
      <c r="H3058">
        <v>0.10114839109978099</v>
      </c>
      <c r="I3058">
        <v>9.4411266503514002E-2</v>
      </c>
      <c r="J3058">
        <v>8.34934459764686E-2</v>
      </c>
      <c r="K3058">
        <v>7.6515052368416797E-2</v>
      </c>
      <c r="L3058">
        <v>1521.64049184703</v>
      </c>
      <c r="M3058">
        <v>28.421061507680601</v>
      </c>
      <c r="N3058">
        <v>53.863552449683297</v>
      </c>
      <c r="O3058">
        <v>53.276233831452998</v>
      </c>
      <c r="P3058">
        <v>-0.122877802002975</v>
      </c>
      <c r="Q3058">
        <v>7.8653284340084298E-2</v>
      </c>
      <c r="R3058">
        <v>0.99727445966337902</v>
      </c>
      <c r="S3058" t="s">
        <v>10061</v>
      </c>
      <c r="T3058" t="s">
        <v>14004</v>
      </c>
      <c r="U3058" t="s">
        <v>14004</v>
      </c>
      <c r="V3058" t="s">
        <v>14004</v>
      </c>
      <c r="W3058" t="s">
        <v>17020</v>
      </c>
      <c r="X3058">
        <v>18</v>
      </c>
      <c r="Y3058" t="s">
        <v>23890</v>
      </c>
      <c r="Z3058" t="s">
        <v>30768</v>
      </c>
      <c r="AA3058">
        <v>0.50114396016008356</v>
      </c>
      <c r="AB3058" t="str">
        <f>HYPERLINK("Melting_Curves/meltCurve_P60981_DSTN.pdf", "Melting_Curves/meltCurve_P60981_DSTN.pdf")</f>
        <v>Melting_Curves/meltCurve_P60981_DSTN.pdf</v>
      </c>
    </row>
    <row r="3059" spans="1:28" x14ac:dyDescent="0.25">
      <c r="A3059" t="s">
        <v>3063</v>
      </c>
      <c r="B3059">
        <v>0.99999676499088797</v>
      </c>
      <c r="C3059">
        <v>0.902521535998841</v>
      </c>
      <c r="D3059">
        <v>0.92402698245388404</v>
      </c>
      <c r="E3059">
        <v>0.92546968251797002</v>
      </c>
      <c r="F3059">
        <v>0.75260055380889201</v>
      </c>
      <c r="G3059">
        <v>0.60676762451587996</v>
      </c>
      <c r="H3059">
        <v>0.26731987251330502</v>
      </c>
      <c r="I3059">
        <v>0.15967626089307399</v>
      </c>
      <c r="J3059">
        <v>0.12378205131094901</v>
      </c>
      <c r="K3059">
        <v>0.12711948583345101</v>
      </c>
      <c r="L3059">
        <v>918.91255740408201</v>
      </c>
      <c r="M3059">
        <v>16.092338530973901</v>
      </c>
      <c r="N3059">
        <v>57.449275928960397</v>
      </c>
      <c r="O3059">
        <v>56.242526099734398</v>
      </c>
      <c r="P3059">
        <v>-6.8225382967029902E-2</v>
      </c>
      <c r="Q3059">
        <v>4.6285645932069699E-2</v>
      </c>
      <c r="R3059">
        <v>0.98382604869720103</v>
      </c>
      <c r="S3059" t="s">
        <v>10062</v>
      </c>
      <c r="T3059" t="s">
        <v>14004</v>
      </c>
      <c r="U3059" t="s">
        <v>14004</v>
      </c>
      <c r="V3059" t="s">
        <v>14004</v>
      </c>
      <c r="W3059" t="s">
        <v>17021</v>
      </c>
      <c r="X3059">
        <v>13</v>
      </c>
      <c r="Y3059" t="s">
        <v>23891</v>
      </c>
      <c r="Z3059" t="s">
        <v>30769</v>
      </c>
      <c r="AA3059">
        <v>0.60422128998746649</v>
      </c>
      <c r="AB3059" t="str">
        <f>HYPERLINK("Melting_Curves/meltCurve_P60983_GMFB.pdf", "Melting_Curves/meltCurve_P60983_GMFB.pdf")</f>
        <v>Melting_Curves/meltCurve_P60983_GMFB.pdf</v>
      </c>
    </row>
    <row r="3060" spans="1:28" x14ac:dyDescent="0.25">
      <c r="A3060" t="s">
        <v>3064</v>
      </c>
      <c r="B3060">
        <v>0.99999676499088797</v>
      </c>
      <c r="C3060">
        <v>0.968530194504436</v>
      </c>
      <c r="D3060">
        <v>0.94035631811488796</v>
      </c>
      <c r="E3060">
        <v>0.91705082578782704</v>
      </c>
      <c r="F3060">
        <v>0.81173245003765704</v>
      </c>
      <c r="G3060">
        <v>0.91055172343809598</v>
      </c>
      <c r="H3060">
        <v>0.582299974669783</v>
      </c>
      <c r="I3060">
        <v>0.53980791344700496</v>
      </c>
      <c r="J3060">
        <v>0.184451374626139</v>
      </c>
      <c r="K3060">
        <v>9.9599828328562207E-2</v>
      </c>
      <c r="L3060">
        <v>1037.0997589062499</v>
      </c>
      <c r="M3060">
        <v>16.537458124780301</v>
      </c>
      <c r="N3060">
        <v>62.7121626989126</v>
      </c>
      <c r="O3060">
        <v>61.816689890353402</v>
      </c>
      <c r="P3060">
        <v>-6.6885647343016899E-2</v>
      </c>
      <c r="Q3060">
        <v>0</v>
      </c>
      <c r="R3060">
        <v>0.94263973690283798</v>
      </c>
      <c r="S3060" t="s">
        <v>10063</v>
      </c>
      <c r="T3060" t="s">
        <v>14004</v>
      </c>
      <c r="U3060" t="s">
        <v>14004</v>
      </c>
      <c r="V3060" t="s">
        <v>14004</v>
      </c>
      <c r="W3060" t="s">
        <v>17022</v>
      </c>
      <c r="X3060">
        <v>15</v>
      </c>
      <c r="Y3060" t="s">
        <v>23892</v>
      </c>
      <c r="Z3060" t="s">
        <v>30770</v>
      </c>
      <c r="AA3060">
        <v>0.75305236399327491</v>
      </c>
      <c r="AB3060" t="str">
        <f>HYPERLINK("Melting_Curves/meltCurve_P61006_RAB8A.pdf", "Melting_Curves/meltCurve_P61006_RAB8A.pdf")</f>
        <v>Melting_Curves/meltCurve_P61006_RAB8A.pdf</v>
      </c>
    </row>
    <row r="3061" spans="1:28" x14ac:dyDescent="0.25">
      <c r="A3061" t="s">
        <v>3065</v>
      </c>
      <c r="B3061">
        <v>0.99999676499088797</v>
      </c>
      <c r="C3061">
        <v>1.14655641916187</v>
      </c>
      <c r="D3061">
        <v>1.1762841931407999</v>
      </c>
      <c r="E3061">
        <v>1.11938985217182</v>
      </c>
      <c r="F3061">
        <v>0.61281329493269199</v>
      </c>
      <c r="G3061">
        <v>0.22637218291505501</v>
      </c>
      <c r="H3061">
        <v>9.0317827015832894E-2</v>
      </c>
      <c r="I3061">
        <v>7.2469989000384302E-2</v>
      </c>
      <c r="J3061">
        <v>6.48212078248631E-2</v>
      </c>
      <c r="K3061">
        <v>6.1135857665144601E-2</v>
      </c>
      <c r="L3061">
        <v>2240.9959636864601</v>
      </c>
      <c r="M3061">
        <v>41.6306477131901</v>
      </c>
      <c r="N3061">
        <v>54.054543947241797</v>
      </c>
      <c r="O3061">
        <v>53.706672951311397</v>
      </c>
      <c r="P3061">
        <v>-0.17842594032974399</v>
      </c>
      <c r="Q3061">
        <v>7.9269988291256505E-2</v>
      </c>
      <c r="R3061">
        <v>0.96569083681686596</v>
      </c>
      <c r="S3061" t="s">
        <v>10064</v>
      </c>
      <c r="T3061" t="s">
        <v>14004</v>
      </c>
      <c r="U3061" t="s">
        <v>14004</v>
      </c>
      <c r="V3061" t="s">
        <v>14004</v>
      </c>
      <c r="W3061" t="s">
        <v>17023</v>
      </c>
      <c r="X3061">
        <v>4</v>
      </c>
      <c r="Y3061" t="s">
        <v>23893</v>
      </c>
      <c r="Z3061" t="s">
        <v>30771</v>
      </c>
      <c r="AA3061">
        <v>0.5068967483682244</v>
      </c>
      <c r="AB3061" t="str">
        <f>HYPERLINK("Melting_Curves/meltCurve_P61009_SPCS3.pdf", "Melting_Curves/meltCurve_P61009_SPCS3.pdf")</f>
        <v>Melting_Curves/meltCurve_P61009_SPCS3.pdf</v>
      </c>
    </row>
    <row r="3062" spans="1:28" x14ac:dyDescent="0.25">
      <c r="A3062" t="s">
        <v>3066</v>
      </c>
      <c r="B3062">
        <v>0.99999676499088797</v>
      </c>
      <c r="C3062">
        <v>0.99855432144560896</v>
      </c>
      <c r="D3062">
        <v>0.98045541356280796</v>
      </c>
      <c r="E3062">
        <v>0.93520541424463199</v>
      </c>
      <c r="F3062">
        <v>0.29473499769777001</v>
      </c>
      <c r="G3062">
        <v>0.164896771585503</v>
      </c>
      <c r="H3062">
        <v>7.0152065333601493E-2</v>
      </c>
      <c r="I3062">
        <v>6.7735041406637997E-2</v>
      </c>
      <c r="J3062">
        <v>6.2631554932671502E-2</v>
      </c>
      <c r="K3062">
        <v>4.9660880776605902E-2</v>
      </c>
      <c r="L3062">
        <v>2567.3811206251798</v>
      </c>
      <c r="M3062">
        <v>49.375741669841503</v>
      </c>
      <c r="N3062">
        <v>52.177043053317902</v>
      </c>
      <c r="O3062">
        <v>51.911733979437997</v>
      </c>
      <c r="P3062">
        <v>-0.219144275812967</v>
      </c>
      <c r="Q3062">
        <v>7.8401793878942694E-2</v>
      </c>
      <c r="R3062">
        <v>0.99608289329034505</v>
      </c>
      <c r="S3062" t="s">
        <v>10065</v>
      </c>
      <c r="T3062" t="s">
        <v>14004</v>
      </c>
      <c r="U3062" t="s">
        <v>14004</v>
      </c>
      <c r="V3062" t="s">
        <v>14004</v>
      </c>
      <c r="W3062" t="s">
        <v>17024</v>
      </c>
      <c r="X3062">
        <v>26</v>
      </c>
      <c r="Y3062" t="s">
        <v>23894</v>
      </c>
      <c r="Z3062" t="s">
        <v>30772</v>
      </c>
      <c r="AA3062">
        <v>0.44911081381360718</v>
      </c>
      <c r="AB3062" t="str">
        <f>HYPERLINK("Melting_Curves/meltCurve_P61011_SRP54.pdf", "Melting_Curves/meltCurve_P61011_SRP54.pdf")</f>
        <v>Melting_Curves/meltCurve_P61011_SRP54.pdf</v>
      </c>
    </row>
    <row r="3063" spans="1:28" x14ac:dyDescent="0.25">
      <c r="A3063" t="s">
        <v>3067</v>
      </c>
      <c r="B3063">
        <v>0.99999676499088797</v>
      </c>
      <c r="C3063">
        <v>1.0577378712437899</v>
      </c>
      <c r="D3063">
        <v>1.0057962184770699</v>
      </c>
      <c r="E3063">
        <v>1.12499204896727</v>
      </c>
      <c r="F3063">
        <v>1.0991135750093499</v>
      </c>
      <c r="G3063">
        <v>0.97950307050263297</v>
      </c>
      <c r="H3063">
        <v>0.62187530080162201</v>
      </c>
      <c r="I3063">
        <v>0.47468882342700303</v>
      </c>
      <c r="J3063">
        <v>0.18702921388777799</v>
      </c>
      <c r="K3063">
        <v>0.14137605553628399</v>
      </c>
      <c r="L3063">
        <v>1597.4786996801899</v>
      </c>
      <c r="M3063">
        <v>25.576613857524801</v>
      </c>
      <c r="N3063">
        <v>62.9161633259449</v>
      </c>
      <c r="O3063">
        <v>62.080501591652798</v>
      </c>
      <c r="P3063">
        <v>-9.4257317344243793E-2</v>
      </c>
      <c r="Q3063">
        <v>8.4871874820421106E-2</v>
      </c>
      <c r="R3063">
        <v>0.96603125323639205</v>
      </c>
      <c r="S3063" t="s">
        <v>10066</v>
      </c>
      <c r="T3063" t="s">
        <v>14004</v>
      </c>
      <c r="U3063" t="s">
        <v>14004</v>
      </c>
      <c r="V3063" t="s">
        <v>14004</v>
      </c>
      <c r="W3063" t="s">
        <v>17025</v>
      </c>
      <c r="X3063">
        <v>12</v>
      </c>
      <c r="Y3063" t="s">
        <v>23895</v>
      </c>
      <c r="Z3063" t="s">
        <v>30773</v>
      </c>
      <c r="AA3063">
        <v>0.77338472095118715</v>
      </c>
      <c r="AB3063" t="str">
        <f>HYPERLINK("Melting_Curves/meltCurve_P61018_RAB4B.pdf", "Melting_Curves/meltCurve_P61018_RAB4B.pdf")</f>
        <v>Melting_Curves/meltCurve_P61018_RAB4B.pdf</v>
      </c>
    </row>
    <row r="3064" spans="1:28" x14ac:dyDescent="0.25">
      <c r="A3064" t="s">
        <v>3068</v>
      </c>
      <c r="B3064">
        <v>0.99999676499088797</v>
      </c>
      <c r="C3064">
        <v>0.91027578722855096</v>
      </c>
      <c r="D3064">
        <v>0.94931139349344995</v>
      </c>
      <c r="E3064">
        <v>1.0485918666109399</v>
      </c>
      <c r="F3064">
        <v>1.0127168303396299</v>
      </c>
      <c r="G3064">
        <v>0.94337658167330596</v>
      </c>
      <c r="H3064">
        <v>0.71376999271295605</v>
      </c>
      <c r="I3064">
        <v>0.58728408361916795</v>
      </c>
      <c r="J3064">
        <v>0.25723091744165399</v>
      </c>
      <c r="K3064">
        <v>0.12513209481422199</v>
      </c>
      <c r="L3064">
        <v>1383.2482071739</v>
      </c>
      <c r="M3064">
        <v>21.5416364451963</v>
      </c>
      <c r="N3064">
        <v>64.212772845883293</v>
      </c>
      <c r="O3064">
        <v>63.667100602462</v>
      </c>
      <c r="P3064">
        <v>-8.4589071299469007E-2</v>
      </c>
      <c r="Q3064">
        <v>0</v>
      </c>
      <c r="R3064">
        <v>0.97687486353235098</v>
      </c>
      <c r="S3064" t="s">
        <v>10067</v>
      </c>
      <c r="T3064" t="s">
        <v>14004</v>
      </c>
      <c r="U3064" t="s">
        <v>14004</v>
      </c>
      <c r="V3064" t="s">
        <v>14004</v>
      </c>
      <c r="W3064" t="s">
        <v>17026</v>
      </c>
      <c r="X3064">
        <v>17</v>
      </c>
      <c r="Y3064" t="s">
        <v>23896</v>
      </c>
      <c r="Z3064" t="s">
        <v>30774</v>
      </c>
      <c r="AA3064">
        <v>0.80205035299393179</v>
      </c>
      <c r="AB3064" t="str">
        <f>HYPERLINK("Melting_Curves/meltCurve_P61019_RAB2A.pdf", "Melting_Curves/meltCurve_P61019_RAB2A.pdf")</f>
        <v>Melting_Curves/meltCurve_P61019_RAB2A.pdf</v>
      </c>
    </row>
    <row r="3065" spans="1:28" x14ac:dyDescent="0.25">
      <c r="A3065" t="s">
        <v>3069</v>
      </c>
      <c r="B3065">
        <v>0.99999676499088797</v>
      </c>
      <c r="C3065">
        <v>1.04626958576361</v>
      </c>
      <c r="D3065">
        <v>1.11656043048989</v>
      </c>
      <c r="E3065">
        <v>1.1850846798493699</v>
      </c>
      <c r="F3065">
        <v>1.6996314417232301</v>
      </c>
      <c r="G3065">
        <v>1.1137726330108</v>
      </c>
      <c r="H3065">
        <v>0.80324645454399402</v>
      </c>
      <c r="I3065">
        <v>0.67587321269113498</v>
      </c>
      <c r="J3065">
        <v>0.44392876643324097</v>
      </c>
      <c r="K3065">
        <v>0.270018513123644</v>
      </c>
      <c r="L3065">
        <v>1826.7426370774101</v>
      </c>
      <c r="M3065">
        <v>28.226242961099999</v>
      </c>
      <c r="N3065">
        <v>65.939946204015101</v>
      </c>
      <c r="O3065">
        <v>64.3956538830938</v>
      </c>
      <c r="P3065">
        <v>-8.7264183624903097E-2</v>
      </c>
      <c r="Q3065">
        <v>0.20366484153199199</v>
      </c>
      <c r="R3065">
        <v>0.62104621203598398</v>
      </c>
      <c r="S3065" t="s">
        <v>10068</v>
      </c>
      <c r="T3065" t="s">
        <v>14004</v>
      </c>
      <c r="U3065" t="s">
        <v>14004</v>
      </c>
      <c r="V3065" t="s">
        <v>14004</v>
      </c>
      <c r="W3065" t="s">
        <v>17027</v>
      </c>
      <c r="X3065">
        <v>7</v>
      </c>
      <c r="Y3065" t="s">
        <v>23897</v>
      </c>
      <c r="Z3065" t="s">
        <v>30775</v>
      </c>
      <c r="AA3065">
        <v>0.85829684449324928</v>
      </c>
      <c r="AB3065" t="str">
        <f>HYPERLINK("Melting_Curves/meltCurve_P61020_RAB5B.pdf", "Melting_Curves/meltCurve_P61020_RAB5B.pdf")</f>
        <v>Melting_Curves/meltCurve_P61020_RAB5B.pdf</v>
      </c>
    </row>
    <row r="3066" spans="1:28" x14ac:dyDescent="0.25">
      <c r="A3066" t="s">
        <v>3070</v>
      </c>
      <c r="B3066">
        <v>0.99999676499088797</v>
      </c>
      <c r="C3066">
        <v>0.78667102924750398</v>
      </c>
      <c r="D3066">
        <v>0.75199991062696003</v>
      </c>
      <c r="E3066">
        <v>0.54809607115046699</v>
      </c>
      <c r="F3066">
        <v>0.36001716683803298</v>
      </c>
      <c r="G3066">
        <v>0.31553590571366702</v>
      </c>
      <c r="H3066">
        <v>0.1166467588029</v>
      </c>
      <c r="I3066">
        <v>0.13882805895903899</v>
      </c>
      <c r="J3066">
        <v>9.6906762662939502E-2</v>
      </c>
      <c r="K3066">
        <v>7.0778304189948904E-2</v>
      </c>
      <c r="L3066">
        <v>502.42902897031098</v>
      </c>
      <c r="M3066">
        <v>9.9597240155722098</v>
      </c>
      <c r="N3066">
        <v>50.6121760028335</v>
      </c>
      <c r="O3066">
        <v>48.538818474493802</v>
      </c>
      <c r="P3066">
        <v>-5.0497903560189399E-2</v>
      </c>
      <c r="Q3066">
        <v>1.60777858068069E-2</v>
      </c>
      <c r="R3066">
        <v>0.98361894850016995</v>
      </c>
      <c r="S3066" t="s">
        <v>10069</v>
      </c>
      <c r="T3066" t="s">
        <v>14004</v>
      </c>
      <c r="U3066" t="s">
        <v>14004</v>
      </c>
      <c r="V3066" t="s">
        <v>14004</v>
      </c>
      <c r="W3066" t="s">
        <v>17028</v>
      </c>
      <c r="X3066">
        <v>3</v>
      </c>
      <c r="Y3066" t="s">
        <v>23898</v>
      </c>
      <c r="Z3066" t="s">
        <v>30776</v>
      </c>
      <c r="AA3066">
        <v>0.40179472674776712</v>
      </c>
      <c r="AB3066" t="str">
        <f>HYPERLINK("Melting_Curves/meltCurve_P61024_CKS1B.pdf", "Melting_Curves/meltCurve_P61024_CKS1B.pdf")</f>
        <v>Melting_Curves/meltCurve_P61024_CKS1B.pdf</v>
      </c>
    </row>
    <row r="3067" spans="1:28" x14ac:dyDescent="0.25">
      <c r="A3067" t="s">
        <v>3071</v>
      </c>
      <c r="B3067">
        <v>0.99999676499088797</v>
      </c>
      <c r="C3067">
        <v>0.94305378684901198</v>
      </c>
      <c r="D3067">
        <v>0.93611323163188098</v>
      </c>
      <c r="E3067">
        <v>0.82711816976532504</v>
      </c>
      <c r="F3067">
        <v>0.69357878079245205</v>
      </c>
      <c r="G3067">
        <v>0.793113667449585</v>
      </c>
      <c r="H3067">
        <v>0.48943612785448098</v>
      </c>
      <c r="I3067">
        <v>0.51430211706478401</v>
      </c>
      <c r="J3067">
        <v>0.26004902429216298</v>
      </c>
      <c r="K3067">
        <v>0.136174863028624</v>
      </c>
      <c r="L3067">
        <v>548.28612493441506</v>
      </c>
      <c r="M3067">
        <v>8.9824836844741505</v>
      </c>
      <c r="N3067">
        <v>61.0394720786717</v>
      </c>
      <c r="O3067">
        <v>58.2418575171287</v>
      </c>
      <c r="P3067">
        <v>-3.8585042409527801E-2</v>
      </c>
      <c r="Q3067">
        <v>0</v>
      </c>
      <c r="R3067">
        <v>0.92667653275136497</v>
      </c>
      <c r="S3067" t="s">
        <v>10070</v>
      </c>
      <c r="T3067" t="s">
        <v>14004</v>
      </c>
      <c r="U3067" t="s">
        <v>14004</v>
      </c>
      <c r="V3067" t="s">
        <v>14004</v>
      </c>
      <c r="W3067" t="s">
        <v>17029</v>
      </c>
      <c r="X3067">
        <v>13</v>
      </c>
      <c r="Y3067" t="s">
        <v>23899</v>
      </c>
      <c r="Z3067" t="s">
        <v>30777</v>
      </c>
      <c r="AA3067">
        <v>0.68279231832559406</v>
      </c>
      <c r="AB3067" t="str">
        <f>HYPERLINK("Melting_Curves/meltCurve_P61026_RAB10.pdf", "Melting_Curves/meltCurve_P61026_RAB10.pdf")</f>
        <v>Melting_Curves/meltCurve_P61026_RAB10.pdf</v>
      </c>
    </row>
    <row r="3068" spans="1:28" x14ac:dyDescent="0.25">
      <c r="A3068" t="s">
        <v>3072</v>
      </c>
      <c r="B3068">
        <v>0.99999676499088797</v>
      </c>
      <c r="C3068">
        <v>0.85026462769443401</v>
      </c>
      <c r="D3068">
        <v>0.98504849851009102</v>
      </c>
      <c r="E3068">
        <v>0.56231909788478895</v>
      </c>
      <c r="F3068">
        <v>0.35047519591027199</v>
      </c>
      <c r="G3068">
        <v>0.19209868341363601</v>
      </c>
      <c r="H3068">
        <v>7.2737636918047396E-2</v>
      </c>
      <c r="I3068">
        <v>9.2543292620043599E-2</v>
      </c>
      <c r="J3068">
        <v>7.8487197601420297E-2</v>
      </c>
      <c r="K3068">
        <v>8.4572350349355493E-2</v>
      </c>
      <c r="L3068">
        <v>976.85886202446204</v>
      </c>
      <c r="M3068">
        <v>19.332530309678202</v>
      </c>
      <c r="N3068">
        <v>50.9423840549169</v>
      </c>
      <c r="O3068">
        <v>49.9979471134668</v>
      </c>
      <c r="P3068">
        <v>-8.9656761515952393E-2</v>
      </c>
      <c r="Q3068">
        <v>7.2550337759001104E-2</v>
      </c>
      <c r="R3068">
        <v>0.97728617648830096</v>
      </c>
      <c r="S3068" t="s">
        <v>10071</v>
      </c>
      <c r="T3068" t="s">
        <v>14004</v>
      </c>
      <c r="U3068" t="s">
        <v>14004</v>
      </c>
      <c r="V3068" t="s">
        <v>14004</v>
      </c>
      <c r="W3068" t="s">
        <v>17030</v>
      </c>
      <c r="X3068">
        <v>5</v>
      </c>
      <c r="Y3068" t="s">
        <v>23900</v>
      </c>
      <c r="Z3068" t="s">
        <v>30778</v>
      </c>
      <c r="AA3068">
        <v>0.41181130176273989</v>
      </c>
      <c r="AB3068" t="str">
        <f>HYPERLINK("Melting_Curves/meltCurve_P61077_UBE2D3.pdf", "Melting_Curves/meltCurve_P61077_UBE2D3.pdf")</f>
        <v>Melting_Curves/meltCurve_P61077_UBE2D3.pdf</v>
      </c>
    </row>
    <row r="3069" spans="1:28" x14ac:dyDescent="0.25">
      <c r="A3069" t="s">
        <v>3073</v>
      </c>
      <c r="B3069">
        <v>0.99999676499088797</v>
      </c>
      <c r="C3069">
        <v>0.91487820825932098</v>
      </c>
      <c r="D3069">
        <v>0.96871846149646601</v>
      </c>
      <c r="E3069">
        <v>0.85075339234519598</v>
      </c>
      <c r="F3069">
        <v>0.21931398851230699</v>
      </c>
      <c r="G3069">
        <v>0.14041635914370401</v>
      </c>
      <c r="H3069">
        <v>5.6657645249033002E-2</v>
      </c>
      <c r="I3069">
        <v>4.9977932517262798E-2</v>
      </c>
      <c r="J3069">
        <v>3.6083893803302597E-2</v>
      </c>
      <c r="K3069">
        <v>3.6679960008401999E-2</v>
      </c>
      <c r="L3069">
        <v>2258.8859897494599</v>
      </c>
      <c r="M3069">
        <v>43.941507112386297</v>
      </c>
      <c r="N3069">
        <v>51.553104583542897</v>
      </c>
      <c r="O3069">
        <v>51.300528762977002</v>
      </c>
      <c r="P3069">
        <v>-0.20157358003063999</v>
      </c>
      <c r="Q3069">
        <v>5.86743962053402E-2</v>
      </c>
      <c r="R3069">
        <v>0.99211505172340897</v>
      </c>
      <c r="S3069" t="s">
        <v>10072</v>
      </c>
      <c r="T3069" t="s">
        <v>14004</v>
      </c>
      <c r="U3069" t="s">
        <v>14004</v>
      </c>
      <c r="V3069" t="s">
        <v>14004</v>
      </c>
      <c r="W3069" t="s">
        <v>17031</v>
      </c>
      <c r="X3069">
        <v>11</v>
      </c>
      <c r="Y3069" t="s">
        <v>23901</v>
      </c>
      <c r="Z3069" t="s">
        <v>30779</v>
      </c>
      <c r="AA3069">
        <v>0.41935477734722981</v>
      </c>
      <c r="AB3069" t="str">
        <f>HYPERLINK("Melting_Curves/meltCurve_P61081_UBE2M.pdf", "Melting_Curves/meltCurve_P61081_UBE2M.pdf")</f>
        <v>Melting_Curves/meltCurve_P61081_UBE2M.pdf</v>
      </c>
    </row>
    <row r="3070" spans="1:28" x14ac:dyDescent="0.25">
      <c r="A3070" t="s">
        <v>3074</v>
      </c>
      <c r="B3070">
        <v>0.99999676499088797</v>
      </c>
      <c r="C3070">
        <v>0.95160676726572702</v>
      </c>
      <c r="D3070">
        <v>1.02244713347974</v>
      </c>
      <c r="E3070">
        <v>1.1353325539829899</v>
      </c>
      <c r="F3070">
        <v>0.744763177311217</v>
      </c>
      <c r="G3070">
        <v>0.29584218533821</v>
      </c>
      <c r="H3070">
        <v>0.13176498490487201</v>
      </c>
      <c r="I3070">
        <v>9.9355262939208794E-2</v>
      </c>
      <c r="J3070">
        <v>0.107904514211477</v>
      </c>
      <c r="K3070">
        <v>8.7342304110273994E-2</v>
      </c>
      <c r="L3070">
        <v>2113.2816257354302</v>
      </c>
      <c r="M3070">
        <v>38.626912133898898</v>
      </c>
      <c r="N3070">
        <v>55.039991616391497</v>
      </c>
      <c r="O3070">
        <v>54.564066561930801</v>
      </c>
      <c r="P3070">
        <v>-0.15869034933895301</v>
      </c>
      <c r="Q3070">
        <v>0.103343306216679</v>
      </c>
      <c r="R3070">
        <v>0.98482005827315899</v>
      </c>
      <c r="S3070" t="s">
        <v>10073</v>
      </c>
      <c r="T3070" t="s">
        <v>14004</v>
      </c>
      <c r="U3070" t="s">
        <v>14004</v>
      </c>
      <c r="V3070" t="s">
        <v>14004</v>
      </c>
      <c r="W3070" t="s">
        <v>17032</v>
      </c>
      <c r="X3070">
        <v>17</v>
      </c>
      <c r="Y3070" t="s">
        <v>23902</v>
      </c>
      <c r="Z3070" t="s">
        <v>30780</v>
      </c>
      <c r="AA3070">
        <v>0.54663004994352804</v>
      </c>
      <c r="AB3070" t="str">
        <f>HYPERLINK("Melting_Curves/meltCurve_P61086_UBE2K.pdf", "Melting_Curves/meltCurve_P61086_UBE2K.pdf")</f>
        <v>Melting_Curves/meltCurve_P61086_UBE2K.pdf</v>
      </c>
    </row>
    <row r="3071" spans="1:28" x14ac:dyDescent="0.25">
      <c r="A3071" t="s">
        <v>3075</v>
      </c>
      <c r="B3071">
        <v>0.99999676499088797</v>
      </c>
      <c r="C3071">
        <v>0.98583268514438005</v>
      </c>
      <c r="D3071">
        <v>0.92361526647170999</v>
      </c>
      <c r="E3071">
        <v>0.83505989216698495</v>
      </c>
      <c r="F3071">
        <v>0.47984577435682801</v>
      </c>
      <c r="G3071">
        <v>0.172701448870858</v>
      </c>
      <c r="H3071">
        <v>8.2341997553090907E-2</v>
      </c>
      <c r="I3071">
        <v>6.4646402544745504E-2</v>
      </c>
      <c r="J3071">
        <v>5.7092093402658597E-2</v>
      </c>
      <c r="K3071">
        <v>5.1884496491584303E-2</v>
      </c>
      <c r="L3071">
        <v>1265.7327272237901</v>
      </c>
      <c r="M3071">
        <v>24.016030405415599</v>
      </c>
      <c r="N3071">
        <v>52.920656971176399</v>
      </c>
      <c r="O3071">
        <v>52.3423118164838</v>
      </c>
      <c r="P3071">
        <v>-0.109329580877833</v>
      </c>
      <c r="Q3071">
        <v>4.6890980468849999E-2</v>
      </c>
      <c r="R3071">
        <v>0.99818164700613998</v>
      </c>
      <c r="S3071" t="s">
        <v>10074</v>
      </c>
      <c r="T3071" t="s">
        <v>14004</v>
      </c>
      <c r="U3071" t="s">
        <v>14004</v>
      </c>
      <c r="V3071" t="s">
        <v>14004</v>
      </c>
      <c r="W3071" t="s">
        <v>17033</v>
      </c>
      <c r="X3071">
        <v>15</v>
      </c>
      <c r="Y3071" t="s">
        <v>23903</v>
      </c>
      <c r="Z3071" t="s">
        <v>30781</v>
      </c>
      <c r="AA3071">
        <v>0.45993290160272748</v>
      </c>
      <c r="AB3071" t="str">
        <f>HYPERLINK("Melting_Curves/meltCurve_P61088_UBE2N.pdf", "Melting_Curves/meltCurve_P61088_UBE2N.pdf")</f>
        <v>Melting_Curves/meltCurve_P61088_UBE2N.pdf</v>
      </c>
    </row>
    <row r="3072" spans="1:28" x14ac:dyDescent="0.25">
      <c r="A3072" t="s">
        <v>3076</v>
      </c>
      <c r="B3072">
        <v>0.99999676499088797</v>
      </c>
      <c r="C3072">
        <v>0.99369923172030905</v>
      </c>
      <c r="D3072">
        <v>1.04430831267293</v>
      </c>
      <c r="E3072">
        <v>1.1861230744878499</v>
      </c>
      <c r="F3072">
        <v>1.1797599918341</v>
      </c>
      <c r="G3072">
        <v>1.0464339486105501</v>
      </c>
      <c r="H3072">
        <v>0.72885968139756196</v>
      </c>
      <c r="I3072">
        <v>0.47240633200742999</v>
      </c>
      <c r="J3072">
        <v>0.15997364128927399</v>
      </c>
      <c r="K3072">
        <v>0.12302180792939101</v>
      </c>
      <c r="L3072">
        <v>2002.4522090831199</v>
      </c>
      <c r="M3072">
        <v>31.7552024643804</v>
      </c>
      <c r="N3072">
        <v>63.372513072150198</v>
      </c>
      <c r="O3072">
        <v>62.810541172282399</v>
      </c>
      <c r="P3072">
        <v>-0.117206741663862</v>
      </c>
      <c r="Q3072">
        <v>7.2683647199455498E-2</v>
      </c>
      <c r="R3072">
        <v>0.94482279161842297</v>
      </c>
      <c r="S3072" t="s">
        <v>10075</v>
      </c>
      <c r="T3072" t="s">
        <v>14004</v>
      </c>
      <c r="U3072" t="s">
        <v>14004</v>
      </c>
      <c r="V3072" t="s">
        <v>14004</v>
      </c>
      <c r="W3072" t="s">
        <v>17034</v>
      </c>
      <c r="X3072">
        <v>17</v>
      </c>
      <c r="Y3072" t="s">
        <v>23904</v>
      </c>
      <c r="Z3072" t="s">
        <v>30782</v>
      </c>
      <c r="AA3072">
        <v>0.78847010562208697</v>
      </c>
      <c r="AB3072" t="str">
        <f>HYPERLINK("Melting_Curves/meltCurve_P61106_RAB14.pdf", "Melting_Curves/meltCurve_P61106_RAB14.pdf")</f>
        <v>Melting_Curves/meltCurve_P61106_RAB14.pdf</v>
      </c>
    </row>
    <row r="3073" spans="1:28" x14ac:dyDescent="0.25">
      <c r="A3073" t="s">
        <v>3077</v>
      </c>
      <c r="B3073">
        <v>0.99999676499088797</v>
      </c>
      <c r="C3073">
        <v>0.22770708957965999</v>
      </c>
      <c r="D3073">
        <v>0.149981783331989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3.9808483862118903E-2</v>
      </c>
      <c r="L3073">
        <v>3340.3090152781101</v>
      </c>
      <c r="M3073">
        <v>79.1796181375923</v>
      </c>
      <c r="N3073">
        <v>42.211967399364497</v>
      </c>
      <c r="O3073">
        <v>42.159589011022398</v>
      </c>
      <c r="P3073">
        <v>-0.458560375335684</v>
      </c>
      <c r="Q3073">
        <v>2.33489649265992E-2</v>
      </c>
      <c r="R3073">
        <v>0.97783120325005701</v>
      </c>
      <c r="S3073" t="s">
        <v>10076</v>
      </c>
      <c r="T3073" t="s">
        <v>14004</v>
      </c>
      <c r="U3073" t="s">
        <v>14004</v>
      </c>
      <c r="V3073" t="s">
        <v>14004</v>
      </c>
      <c r="W3073" t="s">
        <v>17035</v>
      </c>
      <c r="X3073">
        <v>3</v>
      </c>
      <c r="Y3073" t="s">
        <v>23905</v>
      </c>
      <c r="Z3073" t="s">
        <v>30783</v>
      </c>
      <c r="AA3073">
        <v>9.5451659007540393E-2</v>
      </c>
      <c r="AB3073" t="str">
        <f>HYPERLINK("Melting_Curves/meltCurve_P61129_ZC3H6.pdf", "Melting_Curves/meltCurve_P61129_ZC3H6.pdf")</f>
        <v>Melting_Curves/meltCurve_P61129_ZC3H6.pdf</v>
      </c>
    </row>
    <row r="3074" spans="1:28" x14ac:dyDescent="0.25">
      <c r="A3074" t="s">
        <v>3078</v>
      </c>
      <c r="B3074">
        <v>0.99999676499088797</v>
      </c>
      <c r="C3074">
        <v>1.0175230402789199</v>
      </c>
      <c r="D3074">
        <v>1.0357884919324101</v>
      </c>
      <c r="E3074">
        <v>1.0696654564893799</v>
      </c>
      <c r="F3074">
        <v>0.92972330543221304</v>
      </c>
      <c r="G3074">
        <v>0.86866600632109103</v>
      </c>
      <c r="H3074">
        <v>0.34471333092346601</v>
      </c>
      <c r="I3074">
        <v>0.19865339773843199</v>
      </c>
      <c r="J3074">
        <v>0.149368089382999</v>
      </c>
      <c r="K3074">
        <v>0.118858639919457</v>
      </c>
      <c r="L3074">
        <v>2291.1111967207898</v>
      </c>
      <c r="M3074">
        <v>38.744474019458103</v>
      </c>
      <c r="N3074">
        <v>59.617392508626601</v>
      </c>
      <c r="O3074">
        <v>58.977032454609102</v>
      </c>
      <c r="P3074">
        <v>-0.142093124517784</v>
      </c>
      <c r="Q3074">
        <v>0.134822927823633</v>
      </c>
      <c r="R3074">
        <v>0.99272402032742801</v>
      </c>
      <c r="S3074" t="s">
        <v>10077</v>
      </c>
      <c r="T3074" t="s">
        <v>14004</v>
      </c>
      <c r="U3074" t="s">
        <v>14004</v>
      </c>
      <c r="V3074" t="s">
        <v>14004</v>
      </c>
      <c r="W3074" t="s">
        <v>17036</v>
      </c>
      <c r="X3074">
        <v>31</v>
      </c>
      <c r="Y3074" t="s">
        <v>23906</v>
      </c>
      <c r="Z3074" t="s">
        <v>30784</v>
      </c>
      <c r="AA3074">
        <v>0.69024142194167692</v>
      </c>
      <c r="AB3074" t="str">
        <f>HYPERLINK("Melting_Curves/meltCurve_P61158_ACTR3.pdf", "Melting_Curves/meltCurve_P61158_ACTR3.pdf")</f>
        <v>Melting_Curves/meltCurve_P61158_ACTR3.pdf</v>
      </c>
    </row>
    <row r="3075" spans="1:28" x14ac:dyDescent="0.25">
      <c r="A3075" t="s">
        <v>3079</v>
      </c>
      <c r="B3075">
        <v>0.99999676499088797</v>
      </c>
      <c r="C3075">
        <v>1.0097964526352099</v>
      </c>
      <c r="D3075">
        <v>1.01405699036034</v>
      </c>
      <c r="E3075">
        <v>0.99825131138863599</v>
      </c>
      <c r="F3075">
        <v>0.87111788625152697</v>
      </c>
      <c r="G3075">
        <v>0.79554538180165701</v>
      </c>
      <c r="H3075">
        <v>0.34173543551348101</v>
      </c>
      <c r="I3075">
        <v>0.159864523100888</v>
      </c>
      <c r="J3075">
        <v>0.105088575042856</v>
      </c>
      <c r="K3075">
        <v>9.3265289003209198E-2</v>
      </c>
      <c r="L3075">
        <v>1595.83951156232</v>
      </c>
      <c r="M3075">
        <v>27.0594580117993</v>
      </c>
      <c r="N3075">
        <v>59.304749742076403</v>
      </c>
      <c r="O3075">
        <v>58.656025475316703</v>
      </c>
      <c r="P3075">
        <v>-0.10728378631755001</v>
      </c>
      <c r="Q3075">
        <v>6.9785004210371496E-2</v>
      </c>
      <c r="R3075">
        <v>0.99407737169141097</v>
      </c>
      <c r="S3075" t="s">
        <v>10078</v>
      </c>
      <c r="T3075" t="s">
        <v>14004</v>
      </c>
      <c r="U3075" t="s">
        <v>14004</v>
      </c>
      <c r="V3075" t="s">
        <v>14004</v>
      </c>
      <c r="W3075" t="s">
        <v>17037</v>
      </c>
      <c r="X3075">
        <v>25</v>
      </c>
      <c r="Y3075" t="s">
        <v>23907</v>
      </c>
      <c r="Z3075" t="s">
        <v>30785</v>
      </c>
      <c r="AA3075">
        <v>0.66506451487875773</v>
      </c>
      <c r="AB3075" t="str">
        <f>HYPERLINK("Melting_Curves/meltCurve_P61160_ACTR2.pdf", "Melting_Curves/meltCurve_P61160_ACTR2.pdf")</f>
        <v>Melting_Curves/meltCurve_P61160_ACTR2.pdf</v>
      </c>
    </row>
    <row r="3076" spans="1:28" x14ac:dyDescent="0.25">
      <c r="A3076" t="s">
        <v>3080</v>
      </c>
      <c r="B3076">
        <v>0.99999676499088797</v>
      </c>
      <c r="C3076">
        <v>1.07416076899214</v>
      </c>
      <c r="D3076">
        <v>1.0375388471931299</v>
      </c>
      <c r="E3076">
        <v>1.0781051042786201</v>
      </c>
      <c r="F3076">
        <v>1.01957449988731</v>
      </c>
      <c r="G3076">
        <v>0.92415612423859905</v>
      </c>
      <c r="H3076">
        <v>0.43509050346462003</v>
      </c>
      <c r="I3076">
        <v>0.20259247404953801</v>
      </c>
      <c r="J3076">
        <v>0.13403452050881101</v>
      </c>
      <c r="K3076">
        <v>9.5886185523124196E-2</v>
      </c>
      <c r="L3076">
        <v>2394.7555213782598</v>
      </c>
      <c r="M3076">
        <v>39.903064351013903</v>
      </c>
      <c r="N3076">
        <v>60.405362964955998</v>
      </c>
      <c r="O3076">
        <v>59.8641893078225</v>
      </c>
      <c r="P3076">
        <v>-0.14767268419855401</v>
      </c>
      <c r="Q3076">
        <v>0.113823752280026</v>
      </c>
      <c r="R3076">
        <v>0.99102274247521505</v>
      </c>
      <c r="S3076" t="s">
        <v>10079</v>
      </c>
      <c r="T3076" t="s">
        <v>14004</v>
      </c>
      <c r="U3076" t="s">
        <v>14004</v>
      </c>
      <c r="V3076" t="s">
        <v>14004</v>
      </c>
      <c r="W3076" t="s">
        <v>14199</v>
      </c>
      <c r="X3076">
        <v>22</v>
      </c>
      <c r="Y3076" t="s">
        <v>21136</v>
      </c>
      <c r="Z3076" t="s">
        <v>30786</v>
      </c>
      <c r="AA3076">
        <v>0.7085098373802301</v>
      </c>
      <c r="AB3076" t="str">
        <f>HYPERLINK("Melting_Curves/meltCurve_P61163_ACTR1A.pdf", "Melting_Curves/meltCurve_P61163_ACTR1A.pdf")</f>
        <v>Melting_Curves/meltCurve_P61163_ACTR1A.pdf</v>
      </c>
    </row>
    <row r="3077" spans="1:28" x14ac:dyDescent="0.25">
      <c r="A3077" t="s">
        <v>3081</v>
      </c>
      <c r="B3077">
        <v>0.99999676499088797</v>
      </c>
      <c r="C3077">
        <v>0.93300110061078301</v>
      </c>
      <c r="D3077">
        <v>1.00994411070061</v>
      </c>
      <c r="E3077">
        <v>1.2433466658330301</v>
      </c>
      <c r="F3077">
        <v>0.70266167922976996</v>
      </c>
      <c r="G3077">
        <v>0.26996257630895798</v>
      </c>
      <c r="H3077">
        <v>0.10120172777549399</v>
      </c>
      <c r="I3077">
        <v>7.5405587572488705E-2</v>
      </c>
      <c r="J3077">
        <v>7.3281487697393399E-2</v>
      </c>
      <c r="K3077">
        <v>6.1098592878243797E-2</v>
      </c>
      <c r="L3077">
        <v>2188.8766323318</v>
      </c>
      <c r="M3077">
        <v>40.1401009743768</v>
      </c>
      <c r="N3077">
        <v>54.764972191154598</v>
      </c>
      <c r="O3077">
        <v>54.396111166158697</v>
      </c>
      <c r="P3077">
        <v>-0.169939833430575</v>
      </c>
      <c r="Q3077">
        <v>7.8821917415308196E-2</v>
      </c>
      <c r="R3077">
        <v>0.96238825929673599</v>
      </c>
      <c r="S3077" t="s">
        <v>10080</v>
      </c>
      <c r="T3077" t="s">
        <v>14004</v>
      </c>
      <c r="U3077" t="s">
        <v>14004</v>
      </c>
      <c r="V3077" t="s">
        <v>14004</v>
      </c>
      <c r="W3077" t="s">
        <v>17038</v>
      </c>
      <c r="X3077">
        <v>22</v>
      </c>
      <c r="Y3077" t="s">
        <v>23908</v>
      </c>
      <c r="Z3077" t="s">
        <v>30787</v>
      </c>
      <c r="AA3077">
        <v>0.52844589604238501</v>
      </c>
      <c r="AB3077" t="str">
        <f>HYPERLINK("Melting_Curves/meltCurve_P61201_COPS2.pdf", "Melting_Curves/meltCurve_P61201_COPS2.pdf")</f>
        <v>Melting_Curves/meltCurve_P61201_COPS2.pdf</v>
      </c>
    </row>
    <row r="3078" spans="1:28" x14ac:dyDescent="0.25">
      <c r="A3078" t="s">
        <v>3082</v>
      </c>
      <c r="B3078">
        <v>0.99999676499088797</v>
      </c>
      <c r="C3078">
        <v>0.887438291718748</v>
      </c>
      <c r="D3078">
        <v>0.93085534675129999</v>
      </c>
      <c r="E3078">
        <v>1.0662929873286799</v>
      </c>
      <c r="F3078">
        <v>1.1669511878558201</v>
      </c>
      <c r="G3078">
        <v>0.86371078591946504</v>
      </c>
      <c r="H3078">
        <v>0.56275280287061902</v>
      </c>
      <c r="I3078">
        <v>0.29420248262528098</v>
      </c>
      <c r="J3078">
        <v>0.15740417797745501</v>
      </c>
      <c r="K3078">
        <v>0.122560091708736</v>
      </c>
      <c r="L3078">
        <v>1807.1075170157001</v>
      </c>
      <c r="M3078">
        <v>29.677589373554799</v>
      </c>
      <c r="N3078">
        <v>61.398946647892501</v>
      </c>
      <c r="O3078">
        <v>60.616865832720102</v>
      </c>
      <c r="P3078">
        <v>-0.109082911046938</v>
      </c>
      <c r="Q3078">
        <v>0.108793146686812</v>
      </c>
      <c r="R3078">
        <v>0.95902629055006805</v>
      </c>
      <c r="S3078" t="s">
        <v>10081</v>
      </c>
      <c r="T3078" t="s">
        <v>14004</v>
      </c>
      <c r="U3078" t="s">
        <v>14004</v>
      </c>
      <c r="V3078" t="s">
        <v>14004</v>
      </c>
      <c r="W3078" t="s">
        <v>17039</v>
      </c>
      <c r="X3078">
        <v>12</v>
      </c>
      <c r="Y3078" t="s">
        <v>23909</v>
      </c>
      <c r="Z3078" t="s">
        <v>30788</v>
      </c>
      <c r="AA3078">
        <v>0.73445083245397458</v>
      </c>
      <c r="AB3078" t="str">
        <f>HYPERLINK("Melting_Curves/meltCurve_P61204_ARF3.pdf", "Melting_Curves/meltCurve_P61204_ARF3.pdf")</f>
        <v>Melting_Curves/meltCurve_P61204_ARF3.pdf</v>
      </c>
    </row>
    <row r="3079" spans="1:28" x14ac:dyDescent="0.25">
      <c r="A3079" t="s">
        <v>3083</v>
      </c>
      <c r="B3079">
        <v>0.99999676499088797</v>
      </c>
      <c r="C3079">
        <v>1.03329641695513</v>
      </c>
      <c r="D3079">
        <v>1.04086924664194</v>
      </c>
      <c r="E3079">
        <v>1.0953689781827101</v>
      </c>
      <c r="F3079">
        <v>1.01180864525178</v>
      </c>
      <c r="G3079">
        <v>1.10905236442647</v>
      </c>
      <c r="H3079">
        <v>0.65494911299731895</v>
      </c>
      <c r="I3079">
        <v>0.35708154019315802</v>
      </c>
      <c r="J3079">
        <v>0.133459626462445</v>
      </c>
      <c r="K3079">
        <v>0.109464099704375</v>
      </c>
      <c r="L3079">
        <v>2320.82951480675</v>
      </c>
      <c r="M3079">
        <v>37.4502090557027</v>
      </c>
      <c r="N3079">
        <v>62.353531305372201</v>
      </c>
      <c r="O3079">
        <v>61.795166005670801</v>
      </c>
      <c r="P3079">
        <v>-0.13596220497785999</v>
      </c>
      <c r="Q3079">
        <v>0.10261820210963001</v>
      </c>
      <c r="R3079">
        <v>0.97593184590912696</v>
      </c>
      <c r="S3079" t="s">
        <v>10082</v>
      </c>
      <c r="T3079" t="s">
        <v>14004</v>
      </c>
      <c r="U3079" t="s">
        <v>14004</v>
      </c>
      <c r="V3079" t="s">
        <v>14004</v>
      </c>
      <c r="W3079" t="s">
        <v>17040</v>
      </c>
      <c r="X3079">
        <v>40</v>
      </c>
      <c r="Y3079" t="s">
        <v>23910</v>
      </c>
      <c r="Z3079" t="s">
        <v>30789</v>
      </c>
      <c r="AA3079">
        <v>0.76331280426438508</v>
      </c>
      <c r="AB3079" t="str">
        <f>HYPERLINK("Melting_Curves/meltCurve_P61221_ABCE1.pdf", "Melting_Curves/meltCurve_P61221_ABCE1.pdf")</f>
        <v>Melting_Curves/meltCurve_P61221_ABCE1.pdf</v>
      </c>
    </row>
    <row r="3080" spans="1:28" x14ac:dyDescent="0.25">
      <c r="A3080" t="s">
        <v>3084</v>
      </c>
      <c r="B3080">
        <v>0.99999676499088797</v>
      </c>
      <c r="C3080">
        <v>0.97668037341644498</v>
      </c>
      <c r="D3080">
        <v>0.97029746081250401</v>
      </c>
      <c r="E3080">
        <v>1.02213318080397</v>
      </c>
      <c r="F3080">
        <v>0.99115186138179701</v>
      </c>
      <c r="G3080">
        <v>0.94749716603523204</v>
      </c>
      <c r="H3080">
        <v>0.66301408823130104</v>
      </c>
      <c r="I3080">
        <v>0.60881071556836697</v>
      </c>
      <c r="J3080">
        <v>0.44462906128661001</v>
      </c>
      <c r="K3080">
        <v>0.397208350358568</v>
      </c>
      <c r="L3080">
        <v>1355.60037225206</v>
      </c>
      <c r="M3080">
        <v>22.0565632529689</v>
      </c>
      <c r="N3080">
        <v>65.415106857891104</v>
      </c>
      <c r="O3080">
        <v>60.961663220426601</v>
      </c>
      <c r="P3080">
        <v>-5.7146909613693002E-2</v>
      </c>
      <c r="Q3080">
        <v>0.36822546064091799</v>
      </c>
      <c r="R3080">
        <v>0.981607314041128</v>
      </c>
      <c r="S3080" t="s">
        <v>10083</v>
      </c>
      <c r="T3080" t="s">
        <v>14004</v>
      </c>
      <c r="U3080" t="s">
        <v>14004</v>
      </c>
      <c r="V3080" t="s">
        <v>14004</v>
      </c>
      <c r="W3080" t="s">
        <v>17041</v>
      </c>
      <c r="X3080">
        <v>17</v>
      </c>
      <c r="Y3080" t="s">
        <v>23911</v>
      </c>
      <c r="Z3080" t="s">
        <v>30790</v>
      </c>
      <c r="AA3080">
        <v>0.82355308439943475</v>
      </c>
      <c r="AB3080" t="str">
        <f>HYPERLINK("Melting_Curves/meltCurve_P61224_RAP1B.pdf", "Melting_Curves/meltCurve_P61224_RAP1B.pdf")</f>
        <v>Melting_Curves/meltCurve_P61224_RAP1B.pdf</v>
      </c>
    </row>
    <row r="3081" spans="1:28" x14ac:dyDescent="0.25">
      <c r="A3081" t="s">
        <v>3085</v>
      </c>
      <c r="B3081">
        <v>0.99999676499088797</v>
      </c>
      <c r="C3081">
        <v>0.95215380581725495</v>
      </c>
      <c r="D3081">
        <v>1.0217628633879201</v>
      </c>
      <c r="E3081">
        <v>1.12440288882414</v>
      </c>
      <c r="F3081">
        <v>0.80752746760709304</v>
      </c>
      <c r="G3081">
        <v>0.85366358440769496</v>
      </c>
      <c r="H3081">
        <v>0.71525169977085901</v>
      </c>
      <c r="I3081">
        <v>0.74916520207214599</v>
      </c>
      <c r="J3081">
        <v>0.65400461617461203</v>
      </c>
      <c r="K3081">
        <v>0.94136614151215303</v>
      </c>
      <c r="L3081">
        <v>13191.0676075957</v>
      </c>
      <c r="M3081">
        <v>250</v>
      </c>
      <c r="O3081">
        <v>52.7608938571788</v>
      </c>
      <c r="P3081">
        <v>-0.25742287928464702</v>
      </c>
      <c r="Q3081">
        <v>0.78269022084850104</v>
      </c>
      <c r="R3081">
        <v>0.65425031839690895</v>
      </c>
      <c r="S3081" t="s">
        <v>10084</v>
      </c>
      <c r="T3081" t="s">
        <v>14004</v>
      </c>
      <c r="U3081" t="s">
        <v>14004</v>
      </c>
      <c r="V3081" t="s">
        <v>14004</v>
      </c>
      <c r="W3081" t="s">
        <v>17042</v>
      </c>
      <c r="X3081">
        <v>8</v>
      </c>
      <c r="Y3081" t="s">
        <v>23912</v>
      </c>
      <c r="Z3081" t="s">
        <v>30791</v>
      </c>
      <c r="AA3081">
        <v>0.87517037011214494</v>
      </c>
      <c r="AB3081" t="str">
        <f>HYPERLINK("Melting_Curves/meltCurve_P61244_2_MAX.pdf", "Melting_Curves/meltCurve_P61244_2_MAX.pdf")</f>
        <v>Melting_Curves/meltCurve_P61244_2_MAX.pdf</v>
      </c>
    </row>
    <row r="3082" spans="1:28" x14ac:dyDescent="0.25">
      <c r="A3082" t="s">
        <v>3086</v>
      </c>
      <c r="B3082">
        <v>0.99999676499088797</v>
      </c>
      <c r="C3082">
        <v>1.0217661692670701</v>
      </c>
      <c r="D3082">
        <v>1.05672537566935</v>
      </c>
      <c r="E3082">
        <v>0.83525232975332797</v>
      </c>
      <c r="F3082">
        <v>0.63035474865473795</v>
      </c>
      <c r="G3082">
        <v>0.543486985674421</v>
      </c>
      <c r="H3082">
        <v>0.15215686696212699</v>
      </c>
      <c r="I3082">
        <v>0.115923599103568</v>
      </c>
      <c r="J3082">
        <v>0.11181950924185</v>
      </c>
      <c r="K3082">
        <v>0.11608366365897201</v>
      </c>
      <c r="L3082">
        <v>916.30679689906799</v>
      </c>
      <c r="M3082">
        <v>16.532678386488101</v>
      </c>
      <c r="N3082">
        <v>55.791774007503498</v>
      </c>
      <c r="O3082">
        <v>54.632126932110303</v>
      </c>
      <c r="P3082">
        <v>-7.1753281535931801E-2</v>
      </c>
      <c r="Q3082">
        <v>5.16324143848493E-2</v>
      </c>
      <c r="R3082">
        <v>0.97719657067977395</v>
      </c>
      <c r="S3082" t="s">
        <v>10085</v>
      </c>
      <c r="T3082" t="s">
        <v>14004</v>
      </c>
      <c r="U3082" t="s">
        <v>14004</v>
      </c>
      <c r="V3082" t="s">
        <v>14004</v>
      </c>
      <c r="W3082" t="s">
        <v>17043</v>
      </c>
      <c r="X3082">
        <v>24</v>
      </c>
      <c r="Y3082" t="s">
        <v>23913</v>
      </c>
      <c r="Z3082" t="s">
        <v>30792</v>
      </c>
      <c r="AA3082">
        <v>0.55518806307632929</v>
      </c>
      <c r="AB3082" t="str">
        <f>HYPERLINK("Melting_Curves/meltCurve_P61247_RPS3A.pdf", "Melting_Curves/meltCurve_P61247_RPS3A.pdf")</f>
        <v>Melting_Curves/meltCurve_P61247_RPS3A.pdf</v>
      </c>
    </row>
    <row r="3083" spans="1:28" x14ac:dyDescent="0.25">
      <c r="A3083" t="s">
        <v>3087</v>
      </c>
      <c r="B3083">
        <v>0.99999676499088797</v>
      </c>
      <c r="C3083">
        <v>0.94788019818690705</v>
      </c>
      <c r="D3083">
        <v>0.94338447854562102</v>
      </c>
      <c r="E3083">
        <v>0.84476276738906197</v>
      </c>
      <c r="F3083">
        <v>0.65861804888403597</v>
      </c>
      <c r="G3083">
        <v>0.58013021247019203</v>
      </c>
      <c r="H3083">
        <v>0.13991058451218699</v>
      </c>
      <c r="I3083">
        <v>9.0436317795883903E-2</v>
      </c>
      <c r="J3083">
        <v>9.0872564700564304E-2</v>
      </c>
      <c r="K3083">
        <v>8.0652585095644894E-2</v>
      </c>
      <c r="L3083">
        <v>844.01369470688803</v>
      </c>
      <c r="M3083">
        <v>15.0536402538015</v>
      </c>
      <c r="N3083">
        <v>56.067095454150397</v>
      </c>
      <c r="O3083">
        <v>55.1055740812279</v>
      </c>
      <c r="P3083">
        <v>-6.8301331152199093E-2</v>
      </c>
      <c r="Q3083">
        <v>0</v>
      </c>
      <c r="R3083">
        <v>0.97652679480739202</v>
      </c>
      <c r="S3083" t="s">
        <v>10086</v>
      </c>
      <c r="T3083" t="s">
        <v>14004</v>
      </c>
      <c r="U3083" t="s">
        <v>14004</v>
      </c>
      <c r="V3083" t="s">
        <v>14004</v>
      </c>
      <c r="W3083" t="s">
        <v>17044</v>
      </c>
      <c r="X3083">
        <v>12</v>
      </c>
      <c r="Y3083" t="s">
        <v>23914</v>
      </c>
      <c r="Z3083" t="s">
        <v>30793</v>
      </c>
      <c r="AA3083">
        <v>0.5531429950773209</v>
      </c>
      <c r="AB3083" t="str">
        <f>HYPERLINK("Melting_Curves/meltCurve_P61254_RPL26.pdf", "Melting_Curves/meltCurve_P61254_RPL26.pdf")</f>
        <v>Melting_Curves/meltCurve_P61254_RPL26.pdf</v>
      </c>
    </row>
    <row r="3084" spans="1:28" x14ac:dyDescent="0.25">
      <c r="A3084" t="s">
        <v>3088</v>
      </c>
      <c r="B3084">
        <v>0.99999676499088797</v>
      </c>
      <c r="C3084">
        <v>1.0295736013163299</v>
      </c>
      <c r="D3084">
        <v>1.0183219414765601</v>
      </c>
      <c r="E3084">
        <v>1.01755408106598</v>
      </c>
      <c r="F3084">
        <v>1.0489307941875601</v>
      </c>
      <c r="G3084">
        <v>0.93088267149795501</v>
      </c>
      <c r="H3084">
        <v>0.69857275697740295</v>
      </c>
      <c r="I3084">
        <v>0.70467918052566703</v>
      </c>
      <c r="J3084">
        <v>0.69274265063360196</v>
      </c>
      <c r="K3084">
        <v>0.75907897014803005</v>
      </c>
      <c r="L3084">
        <v>14265.0143143307</v>
      </c>
      <c r="M3084">
        <v>250</v>
      </c>
      <c r="O3084">
        <v>57.056403420197398</v>
      </c>
      <c r="P3084">
        <v>-0.31354019337221301</v>
      </c>
      <c r="Q3084">
        <v>0.71376837624469702</v>
      </c>
      <c r="R3084">
        <v>0.96920868242323999</v>
      </c>
      <c r="S3084" t="s">
        <v>10087</v>
      </c>
      <c r="T3084" t="s">
        <v>14004</v>
      </c>
      <c r="U3084" t="s">
        <v>14004</v>
      </c>
      <c r="V3084" t="s">
        <v>14004</v>
      </c>
      <c r="W3084" t="s">
        <v>17045</v>
      </c>
      <c r="X3084">
        <v>18</v>
      </c>
      <c r="Y3084" t="s">
        <v>23915</v>
      </c>
      <c r="Z3084" t="s">
        <v>30794</v>
      </c>
      <c r="AA3084">
        <v>0.87656796901067502</v>
      </c>
      <c r="AB3084" t="str">
        <f>HYPERLINK("Melting_Curves/meltCurve_P61289_PSME3.pdf", "Melting_Curves/meltCurve_P61289_PSME3.pdf")</f>
        <v>Melting_Curves/meltCurve_P61289_PSME3.pdf</v>
      </c>
    </row>
    <row r="3085" spans="1:28" x14ac:dyDescent="0.25">
      <c r="A3085" t="s">
        <v>3089</v>
      </c>
      <c r="B3085">
        <v>0.99999676499088797</v>
      </c>
      <c r="C3085">
        <v>0.90598727647996602</v>
      </c>
      <c r="D3085">
        <v>0.87574362672597605</v>
      </c>
      <c r="E3085">
        <v>0.72968173261335401</v>
      </c>
      <c r="F3085">
        <v>0.31544775176728002</v>
      </c>
      <c r="G3085">
        <v>0.22088493869862599</v>
      </c>
      <c r="H3085">
        <v>9.3129589549250893E-2</v>
      </c>
      <c r="I3085">
        <v>4.6837479430795102E-2</v>
      </c>
      <c r="J3085">
        <v>4.31686006302315E-2</v>
      </c>
      <c r="K3085">
        <v>4.0071282592012598E-2</v>
      </c>
      <c r="L3085">
        <v>904.78703730766301</v>
      </c>
      <c r="M3085">
        <v>17.5779383090237</v>
      </c>
      <c r="N3085">
        <v>51.643336526352897</v>
      </c>
      <c r="O3085">
        <v>50.820554756425999</v>
      </c>
      <c r="P3085">
        <v>-8.4038043161544299E-2</v>
      </c>
      <c r="Q3085">
        <v>2.8184413364133399E-2</v>
      </c>
      <c r="R3085">
        <v>0.99055446301323102</v>
      </c>
      <c r="S3085" t="s">
        <v>10088</v>
      </c>
      <c r="T3085" t="s">
        <v>14004</v>
      </c>
      <c r="U3085" t="s">
        <v>14004</v>
      </c>
      <c r="V3085" t="s">
        <v>14004</v>
      </c>
      <c r="W3085" t="s">
        <v>17046</v>
      </c>
      <c r="X3085">
        <v>16</v>
      </c>
      <c r="Y3085" t="s">
        <v>23916</v>
      </c>
      <c r="Z3085" t="s">
        <v>30795</v>
      </c>
      <c r="AA3085">
        <v>0.41680734706201578</v>
      </c>
      <c r="AB3085" t="str">
        <f>HYPERLINK("Melting_Curves/meltCurve_P61326_MAGOH.pdf", "Melting_Curves/meltCurve_P61326_MAGOH.pdf")</f>
        <v>Melting_Curves/meltCurve_P61326_MAGOH.pdf</v>
      </c>
    </row>
    <row r="3086" spans="1:28" x14ac:dyDescent="0.25">
      <c r="A3086" t="s">
        <v>3090</v>
      </c>
      <c r="B3086">
        <v>0.99999676499088797</v>
      </c>
      <c r="C3086">
        <v>0.88711996434467999</v>
      </c>
      <c r="D3086">
        <v>0.98681910607904899</v>
      </c>
      <c r="E3086">
        <v>0.88167561377321102</v>
      </c>
      <c r="F3086">
        <v>0.75563472010097199</v>
      </c>
      <c r="G3086">
        <v>0.85656752881142595</v>
      </c>
      <c r="H3086">
        <v>0.32869574568443799</v>
      </c>
      <c r="I3086">
        <v>0.334377136482719</v>
      </c>
      <c r="J3086">
        <v>0.33754899045310999</v>
      </c>
      <c r="K3086">
        <v>0.36526176125250798</v>
      </c>
      <c r="L3086">
        <v>980.96422655050401</v>
      </c>
      <c r="M3086">
        <v>17.134840201821099</v>
      </c>
      <c r="N3086">
        <v>60.005272278721897</v>
      </c>
      <c r="O3086">
        <v>56.486987386391498</v>
      </c>
      <c r="P3086">
        <v>-5.5183607595532702E-2</v>
      </c>
      <c r="Q3086">
        <v>0.27236698420882199</v>
      </c>
      <c r="R3086">
        <v>0.88605980882598701</v>
      </c>
      <c r="S3086" t="s">
        <v>10089</v>
      </c>
      <c r="T3086" t="s">
        <v>14004</v>
      </c>
      <c r="U3086" t="s">
        <v>14004</v>
      </c>
      <c r="V3086" t="s">
        <v>14004</v>
      </c>
      <c r="W3086" t="s">
        <v>17047</v>
      </c>
      <c r="X3086">
        <v>5</v>
      </c>
      <c r="Y3086" t="s">
        <v>23917</v>
      </c>
      <c r="Z3086" t="s">
        <v>30796</v>
      </c>
      <c r="AA3086">
        <v>0.70093766868765039</v>
      </c>
      <c r="AB3086" t="str">
        <f>HYPERLINK("Melting_Curves/meltCurve_P61353_RPL27.pdf", "Melting_Curves/meltCurve_P61353_RPL27.pdf")</f>
        <v>Melting_Curves/meltCurve_P61353_RPL27.pdf</v>
      </c>
    </row>
    <row r="3087" spans="1:28" x14ac:dyDescent="0.25">
      <c r="A3087" t="s">
        <v>3091</v>
      </c>
      <c r="B3087">
        <v>0.99999676499088797</v>
      </c>
      <c r="C3087">
        <v>0.91192754388416697</v>
      </c>
      <c r="D3087">
        <v>0.90047545039239496</v>
      </c>
      <c r="E3087">
        <v>0.66828373437056499</v>
      </c>
      <c r="F3087">
        <v>0.46136189769473401</v>
      </c>
      <c r="G3087">
        <v>0.27449105416167202</v>
      </c>
      <c r="H3087">
        <v>0.209502911480306</v>
      </c>
      <c r="I3087">
        <v>0.15710857698234901</v>
      </c>
      <c r="J3087">
        <v>0.151444286090196</v>
      </c>
      <c r="K3087">
        <v>0.200581126561927</v>
      </c>
      <c r="L3087">
        <v>827.26608099762097</v>
      </c>
      <c r="M3087">
        <v>16.188161187539102</v>
      </c>
      <c r="N3087">
        <v>52.247262790798999</v>
      </c>
      <c r="O3087">
        <v>50.342403266406698</v>
      </c>
      <c r="P3087">
        <v>-6.8398542895704503E-2</v>
      </c>
      <c r="Q3087">
        <v>0.149232852914228</v>
      </c>
      <c r="R3087">
        <v>0.99418006359867095</v>
      </c>
      <c r="S3087" t="s">
        <v>10090</v>
      </c>
      <c r="T3087" t="s">
        <v>14004</v>
      </c>
      <c r="U3087" t="s">
        <v>14004</v>
      </c>
      <c r="V3087" t="s">
        <v>14004</v>
      </c>
      <c r="W3087" t="s">
        <v>17048</v>
      </c>
      <c r="X3087">
        <v>4</v>
      </c>
      <c r="Y3087" t="s">
        <v>23918</v>
      </c>
      <c r="Z3087" t="s">
        <v>30797</v>
      </c>
      <c r="AA3087">
        <v>0.48134941785521568</v>
      </c>
      <c r="AB3087" t="str">
        <f>HYPERLINK("Melting_Curves/meltCurve_P61457_PCBD1.pdf", "Melting_Curves/meltCurve_P61457_PCBD1.pdf")</f>
        <v>Melting_Curves/meltCurve_P61457_PCBD1.pdf</v>
      </c>
    </row>
    <row r="3088" spans="1:28" x14ac:dyDescent="0.25">
      <c r="A3088" t="s">
        <v>3092</v>
      </c>
      <c r="B3088">
        <v>0.99999676499088797</v>
      </c>
      <c r="C3088">
        <v>0.91504881527549797</v>
      </c>
      <c r="D3088">
        <v>0.88628268337559601</v>
      </c>
      <c r="E3088">
        <v>1.2668984347386201</v>
      </c>
      <c r="F3088">
        <v>1.1024104326523101</v>
      </c>
      <c r="G3088">
        <v>1.3045507624363299</v>
      </c>
      <c r="H3088">
        <v>0.27858564715739997</v>
      </c>
      <c r="I3088">
        <v>0.211689413706561</v>
      </c>
      <c r="J3088">
        <v>0.203498135104421</v>
      </c>
      <c r="K3088">
        <v>0.17142321395568</v>
      </c>
      <c r="L3088">
        <v>15000</v>
      </c>
      <c r="M3088">
        <v>248.87229578220899</v>
      </c>
      <c r="N3088">
        <v>60.392249855988602</v>
      </c>
      <c r="O3088">
        <v>60.267991652740498</v>
      </c>
      <c r="P3088">
        <v>-0.83049347750540603</v>
      </c>
      <c r="Q3088">
        <v>0.19553654001515999</v>
      </c>
      <c r="R3088">
        <v>0.89973402485648801</v>
      </c>
      <c r="S3088" t="s">
        <v>10091</v>
      </c>
      <c r="T3088" t="s">
        <v>14004</v>
      </c>
      <c r="U3088" t="s">
        <v>14004</v>
      </c>
      <c r="V3088" t="s">
        <v>14004</v>
      </c>
      <c r="W3088" t="s">
        <v>17049</v>
      </c>
      <c r="X3088">
        <v>3</v>
      </c>
      <c r="Y3088" t="s">
        <v>23919</v>
      </c>
      <c r="Z3088" t="s">
        <v>30798</v>
      </c>
      <c r="AA3088">
        <v>0.73922184013368786</v>
      </c>
      <c r="AB3088" t="str">
        <f>HYPERLINK("Melting_Curves/meltCurve_P61513_RPL37A.pdf", "Melting_Curves/meltCurve_P61513_RPL37A.pdf")</f>
        <v>Melting_Curves/meltCurve_P61513_RPL37A.pdf</v>
      </c>
    </row>
    <row r="3089" spans="1:28" x14ac:dyDescent="0.25">
      <c r="A3089" t="s">
        <v>3093</v>
      </c>
      <c r="B3089">
        <v>0.99999676499088797</v>
      </c>
      <c r="C3089">
        <v>0.93860806085005</v>
      </c>
      <c r="D3089">
        <v>0.94246113402894804</v>
      </c>
      <c r="E3089">
        <v>0.88623578334784903</v>
      </c>
      <c r="F3089">
        <v>0.782455342167377</v>
      </c>
      <c r="G3089">
        <v>0.83950141893040298</v>
      </c>
      <c r="H3089">
        <v>0.54969187656335405</v>
      </c>
      <c r="I3089">
        <v>0.538513272731031</v>
      </c>
      <c r="J3089">
        <v>0.37065630950502598</v>
      </c>
      <c r="K3089">
        <v>0.21494268900014199</v>
      </c>
      <c r="L3089">
        <v>587.97865177074596</v>
      </c>
      <c r="M3089">
        <v>9.3085085409803003</v>
      </c>
      <c r="N3089">
        <v>63.165707407869903</v>
      </c>
      <c r="O3089">
        <v>60.455945287711103</v>
      </c>
      <c r="P3089">
        <v>-3.8517541838455398E-2</v>
      </c>
      <c r="Q3089">
        <v>0</v>
      </c>
      <c r="R3089">
        <v>0.95266615875329697</v>
      </c>
      <c r="S3089" t="s">
        <v>10092</v>
      </c>
      <c r="T3089" t="s">
        <v>14004</v>
      </c>
      <c r="U3089" t="s">
        <v>14004</v>
      </c>
      <c r="V3089" t="s">
        <v>14004</v>
      </c>
      <c r="W3089" t="s">
        <v>17050</v>
      </c>
      <c r="X3089">
        <v>13</v>
      </c>
      <c r="Y3089" t="s">
        <v>23920</v>
      </c>
      <c r="Z3089" t="s">
        <v>30799</v>
      </c>
      <c r="AA3089">
        <v>0.73385596562833855</v>
      </c>
      <c r="AB3089" t="str">
        <f>HYPERLINK("Melting_Curves/meltCurve_P61586_RHOA.pdf", "Melting_Curves/meltCurve_P61586_RHOA.pdf")</f>
        <v>Melting_Curves/meltCurve_P61586_RHOA.pdf</v>
      </c>
    </row>
    <row r="3090" spans="1:28" x14ac:dyDescent="0.25">
      <c r="A3090" t="s">
        <v>3094</v>
      </c>
      <c r="B3090">
        <v>0.99999676499088797</v>
      </c>
      <c r="C3090">
        <v>1.05659484805168</v>
      </c>
      <c r="D3090">
        <v>1.02829221216445</v>
      </c>
      <c r="E3090">
        <v>1.3486762753822401</v>
      </c>
      <c r="F3090">
        <v>0.65331647972055495</v>
      </c>
      <c r="G3090">
        <v>0.173753729852584</v>
      </c>
      <c r="H3090">
        <v>8.7633868631080095E-2</v>
      </c>
      <c r="I3090">
        <v>8.4174955038341603E-2</v>
      </c>
      <c r="J3090">
        <v>6.2731194520123296E-2</v>
      </c>
      <c r="K3090">
        <v>7.5939221403101304E-2</v>
      </c>
      <c r="L3090">
        <v>4343.9500326007301</v>
      </c>
      <c r="M3090">
        <v>81.152068831563199</v>
      </c>
      <c r="N3090">
        <v>53.667481423289701</v>
      </c>
      <c r="O3090">
        <v>53.496049206081999</v>
      </c>
      <c r="P3090">
        <v>-0.343308918255394</v>
      </c>
      <c r="Q3090">
        <v>9.4753076719717805E-2</v>
      </c>
      <c r="R3090">
        <v>0.94382619194324002</v>
      </c>
      <c r="S3090" t="s">
        <v>10093</v>
      </c>
      <c r="T3090" t="s">
        <v>14004</v>
      </c>
      <c r="U3090" t="s">
        <v>14004</v>
      </c>
      <c r="V3090" t="s">
        <v>14004</v>
      </c>
      <c r="W3090" t="s">
        <v>17051</v>
      </c>
      <c r="X3090">
        <v>5</v>
      </c>
      <c r="Y3090" t="s">
        <v>23921</v>
      </c>
      <c r="Z3090" t="s">
        <v>30800</v>
      </c>
      <c r="AA3090">
        <v>0.50378332392781089</v>
      </c>
      <c r="AB3090" t="str">
        <f>HYPERLINK("Melting_Curves/meltCurve_P61599_NAA20.pdf", "Melting_Curves/meltCurve_P61599_NAA20.pdf")</f>
        <v>Melting_Curves/meltCurve_P61599_NAA20.pdf</v>
      </c>
    </row>
    <row r="3091" spans="1:28" x14ac:dyDescent="0.25">
      <c r="A3091" t="s">
        <v>3095</v>
      </c>
      <c r="B3091">
        <v>0.99999676499088797</v>
      </c>
      <c r="C3091">
        <v>0.97535666192243697</v>
      </c>
      <c r="D3091">
        <v>0.93420760342010301</v>
      </c>
      <c r="E3091">
        <v>0.831527543959516</v>
      </c>
      <c r="F3091">
        <v>0.77614402276642602</v>
      </c>
      <c r="G3091">
        <v>0.80077629292186003</v>
      </c>
      <c r="H3091">
        <v>0.51654331319180602</v>
      </c>
      <c r="I3091">
        <v>0.61799312871567602</v>
      </c>
      <c r="J3091">
        <v>0.54991578535033203</v>
      </c>
      <c r="K3091">
        <v>0.53878375983052496</v>
      </c>
      <c r="L3091">
        <v>516.71561347188799</v>
      </c>
      <c r="M3091">
        <v>9.3061559756747307</v>
      </c>
      <c r="O3091">
        <v>53.140992593981402</v>
      </c>
      <c r="P3091">
        <v>-2.35953282019945E-2</v>
      </c>
      <c r="Q3091">
        <v>0.46139843105358702</v>
      </c>
      <c r="R3091">
        <v>0.92081624612244295</v>
      </c>
      <c r="S3091" t="s">
        <v>10094</v>
      </c>
      <c r="T3091" t="s">
        <v>14004</v>
      </c>
      <c r="U3091" t="s">
        <v>14004</v>
      </c>
      <c r="V3091" t="s">
        <v>14004</v>
      </c>
      <c r="W3091" t="s">
        <v>17052</v>
      </c>
      <c r="X3091">
        <v>17</v>
      </c>
      <c r="Y3091" t="s">
        <v>23922</v>
      </c>
      <c r="Z3091" t="s">
        <v>30801</v>
      </c>
      <c r="AA3091">
        <v>0.75284569699928028</v>
      </c>
      <c r="AB3091" t="str">
        <f>HYPERLINK("Melting_Curves/meltCurve_P61604_HSPE1.pdf", "Melting_Curves/meltCurve_P61604_HSPE1.pdf")</f>
        <v>Melting_Curves/meltCurve_P61604_HSPE1.pdf</v>
      </c>
    </row>
    <row r="3092" spans="1:28" x14ac:dyDescent="0.25">
      <c r="A3092" t="s">
        <v>3096</v>
      </c>
      <c r="B3092">
        <v>0.99999676499088797</v>
      </c>
      <c r="C3092">
        <v>0.97731063525891204</v>
      </c>
      <c r="D3092">
        <v>0.93515999448490295</v>
      </c>
      <c r="E3092">
        <v>0.867240747783943</v>
      </c>
      <c r="F3092">
        <v>0.91694404420631104</v>
      </c>
      <c r="G3092">
        <v>0.74371578408907202</v>
      </c>
      <c r="H3092">
        <v>0.48568043357883101</v>
      </c>
      <c r="I3092">
        <v>0.33911727910875999</v>
      </c>
      <c r="J3092">
        <v>0.216779397382665</v>
      </c>
      <c r="K3092">
        <v>0.208633257633387</v>
      </c>
      <c r="L3092">
        <v>865.36719465706597</v>
      </c>
      <c r="M3092">
        <v>14.406164408420301</v>
      </c>
      <c r="N3092">
        <v>60.758198191776401</v>
      </c>
      <c r="O3092">
        <v>58.947343421212203</v>
      </c>
      <c r="P3092">
        <v>-5.6500163754099303E-2</v>
      </c>
      <c r="Q3092">
        <v>7.5356790704198803E-2</v>
      </c>
      <c r="R3092">
        <v>0.98361834752719002</v>
      </c>
      <c r="S3092" t="s">
        <v>10095</v>
      </c>
      <c r="T3092" t="s">
        <v>14004</v>
      </c>
      <c r="U3092" t="s">
        <v>14004</v>
      </c>
      <c r="V3092" t="s">
        <v>14004</v>
      </c>
      <c r="W3092" t="s">
        <v>17053</v>
      </c>
      <c r="X3092">
        <v>19</v>
      </c>
      <c r="Y3092" t="s">
        <v>23923</v>
      </c>
      <c r="Z3092" t="s">
        <v>30802</v>
      </c>
      <c r="AA3092">
        <v>0.69947149848250667</v>
      </c>
      <c r="AB3092" t="str">
        <f>HYPERLINK("Melting_Curves/meltCurve_P61758_VBP1.pdf", "Melting_Curves/meltCurve_P61758_VBP1.pdf")</f>
        <v>Melting_Curves/meltCurve_P61758_VBP1.pdf</v>
      </c>
    </row>
    <row r="3093" spans="1:28" x14ac:dyDescent="0.25">
      <c r="A3093" t="s">
        <v>3097</v>
      </c>
      <c r="B3093">
        <v>0.99999676499088797</v>
      </c>
      <c r="C3093">
        <v>0.94638180505332903</v>
      </c>
      <c r="D3093">
        <v>0.89439642415370202</v>
      </c>
      <c r="E3093">
        <v>0.386357007690878</v>
      </c>
      <c r="F3093">
        <v>0.21560257710180999</v>
      </c>
      <c r="G3093">
        <v>0.133280854709518</v>
      </c>
      <c r="H3093">
        <v>6.4572236608506597E-2</v>
      </c>
      <c r="I3093">
        <v>7.3401933597461999E-2</v>
      </c>
      <c r="J3093">
        <v>7.3291807062308895E-2</v>
      </c>
      <c r="K3093">
        <v>5.7247302738537197E-2</v>
      </c>
      <c r="L3093">
        <v>1354.96675934582</v>
      </c>
      <c r="M3093">
        <v>27.814740012649199</v>
      </c>
      <c r="N3093">
        <v>49.027634103727102</v>
      </c>
      <c r="O3093">
        <v>48.464269139512801</v>
      </c>
      <c r="P3093">
        <v>-0.13178747175715799</v>
      </c>
      <c r="Q3093">
        <v>8.1504660722653402E-2</v>
      </c>
      <c r="R3093">
        <v>0.99305447722308204</v>
      </c>
      <c r="S3093" t="s">
        <v>10096</v>
      </c>
      <c r="T3093" t="s">
        <v>14004</v>
      </c>
      <c r="U3093" t="s">
        <v>14004</v>
      </c>
      <c r="V3093" t="s">
        <v>14004</v>
      </c>
      <c r="W3093" t="s">
        <v>17054</v>
      </c>
      <c r="X3093">
        <v>21</v>
      </c>
      <c r="Y3093" t="s">
        <v>23924</v>
      </c>
      <c r="Z3093" t="s">
        <v>30803</v>
      </c>
      <c r="AA3093">
        <v>0.35481015570123853</v>
      </c>
      <c r="AB3093" t="str">
        <f>HYPERLINK("Melting_Curves/meltCurve_P61764_STXBP1.pdf", "Melting_Curves/meltCurve_P61764_STXBP1.pdf")</f>
        <v>Melting_Curves/meltCurve_P61764_STXBP1.pdf</v>
      </c>
    </row>
    <row r="3094" spans="1:28" x14ac:dyDescent="0.25">
      <c r="A3094" t="s">
        <v>3098</v>
      </c>
      <c r="B3094">
        <v>0.99999676499088797</v>
      </c>
      <c r="C3094">
        <v>0.96994679219970503</v>
      </c>
      <c r="D3094">
        <v>0.92475301987293101</v>
      </c>
      <c r="E3094">
        <v>0.79364847139619998</v>
      </c>
      <c r="F3094">
        <v>0.92006735978254495</v>
      </c>
      <c r="G3094">
        <v>0.68546767213261905</v>
      </c>
      <c r="H3094">
        <v>0.37000903742448299</v>
      </c>
      <c r="I3094">
        <v>0.36653933601425098</v>
      </c>
      <c r="J3094">
        <v>0.37223364231169598</v>
      </c>
      <c r="K3094">
        <v>0.27933361985059402</v>
      </c>
      <c r="L3094">
        <v>844.53307395912998</v>
      </c>
      <c r="M3094">
        <v>14.734315251315399</v>
      </c>
      <c r="N3094">
        <v>59.940113100386903</v>
      </c>
      <c r="O3094">
        <v>56.292697424739103</v>
      </c>
      <c r="P3094">
        <v>-4.9894579018230897E-2</v>
      </c>
      <c r="Q3094">
        <v>0.237590319521887</v>
      </c>
      <c r="R3094">
        <v>0.93798378251348302</v>
      </c>
      <c r="S3094" t="s">
        <v>10097</v>
      </c>
      <c r="T3094" t="s">
        <v>14004</v>
      </c>
      <c r="U3094" t="s">
        <v>14004</v>
      </c>
      <c r="V3094" t="s">
        <v>14004</v>
      </c>
      <c r="W3094" t="s">
        <v>17055</v>
      </c>
      <c r="X3094">
        <v>7</v>
      </c>
      <c r="Y3094" t="s">
        <v>23925</v>
      </c>
      <c r="Z3094" t="s">
        <v>30804</v>
      </c>
      <c r="AA3094">
        <v>0.68930482139996674</v>
      </c>
      <c r="AB3094" t="str">
        <f>HYPERLINK("Melting_Curves/meltCurve_P61769_B2M.pdf", "Melting_Curves/meltCurve_P61769_B2M.pdf")</f>
        <v>Melting_Curves/meltCurve_P61769_B2M.pdf</v>
      </c>
    </row>
    <row r="3095" spans="1:28" x14ac:dyDescent="0.25">
      <c r="A3095" t="s">
        <v>3099</v>
      </c>
      <c r="B3095">
        <v>0.99999676499088797</v>
      </c>
      <c r="C3095">
        <v>0.87808438838196001</v>
      </c>
      <c r="D3095">
        <v>0.99963067041102105</v>
      </c>
      <c r="E3095">
        <v>0.88467520865039695</v>
      </c>
      <c r="F3095">
        <v>0.95446943038971699</v>
      </c>
      <c r="G3095">
        <v>0.78719489843088397</v>
      </c>
      <c r="H3095">
        <v>0.56834452577263295</v>
      </c>
      <c r="I3095">
        <v>0.61188624528816904</v>
      </c>
      <c r="J3095">
        <v>0.58397713163991305</v>
      </c>
      <c r="K3095">
        <v>0.68895529386499299</v>
      </c>
      <c r="L3095">
        <v>2733.2260592041598</v>
      </c>
      <c r="M3095">
        <v>48.442276538371999</v>
      </c>
      <c r="O3095">
        <v>56.326426509553201</v>
      </c>
      <c r="P3095">
        <v>-8.3450507754794401E-2</v>
      </c>
      <c r="Q3095">
        <v>0.61187089657605298</v>
      </c>
      <c r="R3095">
        <v>0.85424041038536302</v>
      </c>
      <c r="S3095" t="s">
        <v>10098</v>
      </c>
      <c r="T3095" t="s">
        <v>14004</v>
      </c>
      <c r="U3095" t="s">
        <v>14004</v>
      </c>
      <c r="V3095" t="s">
        <v>14004</v>
      </c>
      <c r="W3095" t="s">
        <v>17056</v>
      </c>
      <c r="X3095">
        <v>2</v>
      </c>
      <c r="Y3095" t="s">
        <v>23926</v>
      </c>
      <c r="Z3095" t="s">
        <v>30805</v>
      </c>
      <c r="AA3095">
        <v>0.82536447413440639</v>
      </c>
      <c r="AB3095" t="str">
        <f>HYPERLINK("Melting_Curves/meltCurve_P61925_PKIA.pdf", "Melting_Curves/meltCurve_P61925_PKIA.pdf")</f>
        <v>Melting_Curves/meltCurve_P61925_PKIA.pdf</v>
      </c>
    </row>
    <row r="3096" spans="1:28" x14ac:dyDescent="0.25">
      <c r="A3096" t="s">
        <v>3100</v>
      </c>
      <c r="B3096">
        <v>0.99999676499088797</v>
      </c>
      <c r="C3096">
        <v>1.0915759094433899</v>
      </c>
      <c r="D3096">
        <v>1.01841016511629</v>
      </c>
      <c r="E3096">
        <v>0.99909386660907695</v>
      </c>
      <c r="F3096">
        <v>0.38718457871008799</v>
      </c>
      <c r="G3096">
        <v>0.513748910390461</v>
      </c>
      <c r="H3096">
        <v>0.201254045671695</v>
      </c>
      <c r="I3096">
        <v>0.18487894765427201</v>
      </c>
      <c r="J3096">
        <v>0.104403899257949</v>
      </c>
      <c r="K3096">
        <v>8.8920929598250806E-2</v>
      </c>
      <c r="L3096">
        <v>1036.6758356098701</v>
      </c>
      <c r="M3096">
        <v>19.2803471751945</v>
      </c>
      <c r="N3096">
        <v>54.536944300451196</v>
      </c>
      <c r="O3096">
        <v>53.200122144986302</v>
      </c>
      <c r="P3096">
        <v>-7.9829399627656603E-2</v>
      </c>
      <c r="Q3096">
        <v>0.118942475238839</v>
      </c>
      <c r="R3096">
        <v>0.93139516453085502</v>
      </c>
      <c r="S3096" t="s">
        <v>10099</v>
      </c>
      <c r="T3096" t="s">
        <v>14004</v>
      </c>
      <c r="U3096" t="s">
        <v>14004</v>
      </c>
      <c r="V3096" t="s">
        <v>14004</v>
      </c>
      <c r="W3096" t="s">
        <v>17057</v>
      </c>
      <c r="X3096">
        <v>1</v>
      </c>
      <c r="Y3096" t="s">
        <v>23927</v>
      </c>
      <c r="Z3096" t="s">
        <v>30806</v>
      </c>
      <c r="AA3096">
        <v>0.5360522201558181</v>
      </c>
      <c r="AB3096" t="str">
        <f>HYPERLINK("Melting_Curves/meltCurve_P61927_RPL37.pdf", "Melting_Curves/meltCurve_P61927_RPL37.pdf")</f>
        <v>Melting_Curves/meltCurve_P61927_RPL37.pdf</v>
      </c>
    </row>
    <row r="3097" spans="1:28" x14ac:dyDescent="0.25">
      <c r="A3097" t="s">
        <v>3101</v>
      </c>
      <c r="B3097">
        <v>0.99999676499088797</v>
      </c>
      <c r="C3097">
        <v>0.96460160573405496</v>
      </c>
      <c r="D3097">
        <v>0.935140438888451</v>
      </c>
      <c r="E3097">
        <v>0.93344884231872305</v>
      </c>
      <c r="F3097">
        <v>0.68560822946656397</v>
      </c>
      <c r="G3097">
        <v>0.45799966576801099</v>
      </c>
      <c r="H3097">
        <v>0.206688404939287</v>
      </c>
      <c r="I3097">
        <v>0.15667716775631901</v>
      </c>
      <c r="J3097">
        <v>0.13061050055926399</v>
      </c>
      <c r="K3097">
        <v>9.3426826326996101E-2</v>
      </c>
      <c r="L3097">
        <v>1009.67701194274</v>
      </c>
      <c r="M3097">
        <v>18.2293526714876</v>
      </c>
      <c r="N3097">
        <v>55.918888377789003</v>
      </c>
      <c r="O3097">
        <v>54.733806936574403</v>
      </c>
      <c r="P3097">
        <v>-7.6644680211422303E-2</v>
      </c>
      <c r="Q3097">
        <v>7.9537642679088194E-2</v>
      </c>
      <c r="R3097">
        <v>0.99596557029572796</v>
      </c>
      <c r="S3097" t="s">
        <v>10100</v>
      </c>
      <c r="T3097" t="s">
        <v>14004</v>
      </c>
      <c r="U3097" t="s">
        <v>14004</v>
      </c>
      <c r="V3097" t="s">
        <v>14004</v>
      </c>
      <c r="W3097" t="s">
        <v>17058</v>
      </c>
      <c r="X3097">
        <v>10</v>
      </c>
      <c r="Y3097" t="s">
        <v>23928</v>
      </c>
      <c r="Z3097" t="s">
        <v>30807</v>
      </c>
      <c r="AA3097">
        <v>0.56542944676374729</v>
      </c>
      <c r="AB3097" t="str">
        <f>HYPERLINK("Melting_Curves/meltCurve_P61962_DCAF7.pdf", "Melting_Curves/meltCurve_P61962_DCAF7.pdf")</f>
        <v>Melting_Curves/meltCurve_P61962_DCAF7.pdf</v>
      </c>
    </row>
    <row r="3098" spans="1:28" x14ac:dyDescent="0.25">
      <c r="A3098" t="s">
        <v>3102</v>
      </c>
      <c r="B3098">
        <v>0.99999676499088797</v>
      </c>
      <c r="C3098">
        <v>1.01139241443353</v>
      </c>
      <c r="D3098">
        <v>0.974983434833122</v>
      </c>
      <c r="E3098">
        <v>1.0972931963744901</v>
      </c>
      <c r="F3098">
        <v>1.1327879100210301</v>
      </c>
      <c r="G3098">
        <v>1.1158426905613901</v>
      </c>
      <c r="H3098">
        <v>1.0056034361974999</v>
      </c>
      <c r="I3098">
        <v>0.81954639345368097</v>
      </c>
      <c r="J3098">
        <v>0.69918435589599803</v>
      </c>
      <c r="K3098">
        <v>0.73828514211717799</v>
      </c>
      <c r="L3098">
        <v>15000</v>
      </c>
      <c r="M3098">
        <v>234.95721967136501</v>
      </c>
      <c r="O3098">
        <v>63.836783976628503</v>
      </c>
      <c r="P3098">
        <v>-0.25880682098850699</v>
      </c>
      <c r="Q3098">
        <v>0.71873356159021295</v>
      </c>
      <c r="R3098">
        <v>0.80563234003885498</v>
      </c>
      <c r="S3098" t="s">
        <v>10101</v>
      </c>
      <c r="T3098" t="s">
        <v>14004</v>
      </c>
      <c r="U3098" t="s">
        <v>14004</v>
      </c>
      <c r="V3098" t="s">
        <v>14004</v>
      </c>
      <c r="W3098" t="s">
        <v>17059</v>
      </c>
      <c r="X3098">
        <v>10</v>
      </c>
      <c r="Y3098" t="s">
        <v>23929</v>
      </c>
      <c r="Z3098" t="s">
        <v>30808</v>
      </c>
      <c r="AA3098">
        <v>0.94229551512431986</v>
      </c>
      <c r="AB3098" t="str">
        <f>HYPERLINK("Melting_Curves/meltCurve_P61964_WDR5.pdf", "Melting_Curves/meltCurve_P61964_WDR5.pdf")</f>
        <v>Melting_Curves/meltCurve_P61964_WDR5.pdf</v>
      </c>
    </row>
    <row r="3099" spans="1:28" x14ac:dyDescent="0.25">
      <c r="A3099" t="s">
        <v>3103</v>
      </c>
      <c r="B3099">
        <v>0.99999676499088797</v>
      </c>
      <c r="C3099">
        <v>1.05172193021281</v>
      </c>
      <c r="D3099">
        <v>0.93142691736994399</v>
      </c>
      <c r="E3099">
        <v>0.53431320560763595</v>
      </c>
      <c r="F3099">
        <v>0.38921288028428003</v>
      </c>
      <c r="G3099">
        <v>0.273463670312037</v>
      </c>
      <c r="H3099">
        <v>0.112413659432233</v>
      </c>
      <c r="I3099">
        <v>0.12675816359332701</v>
      </c>
      <c r="J3099">
        <v>0.100511137165759</v>
      </c>
      <c r="K3099">
        <v>0.10875499009706199</v>
      </c>
      <c r="L3099">
        <v>947.36083352943297</v>
      </c>
      <c r="M3099">
        <v>18.789931524581799</v>
      </c>
      <c r="N3099">
        <v>51.102593904122301</v>
      </c>
      <c r="O3099">
        <v>49.8578777652978</v>
      </c>
      <c r="P3099">
        <v>-8.3744804219728297E-2</v>
      </c>
      <c r="Q3099">
        <v>0.111191172326047</v>
      </c>
      <c r="R3099">
        <v>0.98170203496527697</v>
      </c>
      <c r="S3099" t="s">
        <v>10102</v>
      </c>
      <c r="T3099" t="s">
        <v>14004</v>
      </c>
      <c r="U3099" t="s">
        <v>14004</v>
      </c>
      <c r="V3099" t="s">
        <v>14004</v>
      </c>
      <c r="W3099" t="s">
        <v>17060</v>
      </c>
      <c r="X3099">
        <v>4</v>
      </c>
      <c r="Y3099" t="s">
        <v>23930</v>
      </c>
      <c r="Z3099" t="s">
        <v>30809</v>
      </c>
      <c r="AA3099">
        <v>0.43377414718599178</v>
      </c>
      <c r="AB3099" t="str">
        <f>HYPERLINK("Melting_Curves/meltCurve_P61966_AP1S1.pdf", "Melting_Curves/meltCurve_P61966_AP1S1.pdf")</f>
        <v>Melting_Curves/meltCurve_P61966_AP1S1.pdf</v>
      </c>
    </row>
    <row r="3100" spans="1:28" x14ac:dyDescent="0.25">
      <c r="A3100" t="s">
        <v>3104</v>
      </c>
      <c r="B3100">
        <v>0.99999676499088797</v>
      </c>
      <c r="C3100">
        <v>1.1862855062595801</v>
      </c>
      <c r="D3100">
        <v>0.91923752602924602</v>
      </c>
      <c r="E3100">
        <v>0.77847899858395098</v>
      </c>
      <c r="F3100">
        <v>0.41894676710970002</v>
      </c>
      <c r="G3100">
        <v>0.23922839191141301</v>
      </c>
      <c r="H3100">
        <v>7.11423817230116E-2</v>
      </c>
      <c r="I3100">
        <v>0.14066916497290899</v>
      </c>
      <c r="J3100">
        <v>0.15629126645202199</v>
      </c>
      <c r="K3100">
        <v>7.9432533463756602E-2</v>
      </c>
      <c r="L3100">
        <v>1241.8224962120801</v>
      </c>
      <c r="M3100">
        <v>23.9357017404378</v>
      </c>
      <c r="N3100">
        <v>52.413831739680298</v>
      </c>
      <c r="O3100">
        <v>51.523547279808703</v>
      </c>
      <c r="P3100">
        <v>-0.10361157766224</v>
      </c>
      <c r="Q3100">
        <v>0.107885088544557</v>
      </c>
      <c r="R3100">
        <v>0.97162979748143097</v>
      </c>
      <c r="S3100" t="s">
        <v>10103</v>
      </c>
      <c r="T3100" t="s">
        <v>14004</v>
      </c>
      <c r="U3100" t="s">
        <v>14004</v>
      </c>
      <c r="V3100" t="s">
        <v>14004</v>
      </c>
      <c r="W3100" t="s">
        <v>17061</v>
      </c>
      <c r="X3100">
        <v>2</v>
      </c>
      <c r="Y3100" t="s">
        <v>23931</v>
      </c>
      <c r="Z3100" t="s">
        <v>30810</v>
      </c>
      <c r="AA3100">
        <v>0.4700536125379346</v>
      </c>
      <c r="AB3100" t="str">
        <f>HYPERLINK("Melting_Curves/meltCurve_P61968_LMO4.pdf", "Melting_Curves/meltCurve_P61968_LMO4.pdf")</f>
        <v>Melting_Curves/meltCurve_P61968_LMO4.pdf</v>
      </c>
    </row>
    <row r="3101" spans="1:28" x14ac:dyDescent="0.25">
      <c r="A3101" t="s">
        <v>3105</v>
      </c>
      <c r="B3101">
        <v>0.99999676499088797</v>
      </c>
      <c r="C3101">
        <v>1.00474589610026</v>
      </c>
      <c r="D3101">
        <v>1.0298186576196999</v>
      </c>
      <c r="E3101">
        <v>1.05233402646092</v>
      </c>
      <c r="F3101">
        <v>1.1656833429175899</v>
      </c>
      <c r="G3101">
        <v>1.03240654417379</v>
      </c>
      <c r="H3101">
        <v>0.72039350840605898</v>
      </c>
      <c r="I3101">
        <v>0.644222486629484</v>
      </c>
      <c r="J3101">
        <v>0.55245183317928004</v>
      </c>
      <c r="K3101">
        <v>0.50607326237040695</v>
      </c>
      <c r="L3101">
        <v>2901.31352342223</v>
      </c>
      <c r="M3101">
        <v>47.985103294577101</v>
      </c>
      <c r="O3101">
        <v>60.358064616866898</v>
      </c>
      <c r="P3101">
        <v>-8.9261038931606404E-2</v>
      </c>
      <c r="Q3101">
        <v>0.55089244484718902</v>
      </c>
      <c r="R3101">
        <v>0.92069356771550503</v>
      </c>
      <c r="S3101" t="s">
        <v>10104</v>
      </c>
      <c r="T3101" t="s">
        <v>14004</v>
      </c>
      <c r="U3101" t="s">
        <v>14004</v>
      </c>
      <c r="V3101" t="s">
        <v>14004</v>
      </c>
      <c r="W3101" t="s">
        <v>17062</v>
      </c>
      <c r="X3101">
        <v>6</v>
      </c>
      <c r="Y3101" t="s">
        <v>23932</v>
      </c>
      <c r="Z3101" t="s">
        <v>30811</v>
      </c>
      <c r="AA3101">
        <v>0.85848829413372008</v>
      </c>
      <c r="AB3101" t="str">
        <f>HYPERLINK("Melting_Curves/meltCurve_P61970_NUTF2.pdf", "Melting_Curves/meltCurve_P61970_NUTF2.pdf")</f>
        <v>Melting_Curves/meltCurve_P61970_NUTF2.pdf</v>
      </c>
    </row>
    <row r="3102" spans="1:28" x14ac:dyDescent="0.25">
      <c r="A3102" t="s">
        <v>3106</v>
      </c>
      <c r="B3102">
        <v>0.99999676499088797</v>
      </c>
      <c r="C3102">
        <v>1.05185112956709</v>
      </c>
      <c r="D3102">
        <v>0.95646047908462195</v>
      </c>
      <c r="E3102">
        <v>0.53442941021028501</v>
      </c>
      <c r="F3102">
        <v>0.27667803159246002</v>
      </c>
      <c r="G3102">
        <v>0.193594979858737</v>
      </c>
      <c r="H3102">
        <v>0.119101494421519</v>
      </c>
      <c r="I3102">
        <v>0.150680634758868</v>
      </c>
      <c r="J3102">
        <v>0.15784956545985901</v>
      </c>
      <c r="K3102">
        <v>0.18356154160880001</v>
      </c>
      <c r="L3102">
        <v>1594.6540390533401</v>
      </c>
      <c r="M3102">
        <v>32.266161468010601</v>
      </c>
      <c r="N3102">
        <v>50.032369776713502</v>
      </c>
      <c r="O3102">
        <v>49.2331945344582</v>
      </c>
      <c r="P3102">
        <v>-0.137182468898122</v>
      </c>
      <c r="Q3102">
        <v>0.16272677415850501</v>
      </c>
      <c r="R3102">
        <v>0.99349131023442705</v>
      </c>
      <c r="S3102" t="s">
        <v>10105</v>
      </c>
      <c r="T3102" t="s">
        <v>14004</v>
      </c>
      <c r="U3102" t="s">
        <v>14004</v>
      </c>
      <c r="V3102" t="s">
        <v>14004</v>
      </c>
      <c r="W3102" t="s">
        <v>17063</v>
      </c>
      <c r="X3102">
        <v>31</v>
      </c>
      <c r="Y3102" t="s">
        <v>23933</v>
      </c>
      <c r="Z3102" t="s">
        <v>30812</v>
      </c>
      <c r="AA3102">
        <v>0.43010723948430901</v>
      </c>
      <c r="AB3102" t="str">
        <f>HYPERLINK("Melting_Curves/meltCurve_P61978_3_HNRNPK.pdf", "Melting_Curves/meltCurve_P61978_3_HNRNPK.pdf")</f>
        <v>Melting_Curves/meltCurve_P61978_3_HNRNPK.pdf</v>
      </c>
    </row>
    <row r="3103" spans="1:28" x14ac:dyDescent="0.25">
      <c r="A3103" t="s">
        <v>3107</v>
      </c>
      <c r="B3103">
        <v>0.99999676499088797</v>
      </c>
      <c r="C3103">
        <v>1.1009899148285001</v>
      </c>
      <c r="D3103">
        <v>1.00754577746892</v>
      </c>
      <c r="E3103">
        <v>0.77374218578924003</v>
      </c>
      <c r="F3103">
        <v>0.69362144076580001</v>
      </c>
      <c r="G3103">
        <v>0.54926107534367596</v>
      </c>
      <c r="H3103">
        <v>0.207981461801066</v>
      </c>
      <c r="I3103">
        <v>0.108709059431911</v>
      </c>
      <c r="J3103">
        <v>7.3208032740143994E-2</v>
      </c>
      <c r="K3103">
        <v>4.9980923522492497E-2</v>
      </c>
      <c r="L3103">
        <v>836.26021531729805</v>
      </c>
      <c r="M3103">
        <v>14.873936386374201</v>
      </c>
      <c r="N3103">
        <v>56.223189809254698</v>
      </c>
      <c r="O3103">
        <v>55.236263216595901</v>
      </c>
      <c r="P3103">
        <v>-6.7326647106603799E-2</v>
      </c>
      <c r="Q3103">
        <v>0</v>
      </c>
      <c r="R3103">
        <v>0.97749813819091902</v>
      </c>
      <c r="S3103" t="s">
        <v>10106</v>
      </c>
      <c r="T3103" t="s">
        <v>14004</v>
      </c>
      <c r="U3103" t="s">
        <v>14004</v>
      </c>
      <c r="V3103" t="s">
        <v>14004</v>
      </c>
      <c r="W3103" t="s">
        <v>17064</v>
      </c>
      <c r="X3103">
        <v>24</v>
      </c>
      <c r="Y3103" t="s">
        <v>23934</v>
      </c>
      <c r="Z3103" t="s">
        <v>30813</v>
      </c>
      <c r="AA3103">
        <v>0.55823736931937229</v>
      </c>
      <c r="AB3103" t="str">
        <f>HYPERLINK("Melting_Curves/meltCurve_P61981_YWHAG.pdf", "Melting_Curves/meltCurve_P61981_YWHAG.pdf")</f>
        <v>Melting_Curves/meltCurve_P61981_YWHAG.pdf</v>
      </c>
    </row>
    <row r="3104" spans="1:28" x14ac:dyDescent="0.25">
      <c r="A3104" t="s">
        <v>3108</v>
      </c>
      <c r="B3104">
        <v>0.99999676499088797</v>
      </c>
      <c r="C3104">
        <v>0.98633968118964399</v>
      </c>
      <c r="D3104">
        <v>1.05269131354559</v>
      </c>
      <c r="E3104">
        <v>1.29607477211148</v>
      </c>
      <c r="F3104">
        <v>1.2890254963538299</v>
      </c>
      <c r="G3104">
        <v>1.1000431638821799</v>
      </c>
      <c r="H3104">
        <v>0.60267032254745401</v>
      </c>
      <c r="I3104">
        <v>0.271221019228161</v>
      </c>
      <c r="J3104">
        <v>0.146416312997695</v>
      </c>
      <c r="K3104">
        <v>0.14119676479645701</v>
      </c>
      <c r="L3104">
        <v>3290.5616440857998</v>
      </c>
      <c r="M3104">
        <v>53.907112539730697</v>
      </c>
      <c r="N3104">
        <v>61.476966846021398</v>
      </c>
      <c r="O3104">
        <v>60.957497026439597</v>
      </c>
      <c r="P3104">
        <v>-0.18598714418557</v>
      </c>
      <c r="Q3104">
        <v>0.15875267183396</v>
      </c>
      <c r="R3104">
        <v>0.899068793197907</v>
      </c>
      <c r="S3104" t="s">
        <v>10107</v>
      </c>
      <c r="T3104" t="s">
        <v>14004</v>
      </c>
      <c r="U3104" t="s">
        <v>14004</v>
      </c>
      <c r="V3104" t="s">
        <v>14004</v>
      </c>
      <c r="W3104" t="s">
        <v>17065</v>
      </c>
      <c r="X3104">
        <v>13</v>
      </c>
      <c r="Y3104" t="s">
        <v>23935</v>
      </c>
      <c r="Z3104" t="s">
        <v>30814</v>
      </c>
      <c r="AA3104">
        <v>0.7506877709204598</v>
      </c>
      <c r="AB3104" t="str">
        <f>HYPERLINK("Melting_Curves/meltCurve_P62070_RRAS2.pdf", "Melting_Curves/meltCurve_P62070_RRAS2.pdf")</f>
        <v>Melting_Curves/meltCurve_P62070_RRAS2.pdf</v>
      </c>
    </row>
    <row r="3105" spans="1:28" x14ac:dyDescent="0.25">
      <c r="A3105" t="s">
        <v>3109</v>
      </c>
      <c r="B3105">
        <v>0.99999676499088797</v>
      </c>
      <c r="C3105">
        <v>0.93059671504907904</v>
      </c>
      <c r="D3105">
        <v>0.92032074752204895</v>
      </c>
      <c r="E3105">
        <v>0.82507908092405102</v>
      </c>
      <c r="F3105">
        <v>0.78077073564999699</v>
      </c>
      <c r="G3105">
        <v>0.62863927799468799</v>
      </c>
      <c r="H3105">
        <v>0.42256959492041402</v>
      </c>
      <c r="I3105">
        <v>0.44146589252631502</v>
      </c>
      <c r="J3105">
        <v>0.42554144433525298</v>
      </c>
      <c r="K3105">
        <v>0.45466758843885902</v>
      </c>
      <c r="L3105">
        <v>668.20218534448497</v>
      </c>
      <c r="M3105">
        <v>12.311655969404599</v>
      </c>
      <c r="N3105">
        <v>60.993494534188997</v>
      </c>
      <c r="O3105">
        <v>52.901665770504998</v>
      </c>
      <c r="P3105">
        <v>-3.6592653962564399E-2</v>
      </c>
      <c r="Q3105">
        <v>0.37120078028041997</v>
      </c>
      <c r="R3105">
        <v>0.96785668920323098</v>
      </c>
      <c r="S3105" t="s">
        <v>10108</v>
      </c>
      <c r="T3105" t="s">
        <v>14004</v>
      </c>
      <c r="U3105" t="s">
        <v>14004</v>
      </c>
      <c r="V3105" t="s">
        <v>14004</v>
      </c>
      <c r="W3105" t="s">
        <v>17066</v>
      </c>
      <c r="X3105">
        <v>11</v>
      </c>
      <c r="Y3105" t="s">
        <v>23936</v>
      </c>
      <c r="Z3105" t="s">
        <v>30815</v>
      </c>
      <c r="AA3105">
        <v>0.6860098418079299</v>
      </c>
      <c r="AB3105" t="str">
        <f>HYPERLINK("Melting_Curves/meltCurve_P62072_TIMM10.pdf", "Melting_Curves/meltCurve_P62072_TIMM10.pdf")</f>
        <v>Melting_Curves/meltCurve_P62072_TIMM10.pdf</v>
      </c>
    </row>
    <row r="3106" spans="1:28" x14ac:dyDescent="0.25">
      <c r="A3106" t="s">
        <v>3110</v>
      </c>
      <c r="B3106">
        <v>0.99999676499088797</v>
      </c>
      <c r="C3106">
        <v>0.81878478470819904</v>
      </c>
      <c r="D3106">
        <v>0.851529580788284</v>
      </c>
      <c r="E3106">
        <v>0.75885232431932004</v>
      </c>
      <c r="F3106">
        <v>0.45052722951736601</v>
      </c>
      <c r="G3106">
        <v>0.26886428992177802</v>
      </c>
      <c r="H3106">
        <v>8.7942311572084306E-2</v>
      </c>
      <c r="I3106">
        <v>6.7256025775800005E-2</v>
      </c>
      <c r="J3106">
        <v>5.9532133449898002E-2</v>
      </c>
      <c r="K3106">
        <v>5.5977698032793601E-2</v>
      </c>
      <c r="L3106">
        <v>708.34978167801501</v>
      </c>
      <c r="M3106">
        <v>13.485713605405</v>
      </c>
      <c r="N3106">
        <v>52.525957587008797</v>
      </c>
      <c r="O3106">
        <v>51.411302009211397</v>
      </c>
      <c r="P3106">
        <v>-6.5587616330855206E-2</v>
      </c>
      <c r="Q3106">
        <v>0</v>
      </c>
      <c r="R3106">
        <v>0.97941905513363603</v>
      </c>
      <c r="S3106" t="s">
        <v>10109</v>
      </c>
      <c r="T3106" t="s">
        <v>14004</v>
      </c>
      <c r="U3106" t="s">
        <v>14004</v>
      </c>
      <c r="V3106" t="s">
        <v>14004</v>
      </c>
      <c r="W3106" t="s">
        <v>17067</v>
      </c>
      <c r="X3106">
        <v>18</v>
      </c>
      <c r="Y3106" t="s">
        <v>23937</v>
      </c>
      <c r="Z3106" t="s">
        <v>30816</v>
      </c>
      <c r="AA3106">
        <v>0.44297883645612568</v>
      </c>
      <c r="AB3106" t="str">
        <f>HYPERLINK("Melting_Curves/meltCurve_P62081_RPS7.pdf", "Melting_Curves/meltCurve_P62081_RPS7.pdf")</f>
        <v>Melting_Curves/meltCurve_P62081_RPS7.pdf</v>
      </c>
    </row>
    <row r="3107" spans="1:28" x14ac:dyDescent="0.25">
      <c r="A3107" t="s">
        <v>3111</v>
      </c>
      <c r="B3107">
        <v>0.99999676499088797</v>
      </c>
      <c r="C3107">
        <v>0.88673664132964003</v>
      </c>
      <c r="D3107">
        <v>0.90656405102759996</v>
      </c>
      <c r="E3107">
        <v>0.939127555699247</v>
      </c>
      <c r="F3107">
        <v>0.67692745399915899</v>
      </c>
      <c r="G3107">
        <v>0.36613814693850699</v>
      </c>
      <c r="H3107">
        <v>0.13797503054945001</v>
      </c>
      <c r="I3107">
        <v>9.8845937920598897E-2</v>
      </c>
      <c r="J3107">
        <v>8.3475967502082402E-2</v>
      </c>
      <c r="K3107">
        <v>7.2791032324310806E-2</v>
      </c>
      <c r="L3107">
        <v>1193.42410957883</v>
      </c>
      <c r="M3107">
        <v>21.771314229819499</v>
      </c>
      <c r="N3107">
        <v>55.134381452102701</v>
      </c>
      <c r="O3107">
        <v>54.360163766204401</v>
      </c>
      <c r="P3107">
        <v>-9.4219338992488494E-2</v>
      </c>
      <c r="Q3107">
        <v>5.9007742607933997E-2</v>
      </c>
      <c r="R3107">
        <v>0.986367330406965</v>
      </c>
      <c r="S3107" t="s">
        <v>10110</v>
      </c>
      <c r="T3107" t="s">
        <v>14004</v>
      </c>
      <c r="U3107" t="s">
        <v>14004</v>
      </c>
      <c r="V3107" t="s">
        <v>14004</v>
      </c>
      <c r="W3107" t="s">
        <v>17068</v>
      </c>
      <c r="X3107">
        <v>21</v>
      </c>
      <c r="Y3107" t="s">
        <v>23938</v>
      </c>
      <c r="Z3107" t="s">
        <v>30817</v>
      </c>
      <c r="AA3107">
        <v>0.53475803842694769</v>
      </c>
      <c r="AB3107" t="str">
        <f>HYPERLINK("Melting_Curves/meltCurve_P62136_PPP1CA.pdf", "Melting_Curves/meltCurve_P62136_PPP1CA.pdf")</f>
        <v>Melting_Curves/meltCurve_P62136_PPP1CA.pdf</v>
      </c>
    </row>
    <row r="3108" spans="1:28" x14ac:dyDescent="0.25">
      <c r="A3108" t="s">
        <v>3112</v>
      </c>
      <c r="B3108">
        <v>0.99999676499088797</v>
      </c>
      <c r="C3108">
        <v>0.98970862933424497</v>
      </c>
      <c r="D3108">
        <v>1.00147978147368</v>
      </c>
      <c r="E3108">
        <v>1.09325140794105</v>
      </c>
      <c r="F3108">
        <v>0.76085015417079105</v>
      </c>
      <c r="G3108">
        <v>0.451790662055575</v>
      </c>
      <c r="H3108">
        <v>0.157318108318833</v>
      </c>
      <c r="I3108">
        <v>0.111686056537731</v>
      </c>
      <c r="J3108">
        <v>8.5584793070285506E-2</v>
      </c>
      <c r="K3108">
        <v>6.7748680954355101E-2</v>
      </c>
      <c r="L3108">
        <v>1529.05147479587</v>
      </c>
      <c r="M3108">
        <v>27.385172287561801</v>
      </c>
      <c r="N3108">
        <v>56.167447862301501</v>
      </c>
      <c r="O3108">
        <v>55.539828271473098</v>
      </c>
      <c r="P3108">
        <v>-0.114046979522283</v>
      </c>
      <c r="Q3108">
        <v>7.4814628924217794E-2</v>
      </c>
      <c r="R3108">
        <v>0.98958532801143395</v>
      </c>
      <c r="S3108" t="s">
        <v>10111</v>
      </c>
      <c r="T3108" t="s">
        <v>14004</v>
      </c>
      <c r="U3108" t="s">
        <v>14004</v>
      </c>
      <c r="V3108" t="s">
        <v>14004</v>
      </c>
      <c r="W3108" t="s">
        <v>17069</v>
      </c>
      <c r="X3108">
        <v>17</v>
      </c>
      <c r="Y3108" t="s">
        <v>23939</v>
      </c>
      <c r="Z3108" t="s">
        <v>30818</v>
      </c>
      <c r="AA3108">
        <v>0.57043036748250675</v>
      </c>
      <c r="AB3108" t="str">
        <f>HYPERLINK("Melting_Curves/meltCurve_P62140_PPP1CB.pdf", "Melting_Curves/meltCurve_P62140_PPP1CB.pdf")</f>
        <v>Melting_Curves/meltCurve_P62140_PPP1CB.pdf</v>
      </c>
    </row>
    <row r="3109" spans="1:28" x14ac:dyDescent="0.25">
      <c r="A3109" t="s">
        <v>3113</v>
      </c>
      <c r="B3109">
        <v>0.99999676499088797</v>
      </c>
      <c r="C3109">
        <v>0.87732809569174697</v>
      </c>
      <c r="D3109">
        <v>0.961765870373815</v>
      </c>
      <c r="E3109">
        <v>1.1230920819610799</v>
      </c>
      <c r="F3109">
        <v>0.80950447869333397</v>
      </c>
      <c r="G3109">
        <v>0.54264512867037895</v>
      </c>
      <c r="H3109">
        <v>0.28753344377370299</v>
      </c>
      <c r="I3109">
        <v>0.222165243546635</v>
      </c>
      <c r="J3109">
        <v>0.200787525411801</v>
      </c>
      <c r="K3109">
        <v>0.21024821030117999</v>
      </c>
      <c r="L3109">
        <v>1578.9364463315201</v>
      </c>
      <c r="M3109">
        <v>28.1631456873349</v>
      </c>
      <c r="N3109">
        <v>57.115453443988599</v>
      </c>
      <c r="O3109">
        <v>55.783527714049598</v>
      </c>
      <c r="P3109">
        <v>-0.100684298856951</v>
      </c>
      <c r="Q3109">
        <v>0.20229369989645199</v>
      </c>
      <c r="R3109">
        <v>0.96816931843156895</v>
      </c>
      <c r="S3109" t="s">
        <v>10112</v>
      </c>
      <c r="T3109" t="s">
        <v>14004</v>
      </c>
      <c r="U3109" t="s">
        <v>14004</v>
      </c>
      <c r="V3109" t="s">
        <v>14004</v>
      </c>
      <c r="W3109" t="s">
        <v>17070</v>
      </c>
      <c r="X3109">
        <v>6</v>
      </c>
      <c r="Y3109" t="s">
        <v>23940</v>
      </c>
      <c r="Z3109" t="s">
        <v>30819</v>
      </c>
      <c r="AA3109">
        <v>0.63539899806794031</v>
      </c>
      <c r="AB3109" t="str">
        <f>HYPERLINK("Melting_Curves/meltCurve_P62166_NCS1.pdf", "Melting_Curves/meltCurve_P62166_NCS1.pdf")</f>
        <v>Melting_Curves/meltCurve_P62166_NCS1.pdf</v>
      </c>
    </row>
    <row r="3110" spans="1:28" x14ac:dyDescent="0.25">
      <c r="A3110" t="s">
        <v>3114</v>
      </c>
      <c r="B3110">
        <v>0.99999676499088797</v>
      </c>
      <c r="C3110">
        <v>0.94179360633697695</v>
      </c>
      <c r="D3110">
        <v>0.93278937872186096</v>
      </c>
      <c r="E3110">
        <v>0.95477022663677003</v>
      </c>
      <c r="F3110">
        <v>0.84489385098866499</v>
      </c>
      <c r="G3110">
        <v>0.47934311865930501</v>
      </c>
      <c r="H3110">
        <v>0.10042551474728401</v>
      </c>
      <c r="I3110">
        <v>0.103450441886637</v>
      </c>
      <c r="J3110">
        <v>0.10189327572368299</v>
      </c>
      <c r="K3110">
        <v>9.6470457249340405E-2</v>
      </c>
      <c r="L3110">
        <v>1774.56840690693</v>
      </c>
      <c r="M3110">
        <v>31.6259776366309</v>
      </c>
      <c r="N3110">
        <v>56.422178855210298</v>
      </c>
      <c r="O3110">
        <v>55.888185943914898</v>
      </c>
      <c r="P3110">
        <v>-0.13015229000897999</v>
      </c>
      <c r="Q3110">
        <v>8.0004794413860797E-2</v>
      </c>
      <c r="R3110">
        <v>0.99163755379660701</v>
      </c>
      <c r="S3110" t="s">
        <v>10113</v>
      </c>
      <c r="T3110" t="s">
        <v>14004</v>
      </c>
      <c r="U3110" t="s">
        <v>14004</v>
      </c>
      <c r="V3110" t="s">
        <v>14004</v>
      </c>
      <c r="W3110" t="s">
        <v>17071</v>
      </c>
      <c r="X3110">
        <v>26</v>
      </c>
      <c r="Y3110" t="s">
        <v>23941</v>
      </c>
      <c r="Z3110" t="s">
        <v>30820</v>
      </c>
      <c r="AA3110">
        <v>0.57964302235771981</v>
      </c>
      <c r="AB3110" t="str">
        <f>HYPERLINK("Melting_Curves/meltCurve_P62191_PSMC1.pdf", "Melting_Curves/meltCurve_P62191_PSMC1.pdf")</f>
        <v>Melting_Curves/meltCurve_P62191_PSMC1.pdf</v>
      </c>
    </row>
    <row r="3111" spans="1:28" x14ac:dyDescent="0.25">
      <c r="A3111" t="s">
        <v>3115</v>
      </c>
      <c r="B3111">
        <v>0.99999676499088797</v>
      </c>
      <c r="C3111">
        <v>1.03511987557111</v>
      </c>
      <c r="D3111">
        <v>1.0217515386656599</v>
      </c>
      <c r="E3111">
        <v>1.14226397583322</v>
      </c>
      <c r="F3111">
        <v>1.1003951021669101</v>
      </c>
      <c r="G3111">
        <v>0.58512387046874403</v>
      </c>
      <c r="H3111">
        <v>0.15481900316348701</v>
      </c>
      <c r="I3111">
        <v>0.132301917844663</v>
      </c>
      <c r="J3111">
        <v>0.13410535703552501</v>
      </c>
      <c r="K3111">
        <v>0.11858487048616</v>
      </c>
      <c r="L3111">
        <v>14204.6375979922</v>
      </c>
      <c r="M3111">
        <v>250</v>
      </c>
      <c r="N3111">
        <v>56.8901461004412</v>
      </c>
      <c r="O3111">
        <v>56.814901997095198</v>
      </c>
      <c r="P3111">
        <v>-0.95160667660304399</v>
      </c>
      <c r="Q3111">
        <v>0.13495277067173</v>
      </c>
      <c r="R3111">
        <v>0.98296773982733598</v>
      </c>
      <c r="S3111" t="s">
        <v>10114</v>
      </c>
      <c r="T3111" t="s">
        <v>14004</v>
      </c>
      <c r="U3111" t="s">
        <v>14004</v>
      </c>
      <c r="V3111" t="s">
        <v>14004</v>
      </c>
      <c r="W3111" t="s">
        <v>17072</v>
      </c>
      <c r="X3111">
        <v>26</v>
      </c>
      <c r="Y3111" t="s">
        <v>23942</v>
      </c>
      <c r="Z3111" t="s">
        <v>30821</v>
      </c>
      <c r="AA3111">
        <v>0.62000037670022434</v>
      </c>
      <c r="AB3111" t="str">
        <f>HYPERLINK("Melting_Curves/meltCurve_P62195_2_PSMC5.pdf", "Melting_Curves/meltCurve_P62195_2_PSMC5.pdf")</f>
        <v>Melting_Curves/meltCurve_P62195_2_PSMC5.pdf</v>
      </c>
    </row>
    <row r="3112" spans="1:28" x14ac:dyDescent="0.25">
      <c r="A3112" t="s">
        <v>3116</v>
      </c>
      <c r="B3112">
        <v>0.99999676499088797</v>
      </c>
      <c r="C3112">
        <v>0.964035435431712</v>
      </c>
      <c r="D3112">
        <v>0.84213560593251702</v>
      </c>
      <c r="E3112">
        <v>0.75318970204991598</v>
      </c>
      <c r="F3112">
        <v>0.67913681410886795</v>
      </c>
      <c r="G3112">
        <v>0.36448070388312398</v>
      </c>
      <c r="H3112">
        <v>0.10331853023879201</v>
      </c>
      <c r="I3112">
        <v>8.6713301929054201E-2</v>
      </c>
      <c r="J3112">
        <v>9.2500982426581002E-2</v>
      </c>
      <c r="K3112">
        <v>9.9711010494537997E-2</v>
      </c>
      <c r="L3112">
        <v>743.47118203429102</v>
      </c>
      <c r="M3112">
        <v>13.6664724840732</v>
      </c>
      <c r="N3112">
        <v>54.420692186990898</v>
      </c>
      <c r="O3112">
        <v>53.275981524391298</v>
      </c>
      <c r="P3112">
        <v>-6.3982513007213804E-2</v>
      </c>
      <c r="Q3112">
        <v>2.4535821238351701E-3</v>
      </c>
      <c r="R3112">
        <v>0.97725109362500495</v>
      </c>
      <c r="S3112" t="s">
        <v>10115</v>
      </c>
      <c r="T3112" t="s">
        <v>14004</v>
      </c>
      <c r="U3112" t="s">
        <v>14004</v>
      </c>
      <c r="V3112" t="s">
        <v>14004</v>
      </c>
      <c r="W3112" t="s">
        <v>17073</v>
      </c>
      <c r="X3112">
        <v>11</v>
      </c>
      <c r="Y3112" t="s">
        <v>23943</v>
      </c>
      <c r="Z3112" t="s">
        <v>30822</v>
      </c>
      <c r="AA3112">
        <v>0.50347993996446994</v>
      </c>
      <c r="AB3112" t="str">
        <f>HYPERLINK("Melting_Curves/meltCurve_P62241_RPS8.pdf", "Melting_Curves/meltCurve_P62241_RPS8.pdf")</f>
        <v>Melting_Curves/meltCurve_P62241_RPS8.pdf</v>
      </c>
    </row>
    <row r="3113" spans="1:28" x14ac:dyDescent="0.25">
      <c r="A3113" t="s">
        <v>3117</v>
      </c>
      <c r="B3113">
        <v>0.99999676499088797</v>
      </c>
      <c r="C3113">
        <v>0.72726751490852604</v>
      </c>
      <c r="D3113">
        <v>0.81066147509117403</v>
      </c>
      <c r="E3113">
        <v>0.59588338730075097</v>
      </c>
      <c r="F3113">
        <v>0.410638389898075</v>
      </c>
      <c r="G3113">
        <v>0.20143374036039099</v>
      </c>
      <c r="H3113">
        <v>5.2783015786348302E-2</v>
      </c>
      <c r="I3113">
        <v>1.1798865091344E-2</v>
      </c>
      <c r="J3113">
        <v>1.3995088061995099E-2</v>
      </c>
      <c r="K3113">
        <v>2.8520493563139401E-2</v>
      </c>
      <c r="L3113">
        <v>625.06792097840798</v>
      </c>
      <c r="M3113">
        <v>12.344894558951699</v>
      </c>
      <c r="N3113">
        <v>50.633718670476199</v>
      </c>
      <c r="O3113">
        <v>49.360078913872997</v>
      </c>
      <c r="P3113">
        <v>-6.2538198041264398E-2</v>
      </c>
      <c r="Q3113">
        <v>0</v>
      </c>
      <c r="R3113">
        <v>0.96424861131097395</v>
      </c>
      <c r="S3113" t="s">
        <v>10116</v>
      </c>
      <c r="T3113" t="s">
        <v>14004</v>
      </c>
      <c r="U3113" t="s">
        <v>14004</v>
      </c>
      <c r="V3113" t="s">
        <v>14004</v>
      </c>
      <c r="W3113" t="s">
        <v>17074</v>
      </c>
      <c r="X3113">
        <v>6</v>
      </c>
      <c r="Y3113" t="s">
        <v>23944</v>
      </c>
      <c r="Z3113" t="s">
        <v>30823</v>
      </c>
      <c r="AA3113">
        <v>0.38641654744259052</v>
      </c>
      <c r="AB3113" t="str">
        <f>HYPERLINK("Melting_Curves/meltCurve_P62244_RPS15A.pdf", "Melting_Curves/meltCurve_P62244_RPS15A.pdf")</f>
        <v>Melting_Curves/meltCurve_P62244_RPS15A.pdf</v>
      </c>
    </row>
    <row r="3114" spans="1:28" x14ac:dyDescent="0.25">
      <c r="A3114" t="s">
        <v>3118</v>
      </c>
      <c r="B3114">
        <v>0.99999676499088797</v>
      </c>
      <c r="C3114">
        <v>0.87408663498916395</v>
      </c>
      <c r="D3114">
        <v>0.86325118914286703</v>
      </c>
      <c r="E3114">
        <v>0.86052245302907104</v>
      </c>
      <c r="F3114">
        <v>0.51814548761509505</v>
      </c>
      <c r="G3114">
        <v>0.28977227144965101</v>
      </c>
      <c r="H3114">
        <v>8.3209362539133705E-2</v>
      </c>
      <c r="I3114">
        <v>9.7447464269486098E-2</v>
      </c>
      <c r="J3114">
        <v>9.0158343812116695E-2</v>
      </c>
      <c r="K3114">
        <v>9.9228163025283103E-2</v>
      </c>
      <c r="L3114">
        <v>989.73567770407601</v>
      </c>
      <c r="M3114">
        <v>18.620699093770401</v>
      </c>
      <c r="N3114">
        <v>53.512527220728401</v>
      </c>
      <c r="O3114">
        <v>52.550793057704198</v>
      </c>
      <c r="P3114">
        <v>-8.3371806261387099E-2</v>
      </c>
      <c r="Q3114">
        <v>5.8882688599162902E-2</v>
      </c>
      <c r="R3114">
        <v>0.97879928602960098</v>
      </c>
      <c r="S3114" t="s">
        <v>10117</v>
      </c>
      <c r="T3114" t="s">
        <v>14004</v>
      </c>
      <c r="U3114" t="s">
        <v>14004</v>
      </c>
      <c r="V3114" t="s">
        <v>14004</v>
      </c>
      <c r="W3114" t="s">
        <v>17075</v>
      </c>
      <c r="X3114">
        <v>13</v>
      </c>
      <c r="Y3114" t="s">
        <v>23945</v>
      </c>
      <c r="Z3114" t="s">
        <v>30824</v>
      </c>
      <c r="AA3114">
        <v>0.4860337984163875</v>
      </c>
      <c r="AB3114" t="str">
        <f>HYPERLINK("Melting_Curves/meltCurve_P62249_RPS16.pdf", "Melting_Curves/meltCurve_P62249_RPS16.pdf")</f>
        <v>Melting_Curves/meltCurve_P62249_RPS16.pdf</v>
      </c>
    </row>
    <row r="3115" spans="1:28" x14ac:dyDescent="0.25">
      <c r="A3115" t="s">
        <v>3119</v>
      </c>
      <c r="B3115">
        <v>0.99999676499088797</v>
      </c>
      <c r="C3115">
        <v>0.99218183805748394</v>
      </c>
      <c r="D3115">
        <v>0.94544668194070403</v>
      </c>
      <c r="E3115">
        <v>0.988964986076312</v>
      </c>
      <c r="F3115">
        <v>0.55219618063814102</v>
      </c>
      <c r="G3115">
        <v>0.34469617242702899</v>
      </c>
      <c r="H3115">
        <v>0.18501117122239599</v>
      </c>
      <c r="I3115">
        <v>0.17218603327770901</v>
      </c>
      <c r="J3115">
        <v>0.15658476865706999</v>
      </c>
      <c r="K3115">
        <v>0.132524672481553</v>
      </c>
      <c r="L3115">
        <v>1489.15856934095</v>
      </c>
      <c r="M3115">
        <v>27.862048969872401</v>
      </c>
      <c r="N3115">
        <v>54.1839913268171</v>
      </c>
      <c r="O3115">
        <v>53.174507517155902</v>
      </c>
      <c r="P3115">
        <v>-0.110347494885741</v>
      </c>
      <c r="Q3115">
        <v>0.157618008449916</v>
      </c>
      <c r="R3115">
        <v>0.98988720976393596</v>
      </c>
      <c r="S3115" t="s">
        <v>10118</v>
      </c>
      <c r="T3115" t="s">
        <v>14004</v>
      </c>
      <c r="U3115" t="s">
        <v>14004</v>
      </c>
      <c r="V3115" t="s">
        <v>14004</v>
      </c>
      <c r="W3115" t="s">
        <v>17076</v>
      </c>
      <c r="X3115">
        <v>3</v>
      </c>
      <c r="Y3115" t="s">
        <v>23946</v>
      </c>
      <c r="Z3115" t="s">
        <v>30825</v>
      </c>
      <c r="AA3115">
        <v>0.54155707194496217</v>
      </c>
      <c r="AB3115" t="str">
        <f>HYPERLINK("Melting_Curves/meltCurve_P62253_UBE2G1.pdf", "Melting_Curves/meltCurve_P62253_UBE2G1.pdf")</f>
        <v>Melting_Curves/meltCurve_P62253_UBE2G1.pdf</v>
      </c>
    </row>
    <row r="3116" spans="1:28" x14ac:dyDescent="0.25">
      <c r="A3116" t="s">
        <v>3120</v>
      </c>
      <c r="B3116">
        <v>0.99999676499088797</v>
      </c>
      <c r="C3116">
        <v>0.94594254369866404</v>
      </c>
      <c r="D3116">
        <v>1.0181571228419799</v>
      </c>
      <c r="E3116">
        <v>1.17439780783929</v>
      </c>
      <c r="F3116">
        <v>1.1482565316339</v>
      </c>
      <c r="G3116">
        <v>0.80473046188725705</v>
      </c>
      <c r="H3116">
        <v>0.262159734125331</v>
      </c>
      <c r="I3116">
        <v>0.14351230155310499</v>
      </c>
      <c r="J3116">
        <v>0.122568611625193</v>
      </c>
      <c r="K3116">
        <v>0.107862134797545</v>
      </c>
      <c r="L3116">
        <v>2713.7195477605701</v>
      </c>
      <c r="M3116">
        <v>46.389171018217802</v>
      </c>
      <c r="N3116">
        <v>58.8502024280833</v>
      </c>
      <c r="O3116">
        <v>58.3905907804157</v>
      </c>
      <c r="P3116">
        <v>-0.17460057861906</v>
      </c>
      <c r="Q3116">
        <v>0.120913923622692</v>
      </c>
      <c r="R3116">
        <v>0.96834772800381796</v>
      </c>
      <c r="S3116" t="s">
        <v>10119</v>
      </c>
      <c r="T3116" t="s">
        <v>14004</v>
      </c>
      <c r="U3116" t="s">
        <v>14004</v>
      </c>
      <c r="V3116" t="s">
        <v>14004</v>
      </c>
      <c r="W3116" t="s">
        <v>17077</v>
      </c>
      <c r="X3116">
        <v>27</v>
      </c>
      <c r="Y3116" t="s">
        <v>23947</v>
      </c>
      <c r="Z3116" t="s">
        <v>30826</v>
      </c>
      <c r="AA3116">
        <v>0.66559768309227352</v>
      </c>
      <c r="AB3116" t="str">
        <f>HYPERLINK("Melting_Curves/meltCurve_P62258_YWHAE.pdf", "Melting_Curves/meltCurve_P62258_YWHAE.pdf")</f>
        <v>Melting_Curves/meltCurve_P62258_YWHAE.pdf</v>
      </c>
    </row>
    <row r="3117" spans="1:28" x14ac:dyDescent="0.25">
      <c r="A3117" t="s">
        <v>3121</v>
      </c>
      <c r="B3117">
        <v>0.99999676499088797</v>
      </c>
      <c r="C3117">
        <v>0.99354557942724198</v>
      </c>
      <c r="D3117">
        <v>0.97824195287751703</v>
      </c>
      <c r="E3117">
        <v>0.80773731712598895</v>
      </c>
      <c r="F3117">
        <v>0.492624890844307</v>
      </c>
      <c r="G3117">
        <v>0.36591965765213502</v>
      </c>
      <c r="H3117">
        <v>0.15915157368097499</v>
      </c>
      <c r="I3117">
        <v>0.143762857421775</v>
      </c>
      <c r="J3117">
        <v>0.15726734561668801</v>
      </c>
      <c r="K3117">
        <v>0.141859088100033</v>
      </c>
      <c r="L3117">
        <v>1017.40277706582</v>
      </c>
      <c r="M3117">
        <v>19.2849817509228</v>
      </c>
      <c r="N3117">
        <v>53.596812021621297</v>
      </c>
      <c r="O3117">
        <v>52.198779858716001</v>
      </c>
      <c r="P3117">
        <v>-8.0312923034807499E-2</v>
      </c>
      <c r="Q3117">
        <v>0.130498733219957</v>
      </c>
      <c r="R3117">
        <v>0.99445111708010103</v>
      </c>
      <c r="S3117" t="s">
        <v>10120</v>
      </c>
      <c r="T3117" t="s">
        <v>14004</v>
      </c>
      <c r="U3117" t="s">
        <v>14004</v>
      </c>
      <c r="V3117" t="s">
        <v>14004</v>
      </c>
      <c r="W3117" t="s">
        <v>17078</v>
      </c>
      <c r="X3117">
        <v>9</v>
      </c>
      <c r="Y3117" t="s">
        <v>23948</v>
      </c>
      <c r="Z3117" t="s">
        <v>30827</v>
      </c>
      <c r="AA3117">
        <v>0.51296959584831059</v>
      </c>
      <c r="AB3117" t="str">
        <f>HYPERLINK("Melting_Curves/meltCurve_P62263_RPS14.pdf", "Melting_Curves/meltCurve_P62263_RPS14.pdf")</f>
        <v>Melting_Curves/meltCurve_P62263_RPS14.pdf</v>
      </c>
    </row>
    <row r="3118" spans="1:28" x14ac:dyDescent="0.25">
      <c r="A3118" t="s">
        <v>3122</v>
      </c>
      <c r="B3118">
        <v>0.99999676499088797</v>
      </c>
      <c r="C3118">
        <v>1.03858322580291</v>
      </c>
      <c r="D3118">
        <v>0.90135328472194998</v>
      </c>
      <c r="E3118">
        <v>0.75013538878969099</v>
      </c>
      <c r="F3118">
        <v>0.61393573054740203</v>
      </c>
      <c r="G3118">
        <v>0.424568243466801</v>
      </c>
      <c r="H3118">
        <v>0.13216769668429099</v>
      </c>
      <c r="I3118">
        <v>0.113935781947229</v>
      </c>
      <c r="J3118">
        <v>0.10987963242113</v>
      </c>
      <c r="K3118">
        <v>7.2841752525091702E-2</v>
      </c>
      <c r="L3118">
        <v>741.94201282556901</v>
      </c>
      <c r="M3118">
        <v>13.6146597856082</v>
      </c>
      <c r="N3118">
        <v>54.597750686570102</v>
      </c>
      <c r="O3118">
        <v>53.360430885700502</v>
      </c>
      <c r="P3118">
        <v>-6.2995149515279306E-2</v>
      </c>
      <c r="Q3118">
        <v>1.25490215334252E-2</v>
      </c>
      <c r="R3118">
        <v>0.98815039475845301</v>
      </c>
      <c r="S3118" t="s">
        <v>10121</v>
      </c>
      <c r="T3118" t="s">
        <v>14004</v>
      </c>
      <c r="U3118" t="s">
        <v>14004</v>
      </c>
      <c r="V3118" t="s">
        <v>14004</v>
      </c>
      <c r="W3118" t="s">
        <v>17079</v>
      </c>
      <c r="X3118">
        <v>7</v>
      </c>
      <c r="Y3118" t="s">
        <v>23949</v>
      </c>
      <c r="Z3118" t="s">
        <v>30828</v>
      </c>
      <c r="AA3118">
        <v>0.51154421166658659</v>
      </c>
      <c r="AB3118" t="str">
        <f>HYPERLINK("Melting_Curves/meltCurve_P62266_RPS23.pdf", "Melting_Curves/meltCurve_P62266_RPS23.pdf")</f>
        <v>Melting_Curves/meltCurve_P62266_RPS23.pdf</v>
      </c>
    </row>
    <row r="3119" spans="1:28" x14ac:dyDescent="0.25">
      <c r="A3119" t="s">
        <v>3123</v>
      </c>
      <c r="B3119">
        <v>0.99999676499088797</v>
      </c>
      <c r="C3119">
        <v>1.06531346206419</v>
      </c>
      <c r="D3119">
        <v>0.93258575569958302</v>
      </c>
      <c r="E3119">
        <v>0.74042792340484997</v>
      </c>
      <c r="F3119">
        <v>0.45677826628485502</v>
      </c>
      <c r="G3119">
        <v>0.26584230866853797</v>
      </c>
      <c r="H3119">
        <v>9.7509039115528898E-2</v>
      </c>
      <c r="I3119">
        <v>8.3752180343203197E-2</v>
      </c>
      <c r="J3119">
        <v>8.3473511915834103E-2</v>
      </c>
      <c r="K3119">
        <v>8.1596612797216098E-2</v>
      </c>
      <c r="L3119">
        <v>989.79705920982201</v>
      </c>
      <c r="M3119">
        <v>18.915370296184999</v>
      </c>
      <c r="N3119">
        <v>52.7069650326169</v>
      </c>
      <c r="O3119">
        <v>51.753303379602997</v>
      </c>
      <c r="P3119">
        <v>-8.5561890745253597E-2</v>
      </c>
      <c r="Q3119">
        <v>6.3632908596089999E-2</v>
      </c>
      <c r="R3119">
        <v>0.99449486004887899</v>
      </c>
      <c r="S3119" t="s">
        <v>10122</v>
      </c>
      <c r="T3119" t="s">
        <v>14004</v>
      </c>
      <c r="U3119" t="s">
        <v>14004</v>
      </c>
      <c r="V3119" t="s">
        <v>14004</v>
      </c>
      <c r="W3119" t="s">
        <v>17080</v>
      </c>
      <c r="X3119">
        <v>14</v>
      </c>
      <c r="Y3119" t="s">
        <v>23950</v>
      </c>
      <c r="Z3119" t="s">
        <v>30829</v>
      </c>
      <c r="AA3119">
        <v>0.4626642857164428</v>
      </c>
      <c r="AB3119" t="str">
        <f>HYPERLINK("Melting_Curves/meltCurve_P62269_RPS18.pdf", "Melting_Curves/meltCurve_P62269_RPS18.pdf")</f>
        <v>Melting_Curves/meltCurve_P62269_RPS18.pdf</v>
      </c>
    </row>
    <row r="3120" spans="1:28" x14ac:dyDescent="0.25">
      <c r="A3120" t="s">
        <v>3124</v>
      </c>
      <c r="B3120">
        <v>0.99999676499088797</v>
      </c>
      <c r="C3120">
        <v>0.97499506239178702</v>
      </c>
      <c r="D3120">
        <v>0.740861290801339</v>
      </c>
      <c r="E3120">
        <v>0.56924172599890599</v>
      </c>
      <c r="F3120">
        <v>0.340105040887485</v>
      </c>
      <c r="G3120">
        <v>0.25355196434166899</v>
      </c>
      <c r="H3120">
        <v>0.12895535971709701</v>
      </c>
      <c r="I3120">
        <v>0.20194132072110399</v>
      </c>
      <c r="J3120">
        <v>0.21835989103047601</v>
      </c>
      <c r="K3120">
        <v>0.20168567050078001</v>
      </c>
      <c r="L3120">
        <v>853.05390475055594</v>
      </c>
      <c r="M3120">
        <v>17.453145410132301</v>
      </c>
      <c r="N3120">
        <v>50.1555116666201</v>
      </c>
      <c r="O3120">
        <v>48.248676609765901</v>
      </c>
      <c r="P3120">
        <v>-7.4197678601081299E-2</v>
      </c>
      <c r="Q3120">
        <v>0.179576987530638</v>
      </c>
      <c r="R3120">
        <v>0.98697498983076204</v>
      </c>
      <c r="S3120" t="s">
        <v>10123</v>
      </c>
      <c r="T3120" t="s">
        <v>14004</v>
      </c>
      <c r="U3120" t="s">
        <v>14004</v>
      </c>
      <c r="V3120" t="s">
        <v>14004</v>
      </c>
      <c r="W3120" t="s">
        <v>17081</v>
      </c>
      <c r="X3120">
        <v>4</v>
      </c>
      <c r="Y3120" t="s">
        <v>23951</v>
      </c>
      <c r="Z3120" t="s">
        <v>30830</v>
      </c>
      <c r="AA3120">
        <v>0.4374849377342841</v>
      </c>
      <c r="AB3120" t="str">
        <f>HYPERLINK("Melting_Curves/meltCurve_P62273_RPS29.pdf", "Melting_Curves/meltCurve_P62273_RPS29.pdf")</f>
        <v>Melting_Curves/meltCurve_P62273_RPS29.pdf</v>
      </c>
    </row>
    <row r="3121" spans="1:28" x14ac:dyDescent="0.25">
      <c r="A3121" t="s">
        <v>3125</v>
      </c>
      <c r="B3121">
        <v>0.99999676499088797</v>
      </c>
      <c r="C3121">
        <v>0.97359107915193499</v>
      </c>
      <c r="D3121">
        <v>1.0767150278366999</v>
      </c>
      <c r="E3121">
        <v>0.96316652159071503</v>
      </c>
      <c r="F3121">
        <v>0.70209560377466496</v>
      </c>
      <c r="G3121">
        <v>0.65235712126672296</v>
      </c>
      <c r="H3121">
        <v>0.27393208562243099</v>
      </c>
      <c r="I3121">
        <v>0.22195257966757501</v>
      </c>
      <c r="J3121">
        <v>0.168934632393617</v>
      </c>
      <c r="K3121">
        <v>0.14913090360768999</v>
      </c>
      <c r="L3121">
        <v>987.68214071281295</v>
      </c>
      <c r="M3121">
        <v>17.349105585204502</v>
      </c>
      <c r="N3121">
        <v>57.717724185621798</v>
      </c>
      <c r="O3121">
        <v>56.189618598971002</v>
      </c>
      <c r="P3121">
        <v>-6.9055376550778105E-2</v>
      </c>
      <c r="Q3121">
        <v>0.105435123978794</v>
      </c>
      <c r="R3121">
        <v>0.97736923890156202</v>
      </c>
      <c r="S3121" t="s">
        <v>10124</v>
      </c>
      <c r="T3121" t="s">
        <v>14004</v>
      </c>
      <c r="U3121" t="s">
        <v>14004</v>
      </c>
      <c r="V3121" t="s">
        <v>14004</v>
      </c>
      <c r="W3121" t="s">
        <v>17082</v>
      </c>
      <c r="X3121">
        <v>5</v>
      </c>
      <c r="Y3121" t="s">
        <v>23952</v>
      </c>
      <c r="Z3121" t="s">
        <v>30831</v>
      </c>
      <c r="AA3121">
        <v>0.62305476992622022</v>
      </c>
      <c r="AB3121" t="str">
        <f>HYPERLINK("Melting_Curves/meltCurve_P62277_RPS13.pdf", "Melting_Curves/meltCurve_P62277_RPS13.pdf")</f>
        <v>Melting_Curves/meltCurve_P62277_RPS13.pdf</v>
      </c>
    </row>
    <row r="3122" spans="1:28" x14ac:dyDescent="0.25">
      <c r="A3122" t="s">
        <v>3126</v>
      </c>
      <c r="B3122">
        <v>0.99999676499088797</v>
      </c>
      <c r="C3122">
        <v>1.0174309789637399</v>
      </c>
      <c r="D3122">
        <v>0.91946045073369698</v>
      </c>
      <c r="E3122">
        <v>0.71921467771534398</v>
      </c>
      <c r="F3122">
        <v>0.43782193895753702</v>
      </c>
      <c r="G3122">
        <v>0.30705646436523498</v>
      </c>
      <c r="H3122">
        <v>8.8063937399298894E-2</v>
      </c>
      <c r="I3122">
        <v>6.3960325616103E-2</v>
      </c>
      <c r="J3122">
        <v>4.9346167175965197E-2</v>
      </c>
      <c r="K3122">
        <v>6.4181196333346804E-2</v>
      </c>
      <c r="L3122">
        <v>854.49100466153197</v>
      </c>
      <c r="M3122">
        <v>16.271019476388101</v>
      </c>
      <c r="N3122">
        <v>52.700524949318499</v>
      </c>
      <c r="O3122">
        <v>51.742093660703397</v>
      </c>
      <c r="P3122">
        <v>-7.6446436468963805E-2</v>
      </c>
      <c r="Q3122">
        <v>2.7667995277356999E-2</v>
      </c>
      <c r="R3122">
        <v>0.99477658757859899</v>
      </c>
      <c r="S3122" t="s">
        <v>10125</v>
      </c>
      <c r="T3122" t="s">
        <v>14004</v>
      </c>
      <c r="U3122" t="s">
        <v>14004</v>
      </c>
      <c r="V3122" t="s">
        <v>14004</v>
      </c>
      <c r="W3122" t="s">
        <v>17083</v>
      </c>
      <c r="X3122">
        <v>13</v>
      </c>
      <c r="Y3122" t="s">
        <v>23953</v>
      </c>
      <c r="Z3122" t="s">
        <v>30832</v>
      </c>
      <c r="AA3122">
        <v>0.45220498086584121</v>
      </c>
      <c r="AB3122" t="str">
        <f>HYPERLINK("Melting_Curves/meltCurve_P62280_RPS11.pdf", "Melting_Curves/meltCurve_P62280_RPS11.pdf")</f>
        <v>Melting_Curves/meltCurve_P62280_RPS11.pdf</v>
      </c>
    </row>
    <row r="3123" spans="1:28" x14ac:dyDescent="0.25">
      <c r="A3123" t="s">
        <v>3127</v>
      </c>
      <c r="B3123">
        <v>0.99999676499088797</v>
      </c>
      <c r="C3123">
        <v>1.0372697454884101</v>
      </c>
      <c r="D3123">
        <v>1.03345420683733</v>
      </c>
      <c r="E3123">
        <v>1.0180606146421001</v>
      </c>
      <c r="F3123">
        <v>0.96614168420566704</v>
      </c>
      <c r="G3123">
        <v>0.82770838080450104</v>
      </c>
      <c r="H3123">
        <v>0.53220167346538105</v>
      </c>
      <c r="I3123">
        <v>0.41752829178571399</v>
      </c>
      <c r="J3123">
        <v>0.33615650833985</v>
      </c>
      <c r="K3123">
        <v>0.19783100541045301</v>
      </c>
      <c r="L3123">
        <v>1189.09725801579</v>
      </c>
      <c r="M3123">
        <v>19.675219501177299</v>
      </c>
      <c r="N3123">
        <v>61.940825983070603</v>
      </c>
      <c r="O3123">
        <v>59.822354734468703</v>
      </c>
      <c r="P3123">
        <v>-6.6606447223432994E-2</v>
      </c>
      <c r="Q3123">
        <v>0.189962552551137</v>
      </c>
      <c r="R3123">
        <v>0.98984190780029302</v>
      </c>
      <c r="S3123" t="s">
        <v>10126</v>
      </c>
      <c r="T3123" t="s">
        <v>14004</v>
      </c>
      <c r="U3123" t="s">
        <v>14004</v>
      </c>
      <c r="V3123" t="s">
        <v>14004</v>
      </c>
      <c r="W3123" t="s">
        <v>17084</v>
      </c>
      <c r="X3123">
        <v>5</v>
      </c>
      <c r="Y3123" t="s">
        <v>23954</v>
      </c>
      <c r="Z3123" t="s">
        <v>30833</v>
      </c>
      <c r="AA3123">
        <v>0.74777240551899149</v>
      </c>
      <c r="AB3123" t="str">
        <f>HYPERLINK("Melting_Curves/meltCurve_P62304_SNRPE.pdf", "Melting_Curves/meltCurve_P62304_SNRPE.pdf")</f>
        <v>Melting_Curves/meltCurve_P62304_SNRPE.pdf</v>
      </c>
    </row>
    <row r="3124" spans="1:28" x14ac:dyDescent="0.25">
      <c r="A3124" t="s">
        <v>3128</v>
      </c>
      <c r="B3124">
        <v>0.99999676499088797</v>
      </c>
      <c r="C3124">
        <v>1.02895227662202</v>
      </c>
      <c r="D3124">
        <v>0.98994857496098698</v>
      </c>
      <c r="E3124">
        <v>0.98923604218660099</v>
      </c>
      <c r="F3124">
        <v>1.09810591360445</v>
      </c>
      <c r="G3124">
        <v>0.78416993590992801</v>
      </c>
      <c r="H3124">
        <v>0.58806784395366296</v>
      </c>
      <c r="I3124">
        <v>0.54695611437805702</v>
      </c>
      <c r="J3124">
        <v>0.51826081802456303</v>
      </c>
      <c r="K3124">
        <v>0.37200986827474603</v>
      </c>
      <c r="L3124">
        <v>1716.8496266043701</v>
      </c>
      <c r="M3124">
        <v>29.408663586768299</v>
      </c>
      <c r="N3124">
        <v>63.723690413719901</v>
      </c>
      <c r="O3124">
        <v>58.111104613060398</v>
      </c>
      <c r="P3124">
        <v>-6.8629238654300997E-2</v>
      </c>
      <c r="Q3124">
        <v>0.457562199056889</v>
      </c>
      <c r="R3124">
        <v>0.94749076487279804</v>
      </c>
      <c r="S3124" t="s">
        <v>10127</v>
      </c>
      <c r="T3124" t="s">
        <v>14004</v>
      </c>
      <c r="U3124" t="s">
        <v>14004</v>
      </c>
      <c r="V3124" t="s">
        <v>14004</v>
      </c>
      <c r="W3124" t="s">
        <v>17085</v>
      </c>
      <c r="X3124">
        <v>3</v>
      </c>
      <c r="Y3124" t="s">
        <v>23955</v>
      </c>
      <c r="Z3124" t="s">
        <v>30834</v>
      </c>
      <c r="AA3124">
        <v>0.79353412619301644</v>
      </c>
      <c r="AB3124" t="str">
        <f>HYPERLINK("Melting_Curves/meltCurve_P62306_SNRPF.pdf", "Melting_Curves/meltCurve_P62306_SNRPF.pdf")</f>
        <v>Melting_Curves/meltCurve_P62306_SNRPF.pdf</v>
      </c>
    </row>
    <row r="3125" spans="1:28" x14ac:dyDescent="0.25">
      <c r="A3125" t="s">
        <v>3129</v>
      </c>
      <c r="B3125">
        <v>0.99999676499088797</v>
      </c>
      <c r="C3125">
        <v>1.00618956601807</v>
      </c>
      <c r="D3125">
        <v>0.88761493515387302</v>
      </c>
      <c r="E3125">
        <v>0.860870260237805</v>
      </c>
      <c r="F3125">
        <v>0.98981939958746201</v>
      </c>
      <c r="G3125">
        <v>0.72426047659761705</v>
      </c>
      <c r="H3125">
        <v>0.48466447103357702</v>
      </c>
      <c r="I3125">
        <v>0.46430641737415701</v>
      </c>
      <c r="J3125">
        <v>0.37102057920557702</v>
      </c>
      <c r="K3125">
        <v>0.28148491425350503</v>
      </c>
      <c r="L3125">
        <v>864.07678919570697</v>
      </c>
      <c r="M3125">
        <v>14.571402618149801</v>
      </c>
      <c r="N3125">
        <v>61.8928073453894</v>
      </c>
      <c r="O3125">
        <v>58.216206246736498</v>
      </c>
      <c r="P3125">
        <v>-4.8283438589022898E-2</v>
      </c>
      <c r="Q3125">
        <v>0.228472203125721</v>
      </c>
      <c r="R3125">
        <v>0.94600753398684601</v>
      </c>
      <c r="S3125" t="s">
        <v>10128</v>
      </c>
      <c r="T3125" t="s">
        <v>14004</v>
      </c>
      <c r="U3125" t="s">
        <v>14004</v>
      </c>
      <c r="V3125" t="s">
        <v>14004</v>
      </c>
      <c r="W3125" t="s">
        <v>17086</v>
      </c>
      <c r="X3125">
        <v>5</v>
      </c>
      <c r="Y3125" t="s">
        <v>23956</v>
      </c>
      <c r="Z3125" t="s">
        <v>30835</v>
      </c>
      <c r="AA3125">
        <v>0.73194069666262607</v>
      </c>
      <c r="AB3125" t="str">
        <f>HYPERLINK("Melting_Curves/meltCurve_P62308_SNRPG.pdf", "Melting_Curves/meltCurve_P62308_SNRPG.pdf")</f>
        <v>Melting_Curves/meltCurve_P62308_SNRPG.pdf</v>
      </c>
    </row>
    <row r="3126" spans="1:28" x14ac:dyDescent="0.25">
      <c r="A3126" t="s">
        <v>3130</v>
      </c>
      <c r="B3126">
        <v>0.99999676499088797</v>
      </c>
      <c r="C3126">
        <v>0.83622168451401702</v>
      </c>
      <c r="D3126">
        <v>0.81698771599545095</v>
      </c>
      <c r="E3126">
        <v>0.53547602500799296</v>
      </c>
      <c r="F3126">
        <v>0.56784107722079702</v>
      </c>
      <c r="G3126">
        <v>0.399596093738814</v>
      </c>
      <c r="H3126">
        <v>0.28576988222132899</v>
      </c>
      <c r="I3126">
        <v>0.25290217933506398</v>
      </c>
      <c r="J3126">
        <v>0.259390897647023</v>
      </c>
      <c r="K3126">
        <v>0.24674601962846701</v>
      </c>
      <c r="L3126">
        <v>503.21188426418001</v>
      </c>
      <c r="M3126">
        <v>9.9866744127929703</v>
      </c>
      <c r="N3126">
        <v>52.9044264888648</v>
      </c>
      <c r="O3126">
        <v>48.492892953356801</v>
      </c>
      <c r="P3126">
        <v>-4.1772669547647398E-2</v>
      </c>
      <c r="Q3126">
        <v>0.1890442519519</v>
      </c>
      <c r="R3126">
        <v>0.96757026503430299</v>
      </c>
      <c r="S3126" t="s">
        <v>10129</v>
      </c>
      <c r="T3126" t="s">
        <v>14004</v>
      </c>
      <c r="U3126" t="s">
        <v>14004</v>
      </c>
      <c r="V3126" t="s">
        <v>14004</v>
      </c>
      <c r="W3126" t="s">
        <v>17087</v>
      </c>
      <c r="X3126">
        <v>5</v>
      </c>
      <c r="Y3126" t="s">
        <v>23957</v>
      </c>
      <c r="Z3126" t="s">
        <v>30836</v>
      </c>
      <c r="AA3126">
        <v>0.50543853429608887</v>
      </c>
      <c r="AB3126" t="str">
        <f>HYPERLINK("Melting_Curves/meltCurve_P62310_LSM3.pdf", "Melting_Curves/meltCurve_P62310_LSM3.pdf")</f>
        <v>Melting_Curves/meltCurve_P62310_LSM3.pdf</v>
      </c>
    </row>
    <row r="3127" spans="1:28" x14ac:dyDescent="0.25">
      <c r="A3127" t="s">
        <v>3131</v>
      </c>
      <c r="B3127">
        <v>0.99999676499088797</v>
      </c>
      <c r="C3127">
        <v>0.89550306949627101</v>
      </c>
      <c r="D3127">
        <v>0.91186192773295605</v>
      </c>
      <c r="E3127">
        <v>0.79441144512445805</v>
      </c>
      <c r="F3127">
        <v>0.78355627413856399</v>
      </c>
      <c r="G3127">
        <v>0.61600993223621503</v>
      </c>
      <c r="H3127">
        <v>0.43282717638359902</v>
      </c>
      <c r="I3127">
        <v>0.45244251012730902</v>
      </c>
      <c r="J3127">
        <v>0.43215853572117502</v>
      </c>
      <c r="K3127">
        <v>0.40245332370152498</v>
      </c>
      <c r="L3127">
        <v>515.76022884697898</v>
      </c>
      <c r="M3127">
        <v>9.3352229221839202</v>
      </c>
      <c r="N3127">
        <v>61.294129585664599</v>
      </c>
      <c r="O3127">
        <v>52.891316806114801</v>
      </c>
      <c r="P3127">
        <v>-3.0867797115847501E-2</v>
      </c>
      <c r="Q3127">
        <v>0.30088167931941601</v>
      </c>
      <c r="R3127">
        <v>0.96605858833699199</v>
      </c>
      <c r="S3127" t="s">
        <v>10130</v>
      </c>
      <c r="T3127" t="s">
        <v>14004</v>
      </c>
      <c r="U3127" t="s">
        <v>14004</v>
      </c>
      <c r="V3127" t="s">
        <v>14004</v>
      </c>
      <c r="W3127" t="s">
        <v>17088</v>
      </c>
      <c r="X3127">
        <v>8</v>
      </c>
      <c r="Y3127" t="s">
        <v>23958</v>
      </c>
      <c r="Z3127" t="s">
        <v>30837</v>
      </c>
      <c r="AA3127">
        <v>0.67382054333144192</v>
      </c>
      <c r="AB3127" t="str">
        <f>HYPERLINK("Melting_Curves/meltCurve_P62312_LSM6.pdf", "Melting_Curves/meltCurve_P62312_LSM6.pdf")</f>
        <v>Melting_Curves/meltCurve_P62312_LSM6.pdf</v>
      </c>
    </row>
    <row r="3128" spans="1:28" x14ac:dyDescent="0.25">
      <c r="A3128" t="s">
        <v>3132</v>
      </c>
      <c r="B3128">
        <v>0.99999676499088797</v>
      </c>
      <c r="C3128">
        <v>1.11784110961484</v>
      </c>
      <c r="D3128">
        <v>1.0287878457750099</v>
      </c>
      <c r="E3128">
        <v>1.0248245353094001</v>
      </c>
      <c r="F3128">
        <v>0.89218960560368399</v>
      </c>
      <c r="G3128">
        <v>0.79025852495270399</v>
      </c>
      <c r="H3128">
        <v>0.451863954351306</v>
      </c>
      <c r="I3128">
        <v>0.41013677363893603</v>
      </c>
      <c r="J3128">
        <v>0.37668804579179099</v>
      </c>
      <c r="K3128">
        <v>0.29323561799104902</v>
      </c>
      <c r="L3128">
        <v>1428.7037635056899</v>
      </c>
      <c r="M3128">
        <v>24.570739612028301</v>
      </c>
      <c r="N3128">
        <v>60.646490512345103</v>
      </c>
      <c r="O3128">
        <v>57.765498227560798</v>
      </c>
      <c r="P3128">
        <v>-7.2480475672601102E-2</v>
      </c>
      <c r="Q3128">
        <v>0.31840709748484902</v>
      </c>
      <c r="R3128">
        <v>0.97410773500694403</v>
      </c>
      <c r="S3128" t="s">
        <v>10131</v>
      </c>
      <c r="T3128" t="s">
        <v>14004</v>
      </c>
      <c r="U3128" t="s">
        <v>14004</v>
      </c>
      <c r="V3128" t="s">
        <v>14004</v>
      </c>
      <c r="W3128" t="s">
        <v>17089</v>
      </c>
      <c r="X3128">
        <v>4</v>
      </c>
      <c r="Y3128" t="s">
        <v>23959</v>
      </c>
      <c r="Z3128" t="s">
        <v>30838</v>
      </c>
      <c r="AA3128">
        <v>0.73671927640304447</v>
      </c>
      <c r="AB3128" t="str">
        <f>HYPERLINK("Melting_Curves/meltCurve_P62314_SNRPD1.pdf", "Melting_Curves/meltCurve_P62314_SNRPD1.pdf")</f>
        <v>Melting_Curves/meltCurve_P62314_SNRPD1.pdf</v>
      </c>
    </row>
    <row r="3129" spans="1:28" x14ac:dyDescent="0.25">
      <c r="A3129" t="s">
        <v>3133</v>
      </c>
      <c r="B3129">
        <v>0.99999676499088797</v>
      </c>
      <c r="C3129">
        <v>0.91389496227670897</v>
      </c>
      <c r="D3129">
        <v>0.94790742370140102</v>
      </c>
      <c r="E3129">
        <v>0.992274403862067</v>
      </c>
      <c r="F3129">
        <v>0.89069219605993399</v>
      </c>
      <c r="G3129">
        <v>0.74300425836894002</v>
      </c>
      <c r="H3129">
        <v>0.46576722401991</v>
      </c>
      <c r="I3129">
        <v>0.38962336328327102</v>
      </c>
      <c r="J3129">
        <v>0.298659421306048</v>
      </c>
      <c r="K3129">
        <v>0.28960387766399498</v>
      </c>
      <c r="L3129">
        <v>1148.98901014487</v>
      </c>
      <c r="M3129">
        <v>19.699029120697901</v>
      </c>
      <c r="N3129">
        <v>60.5655453081174</v>
      </c>
      <c r="O3129">
        <v>57.736091282338499</v>
      </c>
      <c r="P3129">
        <v>-6.3244534396217605E-2</v>
      </c>
      <c r="Q3129">
        <v>0.25856939253596001</v>
      </c>
      <c r="R3129">
        <v>0.98570407717825903</v>
      </c>
      <c r="S3129" t="s">
        <v>10132</v>
      </c>
      <c r="T3129" t="s">
        <v>14004</v>
      </c>
      <c r="U3129" t="s">
        <v>14004</v>
      </c>
      <c r="V3129" t="s">
        <v>14004</v>
      </c>
      <c r="W3129" t="s">
        <v>17090</v>
      </c>
      <c r="X3129">
        <v>17</v>
      </c>
      <c r="Y3129" t="s">
        <v>23960</v>
      </c>
      <c r="Z3129" t="s">
        <v>30839</v>
      </c>
      <c r="AA3129">
        <v>0.71974530557459737</v>
      </c>
      <c r="AB3129" t="str">
        <f>HYPERLINK("Melting_Curves/meltCurve_P62316_SNRPD2.pdf", "Melting_Curves/meltCurve_P62316_SNRPD2.pdf")</f>
        <v>Melting_Curves/meltCurve_P62316_SNRPD2.pdf</v>
      </c>
    </row>
    <row r="3130" spans="1:28" x14ac:dyDescent="0.25">
      <c r="A3130" t="s">
        <v>3134</v>
      </c>
      <c r="B3130">
        <v>0.99999676499088797</v>
      </c>
      <c r="C3130">
        <v>0.74542299492589204</v>
      </c>
      <c r="D3130">
        <v>0.93221283141942102</v>
      </c>
      <c r="E3130">
        <v>1.0164197640833501</v>
      </c>
      <c r="F3130">
        <v>1.17753203800676</v>
      </c>
      <c r="G3130">
        <v>0.88242065249308799</v>
      </c>
      <c r="H3130">
        <v>0.84992084061569395</v>
      </c>
      <c r="I3130">
        <v>0.59800234360988402</v>
      </c>
      <c r="J3130">
        <v>0.48744391176781099</v>
      </c>
      <c r="K3130">
        <v>0.81505897516454695</v>
      </c>
      <c r="L3130">
        <v>15000</v>
      </c>
      <c r="M3130">
        <v>246.344480370713</v>
      </c>
      <c r="O3130">
        <v>60.886343761637498</v>
      </c>
      <c r="P3130">
        <v>-0.37071113877355999</v>
      </c>
      <c r="Q3130">
        <v>0.63350117199300504</v>
      </c>
      <c r="R3130">
        <v>0.54194683718038195</v>
      </c>
      <c r="S3130" t="s">
        <v>10133</v>
      </c>
      <c r="T3130" t="s">
        <v>14004</v>
      </c>
      <c r="U3130" t="s">
        <v>14004</v>
      </c>
      <c r="V3130" t="s">
        <v>14004</v>
      </c>
      <c r="W3130" t="s">
        <v>17091</v>
      </c>
      <c r="X3130">
        <v>9</v>
      </c>
      <c r="Y3130" t="s">
        <v>23961</v>
      </c>
      <c r="Z3130" t="s">
        <v>30840</v>
      </c>
      <c r="AA3130">
        <v>0.88875105340700988</v>
      </c>
      <c r="AB3130" t="str">
        <f>HYPERLINK("Melting_Curves/meltCurve_P62328_TMSB4X.pdf", "Melting_Curves/meltCurve_P62328_TMSB4X.pdf")</f>
        <v>Melting_Curves/meltCurve_P62328_TMSB4X.pdf</v>
      </c>
    </row>
    <row r="3131" spans="1:28" x14ac:dyDescent="0.25">
      <c r="A3131" t="s">
        <v>3135</v>
      </c>
      <c r="B3131">
        <v>0.99999676499088797</v>
      </c>
      <c r="C3131">
        <v>0.98350877252382396</v>
      </c>
      <c r="D3131">
        <v>0.98971097123421203</v>
      </c>
      <c r="E3131">
        <v>0.94990569276406001</v>
      </c>
      <c r="F3131">
        <v>0.69128565529583097</v>
      </c>
      <c r="G3131">
        <v>0.40944178006849202</v>
      </c>
      <c r="H3131">
        <v>0.138657898767378</v>
      </c>
      <c r="I3131">
        <v>7.5610870612745504E-2</v>
      </c>
      <c r="J3131">
        <v>6.1060711781795701E-2</v>
      </c>
      <c r="K3131">
        <v>5.5690297924231698E-2</v>
      </c>
      <c r="L3131">
        <v>1207.6748465025501</v>
      </c>
      <c r="M3131">
        <v>21.829939557471199</v>
      </c>
      <c r="N3131">
        <v>55.516451905541103</v>
      </c>
      <c r="O3131">
        <v>54.863989543980502</v>
      </c>
      <c r="P3131">
        <v>-9.5813089192170103E-2</v>
      </c>
      <c r="Q3131">
        <v>3.6815097709700199E-2</v>
      </c>
      <c r="R3131">
        <v>0.998602186445255</v>
      </c>
      <c r="S3131" t="s">
        <v>10134</v>
      </c>
      <c r="T3131" t="s">
        <v>14004</v>
      </c>
      <c r="U3131" t="s">
        <v>14004</v>
      </c>
      <c r="V3131" t="s">
        <v>14004</v>
      </c>
      <c r="W3131" t="s">
        <v>17092</v>
      </c>
      <c r="X3131">
        <v>7</v>
      </c>
      <c r="Y3131" t="s">
        <v>23962</v>
      </c>
      <c r="Z3131" t="s">
        <v>30841</v>
      </c>
      <c r="AA3131">
        <v>0.53987428660721803</v>
      </c>
      <c r="AB3131" t="str">
        <f>HYPERLINK("Melting_Curves/meltCurve_P62330_ARF6.pdf", "Melting_Curves/meltCurve_P62330_ARF6.pdf")</f>
        <v>Melting_Curves/meltCurve_P62330_ARF6.pdf</v>
      </c>
    </row>
    <row r="3132" spans="1:28" x14ac:dyDescent="0.25">
      <c r="A3132" t="s">
        <v>3136</v>
      </c>
      <c r="B3132">
        <v>0.99999676499088797</v>
      </c>
      <c r="C3132">
        <v>1.00474042049712</v>
      </c>
      <c r="D3132">
        <v>0.95152136491338002</v>
      </c>
      <c r="E3132">
        <v>0.99464048866883503</v>
      </c>
      <c r="F3132">
        <v>0.80064182422082997</v>
      </c>
      <c r="G3132">
        <v>0.43369305018757398</v>
      </c>
      <c r="H3132">
        <v>0.116553621764906</v>
      </c>
      <c r="I3132">
        <v>0.105423192510901</v>
      </c>
      <c r="J3132">
        <v>0.100933659408373</v>
      </c>
      <c r="K3132">
        <v>8.2171297915450095E-2</v>
      </c>
      <c r="L3132">
        <v>1642.37658295797</v>
      </c>
      <c r="M3132">
        <v>29.475130648921098</v>
      </c>
      <c r="N3132">
        <v>56.048464603595598</v>
      </c>
      <c r="O3132">
        <v>55.466161916100198</v>
      </c>
      <c r="P3132">
        <v>-0.122337622856417</v>
      </c>
      <c r="Q3132">
        <v>7.9148987754093902E-2</v>
      </c>
      <c r="R3132">
        <v>0.99714534626686602</v>
      </c>
      <c r="S3132" t="s">
        <v>10135</v>
      </c>
      <c r="T3132" t="s">
        <v>14004</v>
      </c>
      <c r="U3132" t="s">
        <v>14004</v>
      </c>
      <c r="V3132" t="s">
        <v>14004</v>
      </c>
      <c r="W3132" t="s">
        <v>17093</v>
      </c>
      <c r="X3132">
        <v>31</v>
      </c>
      <c r="Y3132" t="s">
        <v>23963</v>
      </c>
      <c r="Z3132" t="s">
        <v>30842</v>
      </c>
      <c r="AA3132">
        <v>0.56803610760250645</v>
      </c>
      <c r="AB3132" t="str">
        <f>HYPERLINK("Melting_Curves/meltCurve_P62333_PSMC6.pdf", "Melting_Curves/meltCurve_P62333_PSMC6.pdf")</f>
        <v>Melting_Curves/meltCurve_P62333_PSMC6.pdf</v>
      </c>
    </row>
    <row r="3133" spans="1:28" x14ac:dyDescent="0.25">
      <c r="A3133" t="s">
        <v>3137</v>
      </c>
      <c r="B3133">
        <v>0.99999676499088797</v>
      </c>
      <c r="C3133">
        <v>1.03988655417553</v>
      </c>
      <c r="D3133">
        <v>1.1293871709108001</v>
      </c>
      <c r="E3133">
        <v>1.14855269910291</v>
      </c>
      <c r="F3133">
        <v>0.96954254703819898</v>
      </c>
      <c r="G3133">
        <v>0.85906058613455305</v>
      </c>
      <c r="H3133">
        <v>0.47033672423863998</v>
      </c>
      <c r="I3133">
        <v>0.44286981704165401</v>
      </c>
      <c r="J3133">
        <v>0.38066448997646302</v>
      </c>
      <c r="K3133">
        <v>0.39425627261785101</v>
      </c>
      <c r="L3133">
        <v>2606.6771121941201</v>
      </c>
      <c r="M3133">
        <v>44.747248189517599</v>
      </c>
      <c r="N3133">
        <v>60.416282470453602</v>
      </c>
      <c r="O3133">
        <v>58.137373991830003</v>
      </c>
      <c r="P3133">
        <v>-0.115596620884533</v>
      </c>
      <c r="Q3133">
        <v>0.39925030380055598</v>
      </c>
      <c r="R3133">
        <v>0.95439750422827996</v>
      </c>
      <c r="S3133" t="s">
        <v>10136</v>
      </c>
      <c r="T3133" t="s">
        <v>14004</v>
      </c>
      <c r="U3133" t="s">
        <v>14004</v>
      </c>
      <c r="V3133" t="s">
        <v>14004</v>
      </c>
      <c r="W3133" t="s">
        <v>17094</v>
      </c>
      <c r="X3133">
        <v>2</v>
      </c>
      <c r="Y3133" t="s">
        <v>23964</v>
      </c>
      <c r="Z3133" t="s">
        <v>30843</v>
      </c>
      <c r="AA3133">
        <v>0.76668168963918293</v>
      </c>
      <c r="AB3133" t="str">
        <f>HYPERLINK("Melting_Curves/meltCurve_P62341_SELT.pdf", "Melting_Curves/meltCurve_P62341_SELT.pdf")</f>
        <v>Melting_Curves/meltCurve_P62341_SELT.pdf</v>
      </c>
    </row>
    <row r="3134" spans="1:28" x14ac:dyDescent="0.25">
      <c r="A3134" t="s">
        <v>3138</v>
      </c>
      <c r="B3134">
        <v>0.99999676499088797</v>
      </c>
      <c r="C3134">
        <v>1.0082135393441201</v>
      </c>
      <c r="D3134">
        <v>0.85505185118677496</v>
      </c>
      <c r="E3134">
        <v>0.34059793291264401</v>
      </c>
      <c r="F3134">
        <v>0.14348725875902299</v>
      </c>
      <c r="G3134">
        <v>0.113119267389981</v>
      </c>
      <c r="H3134">
        <v>8.5904014309613405E-2</v>
      </c>
      <c r="I3134">
        <v>6.8303563552997604E-2</v>
      </c>
      <c r="J3134">
        <v>9.7560867295449299E-2</v>
      </c>
      <c r="K3134">
        <v>8.9977605921258599E-2</v>
      </c>
      <c r="L3134">
        <v>1651.4907963425301</v>
      </c>
      <c r="M3134">
        <v>34.244313754831197</v>
      </c>
      <c r="N3134">
        <v>48.515187328169603</v>
      </c>
      <c r="O3134">
        <v>48.063122346171802</v>
      </c>
      <c r="P3134">
        <v>-0.161714893459592</v>
      </c>
      <c r="Q3134">
        <v>9.21124876905587E-2</v>
      </c>
      <c r="R3134">
        <v>0.99890115657961598</v>
      </c>
      <c r="S3134" t="s">
        <v>10137</v>
      </c>
      <c r="T3134" t="s">
        <v>14004</v>
      </c>
      <c r="U3134" t="s">
        <v>14004</v>
      </c>
      <c r="V3134" t="s">
        <v>14004</v>
      </c>
      <c r="W3134" t="s">
        <v>17095</v>
      </c>
      <c r="X3134">
        <v>4</v>
      </c>
      <c r="Y3134" t="s">
        <v>23965</v>
      </c>
      <c r="Z3134" t="s">
        <v>30844</v>
      </c>
      <c r="AA3134">
        <v>0.34524311224952631</v>
      </c>
      <c r="AB3134" t="str">
        <f>HYPERLINK("Melting_Curves/meltCurve_P62380_TBPL1.pdf", "Melting_Curves/meltCurve_P62380_TBPL1.pdf")</f>
        <v>Melting_Curves/meltCurve_P62380_TBPL1.pdf</v>
      </c>
    </row>
    <row r="3135" spans="1:28" x14ac:dyDescent="0.25">
      <c r="A3135" t="s">
        <v>3139</v>
      </c>
      <c r="B3135">
        <v>0.99999676499088797</v>
      </c>
      <c r="C3135">
        <v>0.88274076750803798</v>
      </c>
      <c r="D3135">
        <v>0.78245791143169596</v>
      </c>
      <c r="E3135">
        <v>0.67054534607819105</v>
      </c>
      <c r="F3135">
        <v>0.99687609538847199</v>
      </c>
      <c r="G3135">
        <v>1.2257946001401501</v>
      </c>
      <c r="H3135">
        <v>0.46662583936315299</v>
      </c>
      <c r="I3135">
        <v>0.18198550970001201</v>
      </c>
      <c r="J3135">
        <v>0.146618037364176</v>
      </c>
      <c r="K3135">
        <v>0.14190731384831201</v>
      </c>
      <c r="L3135">
        <v>10783.4243613164</v>
      </c>
      <c r="M3135">
        <v>177.90212391115099</v>
      </c>
      <c r="N3135">
        <v>60.742859790214297</v>
      </c>
      <c r="O3135">
        <v>60.6067063780499</v>
      </c>
      <c r="P3135">
        <v>-0.618764796364216</v>
      </c>
      <c r="Q3135">
        <v>0.156810604100628</v>
      </c>
      <c r="R3135">
        <v>0.84293968126000796</v>
      </c>
      <c r="S3135" t="s">
        <v>10138</v>
      </c>
      <c r="T3135" t="s">
        <v>14004</v>
      </c>
      <c r="U3135" t="s">
        <v>14004</v>
      </c>
      <c r="V3135" t="s">
        <v>14004</v>
      </c>
      <c r="W3135" t="s">
        <v>17096</v>
      </c>
      <c r="X3135">
        <v>11</v>
      </c>
      <c r="Y3135" t="s">
        <v>23966</v>
      </c>
      <c r="Z3135" t="s">
        <v>30845</v>
      </c>
      <c r="AA3135">
        <v>0.73638158514507801</v>
      </c>
      <c r="AB3135" t="str">
        <f>HYPERLINK("Melting_Curves/meltCurve_P62424_RPL7A.pdf", "Melting_Curves/meltCurve_P62424_RPL7A.pdf")</f>
        <v>Melting_Curves/meltCurve_P62424_RPL7A.pdf</v>
      </c>
    </row>
    <row r="3136" spans="1:28" x14ac:dyDescent="0.25">
      <c r="A3136" t="s">
        <v>3140</v>
      </c>
      <c r="B3136">
        <v>0.99999676499088797</v>
      </c>
      <c r="C3136">
        <v>0.99170680838389202</v>
      </c>
      <c r="D3136">
        <v>1.0718291719647901</v>
      </c>
      <c r="E3136">
        <v>1.2991665717710099</v>
      </c>
      <c r="F3136">
        <v>1.4351549656806</v>
      </c>
      <c r="G3136">
        <v>1.28907329618161</v>
      </c>
      <c r="H3136">
        <v>0.81322767808103502</v>
      </c>
      <c r="I3136">
        <v>0.34264369303144199</v>
      </c>
      <c r="J3136">
        <v>0.111363969365597</v>
      </c>
      <c r="K3136">
        <v>8.8858915231833896E-2</v>
      </c>
      <c r="L3136">
        <v>3147.82188026122</v>
      </c>
      <c r="M3136">
        <v>50.200081095908899</v>
      </c>
      <c r="N3136">
        <v>62.938787688114601</v>
      </c>
      <c r="O3136">
        <v>62.606247544937098</v>
      </c>
      <c r="P3136">
        <v>-0.183443118145386</v>
      </c>
      <c r="Q3136">
        <v>8.4887907291693696E-2</v>
      </c>
      <c r="R3136">
        <v>0.83194496092986603</v>
      </c>
      <c r="S3136" t="s">
        <v>10139</v>
      </c>
      <c r="T3136" t="s">
        <v>14004</v>
      </c>
      <c r="U3136" t="s">
        <v>14004</v>
      </c>
      <c r="V3136" t="s">
        <v>14004</v>
      </c>
      <c r="W3136" t="s">
        <v>17097</v>
      </c>
      <c r="X3136">
        <v>7</v>
      </c>
      <c r="Y3136" t="s">
        <v>23967</v>
      </c>
      <c r="Z3136" t="s">
        <v>30846</v>
      </c>
      <c r="AA3136">
        <v>0.77973651186126769</v>
      </c>
      <c r="AB3136" t="str">
        <f>HYPERLINK("Melting_Curves/meltCurve_P62487_POLR2G.pdf", "Melting_Curves/meltCurve_P62487_POLR2G.pdf")</f>
        <v>Melting_Curves/meltCurve_P62487_POLR2G.pdf</v>
      </c>
    </row>
    <row r="3137" spans="1:28" x14ac:dyDescent="0.25">
      <c r="A3137" t="s">
        <v>3141</v>
      </c>
      <c r="B3137">
        <v>0.99999676499088797</v>
      </c>
      <c r="C3137">
        <v>0.95578330168440895</v>
      </c>
      <c r="D3137">
        <v>1.01888835287798</v>
      </c>
      <c r="E3137">
        <v>1.27663415422516</v>
      </c>
      <c r="F3137">
        <v>0.34756409554266599</v>
      </c>
      <c r="G3137">
        <v>0.168150755974903</v>
      </c>
      <c r="H3137">
        <v>6.0659271326118702E-2</v>
      </c>
      <c r="I3137">
        <v>5.7536314957882702E-2</v>
      </c>
      <c r="J3137">
        <v>5.6704025581146802E-2</v>
      </c>
      <c r="K3137">
        <v>5.14912774933491E-2</v>
      </c>
      <c r="L3137">
        <v>13252.7966209184</v>
      </c>
      <c r="M3137">
        <v>250</v>
      </c>
      <c r="N3137">
        <v>53.047644985530901</v>
      </c>
      <c r="O3137">
        <v>53.007783557898598</v>
      </c>
      <c r="P3137">
        <v>-1.0860333236858699</v>
      </c>
      <c r="Q3137">
        <v>7.8908307247955306E-2</v>
      </c>
      <c r="R3137">
        <v>0.96051620492114298</v>
      </c>
      <c r="S3137" t="s">
        <v>10140</v>
      </c>
      <c r="T3137" t="s">
        <v>14004</v>
      </c>
      <c r="U3137" t="s">
        <v>14004</v>
      </c>
      <c r="V3137" t="s">
        <v>14004</v>
      </c>
      <c r="W3137" t="s">
        <v>17098</v>
      </c>
      <c r="X3137">
        <v>16</v>
      </c>
      <c r="Y3137" t="s">
        <v>23968</v>
      </c>
      <c r="Z3137" t="s">
        <v>30847</v>
      </c>
      <c r="AA3137">
        <v>0.47847719268026601</v>
      </c>
      <c r="AB3137" t="str">
        <f>HYPERLINK("Melting_Curves/meltCurve_P62495_ETF1.pdf", "Melting_Curves/meltCurve_P62495_ETF1.pdf")</f>
        <v>Melting_Curves/meltCurve_P62495_ETF1.pdf</v>
      </c>
    </row>
    <row r="3138" spans="1:28" x14ac:dyDescent="0.25">
      <c r="A3138" t="s">
        <v>3142</v>
      </c>
      <c r="B3138">
        <v>0.99999676499088797</v>
      </c>
      <c r="C3138">
        <v>1.0426852518655001</v>
      </c>
      <c r="D3138">
        <v>1.04118576469396</v>
      </c>
      <c r="E3138">
        <v>0.89359891701976801</v>
      </c>
      <c r="F3138">
        <v>0.77460191509975496</v>
      </c>
      <c r="G3138">
        <v>0.72633339340893299</v>
      </c>
      <c r="H3138">
        <v>0.46909186866695601</v>
      </c>
      <c r="I3138">
        <v>0.56682419150077401</v>
      </c>
      <c r="J3138">
        <v>0.546502740651017</v>
      </c>
      <c r="K3138">
        <v>0.54050138265596803</v>
      </c>
      <c r="L3138">
        <v>1050.3689656521401</v>
      </c>
      <c r="M3138">
        <v>19.4671069311267</v>
      </c>
      <c r="O3138">
        <v>53.396404227888198</v>
      </c>
      <c r="P3138">
        <v>-4.3561691748884197E-2</v>
      </c>
      <c r="Q3138">
        <v>0.52207516562177003</v>
      </c>
      <c r="R3138">
        <v>0.94832746628486997</v>
      </c>
      <c r="S3138" t="s">
        <v>10141</v>
      </c>
      <c r="T3138" t="s">
        <v>14004</v>
      </c>
      <c r="U3138" t="s">
        <v>14004</v>
      </c>
      <c r="V3138" t="s">
        <v>14004</v>
      </c>
      <c r="W3138" t="s">
        <v>17099</v>
      </c>
      <c r="X3138">
        <v>14</v>
      </c>
      <c r="Y3138" t="s">
        <v>21325</v>
      </c>
      <c r="Z3138" t="s">
        <v>30848</v>
      </c>
      <c r="AA3138">
        <v>0.75119424871936846</v>
      </c>
      <c r="AB3138" t="str">
        <f>HYPERLINK("Melting_Curves/meltCurve_P62633_2_CNBP.pdf", "Melting_Curves/meltCurve_P62633_2_CNBP.pdf")</f>
        <v>Melting_Curves/meltCurve_P62633_2_CNBP.pdf</v>
      </c>
    </row>
    <row r="3139" spans="1:28" x14ac:dyDescent="0.25">
      <c r="A3139" t="s">
        <v>3143</v>
      </c>
      <c r="B3139">
        <v>0.99999676499088797</v>
      </c>
      <c r="C3139">
        <v>0.92952151554629803</v>
      </c>
      <c r="D3139">
        <v>0.88750638021387496</v>
      </c>
      <c r="E3139">
        <v>0.97033164052628396</v>
      </c>
      <c r="F3139">
        <v>0.87828986161197198</v>
      </c>
      <c r="G3139">
        <v>0.94099679068500697</v>
      </c>
      <c r="H3139">
        <v>0.69983137726502198</v>
      </c>
      <c r="I3139">
        <v>0.92092149412959201</v>
      </c>
      <c r="J3139">
        <v>0.83791796872177904</v>
      </c>
      <c r="K3139">
        <v>0.73036031820374703</v>
      </c>
      <c r="L3139">
        <v>201.32001861181999</v>
      </c>
      <c r="M3139">
        <v>1.6192363762606601</v>
      </c>
      <c r="O3139">
        <v>64.293666980891501</v>
      </c>
      <c r="P3139">
        <v>-7.2083898795633396E-3</v>
      </c>
      <c r="Q3139">
        <v>0</v>
      </c>
      <c r="R3139">
        <v>0.46384217738067102</v>
      </c>
      <c r="S3139" t="s">
        <v>10142</v>
      </c>
      <c r="T3139" t="s">
        <v>14004</v>
      </c>
      <c r="U3139" t="s">
        <v>14004</v>
      </c>
      <c r="V3139" t="s">
        <v>14004</v>
      </c>
      <c r="W3139" t="s">
        <v>17100</v>
      </c>
      <c r="X3139">
        <v>14</v>
      </c>
      <c r="Y3139" t="s">
        <v>21325</v>
      </c>
      <c r="Z3139" t="s">
        <v>30849</v>
      </c>
      <c r="AA3139">
        <v>0.88117807023451378</v>
      </c>
      <c r="AB3139" t="str">
        <f>HYPERLINK("Melting_Curves/meltCurve_P62633_3_CNBP.pdf", "Melting_Curves/meltCurve_P62633_3_CNBP.pdf")</f>
        <v>Melting_Curves/meltCurve_P62633_3_CNBP.pdf</v>
      </c>
    </row>
    <row r="3140" spans="1:28" x14ac:dyDescent="0.25">
      <c r="A3140" t="s">
        <v>3144</v>
      </c>
      <c r="B3140">
        <v>0.99999676499088797</v>
      </c>
      <c r="C3140">
        <v>1.1199732239716</v>
      </c>
      <c r="D3140">
        <v>1.0742254396722699</v>
      </c>
      <c r="E3140">
        <v>1.07085071372364</v>
      </c>
      <c r="F3140">
        <v>0.94323820365133704</v>
      </c>
      <c r="G3140">
        <v>0.75163910808620804</v>
      </c>
      <c r="H3140">
        <v>0.518509848936484</v>
      </c>
      <c r="I3140">
        <v>0.68530551250858696</v>
      </c>
      <c r="J3140">
        <v>0.69648266850357499</v>
      </c>
      <c r="K3140">
        <v>0.69467804000427003</v>
      </c>
      <c r="L3140">
        <v>2789.4230493077398</v>
      </c>
      <c r="M3140">
        <v>50.283519225287797</v>
      </c>
      <c r="O3140">
        <v>55.386387472219603</v>
      </c>
      <c r="P3140">
        <v>-7.9218806411490594E-2</v>
      </c>
      <c r="Q3140">
        <v>0.650968047177234</v>
      </c>
      <c r="R3140">
        <v>0.87511746635457999</v>
      </c>
      <c r="S3140" t="s">
        <v>10143</v>
      </c>
      <c r="T3140" t="s">
        <v>14004</v>
      </c>
      <c r="U3140" t="s">
        <v>14004</v>
      </c>
      <c r="V3140" t="s">
        <v>14004</v>
      </c>
      <c r="W3140" t="s">
        <v>17101</v>
      </c>
      <c r="X3140">
        <v>14</v>
      </c>
      <c r="Y3140" t="s">
        <v>21325</v>
      </c>
      <c r="Z3140" t="s">
        <v>30850</v>
      </c>
      <c r="AA3140">
        <v>0.83184137825340154</v>
      </c>
      <c r="AB3140" t="str">
        <f>HYPERLINK("Melting_Curves/meltCurve_P62633_4_CNBP.pdf", "Melting_Curves/meltCurve_P62633_4_CNBP.pdf")</f>
        <v>Melting_Curves/meltCurve_P62633_4_CNBP.pdf</v>
      </c>
    </row>
    <row r="3141" spans="1:28" x14ac:dyDescent="0.25">
      <c r="A3141" t="s">
        <v>3145</v>
      </c>
      <c r="B3141">
        <v>0.99999676499088797</v>
      </c>
      <c r="C3141">
        <v>0.91682859917513504</v>
      </c>
      <c r="D3141">
        <v>0.99876345787467402</v>
      </c>
      <c r="E3141">
        <v>1.1574509936144599</v>
      </c>
      <c r="F3141">
        <v>1.1707299859485401</v>
      </c>
      <c r="G3141">
        <v>0.86358958375087003</v>
      </c>
      <c r="H3141">
        <v>0.61770564619146795</v>
      </c>
      <c r="I3141">
        <v>0.56287180875711595</v>
      </c>
      <c r="J3141">
        <v>0.55667668435777096</v>
      </c>
      <c r="K3141">
        <v>0.73880453593637097</v>
      </c>
      <c r="L3141">
        <v>14233.1628967219</v>
      </c>
      <c r="M3141">
        <v>250</v>
      </c>
      <c r="O3141">
        <v>56.929008281991202</v>
      </c>
      <c r="P3141">
        <v>-0.41826802756374698</v>
      </c>
      <c r="Q3141">
        <v>0.61901465641031395</v>
      </c>
      <c r="R3141">
        <v>0.82892976960268805</v>
      </c>
      <c r="S3141" t="s">
        <v>10144</v>
      </c>
      <c r="T3141" t="s">
        <v>14004</v>
      </c>
      <c r="U3141" t="s">
        <v>14004</v>
      </c>
      <c r="V3141" t="s">
        <v>14004</v>
      </c>
      <c r="W3141" t="s">
        <v>17102</v>
      </c>
      <c r="X3141">
        <v>14</v>
      </c>
      <c r="Y3141" t="s">
        <v>21325</v>
      </c>
      <c r="Z3141" t="s">
        <v>30851</v>
      </c>
      <c r="AA3141">
        <v>0.83408912566762083</v>
      </c>
      <c r="AB3141" t="str">
        <f>HYPERLINK("Melting_Curves/meltCurve_P62633_5_CNBP.pdf", "Melting_Curves/meltCurve_P62633_5_CNBP.pdf")</f>
        <v>Melting_Curves/meltCurve_P62633_5_CNBP.pdf</v>
      </c>
    </row>
    <row r="3142" spans="1:28" x14ac:dyDescent="0.25">
      <c r="A3142" t="s">
        <v>3146</v>
      </c>
      <c r="B3142">
        <v>0.99999676499088797</v>
      </c>
      <c r="C3142">
        <v>1.1276662768980801</v>
      </c>
      <c r="D3142">
        <v>1.0640885907169599</v>
      </c>
      <c r="E3142">
        <v>0.70022389991761802</v>
      </c>
      <c r="F3142">
        <v>0.59817664258422198</v>
      </c>
      <c r="G3142">
        <v>0.50462425052929805</v>
      </c>
      <c r="H3142">
        <v>0.42209442783711099</v>
      </c>
      <c r="I3142">
        <v>0.304663470133133</v>
      </c>
      <c r="J3142">
        <v>0.409983422020604</v>
      </c>
      <c r="K3142">
        <v>0.43267436990447899</v>
      </c>
      <c r="L3142">
        <v>1190.2120885944901</v>
      </c>
      <c r="M3142">
        <v>23.3872460710048</v>
      </c>
      <c r="N3142">
        <v>54.689286368765501</v>
      </c>
      <c r="O3142">
        <v>50.523797098218999</v>
      </c>
      <c r="P3142">
        <v>-6.9267346549263906E-2</v>
      </c>
      <c r="Q3142">
        <v>0.40145354294892199</v>
      </c>
      <c r="R3142">
        <v>0.93437268446869504</v>
      </c>
      <c r="S3142" t="s">
        <v>10145</v>
      </c>
      <c r="T3142" t="s">
        <v>14004</v>
      </c>
      <c r="U3142" t="s">
        <v>14004</v>
      </c>
      <c r="V3142" t="s">
        <v>14004</v>
      </c>
      <c r="W3142" t="s">
        <v>17103</v>
      </c>
      <c r="X3142">
        <v>2</v>
      </c>
      <c r="Y3142" t="s">
        <v>23969</v>
      </c>
      <c r="Z3142" t="s">
        <v>30852</v>
      </c>
      <c r="AA3142">
        <v>0.6249117260760203</v>
      </c>
      <c r="AB3142" t="str">
        <f>HYPERLINK("Melting_Curves/meltCurve_P62699_YPEL5.pdf", "Melting_Curves/meltCurve_P62699_YPEL5.pdf")</f>
        <v>Melting_Curves/meltCurve_P62699_YPEL5.pdf</v>
      </c>
    </row>
    <row r="3143" spans="1:28" x14ac:dyDescent="0.25">
      <c r="A3143" t="s">
        <v>3147</v>
      </c>
      <c r="B3143">
        <v>0.99999676499088797</v>
      </c>
      <c r="C3143">
        <v>0.95971868219555101</v>
      </c>
      <c r="D3143">
        <v>1.0063480319554501</v>
      </c>
      <c r="E3143">
        <v>0.90711735097387802</v>
      </c>
      <c r="F3143">
        <v>0.48396140919331898</v>
      </c>
      <c r="G3143">
        <v>0.35325268543469102</v>
      </c>
      <c r="H3143">
        <v>8.7948933995562806E-2</v>
      </c>
      <c r="I3143">
        <v>6.9908191540509701E-2</v>
      </c>
      <c r="J3143">
        <v>6.0090903851059099E-2</v>
      </c>
      <c r="K3143">
        <v>6.2882094093747301E-2</v>
      </c>
      <c r="L3143">
        <v>1136.50491168028</v>
      </c>
      <c r="M3143">
        <v>21.200665169425498</v>
      </c>
      <c r="N3143">
        <v>53.872389013083797</v>
      </c>
      <c r="O3143">
        <v>53.136948582240201</v>
      </c>
      <c r="P3143">
        <v>-9.4802728929587396E-2</v>
      </c>
      <c r="Q3143">
        <v>4.9577845625460498E-2</v>
      </c>
      <c r="R3143">
        <v>0.98817048373406602</v>
      </c>
      <c r="S3143" t="s">
        <v>10146</v>
      </c>
      <c r="T3143" t="s">
        <v>14004</v>
      </c>
      <c r="U3143" t="s">
        <v>14004</v>
      </c>
      <c r="V3143" t="s">
        <v>14004</v>
      </c>
      <c r="W3143" t="s">
        <v>17104</v>
      </c>
      <c r="X3143">
        <v>22</v>
      </c>
      <c r="Y3143" t="s">
        <v>23970</v>
      </c>
      <c r="Z3143" t="s">
        <v>30853</v>
      </c>
      <c r="AA3143">
        <v>0.49243649274446749</v>
      </c>
      <c r="AB3143" t="str">
        <f>HYPERLINK("Melting_Curves/meltCurve_P62701_RPS4X.pdf", "Melting_Curves/meltCurve_P62701_RPS4X.pdf")</f>
        <v>Melting_Curves/meltCurve_P62701_RPS4X.pdf</v>
      </c>
    </row>
    <row r="3144" spans="1:28" x14ac:dyDescent="0.25">
      <c r="A3144" t="s">
        <v>3148</v>
      </c>
      <c r="B3144">
        <v>0.99999676499088797</v>
      </c>
      <c r="C3144">
        <v>1.49216616252777</v>
      </c>
      <c r="D3144">
        <v>1.5621322439257499</v>
      </c>
      <c r="E3144">
        <v>2.46048755077019</v>
      </c>
      <c r="F3144">
        <v>1.8524060595732801</v>
      </c>
      <c r="G3144">
        <v>1.6485190540775101</v>
      </c>
      <c r="H3144">
        <v>0.56924633407629899</v>
      </c>
      <c r="I3144">
        <v>0.25743162222508098</v>
      </c>
      <c r="J3144">
        <v>0.14575912649432701</v>
      </c>
      <c r="K3144">
        <v>0.11056144801166</v>
      </c>
      <c r="L3144">
        <v>7500.2620774561001</v>
      </c>
      <c r="M3144">
        <v>123.43133373276601</v>
      </c>
      <c r="N3144">
        <v>60.970650493951197</v>
      </c>
      <c r="O3144">
        <v>60.748706490472699</v>
      </c>
      <c r="P3144">
        <v>-0.42135217337754899</v>
      </c>
      <c r="Q3144">
        <v>0.17049916634795301</v>
      </c>
      <c r="R3144">
        <v>0.35568467166776802</v>
      </c>
      <c r="S3144" t="s">
        <v>10147</v>
      </c>
      <c r="T3144" t="s">
        <v>14004</v>
      </c>
      <c r="U3144" t="s">
        <v>14004</v>
      </c>
      <c r="V3144" t="s">
        <v>14004</v>
      </c>
      <c r="W3144" t="s">
        <v>17105</v>
      </c>
      <c r="X3144">
        <v>19</v>
      </c>
      <c r="Y3144" t="s">
        <v>21368</v>
      </c>
      <c r="Z3144" t="s">
        <v>30854</v>
      </c>
      <c r="AA3144">
        <v>0.74500551349034272</v>
      </c>
      <c r="AB3144" t="str">
        <f>HYPERLINK("Melting_Curves/meltCurve_P62714_PPP2CB.pdf", "Melting_Curves/meltCurve_P62714_PPP2CB.pdf")</f>
        <v>Melting_Curves/meltCurve_P62714_PPP2CB.pdf</v>
      </c>
    </row>
    <row r="3145" spans="1:28" x14ac:dyDescent="0.25">
      <c r="A3145" t="s">
        <v>3149</v>
      </c>
      <c r="B3145">
        <v>0.99999676499088797</v>
      </c>
      <c r="C3145">
        <v>0.92904637074392304</v>
      </c>
      <c r="D3145">
        <v>0.99215326868244202</v>
      </c>
      <c r="E3145">
        <v>0.97518298583786001</v>
      </c>
      <c r="F3145">
        <v>0.64950621735442104</v>
      </c>
      <c r="G3145">
        <v>0.53945480439688898</v>
      </c>
      <c r="H3145">
        <v>0.29465026802338401</v>
      </c>
      <c r="I3145">
        <v>0.19896488077682101</v>
      </c>
      <c r="J3145">
        <v>0.19677894998787901</v>
      </c>
      <c r="K3145">
        <v>0.22547493969726101</v>
      </c>
      <c r="L3145">
        <v>1033.7411195577699</v>
      </c>
      <c r="M3145">
        <v>18.7420235151288</v>
      </c>
      <c r="N3145">
        <v>56.488960204631901</v>
      </c>
      <c r="O3145">
        <v>54.539900781131102</v>
      </c>
      <c r="P3145">
        <v>-7.0563030751386702E-2</v>
      </c>
      <c r="Q3145">
        <v>0.17867168068518699</v>
      </c>
      <c r="R3145">
        <v>0.98171156249027702</v>
      </c>
      <c r="S3145" t="s">
        <v>10148</v>
      </c>
      <c r="T3145" t="s">
        <v>14004</v>
      </c>
      <c r="U3145" t="s">
        <v>14004</v>
      </c>
      <c r="V3145" t="s">
        <v>14004</v>
      </c>
      <c r="W3145" t="s">
        <v>17106</v>
      </c>
      <c r="X3145">
        <v>8</v>
      </c>
      <c r="Y3145" t="s">
        <v>23971</v>
      </c>
      <c r="Z3145" t="s">
        <v>30855</v>
      </c>
      <c r="AA3145">
        <v>0.60556662367525937</v>
      </c>
      <c r="AB3145" t="str">
        <f>HYPERLINK("Melting_Curves/meltCurve_P62750_RPL23A.pdf", "Melting_Curves/meltCurve_P62750_RPL23A.pdf")</f>
        <v>Melting_Curves/meltCurve_P62750_RPL23A.pdf</v>
      </c>
    </row>
    <row r="3146" spans="1:28" x14ac:dyDescent="0.25">
      <c r="A3146" t="s">
        <v>3150</v>
      </c>
      <c r="B3146">
        <v>0.99999676499088797</v>
      </c>
      <c r="C3146">
        <v>1.02029905573469</v>
      </c>
      <c r="D3146">
        <v>0.94703519056342</v>
      </c>
      <c r="E3146">
        <v>0.89546506219646604</v>
      </c>
      <c r="F3146">
        <v>0.51779131800727896</v>
      </c>
      <c r="G3146">
        <v>0.35771406524844801</v>
      </c>
      <c r="H3146">
        <v>0.134306768637522</v>
      </c>
      <c r="I3146">
        <v>0.15680134580796601</v>
      </c>
      <c r="J3146">
        <v>0.18884666513412399</v>
      </c>
      <c r="K3146">
        <v>0.17935969957508999</v>
      </c>
      <c r="L3146">
        <v>1283.90679825282</v>
      </c>
      <c r="M3146">
        <v>24.250021725461998</v>
      </c>
      <c r="N3146">
        <v>53.804932124958299</v>
      </c>
      <c r="O3146">
        <v>52.5884645000218</v>
      </c>
      <c r="P3146">
        <v>-9.67558352724429E-2</v>
      </c>
      <c r="Q3146">
        <v>0.16071603150533101</v>
      </c>
      <c r="R3146">
        <v>0.99049232651794294</v>
      </c>
      <c r="S3146" t="s">
        <v>10149</v>
      </c>
      <c r="T3146" t="s">
        <v>14004</v>
      </c>
      <c r="U3146" t="s">
        <v>14004</v>
      </c>
      <c r="V3146" t="s">
        <v>14004</v>
      </c>
      <c r="W3146" t="s">
        <v>17107</v>
      </c>
      <c r="X3146">
        <v>12</v>
      </c>
      <c r="Y3146" t="s">
        <v>23972</v>
      </c>
      <c r="Z3146" t="s">
        <v>30856</v>
      </c>
      <c r="AA3146">
        <v>0.53103225201730286</v>
      </c>
      <c r="AB3146" t="str">
        <f>HYPERLINK("Melting_Curves/meltCurve_P62753_RPS6.pdf", "Melting_Curves/meltCurve_P62753_RPS6.pdf")</f>
        <v>Melting_Curves/meltCurve_P62753_RPS6.pdf</v>
      </c>
    </row>
    <row r="3147" spans="1:28" x14ac:dyDescent="0.25">
      <c r="A3147" t="s">
        <v>3151</v>
      </c>
      <c r="B3147">
        <v>0.99999676499088797</v>
      </c>
      <c r="C3147">
        <v>1.00746026751187</v>
      </c>
      <c r="D3147">
        <v>0.99047712613736405</v>
      </c>
      <c r="E3147">
        <v>1.0568651034769301</v>
      </c>
      <c r="F3147">
        <v>0.61834102467987995</v>
      </c>
      <c r="G3147">
        <v>0.66841308916047004</v>
      </c>
      <c r="H3147">
        <v>0.42186113577078399</v>
      </c>
      <c r="I3147">
        <v>0.35201606671871</v>
      </c>
      <c r="J3147">
        <v>0.330331335688613</v>
      </c>
      <c r="K3147">
        <v>0.30102073109083299</v>
      </c>
      <c r="L3147">
        <v>938.413056546338</v>
      </c>
      <c r="M3147">
        <v>16.8762864797669</v>
      </c>
      <c r="N3147">
        <v>58.616332227620703</v>
      </c>
      <c r="O3147">
        <v>54.842274266494201</v>
      </c>
      <c r="P3147">
        <v>-5.4634622742921801E-2</v>
      </c>
      <c r="Q3147">
        <v>0.28986832291242898</v>
      </c>
      <c r="R3147">
        <v>0.94252966566082097</v>
      </c>
      <c r="S3147" t="s">
        <v>10150</v>
      </c>
      <c r="T3147" t="s">
        <v>14004</v>
      </c>
      <c r="U3147" t="s">
        <v>14004</v>
      </c>
      <c r="V3147" t="s">
        <v>14004</v>
      </c>
      <c r="W3147" t="s">
        <v>17108</v>
      </c>
      <c r="X3147">
        <v>12</v>
      </c>
      <c r="Y3147" t="s">
        <v>23973</v>
      </c>
      <c r="Z3147" t="s">
        <v>30857</v>
      </c>
      <c r="AA3147">
        <v>0.67081374065717037</v>
      </c>
      <c r="AB3147" t="str">
        <f>HYPERLINK("Melting_Curves/meltCurve_P62805_HIST1H4A.pdf", "Melting_Curves/meltCurve_P62805_HIST1H4A.pdf")</f>
        <v>Melting_Curves/meltCurve_P62805_HIST1H4A.pdf</v>
      </c>
    </row>
    <row r="3148" spans="1:28" x14ac:dyDescent="0.25">
      <c r="A3148" t="s">
        <v>3152</v>
      </c>
      <c r="B3148">
        <v>0.99999676499088797</v>
      </c>
      <c r="C3148">
        <v>0.92175293093029897</v>
      </c>
      <c r="D3148">
        <v>0.97396318382411096</v>
      </c>
      <c r="E3148">
        <v>0.991524719236622</v>
      </c>
      <c r="F3148">
        <v>0.95447229116319099</v>
      </c>
      <c r="G3148">
        <v>0.85633609886832396</v>
      </c>
      <c r="H3148">
        <v>0.54287992314799305</v>
      </c>
      <c r="I3148">
        <v>0.40251955901283898</v>
      </c>
      <c r="J3148">
        <v>0.241142928950693</v>
      </c>
      <c r="K3148">
        <v>0.13956399746963399</v>
      </c>
      <c r="L3148">
        <v>1112.9928565308701</v>
      </c>
      <c r="M3148">
        <v>18.067085319620698</v>
      </c>
      <c r="N3148">
        <v>62.016587231754599</v>
      </c>
      <c r="O3148">
        <v>60.863509388597599</v>
      </c>
      <c r="P3148">
        <v>-7.0006187564948794E-2</v>
      </c>
      <c r="Q3148">
        <v>5.6712244390604599E-2</v>
      </c>
      <c r="R3148">
        <v>0.990179037990494</v>
      </c>
      <c r="S3148" t="s">
        <v>10151</v>
      </c>
      <c r="T3148" t="s">
        <v>14004</v>
      </c>
      <c r="U3148" t="s">
        <v>14004</v>
      </c>
      <c r="V3148" t="s">
        <v>14004</v>
      </c>
      <c r="W3148" t="s">
        <v>17109</v>
      </c>
      <c r="X3148">
        <v>21</v>
      </c>
      <c r="Y3148" t="s">
        <v>23974</v>
      </c>
      <c r="Z3148" t="s">
        <v>30858</v>
      </c>
      <c r="AA3148">
        <v>0.73897195219029022</v>
      </c>
      <c r="AB3148" t="str">
        <f>HYPERLINK("Melting_Curves/meltCurve_P62820_RAB1A.pdf", "Melting_Curves/meltCurve_P62820_RAB1A.pdf")</f>
        <v>Melting_Curves/meltCurve_P62820_RAB1A.pdf</v>
      </c>
    </row>
    <row r="3149" spans="1:28" x14ac:dyDescent="0.25">
      <c r="A3149" t="s">
        <v>3153</v>
      </c>
      <c r="B3149">
        <v>0.99999676499088797</v>
      </c>
      <c r="C3149">
        <v>1.0701224435105601</v>
      </c>
      <c r="D3149">
        <v>0.93003084606592001</v>
      </c>
      <c r="E3149">
        <v>0.960424189969733</v>
      </c>
      <c r="F3149">
        <v>0.48272264154689598</v>
      </c>
      <c r="G3149">
        <v>0.378333787238538</v>
      </c>
      <c r="H3149">
        <v>9.8453915517797697E-2</v>
      </c>
      <c r="I3149">
        <v>7.0221582014218395E-2</v>
      </c>
      <c r="J3149">
        <v>6.5163697606068299E-2</v>
      </c>
      <c r="K3149">
        <v>5.7977872359265298E-2</v>
      </c>
      <c r="L3149">
        <v>1133.0330546901801</v>
      </c>
      <c r="M3149">
        <v>21.041987289667102</v>
      </c>
      <c r="N3149">
        <v>54.1133074412936</v>
      </c>
      <c r="O3149">
        <v>53.367040171484597</v>
      </c>
      <c r="P3149">
        <v>-9.3713955146628794E-2</v>
      </c>
      <c r="Q3149">
        <v>4.9309711513064597E-2</v>
      </c>
      <c r="R3149">
        <v>0.97887055785649002</v>
      </c>
      <c r="S3149" t="s">
        <v>10152</v>
      </c>
      <c r="T3149" t="s">
        <v>14004</v>
      </c>
      <c r="U3149" t="s">
        <v>14004</v>
      </c>
      <c r="V3149" t="s">
        <v>14004</v>
      </c>
      <c r="W3149" t="s">
        <v>17110</v>
      </c>
      <c r="X3149">
        <v>11</v>
      </c>
      <c r="Y3149" t="s">
        <v>23975</v>
      </c>
      <c r="Z3149" t="s">
        <v>30859</v>
      </c>
      <c r="AA3149">
        <v>0.50000239174761274</v>
      </c>
      <c r="AB3149" t="str">
        <f>HYPERLINK("Melting_Curves/meltCurve_P62829_RPL23.pdf", "Melting_Curves/meltCurve_P62829_RPL23.pdf")</f>
        <v>Melting_Curves/meltCurve_P62829_RPL23.pdf</v>
      </c>
    </row>
    <row r="3150" spans="1:28" x14ac:dyDescent="0.25">
      <c r="A3150" t="s">
        <v>3154</v>
      </c>
      <c r="B3150">
        <v>0.99999676499088797</v>
      </c>
      <c r="C3150">
        <v>0.98293499135820095</v>
      </c>
      <c r="D3150">
        <v>1.02372574016081</v>
      </c>
      <c r="E3150">
        <v>1.0792309241809801</v>
      </c>
      <c r="F3150">
        <v>1.0262319146719601</v>
      </c>
      <c r="G3150">
        <v>0.913959282441548</v>
      </c>
      <c r="H3150">
        <v>0.69766756932255103</v>
      </c>
      <c r="I3150">
        <v>0.72825736192999602</v>
      </c>
      <c r="J3150">
        <v>0.62443972934169301</v>
      </c>
      <c r="K3150">
        <v>0.41554202339159702</v>
      </c>
      <c r="L3150">
        <v>787.93942212832599</v>
      </c>
      <c r="M3150">
        <v>11.6013266942984</v>
      </c>
      <c r="N3150">
        <v>68.7210753943382</v>
      </c>
      <c r="O3150">
        <v>65.994143845741903</v>
      </c>
      <c r="P3150">
        <v>-4.1173782717244999E-2</v>
      </c>
      <c r="Q3150">
        <v>6.3389119339605393E-2</v>
      </c>
      <c r="R3150">
        <v>0.92681962736154</v>
      </c>
      <c r="S3150" t="s">
        <v>10153</v>
      </c>
      <c r="T3150" t="s">
        <v>14004</v>
      </c>
      <c r="U3150" t="s">
        <v>14004</v>
      </c>
      <c r="V3150" t="s">
        <v>14004</v>
      </c>
      <c r="W3150" t="s">
        <v>17111</v>
      </c>
      <c r="X3150">
        <v>16</v>
      </c>
      <c r="Y3150" t="s">
        <v>23976</v>
      </c>
      <c r="Z3150" t="s">
        <v>30860</v>
      </c>
      <c r="AA3150">
        <v>0.85845479715941231</v>
      </c>
      <c r="AB3150" t="str">
        <f>HYPERLINK("Melting_Curves/meltCurve_P62834_RAP1A.pdf", "Melting_Curves/meltCurve_P62834_RAP1A.pdf")</f>
        <v>Melting_Curves/meltCurve_P62834_RAP1A.pdf</v>
      </c>
    </row>
    <row r="3151" spans="1:28" x14ac:dyDescent="0.25">
      <c r="A3151" t="s">
        <v>3155</v>
      </c>
      <c r="B3151">
        <v>0.99999676499088797</v>
      </c>
      <c r="C3151">
        <v>1.1866276395895901</v>
      </c>
      <c r="D3151">
        <v>1.19611198298582</v>
      </c>
      <c r="E3151">
        <v>0.73986036720935999</v>
      </c>
      <c r="F3151">
        <v>0.420221259610702</v>
      </c>
      <c r="G3151">
        <v>0.525570463466006</v>
      </c>
      <c r="H3151">
        <v>0.10717562867873399</v>
      </c>
      <c r="I3151">
        <v>6.5825649334178796E-2</v>
      </c>
      <c r="J3151">
        <v>4.9510744392957502E-2</v>
      </c>
      <c r="K3151">
        <v>3.9547548682606903E-2</v>
      </c>
      <c r="L3151">
        <v>891.75069496976596</v>
      </c>
      <c r="M3151">
        <v>16.486243610129598</v>
      </c>
      <c r="N3151">
        <v>54.212279306309497</v>
      </c>
      <c r="O3151">
        <v>53.313535311681498</v>
      </c>
      <c r="P3151">
        <v>-7.59090007361089E-2</v>
      </c>
      <c r="Q3151">
        <v>1.81644198865204E-2</v>
      </c>
      <c r="R3151">
        <v>0.91334088590651596</v>
      </c>
      <c r="S3151" t="s">
        <v>10154</v>
      </c>
      <c r="T3151" t="s">
        <v>14004</v>
      </c>
      <c r="U3151" t="s">
        <v>14004</v>
      </c>
      <c r="V3151" t="s">
        <v>14004</v>
      </c>
      <c r="W3151" t="s">
        <v>17112</v>
      </c>
      <c r="X3151">
        <v>5</v>
      </c>
      <c r="Y3151" t="s">
        <v>23977</v>
      </c>
      <c r="Z3151" t="s">
        <v>30861</v>
      </c>
      <c r="AA3151">
        <v>0.49706289344276788</v>
      </c>
      <c r="AB3151" t="str">
        <f>HYPERLINK("Melting_Curves/meltCurve_P62837_UBE2D2.pdf", "Melting_Curves/meltCurve_P62837_UBE2D2.pdf")</f>
        <v>Melting_Curves/meltCurve_P62837_UBE2D2.pdf</v>
      </c>
    </row>
    <row r="3152" spans="1:28" x14ac:dyDescent="0.25">
      <c r="A3152" t="s">
        <v>3156</v>
      </c>
      <c r="B3152">
        <v>0.99999676499088797</v>
      </c>
      <c r="C3152">
        <v>1.0477431190712001</v>
      </c>
      <c r="D3152">
        <v>1.04556983555445</v>
      </c>
      <c r="E3152">
        <v>0.73041608501691602</v>
      </c>
      <c r="F3152">
        <v>0.45366634217825402</v>
      </c>
      <c r="G3152">
        <v>0.43971494851083498</v>
      </c>
      <c r="H3152">
        <v>0.197184322622553</v>
      </c>
      <c r="I3152">
        <v>0.18406766057951701</v>
      </c>
      <c r="J3152">
        <v>0.190534652051637</v>
      </c>
      <c r="K3152">
        <v>0.15773553685507199</v>
      </c>
      <c r="L3152">
        <v>975.82291581022901</v>
      </c>
      <c r="M3152">
        <v>18.692430993082201</v>
      </c>
      <c r="N3152">
        <v>53.412133098518503</v>
      </c>
      <c r="O3152">
        <v>51.617699910060999</v>
      </c>
      <c r="P3152">
        <v>-7.4930414125137401E-2</v>
      </c>
      <c r="Q3152">
        <v>0.17237705398962699</v>
      </c>
      <c r="R3152">
        <v>0.971765641679457</v>
      </c>
      <c r="S3152" t="s">
        <v>10155</v>
      </c>
      <c r="T3152" t="s">
        <v>14004</v>
      </c>
      <c r="U3152" t="s">
        <v>14004</v>
      </c>
      <c r="V3152" t="s">
        <v>14004</v>
      </c>
      <c r="W3152" t="s">
        <v>17113</v>
      </c>
      <c r="X3152">
        <v>8</v>
      </c>
      <c r="Y3152" t="s">
        <v>23978</v>
      </c>
      <c r="Z3152" t="s">
        <v>30862</v>
      </c>
      <c r="AA3152">
        <v>0.5219368111765178</v>
      </c>
      <c r="AB3152" t="str">
        <f>HYPERLINK("Melting_Curves/meltCurve_P62851_RPS25.pdf", "Melting_Curves/meltCurve_P62851_RPS25.pdf")</f>
        <v>Melting_Curves/meltCurve_P62851_RPS25.pdf</v>
      </c>
    </row>
    <row r="3153" spans="1:28" x14ac:dyDescent="0.25">
      <c r="A3153" t="s">
        <v>3157</v>
      </c>
      <c r="B3153">
        <v>0.99999676499088797</v>
      </c>
      <c r="C3153">
        <v>1.12004123335122</v>
      </c>
      <c r="D3153">
        <v>0.98011552864396401</v>
      </c>
      <c r="E3153">
        <v>1.08435829401953</v>
      </c>
      <c r="F3153">
        <v>0.65955154676557803</v>
      </c>
      <c r="G3153">
        <v>0.50416439081589703</v>
      </c>
      <c r="H3153">
        <v>0.195850565682336</v>
      </c>
      <c r="I3153">
        <v>0.209065866567827</v>
      </c>
      <c r="J3153">
        <v>0.20802166021534099</v>
      </c>
      <c r="K3153">
        <v>0.137099914566707</v>
      </c>
      <c r="L3153">
        <v>1347.71806945609</v>
      </c>
      <c r="M3153">
        <v>24.4583350893942</v>
      </c>
      <c r="N3153">
        <v>56.021928448713197</v>
      </c>
      <c r="O3153">
        <v>54.7382220359722</v>
      </c>
      <c r="P3153">
        <v>-9.3242778133236101E-2</v>
      </c>
      <c r="Q3153">
        <v>0.16529589220534699</v>
      </c>
      <c r="R3153">
        <v>0.96583655158239701</v>
      </c>
      <c r="S3153" t="s">
        <v>10156</v>
      </c>
      <c r="T3153" t="s">
        <v>14004</v>
      </c>
      <c r="U3153" t="s">
        <v>14004</v>
      </c>
      <c r="V3153" t="s">
        <v>14004</v>
      </c>
      <c r="W3153" t="s">
        <v>17114</v>
      </c>
      <c r="X3153">
        <v>3</v>
      </c>
      <c r="Y3153" t="s">
        <v>23979</v>
      </c>
      <c r="Z3153" t="s">
        <v>30863</v>
      </c>
      <c r="AA3153">
        <v>0.59352075626414114</v>
      </c>
      <c r="AB3153" t="str">
        <f>HYPERLINK("Melting_Curves/meltCurve_P62854_RPS26.pdf", "Melting_Curves/meltCurve_P62854_RPS26.pdf")</f>
        <v>Melting_Curves/meltCurve_P62854_RPS26.pdf</v>
      </c>
    </row>
    <row r="3154" spans="1:28" x14ac:dyDescent="0.25">
      <c r="A3154" t="s">
        <v>3158</v>
      </c>
      <c r="B3154">
        <v>0.99999676499088797</v>
      </c>
      <c r="C3154">
        <v>0.95284624503487003</v>
      </c>
      <c r="D3154">
        <v>0.92006174297106202</v>
      </c>
      <c r="E3154">
        <v>0.71795108711099498</v>
      </c>
      <c r="F3154">
        <v>0.65587732081515304</v>
      </c>
      <c r="G3154">
        <v>0.57215123250983102</v>
      </c>
      <c r="H3154">
        <v>0.31011223370815</v>
      </c>
      <c r="I3154">
        <v>0.29070653981716699</v>
      </c>
      <c r="J3154">
        <v>0.24729556469848099</v>
      </c>
      <c r="K3154">
        <v>0.29027808911312197</v>
      </c>
      <c r="L3154">
        <v>579.56877705047202</v>
      </c>
      <c r="M3154">
        <v>10.651147241201301</v>
      </c>
      <c r="N3154">
        <v>56.651357438245199</v>
      </c>
      <c r="O3154">
        <v>52.600805070911697</v>
      </c>
      <c r="P3154">
        <v>-4.1946291284656899E-2</v>
      </c>
      <c r="Q3154">
        <v>0.171707499914593</v>
      </c>
      <c r="R3154">
        <v>0.97645970165922502</v>
      </c>
      <c r="S3154" t="s">
        <v>10157</v>
      </c>
      <c r="T3154" t="s">
        <v>14004</v>
      </c>
      <c r="U3154" t="s">
        <v>14004</v>
      </c>
      <c r="V3154" t="s">
        <v>14004</v>
      </c>
      <c r="W3154" t="s">
        <v>17115</v>
      </c>
      <c r="X3154">
        <v>9</v>
      </c>
      <c r="Y3154" t="s">
        <v>23980</v>
      </c>
      <c r="Z3154" t="s">
        <v>30864</v>
      </c>
      <c r="AA3154">
        <v>0.59234870259181149</v>
      </c>
      <c r="AB3154" t="str">
        <f>HYPERLINK("Melting_Curves/meltCurve_P62857_RPS28.pdf", "Melting_Curves/meltCurve_P62857_RPS28.pdf")</f>
        <v>Melting_Curves/meltCurve_P62857_RPS28.pdf</v>
      </c>
    </row>
    <row r="3155" spans="1:28" x14ac:dyDescent="0.25">
      <c r="A3155" t="s">
        <v>3159</v>
      </c>
      <c r="B3155">
        <v>0.99999676499088797</v>
      </c>
      <c r="C3155">
        <v>1.1632845366965101</v>
      </c>
      <c r="D3155">
        <v>1.1748103645069199</v>
      </c>
      <c r="E3155">
        <v>1.2376388673729399</v>
      </c>
      <c r="F3155">
        <v>1.0809728896564701</v>
      </c>
      <c r="G3155">
        <v>0.72424936760714498</v>
      </c>
      <c r="H3155">
        <v>0.185654904610523</v>
      </c>
      <c r="I3155">
        <v>0.102395455657682</v>
      </c>
      <c r="J3155">
        <v>9.0570797674325104E-2</v>
      </c>
      <c r="K3155">
        <v>6.3270825260524494E-2</v>
      </c>
      <c r="L3155">
        <v>2788.9733798217999</v>
      </c>
      <c r="M3155">
        <v>48.1884482962814</v>
      </c>
      <c r="N3155">
        <v>58.104879891635598</v>
      </c>
      <c r="O3155">
        <v>57.776990230182399</v>
      </c>
      <c r="P3155">
        <v>-0.190513862390919</v>
      </c>
      <c r="Q3155">
        <v>8.6311766769434806E-2</v>
      </c>
      <c r="R3155">
        <v>0.94755930085571805</v>
      </c>
      <c r="S3155" t="s">
        <v>10158</v>
      </c>
      <c r="T3155" t="s">
        <v>14004</v>
      </c>
      <c r="U3155" t="s">
        <v>14004</v>
      </c>
      <c r="V3155" t="s">
        <v>14004</v>
      </c>
      <c r="W3155" t="s">
        <v>17116</v>
      </c>
      <c r="X3155">
        <v>13</v>
      </c>
      <c r="Y3155" t="s">
        <v>23981</v>
      </c>
      <c r="Z3155" t="s">
        <v>30865</v>
      </c>
      <c r="AA3155">
        <v>0.63325895196701554</v>
      </c>
      <c r="AB3155" t="str">
        <f>HYPERLINK("Melting_Curves/meltCurve_P62873_GNB1.pdf", "Melting_Curves/meltCurve_P62873_GNB1.pdf")</f>
        <v>Melting_Curves/meltCurve_P62873_GNB1.pdf</v>
      </c>
    </row>
    <row r="3156" spans="1:28" x14ac:dyDescent="0.25">
      <c r="A3156" t="s">
        <v>3160</v>
      </c>
      <c r="B3156">
        <v>0.99999676499088797</v>
      </c>
      <c r="C3156">
        <v>0.87076153401199896</v>
      </c>
      <c r="D3156">
        <v>0.86176896928069402</v>
      </c>
      <c r="E3156">
        <v>0.88946367428129303</v>
      </c>
      <c r="F3156">
        <v>0.62763003283466201</v>
      </c>
      <c r="G3156">
        <v>0.498595112148566</v>
      </c>
      <c r="H3156">
        <v>0.30322288995267199</v>
      </c>
      <c r="I3156">
        <v>0.16987179747279499</v>
      </c>
      <c r="J3156">
        <v>0.136003176653963</v>
      </c>
      <c r="K3156">
        <v>0.123230956560342</v>
      </c>
      <c r="L3156">
        <v>616.15262845231098</v>
      </c>
      <c r="M3156">
        <v>10.959360576691701</v>
      </c>
      <c r="N3156">
        <v>56.221590792391503</v>
      </c>
      <c r="O3156">
        <v>54.446925328613403</v>
      </c>
      <c r="P3156">
        <v>-5.03385298159406E-2</v>
      </c>
      <c r="Q3156">
        <v>0</v>
      </c>
      <c r="R3156">
        <v>0.97964090320216002</v>
      </c>
      <c r="S3156" t="s">
        <v>10159</v>
      </c>
      <c r="T3156" t="s">
        <v>14004</v>
      </c>
      <c r="U3156" t="s">
        <v>14004</v>
      </c>
      <c r="V3156" t="s">
        <v>14004</v>
      </c>
      <c r="W3156" t="s">
        <v>17117</v>
      </c>
      <c r="X3156">
        <v>2</v>
      </c>
      <c r="Y3156" t="s">
        <v>23982</v>
      </c>
      <c r="Z3156" t="s">
        <v>30866</v>
      </c>
      <c r="AA3156">
        <v>0.56072591263188487</v>
      </c>
      <c r="AB3156" t="str">
        <f>HYPERLINK("Melting_Curves/meltCurve_P62875_POLR2L.pdf", "Melting_Curves/meltCurve_P62875_POLR2L.pdf")</f>
        <v>Melting_Curves/meltCurve_P62875_POLR2L.pdf</v>
      </c>
    </row>
    <row r="3157" spans="1:28" x14ac:dyDescent="0.25">
      <c r="A3157" t="s">
        <v>3161</v>
      </c>
      <c r="B3157">
        <v>0.99999676499088797</v>
      </c>
      <c r="C3157">
        <v>0.81104537153358203</v>
      </c>
      <c r="D3157">
        <v>0.81668651028875605</v>
      </c>
      <c r="E3157">
        <v>0.57740654927691704</v>
      </c>
      <c r="F3157">
        <v>0.39775220048359999</v>
      </c>
      <c r="G3157">
        <v>0.33766587680935001</v>
      </c>
      <c r="H3157">
        <v>0.15995835484049201</v>
      </c>
      <c r="I3157">
        <v>0.15762166009227599</v>
      </c>
      <c r="J3157">
        <v>0.123564871856015</v>
      </c>
      <c r="K3157">
        <v>0.174135142329751</v>
      </c>
      <c r="L3157">
        <v>574.93095860411199</v>
      </c>
      <c r="M3157">
        <v>11.423800779242899</v>
      </c>
      <c r="N3157">
        <v>51.281587168455999</v>
      </c>
      <c r="O3157">
        <v>48.859338964416999</v>
      </c>
      <c r="P3157">
        <v>-5.2871767780300699E-2</v>
      </c>
      <c r="Q3157">
        <v>9.5738257666843199E-2</v>
      </c>
      <c r="R3157">
        <v>0.98134590934178201</v>
      </c>
      <c r="S3157" t="s">
        <v>10160</v>
      </c>
      <c r="T3157" t="s">
        <v>14004</v>
      </c>
      <c r="U3157" t="s">
        <v>14004</v>
      </c>
      <c r="V3157" t="s">
        <v>14004</v>
      </c>
      <c r="W3157" t="s">
        <v>17118</v>
      </c>
      <c r="X3157">
        <v>4</v>
      </c>
      <c r="Y3157" t="s">
        <v>23983</v>
      </c>
      <c r="Z3157" t="s">
        <v>30867</v>
      </c>
      <c r="AA3157">
        <v>0.44007621212455861</v>
      </c>
      <c r="AB3157" t="str">
        <f>HYPERLINK("Melting_Curves/meltCurve_P62877_RBX1.pdf", "Melting_Curves/meltCurve_P62877_RBX1.pdf")</f>
        <v>Melting_Curves/meltCurve_P62877_RBX1.pdf</v>
      </c>
    </row>
    <row r="3158" spans="1:28" x14ac:dyDescent="0.25">
      <c r="A3158" t="s">
        <v>3162</v>
      </c>
      <c r="B3158">
        <v>0.99999676499088797</v>
      </c>
      <c r="C3158">
        <v>1.1604544493074</v>
      </c>
      <c r="D3158">
        <v>1.09939979890721</v>
      </c>
      <c r="E3158">
        <v>1.2404536452570101</v>
      </c>
      <c r="F3158">
        <v>0.99840883744381703</v>
      </c>
      <c r="G3158">
        <v>0.56114566368539598</v>
      </c>
      <c r="H3158">
        <v>9.6003958346899496E-2</v>
      </c>
      <c r="I3158">
        <v>7.4568554384653402E-2</v>
      </c>
      <c r="J3158">
        <v>5.90277425805876E-2</v>
      </c>
      <c r="K3158">
        <v>4.8374232319647999E-2</v>
      </c>
      <c r="L3158">
        <v>3394.7678308434602</v>
      </c>
      <c r="M3158">
        <v>59.633494818089098</v>
      </c>
      <c r="N3158">
        <v>57.057754775495503</v>
      </c>
      <c r="O3158">
        <v>56.8632950339262</v>
      </c>
      <c r="P3158">
        <v>-0.24545918040717099</v>
      </c>
      <c r="Q3158">
        <v>6.3773815143598894E-2</v>
      </c>
      <c r="R3158">
        <v>0.96092156479757795</v>
      </c>
      <c r="S3158" t="s">
        <v>10161</v>
      </c>
      <c r="T3158" t="s">
        <v>14004</v>
      </c>
      <c r="U3158" t="s">
        <v>14004</v>
      </c>
      <c r="V3158" t="s">
        <v>14004</v>
      </c>
      <c r="W3158" t="s">
        <v>17119</v>
      </c>
      <c r="X3158">
        <v>12</v>
      </c>
      <c r="Y3158" t="s">
        <v>23984</v>
      </c>
      <c r="Z3158" t="s">
        <v>30868</v>
      </c>
      <c r="AA3158">
        <v>0.59367933539115003</v>
      </c>
      <c r="AB3158" t="str">
        <f>HYPERLINK("Melting_Curves/meltCurve_P62879_GNB2.pdf", "Melting_Curves/meltCurve_P62879_GNB2.pdf")</f>
        <v>Melting_Curves/meltCurve_P62879_GNB2.pdf</v>
      </c>
    </row>
    <row r="3159" spans="1:28" x14ac:dyDescent="0.25">
      <c r="A3159" t="s">
        <v>3163</v>
      </c>
      <c r="B3159">
        <v>0.99999676499088797</v>
      </c>
      <c r="C3159">
        <v>0.91593894007162602</v>
      </c>
      <c r="D3159">
        <v>0.89858400356434498</v>
      </c>
      <c r="E3159">
        <v>0.67145571609120902</v>
      </c>
      <c r="F3159">
        <v>0.62174939232264204</v>
      </c>
      <c r="G3159">
        <v>0.68361284301192804</v>
      </c>
      <c r="H3159">
        <v>0.381973030844175</v>
      </c>
      <c r="I3159">
        <v>0.17632359784367799</v>
      </c>
      <c r="J3159">
        <v>0.12140701676707701</v>
      </c>
      <c r="K3159">
        <v>8.0284467310978699E-2</v>
      </c>
      <c r="L3159">
        <v>538.63156143391905</v>
      </c>
      <c r="M3159">
        <v>9.5177021483566406</v>
      </c>
      <c r="N3159">
        <v>56.592618701543103</v>
      </c>
      <c r="O3159">
        <v>54.263275090485699</v>
      </c>
      <c r="P3159">
        <v>-4.3875401955641199E-2</v>
      </c>
      <c r="Q3159">
        <v>0</v>
      </c>
      <c r="R3159">
        <v>0.93578487518581099</v>
      </c>
      <c r="S3159" t="s">
        <v>10162</v>
      </c>
      <c r="T3159" t="s">
        <v>14004</v>
      </c>
      <c r="U3159" t="s">
        <v>14004</v>
      </c>
      <c r="V3159" t="s">
        <v>14004</v>
      </c>
      <c r="W3159" t="s">
        <v>17120</v>
      </c>
      <c r="X3159">
        <v>9</v>
      </c>
      <c r="Y3159" t="s">
        <v>23985</v>
      </c>
      <c r="Z3159" t="s">
        <v>30869</v>
      </c>
      <c r="AA3159">
        <v>0.57072896270067963</v>
      </c>
      <c r="AB3159" t="str">
        <f>HYPERLINK("Melting_Curves/meltCurve_P62888_RPL30.pdf", "Melting_Curves/meltCurve_P62888_RPL30.pdf")</f>
        <v>Melting_Curves/meltCurve_P62888_RPL30.pdf</v>
      </c>
    </row>
    <row r="3160" spans="1:28" x14ac:dyDescent="0.25">
      <c r="A3160" t="s">
        <v>3164</v>
      </c>
      <c r="B3160">
        <v>0.99999676499088797</v>
      </c>
      <c r="C3160">
        <v>1.11712498179216</v>
      </c>
      <c r="D3160">
        <v>1.13929688580206</v>
      </c>
      <c r="E3160">
        <v>0.95131131010190195</v>
      </c>
      <c r="F3160">
        <v>0.83729596045801702</v>
      </c>
      <c r="G3160">
        <v>0.79980213046371396</v>
      </c>
      <c r="H3160">
        <v>0.43570277922577999</v>
      </c>
      <c r="I3160">
        <v>0.74973244276378803</v>
      </c>
      <c r="J3160">
        <v>1.09238709226931</v>
      </c>
      <c r="K3160">
        <v>1.0364461023298901</v>
      </c>
      <c r="L3160">
        <v>3964.6594035027701</v>
      </c>
      <c r="M3160">
        <v>78.946312059521802</v>
      </c>
      <c r="O3160">
        <v>50.187494897436103</v>
      </c>
      <c r="P3160">
        <v>-6.8888807491714693E-2</v>
      </c>
      <c r="Q3160">
        <v>0.82482494234583803</v>
      </c>
      <c r="R3160">
        <v>0.27220109185697999</v>
      </c>
      <c r="S3160" t="s">
        <v>10163</v>
      </c>
      <c r="T3160" t="s">
        <v>14004</v>
      </c>
      <c r="U3160" t="s">
        <v>14004</v>
      </c>
      <c r="V3160" t="s">
        <v>14004</v>
      </c>
      <c r="W3160" t="s">
        <v>17121</v>
      </c>
      <c r="X3160">
        <v>8</v>
      </c>
      <c r="Y3160" t="s">
        <v>23986</v>
      </c>
      <c r="Z3160" t="s">
        <v>30870</v>
      </c>
      <c r="AA3160">
        <v>0.88465457529693292</v>
      </c>
      <c r="AB3160" t="str">
        <f>HYPERLINK("Melting_Curves/meltCurve_P62899_RPL31.pdf", "Melting_Curves/meltCurve_P62899_RPL31.pdf")</f>
        <v>Melting_Curves/meltCurve_P62899_RPL31.pdf</v>
      </c>
    </row>
    <row r="3161" spans="1:28" x14ac:dyDescent="0.25">
      <c r="A3161" t="s">
        <v>3165</v>
      </c>
      <c r="B3161">
        <v>0.99999676499088797</v>
      </c>
      <c r="C3161">
        <v>0.78872994954826603</v>
      </c>
      <c r="D3161">
        <v>0.646799026590547</v>
      </c>
      <c r="E3161">
        <v>0.64010091097777699</v>
      </c>
      <c r="F3161">
        <v>0.69486499269428403</v>
      </c>
      <c r="G3161">
        <v>0.47635883465114298</v>
      </c>
      <c r="H3161">
        <v>8.5466307585421397E-2</v>
      </c>
      <c r="I3161">
        <v>8.4560787794988795E-2</v>
      </c>
      <c r="J3161">
        <v>7.4018567756292994E-2</v>
      </c>
      <c r="K3161">
        <v>7.45653620986408E-2</v>
      </c>
      <c r="L3161">
        <v>478.598109260282</v>
      </c>
      <c r="M3161">
        <v>9.0478348334859504</v>
      </c>
      <c r="N3161">
        <v>52.896422886524903</v>
      </c>
      <c r="O3161">
        <v>50.504334002672302</v>
      </c>
      <c r="P3161">
        <v>-4.4819298384478998E-2</v>
      </c>
      <c r="Q3161">
        <v>0</v>
      </c>
      <c r="R3161">
        <v>0.88338483218063402</v>
      </c>
      <c r="S3161" t="s">
        <v>10164</v>
      </c>
      <c r="T3161" t="s">
        <v>14004</v>
      </c>
      <c r="U3161" t="s">
        <v>14004</v>
      </c>
      <c r="V3161" t="s">
        <v>14004</v>
      </c>
      <c r="W3161" t="s">
        <v>17122</v>
      </c>
      <c r="X3161">
        <v>10</v>
      </c>
      <c r="Y3161" t="s">
        <v>23987</v>
      </c>
      <c r="Z3161" t="s">
        <v>30871</v>
      </c>
      <c r="AA3161">
        <v>0.46762135364156238</v>
      </c>
      <c r="AB3161" t="str">
        <f>HYPERLINK("Melting_Curves/meltCurve_P62906_RPL10A.pdf", "Melting_Curves/meltCurve_P62906_RPL10A.pdf")</f>
        <v>Melting_Curves/meltCurve_P62906_RPL10A.pdf</v>
      </c>
    </row>
    <row r="3162" spans="1:28" x14ac:dyDescent="0.25">
      <c r="A3162" t="s">
        <v>3166</v>
      </c>
      <c r="B3162">
        <v>0.99999676499088797</v>
      </c>
      <c r="C3162">
        <v>1.01488523715992</v>
      </c>
      <c r="D3162">
        <v>0.89006396478703698</v>
      </c>
      <c r="E3162">
        <v>0.89567433448739298</v>
      </c>
      <c r="F3162">
        <v>0.65259724653094997</v>
      </c>
      <c r="G3162">
        <v>0.45504956750476699</v>
      </c>
      <c r="H3162">
        <v>0.11434151307170901</v>
      </c>
      <c r="I3162">
        <v>6.9937112061901702E-2</v>
      </c>
      <c r="J3162">
        <v>5.8270741338116099E-2</v>
      </c>
      <c r="K3162">
        <v>5.1165647097023099E-2</v>
      </c>
      <c r="L3162">
        <v>958.40759484742102</v>
      </c>
      <c r="M3162">
        <v>17.301096066853901</v>
      </c>
      <c r="N3162">
        <v>55.395775334963098</v>
      </c>
      <c r="O3162">
        <v>54.671580176248803</v>
      </c>
      <c r="P3162">
        <v>-7.9118318016311098E-2</v>
      </c>
      <c r="Q3162">
        <v>0</v>
      </c>
      <c r="R3162">
        <v>0.989660784068078</v>
      </c>
      <c r="S3162" t="s">
        <v>10165</v>
      </c>
      <c r="T3162" t="s">
        <v>14004</v>
      </c>
      <c r="U3162" t="s">
        <v>14004</v>
      </c>
      <c r="V3162" t="s">
        <v>14004</v>
      </c>
      <c r="W3162" t="s">
        <v>17123</v>
      </c>
      <c r="X3162">
        <v>15</v>
      </c>
      <c r="Y3162" t="s">
        <v>23988</v>
      </c>
      <c r="Z3162" t="s">
        <v>30872</v>
      </c>
      <c r="AA3162">
        <v>0.52917411403962999</v>
      </c>
      <c r="AB3162" t="str">
        <f>HYPERLINK("Melting_Curves/meltCurve_P62913_2_RPL11.pdf", "Melting_Curves/meltCurve_P62913_2_RPL11.pdf")</f>
        <v>Melting_Curves/meltCurve_P62913_2_RPL11.pdf</v>
      </c>
    </row>
    <row r="3163" spans="1:28" x14ac:dyDescent="0.25">
      <c r="A3163" t="s">
        <v>3167</v>
      </c>
      <c r="B3163">
        <v>0.99999676499088797</v>
      </c>
      <c r="C3163">
        <v>0.93789994565858403</v>
      </c>
      <c r="D3163">
        <v>0.75418848213612699</v>
      </c>
      <c r="E3163">
        <v>0.62330114846391504</v>
      </c>
      <c r="F3163">
        <v>0.25271413834191098</v>
      </c>
      <c r="G3163">
        <v>0.15109850307422401</v>
      </c>
      <c r="H3163">
        <v>8.47527091629037E-2</v>
      </c>
      <c r="I3163">
        <v>9.6088536797226703E-2</v>
      </c>
      <c r="J3163">
        <v>0.11263332776337801</v>
      </c>
      <c r="K3163">
        <v>0.11546523905900299</v>
      </c>
      <c r="L3163">
        <v>878.175376505092</v>
      </c>
      <c r="M3163">
        <v>17.696268981246501</v>
      </c>
      <c r="N3163">
        <v>50.122874779907498</v>
      </c>
      <c r="O3163">
        <v>49.004196283708303</v>
      </c>
      <c r="P3163">
        <v>-8.3005906373218696E-2</v>
      </c>
      <c r="Q3163">
        <v>8.06145400634352E-2</v>
      </c>
      <c r="R3163">
        <v>0.98793992088293803</v>
      </c>
      <c r="S3163" t="s">
        <v>10166</v>
      </c>
      <c r="T3163" t="s">
        <v>14004</v>
      </c>
      <c r="U3163" t="s">
        <v>14004</v>
      </c>
      <c r="V3163" t="s">
        <v>14004</v>
      </c>
      <c r="W3163" t="s">
        <v>17124</v>
      </c>
      <c r="X3163">
        <v>19</v>
      </c>
      <c r="Y3163" t="s">
        <v>23989</v>
      </c>
      <c r="Z3163" t="s">
        <v>30873</v>
      </c>
      <c r="AA3163">
        <v>0.39186708839687617</v>
      </c>
      <c r="AB3163" t="str">
        <f>HYPERLINK("Melting_Curves/meltCurve_P62937_PPIA.pdf", "Melting_Curves/meltCurve_P62937_PPIA.pdf")</f>
        <v>Melting_Curves/meltCurve_P62937_PPIA.pdf</v>
      </c>
    </row>
    <row r="3164" spans="1:28" x14ac:dyDescent="0.25">
      <c r="A3164" t="s">
        <v>3168</v>
      </c>
      <c r="B3164">
        <v>0.99999676499088797</v>
      </c>
      <c r="C3164">
        <v>0.87681592587094404</v>
      </c>
      <c r="D3164">
        <v>0.85939996055781798</v>
      </c>
      <c r="E3164">
        <v>0.72590252444173198</v>
      </c>
      <c r="F3164">
        <v>0.60813470529020297</v>
      </c>
      <c r="G3164">
        <v>0.39978470485804302</v>
      </c>
      <c r="H3164">
        <v>0.144109215499514</v>
      </c>
      <c r="I3164">
        <v>0.14884251526755499</v>
      </c>
      <c r="J3164">
        <v>0.14438040716263101</v>
      </c>
      <c r="K3164">
        <v>0.119085171759273</v>
      </c>
      <c r="L3164">
        <v>594.88493103430301</v>
      </c>
      <c r="M3164">
        <v>11.0126252202593</v>
      </c>
      <c r="N3164">
        <v>54.166878017769903</v>
      </c>
      <c r="O3164">
        <v>52.328934514101697</v>
      </c>
      <c r="P3164">
        <v>-5.1847925502535003E-2</v>
      </c>
      <c r="Q3164">
        <v>1.4863172498837901E-2</v>
      </c>
      <c r="R3164">
        <v>0.98192626222827994</v>
      </c>
      <c r="S3164" t="s">
        <v>10167</v>
      </c>
      <c r="T3164" t="s">
        <v>14004</v>
      </c>
      <c r="U3164" t="s">
        <v>14004</v>
      </c>
      <c r="V3164" t="s">
        <v>14004</v>
      </c>
      <c r="W3164" t="s">
        <v>17125</v>
      </c>
      <c r="X3164">
        <v>8</v>
      </c>
      <c r="Y3164" t="s">
        <v>23990</v>
      </c>
      <c r="Z3164" t="s">
        <v>30874</v>
      </c>
      <c r="AA3164">
        <v>0.50285116900957194</v>
      </c>
      <c r="AB3164" t="str">
        <f>HYPERLINK("Melting_Curves/meltCurve_P62942_FKBP1A.pdf", "Melting_Curves/meltCurve_P62942_FKBP1A.pdf")</f>
        <v>Melting_Curves/meltCurve_P62942_FKBP1A.pdf</v>
      </c>
    </row>
    <row r="3165" spans="1:28" x14ac:dyDescent="0.25">
      <c r="A3165" t="s">
        <v>3169</v>
      </c>
      <c r="B3165">
        <v>0.99999676499088797</v>
      </c>
      <c r="C3165">
        <v>0.85266662508314695</v>
      </c>
      <c r="D3165">
        <v>0.88310432121905102</v>
      </c>
      <c r="E3165">
        <v>0.90048477539062899</v>
      </c>
      <c r="F3165">
        <v>0.86821113115639703</v>
      </c>
      <c r="G3165">
        <v>0.67541727162646803</v>
      </c>
      <c r="H3165">
        <v>0.43970971807086701</v>
      </c>
      <c r="I3165">
        <v>0.39223754412765899</v>
      </c>
      <c r="J3165">
        <v>0.35470592313930599</v>
      </c>
      <c r="K3165">
        <v>0.56243765133509505</v>
      </c>
      <c r="L3165">
        <v>1329.0138795949599</v>
      </c>
      <c r="M3165">
        <v>23.887433327525699</v>
      </c>
      <c r="N3165">
        <v>60.1929283756172</v>
      </c>
      <c r="O3165">
        <v>55.251014376118</v>
      </c>
      <c r="P3165">
        <v>-6.2904305523982296E-2</v>
      </c>
      <c r="Q3165">
        <v>0.41802529947259998</v>
      </c>
      <c r="R3165">
        <v>0.86382735693785295</v>
      </c>
      <c r="S3165" t="s">
        <v>10168</v>
      </c>
      <c r="T3165" t="s">
        <v>14004</v>
      </c>
      <c r="U3165" t="s">
        <v>14004</v>
      </c>
      <c r="V3165" t="s">
        <v>14004</v>
      </c>
      <c r="W3165" t="s">
        <v>17126</v>
      </c>
      <c r="X3165">
        <v>13</v>
      </c>
      <c r="Y3165" t="s">
        <v>23991</v>
      </c>
      <c r="Z3165" t="s">
        <v>30875</v>
      </c>
      <c r="AA3165">
        <v>0.72714818565926465</v>
      </c>
      <c r="AB3165" t="str">
        <f>HYPERLINK("Melting_Curves/meltCurve_P62979_RPS27A.pdf", "Melting_Curves/meltCurve_P62979_RPS27A.pdf")</f>
        <v>Melting_Curves/meltCurve_P62979_RPS27A.pdf</v>
      </c>
    </row>
    <row r="3166" spans="1:28" x14ac:dyDescent="0.25">
      <c r="A3166" t="s">
        <v>3170</v>
      </c>
      <c r="B3166">
        <v>0.99999676499088797</v>
      </c>
      <c r="C3166">
        <v>1.63283741595816</v>
      </c>
      <c r="D3166">
        <v>1.2009855240342799</v>
      </c>
      <c r="E3166">
        <v>0.40809462205191099</v>
      </c>
      <c r="F3166">
        <v>0.21452026220203099</v>
      </c>
      <c r="G3166">
        <v>0.31118732979987401</v>
      </c>
      <c r="H3166">
        <v>0.15392208269469099</v>
      </c>
      <c r="I3166">
        <v>0.36834711340992399</v>
      </c>
      <c r="J3166">
        <v>0.40172253945277597</v>
      </c>
      <c r="K3166">
        <v>9.9247760302718396E-2</v>
      </c>
      <c r="L3166">
        <v>12331.8926058365</v>
      </c>
      <c r="M3166">
        <v>250</v>
      </c>
      <c r="N3166">
        <v>49.471286690759101</v>
      </c>
      <c r="O3166">
        <v>49.324390713626599</v>
      </c>
      <c r="P3166">
        <v>-0.94000376158009802</v>
      </c>
      <c r="Q3166">
        <v>0.25815784638537298</v>
      </c>
      <c r="R3166">
        <v>0.78520209269073404</v>
      </c>
      <c r="S3166" t="s">
        <v>10169</v>
      </c>
      <c r="T3166" t="s">
        <v>14004</v>
      </c>
      <c r="U3166" t="s">
        <v>14004</v>
      </c>
      <c r="V3166" t="s">
        <v>14004</v>
      </c>
      <c r="W3166" t="s">
        <v>17127</v>
      </c>
      <c r="X3166">
        <v>13</v>
      </c>
      <c r="Y3166" t="s">
        <v>23992</v>
      </c>
      <c r="Z3166" t="s">
        <v>30876</v>
      </c>
      <c r="AA3166">
        <v>0.48887489803482942</v>
      </c>
      <c r="AB3166" t="str">
        <f>HYPERLINK("Melting_Curves/meltCurve_P62987_UBA52.pdf", "Melting_Curves/meltCurve_P62987_UBA52.pdf")</f>
        <v>Melting_Curves/meltCurve_P62987_UBA52.pdf</v>
      </c>
    </row>
    <row r="3167" spans="1:28" x14ac:dyDescent="0.25">
      <c r="A3167" t="s">
        <v>3171</v>
      </c>
      <c r="B3167">
        <v>0.99999676499088797</v>
      </c>
      <c r="C3167">
        <v>0.91908451502091804</v>
      </c>
      <c r="D3167">
        <v>0.90951257110482997</v>
      </c>
      <c r="E3167">
        <v>0.81964201287189198</v>
      </c>
      <c r="F3167">
        <v>0.45920726656349098</v>
      </c>
      <c r="G3167">
        <v>0.20220169379390801</v>
      </c>
      <c r="H3167">
        <v>0.109706116740464</v>
      </c>
      <c r="I3167">
        <v>9.2668710424171893E-2</v>
      </c>
      <c r="J3167">
        <v>9.5251596088123405E-2</v>
      </c>
      <c r="K3167">
        <v>0.104513621291893</v>
      </c>
      <c r="L3167">
        <v>1188.0789052479099</v>
      </c>
      <c r="M3167">
        <v>22.705056964122001</v>
      </c>
      <c r="N3167">
        <v>52.752205523076</v>
      </c>
      <c r="O3167">
        <v>51.925783382032598</v>
      </c>
      <c r="P3167">
        <v>-0.100168497497149</v>
      </c>
      <c r="Q3167">
        <v>8.3688667139874801E-2</v>
      </c>
      <c r="R3167">
        <v>0.99328101041552397</v>
      </c>
      <c r="S3167" t="s">
        <v>10170</v>
      </c>
      <c r="T3167" t="s">
        <v>14004</v>
      </c>
      <c r="U3167" t="s">
        <v>14004</v>
      </c>
      <c r="V3167" t="s">
        <v>14004</v>
      </c>
      <c r="W3167" t="s">
        <v>17128</v>
      </c>
      <c r="X3167">
        <v>23</v>
      </c>
      <c r="Y3167" t="s">
        <v>23993</v>
      </c>
      <c r="Z3167" t="s">
        <v>30877</v>
      </c>
      <c r="AA3167">
        <v>0.47024951073593751</v>
      </c>
      <c r="AB3167" t="str">
        <f>HYPERLINK("Melting_Curves/meltCurve_P62993_GRB2.pdf", "Melting_Curves/meltCurve_P62993_GRB2.pdf")</f>
        <v>Melting_Curves/meltCurve_P62993_GRB2.pdf</v>
      </c>
    </row>
    <row r="3168" spans="1:28" x14ac:dyDescent="0.25">
      <c r="A3168" t="s">
        <v>3172</v>
      </c>
      <c r="B3168">
        <v>0.99999676499088797</v>
      </c>
      <c r="C3168">
        <v>0.92869580961295595</v>
      </c>
      <c r="D3168">
        <v>0.82570667571735301</v>
      </c>
      <c r="E3168">
        <v>0.71835493324989197</v>
      </c>
      <c r="F3168">
        <v>0.63799217930942198</v>
      </c>
      <c r="G3168">
        <v>0.65328230182797398</v>
      </c>
      <c r="H3168">
        <v>0.43584407294708399</v>
      </c>
      <c r="I3168">
        <v>0.50415317974912099</v>
      </c>
      <c r="J3168">
        <v>0.541956430303287</v>
      </c>
      <c r="K3168">
        <v>0.54822926554437901</v>
      </c>
      <c r="L3168">
        <v>624.18924478486701</v>
      </c>
      <c r="M3168">
        <v>12.799206002456501</v>
      </c>
      <c r="O3168">
        <v>47.623336593790697</v>
      </c>
      <c r="P3168">
        <v>-3.32833761885643E-2</v>
      </c>
      <c r="Q3168">
        <v>0.504729284610131</v>
      </c>
      <c r="R3168">
        <v>0.93459165704119596</v>
      </c>
      <c r="S3168" t="s">
        <v>10171</v>
      </c>
      <c r="T3168" t="s">
        <v>14004</v>
      </c>
      <c r="U3168" t="s">
        <v>14004</v>
      </c>
      <c r="V3168" t="s">
        <v>14004</v>
      </c>
      <c r="W3168" t="s">
        <v>17129</v>
      </c>
      <c r="X3168">
        <v>11</v>
      </c>
      <c r="Y3168" t="s">
        <v>23994</v>
      </c>
      <c r="Z3168" t="s">
        <v>30878</v>
      </c>
      <c r="AA3168">
        <v>0.66598383253579796</v>
      </c>
      <c r="AB3168" t="str">
        <f>HYPERLINK("Melting_Curves/meltCurve_P62995_3_TRA2B.pdf", "Melting_Curves/meltCurve_P62995_3_TRA2B.pdf")</f>
        <v>Melting_Curves/meltCurve_P62995_3_TRA2B.pdf</v>
      </c>
    </row>
    <row r="3169" spans="1:28" x14ac:dyDescent="0.25">
      <c r="A3169" t="s">
        <v>3173</v>
      </c>
      <c r="B3169">
        <v>0.99999676499088797</v>
      </c>
      <c r="C3169">
        <v>1.0818229460901501</v>
      </c>
      <c r="D3169">
        <v>0.91607513956352105</v>
      </c>
      <c r="E3169">
        <v>0.73182137475655196</v>
      </c>
      <c r="F3169">
        <v>0.60458726118665995</v>
      </c>
      <c r="G3169">
        <v>0.462639886312529</v>
      </c>
      <c r="H3169">
        <v>0.248583659859682</v>
      </c>
      <c r="I3169">
        <v>0.17177702851148899</v>
      </c>
      <c r="J3169">
        <v>7.7700266936721496E-2</v>
      </c>
      <c r="K3169">
        <v>4.8035347971783902E-2</v>
      </c>
      <c r="L3169">
        <v>665.39679004301195</v>
      </c>
      <c r="M3169">
        <v>12.0539009362698</v>
      </c>
      <c r="N3169">
        <v>55.201780197755497</v>
      </c>
      <c r="O3169">
        <v>53.748320049944397</v>
      </c>
      <c r="P3169">
        <v>-5.6079691095985297E-2</v>
      </c>
      <c r="Q3169">
        <v>0</v>
      </c>
      <c r="R3169">
        <v>0.98496761398799104</v>
      </c>
      <c r="S3169" t="s">
        <v>10172</v>
      </c>
      <c r="T3169" t="s">
        <v>14004</v>
      </c>
      <c r="U3169" t="s">
        <v>14004</v>
      </c>
      <c r="V3169" t="s">
        <v>14004</v>
      </c>
      <c r="W3169" t="s">
        <v>17130</v>
      </c>
      <c r="X3169">
        <v>12</v>
      </c>
      <c r="Y3169" t="s">
        <v>23995</v>
      </c>
      <c r="Z3169" t="s">
        <v>30879</v>
      </c>
      <c r="AA3169">
        <v>0.52952806646155004</v>
      </c>
      <c r="AB3169" t="str">
        <f>HYPERLINK("Melting_Curves/meltCurve_P63000_RAC1.pdf", "Melting_Curves/meltCurve_P63000_RAC1.pdf")</f>
        <v>Melting_Curves/meltCurve_P63000_RAC1.pdf</v>
      </c>
    </row>
    <row r="3170" spans="1:28" x14ac:dyDescent="0.25">
      <c r="A3170" t="s">
        <v>3174</v>
      </c>
      <c r="B3170">
        <v>0.99999676499088797</v>
      </c>
      <c r="C3170">
        <v>0.99669019884751797</v>
      </c>
      <c r="D3170">
        <v>1.0190966736570499</v>
      </c>
      <c r="E3170">
        <v>1.0768237773368601</v>
      </c>
      <c r="F3170">
        <v>0.50624428672483501</v>
      </c>
      <c r="G3170">
        <v>0.18142748915474799</v>
      </c>
      <c r="H3170">
        <v>8.1415018527179403E-2</v>
      </c>
      <c r="I3170">
        <v>7.3645751297851794E-2</v>
      </c>
      <c r="J3170">
        <v>6.7122065428810995E-2</v>
      </c>
      <c r="K3170">
        <v>5.0058870464220098E-2</v>
      </c>
      <c r="L3170">
        <v>3128.4362209057699</v>
      </c>
      <c r="M3170">
        <v>58.912938744419399</v>
      </c>
      <c r="N3170">
        <v>53.272185681037797</v>
      </c>
      <c r="O3170">
        <v>53.041618641109103</v>
      </c>
      <c r="P3170">
        <v>-0.25394437918885798</v>
      </c>
      <c r="Q3170">
        <v>8.5456251403678907E-2</v>
      </c>
      <c r="R3170">
        <v>0.99157594043416397</v>
      </c>
      <c r="S3170" t="s">
        <v>10173</v>
      </c>
      <c r="T3170" t="s">
        <v>14004</v>
      </c>
      <c r="U3170" t="s">
        <v>14004</v>
      </c>
      <c r="V3170" t="s">
        <v>14004</v>
      </c>
      <c r="W3170" t="s">
        <v>17131</v>
      </c>
      <c r="X3170">
        <v>48</v>
      </c>
      <c r="Y3170" t="s">
        <v>23996</v>
      </c>
      <c r="Z3170" t="s">
        <v>30880</v>
      </c>
      <c r="AA3170">
        <v>0.48642998318238562</v>
      </c>
      <c r="AB3170" t="str">
        <f>HYPERLINK("Melting_Curves/meltCurve_P63010_AP2B1.pdf", "Melting_Curves/meltCurve_P63010_AP2B1.pdf")</f>
        <v>Melting_Curves/meltCurve_P63010_AP2B1.pdf</v>
      </c>
    </row>
    <row r="3171" spans="1:28" x14ac:dyDescent="0.25">
      <c r="A3171" t="s">
        <v>3175</v>
      </c>
      <c r="B3171">
        <v>0.99999676499088797</v>
      </c>
      <c r="C3171">
        <v>0.93422463181535398</v>
      </c>
      <c r="D3171">
        <v>0.893294486852517</v>
      </c>
      <c r="E3171">
        <v>0.59602924148379299</v>
      </c>
      <c r="F3171">
        <v>0.43069446269584899</v>
      </c>
      <c r="G3171">
        <v>0.283149480898161</v>
      </c>
      <c r="H3171">
        <v>0.18826940069290199</v>
      </c>
      <c r="I3171">
        <v>0.20455500175740601</v>
      </c>
      <c r="J3171">
        <v>0.157083630065672</v>
      </c>
      <c r="K3171">
        <v>0.177121938608339</v>
      </c>
      <c r="L3171">
        <v>828.78273471557804</v>
      </c>
      <c r="M3171">
        <v>16.452381300410401</v>
      </c>
      <c r="N3171">
        <v>51.599205534780602</v>
      </c>
      <c r="O3171">
        <v>49.648044144875001</v>
      </c>
      <c r="P3171">
        <v>-6.9460232082232995E-2</v>
      </c>
      <c r="Q3171">
        <v>0.161623402852409</v>
      </c>
      <c r="R3171">
        <v>0.99507980764970405</v>
      </c>
      <c r="S3171" t="s">
        <v>10174</v>
      </c>
      <c r="T3171" t="s">
        <v>14004</v>
      </c>
      <c r="U3171" t="s">
        <v>14004</v>
      </c>
      <c r="V3171" t="s">
        <v>14004</v>
      </c>
      <c r="W3171" t="s">
        <v>17132</v>
      </c>
      <c r="X3171">
        <v>21</v>
      </c>
      <c r="Y3171" t="s">
        <v>23997</v>
      </c>
      <c r="Z3171" t="s">
        <v>30881</v>
      </c>
      <c r="AA3171">
        <v>0.46833220495155031</v>
      </c>
      <c r="AB3171" t="str">
        <f>HYPERLINK("Melting_Curves/meltCurve_P63092_GNAS.pdf", "Melting_Curves/meltCurve_P63092_GNAS.pdf")</f>
        <v>Melting_Curves/meltCurve_P63092_GNAS.pdf</v>
      </c>
    </row>
    <row r="3172" spans="1:28" x14ac:dyDescent="0.25">
      <c r="A3172" t="s">
        <v>3176</v>
      </c>
      <c r="B3172">
        <v>0.99999676499088797</v>
      </c>
      <c r="C3172">
        <v>0.94412203754954704</v>
      </c>
      <c r="D3172">
        <v>0.89429050246173403</v>
      </c>
      <c r="E3172">
        <v>0.79667625305001699</v>
      </c>
      <c r="F3172">
        <v>0.53694002068201896</v>
      </c>
      <c r="G3172">
        <v>0.33104808220787002</v>
      </c>
      <c r="H3172">
        <v>8.6671553216364702E-2</v>
      </c>
      <c r="I3172">
        <v>9.2916032732053302E-2</v>
      </c>
      <c r="J3172">
        <v>8.5487037627097195E-2</v>
      </c>
      <c r="K3172">
        <v>8.1171907124174505E-2</v>
      </c>
      <c r="L3172">
        <v>856.58088020374305</v>
      </c>
      <c r="M3172">
        <v>16.0401379177056</v>
      </c>
      <c r="N3172">
        <v>53.640973860251897</v>
      </c>
      <c r="O3172">
        <v>52.592988569526398</v>
      </c>
      <c r="P3172">
        <v>-7.3626799628214598E-2</v>
      </c>
      <c r="Q3172">
        <v>3.4434059704105499E-2</v>
      </c>
      <c r="R3172">
        <v>0.99324242872699198</v>
      </c>
      <c r="S3172" t="s">
        <v>10175</v>
      </c>
      <c r="T3172" t="s">
        <v>14004</v>
      </c>
      <c r="U3172" t="s">
        <v>14004</v>
      </c>
      <c r="V3172" t="s">
        <v>14004</v>
      </c>
      <c r="W3172" t="s">
        <v>17133</v>
      </c>
      <c r="X3172">
        <v>22</v>
      </c>
      <c r="Y3172" t="s">
        <v>23997</v>
      </c>
      <c r="Z3172" t="s">
        <v>30882</v>
      </c>
      <c r="AA3172">
        <v>0.48440887424940349</v>
      </c>
      <c r="AB3172" t="str">
        <f>HYPERLINK("Melting_Curves/meltCurve_P63092_3_GNAS.pdf", "Melting_Curves/meltCurve_P63092_3_GNAS.pdf")</f>
        <v>Melting_Curves/meltCurve_P63092_3_GNAS.pdf</v>
      </c>
    </row>
    <row r="3173" spans="1:28" x14ac:dyDescent="0.25">
      <c r="A3173" t="s">
        <v>3177</v>
      </c>
      <c r="B3173">
        <v>0.99999676499088797</v>
      </c>
      <c r="C3173">
        <v>1.0753438203857899</v>
      </c>
      <c r="D3173">
        <v>0.99723502158679</v>
      </c>
      <c r="E3173">
        <v>0.86901973934882404</v>
      </c>
      <c r="F3173">
        <v>0.79239610607730304</v>
      </c>
      <c r="G3173">
        <v>0.53438290430289903</v>
      </c>
      <c r="H3173">
        <v>0.14604716350736499</v>
      </c>
      <c r="I3173">
        <v>9.5594841939121697E-2</v>
      </c>
      <c r="J3173">
        <v>7.0805563196134305E-2</v>
      </c>
      <c r="K3173">
        <v>6.47391079566116E-2</v>
      </c>
      <c r="L3173">
        <v>1185.40927826444</v>
      </c>
      <c r="M3173">
        <v>20.983792334812801</v>
      </c>
      <c r="N3173">
        <v>56.634677881980402</v>
      </c>
      <c r="O3173">
        <v>55.986106549755199</v>
      </c>
      <c r="P3173">
        <v>-9.1285389504758396E-2</v>
      </c>
      <c r="Q3173">
        <v>2.5805025405058999E-2</v>
      </c>
      <c r="R3173">
        <v>0.98860472496683605</v>
      </c>
      <c r="S3173" t="s">
        <v>10176</v>
      </c>
      <c r="T3173" t="s">
        <v>14004</v>
      </c>
      <c r="U3173" t="s">
        <v>14004</v>
      </c>
      <c r="V3173" t="s">
        <v>14004</v>
      </c>
      <c r="W3173" t="s">
        <v>17134</v>
      </c>
      <c r="X3173">
        <v>28</v>
      </c>
      <c r="Y3173" t="s">
        <v>23998</v>
      </c>
      <c r="Z3173" t="s">
        <v>30883</v>
      </c>
      <c r="AA3173">
        <v>0.57285949203862951</v>
      </c>
      <c r="AB3173" t="str">
        <f>HYPERLINK("Melting_Curves/meltCurve_P63104_YWHAZ.pdf", "Melting_Curves/meltCurve_P63104_YWHAZ.pdf")</f>
        <v>Melting_Curves/meltCurve_P63104_YWHAZ.pdf</v>
      </c>
    </row>
    <row r="3174" spans="1:28" x14ac:dyDescent="0.25">
      <c r="A3174" t="s">
        <v>3178</v>
      </c>
      <c r="B3174">
        <v>0.99999676499088797</v>
      </c>
      <c r="C3174">
        <v>0.97454030042892803</v>
      </c>
      <c r="D3174">
        <v>0.97488852322189001</v>
      </c>
      <c r="E3174">
        <v>0.898831295168947</v>
      </c>
      <c r="F3174">
        <v>0.45745876683144598</v>
      </c>
      <c r="G3174">
        <v>0.25793339019567002</v>
      </c>
      <c r="H3174">
        <v>0.159224126849421</v>
      </c>
      <c r="I3174">
        <v>0.15911140091641701</v>
      </c>
      <c r="J3174">
        <v>0.151077151143167</v>
      </c>
      <c r="K3174">
        <v>0.17709695455654301</v>
      </c>
      <c r="L3174">
        <v>1708.4286506558501</v>
      </c>
      <c r="M3174">
        <v>32.641448641758203</v>
      </c>
      <c r="N3174">
        <v>52.986596752290197</v>
      </c>
      <c r="O3174">
        <v>52.143968150730998</v>
      </c>
      <c r="P3174">
        <v>-0.13076385385763001</v>
      </c>
      <c r="Q3174">
        <v>0.164434819839991</v>
      </c>
      <c r="R3174">
        <v>0.99767891330134295</v>
      </c>
      <c r="S3174" t="s">
        <v>10177</v>
      </c>
      <c r="T3174" t="s">
        <v>14004</v>
      </c>
      <c r="U3174" t="s">
        <v>14004</v>
      </c>
      <c r="V3174" t="s">
        <v>14004</v>
      </c>
      <c r="W3174" t="s">
        <v>17135</v>
      </c>
      <c r="X3174">
        <v>3</v>
      </c>
      <c r="Y3174" t="s">
        <v>23999</v>
      </c>
      <c r="Z3174" t="s">
        <v>30884</v>
      </c>
      <c r="AA3174">
        <v>0.51264874212733602</v>
      </c>
      <c r="AB3174" t="str">
        <f>HYPERLINK("Melting_Curves/meltCurve_P63146_UBE2B.pdf", "Melting_Curves/meltCurve_P63146_UBE2B.pdf")</f>
        <v>Melting_Curves/meltCurve_P63146_UBE2B.pdf</v>
      </c>
    </row>
    <row r="3175" spans="1:28" x14ac:dyDescent="0.25">
      <c r="A3175" t="s">
        <v>3179</v>
      </c>
      <c r="B3175">
        <v>0.99999676499088797</v>
      </c>
      <c r="C3175">
        <v>1.0277938614634201</v>
      </c>
      <c r="D3175">
        <v>1.0464752583844199</v>
      </c>
      <c r="E3175">
        <v>1.2132732873343</v>
      </c>
      <c r="F3175">
        <v>1.05793238227408</v>
      </c>
      <c r="G3175">
        <v>0.57922692868497705</v>
      </c>
      <c r="H3175">
        <v>0.20370218095171899</v>
      </c>
      <c r="I3175">
        <v>0.124568388935704</v>
      </c>
      <c r="J3175">
        <v>0.12453266748462299</v>
      </c>
      <c r="K3175">
        <v>8.3836866072821606E-2</v>
      </c>
      <c r="L3175">
        <v>3402.01791419033</v>
      </c>
      <c r="M3175">
        <v>59.782866093839601</v>
      </c>
      <c r="N3175">
        <v>57.189385142831597</v>
      </c>
      <c r="O3175">
        <v>56.842664025797497</v>
      </c>
      <c r="P3175">
        <v>-0.22924930653613201</v>
      </c>
      <c r="Q3175">
        <v>0.12810227258441401</v>
      </c>
      <c r="R3175">
        <v>0.97030208555626796</v>
      </c>
      <c r="S3175" t="s">
        <v>10178</v>
      </c>
      <c r="T3175" t="s">
        <v>14004</v>
      </c>
      <c r="U3175" t="s">
        <v>14004</v>
      </c>
      <c r="V3175" t="s">
        <v>14004</v>
      </c>
      <c r="W3175" t="s">
        <v>17136</v>
      </c>
      <c r="X3175">
        <v>21</v>
      </c>
      <c r="Y3175" t="s">
        <v>24000</v>
      </c>
      <c r="Z3175" t="s">
        <v>30885</v>
      </c>
      <c r="AA3175">
        <v>0.62098030895593748</v>
      </c>
      <c r="AB3175" t="str">
        <f>HYPERLINK("Melting_Curves/meltCurve_P63151_PPP2R2A.pdf", "Melting_Curves/meltCurve_P63151_PPP2R2A.pdf")</f>
        <v>Melting_Curves/meltCurve_P63151_PPP2R2A.pdf</v>
      </c>
    </row>
    <row r="3176" spans="1:28" x14ac:dyDescent="0.25">
      <c r="A3176" t="s">
        <v>3180</v>
      </c>
      <c r="B3176">
        <v>0.99999676499088797</v>
      </c>
      <c r="C3176">
        <v>0.83204502473920205</v>
      </c>
      <c r="D3176">
        <v>0.88405326322841404</v>
      </c>
      <c r="E3176">
        <v>0.73907431328274797</v>
      </c>
      <c r="F3176">
        <v>0.38768557337376103</v>
      </c>
      <c r="G3176">
        <v>0.23634259532027199</v>
      </c>
      <c r="H3176">
        <v>0.10775816256849299</v>
      </c>
      <c r="I3176">
        <v>7.9041741839111404E-2</v>
      </c>
      <c r="J3176">
        <v>6.5483269821670395E-2</v>
      </c>
      <c r="K3176">
        <v>4.3635569776418498E-2</v>
      </c>
      <c r="L3176">
        <v>772.87292642537102</v>
      </c>
      <c r="M3176">
        <v>14.8735427821934</v>
      </c>
      <c r="N3176">
        <v>52.106086855531203</v>
      </c>
      <c r="O3176">
        <v>51.0507398747732</v>
      </c>
      <c r="P3176">
        <v>-7.1386354679441794E-2</v>
      </c>
      <c r="Q3176">
        <v>2.00194440033101E-2</v>
      </c>
      <c r="R3176">
        <v>0.983425624356002</v>
      </c>
      <c r="S3176" t="s">
        <v>10179</v>
      </c>
      <c r="T3176" t="s">
        <v>14004</v>
      </c>
      <c r="U3176" t="s">
        <v>14004</v>
      </c>
      <c r="V3176" t="s">
        <v>14004</v>
      </c>
      <c r="W3176" t="s">
        <v>17137</v>
      </c>
      <c r="X3176">
        <v>8</v>
      </c>
      <c r="Y3176" t="s">
        <v>24001</v>
      </c>
      <c r="Z3176" t="s">
        <v>30886</v>
      </c>
      <c r="AA3176">
        <v>0.43302390179863248</v>
      </c>
      <c r="AB3176" t="str">
        <f>HYPERLINK("Melting_Curves/meltCurve_P63167_DYNLL1.pdf", "Melting_Curves/meltCurve_P63167_DYNLL1.pdf")</f>
        <v>Melting_Curves/meltCurve_P63167_DYNLL1.pdf</v>
      </c>
    </row>
    <row r="3177" spans="1:28" x14ac:dyDescent="0.25">
      <c r="A3177" t="s">
        <v>3181</v>
      </c>
      <c r="B3177">
        <v>0.99999676499088797</v>
      </c>
      <c r="C3177">
        <v>0.942817702051162</v>
      </c>
      <c r="D3177">
        <v>1.07044304692098</v>
      </c>
      <c r="E3177">
        <v>1.13929014114094</v>
      </c>
      <c r="F3177">
        <v>0.49760223267327902</v>
      </c>
      <c r="G3177">
        <v>0.29831445855183703</v>
      </c>
      <c r="H3177">
        <v>0.18329733512030999</v>
      </c>
      <c r="I3177">
        <v>0.17490840173741701</v>
      </c>
      <c r="J3177">
        <v>0.187642119429031</v>
      </c>
      <c r="K3177">
        <v>0.154425643011074</v>
      </c>
      <c r="L3177">
        <v>8826.9122133477704</v>
      </c>
      <c r="M3177">
        <v>166.44200610261501</v>
      </c>
      <c r="N3177">
        <v>53.195917336307602</v>
      </c>
      <c r="O3177">
        <v>53.0252962349524</v>
      </c>
      <c r="P3177">
        <v>-0.62800823030960995</v>
      </c>
      <c r="Q3177">
        <v>0.19971338900722099</v>
      </c>
      <c r="R3177">
        <v>0.97475446195110405</v>
      </c>
      <c r="S3177" t="s">
        <v>10180</v>
      </c>
      <c r="T3177" t="s">
        <v>14004</v>
      </c>
      <c r="U3177" t="s">
        <v>14004</v>
      </c>
      <c r="V3177" t="s">
        <v>14004</v>
      </c>
      <c r="W3177" t="s">
        <v>17138</v>
      </c>
      <c r="X3177">
        <v>2</v>
      </c>
      <c r="Y3177" t="s">
        <v>24002</v>
      </c>
      <c r="Z3177" t="s">
        <v>30887</v>
      </c>
      <c r="AA3177">
        <v>0.54755158491408007</v>
      </c>
      <c r="AB3177" t="str">
        <f>HYPERLINK("Melting_Curves/meltCurve_P63172_DYNLT1.pdf", "Melting_Curves/meltCurve_P63172_DYNLT1.pdf")</f>
        <v>Melting_Curves/meltCurve_P63172_DYNLT1.pdf</v>
      </c>
    </row>
    <row r="3178" spans="1:28" x14ac:dyDescent="0.25">
      <c r="A3178" t="s">
        <v>3182</v>
      </c>
      <c r="B3178">
        <v>0.99999676499088797</v>
      </c>
      <c r="C3178">
        <v>1.18973225875295</v>
      </c>
      <c r="D3178">
        <v>1.0882074679851499</v>
      </c>
      <c r="E3178">
        <v>1.0087933010082299</v>
      </c>
      <c r="F3178">
        <v>0.764934765403123</v>
      </c>
      <c r="G3178">
        <v>0.859316916300225</v>
      </c>
      <c r="H3178">
        <v>0.42017999019414498</v>
      </c>
      <c r="I3178">
        <v>0.51150360295658603</v>
      </c>
      <c r="J3178">
        <v>0.38618608012613498</v>
      </c>
      <c r="K3178">
        <v>0.29921939326382901</v>
      </c>
      <c r="L3178">
        <v>977.88374810960295</v>
      </c>
      <c r="M3178">
        <v>16.681631678805701</v>
      </c>
      <c r="N3178">
        <v>61.8357085519742</v>
      </c>
      <c r="O3178">
        <v>57.797415313802503</v>
      </c>
      <c r="P3178">
        <v>-5.1235303142400497E-2</v>
      </c>
      <c r="Q3178">
        <v>0.28998049404959397</v>
      </c>
      <c r="R3178">
        <v>0.893798715796011</v>
      </c>
      <c r="S3178" t="s">
        <v>10181</v>
      </c>
      <c r="T3178" t="s">
        <v>14004</v>
      </c>
      <c r="U3178" t="s">
        <v>14004</v>
      </c>
      <c r="V3178" t="s">
        <v>14004</v>
      </c>
      <c r="W3178" t="s">
        <v>17139</v>
      </c>
      <c r="X3178">
        <v>4</v>
      </c>
      <c r="Y3178" t="s">
        <v>24003</v>
      </c>
      <c r="Z3178" t="s">
        <v>30888</v>
      </c>
      <c r="AA3178">
        <v>0.73893426237687876</v>
      </c>
      <c r="AB3178" t="str">
        <f>HYPERLINK("Melting_Curves/meltCurve_P63173_RPL38.pdf", "Melting_Curves/meltCurve_P63173_RPL38.pdf")</f>
        <v>Melting_Curves/meltCurve_P63173_RPL38.pdf</v>
      </c>
    </row>
    <row r="3179" spans="1:28" x14ac:dyDescent="0.25">
      <c r="A3179" t="s">
        <v>3183</v>
      </c>
      <c r="B3179">
        <v>0.99999676499088797</v>
      </c>
      <c r="C3179">
        <v>1.0679591207866199</v>
      </c>
      <c r="D3179">
        <v>0.99175430570424505</v>
      </c>
      <c r="E3179">
        <v>0.72620148617422897</v>
      </c>
      <c r="F3179">
        <v>0.70433251797449004</v>
      </c>
      <c r="G3179">
        <v>0.50231129989272305</v>
      </c>
      <c r="H3179">
        <v>0.21767904180881101</v>
      </c>
      <c r="I3179">
        <v>0.26128660540579801</v>
      </c>
      <c r="J3179">
        <v>0.16264743014289601</v>
      </c>
      <c r="K3179">
        <v>6.8309898506277805E-2</v>
      </c>
      <c r="L3179">
        <v>683.91332348868798</v>
      </c>
      <c r="M3179">
        <v>12.207087808617199</v>
      </c>
      <c r="N3179">
        <v>56.261113638946803</v>
      </c>
      <c r="O3179">
        <v>54.586004370300998</v>
      </c>
      <c r="P3179">
        <v>-5.4529253093401203E-2</v>
      </c>
      <c r="Q3179">
        <v>2.4873978024348199E-2</v>
      </c>
      <c r="R3179">
        <v>0.971503283360308</v>
      </c>
      <c r="S3179" t="s">
        <v>10182</v>
      </c>
      <c r="T3179" t="s">
        <v>14004</v>
      </c>
      <c r="U3179" t="s">
        <v>14004</v>
      </c>
      <c r="V3179" t="s">
        <v>14004</v>
      </c>
      <c r="W3179" t="s">
        <v>17140</v>
      </c>
      <c r="X3179">
        <v>4</v>
      </c>
      <c r="Y3179" t="s">
        <v>24004</v>
      </c>
      <c r="Z3179" t="s">
        <v>30889</v>
      </c>
      <c r="AA3179">
        <v>0.5654431904094499</v>
      </c>
      <c r="AB3179" t="str">
        <f>HYPERLINK("Melting_Curves/meltCurve_P63218_GNG5.pdf", "Melting_Curves/meltCurve_P63218_GNG5.pdf")</f>
        <v>Melting_Curves/meltCurve_P63218_GNG5.pdf</v>
      </c>
    </row>
    <row r="3180" spans="1:28" x14ac:dyDescent="0.25">
      <c r="A3180" t="s">
        <v>3184</v>
      </c>
      <c r="B3180">
        <v>0.99999676499088797</v>
      </c>
      <c r="C3180">
        <v>0.92551945744588504</v>
      </c>
      <c r="D3180">
        <v>0.85868008548249197</v>
      </c>
      <c r="E3180">
        <v>0.68162060778658096</v>
      </c>
      <c r="F3180">
        <v>0.64177544539442499</v>
      </c>
      <c r="G3180">
        <v>0.37129327787495198</v>
      </c>
      <c r="H3180">
        <v>0.17037567930780601</v>
      </c>
      <c r="I3180">
        <v>0.20209282391466099</v>
      </c>
      <c r="J3180">
        <v>0.19609596477146299</v>
      </c>
      <c r="K3180">
        <v>0.17733616727301499</v>
      </c>
      <c r="L3180">
        <v>631.62056904547103</v>
      </c>
      <c r="M3180">
        <v>11.912441114517</v>
      </c>
      <c r="N3180">
        <v>54.054587849860397</v>
      </c>
      <c r="O3180">
        <v>51.593973227917303</v>
      </c>
      <c r="P3180">
        <v>-5.1860586741495102E-2</v>
      </c>
      <c r="Q3180">
        <v>0.101769023840192</v>
      </c>
      <c r="R3180">
        <v>0.977289589469853</v>
      </c>
      <c r="S3180" t="s">
        <v>10183</v>
      </c>
      <c r="T3180" t="s">
        <v>14004</v>
      </c>
      <c r="U3180" t="s">
        <v>14004</v>
      </c>
      <c r="V3180" t="s">
        <v>14004</v>
      </c>
      <c r="W3180" t="s">
        <v>17141</v>
      </c>
      <c r="X3180">
        <v>9</v>
      </c>
      <c r="Y3180" t="s">
        <v>24005</v>
      </c>
      <c r="Z3180" t="s">
        <v>30890</v>
      </c>
      <c r="AA3180">
        <v>0.51739655804980467</v>
      </c>
      <c r="AB3180" t="str">
        <f>HYPERLINK("Melting_Curves/meltCurve_P63220_RPS21.pdf", "Melting_Curves/meltCurve_P63220_RPS21.pdf")</f>
        <v>Melting_Curves/meltCurve_P63220_RPS21.pdf</v>
      </c>
    </row>
    <row r="3181" spans="1:28" x14ac:dyDescent="0.25">
      <c r="A3181" t="s">
        <v>3185</v>
      </c>
      <c r="B3181">
        <v>0.99999676499088797</v>
      </c>
      <c r="C3181">
        <v>0.81626376789024402</v>
      </c>
      <c r="D3181">
        <v>0.79196152037714596</v>
      </c>
      <c r="E3181">
        <v>0.45304675638712499</v>
      </c>
      <c r="F3181">
        <v>0.25600629881604903</v>
      </c>
      <c r="G3181">
        <v>0.185733687899056</v>
      </c>
      <c r="H3181">
        <v>9.9758942451672494E-2</v>
      </c>
      <c r="I3181">
        <v>8.8963173503245105E-2</v>
      </c>
      <c r="J3181">
        <v>7.5328159879811493E-2</v>
      </c>
      <c r="K3181">
        <v>8.4948275955397501E-2</v>
      </c>
      <c r="L3181">
        <v>740.56370775569803</v>
      </c>
      <c r="M3181">
        <v>15.1928794193363</v>
      </c>
      <c r="N3181">
        <v>49.205107867762798</v>
      </c>
      <c r="O3181">
        <v>47.923037714708997</v>
      </c>
      <c r="P3181">
        <v>-7.4006327339767503E-2</v>
      </c>
      <c r="Q3181">
        <v>6.6334259439727206E-2</v>
      </c>
      <c r="R3181">
        <v>0.98925982215723895</v>
      </c>
      <c r="S3181" t="s">
        <v>10184</v>
      </c>
      <c r="T3181" t="s">
        <v>14004</v>
      </c>
      <c r="U3181" t="s">
        <v>14004</v>
      </c>
      <c r="V3181" t="s">
        <v>14004</v>
      </c>
      <c r="W3181" t="s">
        <v>17142</v>
      </c>
      <c r="X3181">
        <v>13</v>
      </c>
      <c r="Y3181" t="s">
        <v>24006</v>
      </c>
      <c r="Z3181" t="s">
        <v>30891</v>
      </c>
      <c r="AA3181">
        <v>0.36117915698990471</v>
      </c>
      <c r="AB3181" t="str">
        <f>HYPERLINK("Melting_Curves/meltCurve_P63241_EIF5A.pdf", "Melting_Curves/meltCurve_P63241_EIF5A.pdf")</f>
        <v>Melting_Curves/meltCurve_P63241_EIF5A.pdf</v>
      </c>
    </row>
    <row r="3182" spans="1:28" x14ac:dyDescent="0.25">
      <c r="A3182" t="s">
        <v>3186</v>
      </c>
      <c r="B3182">
        <v>0.99999676499088797</v>
      </c>
      <c r="C3182">
        <v>1.0068646204703799</v>
      </c>
      <c r="D3182">
        <v>1.0410042466721301</v>
      </c>
      <c r="E3182">
        <v>1.2718931420813999</v>
      </c>
      <c r="F3182">
        <v>1.00110149593131</v>
      </c>
      <c r="G3182">
        <v>0.45823207081344802</v>
      </c>
      <c r="H3182">
        <v>0.14000514867118799</v>
      </c>
      <c r="I3182">
        <v>0.11641225832011</v>
      </c>
      <c r="J3182">
        <v>0.10748461320101001</v>
      </c>
      <c r="K3182">
        <v>0.100870506946033</v>
      </c>
      <c r="L3182">
        <v>4406.8581404522902</v>
      </c>
      <c r="M3182">
        <v>78.039485461656497</v>
      </c>
      <c r="N3182">
        <v>56.6597671299726</v>
      </c>
      <c r="O3182">
        <v>56.432525117516697</v>
      </c>
      <c r="P3182">
        <v>-0.30588711298675603</v>
      </c>
      <c r="Q3182">
        <v>0.115217833345013</v>
      </c>
      <c r="R3182">
        <v>0.96330539296982798</v>
      </c>
      <c r="S3182" t="s">
        <v>10185</v>
      </c>
      <c r="T3182" t="s">
        <v>14004</v>
      </c>
      <c r="U3182" t="s">
        <v>14004</v>
      </c>
      <c r="V3182" t="s">
        <v>14004</v>
      </c>
      <c r="W3182" t="s">
        <v>17143</v>
      </c>
      <c r="X3182">
        <v>27</v>
      </c>
      <c r="Y3182" t="s">
        <v>24007</v>
      </c>
      <c r="Z3182" t="s">
        <v>30892</v>
      </c>
      <c r="AA3182">
        <v>0.60185300360000904</v>
      </c>
      <c r="AB3182" t="str">
        <f>HYPERLINK("Melting_Curves/meltCurve_P63244_GNB2L1.pdf", "Melting_Curves/meltCurve_P63244_GNB2L1.pdf")</f>
        <v>Melting_Curves/meltCurve_P63244_GNB2L1.pdf</v>
      </c>
    </row>
    <row r="3183" spans="1:28" x14ac:dyDescent="0.25">
      <c r="A3183" t="s">
        <v>3187</v>
      </c>
      <c r="B3183">
        <v>0.99999676499088797</v>
      </c>
      <c r="C3183">
        <v>1.2504075830141299</v>
      </c>
      <c r="D3183">
        <v>1.1758623791948699</v>
      </c>
      <c r="E3183">
        <v>1.2127111107100701</v>
      </c>
      <c r="F3183">
        <v>1.1377946722432499</v>
      </c>
      <c r="G3183">
        <v>0.97011144847416197</v>
      </c>
      <c r="H3183">
        <v>0.77946741552836396</v>
      </c>
      <c r="I3183">
        <v>0.76904818303604905</v>
      </c>
      <c r="J3183">
        <v>0.73592253886369696</v>
      </c>
      <c r="K3183">
        <v>0.257509487287087</v>
      </c>
      <c r="L3183">
        <v>1371.1593631211499</v>
      </c>
      <c r="M3183">
        <v>20.1241480775527</v>
      </c>
      <c r="N3183">
        <v>68.135027370542502</v>
      </c>
      <c r="O3183">
        <v>67.472926230000894</v>
      </c>
      <c r="P3183">
        <v>-7.4566153890875606E-2</v>
      </c>
      <c r="Q3183">
        <v>0</v>
      </c>
      <c r="R3183">
        <v>0.73930176150961402</v>
      </c>
      <c r="S3183" t="s">
        <v>10186</v>
      </c>
      <c r="T3183" t="s">
        <v>14004</v>
      </c>
      <c r="U3183" t="s">
        <v>14004</v>
      </c>
      <c r="V3183" t="s">
        <v>14004</v>
      </c>
      <c r="W3183" t="s">
        <v>17144</v>
      </c>
      <c r="X3183">
        <v>37</v>
      </c>
      <c r="Y3183" t="s">
        <v>22169</v>
      </c>
      <c r="Z3183" t="s">
        <v>30893</v>
      </c>
      <c r="AA3183">
        <v>0.89450608526653241</v>
      </c>
      <c r="AB3183" t="str">
        <f>HYPERLINK("Melting_Curves/meltCurve_P63261_ACTG1.pdf", "Melting_Curves/meltCurve_P63261_ACTG1.pdf")</f>
        <v>Melting_Curves/meltCurve_P63261_ACTG1.pdf</v>
      </c>
    </row>
    <row r="3184" spans="1:28" x14ac:dyDescent="0.25">
      <c r="A3184" t="s">
        <v>3188</v>
      </c>
      <c r="B3184">
        <v>0.99999676499088797</v>
      </c>
      <c r="C3184">
        <v>1.0235629346537001</v>
      </c>
      <c r="D3184">
        <v>0.888502958344352</v>
      </c>
      <c r="E3184">
        <v>0.51348892210047203</v>
      </c>
      <c r="F3184">
        <v>0.21794724795363599</v>
      </c>
      <c r="G3184">
        <v>0.14528051974383199</v>
      </c>
      <c r="H3184">
        <v>9.1526616281814493E-2</v>
      </c>
      <c r="I3184">
        <v>0.12489329797370299</v>
      </c>
      <c r="J3184">
        <v>0.13575939887744301</v>
      </c>
      <c r="K3184">
        <v>0.13969701064540899</v>
      </c>
      <c r="L3184">
        <v>1419.13451971261</v>
      </c>
      <c r="M3184">
        <v>28.834012078573402</v>
      </c>
      <c r="N3184">
        <v>49.705746723112</v>
      </c>
      <c r="O3184">
        <v>48.982451619869998</v>
      </c>
      <c r="P3184">
        <v>-0.12901202544558199</v>
      </c>
      <c r="Q3184">
        <v>0.12335761908246901</v>
      </c>
      <c r="R3184">
        <v>0.99781666578580497</v>
      </c>
      <c r="S3184" t="s">
        <v>10187</v>
      </c>
      <c r="T3184" t="s">
        <v>14004</v>
      </c>
      <c r="U3184" t="s">
        <v>14004</v>
      </c>
      <c r="V3184" t="s">
        <v>14004</v>
      </c>
      <c r="W3184" t="s">
        <v>17145</v>
      </c>
      <c r="X3184">
        <v>2</v>
      </c>
      <c r="Y3184" t="s">
        <v>24008</v>
      </c>
      <c r="Z3184" t="s">
        <v>30894</v>
      </c>
      <c r="AA3184">
        <v>0.39851090473555928</v>
      </c>
      <c r="AB3184" t="str">
        <f>HYPERLINK("Melting_Curves/meltCurve_P63272_SUPT4H1.pdf", "Melting_Curves/meltCurve_P63272_SUPT4H1.pdf")</f>
        <v>Melting_Curves/meltCurve_P63272_SUPT4H1.pdf</v>
      </c>
    </row>
    <row r="3185" spans="1:28" x14ac:dyDescent="0.25">
      <c r="A3185" t="s">
        <v>3189</v>
      </c>
      <c r="B3185">
        <v>0.99999676499088797</v>
      </c>
      <c r="C3185">
        <v>1.0025314723226699</v>
      </c>
      <c r="D3185">
        <v>1.0024496673059899</v>
      </c>
      <c r="E3185">
        <v>1.0532330435207999</v>
      </c>
      <c r="F3185">
        <v>0.87768879044790105</v>
      </c>
      <c r="G3185">
        <v>0.66270124643383399</v>
      </c>
      <c r="H3185">
        <v>0.25071998493951198</v>
      </c>
      <c r="I3185">
        <v>0.13756363780529501</v>
      </c>
      <c r="J3185">
        <v>0.121584761476286</v>
      </c>
      <c r="K3185">
        <v>0.106561865365706</v>
      </c>
      <c r="L3185">
        <v>1640.1819693541399</v>
      </c>
      <c r="M3185">
        <v>28.4582081394033</v>
      </c>
      <c r="N3185">
        <v>58.070708930263599</v>
      </c>
      <c r="O3185">
        <v>57.352401896304599</v>
      </c>
      <c r="P3185">
        <v>-0.112118803669633</v>
      </c>
      <c r="Q3185">
        <v>9.6185840683870094E-2</v>
      </c>
      <c r="R3185">
        <v>0.99572099274191295</v>
      </c>
      <c r="S3185" t="s">
        <v>10188</v>
      </c>
      <c r="T3185" t="s">
        <v>14004</v>
      </c>
      <c r="U3185" t="s">
        <v>14004</v>
      </c>
      <c r="V3185" t="s">
        <v>14004</v>
      </c>
      <c r="W3185" t="s">
        <v>17146</v>
      </c>
      <c r="X3185">
        <v>19</v>
      </c>
      <c r="Y3185" t="s">
        <v>24009</v>
      </c>
      <c r="Z3185" t="s">
        <v>30895</v>
      </c>
      <c r="AA3185">
        <v>0.63400313007541231</v>
      </c>
      <c r="AB3185" t="str">
        <f>HYPERLINK("Melting_Curves/meltCurve_P67775_PPP2CA.pdf", "Melting_Curves/meltCurve_P67775_PPP2CA.pdf")</f>
        <v>Melting_Curves/meltCurve_P67775_PPP2CA.pdf</v>
      </c>
    </row>
    <row r="3186" spans="1:28" x14ac:dyDescent="0.25">
      <c r="A3186" t="s">
        <v>3190</v>
      </c>
      <c r="B3186">
        <v>0.99999676499088797</v>
      </c>
      <c r="C3186">
        <v>0.92330234232598996</v>
      </c>
      <c r="D3186">
        <v>1.0272784181890799</v>
      </c>
      <c r="E3186">
        <v>1.01828761135682</v>
      </c>
      <c r="F3186">
        <v>0.912630071535389</v>
      </c>
      <c r="G3186">
        <v>0.992935536105225</v>
      </c>
      <c r="H3186">
        <v>0.79135208616866504</v>
      </c>
      <c r="I3186">
        <v>0.517666174698033</v>
      </c>
      <c r="J3186">
        <v>0.50431266138936903</v>
      </c>
      <c r="K3186">
        <v>0.70901935618761702</v>
      </c>
      <c r="L3186">
        <v>15000</v>
      </c>
      <c r="M3186">
        <v>246.68356019764201</v>
      </c>
      <c r="O3186">
        <v>60.802668196387003</v>
      </c>
      <c r="P3186">
        <v>-0.42904127704300499</v>
      </c>
      <c r="Q3186">
        <v>0.576999026686151</v>
      </c>
      <c r="R3186">
        <v>0.88775050114062104</v>
      </c>
      <c r="S3186" t="s">
        <v>10189</v>
      </c>
      <c r="T3186" t="s">
        <v>14004</v>
      </c>
      <c r="U3186" t="s">
        <v>14004</v>
      </c>
      <c r="V3186" t="s">
        <v>14004</v>
      </c>
      <c r="W3186" t="s">
        <v>17147</v>
      </c>
      <c r="X3186">
        <v>9</v>
      </c>
      <c r="Y3186" t="s">
        <v>24010</v>
      </c>
      <c r="Z3186" t="s">
        <v>30896</v>
      </c>
      <c r="AA3186">
        <v>0.87041977757643452</v>
      </c>
      <c r="AB3186" t="str">
        <f>HYPERLINK("Melting_Curves/meltCurve_P67809_YBX1.pdf", "Melting_Curves/meltCurve_P67809_YBX1.pdf")</f>
        <v>Melting_Curves/meltCurve_P67809_YBX1.pdf</v>
      </c>
    </row>
    <row r="3187" spans="1:28" x14ac:dyDescent="0.25">
      <c r="A3187" t="s">
        <v>3191</v>
      </c>
      <c r="B3187">
        <v>0.99999676499088797</v>
      </c>
      <c r="C3187">
        <v>0.84673524906618403</v>
      </c>
      <c r="D3187">
        <v>0.93438853748961304</v>
      </c>
      <c r="E3187">
        <v>0.91573892485555797</v>
      </c>
      <c r="F3187">
        <v>0.97310262704309503</v>
      </c>
      <c r="G3187">
        <v>0.78628261883251205</v>
      </c>
      <c r="H3187">
        <v>0.57966968305326605</v>
      </c>
      <c r="I3187">
        <v>0.58267253947623698</v>
      </c>
      <c r="J3187">
        <v>0.53971422002381697</v>
      </c>
      <c r="K3187">
        <v>0.82033130656692199</v>
      </c>
      <c r="L3187">
        <v>14182.0048759236</v>
      </c>
      <c r="M3187">
        <v>250</v>
      </c>
      <c r="O3187">
        <v>56.724389317594799</v>
      </c>
      <c r="P3187">
        <v>-0.40701525176116299</v>
      </c>
      <c r="Q3187">
        <v>0.630596935048503</v>
      </c>
      <c r="R3187">
        <v>0.68333054753342704</v>
      </c>
      <c r="S3187" t="s">
        <v>10190</v>
      </c>
      <c r="T3187" t="s">
        <v>14004</v>
      </c>
      <c r="U3187" t="s">
        <v>14004</v>
      </c>
      <c r="V3187" t="s">
        <v>14004</v>
      </c>
      <c r="W3187" t="s">
        <v>17148</v>
      </c>
      <c r="X3187">
        <v>51</v>
      </c>
      <c r="Y3187" t="s">
        <v>22183</v>
      </c>
      <c r="Z3187" t="s">
        <v>30897</v>
      </c>
      <c r="AA3187">
        <v>0.83661310080680085</v>
      </c>
      <c r="AB3187" t="str">
        <f>HYPERLINK("Melting_Curves/meltCurve_P67936_TPM4.pdf", "Melting_Curves/meltCurve_P67936_TPM4.pdf")</f>
        <v>Melting_Curves/meltCurve_P67936_TPM4.pdf</v>
      </c>
    </row>
    <row r="3188" spans="1:28" x14ac:dyDescent="0.25">
      <c r="A3188" t="s">
        <v>3192</v>
      </c>
      <c r="B3188">
        <v>0.99999676499088797</v>
      </c>
      <c r="C3188">
        <v>1.1563717952527901</v>
      </c>
      <c r="D3188">
        <v>0.96599085478297297</v>
      </c>
      <c r="E3188">
        <v>0.75124761731760803</v>
      </c>
      <c r="F3188">
        <v>0.54580377639949795</v>
      </c>
      <c r="G3188">
        <v>0.387269456978939</v>
      </c>
      <c r="H3188">
        <v>0.15237527850129101</v>
      </c>
      <c r="I3188">
        <v>0.18895771324844601</v>
      </c>
      <c r="J3188">
        <v>0.20441191015016399</v>
      </c>
      <c r="K3188">
        <v>0.147630975029274</v>
      </c>
      <c r="L3188">
        <v>974.98431728907497</v>
      </c>
      <c r="M3188">
        <v>18.480209452419899</v>
      </c>
      <c r="N3188">
        <v>53.818791790628502</v>
      </c>
      <c r="O3188">
        <v>52.152164474638703</v>
      </c>
      <c r="P3188">
        <v>-7.5071902019558504E-2</v>
      </c>
      <c r="Q3188">
        <v>0.15260959120623199</v>
      </c>
      <c r="R3188">
        <v>0.97082572936454203</v>
      </c>
      <c r="S3188" t="s">
        <v>10191</v>
      </c>
      <c r="T3188" t="s">
        <v>14004</v>
      </c>
      <c r="U3188" t="s">
        <v>14004</v>
      </c>
      <c r="V3188" t="s">
        <v>14004</v>
      </c>
      <c r="W3188" t="s">
        <v>17149</v>
      </c>
      <c r="X3188">
        <v>14</v>
      </c>
      <c r="Y3188" t="s">
        <v>24011</v>
      </c>
      <c r="Z3188" t="s">
        <v>30898</v>
      </c>
      <c r="AA3188">
        <v>0.52633219571267187</v>
      </c>
      <c r="AB3188" t="str">
        <f>HYPERLINK("Melting_Curves/meltCurve_P68036_UBE2L3.pdf", "Melting_Curves/meltCurve_P68036_UBE2L3.pdf")</f>
        <v>Melting_Curves/meltCurve_P68036_UBE2L3.pdf</v>
      </c>
    </row>
    <row r="3189" spans="1:28" x14ac:dyDescent="0.25">
      <c r="A3189" t="s">
        <v>3193</v>
      </c>
      <c r="B3189">
        <v>0.99999676499088797</v>
      </c>
      <c r="C3189">
        <v>0.90186913310332995</v>
      </c>
      <c r="D3189">
        <v>0.90662710806468405</v>
      </c>
      <c r="E3189">
        <v>0.871138928171872</v>
      </c>
      <c r="F3189">
        <v>0.61834532461437197</v>
      </c>
      <c r="G3189">
        <v>0.29262789246118398</v>
      </c>
      <c r="H3189">
        <v>7.2860445775713698E-2</v>
      </c>
      <c r="I3189">
        <v>6.0567379663070797E-2</v>
      </c>
      <c r="J3189">
        <v>6.01595446241774E-2</v>
      </c>
      <c r="K3189">
        <v>4.6594170736516602E-2</v>
      </c>
      <c r="L3189">
        <v>1109.7836288713399</v>
      </c>
      <c r="M3189">
        <v>20.5053163138274</v>
      </c>
      <c r="N3189">
        <v>54.244968846123598</v>
      </c>
      <c r="O3189">
        <v>53.614896904103801</v>
      </c>
      <c r="P3189">
        <v>-9.34409747340334E-2</v>
      </c>
      <c r="Q3189">
        <v>2.2754801189865899E-2</v>
      </c>
      <c r="R3189">
        <v>0.98947822360429405</v>
      </c>
      <c r="S3189" t="s">
        <v>10192</v>
      </c>
      <c r="T3189" t="s">
        <v>14004</v>
      </c>
      <c r="U3189" t="s">
        <v>14004</v>
      </c>
      <c r="V3189" t="s">
        <v>14004</v>
      </c>
      <c r="W3189" t="s">
        <v>17150</v>
      </c>
      <c r="X3189">
        <v>40</v>
      </c>
      <c r="Y3189" t="s">
        <v>24012</v>
      </c>
      <c r="Z3189" t="s">
        <v>30899</v>
      </c>
      <c r="AA3189">
        <v>0.49550198831718928</v>
      </c>
      <c r="AB3189" t="str">
        <f>HYPERLINK("Melting_Curves/meltCurve_P68104_EEF1A1.pdf", "Melting_Curves/meltCurve_P68104_EEF1A1.pdf")</f>
        <v>Melting_Curves/meltCurve_P68104_EEF1A1.pdf</v>
      </c>
    </row>
    <row r="3190" spans="1:28" x14ac:dyDescent="0.25">
      <c r="A3190" t="s">
        <v>3194</v>
      </c>
      <c r="B3190">
        <v>0.99999676499088797</v>
      </c>
      <c r="C3190">
        <v>0.98216558212170002</v>
      </c>
      <c r="D3190">
        <v>1.0046117165039701</v>
      </c>
      <c r="E3190">
        <v>1.10826975682768</v>
      </c>
      <c r="F3190">
        <v>1.0872669760792899</v>
      </c>
      <c r="G3190">
        <v>0.73946475564052305</v>
      </c>
      <c r="H3190">
        <v>0.57765632812658596</v>
      </c>
      <c r="I3190">
        <v>0.437770019175588</v>
      </c>
      <c r="J3190">
        <v>0.32694348160115</v>
      </c>
      <c r="K3190">
        <v>0.24783422488017601</v>
      </c>
      <c r="L3190">
        <v>1304.9752201767301</v>
      </c>
      <c r="M3190">
        <v>21.7536932552709</v>
      </c>
      <c r="N3190">
        <v>61.944429748804502</v>
      </c>
      <c r="O3190">
        <v>59.488653793479997</v>
      </c>
      <c r="P3190">
        <v>-6.8711293474171195E-2</v>
      </c>
      <c r="Q3190">
        <v>0.248413427091422</v>
      </c>
      <c r="R3190">
        <v>0.95762177820392103</v>
      </c>
      <c r="S3190" t="s">
        <v>10193</v>
      </c>
      <c r="T3190" t="s">
        <v>14004</v>
      </c>
      <c r="U3190" t="s">
        <v>14004</v>
      </c>
      <c r="V3190" t="s">
        <v>14004</v>
      </c>
      <c r="W3190" t="s">
        <v>17151</v>
      </c>
      <c r="X3190">
        <v>25</v>
      </c>
      <c r="Y3190" t="s">
        <v>24013</v>
      </c>
      <c r="Z3190" t="s">
        <v>30900</v>
      </c>
      <c r="AA3190">
        <v>0.75532585588208911</v>
      </c>
      <c r="AB3190" t="str">
        <f>HYPERLINK("Melting_Curves/meltCurve_P68133_ACTA1.pdf", "Melting_Curves/meltCurve_P68133_ACTA1.pdf")</f>
        <v>Melting_Curves/meltCurve_P68133_ACTA1.pdf</v>
      </c>
    </row>
    <row r="3191" spans="1:28" x14ac:dyDescent="0.25">
      <c r="A3191" t="s">
        <v>3195</v>
      </c>
      <c r="B3191">
        <v>0.99999676499088797</v>
      </c>
      <c r="C3191">
        <v>0.78708418770174604</v>
      </c>
      <c r="D3191">
        <v>0.82179471395248405</v>
      </c>
      <c r="E3191">
        <v>0.876546118602754</v>
      </c>
      <c r="F3191">
        <v>0.827706985321355</v>
      </c>
      <c r="G3191">
        <v>0.61367301529062401</v>
      </c>
      <c r="H3191">
        <v>0.20804732111906499</v>
      </c>
      <c r="I3191">
        <v>6.0903761937815E-2</v>
      </c>
      <c r="J3191">
        <v>4.57113989375032E-2</v>
      </c>
      <c r="K3191">
        <v>3.4449328598958801E-2</v>
      </c>
      <c r="L3191">
        <v>1181.24666308729</v>
      </c>
      <c r="M3191">
        <v>20.586080435826901</v>
      </c>
      <c r="N3191">
        <v>57.3808467720661</v>
      </c>
      <c r="O3191">
        <v>56.847615613482702</v>
      </c>
      <c r="P3191">
        <v>-9.0534491371754205E-2</v>
      </c>
      <c r="Q3191">
        <v>0</v>
      </c>
      <c r="R3191">
        <v>0.93620761054961599</v>
      </c>
      <c r="S3191" t="s">
        <v>10194</v>
      </c>
      <c r="T3191" t="s">
        <v>14004</v>
      </c>
      <c r="U3191" t="s">
        <v>14004</v>
      </c>
      <c r="V3191" t="s">
        <v>14004</v>
      </c>
      <c r="W3191" t="s">
        <v>17152</v>
      </c>
      <c r="X3191">
        <v>36</v>
      </c>
      <c r="Y3191" t="s">
        <v>24014</v>
      </c>
      <c r="Z3191" t="s">
        <v>30901</v>
      </c>
      <c r="AA3191">
        <v>0.59090684634368407</v>
      </c>
      <c r="AB3191" t="str">
        <f>HYPERLINK("Melting_Curves/meltCurve_P68363_TUBA1B.pdf", "Melting_Curves/meltCurve_P68363_TUBA1B.pdf")</f>
        <v>Melting_Curves/meltCurve_P68363_TUBA1B.pdf</v>
      </c>
    </row>
    <row r="3192" spans="1:28" x14ac:dyDescent="0.25">
      <c r="A3192" t="s">
        <v>3196</v>
      </c>
      <c r="B3192">
        <v>0.99999676499088797</v>
      </c>
      <c r="C3192">
        <v>1.0007475376172501</v>
      </c>
      <c r="D3192">
        <v>1.04595279534957</v>
      </c>
      <c r="E3192">
        <v>1.0275093958007699</v>
      </c>
      <c r="F3192">
        <v>0.89292623269753302</v>
      </c>
      <c r="G3192">
        <v>0.69578257340153604</v>
      </c>
      <c r="H3192">
        <v>0.22408029892760201</v>
      </c>
      <c r="I3192">
        <v>0.107232132169822</v>
      </c>
      <c r="J3192">
        <v>8.9998405225421907E-2</v>
      </c>
      <c r="K3192">
        <v>7.2311291945268794E-2</v>
      </c>
      <c r="L3192">
        <v>1801.3872673502201</v>
      </c>
      <c r="M3192">
        <v>31.0976100057967</v>
      </c>
      <c r="N3192">
        <v>58.1911705506269</v>
      </c>
      <c r="O3192">
        <v>57.688913221526299</v>
      </c>
      <c r="P3192">
        <v>-0.12588923457357901</v>
      </c>
      <c r="Q3192">
        <v>6.5861096022352794E-2</v>
      </c>
      <c r="R3192">
        <v>0.99602729058609096</v>
      </c>
      <c r="S3192" t="s">
        <v>10195</v>
      </c>
      <c r="T3192" t="s">
        <v>14004</v>
      </c>
      <c r="U3192" t="s">
        <v>14004</v>
      </c>
      <c r="V3192" t="s">
        <v>14004</v>
      </c>
      <c r="W3192" t="s">
        <v>17153</v>
      </c>
      <c r="X3192">
        <v>37</v>
      </c>
      <c r="Y3192" t="s">
        <v>24015</v>
      </c>
      <c r="Z3192" t="s">
        <v>30902</v>
      </c>
      <c r="AA3192">
        <v>0.62986328007078529</v>
      </c>
      <c r="AB3192" t="str">
        <f>HYPERLINK("Melting_Curves/meltCurve_P68371_TUBB4B.pdf", "Melting_Curves/meltCurve_P68371_TUBB4B.pdf")</f>
        <v>Melting_Curves/meltCurve_P68371_TUBB4B.pdf</v>
      </c>
    </row>
    <row r="3193" spans="1:28" x14ac:dyDescent="0.25">
      <c r="A3193" t="s">
        <v>3197</v>
      </c>
      <c r="B3193">
        <v>0.99999676499088797</v>
      </c>
      <c r="C3193">
        <v>0.87481702335411904</v>
      </c>
      <c r="D3193">
        <v>0.79668947113796995</v>
      </c>
      <c r="E3193">
        <v>0.56247830594086801</v>
      </c>
      <c r="F3193">
        <v>0.29981020608178799</v>
      </c>
      <c r="G3193">
        <v>0.15045501434420899</v>
      </c>
      <c r="H3193">
        <v>8.6490662357704806E-2</v>
      </c>
      <c r="I3193">
        <v>7.8147112005996597E-2</v>
      </c>
      <c r="J3193">
        <v>7.9351050738699594E-2</v>
      </c>
      <c r="K3193">
        <v>5.3314848236173398E-2</v>
      </c>
      <c r="L3193">
        <v>760.49975974764004</v>
      </c>
      <c r="M3193">
        <v>15.2565126099234</v>
      </c>
      <c r="N3193">
        <v>50.131256412179098</v>
      </c>
      <c r="O3193">
        <v>49.014657946539401</v>
      </c>
      <c r="P3193">
        <v>-7.4604681672278406E-2</v>
      </c>
      <c r="Q3193">
        <v>4.13593271820243E-2</v>
      </c>
      <c r="R3193">
        <v>0.99637582216637299</v>
      </c>
      <c r="S3193" t="s">
        <v>10196</v>
      </c>
      <c r="T3193" t="s">
        <v>14004</v>
      </c>
      <c r="U3193" t="s">
        <v>14004</v>
      </c>
      <c r="V3193" t="s">
        <v>14004</v>
      </c>
      <c r="W3193" t="s">
        <v>17154</v>
      </c>
      <c r="X3193">
        <v>5</v>
      </c>
      <c r="Y3193" t="s">
        <v>24016</v>
      </c>
      <c r="Z3193" t="s">
        <v>30903</v>
      </c>
      <c r="AA3193">
        <v>0.37831939921274382</v>
      </c>
      <c r="AB3193" t="str">
        <f>HYPERLINK("Melting_Curves/meltCurve_P68402_PAFAH1B2.pdf", "Melting_Curves/meltCurve_P68402_PAFAH1B2.pdf")</f>
        <v>Melting_Curves/meltCurve_P68402_PAFAH1B2.pdf</v>
      </c>
    </row>
    <row r="3194" spans="1:28" x14ac:dyDescent="0.25">
      <c r="A3194" t="s">
        <v>3198</v>
      </c>
      <c r="B3194">
        <v>0.99999676499088797</v>
      </c>
      <c r="C3194">
        <v>2.3405483915341398</v>
      </c>
      <c r="D3194">
        <v>2.1085696313156799</v>
      </c>
      <c r="E3194">
        <v>3.26248524911842</v>
      </c>
      <c r="F3194">
        <v>3.7627641068974498</v>
      </c>
      <c r="G3194">
        <v>2.5644252610738101</v>
      </c>
      <c r="H3194">
        <v>1.3754196316765901</v>
      </c>
      <c r="I3194">
        <v>2.2180106530526502</v>
      </c>
      <c r="J3194">
        <v>5.0300597392684798</v>
      </c>
      <c r="K3194">
        <v>1.44175786474589</v>
      </c>
      <c r="L3194">
        <v>10224.127815141699</v>
      </c>
      <c r="M3194">
        <v>250</v>
      </c>
      <c r="O3194">
        <v>40.8938941656032</v>
      </c>
      <c r="P3194">
        <v>0.76417276178446303</v>
      </c>
      <c r="Q3194">
        <v>1.5</v>
      </c>
      <c r="R3194">
        <v>-0.739196720953187</v>
      </c>
      <c r="S3194" t="s">
        <v>10197</v>
      </c>
      <c r="T3194" t="s">
        <v>14004</v>
      </c>
      <c r="U3194" t="s">
        <v>14004</v>
      </c>
      <c r="V3194" t="s">
        <v>14004</v>
      </c>
      <c r="W3194" t="s">
        <v>17155</v>
      </c>
      <c r="X3194">
        <v>3</v>
      </c>
      <c r="Y3194" t="s">
        <v>24017</v>
      </c>
      <c r="Z3194" t="s">
        <v>30904</v>
      </c>
      <c r="AA3194">
        <v>1.4850127372170181</v>
      </c>
      <c r="AB3194" t="str">
        <f>HYPERLINK("Melting_Curves/meltCurve_P68871_HBB.pdf", "Melting_Curves/meltCurve_P68871_HBB.pdf")</f>
        <v>Melting_Curves/meltCurve_P68871_HBB.pdf</v>
      </c>
    </row>
    <row r="3195" spans="1:28" x14ac:dyDescent="0.25">
      <c r="A3195" t="s">
        <v>3199</v>
      </c>
      <c r="B3195">
        <v>0.99999676499088797</v>
      </c>
      <c r="C3195">
        <v>0.86188593318845896</v>
      </c>
      <c r="D3195">
        <v>0.88619103290390799</v>
      </c>
      <c r="E3195">
        <v>0.93477515336438299</v>
      </c>
      <c r="F3195">
        <v>0.86732559354213901</v>
      </c>
      <c r="G3195">
        <v>0.796541985335527</v>
      </c>
      <c r="H3195">
        <v>0.41892742685032902</v>
      </c>
      <c r="I3195">
        <v>0.53548097542091599</v>
      </c>
      <c r="J3195">
        <v>0.83619236603902503</v>
      </c>
      <c r="K3195">
        <v>0.572327600823202</v>
      </c>
      <c r="L3195">
        <v>1597.16063252611</v>
      </c>
      <c r="M3195">
        <v>29.0802790304943</v>
      </c>
      <c r="O3195">
        <v>54.6647169715852</v>
      </c>
      <c r="P3195">
        <v>-5.3301079669021298E-2</v>
      </c>
      <c r="Q3195">
        <v>0.59922439050596998</v>
      </c>
      <c r="R3195">
        <v>0.56873295738467899</v>
      </c>
      <c r="S3195" t="s">
        <v>10198</v>
      </c>
      <c r="T3195" t="s">
        <v>14004</v>
      </c>
      <c r="U3195" t="s">
        <v>14004</v>
      </c>
      <c r="V3195" t="s">
        <v>14004</v>
      </c>
      <c r="W3195" t="s">
        <v>17156</v>
      </c>
      <c r="X3195">
        <v>5</v>
      </c>
      <c r="Y3195" t="s">
        <v>24018</v>
      </c>
      <c r="Z3195" t="s">
        <v>30905</v>
      </c>
      <c r="AA3195">
        <v>0.80139360551942196</v>
      </c>
      <c r="AB3195" t="str">
        <f>HYPERLINK("Melting_Curves/meltCurve_P69905_HBA1.pdf", "Melting_Curves/meltCurve_P69905_HBA1.pdf")</f>
        <v>Melting_Curves/meltCurve_P69905_HBA1.pdf</v>
      </c>
    </row>
    <row r="3196" spans="1:28" x14ac:dyDescent="0.25">
      <c r="A3196" t="s">
        <v>3200</v>
      </c>
      <c r="B3196">
        <v>0.99999676499088797</v>
      </c>
      <c r="C3196">
        <v>0.98817038597872398</v>
      </c>
      <c r="D3196">
        <v>0.62797721653911398</v>
      </c>
      <c r="E3196">
        <v>0.33784909605314101</v>
      </c>
      <c r="F3196">
        <v>0.199607729542191</v>
      </c>
      <c r="G3196">
        <v>0.15156299374500301</v>
      </c>
      <c r="H3196">
        <v>9.1916429173116196E-2</v>
      </c>
      <c r="I3196">
        <v>0.127415157924058</v>
      </c>
      <c r="J3196">
        <v>0.15049311590620701</v>
      </c>
      <c r="K3196">
        <v>0.13391189874377701</v>
      </c>
      <c r="L3196">
        <v>1162.1146711679501</v>
      </c>
      <c r="M3196">
        <v>24.7662601411553</v>
      </c>
      <c r="N3196">
        <v>47.519626831017099</v>
      </c>
      <c r="O3196">
        <v>46.6205978595289</v>
      </c>
      <c r="P3196">
        <v>-0.11507082612722599</v>
      </c>
      <c r="Q3196">
        <v>0.13356415101555</v>
      </c>
      <c r="R3196">
        <v>0.991563388056802</v>
      </c>
      <c r="S3196" t="s">
        <v>10199</v>
      </c>
      <c r="T3196" t="s">
        <v>14004</v>
      </c>
      <c r="U3196" t="s">
        <v>14004</v>
      </c>
      <c r="V3196" t="s">
        <v>14004</v>
      </c>
      <c r="W3196" t="s">
        <v>17157</v>
      </c>
      <c r="X3196">
        <v>16</v>
      </c>
      <c r="Y3196" t="s">
        <v>24019</v>
      </c>
      <c r="Z3196" t="s">
        <v>30906</v>
      </c>
      <c r="AA3196">
        <v>0.34142826803466603</v>
      </c>
      <c r="AB3196" t="str">
        <f>HYPERLINK("Melting_Curves/meltCurve_P78316_NOP14.pdf", "Melting_Curves/meltCurve_P78316_NOP14.pdf")</f>
        <v>Melting_Curves/meltCurve_P78316_NOP14.pdf</v>
      </c>
    </row>
    <row r="3197" spans="1:28" x14ac:dyDescent="0.25">
      <c r="A3197" t="s">
        <v>3201</v>
      </c>
      <c r="B3197">
        <v>0.99999676499088797</v>
      </c>
      <c r="C3197">
        <v>0.97432270717721603</v>
      </c>
      <c r="D3197">
        <v>0.99223339099886798</v>
      </c>
      <c r="E3197">
        <v>0.80879602709954701</v>
      </c>
      <c r="F3197">
        <v>0.44318212467066598</v>
      </c>
      <c r="G3197">
        <v>0.37219559432761201</v>
      </c>
      <c r="H3197">
        <v>0.21306801175635101</v>
      </c>
      <c r="I3197">
        <v>0.20196202565527599</v>
      </c>
      <c r="J3197">
        <v>0.146442594499269</v>
      </c>
      <c r="K3197">
        <v>0.13825437880404101</v>
      </c>
      <c r="L3197">
        <v>1041.62144406944</v>
      </c>
      <c r="M3197">
        <v>19.913995285744502</v>
      </c>
      <c r="N3197">
        <v>53.3361689887697</v>
      </c>
      <c r="O3197">
        <v>51.787135636662498</v>
      </c>
      <c r="P3197">
        <v>-8.0788890826066398E-2</v>
      </c>
      <c r="Q3197">
        <v>0.15964930601521601</v>
      </c>
      <c r="R3197">
        <v>0.98922562855700502</v>
      </c>
      <c r="S3197" t="s">
        <v>10200</v>
      </c>
      <c r="T3197" t="s">
        <v>14004</v>
      </c>
      <c r="U3197" t="s">
        <v>14004</v>
      </c>
      <c r="V3197" t="s">
        <v>14004</v>
      </c>
      <c r="W3197" t="s">
        <v>17158</v>
      </c>
      <c r="X3197">
        <v>13</v>
      </c>
      <c r="Y3197" t="s">
        <v>24020</v>
      </c>
      <c r="Z3197" t="s">
        <v>30907</v>
      </c>
      <c r="AA3197">
        <v>0.51606255569972448</v>
      </c>
      <c r="AB3197" t="str">
        <f>HYPERLINK("Melting_Curves/meltCurve_P78318_IGBP1.pdf", "Melting_Curves/meltCurve_P78318_IGBP1.pdf")</f>
        <v>Melting_Curves/meltCurve_P78318_IGBP1.pdf</v>
      </c>
    </row>
    <row r="3198" spans="1:28" x14ac:dyDescent="0.25">
      <c r="A3198" t="s">
        <v>3202</v>
      </c>
      <c r="B3198">
        <v>0.99999676499088797</v>
      </c>
      <c r="C3198">
        <v>1.11428122195142</v>
      </c>
      <c r="D3198">
        <v>1.0645075975724101</v>
      </c>
      <c r="E3198">
        <v>1.01433505198232</v>
      </c>
      <c r="F3198">
        <v>1.02928090642792</v>
      </c>
      <c r="G3198">
        <v>0.85410105476933196</v>
      </c>
      <c r="H3198">
        <v>0.60474102965397802</v>
      </c>
      <c r="I3198">
        <v>0.53023333805492801</v>
      </c>
      <c r="J3198">
        <v>0.227971897947084</v>
      </c>
      <c r="K3198">
        <v>0.157155317340714</v>
      </c>
      <c r="L3198">
        <v>1089.9153138710301</v>
      </c>
      <c r="M3198">
        <v>17.245449881762401</v>
      </c>
      <c r="N3198">
        <v>63.2001675458515</v>
      </c>
      <c r="O3198">
        <v>62.368733618308198</v>
      </c>
      <c r="P3198">
        <v>-6.9131034451203E-2</v>
      </c>
      <c r="Q3198">
        <v>0</v>
      </c>
      <c r="R3198">
        <v>0.969341943975223</v>
      </c>
      <c r="S3198" t="s">
        <v>10201</v>
      </c>
      <c r="T3198" t="s">
        <v>14004</v>
      </c>
      <c r="U3198" t="s">
        <v>14004</v>
      </c>
      <c r="V3198" t="s">
        <v>14004</v>
      </c>
      <c r="W3198" t="s">
        <v>17159</v>
      </c>
      <c r="X3198">
        <v>13</v>
      </c>
      <c r="Y3198" t="s">
        <v>24021</v>
      </c>
      <c r="Z3198" t="s">
        <v>30908</v>
      </c>
      <c r="AA3198">
        <v>0.76774418053148896</v>
      </c>
      <c r="AB3198" t="str">
        <f>HYPERLINK("Melting_Curves/meltCurve_P78330_PSPH.pdf", "Melting_Curves/meltCurve_P78330_PSPH.pdf")</f>
        <v>Melting_Curves/meltCurve_P78330_PSPH.pdf</v>
      </c>
    </row>
    <row r="3199" spans="1:28" x14ac:dyDescent="0.25">
      <c r="A3199" t="s">
        <v>3203</v>
      </c>
      <c r="B3199">
        <v>0.99999676499088797</v>
      </c>
      <c r="C3199">
        <v>0.86961884373560705</v>
      </c>
      <c r="D3199">
        <v>0.59330102255820305</v>
      </c>
      <c r="E3199">
        <v>0.35518546307098797</v>
      </c>
      <c r="F3199">
        <v>0.26850284678688802</v>
      </c>
      <c r="G3199">
        <v>0.218898164278336</v>
      </c>
      <c r="H3199">
        <v>0.15642764899025799</v>
      </c>
      <c r="I3199">
        <v>0.173045769917405</v>
      </c>
      <c r="J3199">
        <v>0.17335821702203399</v>
      </c>
      <c r="K3199">
        <v>0.16954462836631901</v>
      </c>
      <c r="L3199">
        <v>906.95100607672703</v>
      </c>
      <c r="M3199">
        <v>19.574675996099401</v>
      </c>
      <c r="N3199">
        <v>47.380207776890401</v>
      </c>
      <c r="O3199">
        <v>45.857458463072902</v>
      </c>
      <c r="P3199">
        <v>-8.7976574504614796E-2</v>
      </c>
      <c r="Q3199">
        <v>0.17562103980797</v>
      </c>
      <c r="R3199">
        <v>0.99516121231029198</v>
      </c>
      <c r="S3199" t="s">
        <v>10202</v>
      </c>
      <c r="T3199" t="s">
        <v>14004</v>
      </c>
      <c r="U3199" t="s">
        <v>14004</v>
      </c>
      <c r="V3199" t="s">
        <v>14004</v>
      </c>
      <c r="W3199" t="s">
        <v>17160</v>
      </c>
      <c r="X3199">
        <v>19</v>
      </c>
      <c r="Y3199" t="s">
        <v>24022</v>
      </c>
      <c r="Z3199" t="s">
        <v>30909</v>
      </c>
      <c r="AA3199">
        <v>0.36273765518528911</v>
      </c>
      <c r="AB3199" t="str">
        <f>HYPERLINK("Melting_Curves/meltCurve_P78332_RBM6.pdf", "Melting_Curves/meltCurve_P78332_RBM6.pdf")</f>
        <v>Melting_Curves/meltCurve_P78332_RBM6.pdf</v>
      </c>
    </row>
    <row r="3200" spans="1:28" x14ac:dyDescent="0.25">
      <c r="A3200" t="s">
        <v>3204</v>
      </c>
      <c r="B3200">
        <v>0.99999676499088797</v>
      </c>
      <c r="C3200">
        <v>0.98454341412589597</v>
      </c>
      <c r="D3200">
        <v>1.0048223838546899</v>
      </c>
      <c r="E3200">
        <v>0.86402790712561905</v>
      </c>
      <c r="F3200">
        <v>0.45344954901826301</v>
      </c>
      <c r="G3200">
        <v>0.26684959924995899</v>
      </c>
      <c r="H3200">
        <v>0.109774962611948</v>
      </c>
      <c r="I3200">
        <v>4.9153822900246599E-2</v>
      </c>
      <c r="J3200">
        <v>7.0038499840609295E-2</v>
      </c>
      <c r="K3200">
        <v>6.5880830311325494E-2</v>
      </c>
      <c r="L3200">
        <v>1253.0653989085399</v>
      </c>
      <c r="M3200">
        <v>23.696737393352201</v>
      </c>
      <c r="N3200">
        <v>53.183884826444697</v>
      </c>
      <c r="O3200">
        <v>52.5069752532048</v>
      </c>
      <c r="P3200">
        <v>-0.10566731051268601</v>
      </c>
      <c r="Q3200">
        <v>6.3469666643804407E-2</v>
      </c>
      <c r="R3200">
        <v>0.99562581090307301</v>
      </c>
      <c r="S3200" t="s">
        <v>10203</v>
      </c>
      <c r="T3200" t="s">
        <v>14004</v>
      </c>
      <c r="U3200" t="s">
        <v>14004</v>
      </c>
      <c r="V3200" t="s">
        <v>14004</v>
      </c>
      <c r="W3200" t="s">
        <v>17161</v>
      </c>
      <c r="X3200">
        <v>5</v>
      </c>
      <c r="Y3200" t="s">
        <v>24023</v>
      </c>
      <c r="Z3200" t="s">
        <v>30910</v>
      </c>
      <c r="AA3200">
        <v>0.47505075601271513</v>
      </c>
      <c r="AB3200" t="str">
        <f>HYPERLINK("Melting_Curves/meltCurve_P78345_RPP38.pdf", "Melting_Curves/meltCurve_P78345_RPP38.pdf")</f>
        <v>Melting_Curves/meltCurve_P78345_RPP38.pdf</v>
      </c>
    </row>
    <row r="3201" spans="1:28" x14ac:dyDescent="0.25">
      <c r="A3201" t="s">
        <v>3205</v>
      </c>
      <c r="B3201">
        <v>0.99999676499088797</v>
      </c>
      <c r="C3201">
        <v>0.96964138091709695</v>
      </c>
      <c r="D3201">
        <v>1.0227514564931099</v>
      </c>
      <c r="E3201">
        <v>1.1998780324617999</v>
      </c>
      <c r="F3201">
        <v>1.1631149220583199</v>
      </c>
      <c r="G3201">
        <v>0.89638230304158495</v>
      </c>
      <c r="H3201">
        <v>0.47269700774829299</v>
      </c>
      <c r="I3201">
        <v>0.207266908947321</v>
      </c>
      <c r="J3201">
        <v>0.102168568189176</v>
      </c>
      <c r="K3201">
        <v>0.105522233308715</v>
      </c>
      <c r="L3201">
        <v>2266.5329217512999</v>
      </c>
      <c r="M3201">
        <v>37.608669753411299</v>
      </c>
      <c r="N3201">
        <v>60.6214429212353</v>
      </c>
      <c r="O3201">
        <v>60.096599056085402</v>
      </c>
      <c r="P3201">
        <v>-0.14097994871661901</v>
      </c>
      <c r="Q3201">
        <v>9.8889370627125397E-2</v>
      </c>
      <c r="R3201">
        <v>0.95986882100998605</v>
      </c>
      <c r="S3201" t="s">
        <v>10204</v>
      </c>
      <c r="T3201" t="s">
        <v>14004</v>
      </c>
      <c r="U3201" t="s">
        <v>14004</v>
      </c>
      <c r="V3201" t="s">
        <v>14004</v>
      </c>
      <c r="W3201" t="s">
        <v>17162</v>
      </c>
      <c r="X3201">
        <v>9</v>
      </c>
      <c r="Y3201" t="s">
        <v>24024</v>
      </c>
      <c r="Z3201" t="s">
        <v>30911</v>
      </c>
      <c r="AA3201">
        <v>0.71150869128579286</v>
      </c>
      <c r="AB3201" t="str">
        <f>HYPERLINK("Melting_Curves/meltCurve_P78346_RPP30.pdf", "Melting_Curves/meltCurve_P78346_RPP30.pdf")</f>
        <v>Melting_Curves/meltCurve_P78346_RPP30.pdf</v>
      </c>
    </row>
    <row r="3202" spans="1:28" x14ac:dyDescent="0.25">
      <c r="A3202" t="s">
        <v>3206</v>
      </c>
      <c r="B3202">
        <v>0.99999676499088797</v>
      </c>
      <c r="C3202">
        <v>0.65276718231699105</v>
      </c>
      <c r="D3202">
        <v>0.25299440812866297</v>
      </c>
      <c r="E3202">
        <v>0.16713523275209599</v>
      </c>
      <c r="F3202">
        <v>0.13109823374662899</v>
      </c>
      <c r="G3202">
        <v>9.2527608990622304E-2</v>
      </c>
      <c r="H3202">
        <v>4.9185936273176301E-2</v>
      </c>
      <c r="I3202">
        <v>5.1378522559311503E-2</v>
      </c>
      <c r="J3202">
        <v>5.1229479050397701E-2</v>
      </c>
      <c r="K3202">
        <v>4.6671179231674999E-2</v>
      </c>
      <c r="L3202">
        <v>1267.4307876396099</v>
      </c>
      <c r="M3202">
        <v>28.951656546343902</v>
      </c>
      <c r="N3202">
        <v>44.032990901662799</v>
      </c>
      <c r="O3202">
        <v>43.570221972464701</v>
      </c>
      <c r="P3202">
        <v>-0.15327729684764199</v>
      </c>
      <c r="Q3202">
        <v>7.7320400634811506E-2</v>
      </c>
      <c r="R3202">
        <v>0.98625202003999102</v>
      </c>
      <c r="S3202" t="s">
        <v>10205</v>
      </c>
      <c r="T3202" t="s">
        <v>14004</v>
      </c>
      <c r="U3202" t="s">
        <v>14004</v>
      </c>
      <c r="V3202" t="s">
        <v>14004</v>
      </c>
      <c r="W3202" t="s">
        <v>17163</v>
      </c>
      <c r="X3202">
        <v>40</v>
      </c>
      <c r="Y3202" t="s">
        <v>24025</v>
      </c>
      <c r="Z3202" t="s">
        <v>30912</v>
      </c>
      <c r="AA3202">
        <v>0.20117329351189009</v>
      </c>
      <c r="AB3202" t="str">
        <f>HYPERLINK("Melting_Curves/meltCurve_P78347_2_GTF2I.pdf", "Melting_Curves/meltCurve_P78347_2_GTF2I.pdf")</f>
        <v>Melting_Curves/meltCurve_P78347_2_GTF2I.pdf</v>
      </c>
    </row>
    <row r="3203" spans="1:28" x14ac:dyDescent="0.25">
      <c r="A3203" t="s">
        <v>3207</v>
      </c>
      <c r="B3203">
        <v>0.99999676499088797</v>
      </c>
      <c r="C3203">
        <v>0.94526054403072202</v>
      </c>
      <c r="D3203">
        <v>1.0064052284643199</v>
      </c>
      <c r="E3203">
        <v>0.98874799304283501</v>
      </c>
      <c r="F3203">
        <v>0.449665109785165</v>
      </c>
      <c r="G3203">
        <v>0.21436471276088301</v>
      </c>
      <c r="H3203">
        <v>9.5240894421447106E-2</v>
      </c>
      <c r="I3203">
        <v>7.8453039931991195E-2</v>
      </c>
      <c r="J3203">
        <v>7.5737104001552105E-2</v>
      </c>
      <c r="K3203">
        <v>6.45808645617231E-2</v>
      </c>
      <c r="L3203">
        <v>2129.6643861543898</v>
      </c>
      <c r="M3203">
        <v>40.327886792993198</v>
      </c>
      <c r="N3203">
        <v>53.073290703564503</v>
      </c>
      <c r="O3203">
        <v>52.679376178704999</v>
      </c>
      <c r="P3203">
        <v>-0.173957448468925</v>
      </c>
      <c r="Q3203">
        <v>9.1055663977467699E-2</v>
      </c>
      <c r="R3203">
        <v>0.99255617504949101</v>
      </c>
      <c r="S3203" t="s">
        <v>10206</v>
      </c>
      <c r="T3203" t="s">
        <v>14004</v>
      </c>
      <c r="U3203" t="s">
        <v>14004</v>
      </c>
      <c r="V3203" t="s">
        <v>14004</v>
      </c>
      <c r="W3203" t="s">
        <v>17164</v>
      </c>
      <c r="X3203">
        <v>11</v>
      </c>
      <c r="Y3203" t="s">
        <v>24026</v>
      </c>
      <c r="Z3203" t="s">
        <v>30913</v>
      </c>
      <c r="AA3203">
        <v>0.48239730577550838</v>
      </c>
      <c r="AB3203" t="str">
        <f>HYPERLINK("Melting_Curves/meltCurve_P78356_PIP4K2B.pdf", "Melting_Curves/meltCurve_P78356_PIP4K2B.pdf")</f>
        <v>Melting_Curves/meltCurve_P78356_PIP4K2B.pdf</v>
      </c>
    </row>
    <row r="3204" spans="1:28" x14ac:dyDescent="0.25">
      <c r="A3204" t="s">
        <v>3208</v>
      </c>
      <c r="B3204">
        <v>0.99999676499088797</v>
      </c>
      <c r="C3204">
        <v>1.01152403522405</v>
      </c>
      <c r="D3204">
        <v>1.0386464142251</v>
      </c>
      <c r="E3204">
        <v>0.93460314105779096</v>
      </c>
      <c r="F3204">
        <v>0.619947803771705</v>
      </c>
      <c r="G3204">
        <v>0.54388807243553094</v>
      </c>
      <c r="H3204">
        <v>0.126897761917106</v>
      </c>
      <c r="I3204">
        <v>9.3773817229501594E-2</v>
      </c>
      <c r="J3204">
        <v>9.32276003687183E-2</v>
      </c>
      <c r="K3204">
        <v>7.2013213769620305E-2</v>
      </c>
      <c r="L3204">
        <v>1021.1232336624</v>
      </c>
      <c r="M3204">
        <v>18.327919885880601</v>
      </c>
      <c r="N3204">
        <v>55.908323050803403</v>
      </c>
      <c r="O3204">
        <v>55.063519733055003</v>
      </c>
      <c r="P3204">
        <v>-8.0649587716133203E-2</v>
      </c>
      <c r="Q3204">
        <v>3.0845585827687799E-2</v>
      </c>
      <c r="R3204">
        <v>0.97999601340095499</v>
      </c>
      <c r="S3204" t="s">
        <v>10207</v>
      </c>
      <c r="T3204" t="s">
        <v>14004</v>
      </c>
      <c r="U3204" t="s">
        <v>14004</v>
      </c>
      <c r="V3204" t="s">
        <v>14004</v>
      </c>
      <c r="W3204" t="s">
        <v>17165</v>
      </c>
      <c r="X3204">
        <v>16</v>
      </c>
      <c r="Y3204" t="s">
        <v>24027</v>
      </c>
      <c r="Z3204" t="s">
        <v>30914</v>
      </c>
      <c r="AA3204">
        <v>0.55267311145725628</v>
      </c>
      <c r="AB3204" t="str">
        <f>HYPERLINK("Melting_Curves/meltCurve_P78362_SRPK2.pdf", "Melting_Curves/meltCurve_P78362_SRPK2.pdf")</f>
        <v>Melting_Curves/meltCurve_P78362_SRPK2.pdf</v>
      </c>
    </row>
    <row r="3205" spans="1:28" x14ac:dyDescent="0.25">
      <c r="A3205" t="s">
        <v>3209</v>
      </c>
      <c r="B3205">
        <v>0.99999676499088797</v>
      </c>
      <c r="C3205">
        <v>0.96234103977144503</v>
      </c>
      <c r="D3205">
        <v>0.98152183879822197</v>
      </c>
      <c r="E3205">
        <v>0.99062789722310995</v>
      </c>
      <c r="F3205">
        <v>0.95704862010554204</v>
      </c>
      <c r="G3205">
        <v>0.62826440306638298</v>
      </c>
      <c r="H3205">
        <v>0.21000471806871199</v>
      </c>
      <c r="I3205">
        <v>0.122147178924236</v>
      </c>
      <c r="J3205">
        <v>8.56018939853357E-2</v>
      </c>
      <c r="K3205">
        <v>6.9377039539529201E-2</v>
      </c>
      <c r="L3205">
        <v>1923.5688908280799</v>
      </c>
      <c r="M3205">
        <v>33.448567705311902</v>
      </c>
      <c r="N3205">
        <v>57.805118347053899</v>
      </c>
      <c r="O3205">
        <v>57.3038706669672</v>
      </c>
      <c r="P3205">
        <v>-0.134411187974948</v>
      </c>
      <c r="Q3205">
        <v>7.8914377567368493E-2</v>
      </c>
      <c r="R3205">
        <v>0.998574676512898</v>
      </c>
      <c r="S3205" t="s">
        <v>10208</v>
      </c>
      <c r="T3205" t="s">
        <v>14004</v>
      </c>
      <c r="U3205" t="s">
        <v>14004</v>
      </c>
      <c r="V3205" t="s">
        <v>14004</v>
      </c>
      <c r="W3205" t="s">
        <v>17166</v>
      </c>
      <c r="X3205">
        <v>52</v>
      </c>
      <c r="Y3205" t="s">
        <v>24028</v>
      </c>
      <c r="Z3205" t="s">
        <v>30915</v>
      </c>
      <c r="AA3205">
        <v>0.6215097581583765</v>
      </c>
      <c r="AB3205" t="str">
        <f>HYPERLINK("Melting_Curves/meltCurve_P78371_CCT2.pdf", "Melting_Curves/meltCurve_P78371_CCT2.pdf")</f>
        <v>Melting_Curves/meltCurve_P78371_CCT2.pdf</v>
      </c>
    </row>
    <row r="3206" spans="1:28" x14ac:dyDescent="0.25">
      <c r="A3206" t="s">
        <v>3210</v>
      </c>
      <c r="B3206">
        <v>0.99999676499088797</v>
      </c>
      <c r="C3206">
        <v>0.98351290345964504</v>
      </c>
      <c r="D3206">
        <v>0.95253791644567898</v>
      </c>
      <c r="E3206">
        <v>0.88374957702729495</v>
      </c>
      <c r="F3206">
        <v>0.71400306441571404</v>
      </c>
      <c r="G3206">
        <v>0.93131687251478301</v>
      </c>
      <c r="H3206">
        <v>0.62122104164730696</v>
      </c>
      <c r="I3206">
        <v>0.46523090481250901</v>
      </c>
      <c r="J3206">
        <v>0.144607919685352</v>
      </c>
      <c r="K3206">
        <v>0.10780414072537101</v>
      </c>
      <c r="L3206">
        <v>1054.5873519030399</v>
      </c>
      <c r="M3206">
        <v>16.905731103230998</v>
      </c>
      <c r="N3206">
        <v>62.380464629005402</v>
      </c>
      <c r="O3206">
        <v>61.527240773368803</v>
      </c>
      <c r="P3206">
        <v>-6.8696393364277297E-2</v>
      </c>
      <c r="Q3206">
        <v>0</v>
      </c>
      <c r="R3206">
        <v>0.91306231941036198</v>
      </c>
      <c r="S3206" t="s">
        <v>10209</v>
      </c>
      <c r="T3206" t="s">
        <v>14004</v>
      </c>
      <c r="U3206" t="s">
        <v>14004</v>
      </c>
      <c r="V3206" t="s">
        <v>14004</v>
      </c>
      <c r="W3206" t="s">
        <v>17167</v>
      </c>
      <c r="X3206">
        <v>1</v>
      </c>
      <c r="Y3206" t="s">
        <v>24029</v>
      </c>
      <c r="Z3206" t="s">
        <v>30916</v>
      </c>
      <c r="AA3206">
        <v>0.74439432159327945</v>
      </c>
      <c r="AB3206" t="str">
        <f>HYPERLINK("Melting_Curves/meltCurve_P78382_2_SLC35A1.pdf", "Melting_Curves/meltCurve_P78382_2_SLC35A1.pdf")</f>
        <v>Melting_Curves/meltCurve_P78382_2_SLC35A1.pdf</v>
      </c>
    </row>
    <row r="3207" spans="1:28" x14ac:dyDescent="0.25">
      <c r="A3207" t="s">
        <v>3211</v>
      </c>
      <c r="B3207">
        <v>0.99999676499088797</v>
      </c>
      <c r="C3207">
        <v>0.94444023188719595</v>
      </c>
      <c r="D3207">
        <v>0.81842887599921699</v>
      </c>
      <c r="E3207">
        <v>0.56056929923205201</v>
      </c>
      <c r="F3207">
        <v>0.22134959541888199</v>
      </c>
      <c r="G3207">
        <v>0.13437347454117199</v>
      </c>
      <c r="H3207">
        <v>5.9680264410241199E-2</v>
      </c>
      <c r="I3207">
        <v>5.2022177292526603E-2</v>
      </c>
      <c r="J3207">
        <v>5.3336950232756503E-2</v>
      </c>
      <c r="K3207">
        <v>4.8654264514582601E-2</v>
      </c>
      <c r="L3207">
        <v>963.41236823092095</v>
      </c>
      <c r="M3207">
        <v>19.375984847973299</v>
      </c>
      <c r="N3207">
        <v>49.943167707462401</v>
      </c>
      <c r="O3207">
        <v>49.201428057444801</v>
      </c>
      <c r="P3207">
        <v>-9.4407813571038904E-2</v>
      </c>
      <c r="Q3207">
        <v>4.1116324881156401E-2</v>
      </c>
      <c r="R3207">
        <v>0.99818802170241205</v>
      </c>
      <c r="S3207" t="s">
        <v>10210</v>
      </c>
      <c r="T3207" t="s">
        <v>14004</v>
      </c>
      <c r="U3207" t="s">
        <v>14004</v>
      </c>
      <c r="V3207" t="s">
        <v>14004</v>
      </c>
      <c r="W3207" t="s">
        <v>17168</v>
      </c>
      <c r="X3207">
        <v>21</v>
      </c>
      <c r="Y3207" t="s">
        <v>24030</v>
      </c>
      <c r="Z3207" t="s">
        <v>30917</v>
      </c>
      <c r="AA3207">
        <v>0.36608280861699322</v>
      </c>
      <c r="AB3207" t="str">
        <f>HYPERLINK("Melting_Curves/meltCurve_P78406_RAE1.pdf", "Melting_Curves/meltCurve_P78406_RAE1.pdf")</f>
        <v>Melting_Curves/meltCurve_P78406_RAE1.pdf</v>
      </c>
    </row>
    <row r="3208" spans="1:28" x14ac:dyDescent="0.25">
      <c r="A3208" t="s">
        <v>3212</v>
      </c>
      <c r="B3208">
        <v>0.99999676499088797</v>
      </c>
      <c r="C3208">
        <v>0.84604352967507401</v>
      </c>
      <c r="D3208">
        <v>0.83687718539254596</v>
      </c>
      <c r="E3208">
        <v>0.67339916799913802</v>
      </c>
      <c r="F3208">
        <v>0.47974558292618702</v>
      </c>
      <c r="G3208">
        <v>0.25888409997792899</v>
      </c>
      <c r="H3208">
        <v>0.12578931995860601</v>
      </c>
      <c r="I3208">
        <v>0.15084228840328201</v>
      </c>
      <c r="J3208">
        <v>0.10870559437954</v>
      </c>
      <c r="K3208">
        <v>0.13914925883608101</v>
      </c>
      <c r="L3208">
        <v>652.44895839967501</v>
      </c>
      <c r="M3208">
        <v>12.6484618135689</v>
      </c>
      <c r="N3208">
        <v>52.156790471179598</v>
      </c>
      <c r="O3208">
        <v>50.344840463424902</v>
      </c>
      <c r="P3208">
        <v>-5.8742924314148001E-2</v>
      </c>
      <c r="Q3208">
        <v>6.4922815530118194E-2</v>
      </c>
      <c r="R3208">
        <v>0.98525902661876796</v>
      </c>
      <c r="S3208" t="s">
        <v>10211</v>
      </c>
      <c r="T3208" t="s">
        <v>14004</v>
      </c>
      <c r="U3208" t="s">
        <v>14004</v>
      </c>
      <c r="V3208" t="s">
        <v>14004</v>
      </c>
      <c r="W3208" t="s">
        <v>17169</v>
      </c>
      <c r="X3208">
        <v>3</v>
      </c>
      <c r="Y3208" t="s">
        <v>24031</v>
      </c>
      <c r="Z3208" t="s">
        <v>30918</v>
      </c>
      <c r="AA3208">
        <v>0.45331884617065099</v>
      </c>
      <c r="AB3208" t="str">
        <f>HYPERLINK("Melting_Curves/meltCurve_P78410_3_BTN3A2.pdf", "Melting_Curves/meltCurve_P78410_3_BTN3A2.pdf")</f>
        <v>Melting_Curves/meltCurve_P78410_3_BTN3A2.pdf</v>
      </c>
    </row>
    <row r="3209" spans="1:28" x14ac:dyDescent="0.25">
      <c r="A3209" t="s">
        <v>3213</v>
      </c>
      <c r="B3209">
        <v>0.99999676499088797</v>
      </c>
      <c r="C3209">
        <v>0.91528616280349895</v>
      </c>
      <c r="D3209">
        <v>0.94065960614289401</v>
      </c>
      <c r="E3209">
        <v>0.92119876269241696</v>
      </c>
      <c r="F3209">
        <v>0.80986833338402098</v>
      </c>
      <c r="G3209">
        <v>0.78784548697583801</v>
      </c>
      <c r="H3209">
        <v>0.42735349074271201</v>
      </c>
      <c r="I3209">
        <v>0.355067885365832</v>
      </c>
      <c r="J3209">
        <v>0.238098198890727</v>
      </c>
      <c r="K3209">
        <v>0.16819393887077699</v>
      </c>
      <c r="L3209">
        <v>730.27864741113797</v>
      </c>
      <c r="M3209">
        <v>12.0458076768341</v>
      </c>
      <c r="N3209">
        <v>60.625129313404599</v>
      </c>
      <c r="O3209">
        <v>59.026820010167199</v>
      </c>
      <c r="P3209">
        <v>-5.1030485018213098E-2</v>
      </c>
      <c r="Q3209">
        <v>0</v>
      </c>
      <c r="R3209">
        <v>0.97630119342963195</v>
      </c>
      <c r="S3209" t="s">
        <v>10212</v>
      </c>
      <c r="T3209" t="s">
        <v>14004</v>
      </c>
      <c r="U3209" t="s">
        <v>14004</v>
      </c>
      <c r="V3209" t="s">
        <v>14004</v>
      </c>
      <c r="W3209" t="s">
        <v>17170</v>
      </c>
      <c r="X3209">
        <v>19</v>
      </c>
      <c r="Y3209" t="s">
        <v>24032</v>
      </c>
      <c r="Z3209" t="s">
        <v>30919</v>
      </c>
      <c r="AA3209">
        <v>0.6861150115602096</v>
      </c>
      <c r="AB3209" t="str">
        <f>HYPERLINK("Melting_Curves/meltCurve_P78417_GSTO1.pdf", "Melting_Curves/meltCurve_P78417_GSTO1.pdf")</f>
        <v>Melting_Curves/meltCurve_P78417_GSTO1.pdf</v>
      </c>
    </row>
    <row r="3210" spans="1:28" x14ac:dyDescent="0.25">
      <c r="A3210" t="s">
        <v>3214</v>
      </c>
      <c r="B3210">
        <v>0.99999676499088797</v>
      </c>
      <c r="C3210">
        <v>1.21214657191714</v>
      </c>
      <c r="D3210">
        <v>1.2915230423236299</v>
      </c>
      <c r="E3210">
        <v>1.6976778159487</v>
      </c>
      <c r="F3210">
        <v>0.33315002731575</v>
      </c>
      <c r="G3210">
        <v>0.271240929444301</v>
      </c>
      <c r="H3210">
        <v>0.116770374264298</v>
      </c>
      <c r="I3210">
        <v>0.118454841509525</v>
      </c>
      <c r="J3210">
        <v>0.106888326572944</v>
      </c>
      <c r="K3210">
        <v>8.6965399781974206E-2</v>
      </c>
      <c r="L3210">
        <v>13234.0624670248</v>
      </c>
      <c r="M3210">
        <v>250</v>
      </c>
      <c r="N3210">
        <v>53.005942763083702</v>
      </c>
      <c r="O3210">
        <v>52.932863082070597</v>
      </c>
      <c r="P3210">
        <v>-1.01536175697714</v>
      </c>
      <c r="Q3210">
        <v>0.14006393594956301</v>
      </c>
      <c r="R3210">
        <v>0.81004609529678795</v>
      </c>
      <c r="S3210" t="s">
        <v>10213</v>
      </c>
      <c r="T3210" t="s">
        <v>14004</v>
      </c>
      <c r="U3210" t="s">
        <v>14004</v>
      </c>
      <c r="V3210" t="s">
        <v>14004</v>
      </c>
      <c r="W3210" t="s">
        <v>17171</v>
      </c>
      <c r="X3210">
        <v>102</v>
      </c>
      <c r="Y3210" t="s">
        <v>24033</v>
      </c>
      <c r="Z3210" t="s">
        <v>30920</v>
      </c>
      <c r="AA3210">
        <v>0.51095541915470621</v>
      </c>
      <c r="AB3210" t="str">
        <f>HYPERLINK("Melting_Curves/meltCurve_P78527_PRKDC.pdf", "Melting_Curves/meltCurve_P78527_PRKDC.pdf")</f>
        <v>Melting_Curves/meltCurve_P78527_PRKDC.pdf</v>
      </c>
    </row>
    <row r="3211" spans="1:28" x14ac:dyDescent="0.25">
      <c r="A3211" t="s">
        <v>3215</v>
      </c>
      <c r="B3211">
        <v>0.99999676499088797</v>
      </c>
      <c r="C3211">
        <v>0.95919337481614997</v>
      </c>
      <c r="D3211">
        <v>0.884784502013226</v>
      </c>
      <c r="E3211">
        <v>0.70985333291352004</v>
      </c>
      <c r="F3211">
        <v>0.47903068563812801</v>
      </c>
      <c r="G3211">
        <v>0.34836572393286702</v>
      </c>
      <c r="H3211">
        <v>0.18501949414084801</v>
      </c>
      <c r="I3211">
        <v>0.19151133556692601</v>
      </c>
      <c r="J3211">
        <v>0.184715774550409</v>
      </c>
      <c r="K3211">
        <v>0.16172596913373199</v>
      </c>
      <c r="L3211">
        <v>782.12773094692795</v>
      </c>
      <c r="M3211">
        <v>15.109785387263001</v>
      </c>
      <c r="N3211">
        <v>52.948783001356396</v>
      </c>
      <c r="O3211">
        <v>50.881709437144302</v>
      </c>
      <c r="P3211">
        <v>-6.3589862546870907E-2</v>
      </c>
      <c r="Q3211">
        <v>0.14353694099904299</v>
      </c>
      <c r="R3211">
        <v>0.99743074595796999</v>
      </c>
      <c r="S3211" t="s">
        <v>10214</v>
      </c>
      <c r="T3211" t="s">
        <v>14004</v>
      </c>
      <c r="U3211" t="s">
        <v>14004</v>
      </c>
      <c r="V3211" t="s">
        <v>14004</v>
      </c>
      <c r="W3211" t="s">
        <v>17172</v>
      </c>
      <c r="X3211">
        <v>8</v>
      </c>
      <c r="Y3211" t="s">
        <v>24034</v>
      </c>
      <c r="Z3211" t="s">
        <v>30921</v>
      </c>
      <c r="AA3211">
        <v>0.49844118289368389</v>
      </c>
      <c r="AB3211" t="str">
        <f>HYPERLINK("Melting_Curves/meltCurve_P78536_ADAM17.pdf", "Melting_Curves/meltCurve_P78536_ADAM17.pdf")</f>
        <v>Melting_Curves/meltCurve_P78536_ADAM17.pdf</v>
      </c>
    </row>
    <row r="3212" spans="1:28" x14ac:dyDescent="0.25">
      <c r="A3212" t="s">
        <v>3216</v>
      </c>
      <c r="B3212">
        <v>0.99999676499088797</v>
      </c>
      <c r="C3212">
        <v>1.0223987658518301</v>
      </c>
      <c r="D3212">
        <v>0.92006582148034499</v>
      </c>
      <c r="E3212">
        <v>0.79025580753735603</v>
      </c>
      <c r="F3212">
        <v>0.74297239166209095</v>
      </c>
      <c r="G3212">
        <v>0.47188335275918403</v>
      </c>
      <c r="H3212">
        <v>0.186662098210195</v>
      </c>
      <c r="I3212">
        <v>0.14104828591003801</v>
      </c>
      <c r="J3212">
        <v>0.14486344373854901</v>
      </c>
      <c r="K3212">
        <v>0.118350244000273</v>
      </c>
      <c r="L3212">
        <v>841.66152968895403</v>
      </c>
      <c r="M3212">
        <v>15.168137879959399</v>
      </c>
      <c r="N3212">
        <v>55.916124004532897</v>
      </c>
      <c r="O3212">
        <v>54.551130762493599</v>
      </c>
      <c r="P3212">
        <v>-6.5715634417657806E-2</v>
      </c>
      <c r="Q3212">
        <v>5.4725178286304403E-2</v>
      </c>
      <c r="R3212">
        <v>0.98480807460359798</v>
      </c>
      <c r="S3212" t="s">
        <v>10215</v>
      </c>
      <c r="T3212" t="s">
        <v>14004</v>
      </c>
      <c r="U3212" t="s">
        <v>14004</v>
      </c>
      <c r="V3212" t="s">
        <v>14004</v>
      </c>
      <c r="W3212" t="s">
        <v>17173</v>
      </c>
      <c r="X3212">
        <v>8</v>
      </c>
      <c r="Y3212" t="s">
        <v>24035</v>
      </c>
      <c r="Z3212" t="s">
        <v>30922</v>
      </c>
      <c r="AA3212">
        <v>0.56013028075382498</v>
      </c>
      <c r="AB3212" t="str">
        <f>HYPERLINK("Melting_Curves/meltCurve_P78537_2_BLOC1S1.pdf", "Melting_Curves/meltCurve_P78537_2_BLOC1S1.pdf")</f>
        <v>Melting_Curves/meltCurve_P78537_2_BLOC1S1.pdf</v>
      </c>
    </row>
    <row r="3213" spans="1:28" x14ac:dyDescent="0.25">
      <c r="A3213" t="s">
        <v>3217</v>
      </c>
      <c r="B3213">
        <v>0.99999676499088797</v>
      </c>
      <c r="C3213">
        <v>0.94736720638441096</v>
      </c>
      <c r="D3213">
        <v>0.98271824856377799</v>
      </c>
      <c r="E3213">
        <v>1.0230999972504899</v>
      </c>
      <c r="F3213">
        <v>0.914309116360148</v>
      </c>
      <c r="G3213">
        <v>0.79199040161959799</v>
      </c>
      <c r="H3213">
        <v>0.47531303921219398</v>
      </c>
      <c r="I3213">
        <v>0.253484269144089</v>
      </c>
      <c r="J3213">
        <v>0.129022566854229</v>
      </c>
      <c r="K3213">
        <v>8.8004807803846993E-2</v>
      </c>
      <c r="L3213">
        <v>1229.6121213456299</v>
      </c>
      <c r="M3213">
        <v>20.390580888145699</v>
      </c>
      <c r="N3213">
        <v>60.4657318912679</v>
      </c>
      <c r="O3213">
        <v>59.7319334015381</v>
      </c>
      <c r="P3213">
        <v>-8.3065256938728099E-2</v>
      </c>
      <c r="Q3213">
        <v>2.6707731398089098E-2</v>
      </c>
      <c r="R3213">
        <v>0.99620380057090396</v>
      </c>
      <c r="S3213" t="s">
        <v>10216</v>
      </c>
      <c r="T3213" t="s">
        <v>14004</v>
      </c>
      <c r="U3213" t="s">
        <v>14004</v>
      </c>
      <c r="V3213" t="s">
        <v>14004</v>
      </c>
      <c r="W3213" t="s">
        <v>17174</v>
      </c>
      <c r="X3213">
        <v>11</v>
      </c>
      <c r="Y3213" t="s">
        <v>24036</v>
      </c>
      <c r="Z3213" t="s">
        <v>30923</v>
      </c>
      <c r="AA3213">
        <v>0.69293007684086061</v>
      </c>
      <c r="AB3213" t="str">
        <f>HYPERLINK("Melting_Curves/meltCurve_P78540_ARG2.pdf", "Melting_Curves/meltCurve_P78540_ARG2.pdf")</f>
        <v>Melting_Curves/meltCurve_P78540_ARG2.pdf</v>
      </c>
    </row>
    <row r="3214" spans="1:28" x14ac:dyDescent="0.25">
      <c r="A3214" t="s">
        <v>3218</v>
      </c>
      <c r="B3214">
        <v>0.99999676499088797</v>
      </c>
      <c r="C3214">
        <v>0.86869718056020995</v>
      </c>
      <c r="D3214">
        <v>0.61571668967897697</v>
      </c>
      <c r="E3214">
        <v>0.22609868607085401</v>
      </c>
      <c r="F3214">
        <v>0.15042025877034301</v>
      </c>
      <c r="G3214">
        <v>0.121809864326238</v>
      </c>
      <c r="H3214">
        <v>6.6163831982866697E-2</v>
      </c>
      <c r="I3214">
        <v>6.7034987914435795E-2</v>
      </c>
      <c r="J3214">
        <v>6.5128512091311097E-2</v>
      </c>
      <c r="K3214">
        <v>4.4818903569744502E-2</v>
      </c>
      <c r="L3214">
        <v>1059.18023718578</v>
      </c>
      <c r="M3214">
        <v>22.744012446851698</v>
      </c>
      <c r="N3214">
        <v>46.880873938181097</v>
      </c>
      <c r="O3214">
        <v>46.214080339632901</v>
      </c>
      <c r="P3214">
        <v>-0.114416579365976</v>
      </c>
      <c r="Q3214">
        <v>7.0075153206507201E-2</v>
      </c>
      <c r="R3214">
        <v>0.99602336027479299</v>
      </c>
      <c r="S3214" t="s">
        <v>10217</v>
      </c>
      <c r="T3214" t="s">
        <v>14004</v>
      </c>
      <c r="U3214" t="s">
        <v>14004</v>
      </c>
      <c r="V3214" t="s">
        <v>14004</v>
      </c>
      <c r="W3214" t="s">
        <v>17175</v>
      </c>
      <c r="X3214">
        <v>5</v>
      </c>
      <c r="Y3214" t="s">
        <v>24037</v>
      </c>
      <c r="Z3214" t="s">
        <v>30924</v>
      </c>
      <c r="AA3214">
        <v>0.28410568866868152</v>
      </c>
      <c r="AB3214" t="str">
        <f>HYPERLINK("Melting_Curves/meltCurve_P78549_NTHL1.pdf", "Melting_Curves/meltCurve_P78549_NTHL1.pdf")</f>
        <v>Melting_Curves/meltCurve_P78549_NTHL1.pdf</v>
      </c>
    </row>
    <row r="3215" spans="1:28" x14ac:dyDescent="0.25">
      <c r="A3215" t="s">
        <v>3219</v>
      </c>
      <c r="B3215">
        <v>0.99999676499088797</v>
      </c>
      <c r="C3215">
        <v>0.88393993387948899</v>
      </c>
      <c r="D3215">
        <v>1.0032040498785399</v>
      </c>
      <c r="E3215">
        <v>0.99995668596156795</v>
      </c>
      <c r="F3215">
        <v>0.83343041674136598</v>
      </c>
      <c r="G3215">
        <v>0.84390577738847095</v>
      </c>
      <c r="H3215">
        <v>0.95304903580961398</v>
      </c>
      <c r="I3215">
        <v>0.87231018223249501</v>
      </c>
      <c r="J3215">
        <v>1.0515916618989101</v>
      </c>
      <c r="K3215">
        <v>2.2213596577765302</v>
      </c>
      <c r="L3215">
        <v>15000</v>
      </c>
      <c r="M3215">
        <v>221.494043736614</v>
      </c>
      <c r="O3215">
        <v>67.716391512297804</v>
      </c>
      <c r="P3215">
        <v>0.40886342751639998</v>
      </c>
      <c r="Q3215">
        <v>1.5</v>
      </c>
      <c r="R3215">
        <v>0.60573539809621402</v>
      </c>
      <c r="S3215" t="s">
        <v>10218</v>
      </c>
      <c r="T3215" t="s">
        <v>14004</v>
      </c>
      <c r="U3215" t="s">
        <v>14004</v>
      </c>
      <c r="V3215" t="s">
        <v>14004</v>
      </c>
      <c r="W3215" t="s">
        <v>17176</v>
      </c>
      <c r="X3215">
        <v>1</v>
      </c>
      <c r="Y3215" t="s">
        <v>24038</v>
      </c>
      <c r="Z3215" t="s">
        <v>30925</v>
      </c>
      <c r="AA3215">
        <v>1.0378965011840791</v>
      </c>
      <c r="AB3215" t="str">
        <f>HYPERLINK("Melting_Curves/meltCurve_P79522_2_PRR3.pdf", "Melting_Curves/meltCurve_P79522_2_PRR3.pdf")</f>
        <v>Melting_Curves/meltCurve_P79522_2_PRR3.pdf</v>
      </c>
    </row>
    <row r="3216" spans="1:28" x14ac:dyDescent="0.25">
      <c r="A3216" t="s">
        <v>3220</v>
      </c>
      <c r="B3216">
        <v>0.99999676499088797</v>
      </c>
      <c r="C3216">
        <v>0.97729998557854603</v>
      </c>
      <c r="D3216">
        <v>1.01230493090448</v>
      </c>
      <c r="E3216">
        <v>1.0364730288263599</v>
      </c>
      <c r="F3216">
        <v>1.0702288441696099</v>
      </c>
      <c r="G3216">
        <v>0.69851345989228697</v>
      </c>
      <c r="H3216">
        <v>0.19555331118350999</v>
      </c>
      <c r="I3216">
        <v>0.11004160462205501</v>
      </c>
      <c r="J3216">
        <v>9.9349389109700703E-2</v>
      </c>
      <c r="K3216">
        <v>8.1691087579799301E-2</v>
      </c>
      <c r="L3216">
        <v>2714.6450729518801</v>
      </c>
      <c r="M3216">
        <v>47.03187015348</v>
      </c>
      <c r="N3216">
        <v>57.990850482429003</v>
      </c>
      <c r="O3216">
        <v>57.615205638154798</v>
      </c>
      <c r="P3216">
        <v>-0.18390573528046</v>
      </c>
      <c r="Q3216">
        <v>9.8844659160491399E-2</v>
      </c>
      <c r="R3216">
        <v>0.99421899377997702</v>
      </c>
      <c r="S3216" t="s">
        <v>10219</v>
      </c>
      <c r="T3216" t="s">
        <v>14004</v>
      </c>
      <c r="U3216" t="s">
        <v>14004</v>
      </c>
      <c r="V3216" t="s">
        <v>14004</v>
      </c>
      <c r="W3216" t="s">
        <v>17177</v>
      </c>
      <c r="X3216">
        <v>10</v>
      </c>
      <c r="Y3216" t="s">
        <v>24039</v>
      </c>
      <c r="Z3216" t="s">
        <v>30926</v>
      </c>
      <c r="AA3216">
        <v>0.63368512055381454</v>
      </c>
      <c r="AB3216" t="str">
        <f>HYPERLINK("Melting_Curves/meltCurve_P80217_IFI35.pdf", "Melting_Curves/meltCurve_P80217_IFI35.pdf")</f>
        <v>Melting_Curves/meltCurve_P80217_IFI35.pdf</v>
      </c>
    </row>
    <row r="3217" spans="1:28" x14ac:dyDescent="0.25">
      <c r="A3217" t="s">
        <v>3221</v>
      </c>
      <c r="B3217">
        <v>0.99999676499088797</v>
      </c>
      <c r="C3217">
        <v>1.00880622708645</v>
      </c>
      <c r="D3217">
        <v>0.98870325585346996</v>
      </c>
      <c r="E3217">
        <v>0.75171004358514004</v>
      </c>
      <c r="F3217">
        <v>0.63108325842368695</v>
      </c>
      <c r="G3217">
        <v>0.84273202009911397</v>
      </c>
      <c r="H3217">
        <v>0.59741493597594397</v>
      </c>
      <c r="I3217">
        <v>0.90418179804217003</v>
      </c>
      <c r="J3217">
        <v>0.83100763436605696</v>
      </c>
      <c r="K3217">
        <v>0.60285316937183397</v>
      </c>
      <c r="L3217">
        <v>3789.4904239982902</v>
      </c>
      <c r="M3217">
        <v>79.185512415327594</v>
      </c>
      <c r="O3217">
        <v>47.825363540963998</v>
      </c>
      <c r="P3217">
        <v>-0.109667457330815</v>
      </c>
      <c r="Q3217">
        <v>0.73505836179387196</v>
      </c>
      <c r="R3217">
        <v>0.59878465188498398</v>
      </c>
      <c r="S3217" t="s">
        <v>10220</v>
      </c>
      <c r="T3217" t="s">
        <v>14004</v>
      </c>
      <c r="U3217" t="s">
        <v>14004</v>
      </c>
      <c r="V3217" t="s">
        <v>14004</v>
      </c>
      <c r="W3217" t="s">
        <v>17178</v>
      </c>
      <c r="X3217">
        <v>5</v>
      </c>
      <c r="Y3217" t="s">
        <v>24040</v>
      </c>
      <c r="Z3217" t="s">
        <v>30927</v>
      </c>
      <c r="AA3217">
        <v>0.80465870287562424</v>
      </c>
      <c r="AB3217" t="str">
        <f>HYPERLINK("Melting_Curves/meltCurve_P80297_MT1X.pdf", "Melting_Curves/meltCurve_P80297_MT1X.pdf")</f>
        <v>Melting_Curves/meltCurve_P80297_MT1X.pdf</v>
      </c>
    </row>
    <row r="3218" spans="1:28" x14ac:dyDescent="0.25">
      <c r="A3218" t="s">
        <v>3222</v>
      </c>
      <c r="B3218">
        <v>0.99999676499088797</v>
      </c>
      <c r="C3218">
        <v>0.93223975156722905</v>
      </c>
      <c r="D3218">
        <v>0.96715119729495502</v>
      </c>
      <c r="E3218">
        <v>0.954951368977079</v>
      </c>
      <c r="F3218">
        <v>0.83978080488579898</v>
      </c>
      <c r="G3218">
        <v>0.77128942869956396</v>
      </c>
      <c r="H3218">
        <v>0.51628314986693702</v>
      </c>
      <c r="I3218">
        <v>0.52865878288873902</v>
      </c>
      <c r="J3218">
        <v>0.48862076382057401</v>
      </c>
      <c r="K3218">
        <v>0.60675776261402303</v>
      </c>
      <c r="L3218">
        <v>1193.9378034075801</v>
      </c>
      <c r="M3218">
        <v>21.4698575382026</v>
      </c>
      <c r="O3218">
        <v>55.1342537677642</v>
      </c>
      <c r="P3218">
        <v>-4.69629954960155E-2</v>
      </c>
      <c r="Q3218">
        <v>0.51761092682929</v>
      </c>
      <c r="R3218">
        <v>0.93768260974255402</v>
      </c>
      <c r="S3218" t="s">
        <v>10221</v>
      </c>
      <c r="T3218" t="s">
        <v>14004</v>
      </c>
      <c r="U3218" t="s">
        <v>14004</v>
      </c>
      <c r="V3218" t="s">
        <v>14004</v>
      </c>
      <c r="W3218" t="s">
        <v>17179</v>
      </c>
      <c r="X3218">
        <v>34</v>
      </c>
      <c r="Y3218" t="s">
        <v>24041</v>
      </c>
      <c r="Z3218" t="s">
        <v>30928</v>
      </c>
      <c r="AA3218">
        <v>0.77429606338754264</v>
      </c>
      <c r="AB3218" t="str">
        <f>HYPERLINK("Melting_Curves/meltCurve_P80303_NUCB2.pdf", "Melting_Curves/meltCurve_P80303_NUCB2.pdf")</f>
        <v>Melting_Curves/meltCurve_P80303_NUCB2.pdf</v>
      </c>
    </row>
    <row r="3219" spans="1:28" x14ac:dyDescent="0.25">
      <c r="A3219" t="s">
        <v>3223</v>
      </c>
      <c r="B3219">
        <v>0.99999676499088797</v>
      </c>
      <c r="C3219">
        <v>1.3804518544756501</v>
      </c>
      <c r="D3219">
        <v>0.92225646348224499</v>
      </c>
      <c r="E3219">
        <v>0.61678720302706103</v>
      </c>
      <c r="F3219">
        <v>0.64747570020937695</v>
      </c>
      <c r="G3219">
        <v>0.32917829078841998</v>
      </c>
      <c r="H3219">
        <v>0.20486805067477701</v>
      </c>
      <c r="I3219">
        <v>0.16901973352930999</v>
      </c>
      <c r="J3219">
        <v>0.16712102373646801</v>
      </c>
      <c r="K3219">
        <v>0.15891083283693999</v>
      </c>
      <c r="L3219">
        <v>881.47717947967897</v>
      </c>
      <c r="M3219">
        <v>16.710809376247401</v>
      </c>
      <c r="N3219">
        <v>53.791431266012097</v>
      </c>
      <c r="O3219">
        <v>52.010922009338699</v>
      </c>
      <c r="P3219">
        <v>-6.9217388097759194E-2</v>
      </c>
      <c r="Q3219">
        <v>0.138325221000344</v>
      </c>
      <c r="R3219">
        <v>0.88066493145356395</v>
      </c>
      <c r="S3219" t="s">
        <v>10222</v>
      </c>
      <c r="T3219" t="s">
        <v>14004</v>
      </c>
      <c r="U3219" t="s">
        <v>14004</v>
      </c>
      <c r="V3219" t="s">
        <v>14004</v>
      </c>
      <c r="W3219" t="s">
        <v>17180</v>
      </c>
      <c r="X3219">
        <v>6</v>
      </c>
      <c r="Y3219" t="s">
        <v>24042</v>
      </c>
      <c r="Z3219" t="s">
        <v>30929</v>
      </c>
      <c r="AA3219">
        <v>0.52045693397705906</v>
      </c>
      <c r="AB3219" t="str">
        <f>HYPERLINK("Melting_Curves/meltCurve_P81605_DCD.pdf", "Melting_Curves/meltCurve_P81605_DCD.pdf")</f>
        <v>Melting_Curves/meltCurve_P81605_DCD.pdf</v>
      </c>
    </row>
    <row r="3220" spans="1:28" x14ac:dyDescent="0.25">
      <c r="A3220" t="s">
        <v>3224</v>
      </c>
      <c r="B3220">
        <v>0.99999676499088797</v>
      </c>
      <c r="C3220">
        <v>0.92885446667254001</v>
      </c>
      <c r="D3220">
        <v>0.87269537768578698</v>
      </c>
      <c r="E3220">
        <v>0.63847525183448195</v>
      </c>
      <c r="F3220">
        <v>0.45358833366426399</v>
      </c>
      <c r="G3220">
        <v>0.38196660489576401</v>
      </c>
      <c r="H3220">
        <v>0.32746957023965401</v>
      </c>
      <c r="I3220">
        <v>0.41274734415141801</v>
      </c>
      <c r="J3220">
        <v>0.43093701232186299</v>
      </c>
      <c r="K3220">
        <v>0.56073863817912795</v>
      </c>
      <c r="L3220">
        <v>1233.7507656852499</v>
      </c>
      <c r="M3220">
        <v>25.5345817476001</v>
      </c>
      <c r="N3220">
        <v>52.0261368663189</v>
      </c>
      <c r="O3220">
        <v>48.023438082117302</v>
      </c>
      <c r="P3220">
        <v>-7.7228012125081902E-2</v>
      </c>
      <c r="Q3220">
        <v>0.41902963754756201</v>
      </c>
      <c r="R3220">
        <v>0.93708767947706995</v>
      </c>
      <c r="S3220" t="s">
        <v>10223</v>
      </c>
      <c r="T3220" t="s">
        <v>14004</v>
      </c>
      <c r="U3220" t="s">
        <v>14004</v>
      </c>
      <c r="V3220" t="s">
        <v>14004</v>
      </c>
      <c r="W3220" t="s">
        <v>17181</v>
      </c>
      <c r="X3220">
        <v>33</v>
      </c>
      <c r="Y3220" t="s">
        <v>24043</v>
      </c>
      <c r="Z3220" t="s">
        <v>30930</v>
      </c>
      <c r="AA3220">
        <v>0.58500216513512082</v>
      </c>
      <c r="AB3220" t="str">
        <f>HYPERLINK("Melting_Curves/meltCurve_P82094_TMF1.pdf", "Melting_Curves/meltCurve_P82094_TMF1.pdf")</f>
        <v>Melting_Curves/meltCurve_P82094_TMF1.pdf</v>
      </c>
    </row>
    <row r="3221" spans="1:28" x14ac:dyDescent="0.25">
      <c r="A3221" t="s">
        <v>3225</v>
      </c>
      <c r="B3221">
        <v>0.99999676499088797</v>
      </c>
      <c r="C3221">
        <v>0.87242198266728999</v>
      </c>
      <c r="D3221">
        <v>0.764317645192644</v>
      </c>
      <c r="E3221">
        <v>0.79901410441433096</v>
      </c>
      <c r="F3221">
        <v>0.29278188745143402</v>
      </c>
      <c r="G3221">
        <v>0.232238706748327</v>
      </c>
      <c r="H3221">
        <v>9.4366152360584099E-2</v>
      </c>
      <c r="I3221">
        <v>0.10776508090527299</v>
      </c>
      <c r="J3221">
        <v>8.3013978892820597E-2</v>
      </c>
      <c r="K3221">
        <v>7.4689802466980801E-2</v>
      </c>
      <c r="L3221">
        <v>779.19032379730697</v>
      </c>
      <c r="M3221">
        <v>15.2138180348626</v>
      </c>
      <c r="N3221">
        <v>51.546767695878103</v>
      </c>
      <c r="O3221">
        <v>50.355545984806199</v>
      </c>
      <c r="P3221">
        <v>-7.2025849248044699E-2</v>
      </c>
      <c r="Q3221">
        <v>4.6510412056768299E-2</v>
      </c>
      <c r="R3221">
        <v>0.95966437703750995</v>
      </c>
      <c r="S3221" t="s">
        <v>10224</v>
      </c>
      <c r="T3221" t="s">
        <v>14004</v>
      </c>
      <c r="U3221" t="s">
        <v>14004</v>
      </c>
      <c r="V3221" t="s">
        <v>14004</v>
      </c>
      <c r="W3221" t="s">
        <v>17182</v>
      </c>
      <c r="X3221">
        <v>2</v>
      </c>
      <c r="Y3221" t="s">
        <v>24044</v>
      </c>
      <c r="Z3221" t="s">
        <v>30931</v>
      </c>
      <c r="AA3221">
        <v>0.42436657040228531</v>
      </c>
      <c r="AB3221" t="str">
        <f>HYPERLINK("Melting_Curves/meltCurve_P82664_MRPS10.pdf", "Melting_Curves/meltCurve_P82664_MRPS10.pdf")</f>
        <v>Melting_Curves/meltCurve_P82664_MRPS10.pdf</v>
      </c>
    </row>
    <row r="3222" spans="1:28" x14ac:dyDescent="0.25">
      <c r="A3222" t="s">
        <v>3226</v>
      </c>
      <c r="B3222">
        <v>0.99999676499088797</v>
      </c>
      <c r="C3222">
        <v>0.77600965238126696</v>
      </c>
      <c r="D3222">
        <v>0.68071747577856301</v>
      </c>
      <c r="E3222">
        <v>0.79160646585984795</v>
      </c>
      <c r="F3222">
        <v>0.29266334929042198</v>
      </c>
      <c r="G3222">
        <v>0.17291374381305499</v>
      </c>
      <c r="H3222">
        <v>8.6948101182434304E-2</v>
      </c>
      <c r="I3222">
        <v>7.1222393095534395E-2</v>
      </c>
      <c r="J3222">
        <v>5.2705431588969301E-2</v>
      </c>
      <c r="K3222">
        <v>6.3629380494575102E-2</v>
      </c>
      <c r="L3222">
        <v>606.05656707678997</v>
      </c>
      <c r="M3222">
        <v>11.939559503723</v>
      </c>
      <c r="N3222">
        <v>50.760378981743997</v>
      </c>
      <c r="O3222">
        <v>49.399276147734497</v>
      </c>
      <c r="P3222">
        <v>-6.0438614563217301E-2</v>
      </c>
      <c r="Q3222">
        <v>0</v>
      </c>
      <c r="R3222">
        <v>0.93163219875255898</v>
      </c>
      <c r="S3222" t="s">
        <v>10225</v>
      </c>
      <c r="T3222" t="s">
        <v>14004</v>
      </c>
      <c r="U3222" t="s">
        <v>14004</v>
      </c>
      <c r="V3222" t="s">
        <v>14004</v>
      </c>
      <c r="W3222" t="s">
        <v>17183</v>
      </c>
      <c r="X3222">
        <v>4</v>
      </c>
      <c r="Y3222" t="s">
        <v>24045</v>
      </c>
      <c r="Z3222" t="s">
        <v>30932</v>
      </c>
      <c r="AA3222">
        <v>0.39201487799110002</v>
      </c>
      <c r="AB3222" t="str">
        <f>HYPERLINK("Melting_Curves/meltCurve_P82673_MRPS35.pdf", "Melting_Curves/meltCurve_P82673_MRPS35.pdf")</f>
        <v>Melting_Curves/meltCurve_P82673_MRPS35.pdf</v>
      </c>
    </row>
    <row r="3223" spans="1:28" x14ac:dyDescent="0.25">
      <c r="A3223" t="s">
        <v>3227</v>
      </c>
      <c r="B3223">
        <v>0.99999676499088797</v>
      </c>
      <c r="C3223">
        <v>0.89371020447246496</v>
      </c>
      <c r="D3223">
        <v>0.81777125665513595</v>
      </c>
      <c r="E3223">
        <v>0.67776760389949897</v>
      </c>
      <c r="F3223">
        <v>0.58901876946648601</v>
      </c>
      <c r="G3223">
        <v>0.55405591515996799</v>
      </c>
      <c r="H3223">
        <v>0.315988127323031</v>
      </c>
      <c r="I3223">
        <v>0.39587607863243301</v>
      </c>
      <c r="J3223">
        <v>0.415705086605899</v>
      </c>
      <c r="K3223">
        <v>0.46375311272861502</v>
      </c>
      <c r="L3223">
        <v>604.08443250944595</v>
      </c>
      <c r="M3223">
        <v>12.215206160800401</v>
      </c>
      <c r="N3223">
        <v>56.120198348689499</v>
      </c>
      <c r="O3223">
        <v>48.184073594603703</v>
      </c>
      <c r="P3223">
        <v>-3.9122884703051898E-2</v>
      </c>
      <c r="Q3223">
        <v>0.38284249706485901</v>
      </c>
      <c r="R3223">
        <v>0.94377929185424103</v>
      </c>
      <c r="S3223" t="s">
        <v>10226</v>
      </c>
      <c r="T3223" t="s">
        <v>14004</v>
      </c>
      <c r="U3223" t="s">
        <v>14004</v>
      </c>
      <c r="V3223" t="s">
        <v>14004</v>
      </c>
      <c r="W3223" t="s">
        <v>17184</v>
      </c>
      <c r="X3223">
        <v>5</v>
      </c>
      <c r="Y3223" t="s">
        <v>24046</v>
      </c>
      <c r="Z3223" t="s">
        <v>30933</v>
      </c>
      <c r="AA3223">
        <v>0.59875139167427216</v>
      </c>
      <c r="AB3223" t="str">
        <f>HYPERLINK("Melting_Curves/meltCurve_P82909_MRPS36.pdf", "Melting_Curves/meltCurve_P82909_MRPS36.pdf")</f>
        <v>Melting_Curves/meltCurve_P82909_MRPS36.pdf</v>
      </c>
    </row>
    <row r="3224" spans="1:28" x14ac:dyDescent="0.25">
      <c r="A3224" t="s">
        <v>3228</v>
      </c>
      <c r="B3224">
        <v>0.99999676499088797</v>
      </c>
      <c r="C3224">
        <v>0.95537564553610599</v>
      </c>
      <c r="D3224">
        <v>0.98090801319409804</v>
      </c>
      <c r="E3224">
        <v>0.57330374928247896</v>
      </c>
      <c r="F3224">
        <v>0.16826316522323501</v>
      </c>
      <c r="G3224">
        <v>0.13612541987994101</v>
      </c>
      <c r="H3224">
        <v>6.9410931522136399E-2</v>
      </c>
      <c r="I3224">
        <v>6.6025041779481194E-2</v>
      </c>
      <c r="J3224">
        <v>6.4057043080490497E-2</v>
      </c>
      <c r="K3224">
        <v>4.6543781523548898E-2</v>
      </c>
      <c r="L3224">
        <v>1724.8982231953701</v>
      </c>
      <c r="M3224">
        <v>34.582505021873402</v>
      </c>
      <c r="N3224">
        <v>50.105118479966102</v>
      </c>
      <c r="O3224">
        <v>49.711872071434399</v>
      </c>
      <c r="P3224">
        <v>-0.16128783750954201</v>
      </c>
      <c r="Q3224">
        <v>7.2607310453006293E-2</v>
      </c>
      <c r="R3224">
        <v>0.99634300226572903</v>
      </c>
      <c r="S3224" t="s">
        <v>10227</v>
      </c>
      <c r="T3224" t="s">
        <v>14004</v>
      </c>
      <c r="U3224" t="s">
        <v>14004</v>
      </c>
      <c r="V3224" t="s">
        <v>14004</v>
      </c>
      <c r="W3224" t="s">
        <v>17185</v>
      </c>
      <c r="X3224">
        <v>4</v>
      </c>
      <c r="Y3224" t="s">
        <v>24047</v>
      </c>
      <c r="Z3224" t="s">
        <v>30934</v>
      </c>
      <c r="AA3224">
        <v>0.38225223770865152</v>
      </c>
      <c r="AB3224" t="str">
        <f>HYPERLINK("Melting_Curves/meltCurve_P82912_2_MRPS11.pdf", "Melting_Curves/meltCurve_P82912_2_MRPS11.pdf")</f>
        <v>Melting_Curves/meltCurve_P82912_2_MRPS11.pdf</v>
      </c>
    </row>
    <row r="3225" spans="1:28" x14ac:dyDescent="0.25">
      <c r="A3225" t="s">
        <v>3229</v>
      </c>
      <c r="B3225">
        <v>0.99999676499088797</v>
      </c>
      <c r="C3225">
        <v>0.88168471261870895</v>
      </c>
      <c r="D3225">
        <v>0.68731400795758801</v>
      </c>
      <c r="E3225">
        <v>0.32010512952479803</v>
      </c>
      <c r="F3225">
        <v>0.124033380035539</v>
      </c>
      <c r="G3225">
        <v>5.4714236496785897E-2</v>
      </c>
      <c r="H3225">
        <v>1.6119243096647199E-2</v>
      </c>
      <c r="I3225">
        <v>3.0484891613367E-2</v>
      </c>
      <c r="J3225">
        <v>1.49723635045675E-2</v>
      </c>
      <c r="K3225">
        <v>3.4518374505268103E-2</v>
      </c>
      <c r="L3225">
        <v>959.07912711055303</v>
      </c>
      <c r="M3225">
        <v>20.136452353197701</v>
      </c>
      <c r="N3225">
        <v>47.7172392881739</v>
      </c>
      <c r="O3225">
        <v>47.166735917657697</v>
      </c>
      <c r="P3225">
        <v>-0.104783083385876</v>
      </c>
      <c r="Q3225">
        <v>1.8274246804651301E-2</v>
      </c>
      <c r="R3225">
        <v>0.99888306842737795</v>
      </c>
      <c r="S3225" t="s">
        <v>10228</v>
      </c>
      <c r="T3225" t="s">
        <v>14004</v>
      </c>
      <c r="U3225" t="s">
        <v>14004</v>
      </c>
      <c r="V3225" t="s">
        <v>14004</v>
      </c>
      <c r="W3225" t="s">
        <v>17186</v>
      </c>
      <c r="X3225">
        <v>1</v>
      </c>
      <c r="Y3225" t="s">
        <v>24048</v>
      </c>
      <c r="Z3225" t="s">
        <v>30935</v>
      </c>
      <c r="AA3225">
        <v>0.28179714816793783</v>
      </c>
      <c r="AB3225" t="str">
        <f>HYPERLINK("Melting_Curves/meltCurve_P82921_MRPS21.pdf", "Melting_Curves/meltCurve_P82921_MRPS21.pdf")</f>
        <v>Melting_Curves/meltCurve_P82921_MRPS21.pdf</v>
      </c>
    </row>
    <row r="3226" spans="1:28" x14ac:dyDescent="0.25">
      <c r="A3226" t="s">
        <v>3230</v>
      </c>
      <c r="B3226">
        <v>0.99999676499088797</v>
      </c>
      <c r="C3226">
        <v>0.96964837347522603</v>
      </c>
      <c r="D3226">
        <v>0.88624418382898196</v>
      </c>
      <c r="E3226">
        <v>0.72218379356136497</v>
      </c>
      <c r="F3226">
        <v>0.49235058126500397</v>
      </c>
      <c r="G3226">
        <v>0.43326813093837402</v>
      </c>
      <c r="H3226">
        <v>0.237269356411791</v>
      </c>
      <c r="I3226">
        <v>0.23643467172295399</v>
      </c>
      <c r="J3226">
        <v>0.181857824167999</v>
      </c>
      <c r="K3226">
        <v>0.17476430411958299</v>
      </c>
      <c r="L3226">
        <v>680.24839480320998</v>
      </c>
      <c r="M3226">
        <v>12.9751754526937</v>
      </c>
      <c r="N3226">
        <v>53.847135317683303</v>
      </c>
      <c r="O3226">
        <v>51.228466763235403</v>
      </c>
      <c r="P3226">
        <v>-5.4154435631324403E-2</v>
      </c>
      <c r="Q3226">
        <v>0.14490405085143099</v>
      </c>
      <c r="R3226">
        <v>0.99326915143072403</v>
      </c>
      <c r="S3226" t="s">
        <v>10229</v>
      </c>
      <c r="T3226" t="s">
        <v>14004</v>
      </c>
      <c r="U3226" t="s">
        <v>14004</v>
      </c>
      <c r="V3226" t="s">
        <v>14004</v>
      </c>
      <c r="W3226" t="s">
        <v>17187</v>
      </c>
      <c r="X3226">
        <v>4</v>
      </c>
      <c r="Y3226" t="s">
        <v>24049</v>
      </c>
      <c r="Z3226" t="s">
        <v>30936</v>
      </c>
      <c r="AA3226">
        <v>0.5221361993668957</v>
      </c>
      <c r="AB3226" t="str">
        <f>HYPERLINK("Melting_Curves/meltCurve_P82932_MRPS6.pdf", "Melting_Curves/meltCurve_P82932_MRPS6.pdf")</f>
        <v>Melting_Curves/meltCurve_P82932_MRPS6.pdf</v>
      </c>
    </row>
    <row r="3227" spans="1:28" x14ac:dyDescent="0.25">
      <c r="A3227" t="s">
        <v>3231</v>
      </c>
      <c r="B3227">
        <v>0.99999676499088797</v>
      </c>
      <c r="C3227">
        <v>0.87509023126744601</v>
      </c>
      <c r="D3227">
        <v>0.69535577913149804</v>
      </c>
      <c r="E3227">
        <v>0.40686267719720698</v>
      </c>
      <c r="F3227">
        <v>0.18741316287799101</v>
      </c>
      <c r="G3227">
        <v>0.13366509912175001</v>
      </c>
      <c r="H3227">
        <v>6.1585989433638001E-2</v>
      </c>
      <c r="I3227">
        <v>7.5183146132074705E-2</v>
      </c>
      <c r="J3227">
        <v>6.0008589382028597E-2</v>
      </c>
      <c r="K3227">
        <v>5.4663581377070197E-2</v>
      </c>
      <c r="L3227">
        <v>823.55274981510297</v>
      </c>
      <c r="M3227">
        <v>17.1567610084299</v>
      </c>
      <c r="N3227">
        <v>48.3168609994135</v>
      </c>
      <c r="O3227">
        <v>47.363746586347297</v>
      </c>
      <c r="P3227">
        <v>-8.5768686790301196E-2</v>
      </c>
      <c r="Q3227">
        <v>5.2948470515297802E-2</v>
      </c>
      <c r="R3227">
        <v>0.99826365892457503</v>
      </c>
      <c r="S3227" t="s">
        <v>10230</v>
      </c>
      <c r="T3227" t="s">
        <v>14004</v>
      </c>
      <c r="U3227" t="s">
        <v>14004</v>
      </c>
      <c r="V3227" t="s">
        <v>14004</v>
      </c>
      <c r="W3227" t="s">
        <v>17188</v>
      </c>
      <c r="X3227">
        <v>8</v>
      </c>
      <c r="Y3227" t="s">
        <v>24050</v>
      </c>
      <c r="Z3227" t="s">
        <v>30937</v>
      </c>
      <c r="AA3227">
        <v>0.32411094439919969</v>
      </c>
      <c r="AB3227" t="str">
        <f>HYPERLINK("Melting_Curves/meltCurve_P82933_MRPS9.pdf", "Melting_Curves/meltCurve_P82933_MRPS9.pdf")</f>
        <v>Melting_Curves/meltCurve_P82933_MRPS9.pdf</v>
      </c>
    </row>
    <row r="3228" spans="1:28" x14ac:dyDescent="0.25">
      <c r="A3228" t="s">
        <v>3232</v>
      </c>
      <c r="B3228">
        <v>0.99999676499088797</v>
      </c>
      <c r="C3228">
        <v>0.83953529073245903</v>
      </c>
      <c r="D3228">
        <v>0.76854845657798998</v>
      </c>
      <c r="E3228">
        <v>0.55090007132258401</v>
      </c>
      <c r="F3228">
        <v>0.47869837708642898</v>
      </c>
      <c r="G3228">
        <v>0.50838830828772996</v>
      </c>
      <c r="H3228">
        <v>0.35442556189463598</v>
      </c>
      <c r="I3228">
        <v>0.372040295800315</v>
      </c>
      <c r="J3228">
        <v>0.29572887201822001</v>
      </c>
      <c r="K3228">
        <v>0.37688916964369501</v>
      </c>
      <c r="L3228">
        <v>594.69315720101497</v>
      </c>
      <c r="M3228">
        <v>12.450451922905</v>
      </c>
      <c r="N3228">
        <v>52.547802689569203</v>
      </c>
      <c r="O3228">
        <v>46.582767853727702</v>
      </c>
      <c r="P3228">
        <v>-4.4175922420051902E-2</v>
      </c>
      <c r="Q3228">
        <v>0.33900975948762802</v>
      </c>
      <c r="R3228">
        <v>0.96155437387377996</v>
      </c>
      <c r="S3228" t="s">
        <v>10231</v>
      </c>
      <c r="T3228" t="s">
        <v>14004</v>
      </c>
      <c r="U3228" t="s">
        <v>14004</v>
      </c>
      <c r="V3228" t="s">
        <v>14004</v>
      </c>
      <c r="W3228" t="s">
        <v>17189</v>
      </c>
      <c r="X3228">
        <v>17</v>
      </c>
      <c r="Y3228" t="s">
        <v>24051</v>
      </c>
      <c r="Z3228" t="s">
        <v>30938</v>
      </c>
      <c r="AA3228">
        <v>0.53467858395776025</v>
      </c>
      <c r="AB3228" t="str">
        <f>HYPERLINK("Melting_Curves/meltCurve_P82979_SARNP.pdf", "Melting_Curves/meltCurve_P82979_SARNP.pdf")</f>
        <v>Melting_Curves/meltCurve_P82979_SARNP.pdf</v>
      </c>
    </row>
    <row r="3229" spans="1:28" x14ac:dyDescent="0.25">
      <c r="A3229" t="s">
        <v>3233</v>
      </c>
      <c r="B3229">
        <v>0.99999676499088797</v>
      </c>
      <c r="C3229">
        <v>0.86525149985449101</v>
      </c>
      <c r="D3229">
        <v>1.13558246458733</v>
      </c>
      <c r="E3229">
        <v>1.0056979058090401</v>
      </c>
      <c r="F3229">
        <v>0.48433609732268701</v>
      </c>
      <c r="G3229">
        <v>0.22538421477768</v>
      </c>
      <c r="H3229">
        <v>0.110264176090861</v>
      </c>
      <c r="I3229">
        <v>0.105511302892231</v>
      </c>
      <c r="J3229">
        <v>0.124576543232438</v>
      </c>
      <c r="K3229">
        <v>8.1933979103884502E-2</v>
      </c>
      <c r="L3229">
        <v>2395.9009424016499</v>
      </c>
      <c r="M3229">
        <v>45.2859454239847</v>
      </c>
      <c r="N3229">
        <v>53.225504610687402</v>
      </c>
      <c r="O3229">
        <v>52.803201468010798</v>
      </c>
      <c r="P3229">
        <v>-0.188895868189734</v>
      </c>
      <c r="Q3229">
        <v>0.118994260903496</v>
      </c>
      <c r="R3229">
        <v>0.97366548215855697</v>
      </c>
      <c r="S3229" t="s">
        <v>10232</v>
      </c>
      <c r="T3229" t="s">
        <v>14004</v>
      </c>
      <c r="U3229" t="s">
        <v>14004</v>
      </c>
      <c r="V3229" t="s">
        <v>14004</v>
      </c>
      <c r="W3229" t="s">
        <v>17190</v>
      </c>
      <c r="X3229">
        <v>5</v>
      </c>
      <c r="Y3229" t="s">
        <v>24052</v>
      </c>
      <c r="Z3229" t="s">
        <v>30939</v>
      </c>
      <c r="AA3229">
        <v>0.50051312866718234</v>
      </c>
      <c r="AB3229" t="str">
        <f>HYPERLINK("Melting_Curves/meltCurve_P83111_LACTB.pdf", "Melting_Curves/meltCurve_P83111_LACTB.pdf")</f>
        <v>Melting_Curves/meltCurve_P83111_LACTB.pdf</v>
      </c>
    </row>
    <row r="3230" spans="1:28" x14ac:dyDescent="0.25">
      <c r="A3230" t="s">
        <v>3234</v>
      </c>
      <c r="B3230">
        <v>0.99999676499088797</v>
      </c>
      <c r="C3230">
        <v>0.76204653627544305</v>
      </c>
      <c r="D3230">
        <v>0.42646206997075498</v>
      </c>
      <c r="E3230">
        <v>0.18061487047425101</v>
      </c>
      <c r="F3230">
        <v>0.11437533698324399</v>
      </c>
      <c r="G3230">
        <v>7.9373924537358004E-2</v>
      </c>
      <c r="H3230">
        <v>3.8040615342144202E-2</v>
      </c>
      <c r="I3230">
        <v>4.2820304367020799E-2</v>
      </c>
      <c r="J3230">
        <v>4.2075708525081502E-2</v>
      </c>
      <c r="K3230">
        <v>3.3634945070110299E-2</v>
      </c>
      <c r="L3230">
        <v>983.86176299968702</v>
      </c>
      <c r="M3230">
        <v>21.761163735893501</v>
      </c>
      <c r="N3230">
        <v>45.430783667668699</v>
      </c>
      <c r="O3230">
        <v>44.8352123941117</v>
      </c>
      <c r="P3230">
        <v>-0.11530127035523299</v>
      </c>
      <c r="Q3230">
        <v>4.9786818644048797E-2</v>
      </c>
      <c r="R3230">
        <v>0.99532984625507703</v>
      </c>
      <c r="S3230" t="s">
        <v>10233</v>
      </c>
      <c r="T3230" t="s">
        <v>14004</v>
      </c>
      <c r="U3230" t="s">
        <v>14004</v>
      </c>
      <c r="V3230" t="s">
        <v>14004</v>
      </c>
      <c r="W3230" t="s">
        <v>17191</v>
      </c>
      <c r="X3230">
        <v>6</v>
      </c>
      <c r="Y3230" t="s">
        <v>24053</v>
      </c>
      <c r="Z3230" t="s">
        <v>30940</v>
      </c>
      <c r="AA3230">
        <v>0.22776288716782661</v>
      </c>
      <c r="AB3230" t="str">
        <f>HYPERLINK("Melting_Curves/meltCurve_P83436_COG7.pdf", "Melting_Curves/meltCurve_P83436_COG7.pdf")</f>
        <v>Melting_Curves/meltCurve_P83436_COG7.pdf</v>
      </c>
    </row>
    <row r="3231" spans="1:28" x14ac:dyDescent="0.25">
      <c r="A3231" t="s">
        <v>3235</v>
      </c>
      <c r="B3231">
        <v>0.99999676499088797</v>
      </c>
      <c r="C3231">
        <v>1.1495967502882201</v>
      </c>
      <c r="D3231">
        <v>1.02158632455789</v>
      </c>
      <c r="E3231">
        <v>0.82589000018815295</v>
      </c>
      <c r="F3231">
        <v>0.49839365958189602</v>
      </c>
      <c r="G3231">
        <v>0.24968726548390199</v>
      </c>
      <c r="H3231">
        <v>0.12348810448075601</v>
      </c>
      <c r="I3231">
        <v>0.18318746005870401</v>
      </c>
      <c r="J3231">
        <v>0.19724284435211001</v>
      </c>
      <c r="K3231">
        <v>0.14595180627462101</v>
      </c>
      <c r="L3231">
        <v>1457.66951626833</v>
      </c>
      <c r="M3231">
        <v>27.8500258738542</v>
      </c>
      <c r="N3231">
        <v>53.068210248055799</v>
      </c>
      <c r="O3231">
        <v>52.072344732909897</v>
      </c>
      <c r="P3231">
        <v>-0.112474644472483</v>
      </c>
      <c r="Q3231">
        <v>0.15881342734371601</v>
      </c>
      <c r="R3231">
        <v>0.98076154566429197</v>
      </c>
      <c r="S3231" t="s">
        <v>10234</v>
      </c>
      <c r="T3231" t="s">
        <v>14004</v>
      </c>
      <c r="U3231" t="s">
        <v>14004</v>
      </c>
      <c r="V3231" t="s">
        <v>14004</v>
      </c>
      <c r="W3231" t="s">
        <v>17192</v>
      </c>
      <c r="X3231">
        <v>4</v>
      </c>
      <c r="Y3231" t="s">
        <v>24054</v>
      </c>
      <c r="Z3231" t="s">
        <v>30941</v>
      </c>
      <c r="AA3231">
        <v>0.51107351455748273</v>
      </c>
      <c r="AB3231" t="str">
        <f>HYPERLINK("Melting_Curves/meltCurve_P83876_TXNL4A.pdf", "Melting_Curves/meltCurve_P83876_TXNL4A.pdf")</f>
        <v>Melting_Curves/meltCurve_P83876_TXNL4A.pdf</v>
      </c>
    </row>
    <row r="3232" spans="1:28" x14ac:dyDescent="0.25">
      <c r="A3232" t="s">
        <v>3236</v>
      </c>
      <c r="B3232">
        <v>0.99999676499088797</v>
      </c>
      <c r="C3232">
        <v>0.95611876743331203</v>
      </c>
      <c r="D3232">
        <v>0.91970011657162998</v>
      </c>
      <c r="E3232">
        <v>0.54449697580249601</v>
      </c>
      <c r="F3232">
        <v>0.46021299435454499</v>
      </c>
      <c r="G3232">
        <v>0.30993614255316398</v>
      </c>
      <c r="H3232">
        <v>0.17458560157071601</v>
      </c>
      <c r="I3232">
        <v>0.19066904861721701</v>
      </c>
      <c r="J3232">
        <v>0.17955427318876699</v>
      </c>
      <c r="K3232">
        <v>0.18667573798130899</v>
      </c>
      <c r="L3232">
        <v>836.45814460164399</v>
      </c>
      <c r="M3232">
        <v>16.636622891474602</v>
      </c>
      <c r="N3232">
        <v>51.576227791336699</v>
      </c>
      <c r="O3232">
        <v>49.568527682572203</v>
      </c>
      <c r="P3232">
        <v>-6.9559165182792093E-2</v>
      </c>
      <c r="Q3232">
        <v>0.17105446752463499</v>
      </c>
      <c r="R3232">
        <v>0.98366933107020504</v>
      </c>
      <c r="S3232" t="s">
        <v>10235</v>
      </c>
      <c r="T3232" t="s">
        <v>14004</v>
      </c>
      <c r="U3232" t="s">
        <v>14004</v>
      </c>
      <c r="V3232" t="s">
        <v>14004</v>
      </c>
      <c r="W3232" t="s">
        <v>17193</v>
      </c>
      <c r="X3232">
        <v>9</v>
      </c>
      <c r="Y3232" t="s">
        <v>24055</v>
      </c>
      <c r="Z3232" t="s">
        <v>30942</v>
      </c>
      <c r="AA3232">
        <v>0.47134736033959462</v>
      </c>
      <c r="AB3232" t="str">
        <f>HYPERLINK("Melting_Curves/meltCurve_P84022_SMAD3.pdf", "Melting_Curves/meltCurve_P84022_SMAD3.pdf")</f>
        <v>Melting_Curves/meltCurve_P84022_SMAD3.pdf</v>
      </c>
    </row>
    <row r="3233" spans="1:28" x14ac:dyDescent="0.25">
      <c r="A3233" t="s">
        <v>3237</v>
      </c>
      <c r="B3233">
        <v>0.99999676499088797</v>
      </c>
      <c r="C3233">
        <v>0.949850385662936</v>
      </c>
      <c r="D3233">
        <v>1.0523333145545599</v>
      </c>
      <c r="E3233">
        <v>1.25672593542969</v>
      </c>
      <c r="F3233">
        <v>1.3996049218172599</v>
      </c>
      <c r="G3233">
        <v>0.83313262948032796</v>
      </c>
      <c r="H3233">
        <v>0.30399849216359398</v>
      </c>
      <c r="I3233">
        <v>9.9440961678744499E-2</v>
      </c>
      <c r="J3233">
        <v>9.2296777061056198E-2</v>
      </c>
      <c r="K3233">
        <v>6.8754315362438603E-2</v>
      </c>
      <c r="L3233">
        <v>2692.6801822738198</v>
      </c>
      <c r="M3233">
        <v>45.518035059358802</v>
      </c>
      <c r="N3233">
        <v>59.380430363947802</v>
      </c>
      <c r="O3233">
        <v>59.042495072286997</v>
      </c>
      <c r="P3233">
        <v>-0.17752433074884399</v>
      </c>
      <c r="Q3233">
        <v>7.8917496313050395E-2</v>
      </c>
      <c r="R3233">
        <v>0.89990946294482999</v>
      </c>
      <c r="S3233" t="s">
        <v>10236</v>
      </c>
      <c r="T3233" t="s">
        <v>14004</v>
      </c>
      <c r="U3233" t="s">
        <v>14004</v>
      </c>
      <c r="V3233" t="s">
        <v>14004</v>
      </c>
      <c r="W3233" t="s">
        <v>17194</v>
      </c>
      <c r="X3233">
        <v>9</v>
      </c>
      <c r="Y3233" t="s">
        <v>24056</v>
      </c>
      <c r="Z3233" t="s">
        <v>30943</v>
      </c>
      <c r="AA3233">
        <v>0.66992207310761931</v>
      </c>
      <c r="AB3233" t="str">
        <f>HYPERLINK("Melting_Curves/meltCurve_P84085_ARF5.pdf", "Melting_Curves/meltCurve_P84085_ARF5.pdf")</f>
        <v>Melting_Curves/meltCurve_P84085_ARF5.pdf</v>
      </c>
    </row>
    <row r="3234" spans="1:28" x14ac:dyDescent="0.25">
      <c r="A3234" t="s">
        <v>3238</v>
      </c>
      <c r="B3234">
        <v>0.99999676499088797</v>
      </c>
      <c r="C3234">
        <v>0.96563551292938299</v>
      </c>
      <c r="D3234">
        <v>0.97661269923367999</v>
      </c>
      <c r="E3234">
        <v>0.804418175724534</v>
      </c>
      <c r="F3234">
        <v>0.58508999263399297</v>
      </c>
      <c r="G3234">
        <v>0.61586196387354297</v>
      </c>
      <c r="H3234">
        <v>0.34564369041239301</v>
      </c>
      <c r="I3234">
        <v>0.46032009052963702</v>
      </c>
      <c r="J3234">
        <v>0.40645152148336</v>
      </c>
      <c r="K3234">
        <v>0.36194043155043198</v>
      </c>
      <c r="L3234">
        <v>816.47062071007599</v>
      </c>
      <c r="M3234">
        <v>15.6333512539114</v>
      </c>
      <c r="N3234">
        <v>57.337338857227302</v>
      </c>
      <c r="O3234">
        <v>51.394052504594598</v>
      </c>
      <c r="P3234">
        <v>-4.7464141238061502E-2</v>
      </c>
      <c r="Q3234">
        <v>0.37590731800771798</v>
      </c>
      <c r="R3234">
        <v>0.95563608051341997</v>
      </c>
      <c r="S3234" t="s">
        <v>10237</v>
      </c>
      <c r="T3234" t="s">
        <v>14004</v>
      </c>
      <c r="U3234" t="s">
        <v>14004</v>
      </c>
      <c r="V3234" t="s">
        <v>14004</v>
      </c>
      <c r="W3234" t="s">
        <v>17195</v>
      </c>
      <c r="X3234">
        <v>8</v>
      </c>
      <c r="Y3234" t="s">
        <v>24057</v>
      </c>
      <c r="Z3234" t="s">
        <v>30944</v>
      </c>
      <c r="AA3234">
        <v>0.6432474761922643</v>
      </c>
      <c r="AB3234" t="str">
        <f>HYPERLINK("Melting_Curves/meltCurve_P84090_ERH.pdf", "Melting_Curves/meltCurve_P84090_ERH.pdf")</f>
        <v>Melting_Curves/meltCurve_P84090_ERH.pdf</v>
      </c>
    </row>
    <row r="3235" spans="1:28" x14ac:dyDescent="0.25">
      <c r="A3235" t="s">
        <v>3239</v>
      </c>
      <c r="B3235">
        <v>0.99999676499088797</v>
      </c>
      <c r="C3235">
        <v>0.94359812863062897</v>
      </c>
      <c r="D3235">
        <v>1.0127348184889</v>
      </c>
      <c r="E3235">
        <v>1.07543395271509</v>
      </c>
      <c r="F3235">
        <v>0.85507195899203703</v>
      </c>
      <c r="G3235">
        <v>0.69546337301512795</v>
      </c>
      <c r="H3235">
        <v>0.26455763346925198</v>
      </c>
      <c r="I3235">
        <v>0.11876246331425799</v>
      </c>
      <c r="J3235">
        <v>8.4295986072247794E-2</v>
      </c>
      <c r="K3235">
        <v>6.4901759238516904E-2</v>
      </c>
      <c r="L3235">
        <v>1513.7184437230001</v>
      </c>
      <c r="M3235">
        <v>26.0406764686605</v>
      </c>
      <c r="N3235">
        <v>58.356334177485998</v>
      </c>
      <c r="O3235">
        <v>57.789447601801903</v>
      </c>
      <c r="P3235">
        <v>-0.10722068473243</v>
      </c>
      <c r="Q3235">
        <v>4.8234678142287699E-2</v>
      </c>
      <c r="R3235">
        <v>0.98994560735978099</v>
      </c>
      <c r="S3235" t="s">
        <v>10238</v>
      </c>
      <c r="T3235" t="s">
        <v>14004</v>
      </c>
      <c r="U3235" t="s">
        <v>14004</v>
      </c>
      <c r="V3235" t="s">
        <v>14004</v>
      </c>
      <c r="W3235" t="s">
        <v>17196</v>
      </c>
      <c r="X3235">
        <v>15</v>
      </c>
      <c r="Y3235" t="s">
        <v>24058</v>
      </c>
      <c r="Z3235" t="s">
        <v>30945</v>
      </c>
      <c r="AA3235">
        <v>0.63115767215364427</v>
      </c>
      <c r="AB3235" t="str">
        <f>HYPERLINK("Melting_Curves/meltCurve_P84095_RHOG.pdf", "Melting_Curves/meltCurve_P84095_RHOG.pdf")</f>
        <v>Melting_Curves/meltCurve_P84095_RHOG.pdf</v>
      </c>
    </row>
    <row r="3236" spans="1:28" x14ac:dyDescent="0.25">
      <c r="A3236" t="s">
        <v>3240</v>
      </c>
      <c r="B3236">
        <v>0.99999676499088797</v>
      </c>
      <c r="C3236">
        <v>0.95593843175197901</v>
      </c>
      <c r="D3236">
        <v>1.0152293754560699</v>
      </c>
      <c r="E3236">
        <v>0.85066796773488795</v>
      </c>
      <c r="F3236">
        <v>0.89650147427609295</v>
      </c>
      <c r="G3236">
        <v>1.04200867463937</v>
      </c>
      <c r="H3236">
        <v>0.70117042455197498</v>
      </c>
      <c r="I3236">
        <v>0.89510652382462197</v>
      </c>
      <c r="J3236">
        <v>0.72995228472077101</v>
      </c>
      <c r="K3236">
        <v>0.68048049906322405</v>
      </c>
      <c r="L3236">
        <v>367.49845267858399</v>
      </c>
      <c r="M3236">
        <v>4.3965552404955002</v>
      </c>
      <c r="Q3236">
        <v>0</v>
      </c>
      <c r="R3236">
        <v>0.57855717635579995</v>
      </c>
      <c r="S3236" t="s">
        <v>10239</v>
      </c>
      <c r="T3236" t="s">
        <v>14004</v>
      </c>
      <c r="U3236" t="s">
        <v>14004</v>
      </c>
      <c r="V3236" t="s">
        <v>14004</v>
      </c>
      <c r="W3236" t="s">
        <v>17197</v>
      </c>
      <c r="X3236">
        <v>4</v>
      </c>
      <c r="Y3236" t="s">
        <v>24059</v>
      </c>
      <c r="Z3236" t="s">
        <v>30946</v>
      </c>
      <c r="AA3236">
        <v>0.88593478894958333</v>
      </c>
      <c r="AB3236" t="str">
        <f>HYPERLINK("Melting_Curves/meltCurve_P84101_4_SERF2.pdf", "Melting_Curves/meltCurve_P84101_4_SERF2.pdf")</f>
        <v>Melting_Curves/meltCurve_P84101_4_SERF2.pdf</v>
      </c>
    </row>
    <row r="3237" spans="1:28" x14ac:dyDescent="0.25">
      <c r="A3237" t="s">
        <v>3241</v>
      </c>
      <c r="B3237">
        <v>0.99999676499088797</v>
      </c>
      <c r="C3237">
        <v>1.05665167633309</v>
      </c>
      <c r="D3237">
        <v>1.14398208084708</v>
      </c>
      <c r="E3237">
        <v>1.19331530290294</v>
      </c>
      <c r="F3237">
        <v>1.1252660466089699</v>
      </c>
      <c r="G3237">
        <v>1.1549631356422101</v>
      </c>
      <c r="H3237">
        <v>0.94192885064851195</v>
      </c>
      <c r="I3237">
        <v>0.90138986076211502</v>
      </c>
      <c r="J3237">
        <v>0.87578018482826103</v>
      </c>
      <c r="K3237">
        <v>1.11265952626513</v>
      </c>
      <c r="L3237">
        <v>15000</v>
      </c>
      <c r="M3237">
        <v>213.05055502454101</v>
      </c>
      <c r="Q3237">
        <v>1.5</v>
      </c>
      <c r="R3237">
        <v>-0.110668006716621</v>
      </c>
      <c r="S3237" t="s">
        <v>10240</v>
      </c>
      <c r="T3237" t="s">
        <v>14004</v>
      </c>
      <c r="U3237" t="s">
        <v>14004</v>
      </c>
      <c r="V3237" t="s">
        <v>14004</v>
      </c>
      <c r="W3237" t="s">
        <v>17198</v>
      </c>
      <c r="X3237">
        <v>4</v>
      </c>
      <c r="Y3237" t="s">
        <v>24060</v>
      </c>
      <c r="Z3237" t="s">
        <v>30947</v>
      </c>
      <c r="AA3237">
        <v>1.0013760864514449</v>
      </c>
      <c r="AB3237" t="str">
        <f>HYPERLINK("Melting_Curves/meltCurve_P84157_MXRA7.pdf", "Melting_Curves/meltCurve_P84157_MXRA7.pdf")</f>
        <v>Melting_Curves/meltCurve_P84157_MXRA7.pdf</v>
      </c>
    </row>
    <row r="3238" spans="1:28" x14ac:dyDescent="0.25">
      <c r="A3238" t="s">
        <v>3242</v>
      </c>
      <c r="B3238">
        <v>0.99999676499088797</v>
      </c>
      <c r="C3238">
        <v>1.02456557893426</v>
      </c>
      <c r="D3238">
        <v>1.0529895672660501</v>
      </c>
      <c r="E3238">
        <v>0.99229994157041401</v>
      </c>
      <c r="F3238">
        <v>1.0239437440210799</v>
      </c>
      <c r="G3238">
        <v>0.90979930359263395</v>
      </c>
      <c r="H3238">
        <v>0.75714153384373295</v>
      </c>
      <c r="I3238">
        <v>0.87644341522976299</v>
      </c>
      <c r="J3238">
        <v>0.843051816022789</v>
      </c>
      <c r="K3238">
        <v>0.90422807054953003</v>
      </c>
      <c r="L3238">
        <v>14181.023984797001</v>
      </c>
      <c r="M3238">
        <v>250</v>
      </c>
      <c r="O3238">
        <v>56.720466004079803</v>
      </c>
      <c r="P3238">
        <v>-0.17055549031678</v>
      </c>
      <c r="Q3238">
        <v>0.84521621002029401</v>
      </c>
      <c r="R3238">
        <v>0.80249191725754498</v>
      </c>
      <c r="S3238" t="s">
        <v>10241</v>
      </c>
      <c r="T3238" t="s">
        <v>14004</v>
      </c>
      <c r="U3238" t="s">
        <v>14004</v>
      </c>
      <c r="V3238" t="s">
        <v>14004</v>
      </c>
      <c r="W3238" t="s">
        <v>17199</v>
      </c>
      <c r="X3238">
        <v>3</v>
      </c>
      <c r="Y3238" t="s">
        <v>24060</v>
      </c>
      <c r="Z3238" t="s">
        <v>30948</v>
      </c>
      <c r="AA3238">
        <v>0.9315189171803584</v>
      </c>
      <c r="AB3238" t="str">
        <f>HYPERLINK("Melting_Curves/meltCurve_P84157_2_MXRA7.pdf", "Melting_Curves/meltCurve_P84157_2_MXRA7.pdf")</f>
        <v>Melting_Curves/meltCurve_P84157_2_MXRA7.pdf</v>
      </c>
    </row>
    <row r="3239" spans="1:28" x14ac:dyDescent="0.25">
      <c r="A3239" t="s">
        <v>3243</v>
      </c>
      <c r="B3239">
        <v>0.99999676499088797</v>
      </c>
      <c r="C3239">
        <v>0.80305097171218298</v>
      </c>
      <c r="D3239">
        <v>0.50678986460176301</v>
      </c>
      <c r="E3239">
        <v>0.26995466061735901</v>
      </c>
      <c r="F3239">
        <v>0.162110055553286</v>
      </c>
      <c r="G3239">
        <v>0.12715843985976399</v>
      </c>
      <c r="H3239">
        <v>5.91306166454574E-2</v>
      </c>
      <c r="I3239">
        <v>6.2328445404240901E-2</v>
      </c>
      <c r="J3239">
        <v>5.2130457982681198E-2</v>
      </c>
      <c r="K3239">
        <v>4.1347670399700401E-2</v>
      </c>
      <c r="L3239">
        <v>835.85400005221902</v>
      </c>
      <c r="M3239">
        <v>18.1532994595748</v>
      </c>
      <c r="N3239">
        <v>46.380678239462398</v>
      </c>
      <c r="O3239">
        <v>45.496354814951701</v>
      </c>
      <c r="P3239">
        <v>-9.3601386286291E-2</v>
      </c>
      <c r="Q3239">
        <v>6.1698146101803297E-2</v>
      </c>
      <c r="R3239">
        <v>0.99359986118990495</v>
      </c>
      <c r="S3239" t="s">
        <v>10242</v>
      </c>
      <c r="T3239" t="s">
        <v>14004</v>
      </c>
      <c r="U3239" t="s">
        <v>14004</v>
      </c>
      <c r="V3239" t="s">
        <v>14004</v>
      </c>
      <c r="W3239" t="s">
        <v>17200</v>
      </c>
      <c r="X3239">
        <v>9</v>
      </c>
      <c r="Y3239" t="s">
        <v>24061</v>
      </c>
      <c r="Z3239" t="s">
        <v>30949</v>
      </c>
      <c r="AA3239">
        <v>0.26875411717544451</v>
      </c>
      <c r="AB3239" t="str">
        <f>HYPERLINK("Melting_Curves/meltCurve_P85037_FOXK1.pdf", "Melting_Curves/meltCurve_P85037_FOXK1.pdf")</f>
        <v>Melting_Curves/meltCurve_P85037_FOXK1.pdf</v>
      </c>
    </row>
    <row r="3240" spans="1:28" x14ac:dyDescent="0.25">
      <c r="A3240" t="s">
        <v>3244</v>
      </c>
      <c r="B3240">
        <v>0.99999676499088797</v>
      </c>
      <c r="C3240">
        <v>0.92401078494816402</v>
      </c>
      <c r="D3240">
        <v>0.89031653417837697</v>
      </c>
      <c r="E3240">
        <v>0.79963567312025097</v>
      </c>
      <c r="F3240">
        <v>0.61137906435840605</v>
      </c>
      <c r="G3240">
        <v>0.33999177667741298</v>
      </c>
      <c r="H3240">
        <v>9.2037832281666399E-2</v>
      </c>
      <c r="I3240">
        <v>7.1109615872319495E-2</v>
      </c>
      <c r="J3240">
        <v>6.23987159391277E-2</v>
      </c>
      <c r="K3240">
        <v>5.5419981394936903E-2</v>
      </c>
      <c r="L3240">
        <v>838.92570360419404</v>
      </c>
      <c r="M3240">
        <v>15.4878409242231</v>
      </c>
      <c r="N3240">
        <v>54.166730602000001</v>
      </c>
      <c r="O3240">
        <v>53.287800771299203</v>
      </c>
      <c r="P3240">
        <v>-7.2667762923580695E-2</v>
      </c>
      <c r="Q3240">
        <v>0</v>
      </c>
      <c r="R3240">
        <v>0.99099486652297897</v>
      </c>
      <c r="S3240" t="s">
        <v>10243</v>
      </c>
      <c r="T3240" t="s">
        <v>14004</v>
      </c>
      <c r="U3240" t="s">
        <v>14004</v>
      </c>
      <c r="V3240" t="s">
        <v>14004</v>
      </c>
      <c r="W3240" t="s">
        <v>17201</v>
      </c>
      <c r="X3240">
        <v>10</v>
      </c>
      <c r="Y3240" t="s">
        <v>24062</v>
      </c>
      <c r="Z3240" t="s">
        <v>30950</v>
      </c>
      <c r="AA3240">
        <v>0.49176621453381231</v>
      </c>
      <c r="AB3240" t="str">
        <f>HYPERLINK("Melting_Curves/meltCurve_P86791_CCZ1.pdf", "Melting_Curves/meltCurve_P86791_CCZ1.pdf")</f>
        <v>Melting_Curves/meltCurve_P86791_CCZ1.pdf</v>
      </c>
    </row>
    <row r="3241" spans="1:28" x14ac:dyDescent="0.25">
      <c r="A3241" t="s">
        <v>3245</v>
      </c>
      <c r="B3241">
        <v>0.99999676499088797</v>
      </c>
      <c r="C3241">
        <v>0.92652645605955097</v>
      </c>
      <c r="D3241">
        <v>0.97765395094879803</v>
      </c>
      <c r="E3241">
        <v>0.97628559596778597</v>
      </c>
      <c r="F3241">
        <v>0.93427296821712302</v>
      </c>
      <c r="G3241">
        <v>0.72068764285957698</v>
      </c>
      <c r="H3241">
        <v>0.34636001706731301</v>
      </c>
      <c r="I3241">
        <v>0.27577776087756001</v>
      </c>
      <c r="J3241">
        <v>0.23071428490204701</v>
      </c>
      <c r="K3241">
        <v>0.220993330441495</v>
      </c>
      <c r="L3241">
        <v>1754.2021669410899</v>
      </c>
      <c r="M3241">
        <v>30.3621619362636</v>
      </c>
      <c r="N3241">
        <v>58.908247682159001</v>
      </c>
      <c r="O3241">
        <v>57.527038401924599</v>
      </c>
      <c r="P3241">
        <v>-0.102779706651885</v>
      </c>
      <c r="Q3241">
        <v>0.22106005638449999</v>
      </c>
      <c r="R3241">
        <v>0.99356040495241404</v>
      </c>
      <c r="S3241" t="s">
        <v>10244</v>
      </c>
      <c r="T3241" t="s">
        <v>14004</v>
      </c>
      <c r="U3241" t="s">
        <v>14004</v>
      </c>
      <c r="V3241" t="s">
        <v>14004</v>
      </c>
      <c r="W3241" t="s">
        <v>17202</v>
      </c>
      <c r="X3241">
        <v>10</v>
      </c>
      <c r="Y3241" t="s">
        <v>24063</v>
      </c>
      <c r="Z3241" t="s">
        <v>30951</v>
      </c>
      <c r="AA3241">
        <v>0.68764957957952111</v>
      </c>
      <c r="AB3241" t="str">
        <f>HYPERLINK("Melting_Curves/meltCurve_P98155_2_VLDLR.pdf", "Melting_Curves/meltCurve_P98155_2_VLDLR.pdf")</f>
        <v>Melting_Curves/meltCurve_P98155_2_VLDLR.pdf</v>
      </c>
    </row>
    <row r="3242" spans="1:28" x14ac:dyDescent="0.25">
      <c r="A3242" t="s">
        <v>3246</v>
      </c>
      <c r="B3242">
        <v>0.99999676499088797</v>
      </c>
      <c r="C3242">
        <v>1.01619873163538</v>
      </c>
      <c r="D3242">
        <v>0.80934203173668395</v>
      </c>
      <c r="E3242">
        <v>0.57466338845579301</v>
      </c>
      <c r="F3242">
        <v>0.408221597194877</v>
      </c>
      <c r="G3242">
        <v>0.32868650564677399</v>
      </c>
      <c r="H3242">
        <v>0.18926423907522899</v>
      </c>
      <c r="I3242">
        <v>0.185985435320665</v>
      </c>
      <c r="J3242">
        <v>0.15993884429588201</v>
      </c>
      <c r="K3242">
        <v>0.192655627801365</v>
      </c>
      <c r="L3242">
        <v>792.37155489014697</v>
      </c>
      <c r="M3242">
        <v>15.868003091937</v>
      </c>
      <c r="N3242">
        <v>51.269562063312101</v>
      </c>
      <c r="O3242">
        <v>49.162289749374402</v>
      </c>
      <c r="P3242">
        <v>-6.7047066904454306E-2</v>
      </c>
      <c r="Q3242">
        <v>0.169165726285472</v>
      </c>
      <c r="R3242">
        <v>0.98908300355231404</v>
      </c>
      <c r="S3242" t="s">
        <v>10245</v>
      </c>
      <c r="T3242" t="s">
        <v>14004</v>
      </c>
      <c r="U3242" t="s">
        <v>14004</v>
      </c>
      <c r="V3242" t="s">
        <v>14004</v>
      </c>
      <c r="W3242" t="s">
        <v>17203</v>
      </c>
      <c r="X3242">
        <v>12</v>
      </c>
      <c r="Y3242" t="s">
        <v>24064</v>
      </c>
      <c r="Z3242" t="s">
        <v>30952</v>
      </c>
      <c r="AA3242">
        <v>0.46225629865029938</v>
      </c>
      <c r="AB3242" t="str">
        <f>HYPERLINK("Melting_Curves/meltCurve_P98170_XIAP.pdf", "Melting_Curves/meltCurve_P98170_XIAP.pdf")</f>
        <v>Melting_Curves/meltCurve_P98170_XIAP.pdf</v>
      </c>
    </row>
    <row r="3243" spans="1:28" x14ac:dyDescent="0.25">
      <c r="A3243" t="s">
        <v>3247</v>
      </c>
      <c r="B3243">
        <v>0.99999676499088797</v>
      </c>
      <c r="C3243">
        <v>0.88424486226177301</v>
      </c>
      <c r="D3243">
        <v>0.91522032711322099</v>
      </c>
      <c r="E3243">
        <v>0.83350735212208504</v>
      </c>
      <c r="F3243">
        <v>0.56528123409150799</v>
      </c>
      <c r="G3243">
        <v>0.44388385991389301</v>
      </c>
      <c r="H3243">
        <v>0.24077730211586601</v>
      </c>
      <c r="I3243">
        <v>0.296497732380124</v>
      </c>
      <c r="J3243">
        <v>0.24877295287597201</v>
      </c>
      <c r="K3243">
        <v>0.19667974738296901</v>
      </c>
      <c r="L3243">
        <v>760.80342817514804</v>
      </c>
      <c r="M3243">
        <v>14.311729792135401</v>
      </c>
      <c r="N3243">
        <v>54.978839043360701</v>
      </c>
      <c r="O3243">
        <v>52.153856277133301</v>
      </c>
      <c r="P3243">
        <v>-5.5669833564068898E-2</v>
      </c>
      <c r="Q3243">
        <v>0.18862515425759499</v>
      </c>
      <c r="R3243">
        <v>0.98008845680552303</v>
      </c>
      <c r="S3243" t="s">
        <v>10246</v>
      </c>
      <c r="T3243" t="s">
        <v>14004</v>
      </c>
      <c r="U3243" t="s">
        <v>14004</v>
      </c>
      <c r="V3243" t="s">
        <v>14004</v>
      </c>
      <c r="W3243" t="s">
        <v>17204</v>
      </c>
      <c r="X3243">
        <v>8</v>
      </c>
      <c r="Y3243" t="s">
        <v>24065</v>
      </c>
      <c r="Z3243" t="s">
        <v>30953</v>
      </c>
      <c r="AA3243">
        <v>0.56299965631531734</v>
      </c>
      <c r="AB3243" t="str">
        <f>HYPERLINK("Melting_Curves/meltCurve_P98172_EFNB1.pdf", "Melting_Curves/meltCurve_P98172_EFNB1.pdf")</f>
        <v>Melting_Curves/meltCurve_P98172_EFNB1.pdf</v>
      </c>
    </row>
    <row r="3244" spans="1:28" x14ac:dyDescent="0.25">
      <c r="A3244" t="s">
        <v>3248</v>
      </c>
      <c r="B3244">
        <v>0.99999676499088797</v>
      </c>
      <c r="C3244">
        <v>1.15814812109304</v>
      </c>
      <c r="D3244">
        <v>1.07825550088098</v>
      </c>
      <c r="E3244">
        <v>0.76637614593246195</v>
      </c>
      <c r="F3244">
        <v>0.41062492878151202</v>
      </c>
      <c r="G3244">
        <v>0.34776335245511197</v>
      </c>
      <c r="H3244">
        <v>0.10373412738455499</v>
      </c>
      <c r="I3244">
        <v>0.111414875196285</v>
      </c>
      <c r="J3244">
        <v>0.115118218193015</v>
      </c>
      <c r="K3244">
        <v>9.9124182797056301E-2</v>
      </c>
      <c r="L3244">
        <v>1198.3630179255299</v>
      </c>
      <c r="M3244">
        <v>22.948464503328498</v>
      </c>
      <c r="N3244">
        <v>52.798118668858102</v>
      </c>
      <c r="O3244">
        <v>51.828064646250802</v>
      </c>
      <c r="P3244">
        <v>-9.8394090813850907E-2</v>
      </c>
      <c r="Q3244">
        <v>0.11114245179270001</v>
      </c>
      <c r="R3244">
        <v>0.96558679214056997</v>
      </c>
      <c r="S3244" t="s">
        <v>10247</v>
      </c>
      <c r="T3244" t="s">
        <v>14004</v>
      </c>
      <c r="U3244" t="s">
        <v>14004</v>
      </c>
      <c r="V3244" t="s">
        <v>14004</v>
      </c>
      <c r="W3244" t="s">
        <v>17205</v>
      </c>
      <c r="X3244">
        <v>1</v>
      </c>
      <c r="Y3244" t="s">
        <v>24066</v>
      </c>
      <c r="Z3244" t="s">
        <v>30954</v>
      </c>
      <c r="AA3244">
        <v>0.48275855360710263</v>
      </c>
      <c r="AB3244" t="str">
        <f>HYPERLINK("Melting_Curves/meltCurve_P98173_3_FAM3A.pdf", "Melting_Curves/meltCurve_P98173_3_FAM3A.pdf")</f>
        <v>Melting_Curves/meltCurve_P98173_3_FAM3A.pdf</v>
      </c>
    </row>
    <row r="3245" spans="1:28" x14ac:dyDescent="0.25">
      <c r="A3245" t="s">
        <v>3249</v>
      </c>
      <c r="B3245">
        <v>0.99999676499088797</v>
      </c>
      <c r="C3245">
        <v>0.97776925397523096</v>
      </c>
      <c r="D3245">
        <v>0.71616209855615698</v>
      </c>
      <c r="E3245">
        <v>0.361849136817044</v>
      </c>
      <c r="F3245">
        <v>0.22901814317011601</v>
      </c>
      <c r="G3245">
        <v>0.15772402629513399</v>
      </c>
      <c r="H3245">
        <v>9.7619824690135304E-2</v>
      </c>
      <c r="I3245">
        <v>0.124269207410291</v>
      </c>
      <c r="J3245">
        <v>0.174526213721168</v>
      </c>
      <c r="K3245">
        <v>0.15162244410575701</v>
      </c>
      <c r="L3245">
        <v>1168.8784026288299</v>
      </c>
      <c r="M3245">
        <v>24.6168734555927</v>
      </c>
      <c r="N3245">
        <v>48.134708646752102</v>
      </c>
      <c r="O3245">
        <v>47.172797617773703</v>
      </c>
      <c r="P3245">
        <v>-0.11196930993142599</v>
      </c>
      <c r="Q3245">
        <v>0.14175456477038101</v>
      </c>
      <c r="R3245">
        <v>0.99456131170086604</v>
      </c>
      <c r="S3245" t="s">
        <v>10248</v>
      </c>
      <c r="T3245" t="s">
        <v>14004</v>
      </c>
      <c r="U3245" t="s">
        <v>14004</v>
      </c>
      <c r="V3245" t="s">
        <v>14004</v>
      </c>
      <c r="W3245" t="s">
        <v>17206</v>
      </c>
      <c r="X3245">
        <v>30</v>
      </c>
      <c r="Y3245" t="s">
        <v>24067</v>
      </c>
      <c r="Z3245" t="s">
        <v>30955</v>
      </c>
      <c r="AA3245">
        <v>0.36369187505059319</v>
      </c>
      <c r="AB3245" t="str">
        <f>HYPERLINK("Melting_Curves/meltCurve_P98175_2_RBM10.pdf", "Melting_Curves/meltCurve_P98175_2_RBM10.pdf")</f>
        <v>Melting_Curves/meltCurve_P98175_2_RBM10.pdf</v>
      </c>
    </row>
    <row r="3246" spans="1:28" x14ac:dyDescent="0.25">
      <c r="A3246" t="s">
        <v>3250</v>
      </c>
      <c r="B3246">
        <v>0.99999676499088797</v>
      </c>
      <c r="C3246">
        <v>1.1194098037726199</v>
      </c>
      <c r="D3246">
        <v>1.0048936208558401</v>
      </c>
      <c r="E3246">
        <v>0.76703315011250806</v>
      </c>
      <c r="F3246">
        <v>0.55378088762531796</v>
      </c>
      <c r="G3246">
        <v>0.54435046242626905</v>
      </c>
      <c r="H3246">
        <v>0.38369792302134398</v>
      </c>
      <c r="I3246">
        <v>0.64680773616226195</v>
      </c>
      <c r="J3246">
        <v>0.74752515363009597</v>
      </c>
      <c r="K3246">
        <v>0.55447051473703901</v>
      </c>
      <c r="L3246">
        <v>12391.2426802358</v>
      </c>
      <c r="M3246">
        <v>250</v>
      </c>
      <c r="O3246">
        <v>49.561797921181899</v>
      </c>
      <c r="P3246">
        <v>-0.54001758696020896</v>
      </c>
      <c r="Q3246">
        <v>0.57177211181396204</v>
      </c>
      <c r="R3246">
        <v>0.83321162281358996</v>
      </c>
      <c r="S3246" t="s">
        <v>10249</v>
      </c>
      <c r="T3246" t="s">
        <v>14004</v>
      </c>
      <c r="U3246" t="s">
        <v>14004</v>
      </c>
      <c r="V3246" t="s">
        <v>14004</v>
      </c>
      <c r="W3246" t="s">
        <v>17207</v>
      </c>
      <c r="X3246">
        <v>9</v>
      </c>
      <c r="Y3246" t="s">
        <v>24068</v>
      </c>
      <c r="Z3246" t="s">
        <v>30956</v>
      </c>
      <c r="AA3246">
        <v>0.70834226861862637</v>
      </c>
      <c r="AB3246" t="str">
        <f>HYPERLINK("Melting_Curves/meltCurve_P98179_RBM3.pdf", "Melting_Curves/meltCurve_P98179_RBM3.pdf")</f>
        <v>Melting_Curves/meltCurve_P98179_RBM3.pdf</v>
      </c>
    </row>
    <row r="3247" spans="1:28" x14ac:dyDescent="0.25">
      <c r="A3247" t="s">
        <v>3251</v>
      </c>
      <c r="B3247">
        <v>0.99999676499088797</v>
      </c>
      <c r="C3247">
        <v>0.85313124949844699</v>
      </c>
      <c r="D3247">
        <v>0.65119117319963304</v>
      </c>
      <c r="E3247">
        <v>0.38882246393897302</v>
      </c>
      <c r="F3247">
        <v>0.22177796565222299</v>
      </c>
      <c r="G3247">
        <v>0.14110167185231001</v>
      </c>
      <c r="H3247">
        <v>7.9615532374820802E-2</v>
      </c>
      <c r="I3247">
        <v>9.1388952467334902E-2</v>
      </c>
      <c r="J3247">
        <v>9.7404753982473696E-2</v>
      </c>
      <c r="K3247">
        <v>5.9928545961070799E-2</v>
      </c>
      <c r="L3247">
        <v>769.024696940951</v>
      </c>
      <c r="M3247">
        <v>16.1688733761079</v>
      </c>
      <c r="N3247">
        <v>48.020804056583401</v>
      </c>
      <c r="O3247">
        <v>46.852375717341403</v>
      </c>
      <c r="P3247">
        <v>-8.0107464432938993E-2</v>
      </c>
      <c r="Q3247">
        <v>7.1563933868283594E-2</v>
      </c>
      <c r="R3247">
        <v>0.99729521803489396</v>
      </c>
      <c r="S3247" t="s">
        <v>10250</v>
      </c>
      <c r="T3247" t="s">
        <v>14004</v>
      </c>
      <c r="U3247" t="s">
        <v>14004</v>
      </c>
      <c r="V3247" t="s">
        <v>14004</v>
      </c>
      <c r="W3247" t="s">
        <v>17208</v>
      </c>
      <c r="X3247">
        <v>12</v>
      </c>
      <c r="Y3247" t="s">
        <v>24069</v>
      </c>
      <c r="Z3247" t="s">
        <v>30957</v>
      </c>
      <c r="AA3247">
        <v>0.32654070017455722</v>
      </c>
      <c r="AB3247" t="str">
        <f>HYPERLINK("Melting_Curves/meltCurve_Q00013_2_MPP1.pdf", "Melting_Curves/meltCurve_Q00013_2_MPP1.pdf")</f>
        <v>Melting_Curves/meltCurve_Q00013_2_MPP1.pdf</v>
      </c>
    </row>
    <row r="3248" spans="1:28" x14ac:dyDescent="0.25">
      <c r="A3248" t="s">
        <v>3252</v>
      </c>
      <c r="B3248">
        <v>0.99999676499088797</v>
      </c>
      <c r="C3248">
        <v>1.12714181135867</v>
      </c>
      <c r="D3248">
        <v>1.0580982435238</v>
      </c>
      <c r="E3248">
        <v>0.70332540886888595</v>
      </c>
      <c r="F3248">
        <v>0.354094312737325</v>
      </c>
      <c r="G3248">
        <v>0.34025435938876902</v>
      </c>
      <c r="H3248">
        <v>0.220064101540587</v>
      </c>
      <c r="I3248">
        <v>0.283297950810877</v>
      </c>
      <c r="J3248">
        <v>0.25542949389408298</v>
      </c>
      <c r="K3248">
        <v>0.27767426802395601</v>
      </c>
      <c r="L3248">
        <v>2120.1244515777998</v>
      </c>
      <c r="M3248">
        <v>42.297170983649799</v>
      </c>
      <c r="N3248">
        <v>51.099717016659802</v>
      </c>
      <c r="O3248">
        <v>50.012844012555803</v>
      </c>
      <c r="P3248">
        <v>-0.15287560986488699</v>
      </c>
      <c r="Q3248">
        <v>0.27695104038267498</v>
      </c>
      <c r="R3248">
        <v>0.97612905767158298</v>
      </c>
      <c r="S3248" t="s">
        <v>10251</v>
      </c>
      <c r="T3248" t="s">
        <v>14004</v>
      </c>
      <c r="U3248" t="s">
        <v>14004</v>
      </c>
      <c r="V3248" t="s">
        <v>14004</v>
      </c>
      <c r="W3248" t="s">
        <v>17209</v>
      </c>
      <c r="X3248">
        <v>16</v>
      </c>
      <c r="Y3248" t="s">
        <v>24070</v>
      </c>
      <c r="Z3248" t="s">
        <v>30958</v>
      </c>
      <c r="AA3248">
        <v>0.52320698604926319</v>
      </c>
      <c r="AB3248" t="str">
        <f>HYPERLINK("Melting_Curves/meltCurve_Q00059_TFAM.pdf", "Melting_Curves/meltCurve_Q00059_TFAM.pdf")</f>
        <v>Melting_Curves/meltCurve_Q00059_TFAM.pdf</v>
      </c>
    </row>
    <row r="3249" spans="1:28" x14ac:dyDescent="0.25">
      <c r="A3249" t="s">
        <v>3253</v>
      </c>
      <c r="B3249">
        <v>0.99999676499088797</v>
      </c>
      <c r="C3249">
        <v>0.952163578993656</v>
      </c>
      <c r="D3249">
        <v>0.98183577483253803</v>
      </c>
      <c r="E3249">
        <v>0.97953979146928505</v>
      </c>
      <c r="F3249">
        <v>0.74128222185554205</v>
      </c>
      <c r="G3249">
        <v>0.459895238180348</v>
      </c>
      <c r="H3249">
        <v>0.14724454609131299</v>
      </c>
      <c r="I3249">
        <v>0.105035203098359</v>
      </c>
      <c r="J3249">
        <v>8.01531651427492E-2</v>
      </c>
      <c r="K3249">
        <v>7.5528880496914003E-2</v>
      </c>
      <c r="L3249">
        <v>1303.9116559593799</v>
      </c>
      <c r="M3249">
        <v>23.3831887716163</v>
      </c>
      <c r="N3249">
        <v>56.062756016958602</v>
      </c>
      <c r="O3249">
        <v>55.3597481479894</v>
      </c>
      <c r="P3249">
        <v>-9.9389033915288999E-2</v>
      </c>
      <c r="Q3249">
        <v>5.8801550949685498E-2</v>
      </c>
      <c r="R3249">
        <v>0.99633296847867503</v>
      </c>
      <c r="S3249" t="s">
        <v>10252</v>
      </c>
      <c r="T3249" t="s">
        <v>14004</v>
      </c>
      <c r="U3249" t="s">
        <v>14004</v>
      </c>
      <c r="V3249" t="s">
        <v>14004</v>
      </c>
      <c r="W3249" t="s">
        <v>17210</v>
      </c>
      <c r="X3249">
        <v>24</v>
      </c>
      <c r="Y3249" t="s">
        <v>24071</v>
      </c>
      <c r="Z3249" t="s">
        <v>30959</v>
      </c>
      <c r="AA3249">
        <v>0.56300358521031491</v>
      </c>
      <c r="AB3249" t="str">
        <f>HYPERLINK("Melting_Curves/meltCurve_Q00169_PITPNA.pdf", "Melting_Curves/meltCurve_Q00169_PITPNA.pdf")</f>
        <v>Melting_Curves/meltCurve_Q00169_PITPNA.pdf</v>
      </c>
    </row>
    <row r="3250" spans="1:28" x14ac:dyDescent="0.25">
      <c r="A3250" t="s">
        <v>3254</v>
      </c>
      <c r="B3250">
        <v>0.99999676499088797</v>
      </c>
      <c r="C3250">
        <v>1.11023097727091</v>
      </c>
      <c r="D3250">
        <v>1.0769267518457299</v>
      </c>
      <c r="E3250">
        <v>0.91813819867598301</v>
      </c>
      <c r="F3250">
        <v>0.79594354990530902</v>
      </c>
      <c r="G3250">
        <v>0.69855962254079496</v>
      </c>
      <c r="H3250">
        <v>0.28552183246562401</v>
      </c>
      <c r="I3250">
        <v>0.18718525443963599</v>
      </c>
      <c r="J3250">
        <v>0.16556842108533301</v>
      </c>
      <c r="K3250">
        <v>0.16016362713197399</v>
      </c>
      <c r="L3250">
        <v>1181.2348918831101</v>
      </c>
      <c r="M3250">
        <v>20.522403573089601</v>
      </c>
      <c r="N3250">
        <v>58.273928047069099</v>
      </c>
      <c r="O3250">
        <v>57.020160281738903</v>
      </c>
      <c r="P3250">
        <v>-7.9958760257820893E-2</v>
      </c>
      <c r="Q3250">
        <v>0.111385370697379</v>
      </c>
      <c r="R3250">
        <v>0.97470578019504095</v>
      </c>
      <c r="S3250" t="s">
        <v>10253</v>
      </c>
      <c r="T3250" t="s">
        <v>14004</v>
      </c>
      <c r="U3250" t="s">
        <v>14004</v>
      </c>
      <c r="V3250" t="s">
        <v>14004</v>
      </c>
      <c r="W3250" t="s">
        <v>17211</v>
      </c>
      <c r="X3250">
        <v>13</v>
      </c>
      <c r="Y3250" t="s">
        <v>24072</v>
      </c>
      <c r="Z3250" t="s">
        <v>30960</v>
      </c>
      <c r="AA3250">
        <v>0.64164004005538011</v>
      </c>
      <c r="AB3250" t="str">
        <f>HYPERLINK("Melting_Curves/meltCurve_Q00266_MAT1A.pdf", "Melting_Curves/meltCurve_Q00266_MAT1A.pdf")</f>
        <v>Melting_Curves/meltCurve_Q00266_MAT1A.pdf</v>
      </c>
    </row>
    <row r="3251" spans="1:28" x14ac:dyDescent="0.25">
      <c r="A3251" t="s">
        <v>3255</v>
      </c>
      <c r="B3251">
        <v>0.99999676499088797</v>
      </c>
      <c r="C3251">
        <v>0.95107934172460995</v>
      </c>
      <c r="D3251">
        <v>0.96643568846196903</v>
      </c>
      <c r="E3251">
        <v>0.90942345703023397</v>
      </c>
      <c r="F3251">
        <v>0.72819787287064597</v>
      </c>
      <c r="G3251">
        <v>0.766800960303749</v>
      </c>
      <c r="H3251">
        <v>0.55843234155128496</v>
      </c>
      <c r="I3251">
        <v>0.51455228462555702</v>
      </c>
      <c r="J3251">
        <v>0.41565059427351397</v>
      </c>
      <c r="K3251">
        <v>0.436552211499037</v>
      </c>
      <c r="L3251">
        <v>542.78035667756899</v>
      </c>
      <c r="M3251">
        <v>9.2500532241377798</v>
      </c>
      <c r="N3251">
        <v>64.364722742003593</v>
      </c>
      <c r="O3251">
        <v>56.131682373459597</v>
      </c>
      <c r="P3251">
        <v>-2.97166293582674E-2</v>
      </c>
      <c r="Q3251">
        <v>0.27915950960577202</v>
      </c>
      <c r="R3251">
        <v>0.96951047508806598</v>
      </c>
      <c r="S3251" t="s">
        <v>10254</v>
      </c>
      <c r="T3251" t="s">
        <v>14004</v>
      </c>
      <c r="U3251" t="s">
        <v>14004</v>
      </c>
      <c r="V3251" t="s">
        <v>14004</v>
      </c>
      <c r="W3251" t="s">
        <v>17212</v>
      </c>
      <c r="X3251">
        <v>16</v>
      </c>
      <c r="Y3251" t="s">
        <v>24073</v>
      </c>
      <c r="Z3251" t="s">
        <v>30961</v>
      </c>
      <c r="AA3251">
        <v>0.73021740246938127</v>
      </c>
      <c r="AB3251" t="str">
        <f>HYPERLINK("Melting_Curves/meltCurve_Q00325_2_SLC25A3.pdf", "Melting_Curves/meltCurve_Q00325_2_SLC25A3.pdf")</f>
        <v>Melting_Curves/meltCurve_Q00325_2_SLC25A3.pdf</v>
      </c>
    </row>
    <row r="3252" spans="1:28" x14ac:dyDescent="0.25">
      <c r="A3252" t="s">
        <v>3256</v>
      </c>
      <c r="B3252">
        <v>0.99999676499088797</v>
      </c>
      <c r="C3252">
        <v>0.78208976321157797</v>
      </c>
      <c r="D3252">
        <v>0.282143545476917</v>
      </c>
      <c r="E3252">
        <v>0.17697729753109501</v>
      </c>
      <c r="F3252">
        <v>0.11471694437258299</v>
      </c>
      <c r="G3252">
        <v>8.9811843119273899E-2</v>
      </c>
      <c r="H3252">
        <v>4.66850022773138E-2</v>
      </c>
      <c r="I3252">
        <v>4.9036978416447802E-2</v>
      </c>
      <c r="J3252">
        <v>4.6980711846057198E-2</v>
      </c>
      <c r="K3252">
        <v>4.3459924478452899E-2</v>
      </c>
      <c r="L3252">
        <v>1417.1627613153601</v>
      </c>
      <c r="M3252">
        <v>31.8956641069325</v>
      </c>
      <c r="N3252">
        <v>44.652114231386697</v>
      </c>
      <c r="O3252">
        <v>44.257643708418698</v>
      </c>
      <c r="P3252">
        <v>-0.167020687767544</v>
      </c>
      <c r="Q3252">
        <v>7.2989443329491796E-2</v>
      </c>
      <c r="R3252">
        <v>0.98968245929032905</v>
      </c>
      <c r="S3252" t="s">
        <v>10255</v>
      </c>
      <c r="T3252" t="s">
        <v>14004</v>
      </c>
      <c r="U3252" t="s">
        <v>14004</v>
      </c>
      <c r="V3252" t="s">
        <v>14004</v>
      </c>
      <c r="W3252" t="s">
        <v>17213</v>
      </c>
      <c r="X3252">
        <v>41</v>
      </c>
      <c r="Y3252" t="s">
        <v>24074</v>
      </c>
      <c r="Z3252" t="s">
        <v>30962</v>
      </c>
      <c r="AA3252">
        <v>0.21536782677555349</v>
      </c>
      <c r="AB3252" t="str">
        <f>HYPERLINK("Melting_Curves/meltCurve_Q00341_HDLBP.pdf", "Melting_Curves/meltCurve_Q00341_HDLBP.pdf")</f>
        <v>Melting_Curves/meltCurve_Q00341_HDLBP.pdf</v>
      </c>
    </row>
    <row r="3253" spans="1:28" x14ac:dyDescent="0.25">
      <c r="A3253" t="s">
        <v>3257</v>
      </c>
      <c r="B3253">
        <v>0.99999676499088797</v>
      </c>
      <c r="C3253">
        <v>0.92597581626710501</v>
      </c>
      <c r="D3253">
        <v>0.78708477091852302</v>
      </c>
      <c r="E3253">
        <v>0.27111282877052401</v>
      </c>
      <c r="F3253">
        <v>0.18314515853228999</v>
      </c>
      <c r="G3253">
        <v>0.13560225395103201</v>
      </c>
      <c r="H3253">
        <v>7.9021522733568897E-2</v>
      </c>
      <c r="I3253">
        <v>7.84792122110263E-2</v>
      </c>
      <c r="J3253">
        <v>8.8185050970828502E-2</v>
      </c>
      <c r="K3253">
        <v>7.7962940029616498E-2</v>
      </c>
      <c r="L3253">
        <v>1420.7714929742799</v>
      </c>
      <c r="M3253">
        <v>29.857261648821101</v>
      </c>
      <c r="N3253">
        <v>47.926645009973697</v>
      </c>
      <c r="O3253">
        <v>47.373524124382499</v>
      </c>
      <c r="P3253">
        <v>-0.142478768600455</v>
      </c>
      <c r="Q3253">
        <v>9.5740710919625396E-2</v>
      </c>
      <c r="R3253">
        <v>0.99396050138888004</v>
      </c>
      <c r="S3253" t="s">
        <v>10256</v>
      </c>
      <c r="T3253" t="s">
        <v>14004</v>
      </c>
      <c r="U3253" t="s">
        <v>14004</v>
      </c>
      <c r="V3253" t="s">
        <v>14004</v>
      </c>
      <c r="W3253" t="s">
        <v>17214</v>
      </c>
      <c r="X3253">
        <v>18</v>
      </c>
      <c r="Y3253" t="s">
        <v>24075</v>
      </c>
      <c r="Z3253" t="s">
        <v>30963</v>
      </c>
      <c r="AA3253">
        <v>0.32986328326321812</v>
      </c>
      <c r="AB3253" t="str">
        <f>HYPERLINK("Melting_Curves/meltCurve_Q00403_GTF2B.pdf", "Melting_Curves/meltCurve_Q00403_GTF2B.pdf")</f>
        <v>Melting_Curves/meltCurve_Q00403_GTF2B.pdf</v>
      </c>
    </row>
    <row r="3254" spans="1:28" x14ac:dyDescent="0.25">
      <c r="A3254" t="s">
        <v>3258</v>
      </c>
      <c r="B3254">
        <v>0.99999676499088797</v>
      </c>
      <c r="C3254">
        <v>0.95010253226471597</v>
      </c>
      <c r="D3254">
        <v>0.56794785974494699</v>
      </c>
      <c r="E3254">
        <v>0.37084476592969901</v>
      </c>
      <c r="F3254">
        <v>0.26866899701080399</v>
      </c>
      <c r="G3254">
        <v>0.181896393379953</v>
      </c>
      <c r="H3254">
        <v>7.8299102564026404E-2</v>
      </c>
      <c r="I3254">
        <v>8.0960625481505899E-2</v>
      </c>
      <c r="J3254">
        <v>6.2679940001230394E-2</v>
      </c>
      <c r="K3254">
        <v>4.9330563197871997E-2</v>
      </c>
      <c r="L3254">
        <v>767.56617074763597</v>
      </c>
      <c r="M3254">
        <v>16.163731866461301</v>
      </c>
      <c r="N3254">
        <v>47.949121800469598</v>
      </c>
      <c r="O3254">
        <v>46.777955350489101</v>
      </c>
      <c r="P3254">
        <v>-8.0160007527816907E-2</v>
      </c>
      <c r="Q3254">
        <v>7.2135782929420703E-2</v>
      </c>
      <c r="R3254">
        <v>0.97906884676939199</v>
      </c>
      <c r="S3254" t="s">
        <v>10257</v>
      </c>
      <c r="T3254" t="s">
        <v>14004</v>
      </c>
      <c r="U3254" t="s">
        <v>14004</v>
      </c>
      <c r="V3254" t="s">
        <v>14004</v>
      </c>
      <c r="W3254" t="s">
        <v>17215</v>
      </c>
      <c r="X3254">
        <v>19</v>
      </c>
      <c r="Y3254" t="s">
        <v>24076</v>
      </c>
      <c r="Z3254" t="s">
        <v>30964</v>
      </c>
      <c r="AA3254">
        <v>0.32472137542277402</v>
      </c>
      <c r="AB3254" t="str">
        <f>HYPERLINK("Melting_Curves/meltCurve_Q00534_CDK6.pdf", "Melting_Curves/meltCurve_Q00534_CDK6.pdf")</f>
        <v>Melting_Curves/meltCurve_Q00534_CDK6.pdf</v>
      </c>
    </row>
    <row r="3255" spans="1:28" x14ac:dyDescent="0.25">
      <c r="A3255" t="s">
        <v>3259</v>
      </c>
      <c r="B3255">
        <v>0.99999676499088797</v>
      </c>
      <c r="C3255">
        <v>0.95699890985707003</v>
      </c>
      <c r="D3255">
        <v>0.96965302151903598</v>
      </c>
      <c r="E3255">
        <v>0.79791611739849999</v>
      </c>
      <c r="F3255">
        <v>0.30914585343072298</v>
      </c>
      <c r="G3255">
        <v>0.18059873231102799</v>
      </c>
      <c r="H3255">
        <v>8.9038157451921104E-2</v>
      </c>
      <c r="I3255">
        <v>9.1874508633319293E-2</v>
      </c>
      <c r="J3255">
        <v>8.1047992447178904E-2</v>
      </c>
      <c r="K3255">
        <v>5.7883085482107299E-2</v>
      </c>
      <c r="L3255">
        <v>1579.74248765926</v>
      </c>
      <c r="M3255">
        <v>30.680605146793699</v>
      </c>
      <c r="N3255">
        <v>51.802847702287103</v>
      </c>
      <c r="O3255">
        <v>51.272672465094701</v>
      </c>
      <c r="P3255">
        <v>-0.13694308146373099</v>
      </c>
      <c r="Q3255">
        <v>8.4581820178794703E-2</v>
      </c>
      <c r="R3255">
        <v>0.99653110536802203</v>
      </c>
      <c r="S3255" t="s">
        <v>10258</v>
      </c>
      <c r="T3255" t="s">
        <v>14004</v>
      </c>
      <c r="U3255" t="s">
        <v>14004</v>
      </c>
      <c r="V3255" t="s">
        <v>14004</v>
      </c>
      <c r="W3255" t="s">
        <v>17216</v>
      </c>
      <c r="X3255">
        <v>17</v>
      </c>
      <c r="Y3255" t="s">
        <v>24077</v>
      </c>
      <c r="Z3255" t="s">
        <v>30965</v>
      </c>
      <c r="AA3255">
        <v>0.44073293050061962</v>
      </c>
      <c r="AB3255" t="str">
        <f>HYPERLINK("Melting_Curves/meltCurve_Q00535_CDK5.pdf", "Melting_Curves/meltCurve_Q00535_CDK5.pdf")</f>
        <v>Melting_Curves/meltCurve_Q00535_CDK5.pdf</v>
      </c>
    </row>
    <row r="3256" spans="1:28" x14ac:dyDescent="0.25">
      <c r="A3256" t="s">
        <v>3260</v>
      </c>
      <c r="B3256">
        <v>0.99999676499088797</v>
      </c>
      <c r="C3256">
        <v>0.95794200476712099</v>
      </c>
      <c r="D3256">
        <v>0.86220859764381697</v>
      </c>
      <c r="E3256">
        <v>0.71204869114077496</v>
      </c>
      <c r="F3256">
        <v>0.36938795860160001</v>
      </c>
      <c r="G3256">
        <v>0.16587989116798099</v>
      </c>
      <c r="H3256">
        <v>7.6443085087732496E-2</v>
      </c>
      <c r="I3256">
        <v>9.1975069961611505E-2</v>
      </c>
      <c r="J3256">
        <v>8.9805365001859497E-2</v>
      </c>
      <c r="K3256">
        <v>5.6307352765325801E-2</v>
      </c>
      <c r="L3256">
        <v>983.93053380174001</v>
      </c>
      <c r="M3256">
        <v>19.179240913951901</v>
      </c>
      <c r="N3256">
        <v>51.620711234696699</v>
      </c>
      <c r="O3256">
        <v>50.753886653754002</v>
      </c>
      <c r="P3256">
        <v>-8.9197982438941906E-2</v>
      </c>
      <c r="Q3256">
        <v>5.5860347295222802E-2</v>
      </c>
      <c r="R3256">
        <v>0.99629374983376995</v>
      </c>
      <c r="S3256" t="s">
        <v>10259</v>
      </c>
      <c r="T3256" t="s">
        <v>14004</v>
      </c>
      <c r="U3256" t="s">
        <v>14004</v>
      </c>
      <c r="V3256" t="s">
        <v>14004</v>
      </c>
      <c r="W3256" t="s">
        <v>17217</v>
      </c>
      <c r="X3256">
        <v>5</v>
      </c>
      <c r="Y3256" t="s">
        <v>24078</v>
      </c>
      <c r="Z3256" t="s">
        <v>30966</v>
      </c>
      <c r="AA3256">
        <v>0.42568696334438511</v>
      </c>
      <c r="AB3256" t="str">
        <f>HYPERLINK("Melting_Curves/meltCurve_Q00536_CDK16.pdf", "Melting_Curves/meltCurve_Q00536_CDK16.pdf")</f>
        <v>Melting_Curves/meltCurve_Q00536_CDK16.pdf</v>
      </c>
    </row>
    <row r="3257" spans="1:28" x14ac:dyDescent="0.25">
      <c r="A3257" t="s">
        <v>3261</v>
      </c>
      <c r="B3257">
        <v>0.99999676499088797</v>
      </c>
      <c r="C3257">
        <v>0.88459298421687604</v>
      </c>
      <c r="D3257">
        <v>0.78590701704142896</v>
      </c>
      <c r="E3257">
        <v>0.46372139969585902</v>
      </c>
      <c r="F3257">
        <v>0.37716946443787902</v>
      </c>
      <c r="G3257">
        <v>0.39257077559863102</v>
      </c>
      <c r="H3257">
        <v>0.23404801297535999</v>
      </c>
      <c r="I3257">
        <v>0.20576259581183101</v>
      </c>
      <c r="J3257">
        <v>0.170283013692513</v>
      </c>
      <c r="K3257">
        <v>0.14970387536025201</v>
      </c>
      <c r="L3257">
        <v>632.23978367899099</v>
      </c>
      <c r="M3257">
        <v>12.9210517308862</v>
      </c>
      <c r="N3257">
        <v>50.534564782275403</v>
      </c>
      <c r="O3257">
        <v>47.803418404470698</v>
      </c>
      <c r="P3257">
        <v>-5.62194913140876E-2</v>
      </c>
      <c r="Q3257">
        <v>0.16817984761471799</v>
      </c>
      <c r="R3257">
        <v>0.97340568762702395</v>
      </c>
      <c r="S3257" t="s">
        <v>10260</v>
      </c>
      <c r="T3257" t="s">
        <v>14004</v>
      </c>
      <c r="U3257" t="s">
        <v>14004</v>
      </c>
      <c r="V3257" t="s">
        <v>14004</v>
      </c>
      <c r="W3257" t="s">
        <v>17218</v>
      </c>
      <c r="X3257">
        <v>5</v>
      </c>
      <c r="Y3257" t="s">
        <v>24079</v>
      </c>
      <c r="Z3257" t="s">
        <v>30967</v>
      </c>
      <c r="AA3257">
        <v>0.44283640432412208</v>
      </c>
      <c r="AB3257" t="str">
        <f>HYPERLINK("Melting_Curves/meltCurve_Q00577_PURA.pdf", "Melting_Curves/meltCurve_Q00577_PURA.pdf")</f>
        <v>Melting_Curves/meltCurve_Q00577_PURA.pdf</v>
      </c>
    </row>
    <row r="3258" spans="1:28" x14ac:dyDescent="0.25">
      <c r="A3258" t="s">
        <v>3262</v>
      </c>
      <c r="B3258">
        <v>0.99999676499088797</v>
      </c>
      <c r="C3258">
        <v>0.958649636952696</v>
      </c>
      <c r="D3258">
        <v>1.036742024612</v>
      </c>
      <c r="E3258">
        <v>0.83279966083569101</v>
      </c>
      <c r="F3258">
        <v>0.26269350107033401</v>
      </c>
      <c r="G3258">
        <v>0.17449919095654701</v>
      </c>
      <c r="H3258">
        <v>8.1690082273187997E-2</v>
      </c>
      <c r="I3258">
        <v>7.7017325215969601E-2</v>
      </c>
      <c r="J3258">
        <v>7.2683984079241495E-2</v>
      </c>
      <c r="K3258">
        <v>6.1311741137862703E-2</v>
      </c>
      <c r="L3258">
        <v>2062.1045171462001</v>
      </c>
      <c r="M3258">
        <v>40.100186095693701</v>
      </c>
      <c r="N3258">
        <v>51.669138442871798</v>
      </c>
      <c r="O3258">
        <v>51.2964253205744</v>
      </c>
      <c r="P3258">
        <v>-0.17849334872032499</v>
      </c>
      <c r="Q3258">
        <v>8.6682370633544795E-2</v>
      </c>
      <c r="R3258">
        <v>0.99453362208773699</v>
      </c>
      <c r="S3258" t="s">
        <v>10261</v>
      </c>
      <c r="T3258" t="s">
        <v>14004</v>
      </c>
      <c r="U3258" t="s">
        <v>14004</v>
      </c>
      <c r="V3258" t="s">
        <v>14004</v>
      </c>
      <c r="W3258" t="s">
        <v>17219</v>
      </c>
      <c r="X3258">
        <v>73</v>
      </c>
      <c r="Y3258" t="s">
        <v>24080</v>
      </c>
      <c r="Z3258" t="s">
        <v>30968</v>
      </c>
      <c r="AA3258">
        <v>0.43769747704163159</v>
      </c>
      <c r="AB3258" t="str">
        <f>HYPERLINK("Melting_Curves/meltCurve_Q00610_2_CLTC.pdf", "Melting_Curves/meltCurve_Q00610_2_CLTC.pdf")</f>
        <v>Melting_Curves/meltCurve_Q00610_2_CLTC.pdf</v>
      </c>
    </row>
    <row r="3259" spans="1:28" x14ac:dyDescent="0.25">
      <c r="A3259" t="s">
        <v>3263</v>
      </c>
      <c r="B3259">
        <v>0.99999676499088797</v>
      </c>
      <c r="C3259">
        <v>0.72476297155013503</v>
      </c>
      <c r="D3259">
        <v>0.47020813730897698</v>
      </c>
      <c r="E3259">
        <v>0.32765011346992401</v>
      </c>
      <c r="F3259">
        <v>0.219835651860328</v>
      </c>
      <c r="G3259">
        <v>0.168925637311055</v>
      </c>
      <c r="H3259">
        <v>7.9683275132990797E-2</v>
      </c>
      <c r="I3259">
        <v>8.2933506307368093E-2</v>
      </c>
      <c r="J3259">
        <v>9.04574697509994E-2</v>
      </c>
      <c r="K3259">
        <v>6.9328272146344905E-2</v>
      </c>
      <c r="L3259">
        <v>691.43798171606602</v>
      </c>
      <c r="M3259">
        <v>15.1277051300954</v>
      </c>
      <c r="N3259">
        <v>46.284611904935701</v>
      </c>
      <c r="O3259">
        <v>44.930366650395101</v>
      </c>
      <c r="P3259">
        <v>-7.6937095101419606E-2</v>
      </c>
      <c r="Q3259">
        <v>8.6054960257357302E-2</v>
      </c>
      <c r="R3259">
        <v>0.981021565391341</v>
      </c>
      <c r="S3259" t="s">
        <v>10262</v>
      </c>
      <c r="T3259" t="s">
        <v>14004</v>
      </c>
      <c r="U3259" t="s">
        <v>14004</v>
      </c>
      <c r="V3259" t="s">
        <v>14004</v>
      </c>
      <c r="W3259" t="s">
        <v>17220</v>
      </c>
      <c r="X3259">
        <v>9</v>
      </c>
      <c r="Y3259" t="s">
        <v>24081</v>
      </c>
      <c r="Z3259" t="s">
        <v>30969</v>
      </c>
      <c r="AA3259">
        <v>0.28680095333281208</v>
      </c>
      <c r="AB3259" t="str">
        <f>HYPERLINK("Melting_Curves/meltCurve_Q00653_4_NFKB2.pdf", "Melting_Curves/meltCurve_Q00653_4_NFKB2.pdf")</f>
        <v>Melting_Curves/meltCurve_Q00653_4_NFKB2.pdf</v>
      </c>
    </row>
    <row r="3260" spans="1:28" x14ac:dyDescent="0.25">
      <c r="A3260" t="s">
        <v>3264</v>
      </c>
      <c r="B3260">
        <v>0.99999676499088797</v>
      </c>
      <c r="C3260">
        <v>0.94683016711689505</v>
      </c>
      <c r="D3260">
        <v>0.89902099271897595</v>
      </c>
      <c r="E3260">
        <v>0.79225221892922104</v>
      </c>
      <c r="F3260">
        <v>0.52180013112673096</v>
      </c>
      <c r="G3260">
        <v>0.34804125879412001</v>
      </c>
      <c r="H3260">
        <v>0.16001753532815999</v>
      </c>
      <c r="I3260">
        <v>0.18885405118055901</v>
      </c>
      <c r="J3260">
        <v>0.201112275852703</v>
      </c>
      <c r="K3260">
        <v>0.21733990148619201</v>
      </c>
      <c r="L3260">
        <v>950.41695230909602</v>
      </c>
      <c r="M3260">
        <v>18.1856288977079</v>
      </c>
      <c r="N3260">
        <v>53.485821500137</v>
      </c>
      <c r="O3260">
        <v>51.642327187845503</v>
      </c>
      <c r="P3260">
        <v>-7.3056250771175904E-2</v>
      </c>
      <c r="Q3260">
        <v>0.17019838768958101</v>
      </c>
      <c r="R3260">
        <v>0.99050212580647501</v>
      </c>
      <c r="S3260" t="s">
        <v>10263</v>
      </c>
      <c r="T3260" t="s">
        <v>14004</v>
      </c>
      <c r="U3260" t="s">
        <v>14004</v>
      </c>
      <c r="V3260" t="s">
        <v>14004</v>
      </c>
      <c r="W3260" t="s">
        <v>17221</v>
      </c>
      <c r="X3260">
        <v>25</v>
      </c>
      <c r="Y3260" t="s">
        <v>24082</v>
      </c>
      <c r="Z3260" t="s">
        <v>30970</v>
      </c>
      <c r="AA3260">
        <v>0.52288670669086246</v>
      </c>
      <c r="AB3260" t="str">
        <f>HYPERLINK("Melting_Curves/meltCurve_Q00688_FKBP3.pdf", "Melting_Curves/meltCurve_Q00688_FKBP3.pdf")</f>
        <v>Melting_Curves/meltCurve_Q00688_FKBP3.pdf</v>
      </c>
    </row>
    <row r="3261" spans="1:28" x14ac:dyDescent="0.25">
      <c r="A3261" t="s">
        <v>3265</v>
      </c>
      <c r="B3261">
        <v>0.99999676499088797</v>
      </c>
      <c r="C3261">
        <v>0.98741746332331604</v>
      </c>
      <c r="D3261">
        <v>0.92106168046679004</v>
      </c>
      <c r="E3261">
        <v>0.73872931480229298</v>
      </c>
      <c r="F3261">
        <v>0.75917801942441099</v>
      </c>
      <c r="G3261">
        <v>0.66781533159936501</v>
      </c>
      <c r="H3261">
        <v>0.52073593536715002</v>
      </c>
      <c r="I3261">
        <v>0.48267727394402499</v>
      </c>
      <c r="J3261">
        <v>0.40301960240618601</v>
      </c>
      <c r="K3261">
        <v>0.37293245197572999</v>
      </c>
      <c r="L3261">
        <v>431.21469053372198</v>
      </c>
      <c r="M3261">
        <v>7.37746449792823</v>
      </c>
      <c r="N3261">
        <v>62.438269829952802</v>
      </c>
      <c r="O3261">
        <v>54.616185485196198</v>
      </c>
      <c r="P3261">
        <v>-2.7466995196453299E-2</v>
      </c>
      <c r="Q3261">
        <v>0.187876220298273</v>
      </c>
      <c r="R3261">
        <v>0.97461730265886304</v>
      </c>
      <c r="S3261" t="s">
        <v>10264</v>
      </c>
      <c r="T3261" t="s">
        <v>14004</v>
      </c>
      <c r="U3261" t="s">
        <v>14004</v>
      </c>
      <c r="V3261" t="s">
        <v>14004</v>
      </c>
      <c r="W3261" t="s">
        <v>17222</v>
      </c>
      <c r="X3261">
        <v>9</v>
      </c>
      <c r="Y3261" t="s">
        <v>24083</v>
      </c>
      <c r="Z3261" t="s">
        <v>30971</v>
      </c>
      <c r="AA3261">
        <v>0.68421878447826789</v>
      </c>
      <c r="AB3261" t="str">
        <f>HYPERLINK("Melting_Curves/meltCurve_Q00765_REEP5.pdf", "Melting_Curves/meltCurve_Q00765_REEP5.pdf")</f>
        <v>Melting_Curves/meltCurve_Q00765_REEP5.pdf</v>
      </c>
    </row>
    <row r="3262" spans="1:28" x14ac:dyDescent="0.25">
      <c r="A3262" t="s">
        <v>3266</v>
      </c>
      <c r="B3262">
        <v>0.99999676499088797</v>
      </c>
      <c r="C3262">
        <v>1.09525097580132</v>
      </c>
      <c r="D3262">
        <v>1.02360984297813</v>
      </c>
      <c r="E3262">
        <v>0.94364296934796599</v>
      </c>
      <c r="F3262">
        <v>0.87542929656065405</v>
      </c>
      <c r="G3262">
        <v>0.84206917040365203</v>
      </c>
      <c r="H3262">
        <v>0.51744258797074705</v>
      </c>
      <c r="I3262">
        <v>0.39282139185002002</v>
      </c>
      <c r="J3262">
        <v>0.19887068060348301</v>
      </c>
      <c r="K3262">
        <v>0.124761875495998</v>
      </c>
      <c r="L3262">
        <v>970.01486087439503</v>
      </c>
      <c r="M3262">
        <v>15.742525639637201</v>
      </c>
      <c r="N3262">
        <v>61.617486541415097</v>
      </c>
      <c r="O3262">
        <v>60.6488911992315</v>
      </c>
      <c r="P3262">
        <v>-6.4897459366182006E-2</v>
      </c>
      <c r="Q3262">
        <v>0</v>
      </c>
      <c r="R3262">
        <v>0.98378940911586898</v>
      </c>
      <c r="S3262" t="s">
        <v>10265</v>
      </c>
      <c r="T3262" t="s">
        <v>14004</v>
      </c>
      <c r="U3262" t="s">
        <v>14004</v>
      </c>
      <c r="V3262" t="s">
        <v>14004</v>
      </c>
      <c r="W3262" t="s">
        <v>14973</v>
      </c>
      <c r="X3262">
        <v>26</v>
      </c>
      <c r="Y3262" t="s">
        <v>21907</v>
      </c>
      <c r="Z3262" t="s">
        <v>30972</v>
      </c>
      <c r="AA3262">
        <v>0.72110860474130511</v>
      </c>
      <c r="AB3262" t="str">
        <f>HYPERLINK("Melting_Curves/meltCurve_Q00796_SORD.pdf", "Melting_Curves/meltCurve_Q00796_SORD.pdf")</f>
        <v>Melting_Curves/meltCurve_Q00796_SORD.pdf</v>
      </c>
    </row>
    <row r="3263" spans="1:28" x14ac:dyDescent="0.25">
      <c r="A3263" t="s">
        <v>3267</v>
      </c>
      <c r="B3263">
        <v>0.99999676499088797</v>
      </c>
      <c r="C3263">
        <v>1.0338598524893099</v>
      </c>
      <c r="D3263">
        <v>1.0632014066336199</v>
      </c>
      <c r="E3263">
        <v>0.44107552606970402</v>
      </c>
      <c r="F3263">
        <v>0.239903618149997</v>
      </c>
      <c r="G3263">
        <v>0.16479205794798399</v>
      </c>
      <c r="H3263">
        <v>7.76095116039376E-2</v>
      </c>
      <c r="I3263">
        <v>7.4092264458421805E-2</v>
      </c>
      <c r="J3263">
        <v>8.1410671645986796E-2</v>
      </c>
      <c r="K3263">
        <v>7.2610693467175594E-2</v>
      </c>
      <c r="L3263">
        <v>3166.5951510784398</v>
      </c>
      <c r="M3263">
        <v>64.350120749275803</v>
      </c>
      <c r="N3263">
        <v>49.4123752464494</v>
      </c>
      <c r="O3263">
        <v>49.161388570166601</v>
      </c>
      <c r="P3263">
        <v>-0.28914269011563198</v>
      </c>
      <c r="Q3263">
        <v>0.116418034982055</v>
      </c>
      <c r="R3263">
        <v>0.98298743742356798</v>
      </c>
      <c r="S3263" t="s">
        <v>10266</v>
      </c>
      <c r="T3263" t="s">
        <v>14004</v>
      </c>
      <c r="U3263" t="s">
        <v>14004</v>
      </c>
      <c r="V3263" t="s">
        <v>14004</v>
      </c>
      <c r="W3263" t="s">
        <v>17223</v>
      </c>
      <c r="X3263">
        <v>28</v>
      </c>
      <c r="Y3263" t="s">
        <v>24084</v>
      </c>
      <c r="Z3263" t="s">
        <v>30973</v>
      </c>
      <c r="AA3263">
        <v>0.38879903139672328</v>
      </c>
      <c r="AB3263" t="str">
        <f>HYPERLINK("Melting_Curves/meltCurve_Q00839_2_HNRNPU.pdf", "Melting_Curves/meltCurve_Q00839_2_HNRNPU.pdf")</f>
        <v>Melting_Curves/meltCurve_Q00839_2_HNRNPU.pdf</v>
      </c>
    </row>
    <row r="3264" spans="1:28" x14ac:dyDescent="0.25">
      <c r="A3264" t="s">
        <v>3268</v>
      </c>
      <c r="B3264">
        <v>0.99999676499088797</v>
      </c>
      <c r="C3264">
        <v>0.96623350060057001</v>
      </c>
      <c r="D3264">
        <v>0.76235334800308296</v>
      </c>
      <c r="E3264">
        <v>0.390851072680092</v>
      </c>
      <c r="F3264">
        <v>0.20249766054185001</v>
      </c>
      <c r="G3264">
        <v>0.12603637891128899</v>
      </c>
      <c r="H3264">
        <v>6.50033895753932E-2</v>
      </c>
      <c r="I3264">
        <v>6.7276931077161803E-2</v>
      </c>
      <c r="J3264">
        <v>6.6680535422905196E-2</v>
      </c>
      <c r="K3264">
        <v>6.3265152213321199E-2</v>
      </c>
      <c r="L3264">
        <v>1040.11326167624</v>
      </c>
      <c r="M3264">
        <v>21.526516077107502</v>
      </c>
      <c r="N3264">
        <v>48.6491617072585</v>
      </c>
      <c r="O3264">
        <v>47.906594118119401</v>
      </c>
      <c r="P3264">
        <v>-0.104677598659809</v>
      </c>
      <c r="Q3264">
        <v>6.8195691707903405E-2</v>
      </c>
      <c r="R3264">
        <v>0.99841146003735803</v>
      </c>
      <c r="S3264" t="s">
        <v>10267</v>
      </c>
      <c r="T3264" t="s">
        <v>14004</v>
      </c>
      <c r="U3264" t="s">
        <v>14004</v>
      </c>
      <c r="V3264" t="s">
        <v>14004</v>
      </c>
      <c r="W3264" t="s">
        <v>17224</v>
      </c>
      <c r="X3264">
        <v>12</v>
      </c>
      <c r="Y3264" t="s">
        <v>24085</v>
      </c>
      <c r="Z3264" t="s">
        <v>30974</v>
      </c>
      <c r="AA3264">
        <v>0.33782877065978473</v>
      </c>
      <c r="AB3264" t="str">
        <f>HYPERLINK("Melting_Curves/meltCurve_Q01081_U2AF1.pdf", "Melting_Curves/meltCurve_Q01081_U2AF1.pdf")</f>
        <v>Melting_Curves/meltCurve_Q01081_U2AF1.pdf</v>
      </c>
    </row>
    <row r="3265" spans="1:28" x14ac:dyDescent="0.25">
      <c r="A3265" t="s">
        <v>3269</v>
      </c>
      <c r="B3265">
        <v>0.99999676499088797</v>
      </c>
      <c r="C3265">
        <v>0.96272500624505797</v>
      </c>
      <c r="D3265">
        <v>1.02509991695904</v>
      </c>
      <c r="E3265">
        <v>0.89736492563304504</v>
      </c>
      <c r="F3265">
        <v>0.310753284544874</v>
      </c>
      <c r="G3265">
        <v>0.19616131572147</v>
      </c>
      <c r="H3265">
        <v>9.0944640311361805E-2</v>
      </c>
      <c r="I3265">
        <v>8.4965697113727798E-2</v>
      </c>
      <c r="J3265">
        <v>8.14491178264381E-2</v>
      </c>
      <c r="K3265">
        <v>7.3829182293788903E-2</v>
      </c>
      <c r="L3265">
        <v>2205.9736477635302</v>
      </c>
      <c r="M3265">
        <v>42.542475259996102</v>
      </c>
      <c r="N3265">
        <v>52.121323672881203</v>
      </c>
      <c r="O3265">
        <v>51.7392554527421</v>
      </c>
      <c r="P3265">
        <v>-0.18537625597000101</v>
      </c>
      <c r="Q3265">
        <v>9.8198754205905694E-2</v>
      </c>
      <c r="R3265">
        <v>0.99440361664087495</v>
      </c>
      <c r="S3265" t="s">
        <v>10268</v>
      </c>
      <c r="T3265" t="s">
        <v>14004</v>
      </c>
      <c r="U3265" t="s">
        <v>14004</v>
      </c>
      <c r="V3265" t="s">
        <v>14004</v>
      </c>
      <c r="W3265" t="s">
        <v>17225</v>
      </c>
      <c r="X3265">
        <v>150</v>
      </c>
      <c r="Y3265" t="s">
        <v>24086</v>
      </c>
      <c r="Z3265" t="s">
        <v>30975</v>
      </c>
      <c r="AA3265">
        <v>0.45736790062592048</v>
      </c>
      <c r="AB3265" t="str">
        <f>HYPERLINK("Melting_Curves/meltCurve_Q01082_SPTBN1.pdf", "Melting_Curves/meltCurve_Q01082_SPTBN1.pdf")</f>
        <v>Melting_Curves/meltCurve_Q01082_SPTBN1.pdf</v>
      </c>
    </row>
    <row r="3266" spans="1:28" x14ac:dyDescent="0.25">
      <c r="A3266" t="s">
        <v>3270</v>
      </c>
      <c r="B3266">
        <v>0.99999676499088797</v>
      </c>
      <c r="C3266">
        <v>1.0391334543953801</v>
      </c>
      <c r="D3266">
        <v>1.0899678346886601</v>
      </c>
      <c r="E3266">
        <v>0.92407936302584903</v>
      </c>
      <c r="F3266">
        <v>0.30257999250253298</v>
      </c>
      <c r="G3266">
        <v>0.11670759258444099</v>
      </c>
      <c r="H3266">
        <v>4.3506889974262497E-2</v>
      </c>
      <c r="I3266">
        <v>3.4457426513756099E-2</v>
      </c>
      <c r="J3266">
        <v>6.3002034608309998E-2</v>
      </c>
      <c r="K3266">
        <v>5.5518443915736002E-2</v>
      </c>
      <c r="L3266">
        <v>2494.83900862377</v>
      </c>
      <c r="M3266">
        <v>47.911502552159597</v>
      </c>
      <c r="N3266">
        <v>52.206338816959303</v>
      </c>
      <c r="O3266">
        <v>51.981343606493503</v>
      </c>
      <c r="P3266">
        <v>-0.21704604105387801</v>
      </c>
      <c r="Q3266">
        <v>5.8068915881757603E-2</v>
      </c>
      <c r="R3266">
        <v>0.99390550814030598</v>
      </c>
      <c r="S3266" t="s">
        <v>10269</v>
      </c>
      <c r="T3266" t="s">
        <v>14004</v>
      </c>
      <c r="U3266" t="s">
        <v>14004</v>
      </c>
      <c r="V3266" t="s">
        <v>14004</v>
      </c>
      <c r="W3266" t="s">
        <v>17226</v>
      </c>
      <c r="X3266">
        <v>142</v>
      </c>
      <c r="Y3266" t="s">
        <v>24086</v>
      </c>
      <c r="Z3266" t="s">
        <v>30976</v>
      </c>
      <c r="AA3266">
        <v>0.43945339989074661</v>
      </c>
      <c r="AB3266" t="str">
        <f>HYPERLINK("Melting_Curves/meltCurve_Q01082_3_SPTBN1.pdf", "Melting_Curves/meltCurve_Q01082_3_SPTBN1.pdf")</f>
        <v>Melting_Curves/meltCurve_Q01082_3_SPTBN1.pdf</v>
      </c>
    </row>
    <row r="3267" spans="1:28" x14ac:dyDescent="0.25">
      <c r="A3267" t="s">
        <v>3271</v>
      </c>
      <c r="B3267">
        <v>0.99999676499088797</v>
      </c>
      <c r="C3267">
        <v>1.00414879150787</v>
      </c>
      <c r="D3267">
        <v>1.00098350343922</v>
      </c>
      <c r="E3267">
        <v>0.83026349850799397</v>
      </c>
      <c r="F3267">
        <v>0.38490039648072699</v>
      </c>
      <c r="G3267">
        <v>0.19446885720023199</v>
      </c>
      <c r="H3267">
        <v>8.99908148610718E-2</v>
      </c>
      <c r="I3267">
        <v>8.6917300195768293E-2</v>
      </c>
      <c r="J3267">
        <v>7.8461387842238994E-2</v>
      </c>
      <c r="K3267">
        <v>6.3285074633997199E-2</v>
      </c>
      <c r="L3267">
        <v>1491.73879213854</v>
      </c>
      <c r="M3267">
        <v>28.646976072497299</v>
      </c>
      <c r="N3267">
        <v>52.392435495094396</v>
      </c>
      <c r="O3267">
        <v>51.821397782267503</v>
      </c>
      <c r="P3267">
        <v>-0.12713344206729199</v>
      </c>
      <c r="Q3267">
        <v>8.0087074698534794E-2</v>
      </c>
      <c r="R3267">
        <v>0.99841616675407097</v>
      </c>
      <c r="S3267" t="s">
        <v>10270</v>
      </c>
      <c r="T3267" t="s">
        <v>14004</v>
      </c>
      <c r="U3267" t="s">
        <v>14004</v>
      </c>
      <c r="V3267" t="s">
        <v>14004</v>
      </c>
      <c r="W3267" t="s">
        <v>17227</v>
      </c>
      <c r="X3267">
        <v>17</v>
      </c>
      <c r="Y3267" t="s">
        <v>24087</v>
      </c>
      <c r="Z3267" t="s">
        <v>30977</v>
      </c>
      <c r="AA3267">
        <v>0.45674189322068609</v>
      </c>
      <c r="AB3267" t="str">
        <f>HYPERLINK("Melting_Curves/meltCurve_Q01085_2_TIAL1.pdf", "Melting_Curves/meltCurve_Q01085_2_TIAL1.pdf")</f>
        <v>Melting_Curves/meltCurve_Q01085_2_TIAL1.pdf</v>
      </c>
    </row>
    <row r="3268" spans="1:28" x14ac:dyDescent="0.25">
      <c r="A3268" t="s">
        <v>3272</v>
      </c>
      <c r="B3268">
        <v>0.99999676499088797</v>
      </c>
      <c r="C3268">
        <v>0.90847490936160702</v>
      </c>
      <c r="D3268">
        <v>0.96805631540000603</v>
      </c>
      <c r="E3268">
        <v>1.01494410488875</v>
      </c>
      <c r="F3268">
        <v>1.1029796212624601</v>
      </c>
      <c r="G3268">
        <v>0.76500974855790005</v>
      </c>
      <c r="H3268">
        <v>0.54149471236059699</v>
      </c>
      <c r="I3268">
        <v>0.23772921383350201</v>
      </c>
      <c r="J3268">
        <v>0.175983789634161</v>
      </c>
      <c r="K3268">
        <v>0.207485733140511</v>
      </c>
      <c r="L3268">
        <v>1654.17619556826</v>
      </c>
      <c r="M3268">
        <v>27.657511756976401</v>
      </c>
      <c r="N3268">
        <v>60.6505299546711</v>
      </c>
      <c r="O3268">
        <v>59.499237191159303</v>
      </c>
      <c r="P3268">
        <v>-9.7697831476414296E-2</v>
      </c>
      <c r="Q3268">
        <v>0.15930338949056899</v>
      </c>
      <c r="R3268">
        <v>0.96852693967138104</v>
      </c>
      <c r="S3268" t="s">
        <v>10271</v>
      </c>
      <c r="T3268" t="s">
        <v>14004</v>
      </c>
      <c r="U3268" t="s">
        <v>14004</v>
      </c>
      <c r="V3268" t="s">
        <v>14004</v>
      </c>
      <c r="W3268" t="s">
        <v>17228</v>
      </c>
      <c r="X3268">
        <v>15</v>
      </c>
      <c r="Y3268" t="s">
        <v>24088</v>
      </c>
      <c r="Z3268" t="s">
        <v>30978</v>
      </c>
      <c r="AA3268">
        <v>0.72015614586972443</v>
      </c>
      <c r="AB3268" t="str">
        <f>HYPERLINK("Melting_Curves/meltCurve_Q01105_2_SET.pdf", "Melting_Curves/meltCurve_Q01105_2_SET.pdf")</f>
        <v>Melting_Curves/meltCurve_Q01105_2_SET.pdf</v>
      </c>
    </row>
    <row r="3269" spans="1:28" x14ac:dyDescent="0.25">
      <c r="A3269" t="s">
        <v>3273</v>
      </c>
      <c r="B3269">
        <v>0.99999676499088797</v>
      </c>
      <c r="C3269">
        <v>1.1790380448912301</v>
      </c>
      <c r="D3269">
        <v>1.1016108487894001</v>
      </c>
      <c r="E3269">
        <v>1.0747230495248501</v>
      </c>
      <c r="F3269">
        <v>1.0131824126709701</v>
      </c>
      <c r="G3269">
        <v>0.83554606820450805</v>
      </c>
      <c r="H3269">
        <v>0.56782911034224404</v>
      </c>
      <c r="I3269">
        <v>0.52978330538393503</v>
      </c>
      <c r="J3269">
        <v>0.44543754369917599</v>
      </c>
      <c r="K3269">
        <v>0.57485373468972001</v>
      </c>
      <c r="L3269">
        <v>2629.0990091489798</v>
      </c>
      <c r="M3269">
        <v>45.575241044957998</v>
      </c>
      <c r="O3269">
        <v>57.576265769134402</v>
      </c>
      <c r="P3269">
        <v>-9.5633945753294203E-2</v>
      </c>
      <c r="Q3269">
        <v>0.51673421200787495</v>
      </c>
      <c r="R3269">
        <v>0.91697776715447699</v>
      </c>
      <c r="S3269" t="s">
        <v>10272</v>
      </c>
      <c r="T3269" t="s">
        <v>14004</v>
      </c>
      <c r="U3269" t="s">
        <v>14004</v>
      </c>
      <c r="V3269" t="s">
        <v>14004</v>
      </c>
      <c r="W3269" t="s">
        <v>17229</v>
      </c>
      <c r="X3269">
        <v>3</v>
      </c>
      <c r="Y3269" t="s">
        <v>24089</v>
      </c>
      <c r="Z3269" t="s">
        <v>30979</v>
      </c>
      <c r="AA3269">
        <v>0.80312295330381533</v>
      </c>
      <c r="AB3269" t="str">
        <f>HYPERLINK("Melting_Curves/meltCurve_Q01151_CD83.pdf", "Melting_Curves/meltCurve_Q01151_CD83.pdf")</f>
        <v>Melting_Curves/meltCurve_Q01151_CD83.pdf</v>
      </c>
    </row>
    <row r="3270" spans="1:28" x14ac:dyDescent="0.25">
      <c r="A3270" t="s">
        <v>3274</v>
      </c>
      <c r="B3270">
        <v>0.99999676499088797</v>
      </c>
      <c r="C3270">
        <v>0.64615311024841005</v>
      </c>
      <c r="D3270">
        <v>0.31104087531949498</v>
      </c>
      <c r="E3270">
        <v>0.153035062947915</v>
      </c>
      <c r="F3270">
        <v>9.5774959862621606E-2</v>
      </c>
      <c r="G3270">
        <v>6.2887329215589996E-2</v>
      </c>
      <c r="H3270">
        <v>3.1446640510019899E-2</v>
      </c>
      <c r="I3270">
        <v>3.8366341918352101E-2</v>
      </c>
      <c r="J3270">
        <v>3.7273303469463101E-2</v>
      </c>
      <c r="K3270">
        <v>2.6745540906466799E-2</v>
      </c>
      <c r="L3270">
        <v>1046.2754432414599</v>
      </c>
      <c r="M3270">
        <v>23.701087023283101</v>
      </c>
      <c r="N3270">
        <v>44.339076551652198</v>
      </c>
      <c r="O3270">
        <v>43.8339603362625</v>
      </c>
      <c r="P3270">
        <v>-0.128504996145971</v>
      </c>
      <c r="Q3270">
        <v>4.9361922837236498E-2</v>
      </c>
      <c r="R3270">
        <v>0.98921357250143205</v>
      </c>
      <c r="S3270" t="s">
        <v>10273</v>
      </c>
      <c r="T3270" t="s">
        <v>14004</v>
      </c>
      <c r="U3270" t="s">
        <v>14004</v>
      </c>
      <c r="V3270" t="s">
        <v>14004</v>
      </c>
      <c r="W3270" t="s">
        <v>17230</v>
      </c>
      <c r="X3270">
        <v>8</v>
      </c>
      <c r="Y3270" t="s">
        <v>24090</v>
      </c>
      <c r="Z3270" t="s">
        <v>30980</v>
      </c>
      <c r="AA3270">
        <v>0.19278420313426031</v>
      </c>
      <c r="AB3270" t="str">
        <f>HYPERLINK("Melting_Curves/meltCurve_Q01167_FOXK2.pdf", "Melting_Curves/meltCurve_Q01167_FOXK2.pdf")</f>
        <v>Melting_Curves/meltCurve_Q01167_FOXK2.pdf</v>
      </c>
    </row>
    <row r="3271" spans="1:28" x14ac:dyDescent="0.25">
      <c r="A3271" t="s">
        <v>3275</v>
      </c>
      <c r="B3271">
        <v>0.99999676499088797</v>
      </c>
      <c r="C3271">
        <v>0.75479776390502396</v>
      </c>
      <c r="D3271">
        <v>0.56921790082583401</v>
      </c>
      <c r="E3271">
        <v>0.38234207457463398</v>
      </c>
      <c r="F3271">
        <v>0.22937991442230701</v>
      </c>
      <c r="G3271">
        <v>0.16109756012528001</v>
      </c>
      <c r="H3271">
        <v>8.6055763977771205E-2</v>
      </c>
      <c r="I3271">
        <v>9.6032189943498894E-2</v>
      </c>
      <c r="J3271">
        <v>0.10074248240247199</v>
      </c>
      <c r="K3271">
        <v>8.8217803690664398E-2</v>
      </c>
      <c r="L3271">
        <v>658.62958276124698</v>
      </c>
      <c r="M3271">
        <v>14.1030811471345</v>
      </c>
      <c r="N3271">
        <v>47.287196533869</v>
      </c>
      <c r="O3271">
        <v>45.792203161013603</v>
      </c>
      <c r="P3271">
        <v>-7.0830229524416893E-2</v>
      </c>
      <c r="Q3271">
        <v>8.0184927777703197E-2</v>
      </c>
      <c r="R3271">
        <v>0.98963233337824497</v>
      </c>
      <c r="S3271" t="s">
        <v>10274</v>
      </c>
      <c r="T3271" t="s">
        <v>14004</v>
      </c>
      <c r="U3271" t="s">
        <v>14004</v>
      </c>
      <c r="V3271" t="s">
        <v>14004</v>
      </c>
      <c r="W3271" t="s">
        <v>17231</v>
      </c>
      <c r="X3271">
        <v>9</v>
      </c>
      <c r="Y3271" t="s">
        <v>24091</v>
      </c>
      <c r="Z3271" t="s">
        <v>30981</v>
      </c>
      <c r="AA3271">
        <v>0.31455592835727603</v>
      </c>
      <c r="AB3271" t="str">
        <f>HYPERLINK("Melting_Curves/meltCurve_Q01196_RUNX1.pdf", "Melting_Curves/meltCurve_Q01196_RUNX1.pdf")</f>
        <v>Melting_Curves/meltCurve_Q01196_RUNX1.pdf</v>
      </c>
    </row>
    <row r="3272" spans="1:28" x14ac:dyDescent="0.25">
      <c r="A3272" t="s">
        <v>3276</v>
      </c>
      <c r="B3272">
        <v>0.99999676499088797</v>
      </c>
      <c r="C3272">
        <v>1.05492455458603</v>
      </c>
      <c r="D3272">
        <v>1.0781897139812999</v>
      </c>
      <c r="E3272">
        <v>1.09274527431324</v>
      </c>
      <c r="F3272">
        <v>1.05718744708614</v>
      </c>
      <c r="G3272">
        <v>0.68682562795125601</v>
      </c>
      <c r="H3272">
        <v>0.16723020018892201</v>
      </c>
      <c r="I3272">
        <v>0.103174608054939</v>
      </c>
      <c r="J3272">
        <v>8.4238773419478205E-2</v>
      </c>
      <c r="K3272">
        <v>7.0373587673552299E-2</v>
      </c>
      <c r="L3272">
        <v>2884.2057949587202</v>
      </c>
      <c r="M3272">
        <v>50.0796907981914</v>
      </c>
      <c r="N3272">
        <v>57.817191808634398</v>
      </c>
      <c r="O3272">
        <v>57.5007133075922</v>
      </c>
      <c r="P3272">
        <v>-0.19846803630398399</v>
      </c>
      <c r="Q3272">
        <v>8.8489262828346502E-2</v>
      </c>
      <c r="R3272">
        <v>0.98822990256982601</v>
      </c>
      <c r="S3272" t="s">
        <v>10275</v>
      </c>
      <c r="T3272" t="s">
        <v>14004</v>
      </c>
      <c r="U3272" t="s">
        <v>14004</v>
      </c>
      <c r="V3272" t="s">
        <v>14004</v>
      </c>
      <c r="W3272" t="s">
        <v>17232</v>
      </c>
      <c r="X3272">
        <v>8</v>
      </c>
      <c r="Y3272" t="s">
        <v>24092</v>
      </c>
      <c r="Z3272" t="s">
        <v>30982</v>
      </c>
      <c r="AA3272">
        <v>0.62530964802930644</v>
      </c>
      <c r="AB3272" t="str">
        <f>HYPERLINK("Melting_Curves/meltCurve_Q01415_GALK2.pdf", "Melting_Curves/meltCurve_Q01415_GALK2.pdf")</f>
        <v>Melting_Curves/meltCurve_Q01415_GALK2.pdf</v>
      </c>
    </row>
    <row r="3273" spans="1:28" x14ac:dyDescent="0.25">
      <c r="A3273" t="s">
        <v>3277</v>
      </c>
      <c r="B3273">
        <v>0.99999676499088797</v>
      </c>
      <c r="C3273">
        <v>1.00878118072306</v>
      </c>
      <c r="D3273">
        <v>0.99177628487085401</v>
      </c>
      <c r="E3273">
        <v>1.0898709229752099</v>
      </c>
      <c r="F3273">
        <v>0.60616189387334896</v>
      </c>
      <c r="G3273">
        <v>0.240840065695275</v>
      </c>
      <c r="H3273">
        <v>0.10613895348971999</v>
      </c>
      <c r="I3273">
        <v>0.102548495723361</v>
      </c>
      <c r="J3273">
        <v>9.2116485485319893E-2</v>
      </c>
      <c r="K3273">
        <v>7.6594378271439903E-2</v>
      </c>
      <c r="L3273">
        <v>2168.5119119032202</v>
      </c>
      <c r="M3273">
        <v>40.3532431680892</v>
      </c>
      <c r="N3273">
        <v>54.0381911431137</v>
      </c>
      <c r="O3273">
        <v>53.606776736957698</v>
      </c>
      <c r="P3273">
        <v>-0.16930679777252799</v>
      </c>
      <c r="Q3273">
        <v>0.10034773790816</v>
      </c>
      <c r="R3273">
        <v>0.98974914835621897</v>
      </c>
      <c r="S3273" t="s">
        <v>10276</v>
      </c>
      <c r="T3273" t="s">
        <v>14004</v>
      </c>
      <c r="U3273" t="s">
        <v>14004</v>
      </c>
      <c r="V3273" t="s">
        <v>14004</v>
      </c>
      <c r="W3273" t="s">
        <v>17233</v>
      </c>
      <c r="X3273">
        <v>11</v>
      </c>
      <c r="Y3273" t="s">
        <v>24093</v>
      </c>
      <c r="Z3273" t="s">
        <v>30983</v>
      </c>
      <c r="AA3273">
        <v>0.51561326961807386</v>
      </c>
      <c r="AB3273" t="str">
        <f>HYPERLINK("Melting_Curves/meltCurve_Q01432_AMPD3.pdf", "Melting_Curves/meltCurve_Q01432_AMPD3.pdf")</f>
        <v>Melting_Curves/meltCurve_Q01432_AMPD3.pdf</v>
      </c>
    </row>
    <row r="3274" spans="1:28" x14ac:dyDescent="0.25">
      <c r="A3274" t="s">
        <v>3278</v>
      </c>
      <c r="B3274">
        <v>0.99999676499088797</v>
      </c>
      <c r="C3274">
        <v>1.03150908448675</v>
      </c>
      <c r="D3274">
        <v>1.0636400145762599</v>
      </c>
      <c r="E3274">
        <v>1.1536923229455001</v>
      </c>
      <c r="F3274">
        <v>0.97915534410071103</v>
      </c>
      <c r="G3274">
        <v>0.50218270055853698</v>
      </c>
      <c r="H3274">
        <v>0.15953018466994801</v>
      </c>
      <c r="I3274">
        <v>0.134232075891104</v>
      </c>
      <c r="J3274">
        <v>0.121238703071921</v>
      </c>
      <c r="K3274">
        <v>0.10841993202790499</v>
      </c>
      <c r="L3274">
        <v>3123.18902755524</v>
      </c>
      <c r="M3274">
        <v>55.254180225903703</v>
      </c>
      <c r="N3274">
        <v>56.821855454872598</v>
      </c>
      <c r="O3274">
        <v>56.450136441093903</v>
      </c>
      <c r="P3274">
        <v>-0.21393948725306899</v>
      </c>
      <c r="Q3274">
        <v>0.12571998668891601</v>
      </c>
      <c r="R3274">
        <v>0.98446475665448296</v>
      </c>
      <c r="S3274" t="s">
        <v>10277</v>
      </c>
      <c r="T3274" t="s">
        <v>14004</v>
      </c>
      <c r="U3274" t="s">
        <v>14004</v>
      </c>
      <c r="V3274" t="s">
        <v>14004</v>
      </c>
      <c r="W3274" t="s">
        <v>17234</v>
      </c>
      <c r="X3274">
        <v>34</v>
      </c>
      <c r="Y3274" t="s">
        <v>24094</v>
      </c>
      <c r="Z3274" t="s">
        <v>30984</v>
      </c>
      <c r="AA3274">
        <v>0.60905635512209622</v>
      </c>
      <c r="AB3274" t="str">
        <f>HYPERLINK("Melting_Curves/meltCurve_Q01433_AMPD2.pdf", "Melting_Curves/meltCurve_Q01433_AMPD2.pdf")</f>
        <v>Melting_Curves/meltCurve_Q01433_AMPD2.pdf</v>
      </c>
    </row>
    <row r="3275" spans="1:28" x14ac:dyDescent="0.25">
      <c r="A3275" t="s">
        <v>3279</v>
      </c>
      <c r="B3275">
        <v>0.99999676499088797</v>
      </c>
      <c r="C3275">
        <v>0.96320976615917497</v>
      </c>
      <c r="D3275">
        <v>0.96832332770914897</v>
      </c>
      <c r="E3275">
        <v>1.05520376085414</v>
      </c>
      <c r="F3275">
        <v>1.0163232560331299</v>
      </c>
      <c r="G3275">
        <v>0.67868605145663397</v>
      </c>
      <c r="H3275">
        <v>0.185066194416942</v>
      </c>
      <c r="I3275">
        <v>0.175972395833912</v>
      </c>
      <c r="J3275">
        <v>0.15838063228316501</v>
      </c>
      <c r="K3275">
        <v>0.15747781736116001</v>
      </c>
      <c r="L3275">
        <v>4045.37224168991</v>
      </c>
      <c r="M3275">
        <v>70.749620188438698</v>
      </c>
      <c r="N3275">
        <v>57.5066182990724</v>
      </c>
      <c r="O3275">
        <v>57.1330858567595</v>
      </c>
      <c r="P3275">
        <v>-0.25819692364019903</v>
      </c>
      <c r="Q3275">
        <v>0.16598377969160499</v>
      </c>
      <c r="R3275">
        <v>0.99605183301853994</v>
      </c>
      <c r="S3275" t="s">
        <v>10278</v>
      </c>
      <c r="T3275" t="s">
        <v>14004</v>
      </c>
      <c r="U3275" t="s">
        <v>14004</v>
      </c>
      <c r="V3275" t="s">
        <v>14004</v>
      </c>
      <c r="W3275" t="s">
        <v>17235</v>
      </c>
      <c r="X3275">
        <v>11</v>
      </c>
      <c r="Y3275" t="s">
        <v>24095</v>
      </c>
      <c r="Z3275" t="s">
        <v>30985</v>
      </c>
      <c r="AA3275">
        <v>0.6446088779793353</v>
      </c>
      <c r="AB3275" t="str">
        <f>HYPERLINK("Melting_Curves/meltCurve_Q01459_CTBS.pdf", "Melting_Curves/meltCurve_Q01459_CTBS.pdf")</f>
        <v>Melting_Curves/meltCurve_Q01459_CTBS.pdf</v>
      </c>
    </row>
    <row r="3276" spans="1:28" x14ac:dyDescent="0.25">
      <c r="A3276" t="s">
        <v>3280</v>
      </c>
      <c r="B3276">
        <v>0.99999676499088797</v>
      </c>
      <c r="C3276">
        <v>0.89149296593937899</v>
      </c>
      <c r="D3276">
        <v>0.97218237602968105</v>
      </c>
      <c r="E3276">
        <v>0.92592696233022698</v>
      </c>
      <c r="F3276">
        <v>0.64399389969142595</v>
      </c>
      <c r="G3276">
        <v>0.26630329694893401</v>
      </c>
      <c r="H3276">
        <v>0.10618792141097</v>
      </c>
      <c r="I3276">
        <v>8.0482501244141302E-2</v>
      </c>
      <c r="J3276">
        <v>7.1434568473936103E-2</v>
      </c>
      <c r="K3276">
        <v>7.4643328760274796E-2</v>
      </c>
      <c r="L3276">
        <v>1469.7533891850001</v>
      </c>
      <c r="M3276">
        <v>27.1625249315052</v>
      </c>
      <c r="N3276">
        <v>54.396572772519299</v>
      </c>
      <c r="O3276">
        <v>53.818879908859799</v>
      </c>
      <c r="P3276">
        <v>-0.117754344250495</v>
      </c>
      <c r="Q3276">
        <v>6.6751803109476204E-2</v>
      </c>
      <c r="R3276">
        <v>0.99233493923334504</v>
      </c>
      <c r="S3276" t="s">
        <v>10279</v>
      </c>
      <c r="T3276" t="s">
        <v>14004</v>
      </c>
      <c r="U3276" t="s">
        <v>14004</v>
      </c>
      <c r="V3276" t="s">
        <v>14004</v>
      </c>
      <c r="W3276" t="s">
        <v>17236</v>
      </c>
      <c r="X3276">
        <v>24</v>
      </c>
      <c r="Y3276" t="s">
        <v>24096</v>
      </c>
      <c r="Z3276" t="s">
        <v>30986</v>
      </c>
      <c r="AA3276">
        <v>0.51309007130299655</v>
      </c>
      <c r="AB3276" t="str">
        <f>HYPERLINK("Melting_Curves/meltCurve_Q01469_FABP5.pdf", "Melting_Curves/meltCurve_Q01469_FABP5.pdf")</f>
        <v>Melting_Curves/meltCurve_Q01469_FABP5.pdf</v>
      </c>
    </row>
    <row r="3277" spans="1:28" x14ac:dyDescent="0.25">
      <c r="A3277" t="s">
        <v>3281</v>
      </c>
      <c r="B3277">
        <v>0.99999676499088797</v>
      </c>
      <c r="C3277">
        <v>1.07455793099548</v>
      </c>
      <c r="D3277">
        <v>1.1425395801290801</v>
      </c>
      <c r="E3277">
        <v>1.36697189918551</v>
      </c>
      <c r="F3277">
        <v>0.981709015247204</v>
      </c>
      <c r="G3277">
        <v>0.27844776290755102</v>
      </c>
      <c r="H3277">
        <v>0.13897185036589199</v>
      </c>
      <c r="I3277">
        <v>0.11646770757090499</v>
      </c>
      <c r="J3277">
        <v>0.10584517998432801</v>
      </c>
      <c r="K3277">
        <v>9.9592856302412505E-2</v>
      </c>
      <c r="L3277">
        <v>4500.6516416536797</v>
      </c>
      <c r="M3277">
        <v>80.719170257528404</v>
      </c>
      <c r="N3277">
        <v>55.937835755659698</v>
      </c>
      <c r="O3277">
        <v>55.722699990563399</v>
      </c>
      <c r="P3277">
        <v>-0.320541895837824</v>
      </c>
      <c r="Q3277">
        <v>0.11488371527862</v>
      </c>
      <c r="R3277">
        <v>0.93407456510053799</v>
      </c>
      <c r="S3277" t="s">
        <v>10280</v>
      </c>
      <c r="T3277" t="s">
        <v>14004</v>
      </c>
      <c r="U3277" t="s">
        <v>14004</v>
      </c>
      <c r="V3277" t="s">
        <v>14004</v>
      </c>
      <c r="W3277" t="s">
        <v>17237</v>
      </c>
      <c r="X3277">
        <v>32</v>
      </c>
      <c r="Y3277" t="s">
        <v>24097</v>
      </c>
      <c r="Z3277" t="s">
        <v>30987</v>
      </c>
      <c r="AA3277">
        <v>0.58060607271475484</v>
      </c>
      <c r="AB3277" t="str">
        <f>HYPERLINK("Melting_Curves/meltCurve_Q01518_2_CAP1.pdf", "Melting_Curves/meltCurve_Q01518_2_CAP1.pdf")</f>
        <v>Melting_Curves/meltCurve_Q01518_2_CAP1.pdf</v>
      </c>
    </row>
    <row r="3278" spans="1:28" x14ac:dyDescent="0.25">
      <c r="A3278" t="s">
        <v>3282</v>
      </c>
      <c r="B3278">
        <v>0.99999676499088797</v>
      </c>
      <c r="C3278">
        <v>0.73296550711249298</v>
      </c>
      <c r="D3278">
        <v>0.47180270093766902</v>
      </c>
      <c r="E3278">
        <v>0.26176053992357801</v>
      </c>
      <c r="F3278">
        <v>0.193625145953186</v>
      </c>
      <c r="G3278">
        <v>0.128209638497082</v>
      </c>
      <c r="H3278">
        <v>7.4374190977073401E-2</v>
      </c>
      <c r="I3278">
        <v>8.00949805705648E-2</v>
      </c>
      <c r="J3278">
        <v>7.7528401085845397E-2</v>
      </c>
      <c r="K3278">
        <v>6.9306009056142398E-2</v>
      </c>
      <c r="L3278">
        <v>801.06256641576897</v>
      </c>
      <c r="M3278">
        <v>17.633830149044002</v>
      </c>
      <c r="N3278">
        <v>45.9054365207177</v>
      </c>
      <c r="O3278">
        <v>44.855481201966697</v>
      </c>
      <c r="P3278">
        <v>-9.0045617088643101E-2</v>
      </c>
      <c r="Q3278">
        <v>8.3847064169550803E-2</v>
      </c>
      <c r="R3278">
        <v>0.98913906547873898</v>
      </c>
      <c r="S3278" t="s">
        <v>10281</v>
      </c>
      <c r="T3278" t="s">
        <v>14004</v>
      </c>
      <c r="U3278" t="s">
        <v>14004</v>
      </c>
      <c r="V3278" t="s">
        <v>14004</v>
      </c>
      <c r="W3278" t="s">
        <v>17238</v>
      </c>
      <c r="X3278">
        <v>12</v>
      </c>
      <c r="Y3278" t="s">
        <v>24098</v>
      </c>
      <c r="Z3278" t="s">
        <v>30988</v>
      </c>
      <c r="AA3278">
        <v>0.26938973796431759</v>
      </c>
      <c r="AB3278" t="str">
        <f>HYPERLINK("Melting_Curves/meltCurve_Q01543_FLI1.pdf", "Melting_Curves/meltCurve_Q01543_FLI1.pdf")</f>
        <v>Melting_Curves/meltCurve_Q01543_FLI1.pdf</v>
      </c>
    </row>
    <row r="3279" spans="1:28" x14ac:dyDescent="0.25">
      <c r="A3279" t="s">
        <v>3283</v>
      </c>
      <c r="B3279">
        <v>0.99999676499088797</v>
      </c>
      <c r="C3279">
        <v>1.28132772223075</v>
      </c>
      <c r="D3279">
        <v>1.44157385247544</v>
      </c>
      <c r="E3279">
        <v>1.4103036447963699</v>
      </c>
      <c r="F3279">
        <v>14.9378395744654</v>
      </c>
      <c r="G3279">
        <v>0.71317663994390101</v>
      </c>
      <c r="H3279">
        <v>0.50264469633575104</v>
      </c>
      <c r="I3279">
        <v>0.28056425644856697</v>
      </c>
      <c r="J3279">
        <v>0.40913239025163201</v>
      </c>
      <c r="K3279">
        <v>0.37242583713205302</v>
      </c>
      <c r="L3279">
        <v>14206.5691404918</v>
      </c>
      <c r="M3279">
        <v>250</v>
      </c>
      <c r="N3279">
        <v>57.175042310066303</v>
      </c>
      <c r="O3279">
        <v>56.822641366522703</v>
      </c>
      <c r="P3279">
        <v>-0.66963651686678505</v>
      </c>
      <c r="Q3279">
        <v>0.39119176443551501</v>
      </c>
      <c r="R3279">
        <v>-7.5587776069212298E-2</v>
      </c>
      <c r="S3279" t="s">
        <v>10282</v>
      </c>
      <c r="T3279" t="s">
        <v>14004</v>
      </c>
      <c r="U3279" t="s">
        <v>14004</v>
      </c>
      <c r="V3279" t="s">
        <v>14004</v>
      </c>
      <c r="W3279" t="s">
        <v>17239</v>
      </c>
      <c r="X3279">
        <v>9</v>
      </c>
      <c r="Y3279" t="s">
        <v>24099</v>
      </c>
      <c r="Z3279" t="s">
        <v>30989</v>
      </c>
      <c r="AA3279">
        <v>0.73271833857302293</v>
      </c>
      <c r="AB3279" t="str">
        <f>HYPERLINK("Melting_Curves/meltCurve_Q01546_KRT76.pdf", "Melting_Curves/meltCurve_Q01546_KRT76.pdf")</f>
        <v>Melting_Curves/meltCurve_Q01546_KRT76.pdf</v>
      </c>
    </row>
    <row r="3280" spans="1:28" x14ac:dyDescent="0.25">
      <c r="A3280" t="s">
        <v>3284</v>
      </c>
      <c r="B3280">
        <v>0.99999676499088797</v>
      </c>
      <c r="C3280">
        <v>1.03833138924713</v>
      </c>
      <c r="D3280">
        <v>0.99966504451493798</v>
      </c>
      <c r="E3280">
        <v>1.0263508619005099</v>
      </c>
      <c r="F3280">
        <v>0.91626085517992995</v>
      </c>
      <c r="G3280">
        <v>0.61021666500054195</v>
      </c>
      <c r="H3280">
        <v>0.17871512897033501</v>
      </c>
      <c r="I3280">
        <v>8.9220088103537903E-2</v>
      </c>
      <c r="J3280">
        <v>7.1029946197223498E-2</v>
      </c>
      <c r="K3280">
        <v>5.8645019484714601E-2</v>
      </c>
      <c r="L3280">
        <v>1876.131779198</v>
      </c>
      <c r="M3280">
        <v>32.710577225918598</v>
      </c>
      <c r="N3280">
        <v>57.571972873757602</v>
      </c>
      <c r="O3280">
        <v>57.142417153045997</v>
      </c>
      <c r="P3280">
        <v>-0.13482996185688001</v>
      </c>
      <c r="Q3280">
        <v>5.7861389065905697E-2</v>
      </c>
      <c r="R3280">
        <v>0.99841404470351003</v>
      </c>
      <c r="S3280" t="s">
        <v>10283</v>
      </c>
      <c r="T3280" t="s">
        <v>14004</v>
      </c>
      <c r="U3280" t="s">
        <v>14004</v>
      </c>
      <c r="V3280" t="s">
        <v>14004</v>
      </c>
      <c r="W3280" t="s">
        <v>17240</v>
      </c>
      <c r="X3280">
        <v>28</v>
      </c>
      <c r="Y3280" t="s">
        <v>24100</v>
      </c>
      <c r="Z3280" t="s">
        <v>30990</v>
      </c>
      <c r="AA3280">
        <v>0.60827524453377879</v>
      </c>
      <c r="AB3280" t="str">
        <f>HYPERLINK("Melting_Curves/meltCurve_Q01581_HMGCS1.pdf", "Melting_Curves/meltCurve_Q01581_HMGCS1.pdf")</f>
        <v>Melting_Curves/meltCurve_Q01581_HMGCS1.pdf</v>
      </c>
    </row>
    <row r="3281" spans="1:28" x14ac:dyDescent="0.25">
      <c r="A3281" t="s">
        <v>3285</v>
      </c>
      <c r="B3281">
        <v>0.99999676499088797</v>
      </c>
      <c r="C3281">
        <v>1.0576554055229499</v>
      </c>
      <c r="D3281">
        <v>1.2031671871043399</v>
      </c>
      <c r="E3281">
        <v>1.3152837582342001</v>
      </c>
      <c r="F3281">
        <v>1.3468708089796499</v>
      </c>
      <c r="G3281">
        <v>1.1417100482360001</v>
      </c>
      <c r="H3281">
        <v>0.77950674906789197</v>
      </c>
      <c r="I3281">
        <v>0.59915809115035001</v>
      </c>
      <c r="J3281">
        <v>0.39772876555652997</v>
      </c>
      <c r="K3281">
        <v>0.47800442930030101</v>
      </c>
      <c r="L3281">
        <v>2742.2413801417201</v>
      </c>
      <c r="M3281">
        <v>44.349690176364497</v>
      </c>
      <c r="N3281">
        <v>65.078255952061795</v>
      </c>
      <c r="O3281">
        <v>61.706934800250103</v>
      </c>
      <c r="P3281">
        <v>-9.9674330374355094E-2</v>
      </c>
      <c r="Q3281">
        <v>0.445264317327841</v>
      </c>
      <c r="R3281">
        <v>0.725216060217863</v>
      </c>
      <c r="S3281" t="s">
        <v>10284</v>
      </c>
      <c r="T3281" t="s">
        <v>14004</v>
      </c>
      <c r="U3281" t="s">
        <v>14004</v>
      </c>
      <c r="V3281" t="s">
        <v>14004</v>
      </c>
      <c r="W3281" t="s">
        <v>17241</v>
      </c>
      <c r="X3281">
        <v>7</v>
      </c>
      <c r="Y3281" t="s">
        <v>24101</v>
      </c>
      <c r="Z3281" t="s">
        <v>30991</v>
      </c>
      <c r="AA3281">
        <v>0.85069799761309561</v>
      </c>
      <c r="AB3281" t="str">
        <f>HYPERLINK("Melting_Curves/meltCurve_Q01650_SLC7A5.pdf", "Melting_Curves/meltCurve_Q01650_SLC7A5.pdf")</f>
        <v>Melting_Curves/meltCurve_Q01650_SLC7A5.pdf</v>
      </c>
    </row>
    <row r="3282" spans="1:28" x14ac:dyDescent="0.25">
      <c r="A3282" t="s">
        <v>3286</v>
      </c>
      <c r="B3282">
        <v>0.99999676499088797</v>
      </c>
      <c r="C3282">
        <v>1.00942606807889</v>
      </c>
      <c r="D3282">
        <v>1.0451145775706501</v>
      </c>
      <c r="E3282">
        <v>0.97291371724961795</v>
      </c>
      <c r="F3282">
        <v>0.99408329183798205</v>
      </c>
      <c r="G3282">
        <v>0.82999801906672699</v>
      </c>
      <c r="H3282">
        <v>0.40865601390733602</v>
      </c>
      <c r="I3282">
        <v>0.25860843209859902</v>
      </c>
      <c r="J3282">
        <v>0.22361955304377301</v>
      </c>
      <c r="K3282">
        <v>0.25703710030708898</v>
      </c>
      <c r="L3282">
        <v>2197.7025176607399</v>
      </c>
      <c r="M3282">
        <v>37.4065810617072</v>
      </c>
      <c r="N3282">
        <v>59.756793063091301</v>
      </c>
      <c r="O3282">
        <v>58.584605590922003</v>
      </c>
      <c r="P3282">
        <v>-0.12235831729298199</v>
      </c>
      <c r="Q3282">
        <v>0.23347238809697199</v>
      </c>
      <c r="R3282">
        <v>0.99679809278593601</v>
      </c>
      <c r="S3282" t="s">
        <v>10285</v>
      </c>
      <c r="T3282" t="s">
        <v>14004</v>
      </c>
      <c r="U3282" t="s">
        <v>14004</v>
      </c>
      <c r="V3282" t="s">
        <v>14004</v>
      </c>
      <c r="W3282" t="s">
        <v>17242</v>
      </c>
      <c r="X3282">
        <v>9</v>
      </c>
      <c r="Y3282" t="s">
        <v>24102</v>
      </c>
      <c r="Z3282" t="s">
        <v>30992</v>
      </c>
      <c r="AA3282">
        <v>0.71601289251200817</v>
      </c>
      <c r="AB3282" t="str">
        <f>HYPERLINK("Melting_Curves/meltCurve_Q01658_DR1.pdf", "Melting_Curves/meltCurve_Q01658_DR1.pdf")</f>
        <v>Melting_Curves/meltCurve_Q01658_DR1.pdf</v>
      </c>
    </row>
    <row r="3283" spans="1:28" x14ac:dyDescent="0.25">
      <c r="A3283" t="s">
        <v>3287</v>
      </c>
      <c r="B3283">
        <v>0.99999676499088797</v>
      </c>
      <c r="C3283">
        <v>0.93221752974712402</v>
      </c>
      <c r="D3283">
        <v>0.79902510572598995</v>
      </c>
      <c r="E3283">
        <v>0.49233616875241298</v>
      </c>
      <c r="F3283">
        <v>0.61298883427786999</v>
      </c>
      <c r="G3283">
        <v>0.22355167573229601</v>
      </c>
      <c r="H3283">
        <v>0.1750371086268</v>
      </c>
      <c r="I3283">
        <v>0.123669477035957</v>
      </c>
      <c r="J3283">
        <v>0.118588726013867</v>
      </c>
      <c r="K3283">
        <v>0.107020663541928</v>
      </c>
      <c r="L3283">
        <v>565.52103923977097</v>
      </c>
      <c r="M3283">
        <v>10.9757251301158</v>
      </c>
      <c r="N3283">
        <v>51.916804711402698</v>
      </c>
      <c r="O3283">
        <v>49.9028968781533</v>
      </c>
      <c r="P3283">
        <v>-5.2816322593843397E-2</v>
      </c>
      <c r="Q3283">
        <v>3.9775168945860903E-2</v>
      </c>
      <c r="R3283">
        <v>0.95163242659276603</v>
      </c>
      <c r="S3283" t="s">
        <v>10286</v>
      </c>
      <c r="T3283" t="s">
        <v>14004</v>
      </c>
      <c r="U3283" t="s">
        <v>14004</v>
      </c>
      <c r="V3283" t="s">
        <v>14004</v>
      </c>
      <c r="W3283" t="s">
        <v>17243</v>
      </c>
      <c r="X3283">
        <v>3</v>
      </c>
      <c r="Y3283" t="s">
        <v>24103</v>
      </c>
      <c r="Z3283" t="s">
        <v>30993</v>
      </c>
      <c r="AA3283">
        <v>0.44271486010993688</v>
      </c>
      <c r="AB3283" t="str">
        <f>HYPERLINK("Melting_Curves/meltCurve_Q01664_TFAP4.pdf", "Melting_Curves/meltCurve_Q01664_TFAP4.pdf")</f>
        <v>Melting_Curves/meltCurve_Q01664_TFAP4.pdf</v>
      </c>
    </row>
    <row r="3284" spans="1:28" x14ac:dyDescent="0.25">
      <c r="A3284" t="s">
        <v>3288</v>
      </c>
      <c r="B3284">
        <v>0.99999676499088797</v>
      </c>
      <c r="C3284">
        <v>0.531341201111036</v>
      </c>
      <c r="D3284">
        <v>0.20237044791238001</v>
      </c>
      <c r="E3284">
        <v>0.15506297679064401</v>
      </c>
      <c r="F3284">
        <v>0.12839394734558701</v>
      </c>
      <c r="G3284">
        <v>0.100615366991684</v>
      </c>
      <c r="H3284">
        <v>5.8050628953448903E-2</v>
      </c>
      <c r="I3284">
        <v>6.0112603975361001E-2</v>
      </c>
      <c r="J3284">
        <v>5.1617623731754998E-2</v>
      </c>
      <c r="K3284">
        <v>3.7108135674914999E-2</v>
      </c>
      <c r="L3284">
        <v>1523.6712858078499</v>
      </c>
      <c r="M3284">
        <v>35.443317498943202</v>
      </c>
      <c r="N3284">
        <v>43.2194380342522</v>
      </c>
      <c r="O3284">
        <v>42.852797359207798</v>
      </c>
      <c r="P3284">
        <v>-0.18896865797534301</v>
      </c>
      <c r="Q3284">
        <v>8.6111682029331699E-2</v>
      </c>
      <c r="R3284">
        <v>0.980671316368674</v>
      </c>
      <c r="S3284" t="s">
        <v>10287</v>
      </c>
      <c r="T3284" t="s">
        <v>14004</v>
      </c>
      <c r="U3284" t="s">
        <v>14004</v>
      </c>
      <c r="V3284" t="s">
        <v>14004</v>
      </c>
      <c r="W3284" t="s">
        <v>17244</v>
      </c>
      <c r="X3284">
        <v>16</v>
      </c>
      <c r="Y3284" t="s">
        <v>24104</v>
      </c>
      <c r="Z3284" t="s">
        <v>30994</v>
      </c>
      <c r="AA3284">
        <v>0.18271092511529921</v>
      </c>
      <c r="AB3284" t="str">
        <f>HYPERLINK("Melting_Curves/meltCurve_Q01780_2_EXOSC10.pdf", "Melting_Curves/meltCurve_Q01780_2_EXOSC10.pdf")</f>
        <v>Melting_Curves/meltCurve_Q01780_2_EXOSC10.pdf</v>
      </c>
    </row>
    <row r="3285" spans="1:28" x14ac:dyDescent="0.25">
      <c r="A3285" t="s">
        <v>3289</v>
      </c>
      <c r="B3285">
        <v>0.99999676499088797</v>
      </c>
      <c r="C3285">
        <v>1.0059675728100801</v>
      </c>
      <c r="D3285">
        <v>1.01474386985826</v>
      </c>
      <c r="E3285">
        <v>1.01319390959894</v>
      </c>
      <c r="F3285">
        <v>1.01793271953895</v>
      </c>
      <c r="G3285">
        <v>0.92737435353050401</v>
      </c>
      <c r="H3285">
        <v>0.61457824222776603</v>
      </c>
      <c r="I3285">
        <v>0.519304833591821</v>
      </c>
      <c r="J3285">
        <v>0.38161639013871301</v>
      </c>
      <c r="K3285">
        <v>0.31483455100083302</v>
      </c>
      <c r="L3285">
        <v>1519.6852686438899</v>
      </c>
      <c r="M3285">
        <v>24.9563656266332</v>
      </c>
      <c r="N3285">
        <v>63.398098540637399</v>
      </c>
      <c r="O3285">
        <v>60.506744787617599</v>
      </c>
      <c r="P3285">
        <v>-7.0795063008946807E-2</v>
      </c>
      <c r="Q3285">
        <v>0.31343836433958899</v>
      </c>
      <c r="R3285">
        <v>0.989763153380668</v>
      </c>
      <c r="S3285" t="s">
        <v>10288</v>
      </c>
      <c r="T3285" t="s">
        <v>14004</v>
      </c>
      <c r="U3285" t="s">
        <v>14004</v>
      </c>
      <c r="V3285" t="s">
        <v>14004</v>
      </c>
      <c r="W3285" t="s">
        <v>17245</v>
      </c>
      <c r="X3285">
        <v>57</v>
      </c>
      <c r="Y3285" t="s">
        <v>24105</v>
      </c>
      <c r="Z3285" t="s">
        <v>30995</v>
      </c>
      <c r="AA3285">
        <v>0.79600842993303966</v>
      </c>
      <c r="AB3285" t="str">
        <f>HYPERLINK("Melting_Curves/meltCurve_Q01813_PFKP.pdf", "Melting_Curves/meltCurve_Q01813_PFKP.pdf")</f>
        <v>Melting_Curves/meltCurve_Q01813_PFKP.pdf</v>
      </c>
    </row>
    <row r="3286" spans="1:28" x14ac:dyDescent="0.25">
      <c r="A3286" t="s">
        <v>3290</v>
      </c>
      <c r="B3286">
        <v>0.99999676499088797</v>
      </c>
      <c r="C3286">
        <v>0.76342062658105203</v>
      </c>
      <c r="D3286">
        <v>0.49583391629377899</v>
      </c>
      <c r="E3286">
        <v>0.25135356490632998</v>
      </c>
      <c r="F3286">
        <v>0.18981120594243001</v>
      </c>
      <c r="G3286">
        <v>0.12686295066082201</v>
      </c>
      <c r="H3286">
        <v>5.2680537991708798E-2</v>
      </c>
      <c r="I3286">
        <v>4.6294068330610998E-2</v>
      </c>
      <c r="J3286">
        <v>4.2937008145943902E-2</v>
      </c>
      <c r="K3286">
        <v>3.7517785300288098E-2</v>
      </c>
      <c r="L3286">
        <v>779.07815392809005</v>
      </c>
      <c r="M3286">
        <v>16.975017020418001</v>
      </c>
      <c r="N3286">
        <v>46.207509669460002</v>
      </c>
      <c r="O3286">
        <v>45.272828278400702</v>
      </c>
      <c r="P3286">
        <v>-8.8668270252042602E-2</v>
      </c>
      <c r="Q3286">
        <v>5.4136119741251702E-2</v>
      </c>
      <c r="R3286">
        <v>0.98932704763472101</v>
      </c>
      <c r="S3286" t="s">
        <v>10289</v>
      </c>
      <c r="T3286" t="s">
        <v>14004</v>
      </c>
      <c r="U3286" t="s">
        <v>14004</v>
      </c>
      <c r="V3286" t="s">
        <v>14004</v>
      </c>
      <c r="W3286" t="s">
        <v>17246</v>
      </c>
      <c r="X3286">
        <v>13</v>
      </c>
      <c r="Y3286" t="s">
        <v>24106</v>
      </c>
      <c r="Z3286" t="s">
        <v>30996</v>
      </c>
      <c r="AA3286">
        <v>0.26135163132808781</v>
      </c>
      <c r="AB3286" t="str">
        <f>HYPERLINK("Melting_Curves/meltCurve_Q01826_SATB1.pdf", "Melting_Curves/meltCurve_Q01826_SATB1.pdf")</f>
        <v>Melting_Curves/meltCurve_Q01826_SATB1.pdf</v>
      </c>
    </row>
    <row r="3287" spans="1:28" x14ac:dyDescent="0.25">
      <c r="A3287" t="s">
        <v>3291</v>
      </c>
      <c r="B3287">
        <v>0.99999676499088797</v>
      </c>
      <c r="C3287">
        <v>0.99314243339319097</v>
      </c>
      <c r="D3287">
        <v>0.95832911367582496</v>
      </c>
      <c r="E3287">
        <v>0.68636124181188396</v>
      </c>
      <c r="F3287">
        <v>0.35323811276293998</v>
      </c>
      <c r="G3287">
        <v>0.26122006328933101</v>
      </c>
      <c r="H3287">
        <v>0.14598578894584099</v>
      </c>
      <c r="I3287">
        <v>0.215602115764572</v>
      </c>
      <c r="J3287">
        <v>0.16531143785208499</v>
      </c>
      <c r="K3287">
        <v>9.4164400511438998E-2</v>
      </c>
      <c r="L3287">
        <v>1205.4478882616399</v>
      </c>
      <c r="M3287">
        <v>23.741691790191599</v>
      </c>
      <c r="N3287">
        <v>51.582648661427797</v>
      </c>
      <c r="O3287">
        <v>50.417358711126603</v>
      </c>
      <c r="P3287">
        <v>-9.9424053018120795E-2</v>
      </c>
      <c r="Q3287">
        <v>0.15547460424721299</v>
      </c>
      <c r="R3287">
        <v>0.99206312159022603</v>
      </c>
      <c r="S3287" t="s">
        <v>10290</v>
      </c>
      <c r="T3287" t="s">
        <v>14004</v>
      </c>
      <c r="U3287" t="s">
        <v>14004</v>
      </c>
      <c r="V3287" t="s">
        <v>14004</v>
      </c>
      <c r="W3287" t="s">
        <v>17247</v>
      </c>
      <c r="X3287">
        <v>4</v>
      </c>
      <c r="Y3287" t="s">
        <v>24107</v>
      </c>
      <c r="Z3287" t="s">
        <v>30997</v>
      </c>
      <c r="AA3287">
        <v>0.46718227191813799</v>
      </c>
      <c r="AB3287" t="str">
        <f>HYPERLINK("Melting_Curves/meltCurve_Q01968_OCRL.pdf", "Melting_Curves/meltCurve_Q01968_OCRL.pdf")</f>
        <v>Melting_Curves/meltCurve_Q01968_OCRL.pdf</v>
      </c>
    </row>
    <row r="3288" spans="1:28" x14ac:dyDescent="0.25">
      <c r="A3288" t="s">
        <v>3292</v>
      </c>
      <c r="B3288">
        <v>0.99999676499088797</v>
      </c>
      <c r="C3288">
        <v>0.96870365991086504</v>
      </c>
      <c r="D3288">
        <v>0.95010227122286095</v>
      </c>
      <c r="E3288">
        <v>0.78609648712040503</v>
      </c>
      <c r="F3288">
        <v>0.33552185402041401</v>
      </c>
      <c r="G3288">
        <v>0.220600675152584</v>
      </c>
      <c r="H3288">
        <v>0.118470890961112</v>
      </c>
      <c r="I3288">
        <v>0.13062549363901499</v>
      </c>
      <c r="J3288">
        <v>0.102646994663215</v>
      </c>
      <c r="K3288">
        <v>0.10386854571522</v>
      </c>
      <c r="L3288">
        <v>1433.4954123354601</v>
      </c>
      <c r="M3288">
        <v>27.881785678501501</v>
      </c>
      <c r="N3288">
        <v>51.905511151079999</v>
      </c>
      <c r="O3288">
        <v>51.151009523531698</v>
      </c>
      <c r="P3288">
        <v>-0.120443533331789</v>
      </c>
      <c r="Q3288">
        <v>0.116160271784589</v>
      </c>
      <c r="R3288">
        <v>0.99649618576323795</v>
      </c>
      <c r="S3288" t="s">
        <v>10291</v>
      </c>
      <c r="T3288" t="s">
        <v>14004</v>
      </c>
      <c r="U3288" t="s">
        <v>14004</v>
      </c>
      <c r="V3288" t="s">
        <v>14004</v>
      </c>
      <c r="W3288" t="s">
        <v>17248</v>
      </c>
      <c r="X3288">
        <v>16</v>
      </c>
      <c r="Y3288" t="s">
        <v>24108</v>
      </c>
      <c r="Z3288" t="s">
        <v>30998</v>
      </c>
      <c r="AA3288">
        <v>0.4588835445947867</v>
      </c>
      <c r="AB3288" t="str">
        <f>HYPERLINK("Melting_Curves/meltCurve_Q01970_PLCB3.pdf", "Melting_Curves/meltCurve_Q01970_PLCB3.pdf")</f>
        <v>Melting_Curves/meltCurve_Q01970_PLCB3.pdf</v>
      </c>
    </row>
    <row r="3289" spans="1:28" x14ac:dyDescent="0.25">
      <c r="A3289" t="s">
        <v>3293</v>
      </c>
      <c r="B3289">
        <v>0.99999676499088797</v>
      </c>
      <c r="C3289">
        <v>0.64792733898930199</v>
      </c>
      <c r="D3289">
        <v>0.37685188018736399</v>
      </c>
      <c r="E3289">
        <v>0.146788825826457</v>
      </c>
      <c r="F3289">
        <v>9.1743976335246197E-2</v>
      </c>
      <c r="G3289">
        <v>5.8679407409448402E-2</v>
      </c>
      <c r="H3289">
        <v>2.7616122264151E-2</v>
      </c>
      <c r="I3289">
        <v>2.62420432620253E-2</v>
      </c>
      <c r="J3289">
        <v>1.8329909818220299E-2</v>
      </c>
      <c r="K3289">
        <v>1.8778697582947899E-2</v>
      </c>
      <c r="L3289">
        <v>921.34827976121005</v>
      </c>
      <c r="M3289">
        <v>20.677637181406901</v>
      </c>
      <c r="N3289">
        <v>44.704145033332701</v>
      </c>
      <c r="O3289">
        <v>44.147249617375302</v>
      </c>
      <c r="P3289">
        <v>-0.113263834675964</v>
      </c>
      <c r="Q3289">
        <v>3.2743621956962898E-2</v>
      </c>
      <c r="R3289">
        <v>0.988716792014523</v>
      </c>
      <c r="S3289" t="s">
        <v>10292</v>
      </c>
      <c r="T3289" t="s">
        <v>14004</v>
      </c>
      <c r="U3289" t="s">
        <v>14004</v>
      </c>
      <c r="V3289" t="s">
        <v>14004</v>
      </c>
      <c r="W3289" t="s">
        <v>17249</v>
      </c>
      <c r="X3289">
        <v>2</v>
      </c>
      <c r="Y3289" t="s">
        <v>24109</v>
      </c>
      <c r="Z3289" t="s">
        <v>30999</v>
      </c>
      <c r="AA3289">
        <v>0.19569350562666629</v>
      </c>
      <c r="AB3289" t="str">
        <f>HYPERLINK("Melting_Curves/meltCurve_Q02040_AKAP17A.pdf", "Melting_Curves/meltCurve_Q02040_AKAP17A.pdf")</f>
        <v>Melting_Curves/meltCurve_Q02040_AKAP17A.pdf</v>
      </c>
    </row>
    <row r="3290" spans="1:28" x14ac:dyDescent="0.25">
      <c r="A3290" t="s">
        <v>3294</v>
      </c>
      <c r="B3290">
        <v>0.99999676499088797</v>
      </c>
      <c r="C3290">
        <v>1.1009204837645199</v>
      </c>
      <c r="D3290">
        <v>1.1050948665258999</v>
      </c>
      <c r="E3290">
        <v>1.08661347585432</v>
      </c>
      <c r="F3290">
        <v>0.99396145982194295</v>
      </c>
      <c r="G3290">
        <v>0.73548165939173704</v>
      </c>
      <c r="H3290">
        <v>0.45475494280075301</v>
      </c>
      <c r="I3290">
        <v>0.378405895388712</v>
      </c>
      <c r="J3290">
        <v>0.30015316757261001</v>
      </c>
      <c r="K3290">
        <v>0.30781358243600498</v>
      </c>
      <c r="L3290">
        <v>1787.4978834070901</v>
      </c>
      <c r="M3290">
        <v>30.855504049378599</v>
      </c>
      <c r="N3290">
        <v>59.844425861198701</v>
      </c>
      <c r="O3290">
        <v>57.6895489823766</v>
      </c>
      <c r="P3290">
        <v>-9.1788857601532201E-2</v>
      </c>
      <c r="Q3290">
        <v>0.31354526007217298</v>
      </c>
      <c r="R3290">
        <v>0.97027737218680499</v>
      </c>
      <c r="S3290" t="s">
        <v>10293</v>
      </c>
      <c r="T3290" t="s">
        <v>14004</v>
      </c>
      <c r="U3290" t="s">
        <v>14004</v>
      </c>
      <c r="V3290" t="s">
        <v>14004</v>
      </c>
      <c r="W3290" t="s">
        <v>17250</v>
      </c>
      <c r="X3290">
        <v>5</v>
      </c>
      <c r="Y3290" t="s">
        <v>24110</v>
      </c>
      <c r="Z3290" t="s">
        <v>31000</v>
      </c>
      <c r="AA3290">
        <v>0.72816071728694498</v>
      </c>
      <c r="AB3290" t="str">
        <f>HYPERLINK("Melting_Curves/meltCurve_Q02083_2_NAAA.pdf", "Melting_Curves/meltCurve_Q02083_2_NAAA.pdf")</f>
        <v>Melting_Curves/meltCurve_Q02083_2_NAAA.pdf</v>
      </c>
    </row>
    <row r="3291" spans="1:28" x14ac:dyDescent="0.25">
      <c r="A3291" t="s">
        <v>3295</v>
      </c>
      <c r="B3291">
        <v>0.99999676499088797</v>
      </c>
      <c r="C3291">
        <v>0.97677910424817305</v>
      </c>
      <c r="D3291">
        <v>0.964569235346182</v>
      </c>
      <c r="E3291">
        <v>0.90788391474512298</v>
      </c>
      <c r="F3291">
        <v>0.89774396789580202</v>
      </c>
      <c r="G3291">
        <v>0.71399082751321297</v>
      </c>
      <c r="H3291">
        <v>0.45850413204775903</v>
      </c>
      <c r="I3291">
        <v>0.332770229964855</v>
      </c>
      <c r="J3291">
        <v>0.224010781677417</v>
      </c>
      <c r="K3291">
        <v>0.16727163992871799</v>
      </c>
      <c r="L3291">
        <v>861.935881106392</v>
      </c>
      <c r="M3291">
        <v>14.4012000725342</v>
      </c>
      <c r="N3291">
        <v>60.401125331480301</v>
      </c>
      <c r="O3291">
        <v>58.733110443138798</v>
      </c>
      <c r="P3291">
        <v>-5.7542805612782202E-2</v>
      </c>
      <c r="Q3291">
        <v>6.1392940673900498E-2</v>
      </c>
      <c r="R3291">
        <v>0.99543558311567204</v>
      </c>
      <c r="S3291" t="s">
        <v>10294</v>
      </c>
      <c r="T3291" t="s">
        <v>14004</v>
      </c>
      <c r="U3291" t="s">
        <v>14004</v>
      </c>
      <c r="V3291" t="s">
        <v>14004</v>
      </c>
      <c r="W3291" t="s">
        <v>17251</v>
      </c>
      <c r="X3291">
        <v>16</v>
      </c>
      <c r="Y3291" t="s">
        <v>24111</v>
      </c>
      <c r="Z3291" t="s">
        <v>31001</v>
      </c>
      <c r="AA3291">
        <v>0.68899648819885961</v>
      </c>
      <c r="AB3291" t="str">
        <f>HYPERLINK("Melting_Curves/meltCurve_Q02127_DHODH.pdf", "Melting_Curves/meltCurve_Q02127_DHODH.pdf")</f>
        <v>Melting_Curves/meltCurve_Q02127_DHODH.pdf</v>
      </c>
    </row>
    <row r="3292" spans="1:28" x14ac:dyDescent="0.25">
      <c r="A3292" t="s">
        <v>3296</v>
      </c>
      <c r="B3292">
        <v>0.99999676499088797</v>
      </c>
      <c r="C3292">
        <v>1.06375723556027</v>
      </c>
      <c r="D3292">
        <v>1.0571011327448701</v>
      </c>
      <c r="E3292">
        <v>0.89389012903190701</v>
      </c>
      <c r="F3292">
        <v>0.57399502694567495</v>
      </c>
      <c r="G3292">
        <v>0.30426293057026299</v>
      </c>
      <c r="H3292">
        <v>9.7376970314022704E-2</v>
      </c>
      <c r="I3292">
        <v>5.95060392749268E-2</v>
      </c>
      <c r="J3292">
        <v>7.0776719822077699E-2</v>
      </c>
      <c r="K3292">
        <v>3.95160668696138E-2</v>
      </c>
      <c r="L3292">
        <v>1258.0526744410299</v>
      </c>
      <c r="M3292">
        <v>23.314169406933601</v>
      </c>
      <c r="N3292">
        <v>54.180026729462803</v>
      </c>
      <c r="O3292">
        <v>53.5685791333689</v>
      </c>
      <c r="P3292">
        <v>-0.103911071956312</v>
      </c>
      <c r="Q3292">
        <v>4.4998221664713699E-2</v>
      </c>
      <c r="R3292">
        <v>0.99332496761268396</v>
      </c>
      <c r="S3292" t="s">
        <v>10295</v>
      </c>
      <c r="T3292" t="s">
        <v>14004</v>
      </c>
      <c r="U3292" t="s">
        <v>14004</v>
      </c>
      <c r="V3292" t="s">
        <v>14004</v>
      </c>
      <c r="W3292" t="s">
        <v>17252</v>
      </c>
      <c r="X3292">
        <v>3</v>
      </c>
      <c r="Y3292" t="s">
        <v>24112</v>
      </c>
      <c r="Z3292" t="s">
        <v>31002</v>
      </c>
      <c r="AA3292">
        <v>0.4994366515687465</v>
      </c>
      <c r="AB3292" t="str">
        <f>HYPERLINK("Melting_Curves/meltCurve_Q02224_3_CENPE.pdf", "Melting_Curves/meltCurve_Q02224_3_CENPE.pdf")</f>
        <v>Melting_Curves/meltCurve_Q02224_3_CENPE.pdf</v>
      </c>
    </row>
    <row r="3293" spans="1:28" x14ac:dyDescent="0.25">
      <c r="A3293" t="s">
        <v>3297</v>
      </c>
      <c r="B3293">
        <v>0.99999676499088797</v>
      </c>
      <c r="C3293">
        <v>0.87798143217345304</v>
      </c>
      <c r="D3293">
        <v>0.73115588712775903</v>
      </c>
      <c r="E3293">
        <v>0.363242320189887</v>
      </c>
      <c r="F3293">
        <v>0.19054687188160599</v>
      </c>
      <c r="G3293">
        <v>0.1204157537243</v>
      </c>
      <c r="H3293">
        <v>6.4333502410578197E-2</v>
      </c>
      <c r="I3293">
        <v>6.5850468342766103E-2</v>
      </c>
      <c r="J3293">
        <v>7.0329932531470699E-2</v>
      </c>
      <c r="K3293">
        <v>7.0485577323165294E-2</v>
      </c>
      <c r="L3293">
        <v>921.25099984310998</v>
      </c>
      <c r="M3293">
        <v>19.2404923785469</v>
      </c>
      <c r="N3293">
        <v>48.222386963717703</v>
      </c>
      <c r="O3293">
        <v>47.3726095456651</v>
      </c>
      <c r="P3293">
        <v>-9.5073774462623106E-2</v>
      </c>
      <c r="Q3293">
        <v>6.3699120341346602E-2</v>
      </c>
      <c r="R3293">
        <v>0.99772506219563495</v>
      </c>
      <c r="S3293" t="s">
        <v>10296</v>
      </c>
      <c r="T3293" t="s">
        <v>14004</v>
      </c>
      <c r="U3293" t="s">
        <v>14004</v>
      </c>
      <c r="V3293" t="s">
        <v>14004</v>
      </c>
      <c r="W3293" t="s">
        <v>17253</v>
      </c>
      <c r="X3293">
        <v>10</v>
      </c>
      <c r="Y3293" t="s">
        <v>24113</v>
      </c>
      <c r="Z3293" t="s">
        <v>31003</v>
      </c>
      <c r="AA3293">
        <v>0.32414588333633743</v>
      </c>
      <c r="AB3293" t="str">
        <f>HYPERLINK("Melting_Curves/meltCurve_Q02241_KIF23.pdf", "Melting_Curves/meltCurve_Q02241_KIF23.pdf")</f>
        <v>Melting_Curves/meltCurve_Q02241_KIF23.pdf</v>
      </c>
    </row>
    <row r="3294" spans="1:28" x14ac:dyDescent="0.25">
      <c r="A3294" t="s">
        <v>3298</v>
      </c>
      <c r="B3294">
        <v>0.99999676499088797</v>
      </c>
      <c r="C3294">
        <v>0.98125609770843902</v>
      </c>
      <c r="D3294">
        <v>0.93482645270989695</v>
      </c>
      <c r="E3294">
        <v>0.67591764547735</v>
      </c>
      <c r="F3294">
        <v>0.20707905723928199</v>
      </c>
      <c r="G3294">
        <v>0.144502823744384</v>
      </c>
      <c r="H3294">
        <v>7.39216598842109E-2</v>
      </c>
      <c r="I3294">
        <v>6.8501333967510306E-2</v>
      </c>
      <c r="J3294">
        <v>5.86349151421829E-2</v>
      </c>
      <c r="K3294">
        <v>5.2035294663245503E-2</v>
      </c>
      <c r="L3294">
        <v>1529.70313197055</v>
      </c>
      <c r="M3294">
        <v>30.281431518477198</v>
      </c>
      <c r="N3294">
        <v>50.760405881631101</v>
      </c>
      <c r="O3294">
        <v>50.297439289595303</v>
      </c>
      <c r="P3294">
        <v>-0.14031082427587099</v>
      </c>
      <c r="Q3294">
        <v>6.7781148195515603E-2</v>
      </c>
      <c r="R3294">
        <v>0.99755829071823199</v>
      </c>
      <c r="S3294" t="s">
        <v>10297</v>
      </c>
      <c r="T3294" t="s">
        <v>14004</v>
      </c>
      <c r="U3294" t="s">
        <v>14004</v>
      </c>
      <c r="V3294" t="s">
        <v>14004</v>
      </c>
      <c r="W3294" t="s">
        <v>17254</v>
      </c>
      <c r="X3294">
        <v>29</v>
      </c>
      <c r="Y3294" t="s">
        <v>24114</v>
      </c>
      <c r="Z3294" t="s">
        <v>31004</v>
      </c>
      <c r="AA3294">
        <v>0.40026796372086698</v>
      </c>
      <c r="AB3294" t="str">
        <f>HYPERLINK("Melting_Curves/meltCurve_Q02252_ALDH6A1.pdf", "Melting_Curves/meltCurve_Q02252_ALDH6A1.pdf")</f>
        <v>Melting_Curves/meltCurve_Q02252_ALDH6A1.pdf</v>
      </c>
    </row>
    <row r="3295" spans="1:28" x14ac:dyDescent="0.25">
      <c r="A3295" t="s">
        <v>3299</v>
      </c>
      <c r="B3295">
        <v>0.99999676499088797</v>
      </c>
      <c r="C3295">
        <v>0.89886375011623698</v>
      </c>
      <c r="D3295">
        <v>0.76729571023054099</v>
      </c>
      <c r="E3295">
        <v>0.357646883619823</v>
      </c>
      <c r="F3295">
        <v>0.21439296390649101</v>
      </c>
      <c r="G3295">
        <v>0.130601023491658</v>
      </c>
      <c r="H3295">
        <v>7.4779421877974803E-2</v>
      </c>
      <c r="I3295">
        <v>9.0437561428870494E-2</v>
      </c>
      <c r="J3295">
        <v>8.2016470255637006E-2</v>
      </c>
      <c r="K3295">
        <v>7.3174213783720299E-2</v>
      </c>
      <c r="L3295">
        <v>1000.43644140991</v>
      </c>
      <c r="M3295">
        <v>20.840722061026</v>
      </c>
      <c r="N3295">
        <v>48.4134692514573</v>
      </c>
      <c r="O3295">
        <v>47.568522484574899</v>
      </c>
      <c r="P3295">
        <v>-0.10068088321976</v>
      </c>
      <c r="Q3295">
        <v>8.0817588793276302E-2</v>
      </c>
      <c r="R3295">
        <v>0.99630252545557296</v>
      </c>
      <c r="S3295" t="s">
        <v>10298</v>
      </c>
      <c r="T3295" t="s">
        <v>14004</v>
      </c>
      <c r="U3295" t="s">
        <v>14004</v>
      </c>
      <c r="V3295" t="s">
        <v>14004</v>
      </c>
      <c r="W3295" t="s">
        <v>17255</v>
      </c>
      <c r="X3295">
        <v>7</v>
      </c>
      <c r="Y3295" t="s">
        <v>24115</v>
      </c>
      <c r="Z3295" t="s">
        <v>31005</v>
      </c>
      <c r="AA3295">
        <v>0.33802122165208742</v>
      </c>
      <c r="AB3295" t="str">
        <f>HYPERLINK("Melting_Curves/meltCurve_Q02338_BDH1.pdf", "Melting_Curves/meltCurve_Q02338_BDH1.pdf")</f>
        <v>Melting_Curves/meltCurve_Q02338_BDH1.pdf</v>
      </c>
    </row>
    <row r="3296" spans="1:28" x14ac:dyDescent="0.25">
      <c r="A3296" t="s">
        <v>3300</v>
      </c>
      <c r="B3296">
        <v>0.99999676499088797</v>
      </c>
      <c r="C3296">
        <v>0.71130938614884398</v>
      </c>
      <c r="D3296">
        <v>0.97148197299132699</v>
      </c>
      <c r="E3296">
        <v>0.972967776624304</v>
      </c>
      <c r="F3296">
        <v>0.53448732754198303</v>
      </c>
      <c r="G3296">
        <v>0.68959743102880999</v>
      </c>
      <c r="H3296">
        <v>0.49626800006870098</v>
      </c>
      <c r="I3296">
        <v>0.57951013061882395</v>
      </c>
      <c r="J3296">
        <v>0.31086166456827202</v>
      </c>
      <c r="K3296">
        <v>0.35745783228621902</v>
      </c>
      <c r="L3296">
        <v>345.78478583238598</v>
      </c>
      <c r="M3296">
        <v>5.5550724781233498</v>
      </c>
      <c r="N3296">
        <v>62.2466742972342</v>
      </c>
      <c r="O3296">
        <v>55.577928491744501</v>
      </c>
      <c r="P3296">
        <v>-2.5094051166565101E-2</v>
      </c>
      <c r="Q3296">
        <v>0</v>
      </c>
      <c r="R3296">
        <v>0.74695576930604901</v>
      </c>
      <c r="S3296" t="s">
        <v>10299</v>
      </c>
      <c r="T3296" t="s">
        <v>14004</v>
      </c>
      <c r="U3296" t="s">
        <v>14004</v>
      </c>
      <c r="V3296" t="s">
        <v>14004</v>
      </c>
      <c r="W3296" t="s">
        <v>17256</v>
      </c>
      <c r="X3296">
        <v>3</v>
      </c>
      <c r="Y3296" t="s">
        <v>24116</v>
      </c>
      <c r="Z3296" t="s">
        <v>31006</v>
      </c>
      <c r="AA3296">
        <v>0.66910908518382972</v>
      </c>
      <c r="AB3296" t="str">
        <f>HYPERLINK("Melting_Curves/meltCurve_Q02383_SEMG2.pdf", "Melting_Curves/meltCurve_Q02383_SEMG2.pdf")</f>
        <v>Melting_Curves/meltCurve_Q02383_SEMG2.pdf</v>
      </c>
    </row>
    <row r="3297" spans="1:28" x14ac:dyDescent="0.25">
      <c r="A3297" t="s">
        <v>3301</v>
      </c>
      <c r="B3297">
        <v>0.99999676499088797</v>
      </c>
      <c r="C3297">
        <v>0.824686773214654</v>
      </c>
      <c r="D3297">
        <v>0.84603243970174002</v>
      </c>
      <c r="E3297">
        <v>0.45143867851802599</v>
      </c>
      <c r="F3297">
        <v>0.52093079134567299</v>
      </c>
      <c r="G3297">
        <v>0.188193661265742</v>
      </c>
      <c r="H3297">
        <v>0.100326767196142</v>
      </c>
      <c r="I3297">
        <v>9.4392754147489197E-2</v>
      </c>
      <c r="J3297">
        <v>0.118656335950992</v>
      </c>
      <c r="K3297">
        <v>0.139725403396882</v>
      </c>
      <c r="L3297">
        <v>621.23389991653801</v>
      </c>
      <c r="M3297">
        <v>12.384135330315599</v>
      </c>
      <c r="N3297">
        <v>50.714900759695603</v>
      </c>
      <c r="O3297">
        <v>48.909517451031498</v>
      </c>
      <c r="P3297">
        <v>-5.9327958006348297E-2</v>
      </c>
      <c r="Q3297">
        <v>6.2967847040428501E-2</v>
      </c>
      <c r="R3297">
        <v>0.94900403873555905</v>
      </c>
      <c r="S3297" t="s">
        <v>10300</v>
      </c>
      <c r="T3297" t="s">
        <v>14004</v>
      </c>
      <c r="U3297" t="s">
        <v>14004</v>
      </c>
      <c r="V3297" t="s">
        <v>14004</v>
      </c>
      <c r="W3297" t="s">
        <v>17257</v>
      </c>
      <c r="X3297">
        <v>2</v>
      </c>
      <c r="Y3297" t="s">
        <v>24117</v>
      </c>
      <c r="Z3297" t="s">
        <v>31007</v>
      </c>
      <c r="AA3297">
        <v>0.41101162076000519</v>
      </c>
      <c r="AB3297" t="str">
        <f>HYPERLINK("Melting_Curves/meltCurve_Q02410_APBA1.pdf", "Melting_Curves/meltCurve_Q02410_APBA1.pdf")</f>
        <v>Melting_Curves/meltCurve_Q02410_APBA1.pdf</v>
      </c>
    </row>
    <row r="3298" spans="1:28" x14ac:dyDescent="0.25">
      <c r="A3298" t="s">
        <v>3302</v>
      </c>
      <c r="B3298">
        <v>0.99999676499088797</v>
      </c>
      <c r="C3298">
        <v>1.1790085369349099</v>
      </c>
      <c r="D3298">
        <v>1.07868399080148</v>
      </c>
      <c r="E3298">
        <v>0.88317313230912298</v>
      </c>
      <c r="F3298">
        <v>0.58500629480671995</v>
      </c>
      <c r="G3298">
        <v>0.48291186343037601</v>
      </c>
      <c r="H3298">
        <v>0.18903406622344399</v>
      </c>
      <c r="I3298">
        <v>0.20834484028653899</v>
      </c>
      <c r="J3298">
        <v>0.16139734832316199</v>
      </c>
      <c r="K3298">
        <v>0.20055698401220301</v>
      </c>
      <c r="L3298">
        <v>1117.02166601003</v>
      </c>
      <c r="M3298">
        <v>20.669449607397699</v>
      </c>
      <c r="N3298">
        <v>55.142381596587803</v>
      </c>
      <c r="O3298">
        <v>53.543934587991899</v>
      </c>
      <c r="P3298">
        <v>-8.0202326152226E-2</v>
      </c>
      <c r="Q3298">
        <v>0.16897153465043299</v>
      </c>
      <c r="R3298">
        <v>0.95942661767688897</v>
      </c>
      <c r="S3298" t="s">
        <v>10301</v>
      </c>
      <c r="T3298" t="s">
        <v>14004</v>
      </c>
      <c r="U3298" t="s">
        <v>14004</v>
      </c>
      <c r="V3298" t="s">
        <v>14004</v>
      </c>
      <c r="W3298" t="s">
        <v>17258</v>
      </c>
      <c r="X3298">
        <v>5</v>
      </c>
      <c r="Y3298" t="s">
        <v>24118</v>
      </c>
      <c r="Z3298" t="s">
        <v>31008</v>
      </c>
      <c r="AA3298">
        <v>0.56865213857394348</v>
      </c>
      <c r="AB3298" t="str">
        <f>HYPERLINK("Melting_Curves/meltCurve_Q02446_SP4.pdf", "Melting_Curves/meltCurve_Q02446_SP4.pdf")</f>
        <v>Melting_Curves/meltCurve_Q02446_SP4.pdf</v>
      </c>
    </row>
    <row r="3299" spans="1:28" x14ac:dyDescent="0.25">
      <c r="A3299" t="s">
        <v>3303</v>
      </c>
      <c r="B3299">
        <v>0.99999676499088797</v>
      </c>
      <c r="C3299">
        <v>0.99281315447253005</v>
      </c>
      <c r="D3299">
        <v>0.86827899208580095</v>
      </c>
      <c r="E3299">
        <v>0.62232782325146196</v>
      </c>
      <c r="F3299">
        <v>0.37446235213741003</v>
      </c>
      <c r="G3299">
        <v>0.27023873672424598</v>
      </c>
      <c r="H3299">
        <v>0.16043158920359901</v>
      </c>
      <c r="I3299">
        <v>0.170435332176814</v>
      </c>
      <c r="J3299">
        <v>0.183764441857968</v>
      </c>
      <c r="K3299">
        <v>0.16632412713719</v>
      </c>
      <c r="L3299">
        <v>953.72732546306304</v>
      </c>
      <c r="M3299">
        <v>19.003545533713499</v>
      </c>
      <c r="N3299">
        <v>51.243558846228296</v>
      </c>
      <c r="O3299">
        <v>49.640997600591398</v>
      </c>
      <c r="P3299">
        <v>-8.0192972879153099E-2</v>
      </c>
      <c r="Q3299">
        <v>0.16211443442392101</v>
      </c>
      <c r="R3299">
        <v>0.99774853972048205</v>
      </c>
      <c r="S3299" t="s">
        <v>10302</v>
      </c>
      <c r="T3299" t="s">
        <v>14004</v>
      </c>
      <c r="U3299" t="s">
        <v>14004</v>
      </c>
      <c r="V3299" t="s">
        <v>14004</v>
      </c>
      <c r="W3299" t="s">
        <v>17259</v>
      </c>
      <c r="X3299">
        <v>11</v>
      </c>
      <c r="Y3299" t="s">
        <v>24119</v>
      </c>
      <c r="Z3299" t="s">
        <v>31009</v>
      </c>
      <c r="AA3299">
        <v>0.45948818183017032</v>
      </c>
      <c r="AB3299" t="str">
        <f>HYPERLINK("Melting_Curves/meltCurve_Q02447_3_SP3.pdf", "Melting_Curves/meltCurve_Q02447_3_SP3.pdf")</f>
        <v>Melting_Curves/meltCurve_Q02447_3_SP3.pdf</v>
      </c>
    </row>
    <row r="3300" spans="1:28" x14ac:dyDescent="0.25">
      <c r="A3300" t="s">
        <v>3304</v>
      </c>
      <c r="B3300">
        <v>0.99999676499088797</v>
      </c>
      <c r="C3300">
        <v>0.72504881014324296</v>
      </c>
      <c r="D3300">
        <v>0.46327206459294001</v>
      </c>
      <c r="E3300">
        <v>0.23595755318375999</v>
      </c>
      <c r="F3300">
        <v>0.16543502283898501</v>
      </c>
      <c r="G3300">
        <v>0.114919824227367</v>
      </c>
      <c r="H3300">
        <v>7.4081487784681904E-2</v>
      </c>
      <c r="I3300">
        <v>7.73869749219082E-2</v>
      </c>
      <c r="J3300">
        <v>7.9904377109791105E-2</v>
      </c>
      <c r="K3300">
        <v>9.0674928055374096E-2</v>
      </c>
      <c r="L3300">
        <v>867.21014599948296</v>
      </c>
      <c r="M3300">
        <v>19.1905557909196</v>
      </c>
      <c r="N3300">
        <v>45.645822275045802</v>
      </c>
      <c r="O3300">
        <v>44.707309840312199</v>
      </c>
      <c r="P3300">
        <v>-9.7947872617438703E-2</v>
      </c>
      <c r="Q3300">
        <v>8.7297335401205697E-2</v>
      </c>
      <c r="R3300">
        <v>0.991792074128378</v>
      </c>
      <c r="S3300" t="s">
        <v>10303</v>
      </c>
      <c r="T3300" t="s">
        <v>14004</v>
      </c>
      <c r="U3300" t="s">
        <v>14004</v>
      </c>
      <c r="V3300" t="s">
        <v>14004</v>
      </c>
      <c r="W3300" t="s">
        <v>17260</v>
      </c>
      <c r="X3300">
        <v>2</v>
      </c>
      <c r="Y3300" t="s">
        <v>24120</v>
      </c>
      <c r="Z3300" t="s">
        <v>31010</v>
      </c>
      <c r="AA3300">
        <v>0.26183450280817477</v>
      </c>
      <c r="AB3300" t="str">
        <f>HYPERLINK("Melting_Curves/meltCurve_Q02535_ID3.pdf", "Melting_Curves/meltCurve_Q02535_ID3.pdf")</f>
        <v>Melting_Curves/meltCurve_Q02535_ID3.pdf</v>
      </c>
    </row>
    <row r="3301" spans="1:28" x14ac:dyDescent="0.25">
      <c r="A3301" t="s">
        <v>3305</v>
      </c>
      <c r="B3301">
        <v>0.99999676499088797</v>
      </c>
      <c r="C3301">
        <v>1.10199538659487</v>
      </c>
      <c r="D3301">
        <v>1.2009287126978501</v>
      </c>
      <c r="E3301">
        <v>1.38234232690992</v>
      </c>
      <c r="F3301">
        <v>1.3516519883656</v>
      </c>
      <c r="G3301">
        <v>1.08353780046615</v>
      </c>
      <c r="H3301">
        <v>0.21963703228794099</v>
      </c>
      <c r="I3301">
        <v>0.18558746886821001</v>
      </c>
      <c r="J3301">
        <v>0.151046913039834</v>
      </c>
      <c r="K3301">
        <v>0.15289840475204899</v>
      </c>
      <c r="L3301">
        <v>15000</v>
      </c>
      <c r="M3301">
        <v>249.336746037545</v>
      </c>
      <c r="N3301">
        <v>60.255072675673198</v>
      </c>
      <c r="O3301">
        <v>60.155733710523897</v>
      </c>
      <c r="P3301">
        <v>-0.86712699939349802</v>
      </c>
      <c r="Q3301">
        <v>0.16317731837987301</v>
      </c>
      <c r="R3301">
        <v>0.87209062415207295</v>
      </c>
      <c r="S3301" t="s">
        <v>10304</v>
      </c>
      <c r="T3301" t="s">
        <v>14004</v>
      </c>
      <c r="U3301" t="s">
        <v>14004</v>
      </c>
      <c r="V3301" t="s">
        <v>14004</v>
      </c>
      <c r="W3301" t="s">
        <v>17261</v>
      </c>
      <c r="X3301">
        <v>8</v>
      </c>
      <c r="Y3301" t="s">
        <v>24121</v>
      </c>
      <c r="Z3301" t="s">
        <v>31011</v>
      </c>
      <c r="AA3301">
        <v>0.72559994689311047</v>
      </c>
      <c r="AB3301" t="str">
        <f>HYPERLINK("Melting_Curves/meltCurve_Q02543_RPL18A.pdf", "Melting_Curves/meltCurve_Q02543_RPL18A.pdf")</f>
        <v>Melting_Curves/meltCurve_Q02543_RPL18A.pdf</v>
      </c>
    </row>
    <row r="3302" spans="1:28" x14ac:dyDescent="0.25">
      <c r="A3302" t="s">
        <v>3306</v>
      </c>
      <c r="B3302">
        <v>0.99999676499088797</v>
      </c>
      <c r="C3302">
        <v>1.0199573472105099</v>
      </c>
      <c r="D3302">
        <v>1.04912799024765</v>
      </c>
      <c r="E3302">
        <v>1.10494413966994</v>
      </c>
      <c r="F3302">
        <v>0.83529479422919894</v>
      </c>
      <c r="G3302">
        <v>0.38057313570058399</v>
      </c>
      <c r="H3302">
        <v>0.12750586548895401</v>
      </c>
      <c r="I3302">
        <v>0.143367946668289</v>
      </c>
      <c r="J3302">
        <v>0.13496541676714299</v>
      </c>
      <c r="K3302">
        <v>0.119380804950017</v>
      </c>
      <c r="L3302">
        <v>2174.0444459581799</v>
      </c>
      <c r="M3302">
        <v>39.230468768914299</v>
      </c>
      <c r="N3302">
        <v>55.826930577370099</v>
      </c>
      <c r="O3302">
        <v>55.273848531884198</v>
      </c>
      <c r="P3302">
        <v>-0.15524309875503201</v>
      </c>
      <c r="Q3302">
        <v>0.12508189136745601</v>
      </c>
      <c r="R3302">
        <v>0.99027158151720196</v>
      </c>
      <c r="S3302" t="s">
        <v>10305</v>
      </c>
      <c r="T3302" t="s">
        <v>14004</v>
      </c>
      <c r="U3302" t="s">
        <v>14004</v>
      </c>
      <c r="V3302" t="s">
        <v>14004</v>
      </c>
      <c r="W3302" t="s">
        <v>17262</v>
      </c>
      <c r="X3302">
        <v>19</v>
      </c>
      <c r="Y3302" t="s">
        <v>24122</v>
      </c>
      <c r="Z3302" t="s">
        <v>31012</v>
      </c>
      <c r="AA3302">
        <v>0.57817600839488092</v>
      </c>
      <c r="AB3302" t="str">
        <f>HYPERLINK("Melting_Curves/meltCurve_Q02750_MAP2K1.pdf", "Melting_Curves/meltCurve_Q02750_MAP2K1.pdf")</f>
        <v>Melting_Curves/meltCurve_Q02750_MAP2K1.pdf</v>
      </c>
    </row>
    <row r="3303" spans="1:28" x14ac:dyDescent="0.25">
      <c r="A3303" t="s">
        <v>3307</v>
      </c>
      <c r="B3303">
        <v>0.99999676499088797</v>
      </c>
      <c r="C3303">
        <v>0.93255196096403703</v>
      </c>
      <c r="D3303">
        <v>0.94963861171164199</v>
      </c>
      <c r="E3303">
        <v>0.52214186012617403</v>
      </c>
      <c r="F3303">
        <v>0.226849354147004</v>
      </c>
      <c r="G3303">
        <v>0.15141647534004399</v>
      </c>
      <c r="H3303">
        <v>7.6424709358753604E-2</v>
      </c>
      <c r="I3303">
        <v>7.0331868881253201E-2</v>
      </c>
      <c r="J3303">
        <v>5.9165644440584697E-2</v>
      </c>
      <c r="K3303">
        <v>5.8868081065416397E-2</v>
      </c>
      <c r="L3303">
        <v>1286.2655321045199</v>
      </c>
      <c r="M3303">
        <v>25.873744883956402</v>
      </c>
      <c r="N3303">
        <v>50.0193769725593</v>
      </c>
      <c r="O3303">
        <v>49.419022158726399</v>
      </c>
      <c r="P3303">
        <v>-0.121303956688862</v>
      </c>
      <c r="Q3303">
        <v>7.3245082163473502E-2</v>
      </c>
      <c r="R3303">
        <v>0.994208045197015</v>
      </c>
      <c r="S3303" t="s">
        <v>10306</v>
      </c>
      <c r="T3303" t="s">
        <v>14004</v>
      </c>
      <c r="U3303" t="s">
        <v>14004</v>
      </c>
      <c r="V3303" t="s">
        <v>14004</v>
      </c>
      <c r="W3303" t="s">
        <v>17263</v>
      </c>
      <c r="X3303">
        <v>47</v>
      </c>
      <c r="Y3303" t="s">
        <v>24123</v>
      </c>
      <c r="Z3303" t="s">
        <v>31013</v>
      </c>
      <c r="AA3303">
        <v>0.38100688090055151</v>
      </c>
      <c r="AB3303" t="str">
        <f>HYPERLINK("Melting_Curves/meltCurve_Q02790_FKBP4.pdf", "Melting_Curves/meltCurve_Q02790_FKBP4.pdf")</f>
        <v>Melting_Curves/meltCurve_Q02790_FKBP4.pdf</v>
      </c>
    </row>
    <row r="3304" spans="1:28" x14ac:dyDescent="0.25">
      <c r="A3304" t="s">
        <v>3308</v>
      </c>
      <c r="B3304">
        <v>0.99999676499088797</v>
      </c>
      <c r="C3304">
        <v>0.96554281446402701</v>
      </c>
      <c r="D3304">
        <v>0.97253562524981696</v>
      </c>
      <c r="E3304">
        <v>0.74945654553362695</v>
      </c>
      <c r="F3304">
        <v>0.35996951175604303</v>
      </c>
      <c r="G3304">
        <v>0.25417978463678098</v>
      </c>
      <c r="H3304">
        <v>0.118122508429038</v>
      </c>
      <c r="I3304">
        <v>0.111313298305908</v>
      </c>
      <c r="J3304">
        <v>0.11412455985620699</v>
      </c>
      <c r="K3304">
        <v>0.10211059305376</v>
      </c>
      <c r="L3304">
        <v>1215.78697268156</v>
      </c>
      <c r="M3304">
        <v>23.6177361151274</v>
      </c>
      <c r="N3304">
        <v>52.025897199262197</v>
      </c>
      <c r="O3304">
        <v>51.112922396551802</v>
      </c>
      <c r="P3304">
        <v>-0.102794515046051</v>
      </c>
      <c r="Q3304">
        <v>0.110153745635618</v>
      </c>
      <c r="R3304">
        <v>0.99585488916328901</v>
      </c>
      <c r="S3304" t="s">
        <v>10307</v>
      </c>
      <c r="T3304" t="s">
        <v>14004</v>
      </c>
      <c r="U3304" t="s">
        <v>14004</v>
      </c>
      <c r="V3304" t="s">
        <v>14004</v>
      </c>
      <c r="W3304" t="s">
        <v>17264</v>
      </c>
      <c r="X3304">
        <v>10</v>
      </c>
      <c r="Y3304" t="s">
        <v>24124</v>
      </c>
      <c r="Z3304" t="s">
        <v>31014</v>
      </c>
      <c r="AA3304">
        <v>0.45962145315182101</v>
      </c>
      <c r="AB3304" t="str">
        <f>HYPERLINK("Melting_Curves/meltCurve_Q02809_PLOD1.pdf", "Melting_Curves/meltCurve_Q02809_PLOD1.pdf")</f>
        <v>Melting_Curves/meltCurve_Q02809_PLOD1.pdf</v>
      </c>
    </row>
    <row r="3305" spans="1:28" x14ac:dyDescent="0.25">
      <c r="A3305" t="s">
        <v>3309</v>
      </c>
      <c r="B3305">
        <v>0.99999676499088797</v>
      </c>
      <c r="C3305">
        <v>0.97441740219408701</v>
      </c>
      <c r="D3305">
        <v>0.98166123811778605</v>
      </c>
      <c r="E3305">
        <v>0.85989401318040104</v>
      </c>
      <c r="F3305">
        <v>0.76737155663999401</v>
      </c>
      <c r="G3305">
        <v>0.60956660090477799</v>
      </c>
      <c r="H3305">
        <v>0.39424721422739001</v>
      </c>
      <c r="I3305">
        <v>0.39497855765010398</v>
      </c>
      <c r="J3305">
        <v>0.37465312928016797</v>
      </c>
      <c r="K3305">
        <v>0.41579446409647403</v>
      </c>
      <c r="L3305">
        <v>927.91005888134998</v>
      </c>
      <c r="M3305">
        <v>17.009332655928201</v>
      </c>
      <c r="N3305">
        <v>58.896782630984802</v>
      </c>
      <c r="O3305">
        <v>53.815703532848303</v>
      </c>
      <c r="P3305">
        <v>-5.0780148795965901E-2</v>
      </c>
      <c r="Q3305">
        <v>0.35738794011896202</v>
      </c>
      <c r="R3305">
        <v>0.98579719882527606</v>
      </c>
      <c r="S3305" t="s">
        <v>10308</v>
      </c>
      <c r="T3305" t="s">
        <v>14004</v>
      </c>
      <c r="U3305" t="s">
        <v>14004</v>
      </c>
      <c r="V3305" t="s">
        <v>14004</v>
      </c>
      <c r="W3305" t="s">
        <v>17265</v>
      </c>
      <c r="X3305">
        <v>19</v>
      </c>
      <c r="Y3305" t="s">
        <v>24125</v>
      </c>
      <c r="Z3305" t="s">
        <v>31015</v>
      </c>
      <c r="AA3305">
        <v>0.6800435890767067</v>
      </c>
      <c r="AB3305" t="str">
        <f>HYPERLINK("Melting_Curves/meltCurve_Q02818_NUCB1.pdf", "Melting_Curves/meltCurve_Q02818_NUCB1.pdf")</f>
        <v>Melting_Curves/meltCurve_Q02818_NUCB1.pdf</v>
      </c>
    </row>
    <row r="3306" spans="1:28" x14ac:dyDescent="0.25">
      <c r="A3306" t="s">
        <v>3310</v>
      </c>
      <c r="B3306">
        <v>0.99999676499088797</v>
      </c>
      <c r="C3306">
        <v>0.84374772658001196</v>
      </c>
      <c r="D3306">
        <v>0.51145611090747001</v>
      </c>
      <c r="E3306">
        <v>0.33503606025991201</v>
      </c>
      <c r="F3306">
        <v>0.27899393653924998</v>
      </c>
      <c r="G3306">
        <v>0.19754632328532401</v>
      </c>
      <c r="H3306">
        <v>9.8396576226571705E-2</v>
      </c>
      <c r="I3306">
        <v>9.2265022265689098E-2</v>
      </c>
      <c r="J3306">
        <v>0.10689844564951601</v>
      </c>
      <c r="K3306">
        <v>0.10542371137993201</v>
      </c>
      <c r="L3306">
        <v>762.139545263017</v>
      </c>
      <c r="M3306">
        <v>16.461939891793399</v>
      </c>
      <c r="N3306">
        <v>47.031962210928498</v>
      </c>
      <c r="O3306">
        <v>45.630053536176497</v>
      </c>
      <c r="P3306">
        <v>-7.9969950969094095E-2</v>
      </c>
      <c r="Q3306">
        <v>0.11340285333664001</v>
      </c>
      <c r="R3306">
        <v>0.980431403391268</v>
      </c>
      <c r="S3306" t="s">
        <v>10309</v>
      </c>
      <c r="T3306" t="s">
        <v>14004</v>
      </c>
      <c r="U3306" t="s">
        <v>14004</v>
      </c>
      <c r="V3306" t="s">
        <v>14004</v>
      </c>
      <c r="W3306" t="s">
        <v>17266</v>
      </c>
      <c r="X3306">
        <v>2</v>
      </c>
      <c r="Y3306" t="s">
        <v>24126</v>
      </c>
      <c r="Z3306" t="s">
        <v>31016</v>
      </c>
      <c r="AA3306">
        <v>0.32023823971611493</v>
      </c>
      <c r="AB3306" t="str">
        <f>HYPERLINK("Melting_Curves/meltCurve_Q02833_3_RASSF7.pdf", "Melting_Curves/meltCurve_Q02833_3_RASSF7.pdf")</f>
        <v>Melting_Curves/meltCurve_Q02833_3_RASSF7.pdf</v>
      </c>
    </row>
    <row r="3307" spans="1:28" x14ac:dyDescent="0.25">
      <c r="A3307" t="s">
        <v>3311</v>
      </c>
      <c r="B3307">
        <v>0.99999676499088797</v>
      </c>
      <c r="C3307">
        <v>1.03067318273554</v>
      </c>
      <c r="D3307">
        <v>0.96697272501615705</v>
      </c>
      <c r="E3307">
        <v>0.47948759123857498</v>
      </c>
      <c r="F3307">
        <v>0.29002550629686902</v>
      </c>
      <c r="G3307">
        <v>0.19072278515039601</v>
      </c>
      <c r="H3307">
        <v>0.105072567856033</v>
      </c>
      <c r="I3307">
        <v>9.5710990774762E-2</v>
      </c>
      <c r="J3307">
        <v>9.3523672512107997E-2</v>
      </c>
      <c r="K3307">
        <v>8.2319003825078202E-2</v>
      </c>
      <c r="L3307">
        <v>1342.4291066958101</v>
      </c>
      <c r="M3307">
        <v>27.124743568488402</v>
      </c>
      <c r="N3307">
        <v>49.958304256417399</v>
      </c>
      <c r="O3307">
        <v>49.224292550054798</v>
      </c>
      <c r="P3307">
        <v>-0.12232559127817801</v>
      </c>
      <c r="Q3307">
        <v>0.11205324746954801</v>
      </c>
      <c r="R3307">
        <v>0.987492768428889</v>
      </c>
      <c r="S3307" t="s">
        <v>10310</v>
      </c>
      <c r="T3307" t="s">
        <v>14004</v>
      </c>
      <c r="U3307" t="s">
        <v>14004</v>
      </c>
      <c r="V3307" t="s">
        <v>14004</v>
      </c>
      <c r="W3307" t="s">
        <v>17267</v>
      </c>
      <c r="X3307">
        <v>33</v>
      </c>
      <c r="Y3307" t="s">
        <v>24127</v>
      </c>
      <c r="Z3307" t="s">
        <v>31017</v>
      </c>
      <c r="AA3307">
        <v>0.39965734045207402</v>
      </c>
      <c r="AB3307" t="str">
        <f>HYPERLINK("Melting_Curves/meltCurve_Q02880_2_TOP2B.pdf", "Melting_Curves/meltCurve_Q02880_2_TOP2B.pdf")</f>
        <v>Melting_Curves/meltCurve_Q02880_2_TOP2B.pdf</v>
      </c>
    </row>
    <row r="3308" spans="1:28" x14ac:dyDescent="0.25">
      <c r="A3308" t="s">
        <v>3312</v>
      </c>
      <c r="B3308">
        <v>0.99999676499088797</v>
      </c>
      <c r="C3308">
        <v>0.86092862020322103</v>
      </c>
      <c r="D3308">
        <v>0.69903122097618797</v>
      </c>
      <c r="E3308">
        <v>0.42994518425941602</v>
      </c>
      <c r="F3308">
        <v>0.196905940104355</v>
      </c>
      <c r="G3308">
        <v>9.4070168527639095E-2</v>
      </c>
      <c r="H3308">
        <v>6.8791819302467194E-2</v>
      </c>
      <c r="I3308">
        <v>4.0697416476101797E-2</v>
      </c>
      <c r="J3308">
        <v>4.6413507986659601E-2</v>
      </c>
      <c r="K3308">
        <v>3.61333349560264E-2</v>
      </c>
      <c r="L3308">
        <v>779.29596818852599</v>
      </c>
      <c r="M3308">
        <v>16.133583630451302</v>
      </c>
      <c r="N3308">
        <v>48.472882172094003</v>
      </c>
      <c r="O3308">
        <v>47.578918147815102</v>
      </c>
      <c r="P3308">
        <v>-8.2445408413394997E-2</v>
      </c>
      <c r="Q3308">
        <v>2.7528046090087001E-2</v>
      </c>
      <c r="R3308">
        <v>0.99801137413774998</v>
      </c>
      <c r="S3308" t="s">
        <v>10311</v>
      </c>
      <c r="T3308" t="s">
        <v>14004</v>
      </c>
      <c r="U3308" t="s">
        <v>14004</v>
      </c>
      <c r="V3308" t="s">
        <v>14004</v>
      </c>
      <c r="W3308" t="s">
        <v>17268</v>
      </c>
      <c r="X3308">
        <v>12</v>
      </c>
      <c r="Y3308" t="s">
        <v>24128</v>
      </c>
      <c r="Z3308" t="s">
        <v>31018</v>
      </c>
      <c r="AA3308">
        <v>0.31803888394208552</v>
      </c>
      <c r="AB3308" t="str">
        <f>HYPERLINK("Melting_Curves/meltCurve_Q03013_GSTM4.pdf", "Melting_Curves/meltCurve_Q03013_GSTM4.pdf")</f>
        <v>Melting_Curves/meltCurve_Q03013_GSTM4.pdf</v>
      </c>
    </row>
    <row r="3309" spans="1:28" x14ac:dyDescent="0.25">
      <c r="A3309" t="s">
        <v>3313</v>
      </c>
      <c r="B3309">
        <v>0.99999676499088797</v>
      </c>
      <c r="C3309">
        <v>0.99765638768723097</v>
      </c>
      <c r="D3309">
        <v>0.92897824225145798</v>
      </c>
      <c r="E3309">
        <v>0.69179768999103197</v>
      </c>
      <c r="F3309">
        <v>0.495665389795726</v>
      </c>
      <c r="G3309">
        <v>0.29095594683339998</v>
      </c>
      <c r="H3309">
        <v>0.15080364477710001</v>
      </c>
      <c r="I3309">
        <v>0.121534912307791</v>
      </c>
      <c r="J3309">
        <v>0.10340668820981599</v>
      </c>
      <c r="K3309">
        <v>7.7362939992473997E-2</v>
      </c>
      <c r="L3309">
        <v>818.88394120933106</v>
      </c>
      <c r="M3309">
        <v>15.6205246029098</v>
      </c>
      <c r="N3309">
        <v>52.9054049243409</v>
      </c>
      <c r="O3309">
        <v>51.586953150962501</v>
      </c>
      <c r="P3309">
        <v>-7.0687051723539701E-2</v>
      </c>
      <c r="Q3309">
        <v>6.6301426261581198E-2</v>
      </c>
      <c r="R3309">
        <v>0.997650899560795</v>
      </c>
      <c r="S3309" t="s">
        <v>10312</v>
      </c>
      <c r="T3309" t="s">
        <v>14004</v>
      </c>
      <c r="U3309" t="s">
        <v>14004</v>
      </c>
      <c r="V3309" t="s">
        <v>14004</v>
      </c>
      <c r="W3309" t="s">
        <v>17269</v>
      </c>
      <c r="X3309">
        <v>7</v>
      </c>
      <c r="Y3309" t="s">
        <v>24129</v>
      </c>
      <c r="Z3309" t="s">
        <v>31019</v>
      </c>
      <c r="AA3309">
        <v>0.47231327964403119</v>
      </c>
      <c r="AB3309" t="str">
        <f>HYPERLINK("Melting_Curves/meltCurve_Q03111_MLLT1.pdf", "Melting_Curves/meltCurve_Q03111_MLLT1.pdf")</f>
        <v>Melting_Curves/meltCurve_Q03111_MLLT1.pdf</v>
      </c>
    </row>
    <row r="3310" spans="1:28" x14ac:dyDescent="0.25">
      <c r="A3310" t="s">
        <v>3314</v>
      </c>
      <c r="B3310">
        <v>0.99999676499088797</v>
      </c>
      <c r="C3310">
        <v>0.82173402420659503</v>
      </c>
      <c r="D3310">
        <v>0.49995710939697902</v>
      </c>
      <c r="E3310">
        <v>0.39415393171431901</v>
      </c>
      <c r="F3310">
        <v>0.27355125084179499</v>
      </c>
      <c r="G3310">
        <v>0.27021102543179898</v>
      </c>
      <c r="H3310">
        <v>0.3796691581253</v>
      </c>
      <c r="I3310">
        <v>0.66344157573760798</v>
      </c>
      <c r="J3310">
        <v>0.85784320666802305</v>
      </c>
      <c r="K3310">
        <v>1.0419593587717499</v>
      </c>
      <c r="L3310">
        <v>10743.461862046899</v>
      </c>
      <c r="M3310">
        <v>250</v>
      </c>
      <c r="O3310">
        <v>42.971097331108602</v>
      </c>
      <c r="P3310">
        <v>-0.65800285504492195</v>
      </c>
      <c r="Q3310">
        <v>0.54759832407884301</v>
      </c>
      <c r="R3310">
        <v>0.28841801419548801</v>
      </c>
      <c r="S3310" t="s">
        <v>10313</v>
      </c>
      <c r="T3310" t="s">
        <v>14004</v>
      </c>
      <c r="U3310" t="s">
        <v>14004</v>
      </c>
      <c r="V3310" t="s">
        <v>14004</v>
      </c>
      <c r="W3310" t="s">
        <v>17270</v>
      </c>
      <c r="X3310">
        <v>3</v>
      </c>
      <c r="Y3310" t="s">
        <v>24130</v>
      </c>
      <c r="Z3310" t="s">
        <v>31020</v>
      </c>
      <c r="AA3310">
        <v>0.59247822917321469</v>
      </c>
      <c r="AB3310" t="str">
        <f>HYPERLINK("Melting_Curves/meltCurve_Q03164_2_MLL.pdf", "Melting_Curves/meltCurve_Q03164_2_MLL.pdf")</f>
        <v>Melting_Curves/meltCurve_Q03164_2_MLL.pdf</v>
      </c>
    </row>
    <row r="3311" spans="1:28" x14ac:dyDescent="0.25">
      <c r="A3311" t="s">
        <v>3315</v>
      </c>
      <c r="B3311">
        <v>0.99999676499088797</v>
      </c>
      <c r="C3311">
        <v>0.93505806651980505</v>
      </c>
      <c r="D3311">
        <v>0.95867300646315001</v>
      </c>
      <c r="E3311">
        <v>0.96925216995325003</v>
      </c>
      <c r="F3311">
        <v>1.0166661713929099</v>
      </c>
      <c r="G3311">
        <v>0.84984066527311297</v>
      </c>
      <c r="H3311">
        <v>0.67261052226516005</v>
      </c>
      <c r="I3311">
        <v>0.65008302826373099</v>
      </c>
      <c r="J3311">
        <v>0.59105175465814497</v>
      </c>
      <c r="K3311">
        <v>0.67719052069812402</v>
      </c>
      <c r="L3311">
        <v>2794.15250861084</v>
      </c>
      <c r="M3311">
        <v>48.811383166782797</v>
      </c>
      <c r="O3311">
        <v>57.148033679452098</v>
      </c>
      <c r="P3311">
        <v>-7.6493400279447302E-2</v>
      </c>
      <c r="Q3311">
        <v>0.64176853540992795</v>
      </c>
      <c r="R3311">
        <v>0.95360413563117996</v>
      </c>
      <c r="S3311" t="s">
        <v>10314</v>
      </c>
      <c r="T3311" t="s">
        <v>14004</v>
      </c>
      <c r="U3311" t="s">
        <v>14004</v>
      </c>
      <c r="V3311" t="s">
        <v>14004</v>
      </c>
      <c r="W3311" t="s">
        <v>17271</v>
      </c>
      <c r="X3311">
        <v>7</v>
      </c>
      <c r="Y3311" t="s">
        <v>24131</v>
      </c>
      <c r="Z3311" t="s">
        <v>31021</v>
      </c>
      <c r="AA3311">
        <v>0.84862481913436183</v>
      </c>
      <c r="AB3311" t="str">
        <f>HYPERLINK("Melting_Curves/meltCurve_Q03405_PLAUR.pdf", "Melting_Curves/meltCurve_Q03405_PLAUR.pdf")</f>
        <v>Melting_Curves/meltCurve_Q03405_PLAUR.pdf</v>
      </c>
    </row>
    <row r="3312" spans="1:28" x14ac:dyDescent="0.25">
      <c r="A3312" t="s">
        <v>3316</v>
      </c>
      <c r="B3312">
        <v>0.99999676499088797</v>
      </c>
      <c r="C3312">
        <v>1.02679038763158</v>
      </c>
      <c r="D3312">
        <v>0.84882018633345502</v>
      </c>
      <c r="E3312">
        <v>0.288797478128545</v>
      </c>
      <c r="F3312">
        <v>0.228918438289481</v>
      </c>
      <c r="G3312">
        <v>0.12508723755433601</v>
      </c>
      <c r="H3312">
        <v>7.5098989566283594E-2</v>
      </c>
      <c r="I3312">
        <v>6.1126553213452402E-2</v>
      </c>
      <c r="J3312">
        <v>6.8523662098238902E-2</v>
      </c>
      <c r="K3312">
        <v>4.3854711855151898E-2</v>
      </c>
      <c r="L3312">
        <v>1631.57884644248</v>
      </c>
      <c r="M3312">
        <v>33.959372092743003</v>
      </c>
      <c r="N3312">
        <v>48.326168542475003</v>
      </c>
      <c r="O3312">
        <v>47.879322090995601</v>
      </c>
      <c r="P3312">
        <v>-0.16142435517687601</v>
      </c>
      <c r="Q3312">
        <v>8.9634476195448107E-2</v>
      </c>
      <c r="R3312">
        <v>0.98750481898730302</v>
      </c>
      <c r="S3312" t="s">
        <v>10315</v>
      </c>
      <c r="T3312" t="s">
        <v>14004</v>
      </c>
      <c r="U3312" t="s">
        <v>14004</v>
      </c>
      <c r="V3312" t="s">
        <v>14004</v>
      </c>
      <c r="W3312" t="s">
        <v>17272</v>
      </c>
      <c r="X3312">
        <v>6</v>
      </c>
      <c r="Y3312" t="s">
        <v>24132</v>
      </c>
      <c r="Z3312" t="s">
        <v>31022</v>
      </c>
      <c r="AA3312">
        <v>0.33800357318342028</v>
      </c>
      <c r="AB3312" t="str">
        <f>HYPERLINK("Melting_Curves/meltCurve_Q03519_TAP2.pdf", "Melting_Curves/meltCurve_Q03519_TAP2.pdf")</f>
        <v>Melting_Curves/meltCurve_Q03519_TAP2.pdf</v>
      </c>
    </row>
    <row r="3313" spans="1:28" x14ac:dyDescent="0.25">
      <c r="A3313" t="s">
        <v>3317</v>
      </c>
      <c r="B3313">
        <v>0.99999676499088797</v>
      </c>
      <c r="C3313">
        <v>0.99846906863908502</v>
      </c>
      <c r="D3313">
        <v>0.83571342705853102</v>
      </c>
      <c r="E3313">
        <v>0.38986882580971499</v>
      </c>
      <c r="F3313">
        <v>0.31143382187506502</v>
      </c>
      <c r="G3313">
        <v>0.219262472561459</v>
      </c>
      <c r="H3313">
        <v>9.6620621119064901E-2</v>
      </c>
      <c r="I3313">
        <v>9.6578894033525306E-2</v>
      </c>
      <c r="J3313">
        <v>9.0089880593874697E-2</v>
      </c>
      <c r="K3313">
        <v>6.8740693377252499E-2</v>
      </c>
      <c r="L3313">
        <v>1000.50367063795</v>
      </c>
      <c r="M3313">
        <v>20.5070996861383</v>
      </c>
      <c r="N3313">
        <v>49.3415102192129</v>
      </c>
      <c r="O3313">
        <v>48.331338019796803</v>
      </c>
      <c r="P3313">
        <v>-9.5181735241893897E-2</v>
      </c>
      <c r="Q3313">
        <v>0.102725461632538</v>
      </c>
      <c r="R3313">
        <v>0.98256574799825103</v>
      </c>
      <c r="S3313" t="s">
        <v>10316</v>
      </c>
      <c r="T3313" t="s">
        <v>14004</v>
      </c>
      <c r="U3313" t="s">
        <v>14004</v>
      </c>
      <c r="V3313" t="s">
        <v>14004</v>
      </c>
      <c r="W3313" t="s">
        <v>17273</v>
      </c>
      <c r="X3313">
        <v>13</v>
      </c>
      <c r="Y3313" t="s">
        <v>24133</v>
      </c>
      <c r="Z3313" t="s">
        <v>31023</v>
      </c>
      <c r="AA3313">
        <v>0.3775364952415875</v>
      </c>
      <c r="AB3313" t="str">
        <f>HYPERLINK("Melting_Curves/meltCurve_Q04446_GBE1.pdf", "Melting_Curves/meltCurve_Q04446_GBE1.pdf")</f>
        <v>Melting_Curves/meltCurve_Q04446_GBE1.pdf</v>
      </c>
    </row>
    <row r="3314" spans="1:28" x14ac:dyDescent="0.25">
      <c r="A3314" t="s">
        <v>3318</v>
      </c>
      <c r="B3314">
        <v>0.99999676499088797</v>
      </c>
      <c r="C3314">
        <v>1.0146817485741599</v>
      </c>
      <c r="D3314">
        <v>0.91671140832688103</v>
      </c>
      <c r="E3314">
        <v>0.73395607452042599</v>
      </c>
      <c r="F3314">
        <v>0.36763850034926998</v>
      </c>
      <c r="G3314">
        <v>0.28357978723270899</v>
      </c>
      <c r="H3314">
        <v>0.15924533712932401</v>
      </c>
      <c r="I3314">
        <v>0.15747598894421</v>
      </c>
      <c r="J3314">
        <v>0.148694835560164</v>
      </c>
      <c r="K3314">
        <v>0.140660054039876</v>
      </c>
      <c r="L3314">
        <v>1119.7008173735501</v>
      </c>
      <c r="M3314">
        <v>21.887556875010301</v>
      </c>
      <c r="N3314">
        <v>51.983793389984498</v>
      </c>
      <c r="O3314">
        <v>50.735657439896002</v>
      </c>
      <c r="P3314">
        <v>-9.1998719331373199E-2</v>
      </c>
      <c r="Q3314">
        <v>0.147002074844643</v>
      </c>
      <c r="R3314">
        <v>0.99581278702432796</v>
      </c>
      <c r="S3314" t="s">
        <v>10317</v>
      </c>
      <c r="T3314" t="s">
        <v>14004</v>
      </c>
      <c r="U3314" t="s">
        <v>14004</v>
      </c>
      <c r="V3314" t="s">
        <v>14004</v>
      </c>
      <c r="W3314" t="s">
        <v>17274</v>
      </c>
      <c r="X3314">
        <v>5</v>
      </c>
      <c r="Y3314" t="s">
        <v>24134</v>
      </c>
      <c r="Z3314" t="s">
        <v>31024</v>
      </c>
      <c r="AA3314">
        <v>0.47421676602488638</v>
      </c>
      <c r="AB3314" t="str">
        <f>HYPERLINK("Melting_Curves/meltCurve_Q04656_5_ATP7A.pdf", "Melting_Curves/meltCurve_Q04656_5_ATP7A.pdf")</f>
        <v>Melting_Curves/meltCurve_Q04656_5_ATP7A.pdf</v>
      </c>
    </row>
    <row r="3315" spans="1:28" x14ac:dyDescent="0.25">
      <c r="A3315" t="s">
        <v>3319</v>
      </c>
      <c r="B3315">
        <v>0.99999676499088797</v>
      </c>
      <c r="C3315">
        <v>0.95486088080567899</v>
      </c>
      <c r="D3315">
        <v>1.0490313377238201</v>
      </c>
      <c r="E3315">
        <v>0.918528106442142</v>
      </c>
      <c r="F3315">
        <v>0.81720968235101099</v>
      </c>
      <c r="G3315">
        <v>0.818467404147038</v>
      </c>
      <c r="H3315">
        <v>0.55382828431104802</v>
      </c>
      <c r="I3315">
        <v>0.56239756757583403</v>
      </c>
      <c r="J3315">
        <v>0.45102766254735299</v>
      </c>
      <c r="K3315">
        <v>0.44701611774786898</v>
      </c>
      <c r="L3315">
        <v>734.56438037562896</v>
      </c>
      <c r="M3315">
        <v>12.5160038282225</v>
      </c>
      <c r="N3315">
        <v>65.408382850782004</v>
      </c>
      <c r="O3315">
        <v>57.252212818873801</v>
      </c>
      <c r="P3315">
        <v>-3.4889176482696203E-2</v>
      </c>
      <c r="Q3315">
        <v>0.361753817593643</v>
      </c>
      <c r="R3315">
        <v>0.96062390898180405</v>
      </c>
      <c r="S3315" t="s">
        <v>10318</v>
      </c>
      <c r="T3315" t="s">
        <v>14004</v>
      </c>
      <c r="U3315" t="s">
        <v>14004</v>
      </c>
      <c r="V3315" t="s">
        <v>14004</v>
      </c>
      <c r="W3315" t="s">
        <v>17275</v>
      </c>
      <c r="X3315">
        <v>3</v>
      </c>
      <c r="Y3315" t="s">
        <v>24135</v>
      </c>
      <c r="Z3315" t="s">
        <v>31025</v>
      </c>
      <c r="AA3315">
        <v>0.76581668296616001</v>
      </c>
      <c r="AB3315" t="str">
        <f>HYPERLINK("Melting_Curves/meltCurve_Q04721_NOTCH2.pdf", "Melting_Curves/meltCurve_Q04721_NOTCH2.pdf")</f>
        <v>Melting_Curves/meltCurve_Q04721_NOTCH2.pdf</v>
      </c>
    </row>
    <row r="3316" spans="1:28" x14ac:dyDescent="0.25">
      <c r="A3316" t="s">
        <v>3320</v>
      </c>
      <c r="B3316">
        <v>0.99999676499088797</v>
      </c>
      <c r="C3316">
        <v>1.11791973709341</v>
      </c>
      <c r="D3316">
        <v>1.1642167392232301</v>
      </c>
      <c r="E3316">
        <v>1.0538573958884501</v>
      </c>
      <c r="F3316">
        <v>0.68894591806313898</v>
      </c>
      <c r="G3316">
        <v>0.47594018513411002</v>
      </c>
      <c r="H3316">
        <v>0.167678535377591</v>
      </c>
      <c r="I3316">
        <v>0.100988713061716</v>
      </c>
      <c r="J3316">
        <v>0.13013963299567599</v>
      </c>
      <c r="K3316">
        <v>0.13332171707196999</v>
      </c>
      <c r="L3316">
        <v>1423.1011033623699</v>
      </c>
      <c r="M3316">
        <v>25.686743247405001</v>
      </c>
      <c r="N3316">
        <v>55.9337231864681</v>
      </c>
      <c r="O3316">
        <v>55.069648295390699</v>
      </c>
      <c r="P3316">
        <v>-0.103982700178905</v>
      </c>
      <c r="Q3316">
        <v>0.108299323177122</v>
      </c>
      <c r="R3316">
        <v>0.96529582761752597</v>
      </c>
      <c r="S3316" t="s">
        <v>10319</v>
      </c>
      <c r="T3316" t="s">
        <v>14004</v>
      </c>
      <c r="U3316" t="s">
        <v>14004</v>
      </c>
      <c r="V3316" t="s">
        <v>14004</v>
      </c>
      <c r="W3316" t="s">
        <v>17276</v>
      </c>
      <c r="X3316">
        <v>17</v>
      </c>
      <c r="Y3316" t="s">
        <v>21906</v>
      </c>
      <c r="Z3316" t="s">
        <v>31026</v>
      </c>
      <c r="AA3316">
        <v>0.57395869889267426</v>
      </c>
      <c r="AB3316" t="str">
        <f>HYPERLINK("Melting_Curves/meltCurve_Q04726_3_TLE3.pdf", "Melting_Curves/meltCurve_Q04726_3_TLE3.pdf")</f>
        <v>Melting_Curves/meltCurve_Q04726_3_TLE3.pdf</v>
      </c>
    </row>
    <row r="3317" spans="1:28" x14ac:dyDescent="0.25">
      <c r="A3317" t="s">
        <v>3321</v>
      </c>
      <c r="B3317">
        <v>0.99999676499088797</v>
      </c>
      <c r="C3317">
        <v>1.0697238721773099</v>
      </c>
      <c r="D3317">
        <v>0.87784616096741797</v>
      </c>
      <c r="E3317">
        <v>0.70181435117865498</v>
      </c>
      <c r="F3317">
        <v>0.31729919798001499</v>
      </c>
      <c r="G3317">
        <v>0.22627941315945099</v>
      </c>
      <c r="H3317">
        <v>0.100808297325949</v>
      </c>
      <c r="I3317">
        <v>8.3581152205334505E-2</v>
      </c>
      <c r="J3317">
        <v>7.7516925813440996E-2</v>
      </c>
      <c r="K3317">
        <v>6.99817796664403E-2</v>
      </c>
      <c r="L3317">
        <v>1069.12542153345</v>
      </c>
      <c r="M3317">
        <v>20.926709821784101</v>
      </c>
      <c r="N3317">
        <v>51.491632417040798</v>
      </c>
      <c r="O3317">
        <v>50.629370614950702</v>
      </c>
      <c r="P3317">
        <v>-9.5537186655993298E-2</v>
      </c>
      <c r="Q3317">
        <v>7.5467424481553594E-2</v>
      </c>
      <c r="R3317">
        <v>0.99106797300749006</v>
      </c>
      <c r="S3317" t="s">
        <v>10320</v>
      </c>
      <c r="T3317" t="s">
        <v>14004</v>
      </c>
      <c r="U3317" t="s">
        <v>14004</v>
      </c>
      <c r="V3317" t="s">
        <v>14004</v>
      </c>
      <c r="W3317" t="s">
        <v>17277</v>
      </c>
      <c r="X3317">
        <v>13</v>
      </c>
      <c r="Y3317" t="s">
        <v>24136</v>
      </c>
      <c r="Z3317" t="s">
        <v>31027</v>
      </c>
      <c r="AA3317">
        <v>0.42899150109102302</v>
      </c>
      <c r="AB3317" t="str">
        <f>HYPERLINK("Melting_Curves/meltCurve_Q04759_PRKCQ.pdf", "Melting_Curves/meltCurve_Q04759_PRKCQ.pdf")</f>
        <v>Melting_Curves/meltCurve_Q04759_PRKCQ.pdf</v>
      </c>
    </row>
    <row r="3318" spans="1:28" x14ac:dyDescent="0.25">
      <c r="A3318" t="s">
        <v>3322</v>
      </c>
      <c r="B3318">
        <v>0.99999676499088797</v>
      </c>
      <c r="C3318">
        <v>0.95828629230669404</v>
      </c>
      <c r="D3318">
        <v>0.99920189325214104</v>
      </c>
      <c r="E3318">
        <v>0.96909687695955904</v>
      </c>
      <c r="F3318">
        <v>0.975468259094738</v>
      </c>
      <c r="G3318">
        <v>0.87770043597363601</v>
      </c>
      <c r="H3318">
        <v>0.49583123931038497</v>
      </c>
      <c r="I3318">
        <v>0.32641899458054202</v>
      </c>
      <c r="J3318">
        <v>0.22973220493545801</v>
      </c>
      <c r="K3318">
        <v>0.19447246035899099</v>
      </c>
      <c r="L3318">
        <v>1731.5547080692099</v>
      </c>
      <c r="M3318">
        <v>28.896408164679499</v>
      </c>
      <c r="N3318">
        <v>60.956670979618103</v>
      </c>
      <c r="O3318">
        <v>59.638051985981903</v>
      </c>
      <c r="P3318">
        <v>-9.7668203362833605E-2</v>
      </c>
      <c r="Q3318">
        <v>0.19371331227635899</v>
      </c>
      <c r="R3318">
        <v>0.99652593822374202</v>
      </c>
      <c r="S3318" t="s">
        <v>10321</v>
      </c>
      <c r="T3318" t="s">
        <v>14004</v>
      </c>
      <c r="U3318" t="s">
        <v>14004</v>
      </c>
      <c r="V3318" t="s">
        <v>14004</v>
      </c>
      <c r="W3318" t="s">
        <v>17278</v>
      </c>
      <c r="X3318">
        <v>13</v>
      </c>
      <c r="Y3318" t="s">
        <v>24137</v>
      </c>
      <c r="Z3318" t="s">
        <v>31028</v>
      </c>
      <c r="AA3318">
        <v>0.73433081482518159</v>
      </c>
      <c r="AB3318" t="str">
        <f>HYPERLINK("Melting_Curves/meltCurve_Q04760_2_GLO1.pdf", "Melting_Curves/meltCurve_Q04760_2_GLO1.pdf")</f>
        <v>Melting_Curves/meltCurve_Q04760_2_GLO1.pdf</v>
      </c>
    </row>
    <row r="3319" spans="1:28" x14ac:dyDescent="0.25">
      <c r="A3319" t="s">
        <v>3323</v>
      </c>
      <c r="B3319">
        <v>0.99999676499088797</v>
      </c>
      <c r="C3319">
        <v>0.94002638568553099</v>
      </c>
      <c r="D3319">
        <v>0.88322044365680696</v>
      </c>
      <c r="E3319">
        <v>0.87802748528295904</v>
      </c>
      <c r="F3319">
        <v>0.90097205180139595</v>
      </c>
      <c r="G3319">
        <v>0.77758946436277798</v>
      </c>
      <c r="H3319">
        <v>0.57890205679974505</v>
      </c>
      <c r="I3319">
        <v>0.60733714459006805</v>
      </c>
      <c r="J3319">
        <v>0.58665868178969904</v>
      </c>
      <c r="K3319">
        <v>0.61481306203344399</v>
      </c>
      <c r="L3319">
        <v>506.45106397737197</v>
      </c>
      <c r="M3319">
        <v>8.9419762820570394</v>
      </c>
      <c r="O3319">
        <v>54.0198066739731</v>
      </c>
      <c r="P3319">
        <v>-2.10823340822862E-2</v>
      </c>
      <c r="Q3319">
        <v>0.49093281922067999</v>
      </c>
      <c r="R3319">
        <v>0.90205242181462997</v>
      </c>
      <c r="S3319" t="s">
        <v>10322</v>
      </c>
      <c r="T3319" t="s">
        <v>14004</v>
      </c>
      <c r="U3319" t="s">
        <v>14004</v>
      </c>
      <c r="V3319" t="s">
        <v>14004</v>
      </c>
      <c r="W3319" t="s">
        <v>17279</v>
      </c>
      <c r="X3319">
        <v>14</v>
      </c>
      <c r="Y3319" t="s">
        <v>21448</v>
      </c>
      <c r="Z3319" t="s">
        <v>31029</v>
      </c>
      <c r="AA3319">
        <v>0.78173726127549359</v>
      </c>
      <c r="AB3319" t="str">
        <f>HYPERLINK("Melting_Curves/meltCurve_Q04837_SSBP1.pdf", "Melting_Curves/meltCurve_Q04837_SSBP1.pdf")</f>
        <v>Melting_Curves/meltCurve_Q04837_SSBP1.pdf</v>
      </c>
    </row>
    <row r="3320" spans="1:28" x14ac:dyDescent="0.25">
      <c r="A3320" t="s">
        <v>3324</v>
      </c>
      <c r="B3320">
        <v>0.99999676499088797</v>
      </c>
      <c r="C3320">
        <v>1.03758825126034</v>
      </c>
      <c r="D3320">
        <v>1.0364938586239201</v>
      </c>
      <c r="E3320">
        <v>1.01696065866552</v>
      </c>
      <c r="F3320">
        <v>0.68502293815406601</v>
      </c>
      <c r="G3320">
        <v>0.35199889269167201</v>
      </c>
      <c r="H3320">
        <v>0.140233722671914</v>
      </c>
      <c r="I3320">
        <v>0.130896783295647</v>
      </c>
      <c r="J3320">
        <v>0.1110147961459</v>
      </c>
      <c r="K3320">
        <v>9.5558538981489E-2</v>
      </c>
      <c r="L3320">
        <v>1585.6101719834301</v>
      </c>
      <c r="M3320">
        <v>29.027152069370999</v>
      </c>
      <c r="N3320">
        <v>55.080039733930398</v>
      </c>
      <c r="O3320">
        <v>54.367777755913799</v>
      </c>
      <c r="P3320">
        <v>-0.119248836868346</v>
      </c>
      <c r="Q3320">
        <v>0.106595635156</v>
      </c>
      <c r="R3320">
        <v>0.99467708071680605</v>
      </c>
      <c r="S3320" t="s">
        <v>10323</v>
      </c>
      <c r="T3320" t="s">
        <v>14004</v>
      </c>
      <c r="U3320" t="s">
        <v>14004</v>
      </c>
      <c r="V3320" t="s">
        <v>14004</v>
      </c>
      <c r="W3320" t="s">
        <v>17280</v>
      </c>
      <c r="X3320">
        <v>22</v>
      </c>
      <c r="Y3320" t="s">
        <v>24138</v>
      </c>
      <c r="Z3320" t="s">
        <v>31030</v>
      </c>
      <c r="AA3320">
        <v>0.54842035691408186</v>
      </c>
      <c r="AB3320" t="str">
        <f>HYPERLINK("Melting_Curves/meltCurve_Q04917_YWHAH.pdf", "Melting_Curves/meltCurve_Q04917_YWHAH.pdf")</f>
        <v>Melting_Curves/meltCurve_Q04917_YWHAH.pdf</v>
      </c>
    </row>
    <row r="3321" spans="1:28" x14ac:dyDescent="0.25">
      <c r="A3321" t="s">
        <v>3325</v>
      </c>
      <c r="B3321">
        <v>0.99999676499088797</v>
      </c>
      <c r="C3321">
        <v>1.0936224565416599</v>
      </c>
      <c r="D3321">
        <v>1.1015426507692001</v>
      </c>
      <c r="E3321">
        <v>0.80399791776140805</v>
      </c>
      <c r="F3321">
        <v>0.61373360172878799</v>
      </c>
      <c r="G3321">
        <v>0.42362139917834901</v>
      </c>
      <c r="H3321">
        <v>0.27366764981477398</v>
      </c>
      <c r="I3321">
        <v>0.27414796014575099</v>
      </c>
      <c r="J3321">
        <v>0.29975882623900602</v>
      </c>
      <c r="K3321">
        <v>0.226399682962688</v>
      </c>
      <c r="L3321">
        <v>1161.88453210995</v>
      </c>
      <c r="M3321">
        <v>21.9335700389599</v>
      </c>
      <c r="N3321">
        <v>54.767769301381399</v>
      </c>
      <c r="O3321">
        <v>52.538449100078601</v>
      </c>
      <c r="P3321">
        <v>-7.7617271978731806E-2</v>
      </c>
      <c r="Q3321">
        <v>0.25633651657842499</v>
      </c>
      <c r="R3321">
        <v>0.97158921206131899</v>
      </c>
      <c r="S3321" t="s">
        <v>10324</v>
      </c>
      <c r="T3321" t="s">
        <v>14004</v>
      </c>
      <c r="U3321" t="s">
        <v>14004</v>
      </c>
      <c r="V3321" t="s">
        <v>14004</v>
      </c>
      <c r="W3321" t="s">
        <v>17281</v>
      </c>
      <c r="X3321">
        <v>1</v>
      </c>
      <c r="Y3321" t="s">
        <v>24139</v>
      </c>
      <c r="Z3321" t="s">
        <v>31031</v>
      </c>
      <c r="AA3321">
        <v>0.58662349997858043</v>
      </c>
      <c r="AB3321" t="str">
        <f>HYPERLINK("Melting_Curves/meltCurve_Q04941_PLP2.pdf", "Melting_Curves/meltCurve_Q04941_PLP2.pdf")</f>
        <v>Melting_Curves/meltCurve_Q04941_PLP2.pdf</v>
      </c>
    </row>
    <row r="3322" spans="1:28" x14ac:dyDescent="0.25">
      <c r="A3322" t="s">
        <v>3326</v>
      </c>
      <c r="B3322">
        <v>0.99999676499088797</v>
      </c>
      <c r="C3322">
        <v>0.95249141083863798</v>
      </c>
      <c r="D3322">
        <v>0.93501738655549604</v>
      </c>
      <c r="E3322">
        <v>1.16182659941573</v>
      </c>
      <c r="F3322">
        <v>0.73842649932703297</v>
      </c>
      <c r="G3322">
        <v>0.48387546229089601</v>
      </c>
      <c r="H3322">
        <v>0.23235563938645201</v>
      </c>
      <c r="I3322">
        <v>0.18576411333146101</v>
      </c>
      <c r="J3322">
        <v>0.15413118575739901</v>
      </c>
      <c r="K3322">
        <v>0.119580537646869</v>
      </c>
      <c r="L3322">
        <v>1492.0639499732799</v>
      </c>
      <c r="M3322">
        <v>26.7909040286563</v>
      </c>
      <c r="N3322">
        <v>56.4068859118969</v>
      </c>
      <c r="O3322">
        <v>55.385419516648099</v>
      </c>
      <c r="P3322">
        <v>-0.10354194933091999</v>
      </c>
      <c r="Q3322">
        <v>0.143790805746244</v>
      </c>
      <c r="R3322">
        <v>0.966356740038673</v>
      </c>
      <c r="S3322" t="s">
        <v>10325</v>
      </c>
      <c r="T3322" t="s">
        <v>14004</v>
      </c>
      <c r="U3322" t="s">
        <v>14004</v>
      </c>
      <c r="V3322" t="s">
        <v>14004</v>
      </c>
      <c r="W3322" t="s">
        <v>17282</v>
      </c>
      <c r="X3322">
        <v>13</v>
      </c>
      <c r="Y3322" t="s">
        <v>24140</v>
      </c>
      <c r="Z3322" t="s">
        <v>31032</v>
      </c>
      <c r="AA3322">
        <v>0.59867019051857706</v>
      </c>
      <c r="AB3322" t="str">
        <f>HYPERLINK("Melting_Curves/meltCurve_Q05048_CSTF1.pdf", "Melting_Curves/meltCurve_Q05048_CSTF1.pdf")</f>
        <v>Melting_Curves/meltCurve_Q05048_CSTF1.pdf</v>
      </c>
    </row>
    <row r="3323" spans="1:28" x14ac:dyDescent="0.25">
      <c r="A3323" t="s">
        <v>3327</v>
      </c>
      <c r="B3323">
        <v>0.99999676499088797</v>
      </c>
      <c r="C3323">
        <v>0.99681270623644302</v>
      </c>
      <c r="D3323">
        <v>0.99990812388047801</v>
      </c>
      <c r="E3323">
        <v>1.0425893972332301</v>
      </c>
      <c r="F3323">
        <v>0.37389378078389401</v>
      </c>
      <c r="G3323">
        <v>0.224830651170288</v>
      </c>
      <c r="H3323">
        <v>0.102881346520301</v>
      </c>
      <c r="I3323">
        <v>8.7267848676802595E-2</v>
      </c>
      <c r="J3323">
        <v>8.1741598038750696E-2</v>
      </c>
      <c r="K3323">
        <v>6.38157715094686E-2</v>
      </c>
      <c r="L3323">
        <v>5381.1714809005498</v>
      </c>
      <c r="M3323">
        <v>102.01721486684799</v>
      </c>
      <c r="N3323">
        <v>52.878984969425403</v>
      </c>
      <c r="O3323">
        <v>52.727418072623799</v>
      </c>
      <c r="P3323">
        <v>-0.42958225623948998</v>
      </c>
      <c r="Q3323">
        <v>0.111884663424219</v>
      </c>
      <c r="R3323">
        <v>0.989885722610649</v>
      </c>
      <c r="S3323" t="s">
        <v>10326</v>
      </c>
      <c r="T3323" t="s">
        <v>14004</v>
      </c>
      <c r="U3323" t="s">
        <v>14004</v>
      </c>
      <c r="V3323" t="s">
        <v>14004</v>
      </c>
      <c r="W3323" t="s">
        <v>17283</v>
      </c>
      <c r="X3323">
        <v>32</v>
      </c>
      <c r="Y3323" t="s">
        <v>24141</v>
      </c>
      <c r="Z3323" t="s">
        <v>31033</v>
      </c>
      <c r="AA3323">
        <v>0.48975928907022631</v>
      </c>
      <c r="AB3323" t="str">
        <f>HYPERLINK("Melting_Curves/meltCurve_Q05086_3_UBE3A.pdf", "Melting_Curves/meltCurve_Q05086_3_UBE3A.pdf")</f>
        <v>Melting_Curves/meltCurve_Q05086_3_UBE3A.pdf</v>
      </c>
    </row>
    <row r="3324" spans="1:28" x14ac:dyDescent="0.25">
      <c r="A3324" t="s">
        <v>3328</v>
      </c>
      <c r="B3324">
        <v>0.99999676499088797</v>
      </c>
      <c r="C3324">
        <v>0.94525372866546098</v>
      </c>
      <c r="D3324">
        <v>0.91597958029618198</v>
      </c>
      <c r="E3324">
        <v>0.59008826592449304</v>
      </c>
      <c r="F3324">
        <v>0.265608742994355</v>
      </c>
      <c r="G3324">
        <v>0.17629225572732901</v>
      </c>
      <c r="H3324">
        <v>8.7733283462669204E-2</v>
      </c>
      <c r="I3324">
        <v>8.4334260790941806E-2</v>
      </c>
      <c r="J3324">
        <v>7.9402229738924399E-2</v>
      </c>
      <c r="K3324">
        <v>7.6283333079562504E-2</v>
      </c>
      <c r="L3324">
        <v>1124.35782396784</v>
      </c>
      <c r="M3324">
        <v>22.4237129583755</v>
      </c>
      <c r="N3324">
        <v>50.534037787210004</v>
      </c>
      <c r="O3324">
        <v>49.747794132209101</v>
      </c>
      <c r="P3324">
        <v>-0.103681538252745</v>
      </c>
      <c r="Q3324">
        <v>7.9934511232545497E-2</v>
      </c>
      <c r="R3324">
        <v>0.99769337027264304</v>
      </c>
      <c r="S3324" t="s">
        <v>10327</v>
      </c>
      <c r="T3324" t="s">
        <v>14004</v>
      </c>
      <c r="U3324" t="s">
        <v>14004</v>
      </c>
      <c r="V3324" t="s">
        <v>14004</v>
      </c>
      <c r="W3324" t="s">
        <v>17284</v>
      </c>
      <c r="X3324">
        <v>20</v>
      </c>
      <c r="Y3324" t="s">
        <v>24142</v>
      </c>
      <c r="Z3324" t="s">
        <v>31034</v>
      </c>
      <c r="AA3324">
        <v>0.40119070022058939</v>
      </c>
      <c r="AB3324" t="str">
        <f>HYPERLINK("Melting_Curves/meltCurve_Q05193_3_DNM1.pdf", "Melting_Curves/meltCurve_Q05193_3_DNM1.pdf")</f>
        <v>Melting_Curves/meltCurve_Q05193_3_DNM1.pdf</v>
      </c>
    </row>
    <row r="3325" spans="1:28" x14ac:dyDescent="0.25">
      <c r="A3325" t="s">
        <v>3329</v>
      </c>
      <c r="B3325">
        <v>0.99999676499088797</v>
      </c>
      <c r="C3325">
        <v>0.97427859482107604</v>
      </c>
      <c r="D3325">
        <v>0.87525335165860696</v>
      </c>
      <c r="E3325">
        <v>0.55727165959062097</v>
      </c>
      <c r="F3325">
        <v>0.26611871994150199</v>
      </c>
      <c r="G3325">
        <v>0.19693295339223599</v>
      </c>
      <c r="H3325">
        <v>0.126631683706388</v>
      </c>
      <c r="I3325">
        <v>0.20138785605144599</v>
      </c>
      <c r="J3325">
        <v>0.227738186901391</v>
      </c>
      <c r="K3325">
        <v>0.27320795400472597</v>
      </c>
      <c r="L3325">
        <v>1379.2556160382401</v>
      </c>
      <c r="M3325">
        <v>28.111435289949199</v>
      </c>
      <c r="N3325">
        <v>49.9705788710856</v>
      </c>
      <c r="O3325">
        <v>48.817600488370701</v>
      </c>
      <c r="P3325">
        <v>-0.115202300424651</v>
      </c>
      <c r="Q3325">
        <v>0.19977738550763399</v>
      </c>
      <c r="R3325">
        <v>0.98794410223860796</v>
      </c>
      <c r="S3325" t="s">
        <v>10328</v>
      </c>
      <c r="T3325" t="s">
        <v>14004</v>
      </c>
      <c r="U3325" t="s">
        <v>14004</v>
      </c>
      <c r="V3325" t="s">
        <v>14004</v>
      </c>
      <c r="W3325" t="s">
        <v>17285</v>
      </c>
      <c r="X3325">
        <v>17</v>
      </c>
      <c r="Y3325" t="s">
        <v>24143</v>
      </c>
      <c r="Z3325" t="s">
        <v>31035</v>
      </c>
      <c r="AA3325">
        <v>0.44712173055098481</v>
      </c>
      <c r="AB3325" t="str">
        <f>HYPERLINK("Melting_Curves/meltCurve_Q05519_2_SRSF11.pdf", "Melting_Curves/meltCurve_Q05519_2_SRSF11.pdf")</f>
        <v>Melting_Curves/meltCurve_Q05519_2_SRSF11.pdf</v>
      </c>
    </row>
    <row r="3326" spans="1:28" x14ac:dyDescent="0.25">
      <c r="A3326" t="s">
        <v>3330</v>
      </c>
      <c r="B3326">
        <v>0.99999676499088797</v>
      </c>
      <c r="C3326">
        <v>1.0068068695733099</v>
      </c>
      <c r="D3326">
        <v>1.08772132460407</v>
      </c>
      <c r="E3326">
        <v>1.1523346960830501</v>
      </c>
      <c r="F3326">
        <v>0.99975672957800599</v>
      </c>
      <c r="G3326">
        <v>1.0119225092603601</v>
      </c>
      <c r="H3326">
        <v>0.37009611708651702</v>
      </c>
      <c r="I3326">
        <v>0.12075545608879899</v>
      </c>
      <c r="J3326">
        <v>6.6326192759542504E-2</v>
      </c>
      <c r="K3326">
        <v>5.7752380192814798E-2</v>
      </c>
      <c r="L3326">
        <v>4482.7895730834498</v>
      </c>
      <c r="M3326">
        <v>74.481211310419397</v>
      </c>
      <c r="N3326">
        <v>60.322617153770402</v>
      </c>
      <c r="O3326">
        <v>60.143496825665999</v>
      </c>
      <c r="P3326">
        <v>-0.28570699746239397</v>
      </c>
      <c r="Q3326">
        <v>7.7167675159895602E-2</v>
      </c>
      <c r="R3326">
        <v>0.98333292339818101</v>
      </c>
      <c r="S3326" t="s">
        <v>10329</v>
      </c>
      <c r="T3326" t="s">
        <v>14004</v>
      </c>
      <c r="U3326" t="s">
        <v>14004</v>
      </c>
      <c r="V3326" t="s">
        <v>14004</v>
      </c>
      <c r="W3326" t="s">
        <v>17286</v>
      </c>
      <c r="X3326">
        <v>21</v>
      </c>
      <c r="Y3326" t="s">
        <v>24144</v>
      </c>
      <c r="Z3326" t="s">
        <v>31036</v>
      </c>
      <c r="AA3326">
        <v>0.69923666605902812</v>
      </c>
      <c r="AB3326" t="str">
        <f>HYPERLINK("Melting_Curves/meltCurve_Q05639_EEF1A2.pdf", "Melting_Curves/meltCurve_Q05639_EEF1A2.pdf")</f>
        <v>Melting_Curves/meltCurve_Q05639_EEF1A2.pdf</v>
      </c>
    </row>
    <row r="3327" spans="1:28" x14ac:dyDescent="0.25">
      <c r="A3327" t="s">
        <v>3331</v>
      </c>
      <c r="B3327">
        <v>0.99999676499088797</v>
      </c>
      <c r="C3327">
        <v>1.04340385994079</v>
      </c>
      <c r="D3327">
        <v>1.0435113231278199</v>
      </c>
      <c r="E3327">
        <v>0.93022369342247402</v>
      </c>
      <c r="F3327">
        <v>0.47223347245477099</v>
      </c>
      <c r="G3327">
        <v>0.22944544556467</v>
      </c>
      <c r="H3327">
        <v>9.9103580072268299E-2</v>
      </c>
      <c r="I3327">
        <v>0.10315038285270201</v>
      </c>
      <c r="J3327">
        <v>9.9508039650368502E-2</v>
      </c>
      <c r="K3327">
        <v>8.1507277255046695E-2</v>
      </c>
      <c r="L3327">
        <v>1742.35188053867</v>
      </c>
      <c r="M3327">
        <v>32.981092112648398</v>
      </c>
      <c r="N3327">
        <v>53.188375168051699</v>
      </c>
      <c r="O3327">
        <v>52.635725913448198</v>
      </c>
      <c r="P3327">
        <v>-0.14099529513296499</v>
      </c>
      <c r="Q3327">
        <v>9.9925925510348707E-2</v>
      </c>
      <c r="R3327">
        <v>0.99513334009582699</v>
      </c>
      <c r="S3327" t="s">
        <v>10330</v>
      </c>
      <c r="T3327" t="s">
        <v>14004</v>
      </c>
      <c r="U3327" t="s">
        <v>14004</v>
      </c>
      <c r="V3327" t="s">
        <v>14004</v>
      </c>
      <c r="W3327" t="s">
        <v>17287</v>
      </c>
      <c r="X3327">
        <v>24</v>
      </c>
      <c r="Y3327" t="s">
        <v>24145</v>
      </c>
      <c r="Z3327" t="s">
        <v>31037</v>
      </c>
      <c r="AA3327">
        <v>0.48965086844407602</v>
      </c>
      <c r="AB3327" t="str">
        <f>HYPERLINK("Melting_Curves/meltCurve_Q05655_PRKCD.pdf", "Melting_Curves/meltCurve_Q05655_PRKCD.pdf")</f>
        <v>Melting_Curves/meltCurve_Q05655_PRKCD.pdf</v>
      </c>
    </row>
    <row r="3328" spans="1:28" x14ac:dyDescent="0.25">
      <c r="A3328" t="s">
        <v>3332</v>
      </c>
      <c r="B3328">
        <v>0.99999676499088797</v>
      </c>
      <c r="C3328">
        <v>0.98728017440667104</v>
      </c>
      <c r="D3328">
        <v>0.53616142860637706</v>
      </c>
      <c r="E3328">
        <v>0.22910913207305</v>
      </c>
      <c r="F3328">
        <v>0.184358777257564</v>
      </c>
      <c r="G3328">
        <v>8.3588417597542E-2</v>
      </c>
      <c r="H3328">
        <v>2.45057226772083E-2</v>
      </c>
      <c r="I3328">
        <v>3.7484563351655502E-2</v>
      </c>
      <c r="J3328">
        <v>1.1860498771688601E-2</v>
      </c>
      <c r="K3328">
        <v>3.4550100016743697E-2</v>
      </c>
      <c r="L3328">
        <v>1176.2932675886</v>
      </c>
      <c r="M3328">
        <v>25.2852652130465</v>
      </c>
      <c r="N3328">
        <v>46.726937784788099</v>
      </c>
      <c r="O3328">
        <v>46.232851551384698</v>
      </c>
      <c r="P3328">
        <v>-0.129516988374765</v>
      </c>
      <c r="Q3328">
        <v>5.2750805753173501E-2</v>
      </c>
      <c r="R3328">
        <v>0.98272912727707795</v>
      </c>
      <c r="S3328" t="s">
        <v>10331</v>
      </c>
      <c r="T3328" t="s">
        <v>14004</v>
      </c>
      <c r="U3328" t="s">
        <v>14004</v>
      </c>
      <c r="V3328" t="s">
        <v>14004</v>
      </c>
      <c r="W3328" t="s">
        <v>17288</v>
      </c>
      <c r="X3328">
        <v>5</v>
      </c>
      <c r="Y3328" t="s">
        <v>24146</v>
      </c>
      <c r="Z3328" t="s">
        <v>31038</v>
      </c>
      <c r="AA3328">
        <v>0.26699510995858428</v>
      </c>
      <c r="AB3328" t="str">
        <f>HYPERLINK("Melting_Curves/meltCurve_Q05932_3_FPGS.pdf", "Melting_Curves/meltCurve_Q05932_3_FPGS.pdf")</f>
        <v>Melting_Curves/meltCurve_Q05932_3_FPGS.pdf</v>
      </c>
    </row>
    <row r="3329" spans="1:28" x14ac:dyDescent="0.25">
      <c r="A3329" t="s">
        <v>3333</v>
      </c>
      <c r="B3329">
        <v>0.99999676499088797</v>
      </c>
      <c r="C3329">
        <v>1.0322579824721101</v>
      </c>
      <c r="D3329">
        <v>0.89338001504268505</v>
      </c>
      <c r="E3329">
        <v>0.58317109799498101</v>
      </c>
      <c r="F3329">
        <v>0.39664731957231703</v>
      </c>
      <c r="G3329">
        <v>0.33474421904403001</v>
      </c>
      <c r="H3329">
        <v>0.14679175449471099</v>
      </c>
      <c r="I3329">
        <v>0.15202332764726501</v>
      </c>
      <c r="J3329">
        <v>0.16361446617539999</v>
      </c>
      <c r="K3329">
        <v>0.15579788936967501</v>
      </c>
      <c r="L3329">
        <v>892.11316023278198</v>
      </c>
      <c r="M3329">
        <v>17.692127604045599</v>
      </c>
      <c r="N3329">
        <v>51.469460862406699</v>
      </c>
      <c r="O3329">
        <v>49.793323157893497</v>
      </c>
      <c r="P3329">
        <v>-7.5427397150933204E-2</v>
      </c>
      <c r="Q3329">
        <v>0.150903209910835</v>
      </c>
      <c r="R3329">
        <v>0.98575002773318499</v>
      </c>
      <c r="S3329" t="s">
        <v>10332</v>
      </c>
      <c r="T3329" t="s">
        <v>14004</v>
      </c>
      <c r="U3329" t="s">
        <v>14004</v>
      </c>
      <c r="V3329" t="s">
        <v>14004</v>
      </c>
      <c r="W3329" t="s">
        <v>17289</v>
      </c>
      <c r="X3329">
        <v>2</v>
      </c>
      <c r="Y3329" t="s">
        <v>24147</v>
      </c>
      <c r="Z3329" t="s">
        <v>31039</v>
      </c>
      <c r="AA3329">
        <v>0.46081613598132382</v>
      </c>
      <c r="AB3329" t="str">
        <f>HYPERLINK("Melting_Curves/meltCurve_Q05D32_CTDSPL2.pdf", "Melting_Curves/meltCurve_Q05D32_CTDSPL2.pdf")</f>
        <v>Melting_Curves/meltCurve_Q05D32_CTDSPL2.pdf</v>
      </c>
    </row>
    <row r="3330" spans="1:28" x14ac:dyDescent="0.25">
      <c r="A3330" t="s">
        <v>3334</v>
      </c>
      <c r="B3330">
        <v>0.99999676499088797</v>
      </c>
      <c r="C3330">
        <v>1.0014512892843299</v>
      </c>
      <c r="D3330">
        <v>0.99563110134620603</v>
      </c>
      <c r="E3330">
        <v>0.99576474918799796</v>
      </c>
      <c r="F3330">
        <v>0.32454649368380101</v>
      </c>
      <c r="G3330">
        <v>0.21496360008490101</v>
      </c>
      <c r="H3330">
        <v>9.5691462546535697E-2</v>
      </c>
      <c r="I3330">
        <v>9.10887945515238E-2</v>
      </c>
      <c r="J3330">
        <v>8.1907424834672393E-2</v>
      </c>
      <c r="K3330">
        <v>7.2052662183333505E-2</v>
      </c>
      <c r="L3330">
        <v>3499.0103135541099</v>
      </c>
      <c r="M3330">
        <v>66.884140116196804</v>
      </c>
      <c r="N3330">
        <v>52.508456576426099</v>
      </c>
      <c r="O3330">
        <v>52.267791743812701</v>
      </c>
      <c r="P3330">
        <v>-0.28489845371559103</v>
      </c>
      <c r="Q3330">
        <v>0.109444537927958</v>
      </c>
      <c r="R3330">
        <v>0.99259851108567598</v>
      </c>
      <c r="S3330" t="s">
        <v>10333</v>
      </c>
      <c r="T3330" t="s">
        <v>14004</v>
      </c>
      <c r="U3330" t="s">
        <v>14004</v>
      </c>
      <c r="V3330" t="s">
        <v>14004</v>
      </c>
      <c r="W3330" t="s">
        <v>17290</v>
      </c>
      <c r="X3330">
        <v>42</v>
      </c>
      <c r="Y3330" t="s">
        <v>24148</v>
      </c>
      <c r="Z3330" t="s">
        <v>31040</v>
      </c>
      <c r="AA3330">
        <v>0.47614832103523891</v>
      </c>
      <c r="AB3330" t="str">
        <f>HYPERLINK("Melting_Curves/meltCurve_Q06124_PTPN11.pdf", "Melting_Curves/meltCurve_Q06124_PTPN11.pdf")</f>
        <v>Melting_Curves/meltCurve_Q06124_PTPN11.pdf</v>
      </c>
    </row>
    <row r="3331" spans="1:28" x14ac:dyDescent="0.25">
      <c r="A3331" t="s">
        <v>3335</v>
      </c>
      <c r="B3331">
        <v>0.99999676499088797</v>
      </c>
      <c r="C3331">
        <v>0.96137771860019905</v>
      </c>
      <c r="D3331">
        <v>1.01323959459793</v>
      </c>
      <c r="E3331">
        <v>1.03177104644699</v>
      </c>
      <c r="F3331">
        <v>0.96316490308943203</v>
      </c>
      <c r="G3331">
        <v>0.88644245562903901</v>
      </c>
      <c r="H3331">
        <v>0.61227050429872898</v>
      </c>
      <c r="I3331">
        <v>0.49412962119855303</v>
      </c>
      <c r="J3331">
        <v>0.394720376764022</v>
      </c>
      <c r="K3331">
        <v>0.25617190503361198</v>
      </c>
      <c r="L3331">
        <v>1128.0896613924201</v>
      </c>
      <c r="M3331">
        <v>18.289215155808701</v>
      </c>
      <c r="N3331">
        <v>63.545979251240297</v>
      </c>
      <c r="O3331">
        <v>60.957369881038403</v>
      </c>
      <c r="P3331">
        <v>-5.9430753076569802E-2</v>
      </c>
      <c r="Q3331">
        <v>0.20771350497490701</v>
      </c>
      <c r="R3331">
        <v>0.98871150663569296</v>
      </c>
      <c r="S3331" t="s">
        <v>10334</v>
      </c>
      <c r="T3331" t="s">
        <v>14004</v>
      </c>
      <c r="U3331" t="s">
        <v>14004</v>
      </c>
      <c r="V3331" t="s">
        <v>14004</v>
      </c>
      <c r="W3331" t="s">
        <v>17291</v>
      </c>
      <c r="X3331">
        <v>6</v>
      </c>
      <c r="Y3331" t="s">
        <v>24149</v>
      </c>
      <c r="Z3331" t="s">
        <v>31041</v>
      </c>
      <c r="AA3331">
        <v>0.78270298154171869</v>
      </c>
      <c r="AB3331" t="str">
        <f>HYPERLINK("Melting_Curves/meltCurve_Q06136_KDSR.pdf", "Melting_Curves/meltCurve_Q06136_KDSR.pdf")</f>
        <v>Melting_Curves/meltCurve_Q06136_KDSR.pdf</v>
      </c>
    </row>
    <row r="3332" spans="1:28" x14ac:dyDescent="0.25">
      <c r="A3332" t="s">
        <v>3336</v>
      </c>
      <c r="B3332">
        <v>0.99999676499088797</v>
      </c>
      <c r="C3332">
        <v>1.1083186694154199</v>
      </c>
      <c r="D3332">
        <v>1.0095563422107501</v>
      </c>
      <c r="E3332">
        <v>1.03794018242457</v>
      </c>
      <c r="F3332">
        <v>0.95503082275348095</v>
      </c>
      <c r="G3332">
        <v>0.979173615942458</v>
      </c>
      <c r="H3332">
        <v>0.62123275502040198</v>
      </c>
      <c r="I3332">
        <v>0.58321507079695301</v>
      </c>
      <c r="J3332">
        <v>0.347966951901508</v>
      </c>
      <c r="K3332">
        <v>0.21358708352665001</v>
      </c>
      <c r="L3332">
        <v>1083.9250718082201</v>
      </c>
      <c r="M3332">
        <v>16.934787036421199</v>
      </c>
      <c r="N3332">
        <v>64.367084883176304</v>
      </c>
      <c r="O3332">
        <v>63.133310176033703</v>
      </c>
      <c r="P3332">
        <v>-6.4023575440119704E-2</v>
      </c>
      <c r="Q3332">
        <v>4.5333918871626099E-2</v>
      </c>
      <c r="R3332">
        <v>0.96240866532139002</v>
      </c>
      <c r="S3332" t="s">
        <v>10335</v>
      </c>
      <c r="T3332" t="s">
        <v>14004</v>
      </c>
      <c r="U3332" t="s">
        <v>14004</v>
      </c>
      <c r="V3332" t="s">
        <v>14004</v>
      </c>
      <c r="W3332" t="s">
        <v>17292</v>
      </c>
      <c r="X3332">
        <v>28</v>
      </c>
      <c r="Y3332" t="s">
        <v>24150</v>
      </c>
      <c r="Z3332" t="s">
        <v>31042</v>
      </c>
      <c r="AA3332">
        <v>0.79830703529300828</v>
      </c>
      <c r="AB3332" t="str">
        <f>HYPERLINK("Melting_Curves/meltCurve_Q06203_PPAT.pdf", "Melting_Curves/meltCurve_Q06203_PPAT.pdf")</f>
        <v>Melting_Curves/meltCurve_Q06203_PPAT.pdf</v>
      </c>
    </row>
    <row r="3333" spans="1:28" x14ac:dyDescent="0.25">
      <c r="A3333" t="s">
        <v>3337</v>
      </c>
      <c r="B3333">
        <v>0.99999676499088797</v>
      </c>
      <c r="C3333">
        <v>1.0193280817241701</v>
      </c>
      <c r="D3333">
        <v>1.07565980281381</v>
      </c>
      <c r="E3333">
        <v>1.31629646036619</v>
      </c>
      <c r="F3333">
        <v>1.33951128111592</v>
      </c>
      <c r="G3333">
        <v>1.1781432356625601</v>
      </c>
      <c r="H3333">
        <v>0.51566201677448997</v>
      </c>
      <c r="I3333">
        <v>0.15137393638395699</v>
      </c>
      <c r="J3333">
        <v>0.120336021986248</v>
      </c>
      <c r="K3333">
        <v>9.4581801868329304E-2</v>
      </c>
      <c r="L3333">
        <v>7707.9284949992998</v>
      </c>
      <c r="M3333">
        <v>126.980162257701</v>
      </c>
      <c r="N3333">
        <v>60.835355689345498</v>
      </c>
      <c r="O3333">
        <v>60.686803776503602</v>
      </c>
      <c r="P3333">
        <v>-0.45947791545816902</v>
      </c>
      <c r="Q3333">
        <v>0.121619190677555</v>
      </c>
      <c r="R3333">
        <v>0.890305363497365</v>
      </c>
      <c r="S3333" t="s">
        <v>10336</v>
      </c>
      <c r="T3333" t="s">
        <v>14004</v>
      </c>
      <c r="U3333" t="s">
        <v>14004</v>
      </c>
      <c r="V3333" t="s">
        <v>14004</v>
      </c>
      <c r="W3333" t="s">
        <v>17293</v>
      </c>
      <c r="X3333">
        <v>35</v>
      </c>
      <c r="Y3333" t="s">
        <v>24151</v>
      </c>
      <c r="Z3333" t="s">
        <v>31043</v>
      </c>
      <c r="AA3333">
        <v>0.72811853892021716</v>
      </c>
      <c r="AB3333" t="str">
        <f>HYPERLINK("Melting_Curves/meltCurve_Q06210_2_GFPT1.pdf", "Melting_Curves/meltCurve_Q06210_2_GFPT1.pdf")</f>
        <v>Melting_Curves/meltCurve_Q06210_2_GFPT1.pdf</v>
      </c>
    </row>
    <row r="3334" spans="1:28" x14ac:dyDescent="0.25">
      <c r="A3334" t="s">
        <v>3338</v>
      </c>
      <c r="B3334">
        <v>0.99999676499088797</v>
      </c>
      <c r="C3334">
        <v>1.10296848934636</v>
      </c>
      <c r="D3334">
        <v>1.1389256024271099</v>
      </c>
      <c r="E3334">
        <v>1.1712718787645899</v>
      </c>
      <c r="F3334">
        <v>1.0949226380923001</v>
      </c>
      <c r="G3334">
        <v>0.99999180434581803</v>
      </c>
      <c r="H3334">
        <v>0.54512587122727496</v>
      </c>
      <c r="I3334">
        <v>0.243856422185391</v>
      </c>
      <c r="J3334">
        <v>0.129995664697723</v>
      </c>
      <c r="K3334">
        <v>8.9096679095531206E-2</v>
      </c>
      <c r="L3334">
        <v>2572.2735216506399</v>
      </c>
      <c r="M3334">
        <v>42.2550484582381</v>
      </c>
      <c r="N3334">
        <v>61.234570574893297</v>
      </c>
      <c r="O3334">
        <v>60.739081176188797</v>
      </c>
      <c r="P3334">
        <v>-0.15480956014907299</v>
      </c>
      <c r="Q3334">
        <v>0.109884064893617</v>
      </c>
      <c r="R3334">
        <v>0.96007879456061795</v>
      </c>
      <c r="S3334" t="s">
        <v>10337</v>
      </c>
      <c r="T3334" t="s">
        <v>14004</v>
      </c>
      <c r="U3334" t="s">
        <v>14004</v>
      </c>
      <c r="V3334" t="s">
        <v>14004</v>
      </c>
      <c r="W3334" t="s">
        <v>17294</v>
      </c>
      <c r="X3334">
        <v>17</v>
      </c>
      <c r="Y3334" t="s">
        <v>24152</v>
      </c>
      <c r="Z3334" t="s">
        <v>31044</v>
      </c>
      <c r="AA3334">
        <v>0.73236662569875621</v>
      </c>
      <c r="AB3334" t="str">
        <f>HYPERLINK("Melting_Curves/meltCurve_Q06265_EXOSC9.pdf", "Melting_Curves/meltCurve_Q06265_EXOSC9.pdf")</f>
        <v>Melting_Curves/meltCurve_Q06265_EXOSC9.pdf</v>
      </c>
    </row>
    <row r="3335" spans="1:28" x14ac:dyDescent="0.25">
      <c r="A3335" t="s">
        <v>3339</v>
      </c>
      <c r="B3335">
        <v>0.99999676499088797</v>
      </c>
      <c r="C3335">
        <v>0.81915706085623696</v>
      </c>
      <c r="D3335">
        <v>0.92582299338166796</v>
      </c>
      <c r="E3335">
        <v>0.94237439967869396</v>
      </c>
      <c r="F3335">
        <v>0.784095296897515</v>
      </c>
      <c r="G3335">
        <v>0.36374269016441402</v>
      </c>
      <c r="H3335">
        <v>0.16894456927161</v>
      </c>
      <c r="I3335">
        <v>0.12673541944019301</v>
      </c>
      <c r="J3335">
        <v>0.109938760325237</v>
      </c>
      <c r="K3335">
        <v>9.43286785426906E-2</v>
      </c>
      <c r="L3335">
        <v>1558.6402573835701</v>
      </c>
      <c r="M3335">
        <v>28.255112792534099</v>
      </c>
      <c r="N3335">
        <v>55.610428761216099</v>
      </c>
      <c r="O3335">
        <v>54.889023586417899</v>
      </c>
      <c r="P3335">
        <v>-0.115611690088888</v>
      </c>
      <c r="Q3335">
        <v>0.10164785139353399</v>
      </c>
      <c r="R3335">
        <v>0.97193176547855398</v>
      </c>
      <c r="S3335" t="s">
        <v>10338</v>
      </c>
      <c r="T3335" t="s">
        <v>14004</v>
      </c>
      <c r="U3335" t="s">
        <v>14004</v>
      </c>
      <c r="V3335" t="s">
        <v>14004</v>
      </c>
      <c r="W3335" t="s">
        <v>17295</v>
      </c>
      <c r="X3335">
        <v>22</v>
      </c>
      <c r="Y3335" t="s">
        <v>24153</v>
      </c>
      <c r="Z3335" t="s">
        <v>31045</v>
      </c>
      <c r="AA3335">
        <v>0.56237874925926512</v>
      </c>
      <c r="AB3335" t="str">
        <f>HYPERLINK("Melting_Curves/meltCurve_Q06323_PSME1.pdf", "Melting_Curves/meltCurve_Q06323_PSME1.pdf")</f>
        <v>Melting_Curves/meltCurve_Q06323_PSME1.pdf</v>
      </c>
    </row>
    <row r="3336" spans="1:28" x14ac:dyDescent="0.25">
      <c r="A3336" t="s">
        <v>3340</v>
      </c>
      <c r="B3336">
        <v>0.99999676499088797</v>
      </c>
      <c r="C3336">
        <v>0.97756409916174203</v>
      </c>
      <c r="D3336">
        <v>1.04022194791456</v>
      </c>
      <c r="E3336">
        <v>1.1029745392686801</v>
      </c>
      <c r="F3336">
        <v>0.89739616866579697</v>
      </c>
      <c r="G3336">
        <v>0.69070348361085898</v>
      </c>
      <c r="H3336">
        <v>0.19658288532843601</v>
      </c>
      <c r="I3336">
        <v>7.8702306974335806E-2</v>
      </c>
      <c r="J3336">
        <v>6.8724533711009603E-2</v>
      </c>
      <c r="K3336">
        <v>5.0687091719309102E-2</v>
      </c>
      <c r="L3336">
        <v>1934.8772693631199</v>
      </c>
      <c r="M3336">
        <v>33.415612865661402</v>
      </c>
      <c r="N3336">
        <v>58.075798544609299</v>
      </c>
      <c r="O3336">
        <v>57.697196682924897</v>
      </c>
      <c r="P3336">
        <v>-0.13795249396918799</v>
      </c>
      <c r="Q3336">
        <v>4.72192773084541E-2</v>
      </c>
      <c r="R3336">
        <v>0.99078012969857199</v>
      </c>
      <c r="S3336" t="s">
        <v>10339</v>
      </c>
      <c r="T3336" t="s">
        <v>14004</v>
      </c>
      <c r="U3336" t="s">
        <v>14004</v>
      </c>
      <c r="V3336" t="s">
        <v>14004</v>
      </c>
      <c r="W3336" t="s">
        <v>17296</v>
      </c>
      <c r="X3336">
        <v>11</v>
      </c>
      <c r="Y3336" t="s">
        <v>24154</v>
      </c>
      <c r="Z3336" t="s">
        <v>31046</v>
      </c>
      <c r="AA3336">
        <v>0.62103690749220408</v>
      </c>
      <c r="AB3336" t="str">
        <f>HYPERLINK("Melting_Curves/meltCurve_Q06330_4_RBPJ.pdf", "Melting_Curves/meltCurve_Q06330_4_RBPJ.pdf")</f>
        <v>Melting_Curves/meltCurve_Q06330_4_RBPJ.pdf</v>
      </c>
    </row>
    <row r="3337" spans="1:28" x14ac:dyDescent="0.25">
      <c r="A3337" t="s">
        <v>3341</v>
      </c>
      <c r="B3337">
        <v>0.99999676499088797</v>
      </c>
      <c r="C3337">
        <v>0.83799695981088895</v>
      </c>
      <c r="D3337">
        <v>0.80916741717992302</v>
      </c>
      <c r="E3337">
        <v>0.73011330385033502</v>
      </c>
      <c r="F3337">
        <v>0.56738366328177303</v>
      </c>
      <c r="G3337">
        <v>0.38028940557250401</v>
      </c>
      <c r="H3337">
        <v>0.260897380393387</v>
      </c>
      <c r="I3337">
        <v>0.21048698840059099</v>
      </c>
      <c r="J3337">
        <v>0.20642195625328699</v>
      </c>
      <c r="K3337">
        <v>0.12653008501719901</v>
      </c>
      <c r="L3337">
        <v>468.65097578834099</v>
      </c>
      <c r="M3337">
        <v>8.6682358138922009</v>
      </c>
      <c r="N3337">
        <v>54.254299414805502</v>
      </c>
      <c r="O3337">
        <v>51.418974947219397</v>
      </c>
      <c r="P3337">
        <v>-4.1553140018807902E-2</v>
      </c>
      <c r="Q3337">
        <v>1.48707598851532E-2</v>
      </c>
      <c r="R3337">
        <v>0.98660296765813205</v>
      </c>
      <c r="S3337" t="s">
        <v>10340</v>
      </c>
      <c r="T3337" t="s">
        <v>14004</v>
      </c>
      <c r="U3337" t="s">
        <v>14004</v>
      </c>
      <c r="V3337" t="s">
        <v>14004</v>
      </c>
      <c r="W3337" t="s">
        <v>17297</v>
      </c>
      <c r="X3337">
        <v>4</v>
      </c>
      <c r="Y3337" t="s">
        <v>24155</v>
      </c>
      <c r="Z3337" t="s">
        <v>31047</v>
      </c>
      <c r="AA3337">
        <v>0.50874806426473684</v>
      </c>
      <c r="AB3337" t="str">
        <f>HYPERLINK("Melting_Curves/meltCurve_Q06481_APLP2.pdf", "Melting_Curves/meltCurve_Q06481_APLP2.pdf")</f>
        <v>Melting_Curves/meltCurve_Q06481_APLP2.pdf</v>
      </c>
    </row>
    <row r="3338" spans="1:28" x14ac:dyDescent="0.25">
      <c r="A3338" t="s">
        <v>3342</v>
      </c>
      <c r="B3338">
        <v>0.99999676499088797</v>
      </c>
      <c r="C3338">
        <v>0.85400187102275305</v>
      </c>
      <c r="D3338">
        <v>0.63785967645757602</v>
      </c>
      <c r="E3338">
        <v>0.36924191947503099</v>
      </c>
      <c r="F3338">
        <v>0.24526325676987601</v>
      </c>
      <c r="G3338">
        <v>0.14412263842239001</v>
      </c>
      <c r="H3338">
        <v>8.6429421471272999E-2</v>
      </c>
      <c r="I3338">
        <v>8.7660783846858298E-2</v>
      </c>
      <c r="J3338">
        <v>7.9230987640543205E-2</v>
      </c>
      <c r="K3338">
        <v>6.2308565476330097E-2</v>
      </c>
      <c r="L3338">
        <v>749.08569983441305</v>
      </c>
      <c r="M3338">
        <v>15.775174669602601</v>
      </c>
      <c r="N3338">
        <v>47.942224589434502</v>
      </c>
      <c r="O3338">
        <v>46.741697212221901</v>
      </c>
      <c r="P3338">
        <v>-7.8489321699539899E-2</v>
      </c>
      <c r="Q3338">
        <v>6.9824931817881603E-2</v>
      </c>
      <c r="R3338">
        <v>0.99647848588869503</v>
      </c>
      <c r="S3338" t="s">
        <v>10341</v>
      </c>
      <c r="T3338" t="s">
        <v>14004</v>
      </c>
      <c r="U3338" t="s">
        <v>14004</v>
      </c>
      <c r="V3338" t="s">
        <v>14004</v>
      </c>
      <c r="W3338" t="s">
        <v>17298</v>
      </c>
      <c r="X3338">
        <v>12</v>
      </c>
      <c r="Y3338" t="s">
        <v>24156</v>
      </c>
      <c r="Z3338" t="s">
        <v>31048</v>
      </c>
      <c r="AA3338">
        <v>0.32407270657577858</v>
      </c>
      <c r="AB3338" t="str">
        <f>HYPERLINK("Melting_Curves/meltCurve_Q06546_GABPA.pdf", "Melting_Curves/meltCurve_Q06546_GABPA.pdf")</f>
        <v>Melting_Curves/meltCurve_Q06546_GABPA.pdf</v>
      </c>
    </row>
    <row r="3339" spans="1:28" x14ac:dyDescent="0.25">
      <c r="A3339" t="s">
        <v>3343</v>
      </c>
      <c r="B3339">
        <v>0.99999676499088797</v>
      </c>
      <c r="C3339">
        <v>0.91152652886228402</v>
      </c>
      <c r="D3339">
        <v>0.67758113814577303</v>
      </c>
      <c r="E3339">
        <v>0.393753489365464</v>
      </c>
      <c r="F3339">
        <v>0.269420658713727</v>
      </c>
      <c r="G3339">
        <v>0.160691900297423</v>
      </c>
      <c r="H3339">
        <v>0.105155320882708</v>
      </c>
      <c r="I3339">
        <v>7.2328037047374796E-2</v>
      </c>
      <c r="J3339">
        <v>6.7829565132298403E-2</v>
      </c>
      <c r="K3339">
        <v>5.4754084961330898E-2</v>
      </c>
      <c r="L3339">
        <v>766.10546853481503</v>
      </c>
      <c r="M3339">
        <v>15.9221433274747</v>
      </c>
      <c r="N3339">
        <v>48.5439975136578</v>
      </c>
      <c r="O3339">
        <v>47.375929142935199</v>
      </c>
      <c r="P3339">
        <v>-7.8520759537308193E-2</v>
      </c>
      <c r="Q3339">
        <v>6.5528775734820993E-2</v>
      </c>
      <c r="R3339">
        <v>0.99527370142081695</v>
      </c>
      <c r="S3339" t="s">
        <v>10342</v>
      </c>
      <c r="T3339" t="s">
        <v>14004</v>
      </c>
      <c r="U3339" t="s">
        <v>14004</v>
      </c>
      <c r="V3339" t="s">
        <v>14004</v>
      </c>
      <c r="W3339" t="s">
        <v>17299</v>
      </c>
      <c r="X3339">
        <v>7</v>
      </c>
      <c r="Y3339" t="s">
        <v>24157</v>
      </c>
      <c r="Z3339" t="s">
        <v>31049</v>
      </c>
      <c r="AA3339">
        <v>0.33956572219051279</v>
      </c>
      <c r="AB3339" t="str">
        <f>HYPERLINK("Melting_Curves/meltCurve_Q06547_2_GABPB1.pdf", "Melting_Curves/meltCurve_Q06547_2_GABPB1.pdf")</f>
        <v>Melting_Curves/meltCurve_Q06547_2_GABPB1.pdf</v>
      </c>
    </row>
    <row r="3340" spans="1:28" x14ac:dyDescent="0.25">
      <c r="A3340" t="s">
        <v>3344</v>
      </c>
      <c r="B3340">
        <v>0.99999676499088797</v>
      </c>
      <c r="C3340">
        <v>0.77935439671023898</v>
      </c>
      <c r="D3340">
        <v>0.51976646261475601</v>
      </c>
      <c r="E3340">
        <v>0.284039038189769</v>
      </c>
      <c r="F3340">
        <v>0.188556414276699</v>
      </c>
      <c r="G3340">
        <v>0.11473789166437</v>
      </c>
      <c r="H3340">
        <v>6.2911442645908797E-2</v>
      </c>
      <c r="I3340">
        <v>0.101118535572221</v>
      </c>
      <c r="J3340">
        <v>0.10402511274336899</v>
      </c>
      <c r="K3340">
        <v>0.116038405853065</v>
      </c>
      <c r="L3340">
        <v>850.52904946266597</v>
      </c>
      <c r="M3340">
        <v>18.567748516036701</v>
      </c>
      <c r="N3340">
        <v>46.345874719279699</v>
      </c>
      <c r="O3340">
        <v>45.285387427472301</v>
      </c>
      <c r="P3340">
        <v>-9.2552924793899802E-2</v>
      </c>
      <c r="Q3340">
        <v>9.7120023671148803E-2</v>
      </c>
      <c r="R3340">
        <v>0.99285719175777198</v>
      </c>
      <c r="S3340" t="s">
        <v>10343</v>
      </c>
      <c r="T3340" t="s">
        <v>14004</v>
      </c>
      <c r="U3340" t="s">
        <v>14004</v>
      </c>
      <c r="V3340" t="s">
        <v>14004</v>
      </c>
      <c r="W3340" t="s">
        <v>17300</v>
      </c>
      <c r="X3340">
        <v>6</v>
      </c>
      <c r="Y3340" t="s">
        <v>24158</v>
      </c>
      <c r="Z3340" t="s">
        <v>31050</v>
      </c>
      <c r="AA3340">
        <v>0.28866224848802102</v>
      </c>
      <c r="AB3340" t="str">
        <f>HYPERLINK("Melting_Curves/meltCurve_Q06587_RING1.pdf", "Melting_Curves/meltCurve_Q06587_RING1.pdf")</f>
        <v>Melting_Curves/meltCurve_Q06587_RING1.pdf</v>
      </c>
    </row>
    <row r="3341" spans="1:28" x14ac:dyDescent="0.25">
      <c r="A3341" t="s">
        <v>3345</v>
      </c>
      <c r="B3341">
        <v>0.99999676499088797</v>
      </c>
      <c r="C3341">
        <v>0.94828102462733199</v>
      </c>
      <c r="D3341">
        <v>0.90814788367940302</v>
      </c>
      <c r="E3341">
        <v>0.87944844955587598</v>
      </c>
      <c r="F3341">
        <v>0.55071019290579304</v>
      </c>
      <c r="G3341">
        <v>0.26984418675184801</v>
      </c>
      <c r="H3341">
        <v>9.5895326157557206E-2</v>
      </c>
      <c r="I3341">
        <v>0.11246940582981201</v>
      </c>
      <c r="J3341">
        <v>9.0492834080416404E-2</v>
      </c>
      <c r="K3341">
        <v>8.9055535066527206E-2</v>
      </c>
      <c r="L3341">
        <v>1200.1052028854101</v>
      </c>
      <c r="M3341">
        <v>22.497221941925101</v>
      </c>
      <c r="N3341">
        <v>53.740384762110097</v>
      </c>
      <c r="O3341">
        <v>52.9284738575682</v>
      </c>
      <c r="P3341">
        <v>-9.8151792442987204E-2</v>
      </c>
      <c r="Q3341">
        <v>7.6344908552272897E-2</v>
      </c>
      <c r="R3341">
        <v>0.99392785829918295</v>
      </c>
      <c r="S3341" t="s">
        <v>10344</v>
      </c>
      <c r="T3341" t="s">
        <v>14004</v>
      </c>
      <c r="U3341" t="s">
        <v>14004</v>
      </c>
      <c r="V3341" t="s">
        <v>14004</v>
      </c>
      <c r="W3341" t="s">
        <v>17301</v>
      </c>
      <c r="X3341">
        <v>8</v>
      </c>
      <c r="Y3341" t="s">
        <v>24159</v>
      </c>
      <c r="Z3341" t="s">
        <v>31051</v>
      </c>
      <c r="AA3341">
        <v>0.49753450406196331</v>
      </c>
      <c r="AB3341" t="str">
        <f>HYPERLINK("Melting_Curves/meltCurve_Q06609_RAD51.pdf", "Melting_Curves/meltCurve_Q06609_RAD51.pdf")</f>
        <v>Melting_Curves/meltCurve_Q06609_RAD51.pdf</v>
      </c>
    </row>
    <row r="3342" spans="1:28" x14ac:dyDescent="0.25">
      <c r="A3342" t="s">
        <v>3346</v>
      </c>
      <c r="B3342">
        <v>0.99999676499088797</v>
      </c>
      <c r="C3342">
        <v>0.94364821890967099</v>
      </c>
      <c r="D3342">
        <v>0.86401160617464001</v>
      </c>
      <c r="E3342">
        <v>0.64455773930888305</v>
      </c>
      <c r="F3342">
        <v>0.27959365215086601</v>
      </c>
      <c r="G3342">
        <v>0.19536111387854699</v>
      </c>
      <c r="H3342">
        <v>9.6534635523003801E-2</v>
      </c>
      <c r="I3342">
        <v>0.119310202390552</v>
      </c>
      <c r="J3342">
        <v>0.107594100813194</v>
      </c>
      <c r="K3342">
        <v>0.10680244017269699</v>
      </c>
      <c r="L3342">
        <v>1044.6933764949299</v>
      </c>
      <c r="M3342">
        <v>20.789742611352299</v>
      </c>
      <c r="N3342">
        <v>50.7860498251937</v>
      </c>
      <c r="O3342">
        <v>49.792419552652298</v>
      </c>
      <c r="P3342">
        <v>-9.4108857939315504E-2</v>
      </c>
      <c r="Q3342">
        <v>9.8444460564659705E-2</v>
      </c>
      <c r="R3342">
        <v>0.99608287681375896</v>
      </c>
      <c r="S3342" t="s">
        <v>10345</v>
      </c>
      <c r="T3342" t="s">
        <v>14004</v>
      </c>
      <c r="U3342" t="s">
        <v>14004</v>
      </c>
      <c r="V3342" t="s">
        <v>14004</v>
      </c>
      <c r="W3342" t="s">
        <v>17302</v>
      </c>
      <c r="X3342">
        <v>10</v>
      </c>
      <c r="Y3342" t="s">
        <v>24160</v>
      </c>
      <c r="Z3342" t="s">
        <v>31052</v>
      </c>
      <c r="AA3342">
        <v>0.41812131052815038</v>
      </c>
      <c r="AB3342" t="str">
        <f>HYPERLINK("Melting_Curves/meltCurve_Q06787_6_FMR1.pdf", "Melting_Curves/meltCurve_Q06787_6_FMR1.pdf")</f>
        <v>Melting_Curves/meltCurve_Q06787_6_FMR1.pdf</v>
      </c>
    </row>
    <row r="3343" spans="1:28" x14ac:dyDescent="0.25">
      <c r="A3343" t="s">
        <v>3347</v>
      </c>
      <c r="B3343">
        <v>0.99999676499088797</v>
      </c>
      <c r="C3343">
        <v>0.81809748092955603</v>
      </c>
      <c r="D3343">
        <v>0.94005530326365105</v>
      </c>
      <c r="E3343">
        <v>0.825658998076093</v>
      </c>
      <c r="F3343">
        <v>0.59420536998152496</v>
      </c>
      <c r="G3343">
        <v>0.27939724544331401</v>
      </c>
      <c r="H3343">
        <v>0.126301595172185</v>
      </c>
      <c r="I3343">
        <v>0.102914072782907</v>
      </c>
      <c r="J3343">
        <v>8.9791541975329695E-2</v>
      </c>
      <c r="K3343">
        <v>8.5261201825384797E-2</v>
      </c>
      <c r="L3343">
        <v>974.05635359875703</v>
      </c>
      <c r="M3343">
        <v>18.176510138665201</v>
      </c>
      <c r="N3343">
        <v>53.936556690242298</v>
      </c>
      <c r="O3343">
        <v>52.952735276516599</v>
      </c>
      <c r="P3343">
        <v>-8.1073160255576301E-2</v>
      </c>
      <c r="Q3343">
        <v>5.5298988065975802E-2</v>
      </c>
      <c r="R3343">
        <v>0.97563069090814603</v>
      </c>
      <c r="S3343" t="s">
        <v>10346</v>
      </c>
      <c r="T3343" t="s">
        <v>14004</v>
      </c>
      <c r="U3343" t="s">
        <v>14004</v>
      </c>
      <c r="V3343" t="s">
        <v>14004</v>
      </c>
      <c r="W3343" t="s">
        <v>17303</v>
      </c>
      <c r="X3343">
        <v>21</v>
      </c>
      <c r="Y3343" t="s">
        <v>24161</v>
      </c>
      <c r="Z3343" t="s">
        <v>31053</v>
      </c>
      <c r="AA3343">
        <v>0.49825675666683378</v>
      </c>
      <c r="AB3343" t="str">
        <f>HYPERLINK("Melting_Curves/meltCurve_Q06830_PRDX1.pdf", "Melting_Curves/meltCurve_Q06830_PRDX1.pdf")</f>
        <v>Melting_Curves/meltCurve_Q06830_PRDX1.pdf</v>
      </c>
    </row>
    <row r="3344" spans="1:28" x14ac:dyDescent="0.25">
      <c r="A3344" t="s">
        <v>3348</v>
      </c>
      <c r="B3344">
        <v>0.99999676499088797</v>
      </c>
      <c r="C3344">
        <v>0.91073053435565199</v>
      </c>
      <c r="D3344">
        <v>0.80998694590805398</v>
      </c>
      <c r="E3344">
        <v>0.64084226994590299</v>
      </c>
      <c r="F3344">
        <v>0.52949881371690799</v>
      </c>
      <c r="G3344">
        <v>0.50340474734650398</v>
      </c>
      <c r="H3344">
        <v>0.308251280476106</v>
      </c>
      <c r="I3344">
        <v>0.37447380696896898</v>
      </c>
      <c r="J3344">
        <v>0.35021084967646998</v>
      </c>
      <c r="K3344">
        <v>0.46974899112964102</v>
      </c>
      <c r="L3344">
        <v>699.22069513535496</v>
      </c>
      <c r="M3344">
        <v>14.3379956729397</v>
      </c>
      <c r="N3344">
        <v>53.887770104890102</v>
      </c>
      <c r="O3344">
        <v>47.847776726427</v>
      </c>
      <c r="P3344">
        <v>-4.70528534391381E-2</v>
      </c>
      <c r="Q3344">
        <v>0.371989602054483</v>
      </c>
      <c r="R3344">
        <v>0.955464422785266</v>
      </c>
      <c r="S3344" t="s">
        <v>10347</v>
      </c>
      <c r="T3344" t="s">
        <v>14004</v>
      </c>
      <c r="U3344" t="s">
        <v>14004</v>
      </c>
      <c r="V3344" t="s">
        <v>14004</v>
      </c>
      <c r="W3344" t="s">
        <v>17304</v>
      </c>
      <c r="X3344">
        <v>2</v>
      </c>
      <c r="Y3344" t="s">
        <v>24162</v>
      </c>
      <c r="Z3344" t="s">
        <v>31054</v>
      </c>
      <c r="AA3344">
        <v>0.57254316648291925</v>
      </c>
      <c r="AB3344" t="str">
        <f>HYPERLINK("Melting_Curves/meltCurve_Q06945_SOX4.pdf", "Melting_Curves/meltCurve_Q06945_SOX4.pdf")</f>
        <v>Melting_Curves/meltCurve_Q06945_SOX4.pdf</v>
      </c>
    </row>
    <row r="3345" spans="1:28" x14ac:dyDescent="0.25">
      <c r="A3345" t="s">
        <v>3349</v>
      </c>
      <c r="B3345">
        <v>0.99999676499088797</v>
      </c>
      <c r="C3345">
        <v>1.00708001188872</v>
      </c>
      <c r="D3345">
        <v>0.92311807354483</v>
      </c>
      <c r="E3345">
        <v>0.96674764129396995</v>
      </c>
      <c r="F3345">
        <v>0.33710393018513801</v>
      </c>
      <c r="G3345">
        <v>0.21363533477629201</v>
      </c>
      <c r="H3345">
        <v>0.113913775933059</v>
      </c>
      <c r="I3345">
        <v>0.110434263136097</v>
      </c>
      <c r="J3345">
        <v>0.11121531326619299</v>
      </c>
      <c r="K3345">
        <v>9.8248657875897302E-2</v>
      </c>
      <c r="L3345">
        <v>2872.9666577712901</v>
      </c>
      <c r="M3345">
        <v>55.095990263780301</v>
      </c>
      <c r="N3345">
        <v>52.421628447448299</v>
      </c>
      <c r="O3345">
        <v>52.076191175481</v>
      </c>
      <c r="P3345">
        <v>-0.23110616197049799</v>
      </c>
      <c r="Q3345">
        <v>0.12624340082660401</v>
      </c>
      <c r="R3345">
        <v>0.99157461235836697</v>
      </c>
      <c r="S3345" t="s">
        <v>10348</v>
      </c>
      <c r="T3345" t="s">
        <v>14004</v>
      </c>
      <c r="U3345" t="s">
        <v>14004</v>
      </c>
      <c r="V3345" t="s">
        <v>14004</v>
      </c>
      <c r="W3345" t="s">
        <v>17305</v>
      </c>
      <c r="X3345">
        <v>8</v>
      </c>
      <c r="Y3345" t="s">
        <v>24163</v>
      </c>
      <c r="Z3345" t="s">
        <v>31055</v>
      </c>
      <c r="AA3345">
        <v>0.48161541304113259</v>
      </c>
      <c r="AB3345" t="str">
        <f>HYPERLINK("Melting_Curves/meltCurve_Q07021_C1QBP.pdf", "Melting_Curves/meltCurve_Q07021_C1QBP.pdf")</f>
        <v>Melting_Curves/meltCurve_Q07021_C1QBP.pdf</v>
      </c>
    </row>
    <row r="3346" spans="1:28" x14ac:dyDescent="0.25">
      <c r="A3346" t="s">
        <v>3350</v>
      </c>
      <c r="B3346">
        <v>0.99999676499088797</v>
      </c>
      <c r="C3346">
        <v>0.95362153037626096</v>
      </c>
      <c r="D3346">
        <v>0.91933457538867003</v>
      </c>
      <c r="E3346">
        <v>0.50017191570881803</v>
      </c>
      <c r="F3346">
        <v>0.318229575682063</v>
      </c>
      <c r="G3346">
        <v>0.236402721027894</v>
      </c>
      <c r="H3346">
        <v>0.12735428119280701</v>
      </c>
      <c r="I3346">
        <v>0.13238637549628901</v>
      </c>
      <c r="J3346">
        <v>0.15525095154826901</v>
      </c>
      <c r="K3346">
        <v>0.15526661431741001</v>
      </c>
      <c r="L3346">
        <v>1144.94951011131</v>
      </c>
      <c r="M3346">
        <v>23.208949045819899</v>
      </c>
      <c r="N3346">
        <v>50.1142054884102</v>
      </c>
      <c r="O3346">
        <v>48.970388661921099</v>
      </c>
      <c r="P3346">
        <v>-0.10048790977880601</v>
      </c>
      <c r="Q3346">
        <v>0.15190611418806901</v>
      </c>
      <c r="R3346">
        <v>0.99122378077043904</v>
      </c>
      <c r="S3346" t="s">
        <v>10349</v>
      </c>
      <c r="T3346" t="s">
        <v>14004</v>
      </c>
      <c r="U3346" t="s">
        <v>14004</v>
      </c>
      <c r="V3346" t="s">
        <v>14004</v>
      </c>
      <c r="W3346" t="s">
        <v>17306</v>
      </c>
      <c r="X3346">
        <v>34</v>
      </c>
      <c r="Y3346" t="s">
        <v>24164</v>
      </c>
      <c r="Z3346" t="s">
        <v>31056</v>
      </c>
      <c r="AA3346">
        <v>0.42449412158621569</v>
      </c>
      <c r="AB3346" t="str">
        <f>HYPERLINK("Melting_Curves/meltCurve_Q07065_CKAP4.pdf", "Melting_Curves/meltCurve_Q07065_CKAP4.pdf")</f>
        <v>Melting_Curves/meltCurve_Q07065_CKAP4.pdf</v>
      </c>
    </row>
    <row r="3347" spans="1:28" x14ac:dyDescent="0.25">
      <c r="A3347" t="s">
        <v>3351</v>
      </c>
      <c r="B3347">
        <v>0.99999676499088797</v>
      </c>
      <c r="C3347">
        <v>0.95471365991360402</v>
      </c>
      <c r="D3347">
        <v>0.96920604206651895</v>
      </c>
      <c r="E3347">
        <v>0.97303339672595801</v>
      </c>
      <c r="F3347">
        <v>0.838211219395533</v>
      </c>
      <c r="G3347">
        <v>0.80966107406260601</v>
      </c>
      <c r="H3347">
        <v>0.53976633207440905</v>
      </c>
      <c r="I3347">
        <v>0.445868329283579</v>
      </c>
      <c r="J3347">
        <v>0.228565968122241</v>
      </c>
      <c r="K3347">
        <v>0.25541951239017202</v>
      </c>
      <c r="L3347">
        <v>793.45793884672605</v>
      </c>
      <c r="M3347">
        <v>12.900745576996201</v>
      </c>
      <c r="N3347">
        <v>62.061359944501397</v>
      </c>
      <c r="O3347">
        <v>60.083200287901498</v>
      </c>
      <c r="P3347">
        <v>-5.0755748392635698E-2</v>
      </c>
      <c r="Q3347">
        <v>5.4624304813774303E-2</v>
      </c>
      <c r="R3347">
        <v>0.98216226562896503</v>
      </c>
      <c r="S3347" t="s">
        <v>10350</v>
      </c>
      <c r="T3347" t="s">
        <v>14004</v>
      </c>
      <c r="U3347" t="s">
        <v>14004</v>
      </c>
      <c r="V3347" t="s">
        <v>14004</v>
      </c>
      <c r="W3347" t="s">
        <v>17307</v>
      </c>
      <c r="X3347">
        <v>4</v>
      </c>
      <c r="Y3347" t="s">
        <v>24165</v>
      </c>
      <c r="Z3347" t="s">
        <v>31057</v>
      </c>
      <c r="AA3347">
        <v>0.7278125714951853</v>
      </c>
      <c r="AB3347" t="str">
        <f>HYPERLINK("Melting_Curves/meltCurve_Q07108_CD69.pdf", "Melting_Curves/meltCurve_Q07108_CD69.pdf")</f>
        <v>Melting_Curves/meltCurve_Q07108_CD69.pdf</v>
      </c>
    </row>
    <row r="3348" spans="1:28" x14ac:dyDescent="0.25">
      <c r="A3348" t="s">
        <v>3352</v>
      </c>
      <c r="B3348">
        <v>0.99999676499088797</v>
      </c>
      <c r="C3348">
        <v>0.91110766924269904</v>
      </c>
      <c r="D3348">
        <v>0.84458489618840105</v>
      </c>
      <c r="E3348">
        <v>0.63384492542996196</v>
      </c>
      <c r="F3348">
        <v>0.19455987897598201</v>
      </c>
      <c r="G3348">
        <v>0.10577305042480201</v>
      </c>
      <c r="H3348">
        <v>5.2807407891928601E-2</v>
      </c>
      <c r="I3348">
        <v>7.5464328274386205E-2</v>
      </c>
      <c r="J3348">
        <v>7.7083352738500296E-2</v>
      </c>
      <c r="K3348">
        <v>6.9071052647210904E-2</v>
      </c>
      <c r="L3348">
        <v>1167.56346427685</v>
      </c>
      <c r="M3348">
        <v>23.339087863319602</v>
      </c>
      <c r="N3348">
        <v>50.283272509490203</v>
      </c>
      <c r="O3348">
        <v>49.663172705319099</v>
      </c>
      <c r="P3348">
        <v>-0.110879074084344</v>
      </c>
      <c r="Q3348">
        <v>5.6259716668812798E-2</v>
      </c>
      <c r="R3348">
        <v>0.99029881146971499</v>
      </c>
      <c r="S3348" t="s">
        <v>10351</v>
      </c>
      <c r="T3348" t="s">
        <v>14004</v>
      </c>
      <c r="U3348" t="s">
        <v>14004</v>
      </c>
      <c r="V3348" t="s">
        <v>14004</v>
      </c>
      <c r="W3348" t="s">
        <v>17308</v>
      </c>
      <c r="X3348">
        <v>13</v>
      </c>
      <c r="Y3348" t="s">
        <v>24166</v>
      </c>
      <c r="Z3348" t="s">
        <v>31058</v>
      </c>
      <c r="AA3348">
        <v>0.38134404559418372</v>
      </c>
      <c r="AB3348" t="str">
        <f>HYPERLINK("Melting_Curves/meltCurve_Q07666_KHDRBS1.pdf", "Melting_Curves/meltCurve_Q07666_KHDRBS1.pdf")</f>
        <v>Melting_Curves/meltCurve_Q07666_KHDRBS1.pdf</v>
      </c>
    </row>
    <row r="3349" spans="1:28" x14ac:dyDescent="0.25">
      <c r="A3349" t="s">
        <v>3353</v>
      </c>
      <c r="B3349">
        <v>0.99999676499088797</v>
      </c>
      <c r="C3349">
        <v>1.1809719524866</v>
      </c>
      <c r="D3349">
        <v>0.95091433570056105</v>
      </c>
      <c r="E3349">
        <v>0.93905033175911601</v>
      </c>
      <c r="F3349">
        <v>0.60251169962099704</v>
      </c>
      <c r="G3349">
        <v>0.46578112390031501</v>
      </c>
      <c r="H3349">
        <v>0.273462438309024</v>
      </c>
      <c r="I3349">
        <v>0.26182824960298401</v>
      </c>
      <c r="J3349">
        <v>0.34497548392772698</v>
      </c>
      <c r="K3349">
        <v>0.27084960461618202</v>
      </c>
      <c r="L3349">
        <v>1348.19762273887</v>
      </c>
      <c r="M3349">
        <v>25.330694352049299</v>
      </c>
      <c r="N3349">
        <v>55.063117899554598</v>
      </c>
      <c r="O3349">
        <v>52.895490707794501</v>
      </c>
      <c r="P3349">
        <v>-8.55462709064988E-2</v>
      </c>
      <c r="Q3349">
        <v>0.28545923611811502</v>
      </c>
      <c r="R3349">
        <v>0.95833699695597196</v>
      </c>
      <c r="S3349" t="s">
        <v>10352</v>
      </c>
      <c r="T3349" t="s">
        <v>14004</v>
      </c>
      <c r="U3349" t="s">
        <v>14004</v>
      </c>
      <c r="V3349" t="s">
        <v>14004</v>
      </c>
      <c r="W3349" t="s">
        <v>17309</v>
      </c>
      <c r="X3349">
        <v>3</v>
      </c>
      <c r="Y3349" t="s">
        <v>24167</v>
      </c>
      <c r="Z3349" t="s">
        <v>31059</v>
      </c>
      <c r="AA3349">
        <v>0.60685453708097203</v>
      </c>
      <c r="AB3349" t="str">
        <f>HYPERLINK("Melting_Curves/meltCurve_Q07820_2_MCL1.pdf", "Melting_Curves/meltCurve_Q07820_2_MCL1.pdf")</f>
        <v>Melting_Curves/meltCurve_Q07820_2_MCL1.pdf</v>
      </c>
    </row>
    <row r="3350" spans="1:28" x14ac:dyDescent="0.25">
      <c r="A3350" t="s">
        <v>3354</v>
      </c>
      <c r="B3350">
        <v>0.99999676499088797</v>
      </c>
      <c r="C3350">
        <v>1.07067750091421</v>
      </c>
      <c r="D3350">
        <v>0.91584567928737404</v>
      </c>
      <c r="E3350">
        <v>0.91595846635097</v>
      </c>
      <c r="F3350">
        <v>0.26643734169889499</v>
      </c>
      <c r="G3350">
        <v>0.16441096272146299</v>
      </c>
      <c r="H3350">
        <v>8.6191644258566402E-2</v>
      </c>
      <c r="I3350">
        <v>8.5168457385959406E-2</v>
      </c>
      <c r="J3350">
        <v>4.9010971674558597E-2</v>
      </c>
      <c r="K3350">
        <v>6.3172702740775993E-2</v>
      </c>
      <c r="L3350">
        <v>2546.9672021258798</v>
      </c>
      <c r="M3350">
        <v>49.203477669404101</v>
      </c>
      <c r="N3350">
        <v>51.962043337630497</v>
      </c>
      <c r="O3350">
        <v>51.678677823005998</v>
      </c>
      <c r="P3350">
        <v>-0.217672711834382</v>
      </c>
      <c r="Q3350">
        <v>8.55095643738156E-2</v>
      </c>
      <c r="R3350">
        <v>0.98985131014860595</v>
      </c>
      <c r="S3350" t="s">
        <v>10353</v>
      </c>
      <c r="T3350" t="s">
        <v>14004</v>
      </c>
      <c r="U3350" t="s">
        <v>14004</v>
      </c>
      <c r="V3350" t="s">
        <v>14004</v>
      </c>
      <c r="W3350" t="s">
        <v>17310</v>
      </c>
      <c r="X3350">
        <v>37</v>
      </c>
      <c r="Y3350" t="s">
        <v>24168</v>
      </c>
      <c r="Z3350" t="s">
        <v>31060</v>
      </c>
      <c r="AA3350">
        <v>0.44626722166606142</v>
      </c>
      <c r="AB3350" t="str">
        <f>HYPERLINK("Melting_Curves/meltCurve_Q07866_3_KLC1.pdf", "Melting_Curves/meltCurve_Q07866_3_KLC1.pdf")</f>
        <v>Melting_Curves/meltCurve_Q07866_3_KLC1.pdf</v>
      </c>
    </row>
    <row r="3351" spans="1:28" x14ac:dyDescent="0.25">
      <c r="A3351" t="s">
        <v>3355</v>
      </c>
      <c r="B3351">
        <v>0.99999676499088797</v>
      </c>
      <c r="C3351">
        <v>1.02409879268165</v>
      </c>
      <c r="D3351">
        <v>1.03075096901198</v>
      </c>
      <c r="E3351">
        <v>1.0319148107631799</v>
      </c>
      <c r="F3351">
        <v>0.29297459093651501</v>
      </c>
      <c r="G3351">
        <v>0.18756776823757401</v>
      </c>
      <c r="H3351">
        <v>0.111969696890175</v>
      </c>
      <c r="I3351">
        <v>8.7817001863229202E-2</v>
      </c>
      <c r="J3351">
        <v>8.7452761333620094E-2</v>
      </c>
      <c r="K3351">
        <v>8.3617000531832603E-2</v>
      </c>
      <c r="L3351">
        <v>11493.084799001999</v>
      </c>
      <c r="M3351">
        <v>217.39639591477899</v>
      </c>
      <c r="N3351">
        <v>52.928499631392597</v>
      </c>
      <c r="O3351">
        <v>52.862478149825201</v>
      </c>
      <c r="P3351">
        <v>-0.91329682460372896</v>
      </c>
      <c r="Q3351">
        <v>0.111684754022084</v>
      </c>
      <c r="R3351">
        <v>0.99458765463102605</v>
      </c>
      <c r="S3351" t="s">
        <v>10354</v>
      </c>
      <c r="T3351" t="s">
        <v>14004</v>
      </c>
      <c r="U3351" t="s">
        <v>14004</v>
      </c>
      <c r="V3351" t="s">
        <v>14004</v>
      </c>
      <c r="W3351" t="s">
        <v>17311</v>
      </c>
      <c r="X3351">
        <v>39</v>
      </c>
      <c r="Y3351" t="s">
        <v>24168</v>
      </c>
      <c r="Z3351" t="s">
        <v>31061</v>
      </c>
      <c r="AA3351">
        <v>0.49279073892026032</v>
      </c>
      <c r="AB3351" t="str">
        <f>HYPERLINK("Melting_Curves/meltCurve_Q07866_6_KLC1.pdf", "Melting_Curves/meltCurve_Q07866_6_KLC1.pdf")</f>
        <v>Melting_Curves/meltCurve_Q07866_6_KLC1.pdf</v>
      </c>
    </row>
    <row r="3352" spans="1:28" x14ac:dyDescent="0.25">
      <c r="A3352" t="s">
        <v>3356</v>
      </c>
      <c r="B3352">
        <v>0.99999676499088797</v>
      </c>
      <c r="C3352">
        <v>0.95604102142954295</v>
      </c>
      <c r="D3352">
        <v>0.98724161718481296</v>
      </c>
      <c r="E3352">
        <v>0.88109841031691305</v>
      </c>
      <c r="F3352">
        <v>0.39699640188733998</v>
      </c>
      <c r="G3352">
        <v>0.28962372821292498</v>
      </c>
      <c r="H3352">
        <v>0.13715031990999499</v>
      </c>
      <c r="I3352">
        <v>0.147224926514955</v>
      </c>
      <c r="J3352">
        <v>0.13320683946356701</v>
      </c>
      <c r="K3352">
        <v>0.103726063471294</v>
      </c>
      <c r="L3352">
        <v>1563.17780026214</v>
      </c>
      <c r="M3352">
        <v>29.984012426679701</v>
      </c>
      <c r="N3352">
        <v>52.707396413627499</v>
      </c>
      <c r="O3352">
        <v>51.903471430394397</v>
      </c>
      <c r="P3352">
        <v>-0.12431548039540199</v>
      </c>
      <c r="Q3352">
        <v>0.13922637516795699</v>
      </c>
      <c r="R3352">
        <v>0.99056285744679895</v>
      </c>
      <c r="S3352" t="s">
        <v>10355</v>
      </c>
      <c r="T3352" t="s">
        <v>14004</v>
      </c>
      <c r="U3352" t="s">
        <v>14004</v>
      </c>
      <c r="V3352" t="s">
        <v>14004</v>
      </c>
      <c r="W3352" t="s">
        <v>17312</v>
      </c>
      <c r="X3352">
        <v>22</v>
      </c>
      <c r="Y3352" t="s">
        <v>24169</v>
      </c>
      <c r="Z3352" t="s">
        <v>31062</v>
      </c>
      <c r="AA3352">
        <v>0.49288929201734089</v>
      </c>
      <c r="AB3352" t="str">
        <f>HYPERLINK("Melting_Curves/meltCurve_Q07960_ARHGAP1.pdf", "Melting_Curves/meltCurve_Q07960_ARHGAP1.pdf")</f>
        <v>Melting_Curves/meltCurve_Q07960_ARHGAP1.pdf</v>
      </c>
    </row>
    <row r="3353" spans="1:28" x14ac:dyDescent="0.25">
      <c r="A3353" t="s">
        <v>3357</v>
      </c>
      <c r="B3353">
        <v>0.99999676499088797</v>
      </c>
      <c r="C3353">
        <v>1.0286411066102601</v>
      </c>
      <c r="D3353">
        <v>0.97616423747009995</v>
      </c>
      <c r="E3353">
        <v>0.75996149566634097</v>
      </c>
      <c r="F3353">
        <v>0.44276784882832998</v>
      </c>
      <c r="G3353">
        <v>0.37200196009161801</v>
      </c>
      <c r="H3353">
        <v>0.24457175630949701</v>
      </c>
      <c r="I3353">
        <v>0.31417137077864699</v>
      </c>
      <c r="J3353">
        <v>0.36964727381197998</v>
      </c>
      <c r="K3353">
        <v>0.55126088718524702</v>
      </c>
      <c r="L3353">
        <v>1912.7438374283199</v>
      </c>
      <c r="M3353">
        <v>38.0719042349007</v>
      </c>
      <c r="N3353">
        <v>52.078105517694702</v>
      </c>
      <c r="O3353">
        <v>50.102289352058897</v>
      </c>
      <c r="P3353">
        <v>-0.119769458555333</v>
      </c>
      <c r="Q3353">
        <v>0.36953940897746301</v>
      </c>
      <c r="R3353">
        <v>0.93781656831918503</v>
      </c>
      <c r="S3353" t="s">
        <v>10356</v>
      </c>
      <c r="T3353" t="s">
        <v>14004</v>
      </c>
      <c r="U3353" t="s">
        <v>14004</v>
      </c>
      <c r="V3353" t="s">
        <v>14004</v>
      </c>
      <c r="W3353" t="s">
        <v>17313</v>
      </c>
      <c r="X3353">
        <v>12</v>
      </c>
      <c r="Y3353" t="s">
        <v>24170</v>
      </c>
      <c r="Z3353" t="s">
        <v>31063</v>
      </c>
      <c r="AA3353">
        <v>0.58716238398295473</v>
      </c>
      <c r="AB3353" t="str">
        <f>HYPERLINK("Melting_Curves/meltCurve_Q08170_SRSF4.pdf", "Melting_Curves/meltCurve_Q08170_SRSF4.pdf")</f>
        <v>Melting_Curves/meltCurve_Q08170_SRSF4.pdf</v>
      </c>
    </row>
    <row r="3354" spans="1:28" x14ac:dyDescent="0.25">
      <c r="A3354" t="s">
        <v>3358</v>
      </c>
      <c r="B3354">
        <v>0.99999676499088797</v>
      </c>
      <c r="C3354">
        <v>1.0219661493488701</v>
      </c>
      <c r="D3354">
        <v>0.99787725039832698</v>
      </c>
      <c r="E3354">
        <v>1.0074528998613199</v>
      </c>
      <c r="F3354">
        <v>0.71003208402057605</v>
      </c>
      <c r="G3354">
        <v>0.32521567744523699</v>
      </c>
      <c r="H3354">
        <v>0.108319003641017</v>
      </c>
      <c r="I3354">
        <v>0.106492111480473</v>
      </c>
      <c r="J3354">
        <v>0.10025852816471401</v>
      </c>
      <c r="K3354">
        <v>8.3979035158047499E-2</v>
      </c>
      <c r="L3354">
        <v>1695.5969754456801</v>
      </c>
      <c r="M3354">
        <v>31.0061126946425</v>
      </c>
      <c r="N3354">
        <v>55.034395785119898</v>
      </c>
      <c r="O3354">
        <v>54.459927794305599</v>
      </c>
      <c r="P3354">
        <v>-0.12964817904804801</v>
      </c>
      <c r="Q3354">
        <v>8.9135720960418302E-2</v>
      </c>
      <c r="R3354">
        <v>0.99786601841919698</v>
      </c>
      <c r="S3354" t="s">
        <v>10357</v>
      </c>
      <c r="T3354" t="s">
        <v>14004</v>
      </c>
      <c r="U3354" t="s">
        <v>14004</v>
      </c>
      <c r="V3354" t="s">
        <v>14004</v>
      </c>
      <c r="W3354" t="s">
        <v>17314</v>
      </c>
      <c r="X3354">
        <v>12</v>
      </c>
      <c r="Y3354" t="s">
        <v>24171</v>
      </c>
      <c r="Z3354" t="s">
        <v>31064</v>
      </c>
      <c r="AA3354">
        <v>0.54068883911526699</v>
      </c>
      <c r="AB3354" t="str">
        <f>HYPERLINK("Melting_Curves/meltCurve_Q08209_2_PPP3CA.pdf", "Melting_Curves/meltCurve_Q08209_2_PPP3CA.pdf")</f>
        <v>Melting_Curves/meltCurve_Q08209_2_PPP3CA.pdf</v>
      </c>
    </row>
    <row r="3355" spans="1:28" x14ac:dyDescent="0.25">
      <c r="A3355" t="s">
        <v>3359</v>
      </c>
      <c r="B3355">
        <v>0.99999676499088797</v>
      </c>
      <c r="C3355">
        <v>0.98477446706847804</v>
      </c>
      <c r="D3355">
        <v>0.978076941306666</v>
      </c>
      <c r="E3355">
        <v>0.77606000428036703</v>
      </c>
      <c r="F3355">
        <v>0.27536855112421899</v>
      </c>
      <c r="G3355">
        <v>0.17338575734175099</v>
      </c>
      <c r="H3355">
        <v>7.3960296694613403E-2</v>
      </c>
      <c r="I3355">
        <v>6.8830640705113896E-2</v>
      </c>
      <c r="J3355">
        <v>6.6274413857645806E-2</v>
      </c>
      <c r="K3355">
        <v>5.1582312861957698E-2</v>
      </c>
      <c r="L3355">
        <v>1617.4608896442101</v>
      </c>
      <c r="M3355">
        <v>31.5292475243869</v>
      </c>
      <c r="N3355">
        <v>51.558133226945102</v>
      </c>
      <c r="O3355">
        <v>51.095285991053302</v>
      </c>
      <c r="P3355">
        <v>-0.14301751013873501</v>
      </c>
      <c r="Q3355">
        <v>7.2926621110594503E-2</v>
      </c>
      <c r="R3355">
        <v>0.99705387927614997</v>
      </c>
      <c r="S3355" t="s">
        <v>10358</v>
      </c>
      <c r="T3355" t="s">
        <v>14004</v>
      </c>
      <c r="U3355" t="s">
        <v>14004</v>
      </c>
      <c r="V3355" t="s">
        <v>14004</v>
      </c>
      <c r="W3355" t="s">
        <v>17315</v>
      </c>
      <c r="X3355">
        <v>38</v>
      </c>
      <c r="Y3355" t="s">
        <v>24172</v>
      </c>
      <c r="Z3355" t="s">
        <v>31065</v>
      </c>
      <c r="AA3355">
        <v>0.42743764224597469</v>
      </c>
      <c r="AB3355" t="str">
        <f>HYPERLINK("Melting_Curves/meltCurve_Q08211_DHX9.pdf", "Melting_Curves/meltCurve_Q08211_DHX9.pdf")</f>
        <v>Melting_Curves/meltCurve_Q08211_DHX9.pdf</v>
      </c>
    </row>
    <row r="3356" spans="1:28" x14ac:dyDescent="0.25">
      <c r="A3356" t="s">
        <v>3360</v>
      </c>
      <c r="B3356">
        <v>0.99999676499088797</v>
      </c>
      <c r="C3356">
        <v>1.0020751967655499</v>
      </c>
      <c r="D3356">
        <v>1.05826988732306</v>
      </c>
      <c r="E3356">
        <v>1.2858973777905001</v>
      </c>
      <c r="F3356">
        <v>1.3451580318849601</v>
      </c>
      <c r="G3356">
        <v>0.85774932410834404</v>
      </c>
      <c r="H3356">
        <v>0.158809007363483</v>
      </c>
      <c r="I3356">
        <v>0.10779360643266001</v>
      </c>
      <c r="J3356">
        <v>8.6625377333690301E-2</v>
      </c>
      <c r="K3356">
        <v>7.35663219699004E-2</v>
      </c>
      <c r="L3356">
        <v>3839.3385846357901</v>
      </c>
      <c r="M3356">
        <v>65.825747742628195</v>
      </c>
      <c r="N3356">
        <v>58.504406751448101</v>
      </c>
      <c r="O3356">
        <v>58.272031465650102</v>
      </c>
      <c r="P3356">
        <v>-0.25669966858701398</v>
      </c>
      <c r="Q3356">
        <v>9.1030097610107996E-2</v>
      </c>
      <c r="R3356">
        <v>0.91776723573185304</v>
      </c>
      <c r="S3356" t="s">
        <v>10359</v>
      </c>
      <c r="T3356" t="s">
        <v>14004</v>
      </c>
      <c r="U3356" t="s">
        <v>14004</v>
      </c>
      <c r="V3356" t="s">
        <v>14004</v>
      </c>
      <c r="W3356" t="s">
        <v>17316</v>
      </c>
      <c r="X3356">
        <v>16</v>
      </c>
      <c r="Y3356" t="s">
        <v>24173</v>
      </c>
      <c r="Z3356" t="s">
        <v>31066</v>
      </c>
      <c r="AA3356">
        <v>0.64762846502569116</v>
      </c>
      <c r="AB3356" t="str">
        <f>HYPERLINK("Melting_Curves/meltCurve_Q08257_CRYZ.pdf", "Melting_Curves/meltCurve_Q08257_CRYZ.pdf")</f>
        <v>Melting_Curves/meltCurve_Q08257_CRYZ.pdf</v>
      </c>
    </row>
    <row r="3357" spans="1:28" x14ac:dyDescent="0.25">
      <c r="A3357" t="s">
        <v>3361</v>
      </c>
      <c r="B3357">
        <v>0.99999676499088797</v>
      </c>
      <c r="C3357">
        <v>0.964546968433314</v>
      </c>
      <c r="D3357">
        <v>0.91453152606274901</v>
      </c>
      <c r="E3357">
        <v>0.73662065747760497</v>
      </c>
      <c r="F3357">
        <v>0.60643028555550604</v>
      </c>
      <c r="G3357">
        <v>0.59599707221500198</v>
      </c>
      <c r="H3357">
        <v>0.37278823724626597</v>
      </c>
      <c r="I3357">
        <v>0.39754032449646298</v>
      </c>
      <c r="J3357">
        <v>0.37256550800348398</v>
      </c>
      <c r="K3357">
        <v>0.32661084544366897</v>
      </c>
      <c r="L3357">
        <v>597.04414883523305</v>
      </c>
      <c r="M3357">
        <v>11.3077332780411</v>
      </c>
      <c r="N3357">
        <v>57.442963658363098</v>
      </c>
      <c r="O3357">
        <v>51.229147540812903</v>
      </c>
      <c r="P3357">
        <v>-3.8663998612410301E-2</v>
      </c>
      <c r="Q3357">
        <v>0.29955073039484997</v>
      </c>
      <c r="R3357">
        <v>0.97889066947055303</v>
      </c>
      <c r="S3357" t="s">
        <v>10360</v>
      </c>
      <c r="T3357" t="s">
        <v>14004</v>
      </c>
      <c r="U3357" t="s">
        <v>14004</v>
      </c>
      <c r="V3357" t="s">
        <v>14004</v>
      </c>
      <c r="W3357" t="s">
        <v>17317</v>
      </c>
      <c r="X3357">
        <v>4</v>
      </c>
      <c r="Y3357" t="s">
        <v>24174</v>
      </c>
      <c r="Z3357" t="s">
        <v>31067</v>
      </c>
      <c r="AA3357">
        <v>0.62004160283813736</v>
      </c>
      <c r="AB3357" t="str">
        <f>HYPERLINK("Melting_Curves/meltCurve_Q08357_SLC20A2.pdf", "Melting_Curves/meltCurve_Q08357_SLC20A2.pdf")</f>
        <v>Melting_Curves/meltCurve_Q08357_SLC20A2.pdf</v>
      </c>
    </row>
    <row r="3358" spans="1:28" x14ac:dyDescent="0.25">
      <c r="A3358" t="s">
        <v>3362</v>
      </c>
      <c r="B3358">
        <v>0.99999676499088797</v>
      </c>
      <c r="C3358">
        <v>0.92924956939564896</v>
      </c>
      <c r="D3358">
        <v>0.89955970214408298</v>
      </c>
      <c r="E3358">
        <v>0.76016592242682501</v>
      </c>
      <c r="F3358">
        <v>0.39381060388648598</v>
      </c>
      <c r="G3358">
        <v>0.27038399186109002</v>
      </c>
      <c r="H3358">
        <v>0.14693526879621399</v>
      </c>
      <c r="I3358">
        <v>0.138165273229403</v>
      </c>
      <c r="J3358">
        <v>0.143162798234828</v>
      </c>
      <c r="K3358">
        <v>0.13285168049731599</v>
      </c>
      <c r="L3358">
        <v>1011.83611390544</v>
      </c>
      <c r="M3358">
        <v>19.645674721789501</v>
      </c>
      <c r="N3358">
        <v>52.263719161946199</v>
      </c>
      <c r="O3358">
        <v>50.979519860292697</v>
      </c>
      <c r="P3358">
        <v>-8.43812091773294E-2</v>
      </c>
      <c r="Q3358">
        <v>0.124170911137521</v>
      </c>
      <c r="R3358">
        <v>0.993929752799105</v>
      </c>
      <c r="S3358" t="s">
        <v>10361</v>
      </c>
      <c r="T3358" t="s">
        <v>14004</v>
      </c>
      <c r="U3358" t="s">
        <v>14004</v>
      </c>
      <c r="V3358" t="s">
        <v>14004</v>
      </c>
      <c r="W3358" t="s">
        <v>17318</v>
      </c>
      <c r="X3358">
        <v>44</v>
      </c>
      <c r="Y3358" t="s">
        <v>24175</v>
      </c>
      <c r="Z3358" t="s">
        <v>31068</v>
      </c>
      <c r="AA3358">
        <v>0.47257444077060629</v>
      </c>
      <c r="AB3358" t="str">
        <f>HYPERLINK("Melting_Curves/meltCurve_Q08378_GOLGA3.pdf", "Melting_Curves/meltCurve_Q08378_GOLGA3.pdf")</f>
        <v>Melting_Curves/meltCurve_Q08378_GOLGA3.pdf</v>
      </c>
    </row>
    <row r="3359" spans="1:28" x14ac:dyDescent="0.25">
      <c r="A3359" t="s">
        <v>3363</v>
      </c>
      <c r="B3359">
        <v>0.99999676499088797</v>
      </c>
      <c r="C3359">
        <v>0.78940180352281997</v>
      </c>
      <c r="D3359">
        <v>0.57832636073269605</v>
      </c>
      <c r="E3359">
        <v>0.39702951664939101</v>
      </c>
      <c r="F3359">
        <v>0.28120554358345301</v>
      </c>
      <c r="G3359">
        <v>0.190351281565692</v>
      </c>
      <c r="H3359">
        <v>8.7191668935310204E-2</v>
      </c>
      <c r="I3359">
        <v>7.7446280897109504E-2</v>
      </c>
      <c r="J3359">
        <v>7.4267506177114098E-2</v>
      </c>
      <c r="K3359">
        <v>7.3401597297594906E-2</v>
      </c>
      <c r="L3359">
        <v>603.52171175052501</v>
      </c>
      <c r="M3359">
        <v>12.728954572483</v>
      </c>
      <c r="N3359">
        <v>47.872749434808597</v>
      </c>
      <c r="O3359">
        <v>46.288777489733</v>
      </c>
      <c r="P3359">
        <v>-6.4807013247483197E-2</v>
      </c>
      <c r="Q3359">
        <v>5.7499261007163301E-2</v>
      </c>
      <c r="R3359">
        <v>0.988442587279588</v>
      </c>
      <c r="S3359" t="s">
        <v>10362</v>
      </c>
      <c r="T3359" t="s">
        <v>14004</v>
      </c>
      <c r="U3359" t="s">
        <v>14004</v>
      </c>
      <c r="V3359" t="s">
        <v>14004</v>
      </c>
      <c r="W3359" t="s">
        <v>17319</v>
      </c>
      <c r="X3359">
        <v>13</v>
      </c>
      <c r="Y3359" t="s">
        <v>24176</v>
      </c>
      <c r="Z3359" t="s">
        <v>31069</v>
      </c>
      <c r="AA3359">
        <v>0.324845671504019</v>
      </c>
      <c r="AB3359" t="str">
        <f>HYPERLINK("Melting_Curves/meltCurve_Q08379_GOLGA2.pdf", "Melting_Curves/meltCurve_Q08379_GOLGA2.pdf")</f>
        <v>Melting_Curves/meltCurve_Q08379_GOLGA2.pdf</v>
      </c>
    </row>
    <row r="3360" spans="1:28" x14ac:dyDescent="0.25">
      <c r="A3360" t="s">
        <v>3364</v>
      </c>
      <c r="B3360">
        <v>0.99999676499088797</v>
      </c>
      <c r="C3360">
        <v>1.04149168347346</v>
      </c>
      <c r="D3360">
        <v>1.03137607753587</v>
      </c>
      <c r="E3360">
        <v>1.0074644106180499</v>
      </c>
      <c r="F3360">
        <v>1.2387179251993199</v>
      </c>
      <c r="G3360">
        <v>0.92738456594950902</v>
      </c>
      <c r="H3360">
        <v>0.72375745040343897</v>
      </c>
      <c r="I3360">
        <v>0.69128649855246305</v>
      </c>
      <c r="J3360">
        <v>0.65858839451970896</v>
      </c>
      <c r="K3360">
        <v>0.61952402309208499</v>
      </c>
      <c r="L3360">
        <v>2734.6746321853898</v>
      </c>
      <c r="M3360">
        <v>46.3873478992193</v>
      </c>
      <c r="O3360">
        <v>58.843756797138603</v>
      </c>
      <c r="P3360">
        <v>-6.8386882532992105E-2</v>
      </c>
      <c r="Q3360">
        <v>0.65299694223060201</v>
      </c>
      <c r="R3360">
        <v>0.835678468583815</v>
      </c>
      <c r="S3360" t="s">
        <v>10363</v>
      </c>
      <c r="T3360" t="s">
        <v>14004</v>
      </c>
      <c r="U3360" t="s">
        <v>14004</v>
      </c>
      <c r="V3360" t="s">
        <v>14004</v>
      </c>
      <c r="W3360" t="s">
        <v>17320</v>
      </c>
      <c r="X3360">
        <v>8</v>
      </c>
      <c r="Y3360" t="s">
        <v>24177</v>
      </c>
      <c r="Z3360" t="s">
        <v>31070</v>
      </c>
      <c r="AA3360">
        <v>0.87325710686312163</v>
      </c>
      <c r="AB3360" t="str">
        <f>HYPERLINK("Melting_Curves/meltCurve_Q08380_LGALS3BP.pdf", "Melting_Curves/meltCurve_Q08380_LGALS3BP.pdf")</f>
        <v>Melting_Curves/meltCurve_Q08380_LGALS3BP.pdf</v>
      </c>
    </row>
    <row r="3361" spans="1:28" x14ac:dyDescent="0.25">
      <c r="A3361" t="s">
        <v>3365</v>
      </c>
      <c r="B3361">
        <v>0.99999676499088797</v>
      </c>
      <c r="C3361">
        <v>0.87817604315728603</v>
      </c>
      <c r="D3361">
        <v>0.89377715413048697</v>
      </c>
      <c r="E3361">
        <v>0.68617890577797602</v>
      </c>
      <c r="F3361">
        <v>0.34631068290429001</v>
      </c>
      <c r="G3361">
        <v>0.24793919984622101</v>
      </c>
      <c r="H3361">
        <v>8.2015774188664001E-2</v>
      </c>
      <c r="I3361">
        <v>9.7136055422961901E-2</v>
      </c>
      <c r="J3361">
        <v>6.7197906253017206E-2</v>
      </c>
      <c r="K3361">
        <v>3.4455530005816103E-2</v>
      </c>
      <c r="L3361">
        <v>811.23019942974804</v>
      </c>
      <c r="M3361">
        <v>15.770699668585101</v>
      </c>
      <c r="N3361">
        <v>51.668093795028803</v>
      </c>
      <c r="O3361">
        <v>50.633308036999601</v>
      </c>
      <c r="P3361">
        <v>-7.52448105341086E-2</v>
      </c>
      <c r="Q3361">
        <v>3.3758143616278803E-2</v>
      </c>
      <c r="R3361">
        <v>0.99008155690900801</v>
      </c>
      <c r="S3361" t="s">
        <v>10364</v>
      </c>
      <c r="T3361" t="s">
        <v>14004</v>
      </c>
      <c r="U3361" t="s">
        <v>14004</v>
      </c>
      <c r="V3361" t="s">
        <v>14004</v>
      </c>
      <c r="W3361" t="s">
        <v>17321</v>
      </c>
      <c r="X3361">
        <v>1</v>
      </c>
      <c r="Y3361" t="s">
        <v>24178</v>
      </c>
      <c r="Z3361" t="s">
        <v>31071</v>
      </c>
      <c r="AA3361">
        <v>0.42248194821621821</v>
      </c>
      <c r="AB3361" t="str">
        <f>HYPERLINK("Melting_Curves/meltCurve_Q08426_2_EHHADH.pdf", "Melting_Curves/meltCurve_Q08426_2_EHHADH.pdf")</f>
        <v>Melting_Curves/meltCurve_Q08426_2_EHHADH.pdf</v>
      </c>
    </row>
    <row r="3362" spans="1:28" x14ac:dyDescent="0.25">
      <c r="A3362" t="s">
        <v>3366</v>
      </c>
      <c r="B3362">
        <v>0.99999676499088797</v>
      </c>
      <c r="C3362">
        <v>1.03441528892775</v>
      </c>
      <c r="D3362">
        <v>1.1040361351066601</v>
      </c>
      <c r="E3362">
        <v>1.20331841184943</v>
      </c>
      <c r="F3362">
        <v>1.32489657571492</v>
      </c>
      <c r="G3362">
        <v>1.1172288820691001</v>
      </c>
      <c r="H3362">
        <v>0.93415384775781196</v>
      </c>
      <c r="I3362">
        <v>0.97850175450071197</v>
      </c>
      <c r="J3362">
        <v>0.83068129610502595</v>
      </c>
      <c r="K3362">
        <v>1.4562287945108601</v>
      </c>
      <c r="L3362">
        <v>2223.0479370068401</v>
      </c>
      <c r="M3362">
        <v>50.855694375663901</v>
      </c>
      <c r="O3362">
        <v>43.645428473221401</v>
      </c>
      <c r="P3362">
        <v>3.4914065245306901E-2</v>
      </c>
      <c r="Q3362">
        <v>1.1198558513505401</v>
      </c>
      <c r="R3362">
        <v>5.4119081617979597E-2</v>
      </c>
      <c r="S3362" t="s">
        <v>10365</v>
      </c>
      <c r="T3362" t="s">
        <v>14004</v>
      </c>
      <c r="U3362" t="s">
        <v>14004</v>
      </c>
      <c r="V3362" t="s">
        <v>14004</v>
      </c>
      <c r="W3362" t="s">
        <v>17322</v>
      </c>
      <c r="X3362">
        <v>7</v>
      </c>
      <c r="Y3362" t="s">
        <v>21887</v>
      </c>
      <c r="Z3362" t="s">
        <v>31072</v>
      </c>
      <c r="AA3362">
        <v>1.1047742575980231</v>
      </c>
      <c r="AB3362" t="str">
        <f>HYPERLINK("Melting_Curves/meltCurve_Q08722_CD47.pdf", "Melting_Curves/meltCurve_Q08722_CD47.pdf")</f>
        <v>Melting_Curves/meltCurve_Q08722_CD47.pdf</v>
      </c>
    </row>
    <row r="3363" spans="1:28" x14ac:dyDescent="0.25">
      <c r="A3363" t="s">
        <v>3367</v>
      </c>
      <c r="B3363">
        <v>0.99999676499088797</v>
      </c>
      <c r="C3363">
        <v>0.86644459008507102</v>
      </c>
      <c r="D3363">
        <v>0.65591972322045899</v>
      </c>
      <c r="E3363">
        <v>0.26643237229175298</v>
      </c>
      <c r="F3363">
        <v>0.175607503109349</v>
      </c>
      <c r="G3363">
        <v>0.120714902070947</v>
      </c>
      <c r="H3363">
        <v>6.7605872407844395E-2</v>
      </c>
      <c r="I3363">
        <v>6.2565082256209104E-2</v>
      </c>
      <c r="J3363">
        <v>5.4441374907974897E-2</v>
      </c>
      <c r="K3363">
        <v>5.0843557048291903E-2</v>
      </c>
      <c r="L3363">
        <v>963.03627865322301</v>
      </c>
      <c r="M3363">
        <v>20.489170852334802</v>
      </c>
      <c r="N3363">
        <v>47.320799194263998</v>
      </c>
      <c r="O3363">
        <v>46.561345897397899</v>
      </c>
      <c r="P3363">
        <v>-0.102927058879918</v>
      </c>
      <c r="Q3363">
        <v>6.4426637451504301E-2</v>
      </c>
      <c r="R3363">
        <v>0.995790861447304</v>
      </c>
      <c r="S3363" t="s">
        <v>10366</v>
      </c>
      <c r="T3363" t="s">
        <v>14004</v>
      </c>
      <c r="U3363" t="s">
        <v>14004</v>
      </c>
      <c r="V3363" t="s">
        <v>14004</v>
      </c>
      <c r="W3363" t="s">
        <v>17323</v>
      </c>
      <c r="X3363">
        <v>24</v>
      </c>
      <c r="Y3363" t="s">
        <v>24179</v>
      </c>
      <c r="Z3363" t="s">
        <v>31073</v>
      </c>
      <c r="AA3363">
        <v>0.29577801257769559</v>
      </c>
      <c r="AB3363" t="str">
        <f>HYPERLINK("Melting_Curves/meltCurve_Q08752_PPID.pdf", "Melting_Curves/meltCurve_Q08752_PPID.pdf")</f>
        <v>Melting_Curves/meltCurve_Q08752_PPID.pdf</v>
      </c>
    </row>
    <row r="3364" spans="1:28" x14ac:dyDescent="0.25">
      <c r="A3364" t="s">
        <v>3368</v>
      </c>
      <c r="B3364">
        <v>0.99999676499088797</v>
      </c>
      <c r="C3364">
        <v>0.75882131189991597</v>
      </c>
      <c r="D3364">
        <v>0.223064902878291</v>
      </c>
      <c r="E3364">
        <v>0.11372252384652699</v>
      </c>
      <c r="F3364">
        <v>8.3348591121223295E-2</v>
      </c>
      <c r="G3364">
        <v>5.7467776124359798E-2</v>
      </c>
      <c r="H3364">
        <v>3.2647819783351198E-2</v>
      </c>
      <c r="I3364">
        <v>4.0318259463531798E-2</v>
      </c>
      <c r="J3364">
        <v>3.4079524484844498E-2</v>
      </c>
      <c r="K3364">
        <v>3.2855759469999003E-2</v>
      </c>
      <c r="L3364">
        <v>1613.6426969198601</v>
      </c>
      <c r="M3364">
        <v>36.538795082813998</v>
      </c>
      <c r="N3364">
        <v>44.2971847853131</v>
      </c>
      <c r="O3364">
        <v>44.030806870498601</v>
      </c>
      <c r="P3364">
        <v>-0.19654958103637099</v>
      </c>
      <c r="Q3364">
        <v>5.2600594708023002E-2</v>
      </c>
      <c r="R3364">
        <v>0.99579179794506201</v>
      </c>
      <c r="S3364" t="s">
        <v>10367</v>
      </c>
      <c r="T3364" t="s">
        <v>14004</v>
      </c>
      <c r="U3364" t="s">
        <v>14004</v>
      </c>
      <c r="V3364" t="s">
        <v>14004</v>
      </c>
      <c r="W3364" t="s">
        <v>17324</v>
      </c>
      <c r="X3364">
        <v>12</v>
      </c>
      <c r="Y3364" t="s">
        <v>24180</v>
      </c>
      <c r="Z3364" t="s">
        <v>31074</v>
      </c>
      <c r="AA3364">
        <v>0.18818271350179261</v>
      </c>
      <c r="AB3364" t="str">
        <f>HYPERLINK("Melting_Curves/meltCurve_Q08881_ITK.pdf", "Melting_Curves/meltCurve_Q08881_ITK.pdf")</f>
        <v>Melting_Curves/meltCurve_Q08881_ITK.pdf</v>
      </c>
    </row>
    <row r="3365" spans="1:28" x14ac:dyDescent="0.25">
      <c r="A3365" t="s">
        <v>3369</v>
      </c>
      <c r="B3365">
        <v>0.99999676499088797</v>
      </c>
      <c r="C3365">
        <v>0.94625388387444598</v>
      </c>
      <c r="D3365">
        <v>0.88079890173373698</v>
      </c>
      <c r="E3365">
        <v>0.695500675195039</v>
      </c>
      <c r="F3365">
        <v>0.78166624322837797</v>
      </c>
      <c r="G3365">
        <v>0.45922533676261001</v>
      </c>
      <c r="H3365">
        <v>0.240099672665231</v>
      </c>
      <c r="I3365">
        <v>0.147131892523786</v>
      </c>
      <c r="J3365">
        <v>0.12072917846966</v>
      </c>
      <c r="K3365">
        <v>0.122086990235304</v>
      </c>
      <c r="L3365">
        <v>631.348061203513</v>
      </c>
      <c r="M3365">
        <v>11.305713643883999</v>
      </c>
      <c r="N3365">
        <v>55.8432939328979</v>
      </c>
      <c r="O3365">
        <v>54.181703664613998</v>
      </c>
      <c r="P3365">
        <v>-5.2181569949695597E-2</v>
      </c>
      <c r="Q3365">
        <v>0</v>
      </c>
      <c r="R3365">
        <v>0.96590287923242801</v>
      </c>
      <c r="S3365" t="s">
        <v>10368</v>
      </c>
      <c r="T3365" t="s">
        <v>14004</v>
      </c>
      <c r="U3365" t="s">
        <v>14004</v>
      </c>
      <c r="V3365" t="s">
        <v>14004</v>
      </c>
      <c r="W3365" t="s">
        <v>17325</v>
      </c>
      <c r="X3365">
        <v>27</v>
      </c>
      <c r="Y3365" t="s">
        <v>24181</v>
      </c>
      <c r="Z3365" t="s">
        <v>31075</v>
      </c>
      <c r="AA3365">
        <v>0.5494840733615417</v>
      </c>
      <c r="AB3365" t="str">
        <f>HYPERLINK("Melting_Curves/meltCurve_Q08945_SSRP1.pdf", "Melting_Curves/meltCurve_Q08945_SSRP1.pdf")</f>
        <v>Melting_Curves/meltCurve_Q08945_SSRP1.pdf</v>
      </c>
    </row>
    <row r="3366" spans="1:28" x14ac:dyDescent="0.25">
      <c r="A3366" t="s">
        <v>3370</v>
      </c>
      <c r="B3366">
        <v>0.99999676499088797</v>
      </c>
      <c r="C3366">
        <v>1.0801674999326401</v>
      </c>
      <c r="D3366">
        <v>0.90620060215877396</v>
      </c>
      <c r="E3366">
        <v>0.49814215660268801</v>
      </c>
      <c r="F3366">
        <v>0.263635850790499</v>
      </c>
      <c r="G3366">
        <v>0.233048341113573</v>
      </c>
      <c r="H3366">
        <v>4.6669979949383197E-2</v>
      </c>
      <c r="I3366">
        <v>0</v>
      </c>
      <c r="J3366">
        <v>0</v>
      </c>
      <c r="K3366">
        <v>0</v>
      </c>
      <c r="L3366">
        <v>972.75747761359901</v>
      </c>
      <c r="M3366">
        <v>19.352908507342999</v>
      </c>
      <c r="N3366">
        <v>50.357108963332102</v>
      </c>
      <c r="O3366">
        <v>49.736697433179103</v>
      </c>
      <c r="P3366">
        <v>-9.5573382848328503E-2</v>
      </c>
      <c r="Q3366">
        <v>1.7547549514625501E-2</v>
      </c>
      <c r="R3366">
        <v>0.97854929533034496</v>
      </c>
      <c r="S3366" t="s">
        <v>10369</v>
      </c>
      <c r="T3366" t="s">
        <v>14004</v>
      </c>
      <c r="U3366" t="s">
        <v>14004</v>
      </c>
      <c r="V3366" t="s">
        <v>14004</v>
      </c>
      <c r="W3366" t="s">
        <v>17326</v>
      </c>
      <c r="X3366">
        <v>2</v>
      </c>
      <c r="Y3366" t="s">
        <v>24182</v>
      </c>
      <c r="Z3366" t="s">
        <v>31076</v>
      </c>
      <c r="AA3366">
        <v>0.36823832873004431</v>
      </c>
      <c r="AB3366" t="str">
        <f>HYPERLINK("Melting_Curves/meltCurve_Q08AD1_2_CAMSAP2.pdf", "Melting_Curves/meltCurve_Q08AD1_2_CAMSAP2.pdf")</f>
        <v>Melting_Curves/meltCurve_Q08AD1_2_CAMSAP2.pdf</v>
      </c>
    </row>
    <row r="3367" spans="1:28" x14ac:dyDescent="0.25">
      <c r="A3367" t="s">
        <v>3371</v>
      </c>
      <c r="B3367">
        <v>0.99999676499088797</v>
      </c>
      <c r="C3367">
        <v>1.0366335409838101</v>
      </c>
      <c r="D3367">
        <v>1.04224311163853</v>
      </c>
      <c r="E3367">
        <v>1.0050091258429801</v>
      </c>
      <c r="F3367">
        <v>0.56135301346528099</v>
      </c>
      <c r="G3367">
        <v>0.376298196132831</v>
      </c>
      <c r="H3367">
        <v>0.17776594165923601</v>
      </c>
      <c r="I3367">
        <v>0.112608267939246</v>
      </c>
      <c r="J3367">
        <v>0.106196097321516</v>
      </c>
      <c r="K3367">
        <v>7.2402195521622095E-2</v>
      </c>
      <c r="L3367">
        <v>1299.50530818794</v>
      </c>
      <c r="M3367">
        <v>23.986014543047599</v>
      </c>
      <c r="N3367">
        <v>54.670971502498098</v>
      </c>
      <c r="O3367">
        <v>53.805262118008997</v>
      </c>
      <c r="P3367">
        <v>-0.10060453928030701</v>
      </c>
      <c r="Q3367">
        <v>9.7312708051740304E-2</v>
      </c>
      <c r="R3367">
        <v>0.98519267910865804</v>
      </c>
      <c r="S3367" t="s">
        <v>10370</v>
      </c>
      <c r="T3367" t="s">
        <v>14004</v>
      </c>
      <c r="U3367" t="s">
        <v>14004</v>
      </c>
      <c r="V3367" t="s">
        <v>14004</v>
      </c>
      <c r="W3367" t="s">
        <v>17327</v>
      </c>
      <c r="X3367">
        <v>17</v>
      </c>
      <c r="Y3367" t="s">
        <v>24183</v>
      </c>
      <c r="Z3367" t="s">
        <v>31077</v>
      </c>
      <c r="AA3367">
        <v>0.53291207223253312</v>
      </c>
      <c r="AB3367" t="str">
        <f>HYPERLINK("Melting_Curves/meltCurve_Q08AF3_SLFN5.pdf", "Melting_Curves/meltCurve_Q08AF3_SLFN5.pdf")</f>
        <v>Melting_Curves/meltCurve_Q08AF3_SLFN5.pdf</v>
      </c>
    </row>
    <row r="3368" spans="1:28" x14ac:dyDescent="0.25">
      <c r="A3368" t="s">
        <v>3372</v>
      </c>
      <c r="B3368">
        <v>0.99999676499088797</v>
      </c>
      <c r="C3368">
        <v>0.97375107570952901</v>
      </c>
      <c r="D3368">
        <v>0.86711426290328897</v>
      </c>
      <c r="E3368">
        <v>0.693146449220162</v>
      </c>
      <c r="F3368">
        <v>0.57366988467828905</v>
      </c>
      <c r="G3368">
        <v>0.592385242885208</v>
      </c>
      <c r="H3368">
        <v>0.29811378921648901</v>
      </c>
      <c r="I3368">
        <v>0.3542880415611</v>
      </c>
      <c r="J3368">
        <v>0.332252330745401</v>
      </c>
      <c r="K3368">
        <v>0.21532573574979899</v>
      </c>
      <c r="L3368">
        <v>509.925877989821</v>
      </c>
      <c r="M3368">
        <v>9.4873242845656094</v>
      </c>
      <c r="N3368">
        <v>56.355965447691702</v>
      </c>
      <c r="O3368">
        <v>51.522640108048698</v>
      </c>
      <c r="P3368">
        <v>-3.7878421035913698E-2</v>
      </c>
      <c r="Q3368">
        <v>0.17766625591446999</v>
      </c>
      <c r="R3368">
        <v>0.96007430146851402</v>
      </c>
      <c r="S3368" t="s">
        <v>10371</v>
      </c>
      <c r="T3368" t="s">
        <v>14004</v>
      </c>
      <c r="U3368" t="s">
        <v>14004</v>
      </c>
      <c r="V3368" t="s">
        <v>14004</v>
      </c>
      <c r="W3368" t="s">
        <v>17328</v>
      </c>
      <c r="X3368">
        <v>5</v>
      </c>
      <c r="Y3368" t="s">
        <v>24184</v>
      </c>
      <c r="Z3368" t="s">
        <v>31078</v>
      </c>
      <c r="AA3368">
        <v>0.58118609507195951</v>
      </c>
      <c r="AB3368" t="str">
        <f>HYPERLINK("Melting_Curves/meltCurve_Q08AG7_MZT1.pdf", "Melting_Curves/meltCurve_Q08AG7_MZT1.pdf")</f>
        <v>Melting_Curves/meltCurve_Q08AG7_MZT1.pdf</v>
      </c>
    </row>
    <row r="3369" spans="1:28" x14ac:dyDescent="0.25">
      <c r="A3369" t="s">
        <v>3373</v>
      </c>
      <c r="B3369">
        <v>0.99999676499088797</v>
      </c>
      <c r="C3369">
        <v>0.95160897522404897</v>
      </c>
      <c r="D3369">
        <v>1.0371640837246401</v>
      </c>
      <c r="E3369">
        <v>1.27693560148217</v>
      </c>
      <c r="F3369">
        <v>0.99441844840627602</v>
      </c>
      <c r="G3369">
        <v>0.35635437112127799</v>
      </c>
      <c r="H3369">
        <v>0.11793110235506001</v>
      </c>
      <c r="I3369">
        <v>0.101647452932132</v>
      </c>
      <c r="J3369">
        <v>8.5298512483613101E-2</v>
      </c>
      <c r="K3369">
        <v>8.2973834032743596E-2</v>
      </c>
      <c r="L3369">
        <v>4685.0906661859499</v>
      </c>
      <c r="M3369">
        <v>83.389291280681604</v>
      </c>
      <c r="N3369">
        <v>56.328198273413498</v>
      </c>
      <c r="O3369">
        <v>56.151079446820198</v>
      </c>
      <c r="P3369">
        <v>-0.33544611335160002</v>
      </c>
      <c r="Q3369">
        <v>9.6495143222140395E-2</v>
      </c>
      <c r="R3369">
        <v>0.96244162898143903</v>
      </c>
      <c r="S3369" t="s">
        <v>10372</v>
      </c>
      <c r="T3369" t="s">
        <v>14004</v>
      </c>
      <c r="U3369" t="s">
        <v>14004</v>
      </c>
      <c r="V3369" t="s">
        <v>14004</v>
      </c>
      <c r="W3369" t="s">
        <v>17329</v>
      </c>
      <c r="X3369">
        <v>13</v>
      </c>
      <c r="Y3369" t="s">
        <v>24185</v>
      </c>
      <c r="Z3369" t="s">
        <v>31079</v>
      </c>
      <c r="AA3369">
        <v>0.58468877634161021</v>
      </c>
      <c r="AB3369" t="str">
        <f>HYPERLINK("Melting_Curves/meltCurve_Q08AM6_VAC14.pdf", "Melting_Curves/meltCurve_Q08AM6_VAC14.pdf")</f>
        <v>Melting_Curves/meltCurve_Q08AM6_VAC14.pdf</v>
      </c>
    </row>
    <row r="3370" spans="1:28" x14ac:dyDescent="0.25">
      <c r="A3370" t="s">
        <v>3374</v>
      </c>
      <c r="B3370">
        <v>0.99999676499088797</v>
      </c>
      <c r="C3370">
        <v>1.11514832881708</v>
      </c>
      <c r="D3370">
        <v>1.0685163986570201</v>
      </c>
      <c r="E3370">
        <v>1.1121927018043101</v>
      </c>
      <c r="F3370">
        <v>0.74797229359718598</v>
      </c>
      <c r="G3370">
        <v>0.65068140171781297</v>
      </c>
      <c r="H3370">
        <v>0.49204907381146501</v>
      </c>
      <c r="I3370">
        <v>0.46108982364337497</v>
      </c>
      <c r="J3370">
        <v>0.44689591841897702</v>
      </c>
      <c r="K3370">
        <v>0.59385254704826995</v>
      </c>
      <c r="L3370">
        <v>1867.87609617817</v>
      </c>
      <c r="M3370">
        <v>34.648563942375702</v>
      </c>
      <c r="O3370">
        <v>53.730572799274299</v>
      </c>
      <c r="P3370">
        <v>-7.9541465198369896E-2</v>
      </c>
      <c r="Q3370">
        <v>0.50661249522540996</v>
      </c>
      <c r="R3370">
        <v>0.91519719259671595</v>
      </c>
      <c r="S3370" t="s">
        <v>10373</v>
      </c>
      <c r="T3370" t="s">
        <v>14004</v>
      </c>
      <c r="U3370" t="s">
        <v>14004</v>
      </c>
      <c r="V3370" t="s">
        <v>14004</v>
      </c>
      <c r="W3370" t="s">
        <v>17330</v>
      </c>
      <c r="X3370">
        <v>3</v>
      </c>
      <c r="Y3370" t="s">
        <v>24186</v>
      </c>
      <c r="Z3370" t="s">
        <v>31080</v>
      </c>
      <c r="AA3370">
        <v>0.73780870963105782</v>
      </c>
      <c r="AB3370" t="str">
        <f>HYPERLINK("Melting_Curves/meltCurve_Q08E86_KIAA0100.pdf", "Melting_Curves/meltCurve_Q08E86_KIAA0100.pdf")</f>
        <v>Melting_Curves/meltCurve_Q08E86_KIAA0100.pdf</v>
      </c>
    </row>
    <row r="3371" spans="1:28" x14ac:dyDescent="0.25">
      <c r="A3371" t="s">
        <v>3375</v>
      </c>
      <c r="B3371">
        <v>0.99999676499088797</v>
      </c>
      <c r="C3371">
        <v>0.87437363198959706</v>
      </c>
      <c r="D3371">
        <v>0.462693551859578</v>
      </c>
      <c r="E3371">
        <v>0.222602575400801</v>
      </c>
      <c r="F3371">
        <v>0.161624120443361</v>
      </c>
      <c r="G3371">
        <v>0.118283228504572</v>
      </c>
      <c r="H3371">
        <v>6.8025765286103407E-2</v>
      </c>
      <c r="I3371">
        <v>6.2435373812484998E-2</v>
      </c>
      <c r="J3371">
        <v>5.3383929375154703E-2</v>
      </c>
      <c r="K3371">
        <v>4.56900739869626E-2</v>
      </c>
      <c r="L3371">
        <v>1104.8423929929399</v>
      </c>
      <c r="M3371">
        <v>24.176422941947699</v>
      </c>
      <c r="N3371">
        <v>46.0249236325513</v>
      </c>
      <c r="O3371">
        <v>45.3899344558357</v>
      </c>
      <c r="P3371">
        <v>-0.122690006507043</v>
      </c>
      <c r="Q3371">
        <v>7.8638319626165507E-2</v>
      </c>
      <c r="R3371">
        <v>0.99111931125429997</v>
      </c>
      <c r="S3371" t="s">
        <v>10374</v>
      </c>
      <c r="T3371" t="s">
        <v>14004</v>
      </c>
      <c r="U3371" t="s">
        <v>14004</v>
      </c>
      <c r="V3371" t="s">
        <v>14004</v>
      </c>
      <c r="W3371" t="s">
        <v>17331</v>
      </c>
      <c r="X3371">
        <v>39</v>
      </c>
      <c r="Y3371" t="s">
        <v>24187</v>
      </c>
      <c r="Z3371" t="s">
        <v>31081</v>
      </c>
      <c r="AA3371">
        <v>0.26303839126462558</v>
      </c>
      <c r="AB3371" t="str">
        <f>HYPERLINK("Melting_Curves/meltCurve_Q08J23_NSUN2.pdf", "Melting_Curves/meltCurve_Q08J23_NSUN2.pdf")</f>
        <v>Melting_Curves/meltCurve_Q08J23_NSUN2.pdf</v>
      </c>
    </row>
    <row r="3372" spans="1:28" x14ac:dyDescent="0.25">
      <c r="A3372" t="s">
        <v>3376</v>
      </c>
      <c r="B3372">
        <v>0.99999676499088797</v>
      </c>
      <c r="C3372">
        <v>1.01475643507924</v>
      </c>
      <c r="D3372">
        <v>0.95375325641832898</v>
      </c>
      <c r="E3372">
        <v>0.98993963382323102</v>
      </c>
      <c r="F3372">
        <v>1.02149702005087</v>
      </c>
      <c r="G3372">
        <v>0.86621589464722903</v>
      </c>
      <c r="H3372">
        <v>0.50725461733334898</v>
      </c>
      <c r="I3372">
        <v>0.22322597013201101</v>
      </c>
      <c r="J3372">
        <v>0.160719861566542</v>
      </c>
      <c r="K3372">
        <v>0.135786562212838</v>
      </c>
      <c r="L3372">
        <v>1893.3530483264799</v>
      </c>
      <c r="M3372">
        <v>31.447603458825899</v>
      </c>
      <c r="N3372">
        <v>60.746084618063399</v>
      </c>
      <c r="O3372">
        <v>59.964703876461598</v>
      </c>
      <c r="P3372">
        <v>-0.11513527384996899</v>
      </c>
      <c r="Q3372">
        <v>0.121838912944028</v>
      </c>
      <c r="R3372">
        <v>0.996650062813357</v>
      </c>
      <c r="S3372" t="s">
        <v>10375</v>
      </c>
      <c r="T3372" t="s">
        <v>14004</v>
      </c>
      <c r="U3372" t="s">
        <v>14004</v>
      </c>
      <c r="V3372" t="s">
        <v>14004</v>
      </c>
      <c r="W3372" t="s">
        <v>17332</v>
      </c>
      <c r="X3372">
        <v>18</v>
      </c>
      <c r="Y3372" t="s">
        <v>24188</v>
      </c>
      <c r="Z3372" t="s">
        <v>31082</v>
      </c>
      <c r="AA3372">
        <v>0.71827212990069378</v>
      </c>
      <c r="AB3372" t="str">
        <f>HYPERLINK("Melting_Curves/meltCurve_Q09028_3_RBBP4.pdf", "Melting_Curves/meltCurve_Q09028_3_RBBP4.pdf")</f>
        <v>Melting_Curves/meltCurve_Q09028_3_RBBP4.pdf</v>
      </c>
    </row>
    <row r="3373" spans="1:28" x14ac:dyDescent="0.25">
      <c r="A3373" t="s">
        <v>3377</v>
      </c>
      <c r="B3373">
        <v>0.99999676499088797</v>
      </c>
      <c r="C3373">
        <v>0.96435029505167502</v>
      </c>
      <c r="D3373">
        <v>1.02183598180891</v>
      </c>
      <c r="E3373">
        <v>0.98455195209118995</v>
      </c>
      <c r="F3373">
        <v>0.46249979614201803</v>
      </c>
      <c r="G3373">
        <v>0.18817364857123101</v>
      </c>
      <c r="H3373">
        <v>7.6613728847707105E-2</v>
      </c>
      <c r="I3373">
        <v>8.1481998770691705E-2</v>
      </c>
      <c r="J3373">
        <v>6.6706831451846402E-2</v>
      </c>
      <c r="K3373">
        <v>5.6873051171514699E-2</v>
      </c>
      <c r="L3373">
        <v>2165.6857122523502</v>
      </c>
      <c r="M3373">
        <v>40.950410152123403</v>
      </c>
      <c r="N3373">
        <v>53.111672303909103</v>
      </c>
      <c r="O3373">
        <v>52.759938463700301</v>
      </c>
      <c r="P3373">
        <v>-0.17851995990174899</v>
      </c>
      <c r="Q3373">
        <v>7.9991540734260805E-2</v>
      </c>
      <c r="R3373">
        <v>0.99555261949851304</v>
      </c>
      <c r="S3373" t="s">
        <v>10376</v>
      </c>
      <c r="T3373" t="s">
        <v>14004</v>
      </c>
      <c r="U3373" t="s">
        <v>14004</v>
      </c>
      <c r="V3373" t="s">
        <v>14004</v>
      </c>
      <c r="W3373" t="s">
        <v>17333</v>
      </c>
      <c r="X3373">
        <v>22</v>
      </c>
      <c r="Y3373" t="s">
        <v>24189</v>
      </c>
      <c r="Z3373" t="s">
        <v>31083</v>
      </c>
      <c r="AA3373">
        <v>0.47835780544194673</v>
      </c>
      <c r="AB3373" t="str">
        <f>HYPERLINK("Melting_Curves/meltCurve_Q09161_NCBP1.pdf", "Melting_Curves/meltCurve_Q09161_NCBP1.pdf")</f>
        <v>Melting_Curves/meltCurve_Q09161_NCBP1.pdf</v>
      </c>
    </row>
    <row r="3374" spans="1:28" x14ac:dyDescent="0.25">
      <c r="A3374" t="s">
        <v>3378</v>
      </c>
      <c r="B3374">
        <v>0.99999676499088797</v>
      </c>
      <c r="C3374">
        <v>0.96277363660813398</v>
      </c>
      <c r="D3374">
        <v>0.99227173282602299</v>
      </c>
      <c r="E3374">
        <v>1.11258263912222</v>
      </c>
      <c r="F3374">
        <v>0.84901557384521398</v>
      </c>
      <c r="G3374">
        <v>0.49387104713014501</v>
      </c>
      <c r="H3374">
        <v>0.199706967929414</v>
      </c>
      <c r="I3374">
        <v>0.102836487556103</v>
      </c>
      <c r="J3374">
        <v>9.5826709087139195E-2</v>
      </c>
      <c r="K3374">
        <v>0.10855079734350399</v>
      </c>
      <c r="L3374">
        <v>1743.42485955036</v>
      </c>
      <c r="M3374">
        <v>30.942237054320401</v>
      </c>
      <c r="N3374">
        <v>56.7417252485834</v>
      </c>
      <c r="O3374">
        <v>56.110724698627401</v>
      </c>
      <c r="P3374">
        <v>-0.124438244516828</v>
      </c>
      <c r="Q3374">
        <v>9.7378790718445907E-2</v>
      </c>
      <c r="R3374">
        <v>0.98891893416772103</v>
      </c>
      <c r="S3374" t="s">
        <v>10377</v>
      </c>
      <c r="T3374" t="s">
        <v>14004</v>
      </c>
      <c r="U3374" t="s">
        <v>14004</v>
      </c>
      <c r="V3374" t="s">
        <v>14004</v>
      </c>
      <c r="W3374" t="s">
        <v>17334</v>
      </c>
      <c r="X3374">
        <v>2</v>
      </c>
      <c r="Y3374" t="s">
        <v>24190</v>
      </c>
      <c r="Z3374" t="s">
        <v>31084</v>
      </c>
      <c r="AA3374">
        <v>0.59483362933481987</v>
      </c>
      <c r="AB3374" t="str">
        <f>HYPERLINK("Melting_Curves/meltCurve_Q09328_MGAT5.pdf", "Melting_Curves/meltCurve_Q09328_MGAT5.pdf")</f>
        <v>Melting_Curves/meltCurve_Q09328_MGAT5.pdf</v>
      </c>
    </row>
    <row r="3375" spans="1:28" x14ac:dyDescent="0.25">
      <c r="A3375" t="s">
        <v>3379</v>
      </c>
      <c r="B3375">
        <v>0.99999676499088797</v>
      </c>
      <c r="C3375">
        <v>1.03040928594832</v>
      </c>
      <c r="D3375">
        <v>1.0054520870763</v>
      </c>
      <c r="E3375">
        <v>0.95035621382662305</v>
      </c>
      <c r="F3375">
        <v>0.44489853355651199</v>
      </c>
      <c r="G3375">
        <v>0.23057734092349899</v>
      </c>
      <c r="H3375">
        <v>0.12632579567455501</v>
      </c>
      <c r="I3375">
        <v>0.13812276277840399</v>
      </c>
      <c r="J3375">
        <v>0.14976304969884199</v>
      </c>
      <c r="K3375">
        <v>0.122007758262991</v>
      </c>
      <c r="L3375">
        <v>2150.4987031626101</v>
      </c>
      <c r="M3375">
        <v>40.952875648025802</v>
      </c>
      <c r="N3375">
        <v>52.9474421963574</v>
      </c>
      <c r="O3375">
        <v>52.386798072215903</v>
      </c>
      <c r="P3375">
        <v>-0.16746961085585299</v>
      </c>
      <c r="Q3375">
        <v>0.14309508164590601</v>
      </c>
      <c r="R3375">
        <v>0.99678077255969799</v>
      </c>
      <c r="S3375" t="s">
        <v>10378</v>
      </c>
      <c r="T3375" t="s">
        <v>14004</v>
      </c>
      <c r="U3375" t="s">
        <v>14004</v>
      </c>
      <c r="V3375" t="s">
        <v>14004</v>
      </c>
      <c r="W3375" t="s">
        <v>17335</v>
      </c>
      <c r="X3375">
        <v>23</v>
      </c>
      <c r="Y3375" t="s">
        <v>24191</v>
      </c>
      <c r="Z3375" t="s">
        <v>31085</v>
      </c>
      <c r="AA3375">
        <v>0.50343298914786516</v>
      </c>
      <c r="AB3375" t="str">
        <f>HYPERLINK("Melting_Curves/meltCurve_Q09472_EP300.pdf", "Melting_Curves/meltCurve_Q09472_EP300.pdf")</f>
        <v>Melting_Curves/meltCurve_Q09472_EP300.pdf</v>
      </c>
    </row>
    <row r="3376" spans="1:28" x14ac:dyDescent="0.25">
      <c r="A3376" t="s">
        <v>3380</v>
      </c>
      <c r="B3376">
        <v>0.99999676499088797</v>
      </c>
      <c r="C3376">
        <v>0.87547892811865102</v>
      </c>
      <c r="D3376">
        <v>0.79008226227310796</v>
      </c>
      <c r="E3376">
        <v>0.634984062249215</v>
      </c>
      <c r="F3376">
        <v>0.59001487808678099</v>
      </c>
      <c r="G3376">
        <v>0.54631511584137704</v>
      </c>
      <c r="H3376">
        <v>0.45554534133956798</v>
      </c>
      <c r="I3376">
        <v>0.41902578111987099</v>
      </c>
      <c r="J3376">
        <v>0.40520933872503301</v>
      </c>
      <c r="K3376">
        <v>0.54412148719977005</v>
      </c>
      <c r="L3376">
        <v>623.10475061705699</v>
      </c>
      <c r="M3376">
        <v>13.0660488485464</v>
      </c>
      <c r="N3376">
        <v>57.806909782936401</v>
      </c>
      <c r="O3376">
        <v>46.613254916168401</v>
      </c>
      <c r="P3376">
        <v>-3.8604090611393797E-2</v>
      </c>
      <c r="Q3376">
        <v>0.44921354713046002</v>
      </c>
      <c r="R3376">
        <v>0.94943863398909401</v>
      </c>
      <c r="S3376" t="s">
        <v>10379</v>
      </c>
      <c r="T3376" t="s">
        <v>14004</v>
      </c>
      <c r="U3376" t="s">
        <v>14004</v>
      </c>
      <c r="V3376" t="s">
        <v>14004</v>
      </c>
      <c r="W3376" t="s">
        <v>17336</v>
      </c>
      <c r="X3376">
        <v>147</v>
      </c>
      <c r="Y3376" t="s">
        <v>24192</v>
      </c>
      <c r="Z3376" t="s">
        <v>31086</v>
      </c>
      <c r="AA3376">
        <v>0.60920403895205799</v>
      </c>
      <c r="AB3376" t="str">
        <f>HYPERLINK("Melting_Curves/meltCurve_Q09666_AHNAK.pdf", "Melting_Curves/meltCurve_Q09666_AHNAK.pdf")</f>
        <v>Melting_Curves/meltCurve_Q09666_AHNAK.pdf</v>
      </c>
    </row>
    <row r="3377" spans="1:28" x14ac:dyDescent="0.25">
      <c r="A3377" t="s">
        <v>3381</v>
      </c>
      <c r="B3377">
        <v>0.99999676499088797</v>
      </c>
      <c r="C3377">
        <v>1.0848013041401501</v>
      </c>
      <c r="D3377">
        <v>1.2480176289540601</v>
      </c>
      <c r="E3377">
        <v>1.52622783440298</v>
      </c>
      <c r="F3377">
        <v>1.3462720783870199</v>
      </c>
      <c r="G3377">
        <v>1.0510422473627401</v>
      </c>
      <c r="H3377">
        <v>0.25244453836914199</v>
      </c>
      <c r="I3377">
        <v>8.3558463876409195E-2</v>
      </c>
      <c r="J3377">
        <v>7.0815629537201802E-2</v>
      </c>
      <c r="K3377">
        <v>7.9908391686576194E-2</v>
      </c>
      <c r="L3377">
        <v>15000</v>
      </c>
      <c r="M3377">
        <v>248.16626540829299</v>
      </c>
      <c r="N3377">
        <v>60.484739177021702</v>
      </c>
      <c r="O3377">
        <v>60.439398301653704</v>
      </c>
      <c r="P3377">
        <v>-0.94634429425317601</v>
      </c>
      <c r="Q3377">
        <v>7.8093825750160606E-2</v>
      </c>
      <c r="R3377">
        <v>0.84735848133029501</v>
      </c>
      <c r="S3377" t="s">
        <v>10380</v>
      </c>
      <c r="T3377" t="s">
        <v>14004</v>
      </c>
      <c r="U3377" t="s">
        <v>14004</v>
      </c>
      <c r="V3377" t="s">
        <v>14004</v>
      </c>
      <c r="W3377" t="s">
        <v>17337</v>
      </c>
      <c r="X3377">
        <v>1</v>
      </c>
      <c r="Y3377" t="s">
        <v>24193</v>
      </c>
      <c r="Z3377" t="s">
        <v>31087</v>
      </c>
      <c r="AA3377">
        <v>0.70642136843721992</v>
      </c>
      <c r="AB3377" t="str">
        <f>HYPERLINK("Melting_Curves/meltCurve_Q0GE19_SLC10A7.pdf", "Melting_Curves/meltCurve_Q0GE19_SLC10A7.pdf")</f>
        <v>Melting_Curves/meltCurve_Q0GE19_SLC10A7.pdf</v>
      </c>
    </row>
    <row r="3378" spans="1:28" x14ac:dyDescent="0.25">
      <c r="A3378" t="s">
        <v>3382</v>
      </c>
      <c r="B3378">
        <v>0.99999676499088797</v>
      </c>
      <c r="C3378">
        <v>1.0592533193024301</v>
      </c>
      <c r="D3378">
        <v>1.0282796326635999</v>
      </c>
      <c r="E3378">
        <v>1.07962147505713</v>
      </c>
      <c r="F3378">
        <v>1.14727980075749</v>
      </c>
      <c r="G3378">
        <v>0.84698068001128002</v>
      </c>
      <c r="H3378">
        <v>0.569225256215109</v>
      </c>
      <c r="I3378">
        <v>0.41699149391503398</v>
      </c>
      <c r="J3378">
        <v>0.35393186474912502</v>
      </c>
      <c r="K3378">
        <v>0.38119700147219199</v>
      </c>
      <c r="L3378">
        <v>2078.5109556051998</v>
      </c>
      <c r="M3378">
        <v>35.051766297221498</v>
      </c>
      <c r="N3378">
        <v>61.621420434621697</v>
      </c>
      <c r="O3378">
        <v>59.106314096436599</v>
      </c>
      <c r="P3378">
        <v>-9.3902969683856502E-2</v>
      </c>
      <c r="Q3378">
        <v>0.36662382530821402</v>
      </c>
      <c r="R3378">
        <v>0.95872999371565204</v>
      </c>
      <c r="S3378" t="s">
        <v>10381</v>
      </c>
      <c r="T3378" t="s">
        <v>14004</v>
      </c>
      <c r="U3378" t="s">
        <v>14004</v>
      </c>
      <c r="V3378" t="s">
        <v>14004</v>
      </c>
      <c r="W3378" t="s">
        <v>17338</v>
      </c>
      <c r="X3378">
        <v>4</v>
      </c>
      <c r="Y3378" t="s">
        <v>24194</v>
      </c>
      <c r="Z3378" t="s">
        <v>31088</v>
      </c>
      <c r="AA3378">
        <v>0.77720008994706569</v>
      </c>
      <c r="AB3378" t="str">
        <f>HYPERLINK("Melting_Curves/meltCurve_Q0PNE2_ELP6.pdf", "Melting_Curves/meltCurve_Q0PNE2_ELP6.pdf")</f>
        <v>Melting_Curves/meltCurve_Q0PNE2_ELP6.pdf</v>
      </c>
    </row>
    <row r="3379" spans="1:28" x14ac:dyDescent="0.25">
      <c r="A3379" t="s">
        <v>3383</v>
      </c>
      <c r="B3379">
        <v>0.99999676499088797</v>
      </c>
      <c r="C3379">
        <v>1.02344387838662</v>
      </c>
      <c r="D3379">
        <v>1.0339131371027499</v>
      </c>
      <c r="E3379">
        <v>1.0115415265819501</v>
      </c>
      <c r="F3379">
        <v>1.0163505641129</v>
      </c>
      <c r="G3379">
        <v>0.80500990060074396</v>
      </c>
      <c r="H3379">
        <v>0.53264692163644201</v>
      </c>
      <c r="I3379">
        <v>0.52192401530639099</v>
      </c>
      <c r="J3379">
        <v>0.47022112300060898</v>
      </c>
      <c r="K3379">
        <v>0.56081207768961205</v>
      </c>
      <c r="L3379">
        <v>4298.1502330882104</v>
      </c>
      <c r="M3379">
        <v>75.287031232812694</v>
      </c>
      <c r="O3379">
        <v>57.0499466691493</v>
      </c>
      <c r="P3379">
        <v>-0.158327783361881</v>
      </c>
      <c r="Q3379">
        <v>0.52009854264916699</v>
      </c>
      <c r="R3379">
        <v>0.98842541935964701</v>
      </c>
      <c r="S3379" t="s">
        <v>10382</v>
      </c>
      <c r="T3379" t="s">
        <v>14004</v>
      </c>
      <c r="U3379" t="s">
        <v>14004</v>
      </c>
      <c r="V3379" t="s">
        <v>14004</v>
      </c>
      <c r="W3379" t="s">
        <v>17339</v>
      </c>
      <c r="X3379">
        <v>22</v>
      </c>
      <c r="Y3379" t="s">
        <v>24195</v>
      </c>
      <c r="Z3379" t="s">
        <v>31089</v>
      </c>
      <c r="AA3379">
        <v>0.79401664839953823</v>
      </c>
      <c r="AB3379" t="str">
        <f>HYPERLINK("Melting_Curves/meltCurve_Q0VD83_APOBR.pdf", "Melting_Curves/meltCurve_Q0VD83_APOBR.pdf")</f>
        <v>Melting_Curves/meltCurve_Q0VD83_APOBR.pdf</v>
      </c>
    </row>
    <row r="3380" spans="1:28" x14ac:dyDescent="0.25">
      <c r="A3380" t="s">
        <v>3384</v>
      </c>
      <c r="B3380">
        <v>0.99999676499088797</v>
      </c>
      <c r="C3380">
        <v>0.826712388967491</v>
      </c>
      <c r="D3380">
        <v>0.47410426991361498</v>
      </c>
      <c r="E3380">
        <v>0.211586500869234</v>
      </c>
      <c r="F3380">
        <v>0.12003496030367999</v>
      </c>
      <c r="G3380">
        <v>7.7170457774499795E-2</v>
      </c>
      <c r="H3380">
        <v>3.8678834484644202E-2</v>
      </c>
      <c r="I3380">
        <v>3.5653736443119803E-2</v>
      </c>
      <c r="J3380">
        <v>3.8112834580839201E-2</v>
      </c>
      <c r="K3380">
        <v>3.0409621968110399E-2</v>
      </c>
      <c r="L3380">
        <v>987.38693080254995</v>
      </c>
      <c r="M3380">
        <v>21.5651599432267</v>
      </c>
      <c r="N3380">
        <v>45.989215663839097</v>
      </c>
      <c r="O3380">
        <v>45.397950591645099</v>
      </c>
      <c r="P3380">
        <v>-0.113367513039145</v>
      </c>
      <c r="Q3380">
        <v>4.5399438045710998E-2</v>
      </c>
      <c r="R3380">
        <v>0.99635836955986901</v>
      </c>
      <c r="S3380" t="s">
        <v>10383</v>
      </c>
      <c r="T3380" t="s">
        <v>14004</v>
      </c>
      <c r="U3380" t="s">
        <v>14004</v>
      </c>
      <c r="V3380" t="s">
        <v>14004</v>
      </c>
      <c r="W3380" t="s">
        <v>17340</v>
      </c>
      <c r="X3380">
        <v>14</v>
      </c>
      <c r="Y3380" t="s">
        <v>24196</v>
      </c>
      <c r="Z3380" t="s">
        <v>31090</v>
      </c>
      <c r="AA3380">
        <v>0.24211109392124969</v>
      </c>
      <c r="AB3380" t="str">
        <f>HYPERLINK("Melting_Curves/meltCurve_Q0VDF9_HSPA14.pdf", "Melting_Curves/meltCurve_Q0VDF9_HSPA14.pdf")</f>
        <v>Melting_Curves/meltCurve_Q0VDF9_HSPA14.pdf</v>
      </c>
    </row>
    <row r="3381" spans="1:28" x14ac:dyDescent="0.25">
      <c r="A3381" t="s">
        <v>3385</v>
      </c>
      <c r="B3381">
        <v>0.99999676499088797</v>
      </c>
      <c r="C3381">
        <v>1.0163535903056</v>
      </c>
      <c r="D3381">
        <v>0.93904757713220099</v>
      </c>
      <c r="E3381">
        <v>0.674910551732954</v>
      </c>
      <c r="F3381">
        <v>0.26574083463588999</v>
      </c>
      <c r="G3381">
        <v>0.18937974167475399</v>
      </c>
      <c r="H3381">
        <v>8.2988294478731101E-2</v>
      </c>
      <c r="I3381">
        <v>6.9039884466385204E-2</v>
      </c>
      <c r="J3381">
        <v>7.6706344180382594E-2</v>
      </c>
      <c r="K3381">
        <v>5.07607199391613E-2</v>
      </c>
      <c r="L3381">
        <v>1279.1376953092799</v>
      </c>
      <c r="M3381">
        <v>25.2033299846854</v>
      </c>
      <c r="N3381">
        <v>51.0725016257229</v>
      </c>
      <c r="O3381">
        <v>50.436442501965402</v>
      </c>
      <c r="P3381">
        <v>-0.11580919276997401</v>
      </c>
      <c r="Q3381">
        <v>7.2991128074102393E-2</v>
      </c>
      <c r="R3381">
        <v>0.99659961653106899</v>
      </c>
      <c r="S3381" t="s">
        <v>10384</v>
      </c>
      <c r="T3381" t="s">
        <v>14004</v>
      </c>
      <c r="U3381" t="s">
        <v>14004</v>
      </c>
      <c r="V3381" t="s">
        <v>14004</v>
      </c>
      <c r="W3381" t="s">
        <v>17341</v>
      </c>
      <c r="X3381">
        <v>4</v>
      </c>
      <c r="Y3381" t="s">
        <v>24197</v>
      </c>
      <c r="Z3381" t="s">
        <v>31091</v>
      </c>
      <c r="AA3381">
        <v>0.41347268830137363</v>
      </c>
      <c r="AB3381" t="str">
        <f>HYPERLINK("Melting_Curves/meltCurve_Q0VDG4_SCRN3.pdf", "Melting_Curves/meltCurve_Q0VDG4_SCRN3.pdf")</f>
        <v>Melting_Curves/meltCurve_Q0VDG4_SCRN3.pdf</v>
      </c>
    </row>
    <row r="3382" spans="1:28" x14ac:dyDescent="0.25">
      <c r="A3382" t="s">
        <v>3386</v>
      </c>
      <c r="B3382">
        <v>0.99999676499088797</v>
      </c>
      <c r="C3382">
        <v>1.06926790564425</v>
      </c>
      <c r="D3382">
        <v>0.97562904955505902</v>
      </c>
      <c r="E3382">
        <v>0.829562888512132</v>
      </c>
      <c r="F3382">
        <v>0.97913394502168805</v>
      </c>
      <c r="G3382">
        <v>0.74005888358434602</v>
      </c>
      <c r="H3382">
        <v>0.38979596690729901</v>
      </c>
      <c r="I3382">
        <v>0.212173341267271</v>
      </c>
      <c r="J3382">
        <v>6.8468260722038002E-2</v>
      </c>
      <c r="K3382">
        <v>6.8488035158597693E-2</v>
      </c>
      <c r="L3382">
        <v>1264.8167886860001</v>
      </c>
      <c r="M3382">
        <v>21.239591436855001</v>
      </c>
      <c r="N3382">
        <v>59.619713490580999</v>
      </c>
      <c r="O3382">
        <v>59.029606241736097</v>
      </c>
      <c r="P3382">
        <v>-8.8851494818803306E-2</v>
      </c>
      <c r="Q3382">
        <v>1.22720102264662E-2</v>
      </c>
      <c r="R3382">
        <v>0.97717669437835297</v>
      </c>
      <c r="S3382" t="s">
        <v>10385</v>
      </c>
      <c r="T3382" t="s">
        <v>14004</v>
      </c>
      <c r="U3382" t="s">
        <v>14004</v>
      </c>
      <c r="V3382" t="s">
        <v>14004</v>
      </c>
      <c r="W3382" t="s">
        <v>17342</v>
      </c>
      <c r="X3382">
        <v>3</v>
      </c>
      <c r="Y3382" t="s">
        <v>24198</v>
      </c>
      <c r="Z3382" t="s">
        <v>31092</v>
      </c>
      <c r="AA3382">
        <v>0.66475299490355833</v>
      </c>
      <c r="AB3382" t="str">
        <f>HYPERLINK("Melting_Curves/meltCurve_Q0VGL1_LAMTOR4.pdf", "Melting_Curves/meltCurve_Q0VGL1_LAMTOR4.pdf")</f>
        <v>Melting_Curves/meltCurve_Q0VGL1_LAMTOR4.pdf</v>
      </c>
    </row>
    <row r="3383" spans="1:28" x14ac:dyDescent="0.25">
      <c r="A3383" t="s">
        <v>3387</v>
      </c>
      <c r="B3383">
        <v>0.99999676499088797</v>
      </c>
      <c r="C3383">
        <v>1.0161067693895001</v>
      </c>
      <c r="D3383">
        <v>1.06213182155635</v>
      </c>
      <c r="E3383">
        <v>1.1751718115166301</v>
      </c>
      <c r="F3383">
        <v>0.55809915093739904</v>
      </c>
      <c r="G3383">
        <v>0.27302014905108002</v>
      </c>
      <c r="H3383">
        <v>0.11428441026113199</v>
      </c>
      <c r="I3383">
        <v>9.89888674029583E-2</v>
      </c>
      <c r="J3383">
        <v>7.9952702256124997E-2</v>
      </c>
      <c r="K3383">
        <v>6.8787881565341796E-2</v>
      </c>
      <c r="L3383">
        <v>2420.68270561176</v>
      </c>
      <c r="M3383">
        <v>45.267987223168099</v>
      </c>
      <c r="N3383">
        <v>53.769146949320202</v>
      </c>
      <c r="O3383">
        <v>53.370434679887502</v>
      </c>
      <c r="P3383">
        <v>-0.18875281282713699</v>
      </c>
      <c r="Q3383">
        <v>0.109851306471693</v>
      </c>
      <c r="R3383">
        <v>0.96976515181452605</v>
      </c>
      <c r="S3383" t="s">
        <v>10386</v>
      </c>
      <c r="T3383" t="s">
        <v>14004</v>
      </c>
      <c r="U3383" t="s">
        <v>14004</v>
      </c>
      <c r="V3383" t="s">
        <v>14004</v>
      </c>
      <c r="W3383" t="s">
        <v>17343</v>
      </c>
      <c r="X3383">
        <v>6</v>
      </c>
      <c r="Y3383" t="s">
        <v>24199</v>
      </c>
      <c r="Z3383" t="s">
        <v>31093</v>
      </c>
      <c r="AA3383">
        <v>0.51222472488667803</v>
      </c>
      <c r="AB3383" t="str">
        <f>HYPERLINK("Melting_Curves/meltCurve_Q10469_MGAT2.pdf", "Melting_Curves/meltCurve_Q10469_MGAT2.pdf")</f>
        <v>Melting_Curves/meltCurve_Q10469_MGAT2.pdf</v>
      </c>
    </row>
    <row r="3384" spans="1:28" x14ac:dyDescent="0.25">
      <c r="A3384" t="s">
        <v>3388</v>
      </c>
      <c r="B3384">
        <v>0.99999676499088797</v>
      </c>
      <c r="C3384">
        <v>0.93274740163368797</v>
      </c>
      <c r="D3384">
        <v>0.94732265610478505</v>
      </c>
      <c r="E3384">
        <v>0.67269550461412397</v>
      </c>
      <c r="F3384">
        <v>0.19747050733964899</v>
      </c>
      <c r="G3384">
        <v>0.132068994981063</v>
      </c>
      <c r="H3384">
        <v>6.3329767556602801E-2</v>
      </c>
      <c r="I3384">
        <v>6.9405686169278002E-2</v>
      </c>
      <c r="J3384">
        <v>5.9466432659402498E-2</v>
      </c>
      <c r="K3384">
        <v>4.4816838401449302E-2</v>
      </c>
      <c r="L3384">
        <v>1588.73190047043</v>
      </c>
      <c r="M3384">
        <v>31.466360097300001</v>
      </c>
      <c r="N3384">
        <v>50.709483095428901</v>
      </c>
      <c r="O3384">
        <v>50.287247764633399</v>
      </c>
      <c r="P3384">
        <v>-0.14646875205701701</v>
      </c>
      <c r="Q3384">
        <v>6.3702300161723499E-2</v>
      </c>
      <c r="R3384">
        <v>0.99563630006567505</v>
      </c>
      <c r="S3384" t="s">
        <v>10387</v>
      </c>
      <c r="T3384" t="s">
        <v>14004</v>
      </c>
      <c r="U3384" t="s">
        <v>14004</v>
      </c>
      <c r="V3384" t="s">
        <v>14004</v>
      </c>
      <c r="W3384" t="s">
        <v>17344</v>
      </c>
      <c r="X3384">
        <v>19</v>
      </c>
      <c r="Y3384" t="s">
        <v>24200</v>
      </c>
      <c r="Z3384" t="s">
        <v>31094</v>
      </c>
      <c r="AA3384">
        <v>0.39639245115850058</v>
      </c>
      <c r="AB3384" t="str">
        <f>HYPERLINK("Melting_Curves/meltCurve_Q10471_GALNT2.pdf", "Melting_Curves/meltCurve_Q10471_GALNT2.pdf")</f>
        <v>Melting_Curves/meltCurve_Q10471_GALNT2.pdf</v>
      </c>
    </row>
    <row r="3385" spans="1:28" x14ac:dyDescent="0.25">
      <c r="A3385" t="s">
        <v>3389</v>
      </c>
      <c r="B3385">
        <v>0.99999676499088797</v>
      </c>
      <c r="C3385">
        <v>0.96550100486504398</v>
      </c>
      <c r="D3385">
        <v>0.97020443262651102</v>
      </c>
      <c r="E3385">
        <v>0.80083181619723398</v>
      </c>
      <c r="F3385">
        <v>0.572666045286645</v>
      </c>
      <c r="G3385">
        <v>0.25541244761179399</v>
      </c>
      <c r="H3385">
        <v>7.9333544004190001E-2</v>
      </c>
      <c r="I3385">
        <v>6.56739250982043E-2</v>
      </c>
      <c r="J3385">
        <v>5.7239008143194797E-2</v>
      </c>
      <c r="K3385">
        <v>4.9418313313046101E-2</v>
      </c>
      <c r="L3385">
        <v>1056.54966842563</v>
      </c>
      <c r="M3385">
        <v>19.744818381653701</v>
      </c>
      <c r="N3385">
        <v>53.665538265834101</v>
      </c>
      <c r="O3385">
        <v>52.970387684957203</v>
      </c>
      <c r="P3385">
        <v>-9.0603175841805397E-2</v>
      </c>
      <c r="Q3385">
        <v>2.7770659477252099E-2</v>
      </c>
      <c r="R3385">
        <v>0.99750755129787405</v>
      </c>
      <c r="S3385" t="s">
        <v>10388</v>
      </c>
      <c r="T3385" t="s">
        <v>14004</v>
      </c>
      <c r="U3385" t="s">
        <v>14004</v>
      </c>
      <c r="V3385" t="s">
        <v>14004</v>
      </c>
      <c r="W3385" t="s">
        <v>17345</v>
      </c>
      <c r="X3385">
        <v>47</v>
      </c>
      <c r="Y3385" t="s">
        <v>24201</v>
      </c>
      <c r="Z3385" t="s">
        <v>31095</v>
      </c>
      <c r="AA3385">
        <v>0.47919341668130239</v>
      </c>
      <c r="AB3385" t="str">
        <f>HYPERLINK("Melting_Curves/meltCurve_Q10567_2_AP1B1.pdf", "Melting_Curves/meltCurve_Q10567_2_AP1B1.pdf")</f>
        <v>Melting_Curves/meltCurve_Q10567_2_AP1B1.pdf</v>
      </c>
    </row>
    <row r="3386" spans="1:28" x14ac:dyDescent="0.25">
      <c r="A3386" t="s">
        <v>3390</v>
      </c>
      <c r="B3386">
        <v>0.99999676499088797</v>
      </c>
      <c r="C3386">
        <v>1.15589219647971</v>
      </c>
      <c r="D3386">
        <v>1.04641306952057</v>
      </c>
      <c r="E3386">
        <v>0.80210960814634702</v>
      </c>
      <c r="F3386">
        <v>0.53175272316551303</v>
      </c>
      <c r="G3386">
        <v>0.28477580253124402</v>
      </c>
      <c r="H3386">
        <v>0.110842904886977</v>
      </c>
      <c r="I3386">
        <v>6.9849993993848405E-2</v>
      </c>
      <c r="J3386">
        <v>0.10006928845721</v>
      </c>
      <c r="K3386">
        <v>0</v>
      </c>
      <c r="L3386">
        <v>1104.2659298106601</v>
      </c>
      <c r="M3386">
        <v>20.665102756238099</v>
      </c>
      <c r="N3386">
        <v>53.664241114501998</v>
      </c>
      <c r="O3386">
        <v>52.943422454497501</v>
      </c>
      <c r="P3386">
        <v>-9.3483160608317906E-2</v>
      </c>
      <c r="Q3386">
        <v>4.20222981919754E-2</v>
      </c>
      <c r="R3386">
        <v>0.97909469928328796</v>
      </c>
      <c r="S3386" t="s">
        <v>10389</v>
      </c>
      <c r="T3386" t="s">
        <v>14004</v>
      </c>
      <c r="U3386" t="s">
        <v>14004</v>
      </c>
      <c r="V3386" t="s">
        <v>14004</v>
      </c>
      <c r="W3386" t="s">
        <v>17346</v>
      </c>
      <c r="X3386">
        <v>47</v>
      </c>
      <c r="Y3386" t="s">
        <v>24201</v>
      </c>
      <c r="Z3386" t="s">
        <v>31096</v>
      </c>
      <c r="AA3386">
        <v>0.48349352973002291</v>
      </c>
      <c r="AB3386" t="str">
        <f>HYPERLINK("Melting_Curves/meltCurve_Q10567_3_AP1B1.pdf", "Melting_Curves/meltCurve_Q10567_3_AP1B1.pdf")</f>
        <v>Melting_Curves/meltCurve_Q10567_3_AP1B1.pdf</v>
      </c>
    </row>
    <row r="3387" spans="1:28" x14ac:dyDescent="0.25">
      <c r="A3387" t="s">
        <v>3391</v>
      </c>
      <c r="B3387">
        <v>0.99999676499088797</v>
      </c>
      <c r="C3387">
        <v>0.98060989902503104</v>
      </c>
      <c r="D3387">
        <v>0.856898414458798</v>
      </c>
      <c r="E3387">
        <v>0.58508936211319396</v>
      </c>
      <c r="F3387">
        <v>0.27897224144488098</v>
      </c>
      <c r="G3387">
        <v>0.16719338733021</v>
      </c>
      <c r="H3387">
        <v>8.1424633384206205E-2</v>
      </c>
      <c r="I3387">
        <v>8.5358272933238805E-2</v>
      </c>
      <c r="J3387">
        <v>8.0018929769539102E-2</v>
      </c>
      <c r="K3387">
        <v>7.1448330294108006E-2</v>
      </c>
      <c r="L3387">
        <v>1004.8020213334</v>
      </c>
      <c r="M3387">
        <v>20.067805952009302</v>
      </c>
      <c r="N3387">
        <v>50.453082994082799</v>
      </c>
      <c r="O3387">
        <v>49.581082543434398</v>
      </c>
      <c r="P3387">
        <v>-9.4045386573235606E-2</v>
      </c>
      <c r="Q3387">
        <v>7.06061104905851E-2</v>
      </c>
      <c r="R3387">
        <v>0.999322045205424</v>
      </c>
      <c r="S3387" t="s">
        <v>10390</v>
      </c>
      <c r="T3387" t="s">
        <v>14004</v>
      </c>
      <c r="U3387" t="s">
        <v>14004</v>
      </c>
      <c r="V3387" t="s">
        <v>14004</v>
      </c>
      <c r="W3387" t="s">
        <v>17347</v>
      </c>
      <c r="X3387">
        <v>35</v>
      </c>
      <c r="Y3387" t="s">
        <v>24202</v>
      </c>
      <c r="Z3387" t="s">
        <v>31097</v>
      </c>
      <c r="AA3387">
        <v>0.3954335151986153</v>
      </c>
      <c r="AB3387" t="str">
        <f>HYPERLINK("Melting_Curves/meltCurve_Q10570_CPSF1.pdf", "Melting_Curves/meltCurve_Q10570_CPSF1.pdf")</f>
        <v>Melting_Curves/meltCurve_Q10570_CPSF1.pdf</v>
      </c>
    </row>
    <row r="3388" spans="1:28" x14ac:dyDescent="0.25">
      <c r="A3388" t="s">
        <v>3392</v>
      </c>
      <c r="B3388">
        <v>0.99999676499088797</v>
      </c>
      <c r="C3388">
        <v>0.93923132262617304</v>
      </c>
      <c r="D3388">
        <v>0.94747618035306402</v>
      </c>
      <c r="E3388">
        <v>0.75395904629361399</v>
      </c>
      <c r="F3388">
        <v>0.709506466629509</v>
      </c>
      <c r="G3388">
        <v>0.57666214263113902</v>
      </c>
      <c r="H3388">
        <v>0.55356281447354605</v>
      </c>
      <c r="I3388">
        <v>0.52108510830873001</v>
      </c>
      <c r="J3388">
        <v>0.54724422774461101</v>
      </c>
      <c r="K3388">
        <v>0.59920837294004903</v>
      </c>
      <c r="L3388">
        <v>850.50319017082404</v>
      </c>
      <c r="M3388">
        <v>17.0160374404329</v>
      </c>
      <c r="O3388">
        <v>49.307440110059297</v>
      </c>
      <c r="P3388">
        <v>-3.91882852205322E-2</v>
      </c>
      <c r="Q3388">
        <v>0.54580375798131997</v>
      </c>
      <c r="R3388">
        <v>0.96858879062580505</v>
      </c>
      <c r="S3388" t="s">
        <v>10391</v>
      </c>
      <c r="T3388" t="s">
        <v>14004</v>
      </c>
      <c r="U3388" t="s">
        <v>14004</v>
      </c>
      <c r="V3388" t="s">
        <v>14004</v>
      </c>
      <c r="W3388" t="s">
        <v>17348</v>
      </c>
      <c r="X3388">
        <v>3</v>
      </c>
      <c r="Y3388" t="s">
        <v>24203</v>
      </c>
      <c r="Z3388" t="s">
        <v>31098</v>
      </c>
      <c r="AA3388">
        <v>0.70554964128773123</v>
      </c>
      <c r="AB3388" t="str">
        <f>HYPERLINK("Melting_Curves/meltCurve_Q10589_BST2.pdf", "Melting_Curves/meltCurve_Q10589_BST2.pdf")</f>
        <v>Melting_Curves/meltCurve_Q10589_BST2.pdf</v>
      </c>
    </row>
    <row r="3389" spans="1:28" x14ac:dyDescent="0.25">
      <c r="A3389" t="s">
        <v>3393</v>
      </c>
      <c r="B3389">
        <v>0.99999676499088797</v>
      </c>
      <c r="C3389">
        <v>1.0705006173490099</v>
      </c>
      <c r="D3389">
        <v>1.03705333659896</v>
      </c>
      <c r="E3389">
        <v>1.0924323055940299</v>
      </c>
      <c r="F3389">
        <v>0.38429771321483303</v>
      </c>
      <c r="G3389">
        <v>0.19287808043159799</v>
      </c>
      <c r="H3389">
        <v>8.8380616475819504E-2</v>
      </c>
      <c r="I3389">
        <v>8.9042773141579906E-2</v>
      </c>
      <c r="J3389">
        <v>7.8684547441382299E-2</v>
      </c>
      <c r="K3389">
        <v>6.6131765709667695E-2</v>
      </c>
      <c r="L3389">
        <v>10007.802648144099</v>
      </c>
      <c r="M3389">
        <v>188.90000944347</v>
      </c>
      <c r="N3389">
        <v>53.044159766550401</v>
      </c>
      <c r="O3389">
        <v>52.973427781689402</v>
      </c>
      <c r="P3389">
        <v>-0.79964159316326799</v>
      </c>
      <c r="Q3389">
        <v>0.103022681000705</v>
      </c>
      <c r="R3389">
        <v>0.98749835091536697</v>
      </c>
      <c r="S3389" t="s">
        <v>10392</v>
      </c>
      <c r="T3389" t="s">
        <v>14004</v>
      </c>
      <c r="U3389" t="s">
        <v>14004</v>
      </c>
      <c r="V3389" t="s">
        <v>14004</v>
      </c>
      <c r="W3389" t="s">
        <v>17349</v>
      </c>
      <c r="X3389">
        <v>25</v>
      </c>
      <c r="Y3389" t="s">
        <v>24204</v>
      </c>
      <c r="Z3389" t="s">
        <v>31099</v>
      </c>
      <c r="AA3389">
        <v>0.49124199724259088</v>
      </c>
      <c r="AB3389" t="str">
        <f>HYPERLINK("Melting_Curves/meltCurve_Q10713_PMPCA.pdf", "Melting_Curves/meltCurve_Q10713_PMPCA.pdf")</f>
        <v>Melting_Curves/meltCurve_Q10713_PMPCA.pdf</v>
      </c>
    </row>
    <row r="3390" spans="1:28" x14ac:dyDescent="0.25">
      <c r="A3390" t="s">
        <v>3394</v>
      </c>
      <c r="B3390">
        <v>0.99999676499088797</v>
      </c>
      <c r="C3390">
        <v>1.01057047850058</v>
      </c>
      <c r="D3390">
        <v>0.93985870839747498</v>
      </c>
      <c r="E3390">
        <v>0.74806934545871195</v>
      </c>
      <c r="F3390">
        <v>0.32222381718535498</v>
      </c>
      <c r="G3390">
        <v>0.16824904630076701</v>
      </c>
      <c r="H3390">
        <v>7.8719532848410004E-2</v>
      </c>
      <c r="I3390">
        <v>0.100325871831006</v>
      </c>
      <c r="J3390">
        <v>8.8044595352685898E-2</v>
      </c>
      <c r="K3390">
        <v>8.5521903576131403E-2</v>
      </c>
      <c r="L3390">
        <v>1384.1027303882599</v>
      </c>
      <c r="M3390">
        <v>27.000079001722298</v>
      </c>
      <c r="N3390">
        <v>51.625609598296997</v>
      </c>
      <c r="O3390">
        <v>50.984183288455903</v>
      </c>
      <c r="P3390">
        <v>-0.12095779674929499</v>
      </c>
      <c r="Q3390">
        <v>8.6391801284415606E-2</v>
      </c>
      <c r="R3390">
        <v>0.998794131680381</v>
      </c>
      <c r="S3390" t="s">
        <v>10393</v>
      </c>
      <c r="T3390" t="s">
        <v>14004</v>
      </c>
      <c r="U3390" t="s">
        <v>14004</v>
      </c>
      <c r="V3390" t="s">
        <v>14004</v>
      </c>
      <c r="W3390" t="s">
        <v>17350</v>
      </c>
      <c r="X3390">
        <v>14</v>
      </c>
      <c r="Y3390" t="s">
        <v>24205</v>
      </c>
      <c r="Z3390" t="s">
        <v>31100</v>
      </c>
      <c r="AA3390">
        <v>0.43650194439270068</v>
      </c>
      <c r="AB3390" t="str">
        <f>HYPERLINK("Melting_Curves/meltCurve_Q12765_SCRN1.pdf", "Melting_Curves/meltCurve_Q12765_SCRN1.pdf")</f>
        <v>Melting_Curves/meltCurve_Q12765_SCRN1.pdf</v>
      </c>
    </row>
    <row r="3391" spans="1:28" x14ac:dyDescent="0.25">
      <c r="A3391" t="s">
        <v>3395</v>
      </c>
      <c r="B3391">
        <v>0.99999676499088797</v>
      </c>
      <c r="C3391">
        <v>1.11096497999257</v>
      </c>
      <c r="D3391">
        <v>1.1400037808452901</v>
      </c>
      <c r="E3391">
        <v>0.76118241417972798</v>
      </c>
      <c r="F3391">
        <v>0.24326337909681101</v>
      </c>
      <c r="G3391">
        <v>0.170309753816036</v>
      </c>
      <c r="H3391">
        <v>6.0206701934191302E-2</v>
      </c>
      <c r="I3391">
        <v>5.2515750352371299E-2</v>
      </c>
      <c r="J3391">
        <v>5.2511224838614298E-2</v>
      </c>
      <c r="K3391">
        <v>3.8436073564668299E-2</v>
      </c>
      <c r="L3391">
        <v>1919.00981881744</v>
      </c>
      <c r="M3391">
        <v>37.510855780000398</v>
      </c>
      <c r="N3391">
        <v>51.360124687501497</v>
      </c>
      <c r="O3391">
        <v>51.014039870418301</v>
      </c>
      <c r="P3391">
        <v>-0.17125770065413201</v>
      </c>
      <c r="Q3391">
        <v>6.8373883175807504E-2</v>
      </c>
      <c r="R3391">
        <v>0.97853164551205196</v>
      </c>
      <c r="S3391" t="s">
        <v>10394</v>
      </c>
      <c r="T3391" t="s">
        <v>14004</v>
      </c>
      <c r="U3391" t="s">
        <v>14004</v>
      </c>
      <c r="V3391" t="s">
        <v>14004</v>
      </c>
      <c r="W3391" t="s">
        <v>17351</v>
      </c>
      <c r="X3391">
        <v>15</v>
      </c>
      <c r="Y3391" t="s">
        <v>24206</v>
      </c>
      <c r="Z3391" t="s">
        <v>31101</v>
      </c>
      <c r="AA3391">
        <v>0.41865011227816012</v>
      </c>
      <c r="AB3391" t="str">
        <f>HYPERLINK("Melting_Curves/meltCurve_Q12768_KIAA0196.pdf", "Melting_Curves/meltCurve_Q12768_KIAA0196.pdf")</f>
        <v>Melting_Curves/meltCurve_Q12768_KIAA0196.pdf</v>
      </c>
    </row>
    <row r="3392" spans="1:28" x14ac:dyDescent="0.25">
      <c r="A3392" t="s">
        <v>3396</v>
      </c>
      <c r="B3392">
        <v>0.99999676499088797</v>
      </c>
      <c r="C3392">
        <v>1.07027107773109</v>
      </c>
      <c r="D3392">
        <v>1.14383683973612</v>
      </c>
      <c r="E3392">
        <v>1.2507914290409801</v>
      </c>
      <c r="F3392">
        <v>0.53513969206350298</v>
      </c>
      <c r="G3392">
        <v>0.262600252086852</v>
      </c>
      <c r="H3392">
        <v>0.13474871484579701</v>
      </c>
      <c r="I3392">
        <v>0.174294824807604</v>
      </c>
      <c r="J3392">
        <v>0.191271897990585</v>
      </c>
      <c r="K3392">
        <v>0.20335383749778199</v>
      </c>
      <c r="L3392">
        <v>11814.155992535099</v>
      </c>
      <c r="M3392">
        <v>222.37785924152001</v>
      </c>
      <c r="N3392">
        <v>53.2434774140876</v>
      </c>
      <c r="O3392">
        <v>53.122188098041498</v>
      </c>
      <c r="P3392">
        <v>-0.84429158696434303</v>
      </c>
      <c r="Q3392">
        <v>0.19325378285289399</v>
      </c>
      <c r="R3392">
        <v>0.94989774754737999</v>
      </c>
      <c r="S3392" t="s">
        <v>10395</v>
      </c>
      <c r="T3392" t="s">
        <v>14004</v>
      </c>
      <c r="U3392" t="s">
        <v>14004</v>
      </c>
      <c r="V3392" t="s">
        <v>14004</v>
      </c>
      <c r="W3392" t="s">
        <v>17352</v>
      </c>
      <c r="X3392">
        <v>12</v>
      </c>
      <c r="Y3392" t="s">
        <v>24207</v>
      </c>
      <c r="Z3392" t="s">
        <v>31102</v>
      </c>
      <c r="AA3392">
        <v>0.54634049737525847</v>
      </c>
      <c r="AB3392" t="str">
        <f>HYPERLINK("Melting_Curves/meltCurve_Q12769_NUP160.pdf", "Melting_Curves/meltCurve_Q12769_NUP160.pdf")</f>
        <v>Melting_Curves/meltCurve_Q12769_NUP160.pdf</v>
      </c>
    </row>
    <row r="3393" spans="1:28" x14ac:dyDescent="0.25">
      <c r="A3393" t="s">
        <v>3397</v>
      </c>
      <c r="B3393">
        <v>0.99999676499088797</v>
      </c>
      <c r="C3393">
        <v>1.1534405581021401</v>
      </c>
      <c r="D3393">
        <v>1.3299295251780501</v>
      </c>
      <c r="E3393">
        <v>1.2697124395063399</v>
      </c>
      <c r="F3393">
        <v>0.415525092590812</v>
      </c>
      <c r="G3393">
        <v>0.26739437625242901</v>
      </c>
      <c r="H3393">
        <v>0.126520196491267</v>
      </c>
      <c r="I3393">
        <v>0.153940017512604</v>
      </c>
      <c r="J3393">
        <v>0.17250443952288799</v>
      </c>
      <c r="K3393">
        <v>0.137171394122311</v>
      </c>
      <c r="L3393">
        <v>13253.5315426371</v>
      </c>
      <c r="M3393">
        <v>250</v>
      </c>
      <c r="N3393">
        <v>53.103359417176598</v>
      </c>
      <c r="O3393">
        <v>53.010733723297399</v>
      </c>
      <c r="P3393">
        <v>-0.976799739104669</v>
      </c>
      <c r="Q3393">
        <v>0.171506068684423</v>
      </c>
      <c r="R3393">
        <v>0.90969278314667101</v>
      </c>
      <c r="S3393" t="s">
        <v>10396</v>
      </c>
      <c r="T3393" t="s">
        <v>14004</v>
      </c>
      <c r="U3393" t="s">
        <v>14004</v>
      </c>
      <c r="V3393" t="s">
        <v>14004</v>
      </c>
      <c r="W3393" t="s">
        <v>17353</v>
      </c>
      <c r="X3393">
        <v>1</v>
      </c>
      <c r="Y3393" t="s">
        <v>24208</v>
      </c>
      <c r="Z3393" t="s">
        <v>31103</v>
      </c>
      <c r="AA3393">
        <v>0.53098730269257</v>
      </c>
      <c r="AB3393" t="str">
        <f>HYPERLINK("Melting_Curves/meltCurve_Q12770_SCAP.pdf", "Melting_Curves/meltCurve_Q12770_SCAP.pdf")</f>
        <v>Melting_Curves/meltCurve_Q12770_SCAP.pdf</v>
      </c>
    </row>
    <row r="3394" spans="1:28" x14ac:dyDescent="0.25">
      <c r="A3394" t="s">
        <v>3398</v>
      </c>
      <c r="B3394">
        <v>0.99999676499088797</v>
      </c>
      <c r="C3394">
        <v>0.97499491334451405</v>
      </c>
      <c r="D3394">
        <v>1.0105122101211901</v>
      </c>
      <c r="E3394">
        <v>0.67588198993188198</v>
      </c>
      <c r="F3394">
        <v>0.36380586602319798</v>
      </c>
      <c r="G3394">
        <v>0.231415879578144</v>
      </c>
      <c r="H3394">
        <v>0.107187498154515</v>
      </c>
      <c r="I3394">
        <v>9.5206058767433197E-2</v>
      </c>
      <c r="J3394">
        <v>8.3295031627445906E-2</v>
      </c>
      <c r="K3394">
        <v>7.25012033056181E-2</v>
      </c>
      <c r="L3394">
        <v>1130.83337871463</v>
      </c>
      <c r="M3394">
        <v>22.035214466140999</v>
      </c>
      <c r="N3394">
        <v>51.7604271269972</v>
      </c>
      <c r="O3394">
        <v>50.902321791699499</v>
      </c>
      <c r="P3394">
        <v>-9.89617055430973E-2</v>
      </c>
      <c r="Q3394">
        <v>8.5596718352242002E-2</v>
      </c>
      <c r="R3394">
        <v>0.993422487374088</v>
      </c>
      <c r="S3394" t="s">
        <v>10397</v>
      </c>
      <c r="T3394" t="s">
        <v>14004</v>
      </c>
      <c r="U3394" t="s">
        <v>14004</v>
      </c>
      <c r="V3394" t="s">
        <v>14004</v>
      </c>
      <c r="W3394" t="s">
        <v>17354</v>
      </c>
      <c r="X3394">
        <v>32</v>
      </c>
      <c r="Y3394" t="s">
        <v>24209</v>
      </c>
      <c r="Z3394" t="s">
        <v>31104</v>
      </c>
      <c r="AA3394">
        <v>0.44118791322817569</v>
      </c>
      <c r="AB3394" t="str">
        <f>HYPERLINK("Melting_Curves/meltCurve_Q12788_TBL3.pdf", "Melting_Curves/meltCurve_Q12788_TBL3.pdf")</f>
        <v>Melting_Curves/meltCurve_Q12788_TBL3.pdf</v>
      </c>
    </row>
    <row r="3395" spans="1:28" x14ac:dyDescent="0.25">
      <c r="A3395" t="s">
        <v>3399</v>
      </c>
      <c r="B3395">
        <v>0.99999676499088797</v>
      </c>
      <c r="C3395">
        <v>1.64828900578159</v>
      </c>
      <c r="D3395">
        <v>0.86506805972435996</v>
      </c>
      <c r="E3395">
        <v>0.58431383890297695</v>
      </c>
      <c r="F3395">
        <v>0.59518408426301195</v>
      </c>
      <c r="G3395">
        <v>0.40369889111649898</v>
      </c>
      <c r="H3395">
        <v>0.23299449383270099</v>
      </c>
      <c r="I3395">
        <v>0.30008153006277899</v>
      </c>
      <c r="J3395">
        <v>0.55581100118326299</v>
      </c>
      <c r="K3395">
        <v>0</v>
      </c>
      <c r="L3395">
        <v>1035.84749722994</v>
      </c>
      <c r="M3395">
        <v>20.372394198551898</v>
      </c>
      <c r="N3395">
        <v>52.980503268577699</v>
      </c>
      <c r="O3395">
        <v>50.363340321220697</v>
      </c>
      <c r="P3395">
        <v>-7.2815399660216107E-2</v>
      </c>
      <c r="Q3395">
        <v>0.27998342786103603</v>
      </c>
      <c r="R3395">
        <v>0.67273522360226301</v>
      </c>
      <c r="S3395" t="s">
        <v>10398</v>
      </c>
      <c r="T3395" t="s">
        <v>14004</v>
      </c>
      <c r="U3395" t="s">
        <v>14004</v>
      </c>
      <c r="V3395" t="s">
        <v>14004</v>
      </c>
      <c r="W3395" t="s">
        <v>17355</v>
      </c>
      <c r="X3395">
        <v>1</v>
      </c>
      <c r="Y3395" t="s">
        <v>24210</v>
      </c>
      <c r="Z3395" t="s">
        <v>31105</v>
      </c>
      <c r="AA3395">
        <v>0.54994116331096465</v>
      </c>
      <c r="AB3395" t="str">
        <f>HYPERLINK("Melting_Curves/meltCurve_Q12789_3_GTF3C1.pdf", "Melting_Curves/meltCurve_Q12789_3_GTF3C1.pdf")</f>
        <v>Melting_Curves/meltCurve_Q12789_3_GTF3C1.pdf</v>
      </c>
    </row>
    <row r="3396" spans="1:28" x14ac:dyDescent="0.25">
      <c r="A3396" t="s">
        <v>3400</v>
      </c>
      <c r="B3396">
        <v>0.99999676499088797</v>
      </c>
      <c r="C3396">
        <v>1.0277420224996101</v>
      </c>
      <c r="D3396">
        <v>1.0291633779604901</v>
      </c>
      <c r="E3396">
        <v>0.84485083928066895</v>
      </c>
      <c r="F3396">
        <v>0.64342014387584701</v>
      </c>
      <c r="G3396">
        <v>0.154804006663773</v>
      </c>
      <c r="H3396">
        <v>7.1542117463121002E-2</v>
      </c>
      <c r="I3396">
        <v>8.9378830734273995E-2</v>
      </c>
      <c r="J3396">
        <v>7.72489032066625E-2</v>
      </c>
      <c r="K3396">
        <v>5.5853060951883797E-2</v>
      </c>
      <c r="L3396">
        <v>1675.95987443222</v>
      </c>
      <c r="M3396">
        <v>31.2229111120608</v>
      </c>
      <c r="N3396">
        <v>53.8943077205886</v>
      </c>
      <c r="O3396">
        <v>53.4584968673744</v>
      </c>
      <c r="P3396">
        <v>-0.13738842321794301</v>
      </c>
      <c r="Q3396">
        <v>5.9083542541849901E-2</v>
      </c>
      <c r="R3396">
        <v>0.991466771831364</v>
      </c>
      <c r="S3396" t="s">
        <v>10399</v>
      </c>
      <c r="T3396" t="s">
        <v>14004</v>
      </c>
      <c r="U3396" t="s">
        <v>14004</v>
      </c>
      <c r="V3396" t="s">
        <v>14004</v>
      </c>
      <c r="W3396" t="s">
        <v>17356</v>
      </c>
      <c r="X3396">
        <v>11</v>
      </c>
      <c r="Y3396" t="s">
        <v>24211</v>
      </c>
      <c r="Z3396" t="s">
        <v>31106</v>
      </c>
      <c r="AA3396">
        <v>0.4937511342787429</v>
      </c>
      <c r="AB3396" t="str">
        <f>HYPERLINK("Melting_Curves/meltCurve_Q12792_TWF1.pdf", "Melting_Curves/meltCurve_Q12792_TWF1.pdf")</f>
        <v>Melting_Curves/meltCurve_Q12792_TWF1.pdf</v>
      </c>
    </row>
    <row r="3397" spans="1:28" x14ac:dyDescent="0.25">
      <c r="A3397" t="s">
        <v>3401</v>
      </c>
      <c r="B3397">
        <v>0.99999676499088797</v>
      </c>
      <c r="C3397">
        <v>0.99609429603133104</v>
      </c>
      <c r="D3397">
        <v>1.02003217579246</v>
      </c>
      <c r="E3397">
        <v>0.80716583730315405</v>
      </c>
      <c r="F3397">
        <v>0.34401346934733001</v>
      </c>
      <c r="G3397">
        <v>0.28338536280021898</v>
      </c>
      <c r="H3397">
        <v>0.146766436012958</v>
      </c>
      <c r="I3397">
        <v>0.15976352663372101</v>
      </c>
      <c r="J3397">
        <v>0.13177936291608799</v>
      </c>
      <c r="K3397">
        <v>0.127205147757015</v>
      </c>
      <c r="L3397">
        <v>1616.4066361068201</v>
      </c>
      <c r="M3397">
        <v>31.4188660601918</v>
      </c>
      <c r="N3397">
        <v>52.059823007038702</v>
      </c>
      <c r="O3397">
        <v>51.239936556034003</v>
      </c>
      <c r="P3397">
        <v>-0.129597276745444</v>
      </c>
      <c r="Q3397">
        <v>0.15458180591267201</v>
      </c>
      <c r="R3397">
        <v>0.99182947849856895</v>
      </c>
      <c r="S3397" t="s">
        <v>10400</v>
      </c>
      <c r="T3397" t="s">
        <v>14004</v>
      </c>
      <c r="U3397" t="s">
        <v>14004</v>
      </c>
      <c r="V3397" t="s">
        <v>14004</v>
      </c>
      <c r="W3397" t="s">
        <v>17357</v>
      </c>
      <c r="X3397">
        <v>5</v>
      </c>
      <c r="Y3397" t="s">
        <v>24212</v>
      </c>
      <c r="Z3397" t="s">
        <v>31107</v>
      </c>
      <c r="AA3397">
        <v>0.48204769703930739</v>
      </c>
      <c r="AB3397" t="str">
        <f>HYPERLINK("Melting_Curves/meltCurve_Q12797_10_ASPH.pdf", "Melting_Curves/meltCurve_Q12797_10_ASPH.pdf")</f>
        <v>Melting_Curves/meltCurve_Q12797_10_ASPH.pdf</v>
      </c>
    </row>
    <row r="3398" spans="1:28" x14ac:dyDescent="0.25">
      <c r="A3398" t="s">
        <v>3402</v>
      </c>
      <c r="B3398">
        <v>0.99999676499088797</v>
      </c>
      <c r="C3398">
        <v>0.97317705265703303</v>
      </c>
      <c r="D3398">
        <v>0.68084924169502503</v>
      </c>
      <c r="E3398">
        <v>0.45087986474983399</v>
      </c>
      <c r="F3398">
        <v>0.32733236575198399</v>
      </c>
      <c r="G3398">
        <v>0.214690944230778</v>
      </c>
      <c r="H3398">
        <v>0.10752379390994</v>
      </c>
      <c r="I3398">
        <v>0.104527431185289</v>
      </c>
      <c r="J3398">
        <v>0.11855310349426799</v>
      </c>
      <c r="K3398">
        <v>0.10342347809842201</v>
      </c>
      <c r="L3398">
        <v>763.65507529834304</v>
      </c>
      <c r="M3398">
        <v>15.7368747231477</v>
      </c>
      <c r="N3398">
        <v>49.235709573894503</v>
      </c>
      <c r="O3398">
        <v>47.763148622584097</v>
      </c>
      <c r="P3398">
        <v>-7.4022038902499102E-2</v>
      </c>
      <c r="Q3398">
        <v>0.101415045437136</v>
      </c>
      <c r="R3398">
        <v>0.98774974644560898</v>
      </c>
      <c r="S3398" t="s">
        <v>10401</v>
      </c>
      <c r="T3398" t="s">
        <v>14004</v>
      </c>
      <c r="U3398" t="s">
        <v>14004</v>
      </c>
      <c r="V3398" t="s">
        <v>14004</v>
      </c>
      <c r="W3398" t="s">
        <v>17358</v>
      </c>
      <c r="X3398">
        <v>11</v>
      </c>
      <c r="Y3398" t="s">
        <v>24213</v>
      </c>
      <c r="Z3398" t="s">
        <v>31108</v>
      </c>
      <c r="AA3398">
        <v>0.37738603752322708</v>
      </c>
      <c r="AB3398" t="str">
        <f>HYPERLINK("Melting_Curves/meltCurve_Q12802_4_AKAP13.pdf", "Melting_Curves/meltCurve_Q12802_4_AKAP13.pdf")</f>
        <v>Melting_Curves/meltCurve_Q12802_4_AKAP13.pdf</v>
      </c>
    </row>
    <row r="3399" spans="1:28" x14ac:dyDescent="0.25">
      <c r="A3399" t="s">
        <v>3403</v>
      </c>
      <c r="B3399">
        <v>0.99999676499088797</v>
      </c>
      <c r="C3399">
        <v>1.07265500109201</v>
      </c>
      <c r="D3399">
        <v>0.79571881828965696</v>
      </c>
      <c r="E3399">
        <v>0.37698105701692602</v>
      </c>
      <c r="F3399">
        <v>0.30286167512265599</v>
      </c>
      <c r="G3399">
        <v>0.260150832448102</v>
      </c>
      <c r="H3399">
        <v>0.157864346021268</v>
      </c>
      <c r="I3399">
        <v>0.15227515782804901</v>
      </c>
      <c r="J3399">
        <v>0.13494518980071801</v>
      </c>
      <c r="K3399">
        <v>9.4715634171681801E-2</v>
      </c>
      <c r="L3399">
        <v>1282.2153815343399</v>
      </c>
      <c r="M3399">
        <v>26.686227300493101</v>
      </c>
      <c r="N3399">
        <v>48.782331461670701</v>
      </c>
      <c r="O3399">
        <v>47.7804749898499</v>
      </c>
      <c r="P3399">
        <v>-0.116529550180328</v>
      </c>
      <c r="Q3399">
        <v>0.16544552199993701</v>
      </c>
      <c r="R3399">
        <v>0.97480908049898396</v>
      </c>
      <c r="S3399" t="s">
        <v>10402</v>
      </c>
      <c r="T3399" t="s">
        <v>14004</v>
      </c>
      <c r="U3399" t="s">
        <v>14004</v>
      </c>
      <c r="V3399" t="s">
        <v>14004</v>
      </c>
      <c r="W3399" t="s">
        <v>17359</v>
      </c>
      <c r="X3399">
        <v>5</v>
      </c>
      <c r="Y3399" t="s">
        <v>24214</v>
      </c>
      <c r="Z3399" t="s">
        <v>31109</v>
      </c>
      <c r="AA3399">
        <v>0.39574834186570362</v>
      </c>
      <c r="AB3399" t="str">
        <f>HYPERLINK("Melting_Curves/meltCurve_Q12824_2_SMARCB1.pdf", "Melting_Curves/meltCurve_Q12824_2_SMARCB1.pdf")</f>
        <v>Melting_Curves/meltCurve_Q12824_2_SMARCB1.pdf</v>
      </c>
    </row>
    <row r="3400" spans="1:28" x14ac:dyDescent="0.25">
      <c r="A3400" t="s">
        <v>3404</v>
      </c>
      <c r="B3400">
        <v>0.99999676499088797</v>
      </c>
      <c r="C3400">
        <v>0.93142758466632303</v>
      </c>
      <c r="D3400">
        <v>0.69780000951656795</v>
      </c>
      <c r="E3400">
        <v>0.35178217753881103</v>
      </c>
      <c r="F3400">
        <v>0.23643835264739499</v>
      </c>
      <c r="G3400">
        <v>0.21721860693659301</v>
      </c>
      <c r="H3400">
        <v>0.12173113725774599</v>
      </c>
      <c r="I3400">
        <v>0.15658382020094599</v>
      </c>
      <c r="J3400">
        <v>0.17739500645919901</v>
      </c>
      <c r="K3400">
        <v>0.18457306329450399</v>
      </c>
      <c r="L3400">
        <v>1120.85782242031</v>
      </c>
      <c r="M3400">
        <v>23.801504730180401</v>
      </c>
      <c r="N3400">
        <v>47.923135559811598</v>
      </c>
      <c r="O3400">
        <v>46.7632526457175</v>
      </c>
      <c r="P3400">
        <v>-0.105727565508403</v>
      </c>
      <c r="Q3400">
        <v>0.169114161285014</v>
      </c>
      <c r="R3400">
        <v>0.99531187451152003</v>
      </c>
      <c r="S3400" t="s">
        <v>10403</v>
      </c>
      <c r="T3400" t="s">
        <v>14004</v>
      </c>
      <c r="U3400" t="s">
        <v>14004</v>
      </c>
      <c r="V3400" t="s">
        <v>14004</v>
      </c>
      <c r="W3400" t="s">
        <v>17360</v>
      </c>
      <c r="X3400">
        <v>5</v>
      </c>
      <c r="Y3400" t="s">
        <v>24215</v>
      </c>
      <c r="Z3400" t="s">
        <v>31110</v>
      </c>
      <c r="AA3400">
        <v>0.37378431141896079</v>
      </c>
      <c r="AB3400" t="str">
        <f>HYPERLINK("Melting_Curves/meltCurve_Q12830_4_BPTF.pdf", "Melting_Curves/meltCurve_Q12830_4_BPTF.pdf")</f>
        <v>Melting_Curves/meltCurve_Q12830_4_BPTF.pdf</v>
      </c>
    </row>
    <row r="3401" spans="1:28" x14ac:dyDescent="0.25">
      <c r="A3401" t="s">
        <v>3405</v>
      </c>
      <c r="B3401">
        <v>0.99999676499088797</v>
      </c>
      <c r="C3401">
        <v>1.06580537626136</v>
      </c>
      <c r="D3401">
        <v>0.95817946709497204</v>
      </c>
      <c r="E3401">
        <v>0.77407303555345397</v>
      </c>
      <c r="F3401">
        <v>0.309888344761998</v>
      </c>
      <c r="G3401">
        <v>0.151978405032863</v>
      </c>
      <c r="H3401">
        <v>4.8853332015472498E-2</v>
      </c>
      <c r="I3401">
        <v>4.5417352221778701E-2</v>
      </c>
      <c r="J3401">
        <v>3.5002297815304798E-2</v>
      </c>
      <c r="K3401">
        <v>4.3154784916750302E-2</v>
      </c>
      <c r="L3401">
        <v>1440.78518694487</v>
      </c>
      <c r="M3401">
        <v>27.933999107533399</v>
      </c>
      <c r="N3401">
        <v>51.750428850614497</v>
      </c>
      <c r="O3401">
        <v>51.316010658793402</v>
      </c>
      <c r="P3401">
        <v>-0.13004843316813899</v>
      </c>
      <c r="Q3401">
        <v>4.4388654086661802E-2</v>
      </c>
      <c r="R3401">
        <v>0.99603946691591005</v>
      </c>
      <c r="S3401" t="s">
        <v>10404</v>
      </c>
      <c r="T3401" t="s">
        <v>14004</v>
      </c>
      <c r="U3401" t="s">
        <v>14004</v>
      </c>
      <c r="V3401" t="s">
        <v>14004</v>
      </c>
      <c r="W3401" t="s">
        <v>17361</v>
      </c>
      <c r="X3401">
        <v>6</v>
      </c>
      <c r="Y3401" t="s">
        <v>24216</v>
      </c>
      <c r="Z3401" t="s">
        <v>31111</v>
      </c>
      <c r="AA3401">
        <v>0.42018476458113602</v>
      </c>
      <c r="AB3401" t="str">
        <f>HYPERLINK("Melting_Curves/meltCurve_Q12834_CDC20.pdf", "Melting_Curves/meltCurve_Q12834_CDC20.pdf")</f>
        <v>Melting_Curves/meltCurve_Q12834_CDC20.pdf</v>
      </c>
    </row>
    <row r="3402" spans="1:28" x14ac:dyDescent="0.25">
      <c r="A3402" t="s">
        <v>3406</v>
      </c>
      <c r="B3402">
        <v>0.99999676499088797</v>
      </c>
      <c r="C3402">
        <v>0.89249745826984805</v>
      </c>
      <c r="D3402">
        <v>0.95577370998729105</v>
      </c>
      <c r="E3402">
        <v>0.73451068508012096</v>
      </c>
      <c r="F3402">
        <v>0.50247472321397002</v>
      </c>
      <c r="G3402">
        <v>0.26709695859816401</v>
      </c>
      <c r="H3402">
        <v>0.107646822590912</v>
      </c>
      <c r="I3402">
        <v>9.2997670436747906E-2</v>
      </c>
      <c r="J3402">
        <v>7.7321701102310195E-2</v>
      </c>
      <c r="K3402">
        <v>6.3211054095556898E-2</v>
      </c>
      <c r="L3402">
        <v>863.04052292827703</v>
      </c>
      <c r="M3402">
        <v>16.3609215018847</v>
      </c>
      <c r="N3402">
        <v>53.010928958167398</v>
      </c>
      <c r="O3402">
        <v>51.980967370524802</v>
      </c>
      <c r="P3402">
        <v>-7.5649818156312401E-2</v>
      </c>
      <c r="Q3402">
        <v>3.8668689394627503E-2</v>
      </c>
      <c r="R3402">
        <v>0.99274567287645998</v>
      </c>
      <c r="S3402" t="s">
        <v>10405</v>
      </c>
      <c r="T3402" t="s">
        <v>14004</v>
      </c>
      <c r="U3402" t="s">
        <v>14004</v>
      </c>
      <c r="V3402" t="s">
        <v>14004</v>
      </c>
      <c r="W3402" t="s">
        <v>17362</v>
      </c>
      <c r="X3402">
        <v>7</v>
      </c>
      <c r="Y3402" t="s">
        <v>24217</v>
      </c>
      <c r="Z3402" t="s">
        <v>31112</v>
      </c>
      <c r="AA3402">
        <v>0.46562200160309269</v>
      </c>
      <c r="AB3402" t="str">
        <f>HYPERLINK("Melting_Curves/meltCurve_Q12846_STX4.pdf", "Melting_Curves/meltCurve_Q12846_STX4.pdf")</f>
        <v>Melting_Curves/meltCurve_Q12846_STX4.pdf</v>
      </c>
    </row>
    <row r="3403" spans="1:28" x14ac:dyDescent="0.25">
      <c r="A3403" t="s">
        <v>3407</v>
      </c>
      <c r="B3403">
        <v>0.99999676499088797</v>
      </c>
      <c r="C3403">
        <v>0.907576820049667</v>
      </c>
      <c r="D3403">
        <v>0.74178023439513596</v>
      </c>
      <c r="E3403">
        <v>0.39056771654028899</v>
      </c>
      <c r="F3403">
        <v>0.27814194882569299</v>
      </c>
      <c r="G3403">
        <v>0.19515840523453201</v>
      </c>
      <c r="H3403">
        <v>0.101035244918471</v>
      </c>
      <c r="I3403">
        <v>0.107853738017631</v>
      </c>
      <c r="J3403">
        <v>0.10152711404783001</v>
      </c>
      <c r="K3403">
        <v>0.10578408693815899</v>
      </c>
      <c r="L3403">
        <v>855.65841547163404</v>
      </c>
      <c r="M3403">
        <v>17.7883864996464</v>
      </c>
      <c r="N3403">
        <v>48.7438600258888</v>
      </c>
      <c r="O3403">
        <v>47.506523403349497</v>
      </c>
      <c r="P3403">
        <v>-8.3841243210830002E-2</v>
      </c>
      <c r="Q3403">
        <v>0.104404418073445</v>
      </c>
      <c r="R3403">
        <v>0.99465355981500503</v>
      </c>
      <c r="S3403" t="s">
        <v>10406</v>
      </c>
      <c r="T3403" t="s">
        <v>14004</v>
      </c>
      <c r="U3403" t="s">
        <v>14004</v>
      </c>
      <c r="V3403" t="s">
        <v>14004</v>
      </c>
      <c r="W3403" t="s">
        <v>17363</v>
      </c>
      <c r="X3403">
        <v>21</v>
      </c>
      <c r="Y3403" t="s">
        <v>24218</v>
      </c>
      <c r="Z3403" t="s">
        <v>31113</v>
      </c>
      <c r="AA3403">
        <v>0.3625134109416196</v>
      </c>
      <c r="AB3403" t="str">
        <f>HYPERLINK("Melting_Curves/meltCurve_Q12872_SFSWAP.pdf", "Melting_Curves/meltCurve_Q12872_SFSWAP.pdf")</f>
        <v>Melting_Curves/meltCurve_Q12872_SFSWAP.pdf</v>
      </c>
    </row>
    <row r="3404" spans="1:28" x14ac:dyDescent="0.25">
      <c r="A3404" t="s">
        <v>3408</v>
      </c>
      <c r="B3404">
        <v>0.99999676499088797</v>
      </c>
      <c r="C3404">
        <v>1.0171764120442599</v>
      </c>
      <c r="D3404">
        <v>0.68050957881520102</v>
      </c>
      <c r="E3404">
        <v>0.35512017267572099</v>
      </c>
      <c r="F3404">
        <v>0.19059489705709601</v>
      </c>
      <c r="G3404">
        <v>0.12454943215589</v>
      </c>
      <c r="H3404">
        <v>5.8881465551091999E-2</v>
      </c>
      <c r="I3404">
        <v>6.3760718128308302E-2</v>
      </c>
      <c r="J3404">
        <v>5.9385527125982301E-2</v>
      </c>
      <c r="K3404">
        <v>5.1438294792351E-2</v>
      </c>
      <c r="L3404">
        <v>1052.8655809178999</v>
      </c>
      <c r="M3404">
        <v>22.021050263316699</v>
      </c>
      <c r="N3404">
        <v>48.127895317039403</v>
      </c>
      <c r="O3404">
        <v>47.4227388066695</v>
      </c>
      <c r="P3404">
        <v>-0.108275025842925</v>
      </c>
      <c r="Q3404">
        <v>6.7331786972128396E-2</v>
      </c>
      <c r="R3404">
        <v>0.991237399358598</v>
      </c>
      <c r="S3404" t="s">
        <v>10407</v>
      </c>
      <c r="T3404" t="s">
        <v>14004</v>
      </c>
      <c r="U3404" t="s">
        <v>14004</v>
      </c>
      <c r="V3404" t="s">
        <v>14004</v>
      </c>
      <c r="W3404" t="s">
        <v>17364</v>
      </c>
      <c r="X3404">
        <v>26</v>
      </c>
      <c r="Y3404" t="s">
        <v>24219</v>
      </c>
      <c r="Z3404" t="s">
        <v>31114</v>
      </c>
      <c r="AA3404">
        <v>0.32101969232177419</v>
      </c>
      <c r="AB3404" t="str">
        <f>HYPERLINK("Melting_Curves/meltCurve_Q12874_SF3A3.pdf", "Melting_Curves/meltCurve_Q12874_SF3A3.pdf")</f>
        <v>Melting_Curves/meltCurve_Q12874_SF3A3.pdf</v>
      </c>
    </row>
    <row r="3405" spans="1:28" x14ac:dyDescent="0.25">
      <c r="A3405" t="s">
        <v>3409</v>
      </c>
      <c r="B3405">
        <v>0.99999676499088797</v>
      </c>
      <c r="C3405">
        <v>1.0856836741054501</v>
      </c>
      <c r="D3405">
        <v>1.1285879059610899</v>
      </c>
      <c r="E3405">
        <v>1.3191696376962201</v>
      </c>
      <c r="F3405">
        <v>1.0638113900722901</v>
      </c>
      <c r="G3405">
        <v>0.35087543538341398</v>
      </c>
      <c r="H3405">
        <v>0.14549856378669199</v>
      </c>
      <c r="I3405">
        <v>0.12976588539973499</v>
      </c>
      <c r="J3405">
        <v>0.11645895343433101</v>
      </c>
      <c r="K3405">
        <v>0.12110743261007099</v>
      </c>
      <c r="L3405">
        <v>14139.227204348001</v>
      </c>
      <c r="M3405">
        <v>250</v>
      </c>
      <c r="N3405">
        <v>56.624015120583898</v>
      </c>
      <c r="O3405">
        <v>56.553289570607902</v>
      </c>
      <c r="P3405">
        <v>-0.96346330783781897</v>
      </c>
      <c r="Q3405">
        <v>0.128207690313041</v>
      </c>
      <c r="R3405">
        <v>0.94429572612011903</v>
      </c>
      <c r="S3405" t="s">
        <v>10408</v>
      </c>
      <c r="T3405" t="s">
        <v>14004</v>
      </c>
      <c r="U3405" t="s">
        <v>14004</v>
      </c>
      <c r="V3405" t="s">
        <v>14004</v>
      </c>
      <c r="W3405" t="s">
        <v>17365</v>
      </c>
      <c r="X3405">
        <v>19</v>
      </c>
      <c r="Y3405" t="s">
        <v>24220</v>
      </c>
      <c r="Z3405" t="s">
        <v>31115</v>
      </c>
      <c r="AA3405">
        <v>0.60943374733487277</v>
      </c>
      <c r="AB3405" t="str">
        <f>HYPERLINK("Melting_Curves/meltCurve_Q12882_DPYD.pdf", "Melting_Curves/meltCurve_Q12882_DPYD.pdf")</f>
        <v>Melting_Curves/meltCurve_Q12882_DPYD.pdf</v>
      </c>
    </row>
    <row r="3406" spans="1:28" x14ac:dyDescent="0.25">
      <c r="A3406" t="s">
        <v>3410</v>
      </c>
      <c r="B3406">
        <v>0.99999676499088797</v>
      </c>
      <c r="C3406">
        <v>0.92580714440659995</v>
      </c>
      <c r="D3406">
        <v>0.76690520314627297</v>
      </c>
      <c r="E3406">
        <v>0.35776882005136901</v>
      </c>
      <c r="F3406">
        <v>0.26128736275577602</v>
      </c>
      <c r="G3406">
        <v>0.19079810845939199</v>
      </c>
      <c r="H3406">
        <v>0.13105727598403599</v>
      </c>
      <c r="I3406">
        <v>0.13197282334825899</v>
      </c>
      <c r="J3406">
        <v>0.13487236400229599</v>
      </c>
      <c r="K3406">
        <v>0.14276374626940599</v>
      </c>
      <c r="L3406">
        <v>1091.1197315489401</v>
      </c>
      <c r="M3406">
        <v>22.8692484308941</v>
      </c>
      <c r="N3406">
        <v>48.428154070072999</v>
      </c>
      <c r="O3406">
        <v>47.350901329455297</v>
      </c>
      <c r="P3406">
        <v>-0.10340634950255401</v>
      </c>
      <c r="Q3406">
        <v>0.143602797408656</v>
      </c>
      <c r="R3406">
        <v>0.99505021956609796</v>
      </c>
      <c r="S3406" t="s">
        <v>10409</v>
      </c>
      <c r="T3406" t="s">
        <v>14004</v>
      </c>
      <c r="U3406" t="s">
        <v>14004</v>
      </c>
      <c r="V3406" t="s">
        <v>14004</v>
      </c>
      <c r="W3406" t="s">
        <v>17366</v>
      </c>
      <c r="X3406">
        <v>37</v>
      </c>
      <c r="Y3406" t="s">
        <v>24221</v>
      </c>
      <c r="Z3406" t="s">
        <v>31116</v>
      </c>
      <c r="AA3406">
        <v>0.37291097457826872</v>
      </c>
      <c r="AB3406" t="str">
        <f>HYPERLINK("Melting_Curves/meltCurve_Q12888_TP53BP1.pdf", "Melting_Curves/meltCurve_Q12888_TP53BP1.pdf")</f>
        <v>Melting_Curves/meltCurve_Q12888_TP53BP1.pdf</v>
      </c>
    </row>
    <row r="3407" spans="1:28" x14ac:dyDescent="0.25">
      <c r="A3407" t="s">
        <v>3411</v>
      </c>
      <c r="B3407">
        <v>0.99999676499088797</v>
      </c>
      <c r="C3407">
        <v>1.1179854089079799</v>
      </c>
      <c r="D3407">
        <v>0.89062461384113001</v>
      </c>
      <c r="E3407">
        <v>0.96459242074504103</v>
      </c>
      <c r="F3407">
        <v>0.84803202661864197</v>
      </c>
      <c r="G3407">
        <v>0.72453566645123602</v>
      </c>
      <c r="H3407">
        <v>0.28148212397707301</v>
      </c>
      <c r="I3407">
        <v>0.20848411114242299</v>
      </c>
      <c r="J3407">
        <v>0.25170933024240699</v>
      </c>
      <c r="K3407">
        <v>7.3960266740402195E-2</v>
      </c>
      <c r="L3407">
        <v>1310.6855451494901</v>
      </c>
      <c r="M3407">
        <v>22.610460367599298</v>
      </c>
      <c r="N3407">
        <v>58.6627031818606</v>
      </c>
      <c r="O3407">
        <v>57.520376807572099</v>
      </c>
      <c r="P3407">
        <v>-8.6732263230354906E-2</v>
      </c>
      <c r="Q3407">
        <v>0.117439898289574</v>
      </c>
      <c r="R3407">
        <v>0.96379972119230595</v>
      </c>
      <c r="S3407" t="s">
        <v>10410</v>
      </c>
      <c r="T3407" t="s">
        <v>14004</v>
      </c>
      <c r="U3407" t="s">
        <v>14004</v>
      </c>
      <c r="V3407" t="s">
        <v>14004</v>
      </c>
      <c r="W3407" t="s">
        <v>17367</v>
      </c>
      <c r="X3407">
        <v>2</v>
      </c>
      <c r="Y3407" t="s">
        <v>24222</v>
      </c>
      <c r="Z3407" t="s">
        <v>31117</v>
      </c>
      <c r="AA3407">
        <v>0.6548064426595559</v>
      </c>
      <c r="AB3407" t="str">
        <f>HYPERLINK("Melting_Curves/meltCurve_Q12893_TMEM115.pdf", "Melting_Curves/meltCurve_Q12893_TMEM115.pdf")</f>
        <v>Melting_Curves/meltCurve_Q12893_TMEM115.pdf</v>
      </c>
    </row>
    <row r="3408" spans="1:28" x14ac:dyDescent="0.25">
      <c r="A3408" t="s">
        <v>3412</v>
      </c>
      <c r="B3408">
        <v>0.99999676499088797</v>
      </c>
      <c r="C3408">
        <v>0.83035703620905998</v>
      </c>
      <c r="D3408">
        <v>0.78354933083012901</v>
      </c>
      <c r="E3408">
        <v>0.92259503661016895</v>
      </c>
      <c r="F3408">
        <v>0.62664453850193802</v>
      </c>
      <c r="G3408">
        <v>0.38221585128921798</v>
      </c>
      <c r="H3408">
        <v>9.5577953505483995E-2</v>
      </c>
      <c r="I3408">
        <v>6.7503859180059606E-2</v>
      </c>
      <c r="J3408">
        <v>6.7076780389697901E-2</v>
      </c>
      <c r="K3408">
        <v>3.5220050017658003E-2</v>
      </c>
      <c r="L3408">
        <v>897.559925741798</v>
      </c>
      <c r="M3408">
        <v>16.3947028472761</v>
      </c>
      <c r="N3408">
        <v>54.746959681508599</v>
      </c>
      <c r="O3408">
        <v>53.951861902548501</v>
      </c>
      <c r="P3408">
        <v>-7.5974533268773695E-2</v>
      </c>
      <c r="Q3408">
        <v>0</v>
      </c>
      <c r="R3408">
        <v>0.95160549777199499</v>
      </c>
      <c r="S3408" t="s">
        <v>10411</v>
      </c>
      <c r="T3408" t="s">
        <v>14004</v>
      </c>
      <c r="U3408" t="s">
        <v>14004</v>
      </c>
      <c r="V3408" t="s">
        <v>14004</v>
      </c>
      <c r="W3408" t="s">
        <v>17368</v>
      </c>
      <c r="X3408">
        <v>2</v>
      </c>
      <c r="Y3408" t="s">
        <v>24223</v>
      </c>
      <c r="Z3408" t="s">
        <v>31118</v>
      </c>
      <c r="AA3408">
        <v>0.50923223903626025</v>
      </c>
      <c r="AB3408" t="str">
        <f>HYPERLINK("Melting_Curves/meltCurve_Q12894_IFRD2.pdf", "Melting_Curves/meltCurve_Q12894_IFRD2.pdf")</f>
        <v>Melting_Curves/meltCurve_Q12894_IFRD2.pdf</v>
      </c>
    </row>
    <row r="3409" spans="1:28" x14ac:dyDescent="0.25">
      <c r="A3409" t="s">
        <v>3413</v>
      </c>
      <c r="B3409">
        <v>0.99999676499088797</v>
      </c>
      <c r="C3409">
        <v>1.01768270242826</v>
      </c>
      <c r="D3409">
        <v>0.939512507405459</v>
      </c>
      <c r="E3409">
        <v>0.76756586027479601</v>
      </c>
      <c r="F3409">
        <v>0.34286084649966903</v>
      </c>
      <c r="G3409">
        <v>0.26210941752466699</v>
      </c>
      <c r="H3409">
        <v>7.6798550484144995E-2</v>
      </c>
      <c r="I3409">
        <v>0.15644400101108699</v>
      </c>
      <c r="J3409">
        <v>0.116475628688366</v>
      </c>
      <c r="K3409">
        <v>8.2068360155494999E-2</v>
      </c>
      <c r="L3409">
        <v>1260.86551768958</v>
      </c>
      <c r="M3409">
        <v>24.5080350095126</v>
      </c>
      <c r="N3409">
        <v>51.977581503273399</v>
      </c>
      <c r="O3409">
        <v>51.108172904541803</v>
      </c>
      <c r="P3409">
        <v>-0.10661807049357</v>
      </c>
      <c r="Q3409">
        <v>0.110663093512057</v>
      </c>
      <c r="R3409">
        <v>0.99091472886935605</v>
      </c>
      <c r="S3409" t="s">
        <v>10412</v>
      </c>
      <c r="T3409" t="s">
        <v>14004</v>
      </c>
      <c r="U3409" t="s">
        <v>14004</v>
      </c>
      <c r="V3409" t="s">
        <v>14004</v>
      </c>
      <c r="W3409" t="s">
        <v>17369</v>
      </c>
      <c r="X3409">
        <v>5</v>
      </c>
      <c r="Y3409" t="s">
        <v>24224</v>
      </c>
      <c r="Z3409" t="s">
        <v>31119</v>
      </c>
      <c r="AA3409">
        <v>0.45839642235855582</v>
      </c>
      <c r="AB3409" t="str">
        <f>HYPERLINK("Melting_Curves/meltCurve_Q12899_TRIM26.pdf", "Melting_Curves/meltCurve_Q12899_TRIM26.pdf")</f>
        <v>Melting_Curves/meltCurve_Q12899_TRIM26.pdf</v>
      </c>
    </row>
    <row r="3410" spans="1:28" x14ac:dyDescent="0.25">
      <c r="A3410" t="s">
        <v>3414</v>
      </c>
      <c r="B3410">
        <v>0.99999676499088797</v>
      </c>
      <c r="C3410">
        <v>1.0258360694693101</v>
      </c>
      <c r="D3410">
        <v>0.73654755291072405</v>
      </c>
      <c r="E3410">
        <v>0.32160079951134202</v>
      </c>
      <c r="F3410">
        <v>0.21769012829846701</v>
      </c>
      <c r="G3410">
        <v>0.15580867110695201</v>
      </c>
      <c r="H3410">
        <v>7.7718839385233496E-2</v>
      </c>
      <c r="I3410">
        <v>0.102061597316224</v>
      </c>
      <c r="J3410">
        <v>0.1242431961139</v>
      </c>
      <c r="K3410">
        <v>0.14096898571618999</v>
      </c>
      <c r="L3410">
        <v>1348.5163759571601</v>
      </c>
      <c r="M3410">
        <v>28.375715188958701</v>
      </c>
      <c r="N3410">
        <v>48.014837548614501</v>
      </c>
      <c r="O3410">
        <v>47.2894556809972</v>
      </c>
      <c r="P3410">
        <v>-0.131113137559599</v>
      </c>
      <c r="Q3410">
        <v>0.125982417126633</v>
      </c>
      <c r="R3410">
        <v>0.99147835133289997</v>
      </c>
      <c r="S3410" t="s">
        <v>10413</v>
      </c>
      <c r="T3410" t="s">
        <v>14004</v>
      </c>
      <c r="U3410" t="s">
        <v>14004</v>
      </c>
      <c r="V3410" t="s">
        <v>14004</v>
      </c>
      <c r="W3410" t="s">
        <v>17370</v>
      </c>
      <c r="X3410">
        <v>9</v>
      </c>
      <c r="Y3410" t="s">
        <v>24225</v>
      </c>
      <c r="Z3410" t="s">
        <v>31120</v>
      </c>
      <c r="AA3410">
        <v>0.35107648893602128</v>
      </c>
      <c r="AB3410" t="str">
        <f>HYPERLINK("Melting_Curves/meltCurve_Q12904_AIMP1.pdf", "Melting_Curves/meltCurve_Q12904_AIMP1.pdf")</f>
        <v>Melting_Curves/meltCurve_Q12904_AIMP1.pdf</v>
      </c>
    </row>
    <row r="3411" spans="1:28" x14ac:dyDescent="0.25">
      <c r="A3411" t="s">
        <v>3415</v>
      </c>
      <c r="B3411">
        <v>0.99999676499088797</v>
      </c>
      <c r="C3411">
        <v>0.94464533768874304</v>
      </c>
      <c r="D3411">
        <v>0.98029667478917704</v>
      </c>
      <c r="E3411">
        <v>0.96167711521551102</v>
      </c>
      <c r="F3411">
        <v>1.0764024470031199</v>
      </c>
      <c r="G3411">
        <v>0.55509871281036205</v>
      </c>
      <c r="H3411">
        <v>0.124616737265098</v>
      </c>
      <c r="I3411">
        <v>6.6011959846072193E-2</v>
      </c>
      <c r="J3411">
        <v>5.1097693596064399E-2</v>
      </c>
      <c r="K3411">
        <v>5.0308454666937202E-2</v>
      </c>
      <c r="L3411">
        <v>7923.8564611402498</v>
      </c>
      <c r="M3411">
        <v>139.42397381345</v>
      </c>
      <c r="N3411">
        <v>56.897197741259397</v>
      </c>
      <c r="O3411">
        <v>56.8210978736656</v>
      </c>
      <c r="P3411">
        <v>-0.56866708852899095</v>
      </c>
      <c r="Q3411">
        <v>7.2977185854534707E-2</v>
      </c>
      <c r="R3411">
        <v>0.99236301367661806</v>
      </c>
      <c r="S3411" t="s">
        <v>10414</v>
      </c>
      <c r="T3411" t="s">
        <v>14004</v>
      </c>
      <c r="U3411" t="s">
        <v>14004</v>
      </c>
      <c r="V3411" t="s">
        <v>14004</v>
      </c>
      <c r="W3411" t="s">
        <v>17371</v>
      </c>
      <c r="X3411">
        <v>12</v>
      </c>
      <c r="Y3411" t="s">
        <v>24226</v>
      </c>
      <c r="Z3411" t="s">
        <v>31121</v>
      </c>
      <c r="AA3411">
        <v>0.59342129808239763</v>
      </c>
      <c r="AB3411" t="str">
        <f>HYPERLINK("Melting_Curves/meltCurve_Q12905_ILF2.pdf", "Melting_Curves/meltCurve_Q12905_ILF2.pdf")</f>
        <v>Melting_Curves/meltCurve_Q12905_ILF2.pdf</v>
      </c>
    </row>
    <row r="3412" spans="1:28" x14ac:dyDescent="0.25">
      <c r="A3412" t="s">
        <v>3416</v>
      </c>
      <c r="B3412">
        <v>0.99999676499088797</v>
      </c>
      <c r="C3412">
        <v>1.03403432632473</v>
      </c>
      <c r="D3412">
        <v>1.1226791425898801</v>
      </c>
      <c r="E3412">
        <v>1.0010293884760999</v>
      </c>
      <c r="F3412">
        <v>0.760973573957477</v>
      </c>
      <c r="G3412">
        <v>0.71604851877697195</v>
      </c>
      <c r="H3412">
        <v>0.196097490210176</v>
      </c>
      <c r="I3412">
        <v>0.166662140092494</v>
      </c>
      <c r="J3412">
        <v>0.170812421844729</v>
      </c>
      <c r="K3412">
        <v>0.12587796460214801</v>
      </c>
      <c r="L3412">
        <v>1407.78594522001</v>
      </c>
      <c r="M3412">
        <v>24.5450054202609</v>
      </c>
      <c r="N3412">
        <v>57.929210001519102</v>
      </c>
      <c r="O3412">
        <v>56.978643665060098</v>
      </c>
      <c r="P3412">
        <v>-9.6071609531705293E-2</v>
      </c>
      <c r="Q3412">
        <v>0.107932430955024</v>
      </c>
      <c r="R3412">
        <v>0.96559921764135603</v>
      </c>
      <c r="S3412" t="s">
        <v>10415</v>
      </c>
      <c r="T3412" t="s">
        <v>14004</v>
      </c>
      <c r="U3412" t="s">
        <v>14004</v>
      </c>
      <c r="V3412" t="s">
        <v>14004</v>
      </c>
      <c r="W3412" t="s">
        <v>17372</v>
      </c>
      <c r="X3412">
        <v>27</v>
      </c>
      <c r="Y3412" t="s">
        <v>24227</v>
      </c>
      <c r="Z3412" t="s">
        <v>31122</v>
      </c>
      <c r="AA3412">
        <v>0.63217592167314574</v>
      </c>
      <c r="AB3412" t="str">
        <f>HYPERLINK("Melting_Curves/meltCurve_Q12906_7_ILF3.pdf", "Melting_Curves/meltCurve_Q12906_7_ILF3.pdf")</f>
        <v>Melting_Curves/meltCurve_Q12906_7_ILF3.pdf</v>
      </c>
    </row>
    <row r="3413" spans="1:28" x14ac:dyDescent="0.25">
      <c r="A3413" t="s">
        <v>3417</v>
      </c>
      <c r="B3413">
        <v>0.99999676499088797</v>
      </c>
      <c r="C3413">
        <v>1.0258241015834899</v>
      </c>
      <c r="D3413">
        <v>1.05296533359477</v>
      </c>
      <c r="E3413">
        <v>1.02272268914374</v>
      </c>
      <c r="F3413">
        <v>0.34326191016931401</v>
      </c>
      <c r="G3413">
        <v>0.19304901705533101</v>
      </c>
      <c r="H3413">
        <v>8.6147977839248505E-2</v>
      </c>
      <c r="I3413">
        <v>8.5621408530248896E-2</v>
      </c>
      <c r="J3413">
        <v>7.9157122561564305E-2</v>
      </c>
      <c r="K3413">
        <v>8.1721207184247205E-2</v>
      </c>
      <c r="L3413">
        <v>5176.0988946293101</v>
      </c>
      <c r="M3413">
        <v>98.304970986142095</v>
      </c>
      <c r="N3413">
        <v>52.779914260989798</v>
      </c>
      <c r="O3413">
        <v>52.631705822711801</v>
      </c>
      <c r="P3413">
        <v>-0.41796146593214401</v>
      </c>
      <c r="Q3413">
        <v>0.104907035424988</v>
      </c>
      <c r="R3413">
        <v>0.99288135103627895</v>
      </c>
      <c r="S3413" t="s">
        <v>10416</v>
      </c>
      <c r="T3413" t="s">
        <v>14004</v>
      </c>
      <c r="U3413" t="s">
        <v>14004</v>
      </c>
      <c r="V3413" t="s">
        <v>14004</v>
      </c>
      <c r="W3413" t="s">
        <v>17373</v>
      </c>
      <c r="X3413">
        <v>16</v>
      </c>
      <c r="Y3413" t="s">
        <v>24228</v>
      </c>
      <c r="Z3413" t="s">
        <v>31123</v>
      </c>
      <c r="AA3413">
        <v>0.48297733406924209</v>
      </c>
      <c r="AB3413" t="str">
        <f>HYPERLINK("Melting_Curves/meltCurve_Q12907_LMAN2.pdf", "Melting_Curves/meltCurve_Q12907_LMAN2.pdf")</f>
        <v>Melting_Curves/meltCurve_Q12907_LMAN2.pdf</v>
      </c>
    </row>
    <row r="3414" spans="1:28" x14ac:dyDescent="0.25">
      <c r="A3414" t="s">
        <v>3418</v>
      </c>
      <c r="B3414">
        <v>0.99999676499088797</v>
      </c>
      <c r="C3414">
        <v>1.21246341110124</v>
      </c>
      <c r="D3414">
        <v>1.1345769265310699</v>
      </c>
      <c r="E3414">
        <v>1.0191668625405099</v>
      </c>
      <c r="F3414">
        <v>0.31040020989282702</v>
      </c>
      <c r="G3414">
        <v>0.206735365192698</v>
      </c>
      <c r="H3414">
        <v>8.8481199584957301E-2</v>
      </c>
      <c r="I3414">
        <v>0.105698379533753</v>
      </c>
      <c r="J3414">
        <v>0.14748797074728101</v>
      </c>
      <c r="K3414">
        <v>0.109903845272499</v>
      </c>
      <c r="L3414">
        <v>8490.5255051120403</v>
      </c>
      <c r="M3414">
        <v>160.94644919002599</v>
      </c>
      <c r="N3414">
        <v>52.8541003748864</v>
      </c>
      <c r="O3414">
        <v>52.745585892852702</v>
      </c>
      <c r="P3414">
        <v>-0.66240871687212899</v>
      </c>
      <c r="Q3414">
        <v>0.13165811986083001</v>
      </c>
      <c r="R3414">
        <v>0.96614214442823698</v>
      </c>
      <c r="S3414" t="s">
        <v>10417</v>
      </c>
      <c r="T3414" t="s">
        <v>14004</v>
      </c>
      <c r="U3414" t="s">
        <v>14004</v>
      </c>
      <c r="V3414" t="s">
        <v>14004</v>
      </c>
      <c r="W3414" t="s">
        <v>17374</v>
      </c>
      <c r="X3414">
        <v>5</v>
      </c>
      <c r="Y3414" t="s">
        <v>24229</v>
      </c>
      <c r="Z3414" t="s">
        <v>31124</v>
      </c>
      <c r="AA3414">
        <v>0.5010054097809874</v>
      </c>
      <c r="AB3414" t="str">
        <f>HYPERLINK("Melting_Curves/meltCurve_Q12912_2_LRMP.pdf", "Melting_Curves/meltCurve_Q12912_2_LRMP.pdf")</f>
        <v>Melting_Curves/meltCurve_Q12912_2_LRMP.pdf</v>
      </c>
    </row>
    <row r="3415" spans="1:28" x14ac:dyDescent="0.25">
      <c r="A3415" t="s">
        <v>3419</v>
      </c>
      <c r="B3415">
        <v>0.99999676499088797</v>
      </c>
      <c r="C3415">
        <v>0.949391518220561</v>
      </c>
      <c r="D3415">
        <v>1.00160728041783</v>
      </c>
      <c r="E3415">
        <v>0.98754414075327801</v>
      </c>
      <c r="F3415">
        <v>0.49184489742753401</v>
      </c>
      <c r="G3415">
        <v>0.198783828083794</v>
      </c>
      <c r="H3415">
        <v>9.1692966582790206E-2</v>
      </c>
      <c r="I3415">
        <v>0.108949559127546</v>
      </c>
      <c r="J3415">
        <v>9.6865423231225101E-2</v>
      </c>
      <c r="K3415">
        <v>8.5676171182466898E-2</v>
      </c>
      <c r="L3415">
        <v>2215.9977882447702</v>
      </c>
      <c r="M3415">
        <v>41.844737135403598</v>
      </c>
      <c r="N3415">
        <v>53.252679285184698</v>
      </c>
      <c r="O3415">
        <v>52.8371228464407</v>
      </c>
      <c r="P3415">
        <v>-0.17750429696186601</v>
      </c>
      <c r="Q3415">
        <v>0.103467033830052</v>
      </c>
      <c r="R3415">
        <v>0.99587192630967003</v>
      </c>
      <c r="S3415" t="s">
        <v>10418</v>
      </c>
      <c r="T3415" t="s">
        <v>14004</v>
      </c>
      <c r="U3415" t="s">
        <v>14004</v>
      </c>
      <c r="V3415" t="s">
        <v>14004</v>
      </c>
      <c r="W3415" t="s">
        <v>17375</v>
      </c>
      <c r="X3415">
        <v>7</v>
      </c>
      <c r="Y3415" t="s">
        <v>24230</v>
      </c>
      <c r="Z3415" t="s">
        <v>31125</v>
      </c>
      <c r="AA3415">
        <v>0.49369300123606208</v>
      </c>
      <c r="AB3415" t="str">
        <f>HYPERLINK("Melting_Curves/meltCurve_Q12933_3_TRAF2.pdf", "Melting_Curves/meltCurve_Q12933_3_TRAF2.pdf")</f>
        <v>Melting_Curves/meltCurve_Q12933_3_TRAF2.pdf</v>
      </c>
    </row>
    <row r="3416" spans="1:28" x14ac:dyDescent="0.25">
      <c r="A3416" t="s">
        <v>3420</v>
      </c>
      <c r="B3416">
        <v>0.99999676499088797</v>
      </c>
      <c r="C3416">
        <v>1.0816911877973401</v>
      </c>
      <c r="D3416">
        <v>1.68924568131564</v>
      </c>
      <c r="E3416">
        <v>1.42824917762959</v>
      </c>
      <c r="F3416">
        <v>0.596137897867134</v>
      </c>
      <c r="G3416">
        <v>1.0848631433818501</v>
      </c>
      <c r="H3416">
        <v>0.32928796466709198</v>
      </c>
      <c r="I3416">
        <v>0.172824379568463</v>
      </c>
      <c r="J3416">
        <v>0.20600638177475999</v>
      </c>
      <c r="K3416">
        <v>0.10244067448500201</v>
      </c>
      <c r="L3416">
        <v>14837.43214803</v>
      </c>
      <c r="M3416">
        <v>245.41597056727099</v>
      </c>
      <c r="N3416">
        <v>60.553769426860001</v>
      </c>
      <c r="O3416">
        <v>60.454284274113398</v>
      </c>
      <c r="P3416">
        <v>-0.8520711154185</v>
      </c>
      <c r="Q3416">
        <v>0.16042384269315299</v>
      </c>
      <c r="R3416">
        <v>0.70719097130105102</v>
      </c>
      <c r="S3416" t="s">
        <v>10419</v>
      </c>
      <c r="T3416" t="s">
        <v>14004</v>
      </c>
      <c r="U3416" t="s">
        <v>14004</v>
      </c>
      <c r="V3416" t="s">
        <v>14004</v>
      </c>
      <c r="W3416" t="s">
        <v>17376</v>
      </c>
      <c r="X3416">
        <v>2</v>
      </c>
      <c r="Y3416" t="s">
        <v>24231</v>
      </c>
      <c r="Z3416" t="s">
        <v>31126</v>
      </c>
      <c r="AA3416">
        <v>0.73305962186517049</v>
      </c>
      <c r="AB3416" t="str">
        <f>HYPERLINK("Melting_Curves/meltCurve_Q12955_ANK3.pdf", "Melting_Curves/meltCurve_Q12955_ANK3.pdf")</f>
        <v>Melting_Curves/meltCurve_Q12955_ANK3.pdf</v>
      </c>
    </row>
    <row r="3417" spans="1:28" x14ac:dyDescent="0.25">
      <c r="A3417" t="s">
        <v>3421</v>
      </c>
      <c r="B3417">
        <v>0.99999676499088797</v>
      </c>
      <c r="C3417">
        <v>0.91829544722232104</v>
      </c>
      <c r="D3417">
        <v>0.80718092193910096</v>
      </c>
      <c r="E3417">
        <v>0.46775135438108401</v>
      </c>
      <c r="F3417">
        <v>0.229055969197449</v>
      </c>
      <c r="G3417">
        <v>0.15289657880354199</v>
      </c>
      <c r="H3417">
        <v>8.3953386338389294E-2</v>
      </c>
      <c r="I3417">
        <v>7.1740200338386406E-2</v>
      </c>
      <c r="J3417">
        <v>6.2358372819053202E-2</v>
      </c>
      <c r="K3417">
        <v>5.31011797905784E-2</v>
      </c>
      <c r="L3417">
        <v>916.452811853649</v>
      </c>
      <c r="M3417">
        <v>18.6925410400749</v>
      </c>
      <c r="N3417">
        <v>49.365162096412803</v>
      </c>
      <c r="O3417">
        <v>48.476946299086897</v>
      </c>
      <c r="P3417">
        <v>-9.0621621632995905E-2</v>
      </c>
      <c r="Q3417">
        <v>5.9973149319182698E-2</v>
      </c>
      <c r="R3417">
        <v>0.99852388341716003</v>
      </c>
      <c r="S3417" t="s">
        <v>10420</v>
      </c>
      <c r="T3417" t="s">
        <v>14004</v>
      </c>
      <c r="U3417" t="s">
        <v>14004</v>
      </c>
      <c r="V3417" t="s">
        <v>14004</v>
      </c>
      <c r="W3417" t="s">
        <v>17377</v>
      </c>
      <c r="X3417">
        <v>16</v>
      </c>
      <c r="Y3417" t="s">
        <v>24232</v>
      </c>
      <c r="Z3417" t="s">
        <v>31127</v>
      </c>
      <c r="AA3417">
        <v>0.357940305927961</v>
      </c>
      <c r="AB3417" t="str">
        <f>HYPERLINK("Melting_Curves/meltCurve_Q12959_5_DLG1.pdf", "Melting_Curves/meltCurve_Q12959_5_DLG1.pdf")</f>
        <v>Melting_Curves/meltCurve_Q12959_5_DLG1.pdf</v>
      </c>
    </row>
    <row r="3418" spans="1:28" x14ac:dyDescent="0.25">
      <c r="A3418" t="s">
        <v>3422</v>
      </c>
      <c r="B3418">
        <v>0.99999676499088797</v>
      </c>
      <c r="C3418">
        <v>1.0723943786877099</v>
      </c>
      <c r="D3418">
        <v>0.99101749008978002</v>
      </c>
      <c r="E3418">
        <v>0.97617778673848299</v>
      </c>
      <c r="F3418">
        <v>0.92629672263837903</v>
      </c>
      <c r="G3418">
        <v>0.66960923305811104</v>
      </c>
      <c r="H3418">
        <v>0.390462434309715</v>
      </c>
      <c r="I3418">
        <v>0.34210193961274998</v>
      </c>
      <c r="J3418">
        <v>0.29205844311115498</v>
      </c>
      <c r="K3418">
        <v>0.28621607352282602</v>
      </c>
      <c r="L3418">
        <v>1604.5624581903401</v>
      </c>
      <c r="M3418">
        <v>28.100142403914202</v>
      </c>
      <c r="N3418">
        <v>58.906882166282898</v>
      </c>
      <c r="O3418">
        <v>56.8147346292062</v>
      </c>
      <c r="P3418">
        <v>-8.7955758690242303E-2</v>
      </c>
      <c r="Q3418">
        <v>0.28866683105512497</v>
      </c>
      <c r="R3418">
        <v>0.99389350280689703</v>
      </c>
      <c r="S3418" t="s">
        <v>10421</v>
      </c>
      <c r="T3418" t="s">
        <v>14004</v>
      </c>
      <c r="U3418" t="s">
        <v>14004</v>
      </c>
      <c r="V3418" t="s">
        <v>14004</v>
      </c>
      <c r="W3418" t="s">
        <v>17378</v>
      </c>
      <c r="X3418">
        <v>5</v>
      </c>
      <c r="Y3418" t="s">
        <v>24233</v>
      </c>
      <c r="Z3418" t="s">
        <v>31128</v>
      </c>
      <c r="AA3418">
        <v>0.69945971721992728</v>
      </c>
      <c r="AB3418" t="str">
        <f>HYPERLINK("Melting_Curves/meltCurve_Q12962_TAF10.pdf", "Melting_Curves/meltCurve_Q12962_TAF10.pdf")</f>
        <v>Melting_Curves/meltCurve_Q12962_TAF10.pdf</v>
      </c>
    </row>
    <row r="3419" spans="1:28" x14ac:dyDescent="0.25">
      <c r="A3419" t="s">
        <v>3423</v>
      </c>
      <c r="B3419">
        <v>0.99999676499088797</v>
      </c>
      <c r="C3419">
        <v>0.96676970688219699</v>
      </c>
      <c r="D3419">
        <v>0.94234175489983296</v>
      </c>
      <c r="E3419">
        <v>0.83358915182671101</v>
      </c>
      <c r="F3419">
        <v>0.44230917989743102</v>
      </c>
      <c r="G3419">
        <v>0.255540448820959</v>
      </c>
      <c r="H3419">
        <v>0.123247026047833</v>
      </c>
      <c r="I3419">
        <v>0.123091183818665</v>
      </c>
      <c r="J3419">
        <v>0.103598556867162</v>
      </c>
      <c r="K3419">
        <v>0.101466042592008</v>
      </c>
      <c r="L3419">
        <v>1216.6668660469099</v>
      </c>
      <c r="M3419">
        <v>23.2388335174623</v>
      </c>
      <c r="N3419">
        <v>52.876308885319503</v>
      </c>
      <c r="O3419">
        <v>51.971827220679003</v>
      </c>
      <c r="P3419">
        <v>-0.100341162214239</v>
      </c>
      <c r="Q3419">
        <v>0.10239537672576</v>
      </c>
      <c r="R3419">
        <v>0.99734433777426101</v>
      </c>
      <c r="S3419" t="s">
        <v>10422</v>
      </c>
      <c r="T3419" t="s">
        <v>14004</v>
      </c>
      <c r="U3419" t="s">
        <v>14004</v>
      </c>
      <c r="V3419" t="s">
        <v>14004</v>
      </c>
      <c r="W3419" t="s">
        <v>17379</v>
      </c>
      <c r="X3419">
        <v>14</v>
      </c>
      <c r="Y3419" t="s">
        <v>24234</v>
      </c>
      <c r="Z3419" t="s">
        <v>31129</v>
      </c>
      <c r="AA3419">
        <v>0.48149442600328313</v>
      </c>
      <c r="AB3419" t="str">
        <f>HYPERLINK("Melting_Curves/meltCurve_Q12972_PPP1R8.pdf", "Melting_Curves/meltCurve_Q12972_PPP1R8.pdf")</f>
        <v>Melting_Curves/meltCurve_Q12972_PPP1R8.pdf</v>
      </c>
    </row>
    <row r="3420" spans="1:28" x14ac:dyDescent="0.25">
      <c r="A3420" t="s">
        <v>3424</v>
      </c>
      <c r="B3420">
        <v>0.99999676499088797</v>
      </c>
      <c r="C3420">
        <v>0.90387504379588102</v>
      </c>
      <c r="D3420">
        <v>0.98734885076413603</v>
      </c>
      <c r="E3420">
        <v>1.0729636301621299</v>
      </c>
      <c r="F3420">
        <v>0.91310646045769395</v>
      </c>
      <c r="G3420">
        <v>0.79513374022400896</v>
      </c>
      <c r="H3420">
        <v>0.52793936329578495</v>
      </c>
      <c r="I3420">
        <v>0.47777005838626402</v>
      </c>
      <c r="J3420">
        <v>0.30842869056997002</v>
      </c>
      <c r="K3420">
        <v>0.53711499400934404</v>
      </c>
      <c r="L3420">
        <v>1700.35405698861</v>
      </c>
      <c r="M3420">
        <v>29.4582644544594</v>
      </c>
      <c r="N3420">
        <v>61.749832910074502</v>
      </c>
      <c r="O3420">
        <v>57.4567501616878</v>
      </c>
      <c r="P3420">
        <v>-7.3464528778467805E-2</v>
      </c>
      <c r="Q3420">
        <v>0.42684968056260802</v>
      </c>
      <c r="R3420">
        <v>0.92850958839481701</v>
      </c>
      <c r="S3420" t="s">
        <v>10423</v>
      </c>
      <c r="T3420" t="s">
        <v>14004</v>
      </c>
      <c r="U3420" t="s">
        <v>14004</v>
      </c>
      <c r="V3420" t="s">
        <v>14004</v>
      </c>
      <c r="W3420" t="s">
        <v>17380</v>
      </c>
      <c r="X3420">
        <v>5</v>
      </c>
      <c r="Y3420" t="s">
        <v>24235</v>
      </c>
      <c r="Z3420" t="s">
        <v>31130</v>
      </c>
      <c r="AA3420">
        <v>0.76931270865773393</v>
      </c>
      <c r="AB3420" t="str">
        <f>HYPERLINK("Melting_Curves/meltCurve_Q12974_PTP4A2.pdf", "Melting_Curves/meltCurve_Q12974_PTP4A2.pdf")</f>
        <v>Melting_Curves/meltCurve_Q12974_PTP4A2.pdf</v>
      </c>
    </row>
    <row r="3421" spans="1:28" x14ac:dyDescent="0.25">
      <c r="A3421" t="s">
        <v>3425</v>
      </c>
      <c r="B3421">
        <v>0.99999676499088797</v>
      </c>
      <c r="C3421">
        <v>0.86934109378247404</v>
      </c>
      <c r="D3421">
        <v>0.532650655226933</v>
      </c>
      <c r="E3421">
        <v>0.27962758606002602</v>
      </c>
      <c r="F3421">
        <v>0.215595847692126</v>
      </c>
      <c r="G3421">
        <v>0.207346525329032</v>
      </c>
      <c r="H3421">
        <v>0.104219605820698</v>
      </c>
      <c r="I3421">
        <v>9.2191110309932003E-2</v>
      </c>
      <c r="J3421">
        <v>9.3441946328896797E-2</v>
      </c>
      <c r="K3421">
        <v>8.9337511285808593E-2</v>
      </c>
      <c r="L3421">
        <v>950.57233145538601</v>
      </c>
      <c r="M3421">
        <v>20.6283075043461</v>
      </c>
      <c r="N3421">
        <v>46.6861565694783</v>
      </c>
      <c r="O3421">
        <v>45.6544640679883</v>
      </c>
      <c r="P3421">
        <v>-9.9709407604624697E-2</v>
      </c>
      <c r="Q3421">
        <v>0.117319996198499</v>
      </c>
      <c r="R3421">
        <v>0.98721669527787903</v>
      </c>
      <c r="S3421" t="s">
        <v>10424</v>
      </c>
      <c r="T3421" t="s">
        <v>14004</v>
      </c>
      <c r="U3421" t="s">
        <v>14004</v>
      </c>
      <c r="V3421" t="s">
        <v>14004</v>
      </c>
      <c r="W3421" t="s">
        <v>17381</v>
      </c>
      <c r="X3421">
        <v>11</v>
      </c>
      <c r="Y3421" t="s">
        <v>24236</v>
      </c>
      <c r="Z3421" t="s">
        <v>31131</v>
      </c>
      <c r="AA3421">
        <v>0.30887973957028969</v>
      </c>
      <c r="AB3421" t="str">
        <f>HYPERLINK("Melting_Curves/meltCurve_Q12979_4_ABR.pdf", "Melting_Curves/meltCurve_Q12979_4_ABR.pdf")</f>
        <v>Melting_Curves/meltCurve_Q12979_4_ABR.pdf</v>
      </c>
    </row>
    <row r="3422" spans="1:28" x14ac:dyDescent="0.25">
      <c r="A3422" t="s">
        <v>3426</v>
      </c>
      <c r="B3422">
        <v>0.99999676499088797</v>
      </c>
      <c r="C3422">
        <v>0.95541937319525905</v>
      </c>
      <c r="D3422">
        <v>0.96059898246238296</v>
      </c>
      <c r="E3422">
        <v>0.94306472719460499</v>
      </c>
      <c r="F3422">
        <v>0.47167202465680702</v>
      </c>
      <c r="G3422">
        <v>0.198927397110262</v>
      </c>
      <c r="H3422">
        <v>8.1975752045275005E-2</v>
      </c>
      <c r="I3422">
        <v>6.2585989622866198E-2</v>
      </c>
      <c r="J3422">
        <v>4.0454783961114203E-2</v>
      </c>
      <c r="K3422">
        <v>4.1079598259594202E-2</v>
      </c>
      <c r="L3422">
        <v>1641.46281842746</v>
      </c>
      <c r="M3422">
        <v>30.962984195812702</v>
      </c>
      <c r="N3422">
        <v>53.216623262235203</v>
      </c>
      <c r="O3422">
        <v>52.794068610280398</v>
      </c>
      <c r="P3422">
        <v>-0.13845876803521801</v>
      </c>
      <c r="Q3422">
        <v>5.5677915087492903E-2</v>
      </c>
      <c r="R3422">
        <v>0.99560075938121895</v>
      </c>
      <c r="S3422" t="s">
        <v>10425</v>
      </c>
      <c r="T3422" t="s">
        <v>14004</v>
      </c>
      <c r="U3422" t="s">
        <v>14004</v>
      </c>
      <c r="V3422" t="s">
        <v>14004</v>
      </c>
      <c r="W3422" t="s">
        <v>17382</v>
      </c>
      <c r="X3422">
        <v>6</v>
      </c>
      <c r="Y3422" t="s">
        <v>24237</v>
      </c>
      <c r="Z3422" t="s">
        <v>31132</v>
      </c>
      <c r="AA3422">
        <v>0.47107255811861037</v>
      </c>
      <c r="AB3422" t="str">
        <f>HYPERLINK("Melting_Curves/meltCurve_Q12981_BNIP1.pdf", "Melting_Curves/meltCurve_Q12981_BNIP1.pdf")</f>
        <v>Melting_Curves/meltCurve_Q12981_BNIP1.pdf</v>
      </c>
    </row>
    <row r="3423" spans="1:28" x14ac:dyDescent="0.25">
      <c r="A3423" t="s">
        <v>3427</v>
      </c>
      <c r="B3423">
        <v>0.99999676499088797</v>
      </c>
      <c r="C3423">
        <v>1.0194884157653299</v>
      </c>
      <c r="D3423">
        <v>0.95924033736320702</v>
      </c>
      <c r="E3423">
        <v>0.72673445095719802</v>
      </c>
      <c r="F3423">
        <v>0.29568589918622201</v>
      </c>
      <c r="G3423">
        <v>0.170521834573653</v>
      </c>
      <c r="H3423">
        <v>7.1219330697240901E-2</v>
      </c>
      <c r="I3423">
        <v>4.4370043527062697E-2</v>
      </c>
      <c r="J3423">
        <v>4.0488706583717102E-2</v>
      </c>
      <c r="K3423">
        <v>9.1685520459294706E-2</v>
      </c>
      <c r="L3423">
        <v>1362.439697822</v>
      </c>
      <c r="M3423">
        <v>26.609615707486402</v>
      </c>
      <c r="N3423">
        <v>51.464824051565898</v>
      </c>
      <c r="O3423">
        <v>50.914481031076299</v>
      </c>
      <c r="P3423">
        <v>-0.122330108815469</v>
      </c>
      <c r="Q3423">
        <v>6.3750688087466006E-2</v>
      </c>
      <c r="R3423">
        <v>0.997053168918133</v>
      </c>
      <c r="S3423" t="s">
        <v>10426</v>
      </c>
      <c r="T3423" t="s">
        <v>14004</v>
      </c>
      <c r="U3423" t="s">
        <v>14004</v>
      </c>
      <c r="V3423" t="s">
        <v>14004</v>
      </c>
      <c r="W3423" t="s">
        <v>17383</v>
      </c>
      <c r="X3423">
        <v>7</v>
      </c>
      <c r="Y3423" t="s">
        <v>24238</v>
      </c>
      <c r="Z3423" t="s">
        <v>31133</v>
      </c>
      <c r="AA3423">
        <v>0.42081278066401268</v>
      </c>
      <c r="AB3423" t="str">
        <f>HYPERLINK("Melting_Curves/meltCurve_Q12986_NFX1.pdf", "Melting_Curves/meltCurve_Q12986_NFX1.pdf")</f>
        <v>Melting_Curves/meltCurve_Q12986_NFX1.pdf</v>
      </c>
    </row>
    <row r="3424" spans="1:28" x14ac:dyDescent="0.25">
      <c r="A3424" t="s">
        <v>3428</v>
      </c>
      <c r="B3424">
        <v>0.99999676499088797</v>
      </c>
      <c r="C3424">
        <v>0.98451884933568801</v>
      </c>
      <c r="D3424">
        <v>0.94407953519492604</v>
      </c>
      <c r="E3424">
        <v>0.90322026399842703</v>
      </c>
      <c r="F3424">
        <v>0.35505459871410999</v>
      </c>
      <c r="G3424">
        <v>0.20742956178296501</v>
      </c>
      <c r="H3424">
        <v>0.10182172411915</v>
      </c>
      <c r="I3424">
        <v>0.105280104914961</v>
      </c>
      <c r="J3424">
        <v>9.4396238089526394E-2</v>
      </c>
      <c r="K3424">
        <v>8.4977050340771201E-2</v>
      </c>
      <c r="L3424">
        <v>1968.0158102032001</v>
      </c>
      <c r="M3424">
        <v>37.824305949028599</v>
      </c>
      <c r="N3424">
        <v>52.365658568980798</v>
      </c>
      <c r="O3424">
        <v>51.885646088383801</v>
      </c>
      <c r="P3424">
        <v>-0.16265345702193801</v>
      </c>
      <c r="Q3424">
        <v>0.10751993940612301</v>
      </c>
      <c r="R3424">
        <v>0.99454062206849603</v>
      </c>
      <c r="S3424" t="s">
        <v>10427</v>
      </c>
      <c r="T3424" t="s">
        <v>14004</v>
      </c>
      <c r="U3424" t="s">
        <v>14004</v>
      </c>
      <c r="V3424" t="s">
        <v>14004</v>
      </c>
      <c r="W3424" t="s">
        <v>17384</v>
      </c>
      <c r="X3424">
        <v>22</v>
      </c>
      <c r="Y3424" t="s">
        <v>24239</v>
      </c>
      <c r="Z3424" t="s">
        <v>31134</v>
      </c>
      <c r="AA3424">
        <v>0.46900787553307749</v>
      </c>
      <c r="AB3424" t="str">
        <f>HYPERLINK("Melting_Curves/meltCurve_Q12996_CSTF3.pdf", "Melting_Curves/meltCurve_Q12996_CSTF3.pdf")</f>
        <v>Melting_Curves/meltCurve_Q12996_CSTF3.pdf</v>
      </c>
    </row>
    <row r="3425" spans="1:28" x14ac:dyDescent="0.25">
      <c r="A3425" t="s">
        <v>3429</v>
      </c>
      <c r="B3425">
        <v>0.99999676499088797</v>
      </c>
      <c r="C3425">
        <v>1.0114694426319399</v>
      </c>
      <c r="D3425">
        <v>1.02809519814136</v>
      </c>
      <c r="E3425">
        <v>0.92543101362166902</v>
      </c>
      <c r="F3425">
        <v>0.84587460923762003</v>
      </c>
      <c r="G3425">
        <v>0.42061344349172702</v>
      </c>
      <c r="H3425">
        <v>8.6094816136581695E-2</v>
      </c>
      <c r="I3425">
        <v>6.9765248307924202E-2</v>
      </c>
      <c r="J3425">
        <v>6.2131134402582402E-2</v>
      </c>
      <c r="K3425">
        <v>4.8894243978587E-2</v>
      </c>
      <c r="L3425">
        <v>1765.6575846753501</v>
      </c>
      <c r="M3425">
        <v>31.5633346233158</v>
      </c>
      <c r="N3425">
        <v>56.107254378333501</v>
      </c>
      <c r="O3425">
        <v>55.7170345602499</v>
      </c>
      <c r="P3425">
        <v>-0.135270616419673</v>
      </c>
      <c r="Q3425">
        <v>4.4861693890164402E-2</v>
      </c>
      <c r="R3425">
        <v>0.99696021892323206</v>
      </c>
      <c r="S3425" t="s">
        <v>10428</v>
      </c>
      <c r="T3425" t="s">
        <v>14004</v>
      </c>
      <c r="U3425" t="s">
        <v>14004</v>
      </c>
      <c r="V3425" t="s">
        <v>14004</v>
      </c>
      <c r="W3425" t="s">
        <v>17385</v>
      </c>
      <c r="X3425">
        <v>18</v>
      </c>
      <c r="Y3425" t="s">
        <v>24240</v>
      </c>
      <c r="Z3425" t="s">
        <v>31135</v>
      </c>
      <c r="AA3425">
        <v>0.55815906621380063</v>
      </c>
      <c r="AB3425" t="str">
        <f>HYPERLINK("Melting_Curves/meltCurve_Q13011_ECH1.pdf", "Melting_Curves/meltCurve_Q13011_ECH1.pdf")</f>
        <v>Melting_Curves/meltCurve_Q13011_ECH1.pdf</v>
      </c>
    </row>
    <row r="3426" spans="1:28" x14ac:dyDescent="0.25">
      <c r="A3426" t="s">
        <v>3430</v>
      </c>
      <c r="B3426">
        <v>0.99999676499088797</v>
      </c>
      <c r="C3426">
        <v>1.1259994136459099</v>
      </c>
      <c r="D3426">
        <v>0.94504286936013104</v>
      </c>
      <c r="E3426">
        <v>0.70816404639589803</v>
      </c>
      <c r="F3426">
        <v>0.29879125374599103</v>
      </c>
      <c r="G3426">
        <v>0.15373066416504799</v>
      </c>
      <c r="H3426">
        <v>9.8209688294803907E-2</v>
      </c>
      <c r="I3426">
        <v>0.113266962921529</v>
      </c>
      <c r="J3426">
        <v>0.12932067858020199</v>
      </c>
      <c r="K3426">
        <v>0.21850404019092501</v>
      </c>
      <c r="L3426">
        <v>1618.2876159683501</v>
      </c>
      <c r="M3426">
        <v>31.950723442351102</v>
      </c>
      <c r="N3426">
        <v>51.164339681737701</v>
      </c>
      <c r="O3426">
        <v>50.4523101260855</v>
      </c>
      <c r="P3426">
        <v>-0.136556920383098</v>
      </c>
      <c r="Q3426">
        <v>0.137474679849523</v>
      </c>
      <c r="R3426">
        <v>0.98318032783577003</v>
      </c>
      <c r="S3426" t="s">
        <v>10429</v>
      </c>
      <c r="T3426" t="s">
        <v>14004</v>
      </c>
      <c r="U3426" t="s">
        <v>14004</v>
      </c>
      <c r="V3426" t="s">
        <v>14004</v>
      </c>
      <c r="W3426" t="s">
        <v>17386</v>
      </c>
      <c r="X3426">
        <v>2</v>
      </c>
      <c r="Y3426" t="s">
        <v>24241</v>
      </c>
      <c r="Z3426" t="s">
        <v>31136</v>
      </c>
      <c r="AA3426">
        <v>0.44840629735767001</v>
      </c>
      <c r="AB3426" t="str">
        <f>HYPERLINK("Melting_Curves/meltCurve_Q13015_MLLT11.pdf", "Melting_Curves/meltCurve_Q13015_MLLT11.pdf")</f>
        <v>Melting_Curves/meltCurve_Q13015_MLLT11.pdf</v>
      </c>
    </row>
    <row r="3427" spans="1:28" x14ac:dyDescent="0.25">
      <c r="A3427" t="s">
        <v>3431</v>
      </c>
      <c r="B3427">
        <v>0.99999676499088797</v>
      </c>
      <c r="C3427">
        <v>1.0592545150132899</v>
      </c>
      <c r="D3427">
        <v>0.87075248485196699</v>
      </c>
      <c r="E3427">
        <v>0.29234941589566299</v>
      </c>
      <c r="F3427">
        <v>0.370452567666122</v>
      </c>
      <c r="G3427">
        <v>0.14346164082596</v>
      </c>
      <c r="H3427">
        <v>6.6546400622213397E-2</v>
      </c>
      <c r="I3427">
        <v>5.3779813509412903E-2</v>
      </c>
      <c r="J3427">
        <v>6.5427777758546399E-2</v>
      </c>
      <c r="K3427">
        <v>3.73687546412785E-2</v>
      </c>
      <c r="L3427">
        <v>1233.3417660105599</v>
      </c>
      <c r="M3427">
        <v>25.435118502590001</v>
      </c>
      <c r="N3427">
        <v>48.867250584363703</v>
      </c>
      <c r="O3427">
        <v>48.192941389985997</v>
      </c>
      <c r="P3427">
        <v>-0.120176176280018</v>
      </c>
      <c r="Q3427">
        <v>8.9200450676649098E-2</v>
      </c>
      <c r="R3427">
        <v>0.95436624406469095</v>
      </c>
      <c r="S3427" t="s">
        <v>10430</v>
      </c>
      <c r="T3427" t="s">
        <v>14004</v>
      </c>
      <c r="U3427" t="s">
        <v>14004</v>
      </c>
      <c r="V3427" t="s">
        <v>14004</v>
      </c>
      <c r="W3427" t="s">
        <v>17387</v>
      </c>
      <c r="X3427">
        <v>7</v>
      </c>
      <c r="Y3427" t="s">
        <v>24242</v>
      </c>
      <c r="Z3427" t="s">
        <v>31137</v>
      </c>
      <c r="AA3427">
        <v>0.35471464886618348</v>
      </c>
      <c r="AB3427" t="str">
        <f>HYPERLINK("Melting_Curves/meltCurve_Q13017_2_ARHGAP5.pdf", "Melting_Curves/meltCurve_Q13017_2_ARHGAP5.pdf")</f>
        <v>Melting_Curves/meltCurve_Q13017_2_ARHGAP5.pdf</v>
      </c>
    </row>
    <row r="3428" spans="1:28" x14ac:dyDescent="0.25">
      <c r="A3428" t="s">
        <v>3432</v>
      </c>
      <c r="B3428">
        <v>0.99999676499088797</v>
      </c>
      <c r="C3428">
        <v>0.98173996817123299</v>
      </c>
      <c r="D3428">
        <v>1.1190768671259499</v>
      </c>
      <c r="E3428">
        <v>1.1706481287789099</v>
      </c>
      <c r="F3428">
        <v>1.0097721975609999</v>
      </c>
      <c r="G3428">
        <v>0.51062855698516996</v>
      </c>
      <c r="H3428">
        <v>0.23211298580494899</v>
      </c>
      <c r="I3428">
        <v>0.14783448002861599</v>
      </c>
      <c r="J3428">
        <v>0.183552879356915</v>
      </c>
      <c r="K3428">
        <v>0.13875421421119499</v>
      </c>
      <c r="L3428">
        <v>3664.2434374848799</v>
      </c>
      <c r="M3428">
        <v>64.862575438302798</v>
      </c>
      <c r="N3428">
        <v>56.864182762632502</v>
      </c>
      <c r="O3428">
        <v>56.438787724513602</v>
      </c>
      <c r="P3428">
        <v>-0.23766428732306699</v>
      </c>
      <c r="Q3428">
        <v>0.17280618985030199</v>
      </c>
      <c r="R3428">
        <v>0.97255507655790796</v>
      </c>
      <c r="S3428" t="s">
        <v>10431</v>
      </c>
      <c r="T3428" t="s">
        <v>14004</v>
      </c>
      <c r="U3428" t="s">
        <v>14004</v>
      </c>
      <c r="V3428" t="s">
        <v>14004</v>
      </c>
      <c r="W3428" t="s">
        <v>17388</v>
      </c>
      <c r="X3428">
        <v>15</v>
      </c>
      <c r="Y3428" t="s">
        <v>24243</v>
      </c>
      <c r="Z3428" t="s">
        <v>31138</v>
      </c>
      <c r="AA3428">
        <v>0.62877554714649286</v>
      </c>
      <c r="AB3428" t="str">
        <f>HYPERLINK("Melting_Curves/meltCurve_Q13033_STRN3.pdf", "Melting_Curves/meltCurve_Q13033_STRN3.pdf")</f>
        <v>Melting_Curves/meltCurve_Q13033_STRN3.pdf</v>
      </c>
    </row>
    <row r="3429" spans="1:28" x14ac:dyDescent="0.25">
      <c r="A3429" t="s">
        <v>3433</v>
      </c>
      <c r="B3429">
        <v>0.99999676499088797</v>
      </c>
      <c r="C3429">
        <v>1.2827744135575201</v>
      </c>
      <c r="D3429">
        <v>1.39416888650795</v>
      </c>
      <c r="E3429">
        <v>1.3441726537308301</v>
      </c>
      <c r="F3429">
        <v>0.99573574211795801</v>
      </c>
      <c r="G3429">
        <v>0.567449254837742</v>
      </c>
      <c r="H3429">
        <v>0.21697871851792899</v>
      </c>
      <c r="I3429">
        <v>0.16567852648034201</v>
      </c>
      <c r="J3429">
        <v>0.127518166707345</v>
      </c>
      <c r="K3429">
        <v>0.138391894347277</v>
      </c>
      <c r="L3429">
        <v>2884.1123060993</v>
      </c>
      <c r="M3429">
        <v>50.7802928464777</v>
      </c>
      <c r="N3429">
        <v>57.207442465701199</v>
      </c>
      <c r="O3429">
        <v>56.708017052499898</v>
      </c>
      <c r="P3429">
        <v>-0.18961222896216401</v>
      </c>
      <c r="Q3429">
        <v>0.15301583869225699</v>
      </c>
      <c r="R3429">
        <v>0.86208139920578097</v>
      </c>
      <c r="S3429" t="s">
        <v>10432</v>
      </c>
      <c r="T3429" t="s">
        <v>14004</v>
      </c>
      <c r="U3429" t="s">
        <v>14004</v>
      </c>
      <c r="V3429" t="s">
        <v>14004</v>
      </c>
      <c r="W3429" t="s">
        <v>17389</v>
      </c>
      <c r="X3429">
        <v>15</v>
      </c>
      <c r="Y3429" t="s">
        <v>24243</v>
      </c>
      <c r="Z3429" t="s">
        <v>31139</v>
      </c>
      <c r="AA3429">
        <v>0.62926452912655562</v>
      </c>
      <c r="AB3429" t="str">
        <f>HYPERLINK("Melting_Curves/meltCurve_Q13033_2_STRN3.pdf", "Melting_Curves/meltCurve_Q13033_2_STRN3.pdf")</f>
        <v>Melting_Curves/meltCurve_Q13033_2_STRN3.pdf</v>
      </c>
    </row>
    <row r="3430" spans="1:28" x14ac:dyDescent="0.25">
      <c r="A3430" t="s">
        <v>3434</v>
      </c>
      <c r="B3430">
        <v>0.99999676499088797</v>
      </c>
      <c r="C3430">
        <v>1.04108255893157</v>
      </c>
      <c r="D3430">
        <v>1.0199057760713099</v>
      </c>
      <c r="E3430">
        <v>1.16798283176759</v>
      </c>
      <c r="F3430">
        <v>0.80786811014428805</v>
      </c>
      <c r="G3430">
        <v>0.31727715953186097</v>
      </c>
      <c r="H3430">
        <v>0.13457603216070599</v>
      </c>
      <c r="I3430">
        <v>0.13560261219383299</v>
      </c>
      <c r="J3430">
        <v>0.13627063410706899</v>
      </c>
      <c r="K3430">
        <v>0.11661432107700501</v>
      </c>
      <c r="L3430">
        <v>2356.00996824392</v>
      </c>
      <c r="M3430">
        <v>42.857255327235897</v>
      </c>
      <c r="N3430">
        <v>55.357361318488302</v>
      </c>
      <c r="O3430">
        <v>54.854135812977297</v>
      </c>
      <c r="P3430">
        <v>-0.170211543867195</v>
      </c>
      <c r="Q3430">
        <v>0.12856833497653899</v>
      </c>
      <c r="R3430">
        <v>0.98157512367039401</v>
      </c>
      <c r="S3430" t="s">
        <v>10433</v>
      </c>
      <c r="T3430" t="s">
        <v>14004</v>
      </c>
      <c r="U3430" t="s">
        <v>14004</v>
      </c>
      <c r="V3430" t="s">
        <v>14004</v>
      </c>
      <c r="W3430" t="s">
        <v>17390</v>
      </c>
      <c r="X3430">
        <v>7</v>
      </c>
      <c r="Y3430" t="s">
        <v>24244</v>
      </c>
      <c r="Z3430" t="s">
        <v>31140</v>
      </c>
      <c r="AA3430">
        <v>0.56638770825241347</v>
      </c>
      <c r="AB3430" t="str">
        <f>HYPERLINK("Melting_Curves/meltCurve_Q13042_3_CDC16.pdf", "Melting_Curves/meltCurve_Q13042_3_CDC16.pdf")</f>
        <v>Melting_Curves/meltCurve_Q13042_3_CDC16.pdf</v>
      </c>
    </row>
    <row r="3431" spans="1:28" x14ac:dyDescent="0.25">
      <c r="A3431" t="s">
        <v>3435</v>
      </c>
      <c r="B3431">
        <v>0.99999676499088797</v>
      </c>
      <c r="C3431">
        <v>0.87269095185964496</v>
      </c>
      <c r="D3431">
        <v>0.78571747124076197</v>
      </c>
      <c r="E3431">
        <v>0.69870858202070796</v>
      </c>
      <c r="F3431">
        <v>0.43471106818668798</v>
      </c>
      <c r="G3431">
        <v>0.207077271492035</v>
      </c>
      <c r="H3431">
        <v>6.1699226862146302E-2</v>
      </c>
      <c r="I3431">
        <v>6.5238582415298896E-2</v>
      </c>
      <c r="J3431">
        <v>7.0866695840525198E-2</v>
      </c>
      <c r="K3431">
        <v>5.5122745028391401E-2</v>
      </c>
      <c r="L3431">
        <v>681.68187502521403</v>
      </c>
      <c r="M3431">
        <v>13.1827719796444</v>
      </c>
      <c r="N3431">
        <v>51.710055844159598</v>
      </c>
      <c r="O3431">
        <v>50.563582465977703</v>
      </c>
      <c r="P3431">
        <v>-6.5190088561446494E-2</v>
      </c>
      <c r="Q3431">
        <v>0</v>
      </c>
      <c r="R3431">
        <v>0.98662962104464802</v>
      </c>
      <c r="S3431" t="s">
        <v>10434</v>
      </c>
      <c r="T3431" t="s">
        <v>14004</v>
      </c>
      <c r="U3431" t="s">
        <v>14004</v>
      </c>
      <c r="V3431" t="s">
        <v>14004</v>
      </c>
      <c r="W3431" t="s">
        <v>17391</v>
      </c>
      <c r="X3431">
        <v>18</v>
      </c>
      <c r="Y3431" t="s">
        <v>24245</v>
      </c>
      <c r="Z3431" t="s">
        <v>31141</v>
      </c>
      <c r="AA3431">
        <v>0.41773585212184589</v>
      </c>
      <c r="AB3431" t="str">
        <f>HYPERLINK("Melting_Curves/meltCurve_Q13043_STK4.pdf", "Melting_Curves/meltCurve_Q13043_STK4.pdf")</f>
        <v>Melting_Curves/meltCurve_Q13043_STK4.pdf</v>
      </c>
    </row>
    <row r="3432" spans="1:28" x14ac:dyDescent="0.25">
      <c r="A3432" t="s">
        <v>3436</v>
      </c>
      <c r="B3432">
        <v>0.99999676499088797</v>
      </c>
      <c r="C3432">
        <v>1.1030717575434099</v>
      </c>
      <c r="D3432">
        <v>1.1818102152911001</v>
      </c>
      <c r="E3432">
        <v>0.26153168794357101</v>
      </c>
      <c r="F3432">
        <v>0.27236738466199001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11153.436708313</v>
      </c>
      <c r="M3432">
        <v>226.096339511286</v>
      </c>
      <c r="N3432">
        <v>49.351236611749599</v>
      </c>
      <c r="O3432">
        <v>49.3266064177066</v>
      </c>
      <c r="P3432">
        <v>-1.0938965787331201</v>
      </c>
      <c r="Q3432">
        <v>4.53945274653813E-2</v>
      </c>
      <c r="R3432">
        <v>0.95408532416843295</v>
      </c>
      <c r="S3432" t="s">
        <v>10435</v>
      </c>
      <c r="T3432" t="s">
        <v>14004</v>
      </c>
      <c r="U3432" t="s">
        <v>14004</v>
      </c>
      <c r="V3432" t="s">
        <v>14004</v>
      </c>
      <c r="W3432" t="s">
        <v>17392</v>
      </c>
      <c r="X3432">
        <v>32</v>
      </c>
      <c r="Y3432" t="s">
        <v>24246</v>
      </c>
      <c r="Z3432" t="s">
        <v>31142</v>
      </c>
      <c r="AA3432">
        <v>0.34239255330301388</v>
      </c>
      <c r="AB3432" t="str">
        <f>HYPERLINK("Melting_Curves/meltCurve_Q13045_FLII.pdf", "Melting_Curves/meltCurve_Q13045_FLII.pdf")</f>
        <v>Melting_Curves/meltCurve_Q13045_FLII.pdf</v>
      </c>
    </row>
    <row r="3433" spans="1:28" x14ac:dyDescent="0.25">
      <c r="A3433" t="s">
        <v>3437</v>
      </c>
      <c r="B3433">
        <v>0.99999676499088797</v>
      </c>
      <c r="C3433">
        <v>1.0192674242638999</v>
      </c>
      <c r="D3433">
        <v>0.92799930544092402</v>
      </c>
      <c r="E3433">
        <v>0.37790947175635697</v>
      </c>
      <c r="F3433">
        <v>0.23837274538427899</v>
      </c>
      <c r="G3433">
        <v>0.14773587902246499</v>
      </c>
      <c r="H3433">
        <v>8.1033922318514098E-2</v>
      </c>
      <c r="I3433">
        <v>7.6266817550996194E-2</v>
      </c>
      <c r="J3433">
        <v>7.2706895469842603E-2</v>
      </c>
      <c r="K3433">
        <v>6.1602562195933699E-2</v>
      </c>
      <c r="L3433">
        <v>1635.7658420748901</v>
      </c>
      <c r="M3433">
        <v>33.577473238604</v>
      </c>
      <c r="N3433">
        <v>49.037066188332403</v>
      </c>
      <c r="O3433">
        <v>48.544358203374998</v>
      </c>
      <c r="P3433">
        <v>-0.15586651699196699</v>
      </c>
      <c r="Q3433">
        <v>9.8632984376014199E-2</v>
      </c>
      <c r="R3433">
        <v>0.98929502214482401</v>
      </c>
      <c r="S3433" t="s">
        <v>10436</v>
      </c>
      <c r="T3433" t="s">
        <v>14004</v>
      </c>
      <c r="U3433" t="s">
        <v>14004</v>
      </c>
      <c r="V3433" t="s">
        <v>14004</v>
      </c>
      <c r="W3433" t="s">
        <v>17393</v>
      </c>
      <c r="X3433">
        <v>32</v>
      </c>
      <c r="Y3433" t="s">
        <v>24246</v>
      </c>
      <c r="Z3433" t="s">
        <v>31143</v>
      </c>
      <c r="AA3433">
        <v>0.3648551304018573</v>
      </c>
      <c r="AB3433" t="str">
        <f>HYPERLINK("Melting_Curves/meltCurve_Q13045_2_FLII.pdf", "Melting_Curves/meltCurve_Q13045_2_FLII.pdf")</f>
        <v>Melting_Curves/meltCurve_Q13045_2_FLII.pdf</v>
      </c>
    </row>
    <row r="3434" spans="1:28" x14ac:dyDescent="0.25">
      <c r="A3434" t="s">
        <v>3438</v>
      </c>
      <c r="B3434">
        <v>0.99999676499088797</v>
      </c>
      <c r="C3434">
        <v>1.1885998694656399</v>
      </c>
      <c r="D3434">
        <v>1.1753288684685099</v>
      </c>
      <c r="E3434">
        <v>1.30086689283475</v>
      </c>
      <c r="F3434">
        <v>0.91731350934396805</v>
      </c>
      <c r="G3434">
        <v>0.47887510794445998</v>
      </c>
      <c r="H3434">
        <v>0.16824626477871699</v>
      </c>
      <c r="I3434">
        <v>0.12009624235633901</v>
      </c>
      <c r="J3434">
        <v>0.13144120044138699</v>
      </c>
      <c r="K3434">
        <v>9.2478428792027695E-2</v>
      </c>
      <c r="L3434">
        <v>2443.9642095150998</v>
      </c>
      <c r="M3434">
        <v>43.389949520845697</v>
      </c>
      <c r="N3434">
        <v>56.6755166955977</v>
      </c>
      <c r="O3434">
        <v>56.206334656675203</v>
      </c>
      <c r="P3434">
        <v>-0.17031567966098499</v>
      </c>
      <c r="Q3434">
        <v>0.117509390613252</v>
      </c>
      <c r="R3434">
        <v>0.93069506704715599</v>
      </c>
      <c r="S3434" t="s">
        <v>10437</v>
      </c>
      <c r="T3434" t="s">
        <v>14004</v>
      </c>
      <c r="U3434" t="s">
        <v>14004</v>
      </c>
      <c r="V3434" t="s">
        <v>14004</v>
      </c>
      <c r="W3434" t="s">
        <v>17394</v>
      </c>
      <c r="X3434">
        <v>9</v>
      </c>
      <c r="Y3434" t="s">
        <v>24247</v>
      </c>
      <c r="Z3434" t="s">
        <v>31144</v>
      </c>
      <c r="AA3434">
        <v>0.60065237811721717</v>
      </c>
      <c r="AB3434" t="str">
        <f>HYPERLINK("Melting_Curves/meltCurve_Q13049_TRIM32.pdf", "Melting_Curves/meltCurve_Q13049_TRIM32.pdf")</f>
        <v>Melting_Curves/meltCurve_Q13049_TRIM32.pdf</v>
      </c>
    </row>
    <row r="3435" spans="1:28" x14ac:dyDescent="0.25">
      <c r="A3435" t="s">
        <v>3439</v>
      </c>
      <c r="B3435">
        <v>0.99999676499088797</v>
      </c>
      <c r="C3435">
        <v>1.0237572617995101</v>
      </c>
      <c r="D3435">
        <v>0.97805298265438301</v>
      </c>
      <c r="E3435">
        <v>0.74256360580613201</v>
      </c>
      <c r="F3435">
        <v>0.31371429861112499</v>
      </c>
      <c r="G3435">
        <v>0.15011594090428601</v>
      </c>
      <c r="H3435">
        <v>6.51546303756525E-2</v>
      </c>
      <c r="I3435">
        <v>5.6375657350805797E-2</v>
      </c>
      <c r="J3435">
        <v>5.1417946233138702E-2</v>
      </c>
      <c r="K3435">
        <v>4.5122046168086898E-2</v>
      </c>
      <c r="L3435">
        <v>1392.7603184540001</v>
      </c>
      <c r="M3435">
        <v>27.090846133198198</v>
      </c>
      <c r="N3435">
        <v>51.628604115770699</v>
      </c>
      <c r="O3435">
        <v>51.133063412380203</v>
      </c>
      <c r="P3435">
        <v>-0.12530007744462601</v>
      </c>
      <c r="Q3435">
        <v>5.4010649316805798E-2</v>
      </c>
      <c r="R3435">
        <v>0.99877038246319005</v>
      </c>
      <c r="S3435" t="s">
        <v>10438</v>
      </c>
      <c r="T3435" t="s">
        <v>14004</v>
      </c>
      <c r="U3435" t="s">
        <v>14004</v>
      </c>
      <c r="V3435" t="s">
        <v>14004</v>
      </c>
      <c r="W3435" t="s">
        <v>17395</v>
      </c>
      <c r="X3435">
        <v>8</v>
      </c>
      <c r="Y3435" t="s">
        <v>24248</v>
      </c>
      <c r="Z3435" t="s">
        <v>31145</v>
      </c>
      <c r="AA3435">
        <v>0.42115706634190919</v>
      </c>
      <c r="AB3435" t="str">
        <f>HYPERLINK("Melting_Curves/meltCurve_Q13057_COASY.pdf", "Melting_Curves/meltCurve_Q13057_COASY.pdf")</f>
        <v>Melting_Curves/meltCurve_Q13057_COASY.pdf</v>
      </c>
    </row>
    <row r="3436" spans="1:28" x14ac:dyDescent="0.25">
      <c r="A3436" t="s">
        <v>3440</v>
      </c>
      <c r="B3436">
        <v>0.99999676499088797</v>
      </c>
      <c r="C3436">
        <v>1.0333002247757701</v>
      </c>
      <c r="D3436">
        <v>0.80152284418772402</v>
      </c>
      <c r="E3436">
        <v>0.38038162414504301</v>
      </c>
      <c r="F3436">
        <v>0.18533140174669599</v>
      </c>
      <c r="G3436">
        <v>0.11207593549362201</v>
      </c>
      <c r="H3436">
        <v>6.5879229557058397E-2</v>
      </c>
      <c r="I3436">
        <v>7.5018486262585699E-2</v>
      </c>
      <c r="J3436">
        <v>8.1385906764240804E-2</v>
      </c>
      <c r="K3436">
        <v>6.7171708907705699E-2</v>
      </c>
      <c r="L3436">
        <v>1286.2432391100899</v>
      </c>
      <c r="M3436">
        <v>26.5964768307221</v>
      </c>
      <c r="N3436">
        <v>48.678586684223099</v>
      </c>
      <c r="O3436">
        <v>48.090517715727401</v>
      </c>
      <c r="P3436">
        <v>-0.12726458000116</v>
      </c>
      <c r="Q3436">
        <v>7.9554463908772896E-2</v>
      </c>
      <c r="R3436">
        <v>0.99595427104601097</v>
      </c>
      <c r="S3436" t="s">
        <v>10439</v>
      </c>
      <c r="T3436" t="s">
        <v>14004</v>
      </c>
      <c r="U3436" t="s">
        <v>14004</v>
      </c>
      <c r="V3436" t="s">
        <v>14004</v>
      </c>
      <c r="W3436" t="s">
        <v>17396</v>
      </c>
      <c r="X3436">
        <v>14</v>
      </c>
      <c r="Y3436" t="s">
        <v>24249</v>
      </c>
      <c r="Z3436" t="s">
        <v>31146</v>
      </c>
      <c r="AA3436">
        <v>0.34324029056672573</v>
      </c>
      <c r="AB3436" t="str">
        <f>HYPERLINK("Melting_Curves/meltCurve_Q13085_ACACA.pdf", "Melting_Curves/meltCurve_Q13085_ACACA.pdf")</f>
        <v>Melting_Curves/meltCurve_Q13085_ACACA.pdf</v>
      </c>
    </row>
    <row r="3437" spans="1:28" x14ac:dyDescent="0.25">
      <c r="A3437" t="s">
        <v>3441</v>
      </c>
      <c r="B3437">
        <v>0.99999676499088797</v>
      </c>
      <c r="C3437">
        <v>0.90878166883034694</v>
      </c>
      <c r="D3437">
        <v>0.680186885764822</v>
      </c>
      <c r="E3437">
        <v>0.31819968734388399</v>
      </c>
      <c r="F3437">
        <v>0.26655456164827501</v>
      </c>
      <c r="G3437">
        <v>0.13622512444886101</v>
      </c>
      <c r="H3437">
        <v>7.1305495957008996E-2</v>
      </c>
      <c r="I3437">
        <v>7.9661986924808303E-2</v>
      </c>
      <c r="J3437">
        <v>8.5908987369430007E-2</v>
      </c>
      <c r="K3437">
        <v>6.7844153671641996E-2</v>
      </c>
      <c r="L3437">
        <v>884.981238598755</v>
      </c>
      <c r="M3437">
        <v>18.621344447499201</v>
      </c>
      <c r="N3437">
        <v>47.978830665892801</v>
      </c>
      <c r="O3437">
        <v>46.987207870241001</v>
      </c>
      <c r="P3437">
        <v>-9.10818951654217E-2</v>
      </c>
      <c r="Q3437">
        <v>8.0732966585288599E-2</v>
      </c>
      <c r="R3437">
        <v>0.99127822679773103</v>
      </c>
      <c r="S3437" t="s">
        <v>10440</v>
      </c>
      <c r="T3437" t="s">
        <v>14004</v>
      </c>
      <c r="U3437" t="s">
        <v>14004</v>
      </c>
      <c r="V3437" t="s">
        <v>14004</v>
      </c>
      <c r="W3437" t="s">
        <v>17397</v>
      </c>
      <c r="X3437">
        <v>17</v>
      </c>
      <c r="Y3437" t="s">
        <v>24250</v>
      </c>
      <c r="Z3437" t="s">
        <v>31147</v>
      </c>
      <c r="AA3437">
        <v>0.32673537040151762</v>
      </c>
      <c r="AB3437" t="str">
        <f>HYPERLINK("Melting_Curves/meltCurve_Q13094_LCP2.pdf", "Melting_Curves/meltCurve_Q13094_LCP2.pdf")</f>
        <v>Melting_Curves/meltCurve_Q13094_LCP2.pdf</v>
      </c>
    </row>
    <row r="3438" spans="1:28" x14ac:dyDescent="0.25">
      <c r="A3438" t="s">
        <v>3442</v>
      </c>
      <c r="B3438">
        <v>0.99999676499088797</v>
      </c>
      <c r="C3438">
        <v>0.62453372315392797</v>
      </c>
      <c r="D3438">
        <v>0.35342192486292301</v>
      </c>
      <c r="E3438">
        <v>0.23632223613744099</v>
      </c>
      <c r="F3438">
        <v>0.18974859689594001</v>
      </c>
      <c r="G3438">
        <v>0.116623984090067</v>
      </c>
      <c r="H3438">
        <v>6.8897512121112697E-2</v>
      </c>
      <c r="I3438">
        <v>8.0961842589738597E-2</v>
      </c>
      <c r="J3438">
        <v>0.13743826278643001</v>
      </c>
      <c r="K3438">
        <v>9.9642714306219293E-2</v>
      </c>
      <c r="L3438">
        <v>966.094188163833</v>
      </c>
      <c r="M3438">
        <v>21.975760378785001</v>
      </c>
      <c r="N3438">
        <v>44.498844334193997</v>
      </c>
      <c r="O3438">
        <v>43.602629409216902</v>
      </c>
      <c r="P3438">
        <v>-0.111325890200958</v>
      </c>
      <c r="Q3438">
        <v>0.116482306792777</v>
      </c>
      <c r="R3438">
        <v>0.97426245463505701</v>
      </c>
      <c r="S3438" t="s">
        <v>10441</v>
      </c>
      <c r="T3438" t="s">
        <v>14004</v>
      </c>
      <c r="U3438" t="s">
        <v>14004</v>
      </c>
      <c r="V3438" t="s">
        <v>14004</v>
      </c>
      <c r="W3438" t="s">
        <v>17398</v>
      </c>
      <c r="X3438">
        <v>7</v>
      </c>
      <c r="Y3438" t="s">
        <v>24251</v>
      </c>
      <c r="Z3438" t="s">
        <v>31148</v>
      </c>
      <c r="AA3438">
        <v>0.24704376141139359</v>
      </c>
      <c r="AB3438" t="str">
        <f>HYPERLINK("Melting_Curves/meltCurve_Q13107_2_USP4.pdf", "Melting_Curves/meltCurve_Q13107_2_USP4.pdf")</f>
        <v>Melting_Curves/meltCurve_Q13107_2_USP4.pdf</v>
      </c>
    </row>
    <row r="3439" spans="1:28" x14ac:dyDescent="0.25">
      <c r="A3439" t="s">
        <v>3443</v>
      </c>
      <c r="B3439">
        <v>0.99999676499088797</v>
      </c>
      <c r="C3439">
        <v>1.0109515814049099</v>
      </c>
      <c r="D3439">
        <v>0.62040608662419405</v>
      </c>
      <c r="E3439">
        <v>0.36795383350217098</v>
      </c>
      <c r="F3439">
        <v>0.25259424390646901</v>
      </c>
      <c r="G3439">
        <v>0.238519167966635</v>
      </c>
      <c r="H3439">
        <v>0.134783100436702</v>
      </c>
      <c r="I3439">
        <v>0.16866067020587999</v>
      </c>
      <c r="J3439">
        <v>0.179328976170094</v>
      </c>
      <c r="K3439">
        <v>0.171892200219872</v>
      </c>
      <c r="L3439">
        <v>1179.67672185627</v>
      </c>
      <c r="M3439">
        <v>25.221998125359502</v>
      </c>
      <c r="N3439">
        <v>47.636347260400697</v>
      </c>
      <c r="O3439">
        <v>46.480705751512602</v>
      </c>
      <c r="P3439">
        <v>-0.11074517835092999</v>
      </c>
      <c r="Q3439">
        <v>0.183657751441616</v>
      </c>
      <c r="R3439">
        <v>0.98311144215228397</v>
      </c>
      <c r="S3439" t="s">
        <v>10442</v>
      </c>
      <c r="T3439" t="s">
        <v>14004</v>
      </c>
      <c r="U3439" t="s">
        <v>14004</v>
      </c>
      <c r="V3439" t="s">
        <v>14004</v>
      </c>
      <c r="W3439" t="s">
        <v>17399</v>
      </c>
      <c r="X3439">
        <v>14</v>
      </c>
      <c r="Y3439" t="s">
        <v>24252</v>
      </c>
      <c r="Z3439" t="s">
        <v>31149</v>
      </c>
      <c r="AA3439">
        <v>0.37510967128909611</v>
      </c>
      <c r="AB3439" t="str">
        <f>HYPERLINK("Melting_Curves/meltCurve_Q13111_CHAF1A.pdf", "Melting_Curves/meltCurve_Q13111_CHAF1A.pdf")</f>
        <v>Melting_Curves/meltCurve_Q13111_CHAF1A.pdf</v>
      </c>
    </row>
    <row r="3440" spans="1:28" x14ac:dyDescent="0.25">
      <c r="A3440" t="s">
        <v>3444</v>
      </c>
      <c r="B3440">
        <v>0.99999676499088797</v>
      </c>
      <c r="C3440">
        <v>1.03669287785583</v>
      </c>
      <c r="D3440">
        <v>1.00088287946862</v>
      </c>
      <c r="E3440">
        <v>1.1157793974561501</v>
      </c>
      <c r="F3440">
        <v>1.0973081957114801</v>
      </c>
      <c r="G3440">
        <v>1.03153935864567</v>
      </c>
      <c r="H3440">
        <v>0.43323405912992002</v>
      </c>
      <c r="I3440">
        <v>0.21521040985044701</v>
      </c>
      <c r="J3440">
        <v>0.16637226262632701</v>
      </c>
      <c r="K3440">
        <v>0.162232014164778</v>
      </c>
      <c r="L3440">
        <v>5944.350030906</v>
      </c>
      <c r="M3440">
        <v>98.570149296365301</v>
      </c>
      <c r="N3440">
        <v>60.580315993128202</v>
      </c>
      <c r="O3440">
        <v>60.280973233400502</v>
      </c>
      <c r="P3440">
        <v>-0.33515874435822501</v>
      </c>
      <c r="Q3440">
        <v>0.18012931311955899</v>
      </c>
      <c r="R3440">
        <v>0.98327505797005599</v>
      </c>
      <c r="S3440" t="s">
        <v>10443</v>
      </c>
      <c r="T3440" t="s">
        <v>14004</v>
      </c>
      <c r="U3440" t="s">
        <v>14004</v>
      </c>
      <c r="V3440" t="s">
        <v>14004</v>
      </c>
      <c r="W3440" t="s">
        <v>17400</v>
      </c>
      <c r="X3440">
        <v>13</v>
      </c>
      <c r="Y3440" t="s">
        <v>24253</v>
      </c>
      <c r="Z3440" t="s">
        <v>31150</v>
      </c>
      <c r="AA3440">
        <v>0.73562533676357833</v>
      </c>
      <c r="AB3440" t="str">
        <f>HYPERLINK("Melting_Curves/meltCurve_Q13112_CHAF1B.pdf", "Melting_Curves/meltCurve_Q13112_CHAF1B.pdf")</f>
        <v>Melting_Curves/meltCurve_Q13112_CHAF1B.pdf</v>
      </c>
    </row>
    <row r="3441" spans="1:28" x14ac:dyDescent="0.25">
      <c r="A3441" t="s">
        <v>3445</v>
      </c>
      <c r="B3441">
        <v>0.99999676499088797</v>
      </c>
      <c r="C3441">
        <v>0.97524113523661304</v>
      </c>
      <c r="D3441">
        <v>0.84397590866780803</v>
      </c>
      <c r="E3441">
        <v>0.36646451789826601</v>
      </c>
      <c r="F3441">
        <v>0.22235960957284301</v>
      </c>
      <c r="G3441">
        <v>0.15887778085533899</v>
      </c>
      <c r="H3441">
        <v>9.5996742014652095E-2</v>
      </c>
      <c r="I3441">
        <v>0.12135098701220901</v>
      </c>
      <c r="J3441">
        <v>0.135942994524688</v>
      </c>
      <c r="K3441">
        <v>0.128911491967242</v>
      </c>
      <c r="L3441">
        <v>1446.81365813661</v>
      </c>
      <c r="M3441">
        <v>30.039670951220799</v>
      </c>
      <c r="N3441">
        <v>48.657986164508401</v>
      </c>
      <c r="O3441">
        <v>47.951506746892399</v>
      </c>
      <c r="P3441">
        <v>-0.136012119635912</v>
      </c>
      <c r="Q3441">
        <v>0.13155598636329799</v>
      </c>
      <c r="R3441">
        <v>0.99659995873185503</v>
      </c>
      <c r="S3441" t="s">
        <v>10444</v>
      </c>
      <c r="T3441" t="s">
        <v>14004</v>
      </c>
      <c r="U3441" t="s">
        <v>14004</v>
      </c>
      <c r="V3441" t="s">
        <v>14004</v>
      </c>
      <c r="W3441" t="s">
        <v>17401</v>
      </c>
      <c r="X3441">
        <v>26</v>
      </c>
      <c r="Y3441" t="s">
        <v>24254</v>
      </c>
      <c r="Z3441" t="s">
        <v>31151</v>
      </c>
      <c r="AA3441">
        <v>0.37309259369549441</v>
      </c>
      <c r="AB3441" t="str">
        <f>HYPERLINK("Melting_Curves/meltCurve_Q13123_IK.pdf", "Melting_Curves/meltCurve_Q13123_IK.pdf")</f>
        <v>Melting_Curves/meltCurve_Q13123_IK.pdf</v>
      </c>
    </row>
    <row r="3442" spans="1:28" x14ac:dyDescent="0.25">
      <c r="A3442" t="s">
        <v>3446</v>
      </c>
      <c r="B3442">
        <v>0.99999676499088797</v>
      </c>
      <c r="C3442">
        <v>1.08592175787334</v>
      </c>
      <c r="D3442">
        <v>0.96869377404183099</v>
      </c>
      <c r="E3442">
        <v>0.692123164252609</v>
      </c>
      <c r="F3442">
        <v>0.35422216074600898</v>
      </c>
      <c r="G3442">
        <v>0.18675291894823901</v>
      </c>
      <c r="H3442">
        <v>8.91159051343485E-2</v>
      </c>
      <c r="I3442">
        <v>8.9009996299443103E-2</v>
      </c>
      <c r="J3442">
        <v>0.116365182812509</v>
      </c>
      <c r="K3442">
        <v>8.7413338018389894E-2</v>
      </c>
      <c r="L3442">
        <v>1264.3075696630201</v>
      </c>
      <c r="M3442">
        <v>24.716425610621201</v>
      </c>
      <c r="N3442">
        <v>51.586415855211499</v>
      </c>
      <c r="O3442">
        <v>50.821223935993103</v>
      </c>
      <c r="P3442">
        <v>-0.110175820776752</v>
      </c>
      <c r="Q3442">
        <v>9.3851341197033297E-2</v>
      </c>
      <c r="R3442">
        <v>0.99297057578236203</v>
      </c>
      <c r="S3442" t="s">
        <v>10445</v>
      </c>
      <c r="T3442" t="s">
        <v>14004</v>
      </c>
      <c r="U3442" t="s">
        <v>14004</v>
      </c>
      <c r="V3442" t="s">
        <v>14004</v>
      </c>
      <c r="W3442" t="s">
        <v>17402</v>
      </c>
      <c r="X3442">
        <v>22</v>
      </c>
      <c r="Y3442" t="s">
        <v>24255</v>
      </c>
      <c r="Z3442" t="s">
        <v>31152</v>
      </c>
      <c r="AA3442">
        <v>0.43909788578079328</v>
      </c>
      <c r="AB3442" t="str">
        <f>HYPERLINK("Melting_Curves/meltCurve_Q13131_PRKAA1.pdf", "Melting_Curves/meltCurve_Q13131_PRKAA1.pdf")</f>
        <v>Melting_Curves/meltCurve_Q13131_PRKAA1.pdf</v>
      </c>
    </row>
    <row r="3443" spans="1:28" x14ac:dyDescent="0.25">
      <c r="A3443" t="s">
        <v>3447</v>
      </c>
      <c r="B3443">
        <v>0.99999676499088797</v>
      </c>
      <c r="C3443">
        <v>0.99953410944829102</v>
      </c>
      <c r="D3443">
        <v>0.843202770170695</v>
      </c>
      <c r="E3443">
        <v>0.48544363269695201</v>
      </c>
      <c r="F3443">
        <v>0.42428596974268301</v>
      </c>
      <c r="G3443">
        <v>0.42868186196105701</v>
      </c>
      <c r="H3443">
        <v>0.26457817836834702</v>
      </c>
      <c r="I3443">
        <v>0.35255253305594803</v>
      </c>
      <c r="J3443">
        <v>0.28585801121304</v>
      </c>
      <c r="K3443">
        <v>0.238091413046879</v>
      </c>
      <c r="L3443">
        <v>1154.3672518619801</v>
      </c>
      <c r="M3443">
        <v>24.0045643373386</v>
      </c>
      <c r="N3443">
        <v>50.133867124392197</v>
      </c>
      <c r="O3443">
        <v>47.7594751083411</v>
      </c>
      <c r="P3443">
        <v>-8.64343677321468E-2</v>
      </c>
      <c r="Q3443">
        <v>0.312131706427622</v>
      </c>
      <c r="R3443">
        <v>0.96671755243857704</v>
      </c>
      <c r="S3443" t="s">
        <v>10446</v>
      </c>
      <c r="T3443" t="s">
        <v>14004</v>
      </c>
      <c r="U3443" t="s">
        <v>14004</v>
      </c>
      <c r="V3443" t="s">
        <v>14004</v>
      </c>
      <c r="W3443" t="s">
        <v>17403</v>
      </c>
      <c r="X3443">
        <v>14</v>
      </c>
      <c r="Y3443" t="s">
        <v>24256</v>
      </c>
      <c r="Z3443" t="s">
        <v>31153</v>
      </c>
      <c r="AA3443">
        <v>0.50424069284819961</v>
      </c>
      <c r="AB3443" t="str">
        <f>HYPERLINK("Melting_Curves/meltCurve_Q13136_PPFIA1.pdf", "Melting_Curves/meltCurve_Q13136_PPFIA1.pdf")</f>
        <v>Melting_Curves/meltCurve_Q13136_PPFIA1.pdf</v>
      </c>
    </row>
    <row r="3444" spans="1:28" x14ac:dyDescent="0.25">
      <c r="A3444" t="s">
        <v>3448</v>
      </c>
      <c r="B3444">
        <v>0.99999676499088797</v>
      </c>
      <c r="C3444">
        <v>0.43535960706353199</v>
      </c>
      <c r="D3444">
        <v>0.19659980808903099</v>
      </c>
      <c r="E3444">
        <v>0.126305778395186</v>
      </c>
      <c r="F3444">
        <v>0.10242434580661899</v>
      </c>
      <c r="G3444">
        <v>8.64854358683005E-2</v>
      </c>
      <c r="H3444">
        <v>5.0263535012567202E-2</v>
      </c>
      <c r="I3444">
        <v>3.78609712909262E-2</v>
      </c>
      <c r="J3444">
        <v>2.97547335866888E-2</v>
      </c>
      <c r="K3444">
        <v>2.1829215416843802E-2</v>
      </c>
      <c r="L3444">
        <v>1797.92190966721</v>
      </c>
      <c r="M3444">
        <v>42.231739070031701</v>
      </c>
      <c r="N3444">
        <v>42.735614183438202</v>
      </c>
      <c r="O3444">
        <v>42.477641594093498</v>
      </c>
      <c r="P3444">
        <v>-0.23007974147312199</v>
      </c>
      <c r="Q3444">
        <v>7.4323871925096402E-2</v>
      </c>
      <c r="R3444">
        <v>0.974528990003667</v>
      </c>
      <c r="S3444" t="s">
        <v>10447</v>
      </c>
      <c r="T3444" t="s">
        <v>14004</v>
      </c>
      <c r="U3444" t="s">
        <v>14004</v>
      </c>
      <c r="V3444" t="s">
        <v>14004</v>
      </c>
      <c r="W3444" t="s">
        <v>17404</v>
      </c>
      <c r="X3444">
        <v>6</v>
      </c>
      <c r="Y3444" t="s">
        <v>24257</v>
      </c>
      <c r="Z3444" t="s">
        <v>31154</v>
      </c>
      <c r="AA3444">
        <v>0.1578344658063334</v>
      </c>
      <c r="AB3444" t="str">
        <f>HYPERLINK("Melting_Curves/meltCurve_Q13148_TARDBP.pdf", "Melting_Curves/meltCurve_Q13148_TARDBP.pdf")</f>
        <v>Melting_Curves/meltCurve_Q13148_TARDBP.pdf</v>
      </c>
    </row>
    <row r="3445" spans="1:28" x14ac:dyDescent="0.25">
      <c r="A3445" t="s">
        <v>3449</v>
      </c>
      <c r="B3445">
        <v>0.99999676499088797</v>
      </c>
      <c r="C3445">
        <v>0.82249285690840301</v>
      </c>
      <c r="D3445">
        <v>0.57781659560610898</v>
      </c>
      <c r="E3445">
        <v>0.36139972460559799</v>
      </c>
      <c r="F3445">
        <v>0.21942167818178601</v>
      </c>
      <c r="G3445">
        <v>0.18514516612499499</v>
      </c>
      <c r="H3445">
        <v>0.114118187322249</v>
      </c>
      <c r="I3445">
        <v>0.140467088663942</v>
      </c>
      <c r="J3445">
        <v>0.16962723616309799</v>
      </c>
      <c r="K3445">
        <v>0.21298892347944201</v>
      </c>
      <c r="L3445">
        <v>870.84639710075805</v>
      </c>
      <c r="M3445">
        <v>18.8732844645738</v>
      </c>
      <c r="N3445">
        <v>47.092941035034201</v>
      </c>
      <c r="O3445">
        <v>45.633090486656101</v>
      </c>
      <c r="P3445">
        <v>-8.7013955170875498E-2</v>
      </c>
      <c r="Q3445">
        <v>0.15848178453904499</v>
      </c>
      <c r="R3445">
        <v>0.98959193507712995</v>
      </c>
      <c r="S3445" t="s">
        <v>10448</v>
      </c>
      <c r="T3445" t="s">
        <v>14004</v>
      </c>
      <c r="U3445" t="s">
        <v>14004</v>
      </c>
      <c r="V3445" t="s">
        <v>14004</v>
      </c>
      <c r="W3445" t="s">
        <v>17405</v>
      </c>
      <c r="X3445">
        <v>10</v>
      </c>
      <c r="Y3445" t="s">
        <v>24258</v>
      </c>
      <c r="Z3445" t="s">
        <v>31155</v>
      </c>
      <c r="AA3445">
        <v>0.34545819204797912</v>
      </c>
      <c r="AB3445" t="str">
        <f>HYPERLINK("Melting_Curves/meltCurve_Q13151_HNRNPA0.pdf", "Melting_Curves/meltCurve_Q13151_HNRNPA0.pdf")</f>
        <v>Melting_Curves/meltCurve_Q13151_HNRNPA0.pdf</v>
      </c>
    </row>
    <row r="3446" spans="1:28" x14ac:dyDescent="0.25">
      <c r="A3446" t="s">
        <v>3450</v>
      </c>
      <c r="B3446">
        <v>0.99999676499088797</v>
      </c>
      <c r="C3446">
        <v>0.95987995912678903</v>
      </c>
      <c r="D3446">
        <v>1.0828902930497899</v>
      </c>
      <c r="E3446">
        <v>1.19556142649571</v>
      </c>
      <c r="F3446">
        <v>1.09931216241939</v>
      </c>
      <c r="G3446">
        <v>0.663914849564748</v>
      </c>
      <c r="H3446">
        <v>0.14358406011730199</v>
      </c>
      <c r="I3446">
        <v>0.112619773015217</v>
      </c>
      <c r="J3446">
        <v>0.102414491887951</v>
      </c>
      <c r="K3446">
        <v>0.110867420433752</v>
      </c>
      <c r="L3446">
        <v>11817.847956322699</v>
      </c>
      <c r="M3446">
        <v>207.574451166269</v>
      </c>
      <c r="N3446">
        <v>57.0065379888932</v>
      </c>
      <c r="O3446">
        <v>56.927786661371002</v>
      </c>
      <c r="P3446">
        <v>-0.80457756434862004</v>
      </c>
      <c r="Q3446">
        <v>0.117370991867455</v>
      </c>
      <c r="R3446">
        <v>0.97180059365278604</v>
      </c>
      <c r="S3446" t="s">
        <v>10449</v>
      </c>
      <c r="T3446" t="s">
        <v>14004</v>
      </c>
      <c r="U3446" t="s">
        <v>14004</v>
      </c>
      <c r="V3446" t="s">
        <v>14004</v>
      </c>
      <c r="W3446" t="s">
        <v>17406</v>
      </c>
      <c r="X3446">
        <v>26</v>
      </c>
      <c r="Y3446" t="s">
        <v>24259</v>
      </c>
      <c r="Z3446" t="s">
        <v>31156</v>
      </c>
      <c r="AA3446">
        <v>0.61568582294816421</v>
      </c>
      <c r="AB3446" t="str">
        <f>HYPERLINK("Melting_Curves/meltCurve_Q13153_PAK1.pdf", "Melting_Curves/meltCurve_Q13153_PAK1.pdf")</f>
        <v>Melting_Curves/meltCurve_Q13153_PAK1.pdf</v>
      </c>
    </row>
    <row r="3447" spans="1:28" x14ac:dyDescent="0.25">
      <c r="A3447" t="s">
        <v>3451</v>
      </c>
      <c r="B3447">
        <v>0.99999676499088797</v>
      </c>
      <c r="C3447">
        <v>0.92995462957062502</v>
      </c>
      <c r="D3447">
        <v>0.67232696059683295</v>
      </c>
      <c r="E3447">
        <v>0.24787576825748001</v>
      </c>
      <c r="F3447">
        <v>0.16885673579148</v>
      </c>
      <c r="G3447">
        <v>9.6739258555733995E-2</v>
      </c>
      <c r="H3447">
        <v>4.9813870578711603E-2</v>
      </c>
      <c r="I3447">
        <v>4.0087575196518802E-2</v>
      </c>
      <c r="J3447">
        <v>4.4164650469247398E-2</v>
      </c>
      <c r="K3447">
        <v>3.69569156363726E-2</v>
      </c>
      <c r="L3447">
        <v>1126.46872876884</v>
      </c>
      <c r="M3447">
        <v>23.878233876044298</v>
      </c>
      <c r="N3447">
        <v>47.406039636316301</v>
      </c>
      <c r="O3447">
        <v>46.848414081818603</v>
      </c>
      <c r="P3447">
        <v>-0.12044173086222899</v>
      </c>
      <c r="Q3447">
        <v>5.4802425495617098E-2</v>
      </c>
      <c r="R3447">
        <v>0.99571739449574004</v>
      </c>
      <c r="S3447" t="s">
        <v>10450</v>
      </c>
      <c r="T3447" t="s">
        <v>14004</v>
      </c>
      <c r="U3447" t="s">
        <v>14004</v>
      </c>
      <c r="V3447" t="s">
        <v>14004</v>
      </c>
      <c r="W3447" t="s">
        <v>17407</v>
      </c>
      <c r="X3447">
        <v>7</v>
      </c>
      <c r="Y3447" t="s">
        <v>24260</v>
      </c>
      <c r="Z3447" t="s">
        <v>31157</v>
      </c>
      <c r="AA3447">
        <v>0.29018378831028618</v>
      </c>
      <c r="AB3447" t="str">
        <f>HYPERLINK("Melting_Curves/meltCurve_Q13155_AIMP2.pdf", "Melting_Curves/meltCurve_Q13155_AIMP2.pdf")</f>
        <v>Melting_Curves/meltCurve_Q13155_AIMP2.pdf</v>
      </c>
    </row>
    <row r="3448" spans="1:28" x14ac:dyDescent="0.25">
      <c r="A3448" t="s">
        <v>3452</v>
      </c>
      <c r="B3448">
        <v>0.99999676499088797</v>
      </c>
      <c r="C3448">
        <v>0.90468385805797702</v>
      </c>
      <c r="D3448">
        <v>0.69291922503772496</v>
      </c>
      <c r="E3448">
        <v>0.347442735156412</v>
      </c>
      <c r="F3448">
        <v>0.29073194924013401</v>
      </c>
      <c r="G3448">
        <v>0.15931347888905001</v>
      </c>
      <c r="H3448">
        <v>7.4329223228810595E-2</v>
      </c>
      <c r="I3448">
        <v>5.1098629872315102E-2</v>
      </c>
      <c r="J3448">
        <v>8.2134549266421095E-2</v>
      </c>
      <c r="K3448">
        <v>4.0396922244213103E-2</v>
      </c>
      <c r="L3448">
        <v>775.26412926864498</v>
      </c>
      <c r="M3448">
        <v>16.136320342300898</v>
      </c>
      <c r="N3448">
        <v>48.417798088545801</v>
      </c>
      <c r="O3448">
        <v>47.324955675390299</v>
      </c>
      <c r="P3448">
        <v>-8.0264193690619406E-2</v>
      </c>
      <c r="Q3448">
        <v>5.8469047441226503E-2</v>
      </c>
      <c r="R3448">
        <v>0.98913830130021096</v>
      </c>
      <c r="S3448" t="s">
        <v>10451</v>
      </c>
      <c r="T3448" t="s">
        <v>14004</v>
      </c>
      <c r="U3448" t="s">
        <v>14004</v>
      </c>
      <c r="V3448" t="s">
        <v>14004</v>
      </c>
      <c r="W3448" t="s">
        <v>17408</v>
      </c>
      <c r="X3448">
        <v>7</v>
      </c>
      <c r="Y3448" t="s">
        <v>24261</v>
      </c>
      <c r="Z3448" t="s">
        <v>31158</v>
      </c>
      <c r="AA3448">
        <v>0.33183581981144938</v>
      </c>
      <c r="AB3448" t="str">
        <f>HYPERLINK("Melting_Curves/meltCurve_Q13158_FADD.pdf", "Melting_Curves/meltCurve_Q13158_FADD.pdf")</f>
        <v>Melting_Curves/meltCurve_Q13158_FADD.pdf</v>
      </c>
    </row>
    <row r="3449" spans="1:28" x14ac:dyDescent="0.25">
      <c r="A3449" t="s">
        <v>3453</v>
      </c>
      <c r="B3449">
        <v>0.99999676499088797</v>
      </c>
      <c r="C3449">
        <v>1.0344801341005201</v>
      </c>
      <c r="D3449">
        <v>1.1057833492420499</v>
      </c>
      <c r="E3449">
        <v>1.33459216267273</v>
      </c>
      <c r="F3449">
        <v>1.2893722108428101</v>
      </c>
      <c r="G3449">
        <v>1.0833903419133</v>
      </c>
      <c r="H3449">
        <v>0.49619227996273002</v>
      </c>
      <c r="I3449">
        <v>0.64642570123461995</v>
      </c>
      <c r="J3449">
        <v>0.58913061443858095</v>
      </c>
      <c r="K3449">
        <v>0.82604140429639605</v>
      </c>
      <c r="L3449">
        <v>5256.6109319552497</v>
      </c>
      <c r="M3449">
        <v>89.701485528176207</v>
      </c>
      <c r="O3449">
        <v>58.572050461815401</v>
      </c>
      <c r="P3449">
        <v>-0.13824509747684899</v>
      </c>
      <c r="Q3449">
        <v>0.63892245023181404</v>
      </c>
      <c r="R3449">
        <v>0.62945106156900599</v>
      </c>
      <c r="S3449" t="s">
        <v>10452</v>
      </c>
      <c r="T3449" t="s">
        <v>14004</v>
      </c>
      <c r="U3449" t="s">
        <v>14004</v>
      </c>
      <c r="V3449" t="s">
        <v>14004</v>
      </c>
      <c r="W3449" t="s">
        <v>17409</v>
      </c>
      <c r="X3449">
        <v>13</v>
      </c>
      <c r="Y3449" t="s">
        <v>24262</v>
      </c>
      <c r="Z3449" t="s">
        <v>31159</v>
      </c>
      <c r="AA3449">
        <v>0.86309334104498803</v>
      </c>
      <c r="AB3449" t="str">
        <f>HYPERLINK("Melting_Curves/meltCurve_Q13162_PRDX4.pdf", "Melting_Curves/meltCurve_Q13162_PRDX4.pdf")</f>
        <v>Melting_Curves/meltCurve_Q13162_PRDX4.pdf</v>
      </c>
    </row>
    <row r="3450" spans="1:28" x14ac:dyDescent="0.25">
      <c r="A3450" t="s">
        <v>3454</v>
      </c>
      <c r="B3450">
        <v>0.99999676499088797</v>
      </c>
      <c r="C3450">
        <v>1.0556050154629999</v>
      </c>
      <c r="D3450">
        <v>0.85931586659262105</v>
      </c>
      <c r="E3450">
        <v>0.46659517548138102</v>
      </c>
      <c r="F3450">
        <v>0.21334673563795201</v>
      </c>
      <c r="G3450">
        <v>0.12598863992700601</v>
      </c>
      <c r="H3450">
        <v>4.3697869092562701E-2</v>
      </c>
      <c r="I3450">
        <v>3.5394424132397302E-2</v>
      </c>
      <c r="J3450">
        <v>3.7656297799563303E-2</v>
      </c>
      <c r="K3450">
        <v>5.0828521737825297E-3</v>
      </c>
      <c r="L3450">
        <v>1149.06802951847</v>
      </c>
      <c r="M3450">
        <v>23.2552046662131</v>
      </c>
      <c r="N3450">
        <v>49.576571161979103</v>
      </c>
      <c r="O3450">
        <v>49.050182507844397</v>
      </c>
      <c r="P3450">
        <v>-0.114106727421383</v>
      </c>
      <c r="Q3450">
        <v>3.7315334526487602E-2</v>
      </c>
      <c r="R3450">
        <v>0.99307993114195603</v>
      </c>
      <c r="S3450" t="s">
        <v>10453</v>
      </c>
      <c r="T3450" t="s">
        <v>14004</v>
      </c>
      <c r="U3450" t="s">
        <v>14004</v>
      </c>
      <c r="V3450" t="s">
        <v>14004</v>
      </c>
      <c r="W3450" t="s">
        <v>17410</v>
      </c>
      <c r="X3450">
        <v>3</v>
      </c>
      <c r="Y3450" t="s">
        <v>24263</v>
      </c>
      <c r="Z3450" t="s">
        <v>31160</v>
      </c>
      <c r="AA3450">
        <v>0.34923157225133289</v>
      </c>
      <c r="AB3450" t="str">
        <f>HYPERLINK("Melting_Curves/meltCurve_Q13163_4_MAP2K5.pdf", "Melting_Curves/meltCurve_Q13163_4_MAP2K5.pdf")</f>
        <v>Melting_Curves/meltCurve_Q13163_4_MAP2K5.pdf</v>
      </c>
    </row>
    <row r="3451" spans="1:28" x14ac:dyDescent="0.25">
      <c r="A3451" t="s">
        <v>3455</v>
      </c>
      <c r="B3451">
        <v>0.99999676499088797</v>
      </c>
      <c r="C3451">
        <v>1.0031856122346701</v>
      </c>
      <c r="D3451">
        <v>0.80909637446643901</v>
      </c>
      <c r="E3451">
        <v>0.56114746417543904</v>
      </c>
      <c r="F3451">
        <v>0.35509017559185002</v>
      </c>
      <c r="G3451">
        <v>0.35413673130066398</v>
      </c>
      <c r="H3451">
        <v>0.25458141219859498</v>
      </c>
      <c r="I3451">
        <v>0.222921842568953</v>
      </c>
      <c r="J3451">
        <v>0.24040912791924601</v>
      </c>
      <c r="K3451">
        <v>0.188631853588304</v>
      </c>
      <c r="L3451">
        <v>911.08036053618105</v>
      </c>
      <c r="M3451">
        <v>18.587768555255</v>
      </c>
      <c r="N3451">
        <v>50.676742294164796</v>
      </c>
      <c r="O3451">
        <v>48.458302423610398</v>
      </c>
      <c r="P3451">
        <v>-7.4016809788025897E-2</v>
      </c>
      <c r="Q3451">
        <v>0.228186462766925</v>
      </c>
      <c r="R3451">
        <v>0.98864749343226599</v>
      </c>
      <c r="S3451" t="s">
        <v>10454</v>
      </c>
      <c r="T3451" t="s">
        <v>14004</v>
      </c>
      <c r="U3451" t="s">
        <v>14004</v>
      </c>
      <c r="V3451" t="s">
        <v>14004</v>
      </c>
      <c r="W3451" t="s">
        <v>17411</v>
      </c>
      <c r="X3451">
        <v>2</v>
      </c>
      <c r="Y3451" t="s">
        <v>24264</v>
      </c>
      <c r="Z3451" t="s">
        <v>31161</v>
      </c>
      <c r="AA3451">
        <v>0.47265060704940381</v>
      </c>
      <c r="AB3451" t="str">
        <f>HYPERLINK("Melting_Curves/meltCurve_Q13164_2_MAPK7.pdf", "Melting_Curves/meltCurve_Q13164_2_MAPK7.pdf")</f>
        <v>Melting_Curves/meltCurve_Q13164_2_MAPK7.pdf</v>
      </c>
    </row>
    <row r="3452" spans="1:28" x14ac:dyDescent="0.25">
      <c r="A3452" t="s">
        <v>3456</v>
      </c>
      <c r="B3452">
        <v>0.99999676499088797</v>
      </c>
      <c r="C3452">
        <v>1.0285065525474999</v>
      </c>
      <c r="D3452">
        <v>1.0052265176709001</v>
      </c>
      <c r="E3452">
        <v>0.97337769044038602</v>
      </c>
      <c r="F3452">
        <v>0.75334610339574404</v>
      </c>
      <c r="G3452">
        <v>0.384731261458787</v>
      </c>
      <c r="H3452">
        <v>9.7710085322283896E-2</v>
      </c>
      <c r="I3452">
        <v>8.10635115850043E-2</v>
      </c>
      <c r="J3452">
        <v>7.5653028217003995E-2</v>
      </c>
      <c r="K3452">
        <v>6.5544849408082598E-2</v>
      </c>
      <c r="L3452">
        <v>1544.3976173388101</v>
      </c>
      <c r="M3452">
        <v>27.913429780769199</v>
      </c>
      <c r="N3452">
        <v>55.572031253227699</v>
      </c>
      <c r="O3452">
        <v>55.046487449690297</v>
      </c>
      <c r="P3452">
        <v>-0.11946426819021901</v>
      </c>
      <c r="Q3452">
        <v>5.7653419297707197E-2</v>
      </c>
      <c r="R3452">
        <v>0.998499861323219</v>
      </c>
      <c r="S3452" t="s">
        <v>10455</v>
      </c>
      <c r="T3452" t="s">
        <v>14004</v>
      </c>
      <c r="U3452" t="s">
        <v>14004</v>
      </c>
      <c r="V3452" t="s">
        <v>14004</v>
      </c>
      <c r="W3452" t="s">
        <v>17412</v>
      </c>
      <c r="X3452">
        <v>35</v>
      </c>
      <c r="Y3452" t="s">
        <v>24265</v>
      </c>
      <c r="Z3452" t="s">
        <v>31162</v>
      </c>
      <c r="AA3452">
        <v>0.54629134891822473</v>
      </c>
      <c r="AB3452" t="str">
        <f>HYPERLINK("Melting_Curves/meltCurve_Q13177_PAK2.pdf", "Melting_Curves/meltCurve_Q13177_PAK2.pdf")</f>
        <v>Melting_Curves/meltCurve_Q13177_PAK2.pdf</v>
      </c>
    </row>
    <row r="3453" spans="1:28" x14ac:dyDescent="0.25">
      <c r="A3453" t="s">
        <v>3457</v>
      </c>
      <c r="B3453">
        <v>0.99999676499088797</v>
      </c>
      <c r="C3453">
        <v>0.93304381520924895</v>
      </c>
      <c r="D3453">
        <v>0.88971867062830601</v>
      </c>
      <c r="E3453">
        <v>0.60410030820565697</v>
      </c>
      <c r="F3453">
        <v>0.31826502153942499</v>
      </c>
      <c r="G3453">
        <v>0.19615953534984901</v>
      </c>
      <c r="H3453">
        <v>0.11097075126965</v>
      </c>
      <c r="I3453">
        <v>9.10709058979004E-2</v>
      </c>
      <c r="J3453">
        <v>0.104082721115747</v>
      </c>
      <c r="K3453">
        <v>9.7317995099347396E-2</v>
      </c>
      <c r="L3453">
        <v>967.75614238514402</v>
      </c>
      <c r="M3453">
        <v>19.235443123577902</v>
      </c>
      <c r="N3453">
        <v>50.827795243254499</v>
      </c>
      <c r="O3453">
        <v>49.776792328368899</v>
      </c>
      <c r="P3453">
        <v>-8.8032435162745407E-2</v>
      </c>
      <c r="Q3453">
        <v>8.8805840533948993E-2</v>
      </c>
      <c r="R3453">
        <v>0.99826336304980101</v>
      </c>
      <c r="S3453" t="s">
        <v>10456</v>
      </c>
      <c r="T3453" t="s">
        <v>14004</v>
      </c>
      <c r="U3453" t="s">
        <v>14004</v>
      </c>
      <c r="V3453" t="s">
        <v>14004</v>
      </c>
      <c r="W3453" t="s">
        <v>17413</v>
      </c>
      <c r="X3453">
        <v>11</v>
      </c>
      <c r="Y3453" t="s">
        <v>24266</v>
      </c>
      <c r="Z3453" t="s">
        <v>31163</v>
      </c>
      <c r="AA3453">
        <v>0.41564052508404192</v>
      </c>
      <c r="AB3453" t="str">
        <f>HYPERLINK("Melting_Curves/meltCurve_Q13185_CBX3.pdf", "Melting_Curves/meltCurve_Q13185_CBX3.pdf")</f>
        <v>Melting_Curves/meltCurve_Q13185_CBX3.pdf</v>
      </c>
    </row>
    <row r="3454" spans="1:28" x14ac:dyDescent="0.25">
      <c r="A3454" t="s">
        <v>3458</v>
      </c>
      <c r="B3454">
        <v>0.99999676499088797</v>
      </c>
      <c r="C3454">
        <v>0.96971052436815197</v>
      </c>
      <c r="D3454">
        <v>0.86782904859988497</v>
      </c>
      <c r="E3454">
        <v>0.85782559071462605</v>
      </c>
      <c r="F3454">
        <v>0.74579274331933698</v>
      </c>
      <c r="G3454">
        <v>0.474786951649246</v>
      </c>
      <c r="H3454">
        <v>0.146300818123973</v>
      </c>
      <c r="I3454">
        <v>8.6111251739570294E-2</v>
      </c>
      <c r="J3454">
        <v>8.4369953042491105E-2</v>
      </c>
      <c r="K3454">
        <v>8.48519270303255E-2</v>
      </c>
      <c r="L3454">
        <v>961.157727033725</v>
      </c>
      <c r="M3454">
        <v>17.2140792566403</v>
      </c>
      <c r="N3454">
        <v>55.949007082975498</v>
      </c>
      <c r="O3454">
        <v>55.098379248331703</v>
      </c>
      <c r="P3454">
        <v>-7.6771056839197493E-2</v>
      </c>
      <c r="Q3454">
        <v>1.7150573777349201E-2</v>
      </c>
      <c r="R3454">
        <v>0.98341495083859798</v>
      </c>
      <c r="S3454" t="s">
        <v>10457</v>
      </c>
      <c r="T3454" t="s">
        <v>14004</v>
      </c>
      <c r="U3454" t="s">
        <v>14004</v>
      </c>
      <c r="V3454" t="s">
        <v>14004</v>
      </c>
      <c r="W3454" t="s">
        <v>17414</v>
      </c>
      <c r="X3454">
        <v>19</v>
      </c>
      <c r="Y3454" t="s">
        <v>24267</v>
      </c>
      <c r="Z3454" t="s">
        <v>31164</v>
      </c>
      <c r="AA3454">
        <v>0.55135219648231937</v>
      </c>
      <c r="AB3454" t="str">
        <f>HYPERLINK("Melting_Curves/meltCurve_Q13188_STK3.pdf", "Melting_Curves/meltCurve_Q13188_STK3.pdf")</f>
        <v>Melting_Curves/meltCurve_Q13188_STK3.pdf</v>
      </c>
    </row>
    <row r="3455" spans="1:28" x14ac:dyDescent="0.25">
      <c r="A3455" t="s">
        <v>3459</v>
      </c>
      <c r="B3455">
        <v>0.99999676499088797</v>
      </c>
      <c r="C3455">
        <v>0.95158210802100696</v>
      </c>
      <c r="D3455">
        <v>0.87525505036825701</v>
      </c>
      <c r="E3455">
        <v>0.44084539792173999</v>
      </c>
      <c r="F3455">
        <v>0.19073172797311699</v>
      </c>
      <c r="G3455">
        <v>0.13637180922837899</v>
      </c>
      <c r="H3455">
        <v>7.49124961150614E-2</v>
      </c>
      <c r="I3455">
        <v>6.1798105001242602E-2</v>
      </c>
      <c r="J3455">
        <v>7.4745939232585698E-2</v>
      </c>
      <c r="K3455">
        <v>5.3461743019211798E-2</v>
      </c>
      <c r="L3455">
        <v>1245.6300845814001</v>
      </c>
      <c r="M3455">
        <v>25.440834219376399</v>
      </c>
      <c r="N3455">
        <v>49.266405174614299</v>
      </c>
      <c r="O3455">
        <v>48.662330891157701</v>
      </c>
      <c r="P3455">
        <v>-0.121191933251935</v>
      </c>
      <c r="Q3455">
        <v>7.2764997247452695E-2</v>
      </c>
      <c r="R3455">
        <v>0.99744686773553304</v>
      </c>
      <c r="S3455" t="s">
        <v>10458</v>
      </c>
      <c r="T3455" t="s">
        <v>14004</v>
      </c>
      <c r="U3455" t="s">
        <v>14004</v>
      </c>
      <c r="V3455" t="s">
        <v>14004</v>
      </c>
      <c r="W3455" t="s">
        <v>17415</v>
      </c>
      <c r="X3455">
        <v>6</v>
      </c>
      <c r="Y3455" t="s">
        <v>24268</v>
      </c>
      <c r="Z3455" t="s">
        <v>31165</v>
      </c>
      <c r="AA3455">
        <v>0.35767984588610768</v>
      </c>
      <c r="AB3455" t="str">
        <f>HYPERLINK("Melting_Curves/meltCurve_Q13190_2_STX5.pdf", "Melting_Curves/meltCurve_Q13190_2_STX5.pdf")</f>
        <v>Melting_Curves/meltCurve_Q13190_2_STX5.pdf</v>
      </c>
    </row>
    <row r="3456" spans="1:28" x14ac:dyDescent="0.25">
      <c r="A3456" t="s">
        <v>3460</v>
      </c>
      <c r="B3456">
        <v>0.99999676499088797</v>
      </c>
      <c r="C3456">
        <v>0.97865613069656598</v>
      </c>
      <c r="D3456">
        <v>1.0447438141663601</v>
      </c>
      <c r="E3456">
        <v>1.33056459522224</v>
      </c>
      <c r="F3456">
        <v>1.2159462945513599</v>
      </c>
      <c r="G3456">
        <v>0.65828997511032705</v>
      </c>
      <c r="H3456">
        <v>0.14295173568087099</v>
      </c>
      <c r="I3456">
        <v>0.10680441246173</v>
      </c>
      <c r="J3456">
        <v>9.6741735206433602E-2</v>
      </c>
      <c r="K3456">
        <v>8.2614670276450503E-2</v>
      </c>
      <c r="L3456">
        <v>14227.138701989301</v>
      </c>
      <c r="M3456">
        <v>250</v>
      </c>
      <c r="N3456">
        <v>56.963583518144397</v>
      </c>
      <c r="O3456">
        <v>56.904911128242603</v>
      </c>
      <c r="P3456">
        <v>-0.98049738272130205</v>
      </c>
      <c r="Q3456">
        <v>0.107278108267946</v>
      </c>
      <c r="R3456">
        <v>0.93169308728195399</v>
      </c>
      <c r="S3456" t="s">
        <v>10459</v>
      </c>
      <c r="T3456" t="s">
        <v>14004</v>
      </c>
      <c r="U3456" t="s">
        <v>14004</v>
      </c>
      <c r="V3456" t="s">
        <v>14004</v>
      </c>
      <c r="W3456" t="s">
        <v>17416</v>
      </c>
      <c r="X3456">
        <v>36</v>
      </c>
      <c r="Y3456" t="s">
        <v>24269</v>
      </c>
      <c r="Z3456" t="s">
        <v>31166</v>
      </c>
      <c r="AA3456">
        <v>0.61052183546255312</v>
      </c>
      <c r="AB3456" t="str">
        <f>HYPERLINK("Melting_Curves/meltCurve_Q13200_PSMD2.pdf", "Melting_Curves/meltCurve_Q13200_PSMD2.pdf")</f>
        <v>Melting_Curves/meltCurve_Q13200_PSMD2.pdf</v>
      </c>
    </row>
    <row r="3457" spans="1:28" x14ac:dyDescent="0.25">
      <c r="A3457" t="s">
        <v>3461</v>
      </c>
      <c r="B3457">
        <v>0.99999676499088797</v>
      </c>
      <c r="C3457">
        <v>0.80918695540617902</v>
      </c>
      <c r="D3457">
        <v>0.81797672010095002</v>
      </c>
      <c r="E3457">
        <v>0.60876941309306998</v>
      </c>
      <c r="F3457">
        <v>0.52791440942456602</v>
      </c>
      <c r="G3457">
        <v>0.30369541573679198</v>
      </c>
      <c r="H3457">
        <v>0.12660063981026501</v>
      </c>
      <c r="I3457">
        <v>0.16440748010940701</v>
      </c>
      <c r="J3457">
        <v>0.15674343436352001</v>
      </c>
      <c r="K3457">
        <v>0.12262306132711</v>
      </c>
      <c r="L3457">
        <v>527.96347069990099</v>
      </c>
      <c r="M3457">
        <v>10.196194373328099</v>
      </c>
      <c r="N3457">
        <v>52.2162450658913</v>
      </c>
      <c r="O3457">
        <v>49.907175214841999</v>
      </c>
      <c r="P3457">
        <v>-4.90146609250008E-2</v>
      </c>
      <c r="Q3457">
        <v>4.0787519924705397E-2</v>
      </c>
      <c r="R3457">
        <v>0.97488806759508895</v>
      </c>
      <c r="S3457" t="s">
        <v>10460</v>
      </c>
      <c r="T3457" t="s">
        <v>14004</v>
      </c>
      <c r="U3457" t="s">
        <v>14004</v>
      </c>
      <c r="V3457" t="s">
        <v>14004</v>
      </c>
      <c r="W3457" t="s">
        <v>17417</v>
      </c>
      <c r="X3457">
        <v>1</v>
      </c>
      <c r="Y3457" t="s">
        <v>24270</v>
      </c>
      <c r="Z3457" t="s">
        <v>31167</v>
      </c>
      <c r="AA3457">
        <v>0.45383401351172381</v>
      </c>
      <c r="AB3457" t="str">
        <f>HYPERLINK("Melting_Curves/meltCurve_Q13216_ERCC8.pdf", "Melting_Curves/meltCurve_Q13216_ERCC8.pdf")</f>
        <v>Melting_Curves/meltCurve_Q13216_ERCC8.pdf</v>
      </c>
    </row>
    <row r="3458" spans="1:28" x14ac:dyDescent="0.25">
      <c r="A3458" t="s">
        <v>3462</v>
      </c>
      <c r="B3458">
        <v>0.99999676499088797</v>
      </c>
      <c r="C3458">
        <v>0.97285792376558999</v>
      </c>
      <c r="D3458">
        <v>1.0071330210149101</v>
      </c>
      <c r="E3458">
        <v>0.69134738223222103</v>
      </c>
      <c r="F3458">
        <v>0.31338536823151503</v>
      </c>
      <c r="G3458">
        <v>0.22207247818421499</v>
      </c>
      <c r="H3458">
        <v>0.119123895599172</v>
      </c>
      <c r="I3458">
        <v>0.105583465381761</v>
      </c>
      <c r="J3458">
        <v>0.102268923832666</v>
      </c>
      <c r="K3458">
        <v>0.10065304529116099</v>
      </c>
      <c r="L3458">
        <v>1356.78184767008</v>
      </c>
      <c r="M3458">
        <v>26.650477267052999</v>
      </c>
      <c r="N3458">
        <v>51.403742614613698</v>
      </c>
      <c r="O3458">
        <v>50.626172023127801</v>
      </c>
      <c r="P3458">
        <v>-0.11675054214356199</v>
      </c>
      <c r="Q3458">
        <v>0.112875728704359</v>
      </c>
      <c r="R3458">
        <v>0.99485938961779397</v>
      </c>
      <c r="S3458" t="s">
        <v>10461</v>
      </c>
      <c r="T3458" t="s">
        <v>14004</v>
      </c>
      <c r="U3458" t="s">
        <v>14004</v>
      </c>
      <c r="V3458" t="s">
        <v>14004</v>
      </c>
      <c r="W3458" t="s">
        <v>17418</v>
      </c>
      <c r="X3458">
        <v>25</v>
      </c>
      <c r="Y3458" t="s">
        <v>24271</v>
      </c>
      <c r="Z3458" t="s">
        <v>31168</v>
      </c>
      <c r="AA3458">
        <v>0.44255469823998339</v>
      </c>
      <c r="AB3458" t="str">
        <f>HYPERLINK("Melting_Curves/meltCurve_Q13217_DNAJC3.pdf", "Melting_Curves/meltCurve_Q13217_DNAJC3.pdf")</f>
        <v>Melting_Curves/meltCurve_Q13217_DNAJC3.pdf</v>
      </c>
    </row>
    <row r="3459" spans="1:28" x14ac:dyDescent="0.25">
      <c r="A3459" t="s">
        <v>3463</v>
      </c>
      <c r="B3459">
        <v>0.99999676499088797</v>
      </c>
      <c r="C3459">
        <v>1.02534901628735</v>
      </c>
      <c r="D3459">
        <v>1.0787548303230701</v>
      </c>
      <c r="E3459">
        <v>1.01453939322607</v>
      </c>
      <c r="F3459">
        <v>0.73754915477666605</v>
      </c>
      <c r="G3459">
        <v>0.698836790779918</v>
      </c>
      <c r="H3459">
        <v>0.49280415394501698</v>
      </c>
      <c r="I3459">
        <v>0.54248884711711698</v>
      </c>
      <c r="J3459">
        <v>0.45664506936820698</v>
      </c>
      <c r="K3459">
        <v>0.276822124922604</v>
      </c>
      <c r="L3459">
        <v>798.81360293524006</v>
      </c>
      <c r="M3459">
        <v>13.897218362957</v>
      </c>
      <c r="N3459">
        <v>61.999984170231201</v>
      </c>
      <c r="O3459">
        <v>56.329154233066802</v>
      </c>
      <c r="P3459">
        <v>-4.2042226207522397E-2</v>
      </c>
      <c r="Q3459">
        <v>0.318459136278474</v>
      </c>
      <c r="R3459">
        <v>0.93363907811680502</v>
      </c>
      <c r="S3459" t="s">
        <v>10462</v>
      </c>
      <c r="T3459" t="s">
        <v>14004</v>
      </c>
      <c r="U3459" t="s">
        <v>14004</v>
      </c>
      <c r="V3459" t="s">
        <v>14004</v>
      </c>
      <c r="W3459" t="s">
        <v>17419</v>
      </c>
      <c r="X3459">
        <v>1</v>
      </c>
      <c r="Y3459" t="s">
        <v>24272</v>
      </c>
      <c r="Z3459" t="s">
        <v>31169</v>
      </c>
      <c r="AA3459">
        <v>0.72584208793816674</v>
      </c>
      <c r="AB3459" t="str">
        <f>HYPERLINK("Melting_Curves/meltCurve_Q13228_2_SELENBP1.pdf", "Melting_Curves/meltCurve_Q13228_2_SELENBP1.pdf")</f>
        <v>Melting_Curves/meltCurve_Q13228_2_SELENBP1.pdf</v>
      </c>
    </row>
    <row r="3460" spans="1:28" x14ac:dyDescent="0.25">
      <c r="A3460" t="s">
        <v>3464</v>
      </c>
      <c r="B3460">
        <v>0.99999676499088797</v>
      </c>
      <c r="C3460">
        <v>0.92974855071362195</v>
      </c>
      <c r="D3460">
        <v>0.83163612875070803</v>
      </c>
      <c r="E3460">
        <v>0.57143127768170299</v>
      </c>
      <c r="F3460">
        <v>0.43055184916439898</v>
      </c>
      <c r="G3460">
        <v>0.514990790571352</v>
      </c>
      <c r="H3460">
        <v>0.717892372810777</v>
      </c>
      <c r="I3460">
        <v>1.18768385310868</v>
      </c>
      <c r="J3460">
        <v>1.3230921038228101</v>
      </c>
      <c r="K3460">
        <v>1.3809396273416701</v>
      </c>
      <c r="L3460">
        <v>15000</v>
      </c>
      <c r="M3460">
        <v>234.50775381764399</v>
      </c>
      <c r="O3460">
        <v>63.959117649535699</v>
      </c>
      <c r="P3460">
        <v>0.32267307711501197</v>
      </c>
      <c r="Q3460">
        <v>1.35202052038188</v>
      </c>
      <c r="R3460">
        <v>0.156711221529683</v>
      </c>
      <c r="S3460" t="s">
        <v>10463</v>
      </c>
      <c r="T3460" t="s">
        <v>14004</v>
      </c>
      <c r="U3460" t="s">
        <v>14004</v>
      </c>
      <c r="V3460" t="s">
        <v>14004</v>
      </c>
      <c r="W3460" t="s">
        <v>17420</v>
      </c>
      <c r="X3460">
        <v>15</v>
      </c>
      <c r="Y3460" t="s">
        <v>24273</v>
      </c>
      <c r="Z3460" t="s">
        <v>31170</v>
      </c>
      <c r="AA3460">
        <v>1.0707843178186309</v>
      </c>
      <c r="AB3460" t="str">
        <f>HYPERLINK("Melting_Curves/meltCurve_Q13242_SRSF9.pdf", "Melting_Curves/meltCurve_Q13242_SRSF9.pdf")</f>
        <v>Melting_Curves/meltCurve_Q13242_SRSF9.pdf</v>
      </c>
    </row>
    <row r="3461" spans="1:28" x14ac:dyDescent="0.25">
      <c r="A3461" t="s">
        <v>3465</v>
      </c>
      <c r="B3461">
        <v>0.99999676499088797</v>
      </c>
      <c r="C3461">
        <v>0.87073279864633801</v>
      </c>
      <c r="D3461">
        <v>0.82709799237145498</v>
      </c>
      <c r="E3461">
        <v>0.73841230270464397</v>
      </c>
      <c r="F3461">
        <v>0.59748663897752796</v>
      </c>
      <c r="G3461">
        <v>0.57567964784748804</v>
      </c>
      <c r="H3461">
        <v>0.62081984787409406</v>
      </c>
      <c r="I3461">
        <v>0.92475383855219095</v>
      </c>
      <c r="J3461">
        <v>0.96368015832295395</v>
      </c>
      <c r="K3461">
        <v>1.2673607561906799</v>
      </c>
      <c r="L3461">
        <v>2963.5286562730998</v>
      </c>
      <c r="M3461">
        <v>69.897855822841095</v>
      </c>
      <c r="O3461">
        <v>42.3633264856484</v>
      </c>
      <c r="P3461">
        <v>-7.6609013903993203E-2</v>
      </c>
      <c r="Q3461">
        <v>0.81427688175849</v>
      </c>
      <c r="R3461">
        <v>7.5856867148534193E-2</v>
      </c>
      <c r="S3461" t="s">
        <v>10464</v>
      </c>
      <c r="T3461" t="s">
        <v>14004</v>
      </c>
      <c r="U3461" t="s">
        <v>14004</v>
      </c>
      <c r="V3461" t="s">
        <v>14004</v>
      </c>
      <c r="W3461" t="s">
        <v>17421</v>
      </c>
      <c r="X3461">
        <v>12</v>
      </c>
      <c r="Y3461" t="s">
        <v>24274</v>
      </c>
      <c r="Z3461" t="s">
        <v>31171</v>
      </c>
      <c r="AA3461">
        <v>0.82934845744922792</v>
      </c>
      <c r="AB3461" t="str">
        <f>HYPERLINK("Melting_Curves/meltCurve_Q13243_SRSF5.pdf", "Melting_Curves/meltCurve_Q13243_SRSF5.pdf")</f>
        <v>Melting_Curves/meltCurve_Q13243_SRSF5.pdf</v>
      </c>
    </row>
    <row r="3462" spans="1:28" x14ac:dyDescent="0.25">
      <c r="A3462" t="s">
        <v>3466</v>
      </c>
      <c r="B3462">
        <v>0.99999676499088797</v>
      </c>
      <c r="C3462">
        <v>0.92871351803357105</v>
      </c>
      <c r="D3462">
        <v>0.86815479441015397</v>
      </c>
      <c r="E3462">
        <v>0.76560472537236002</v>
      </c>
      <c r="F3462">
        <v>0.41150062959661798</v>
      </c>
      <c r="G3462">
        <v>0.27656487130129098</v>
      </c>
      <c r="H3462">
        <v>0.178862231430994</v>
      </c>
      <c r="I3462">
        <v>0.180909774382571</v>
      </c>
      <c r="J3462">
        <v>0.17268515018511801</v>
      </c>
      <c r="K3462">
        <v>0.17077625231605301</v>
      </c>
      <c r="L3462">
        <v>966.00095259947705</v>
      </c>
      <c r="M3462">
        <v>18.825218639295699</v>
      </c>
      <c r="N3462">
        <v>52.349808170831402</v>
      </c>
      <c r="O3462">
        <v>50.745674796446401</v>
      </c>
      <c r="P3462">
        <v>-7.8327975608620398E-2</v>
      </c>
      <c r="Q3462">
        <v>0.155464432215982</v>
      </c>
      <c r="R3462">
        <v>0.99177121707718596</v>
      </c>
      <c r="S3462" t="s">
        <v>10465</v>
      </c>
      <c r="T3462" t="s">
        <v>14004</v>
      </c>
      <c r="U3462" t="s">
        <v>14004</v>
      </c>
      <c r="V3462" t="s">
        <v>14004</v>
      </c>
      <c r="W3462" t="s">
        <v>17422</v>
      </c>
      <c r="X3462">
        <v>17</v>
      </c>
      <c r="Y3462" t="s">
        <v>24275</v>
      </c>
      <c r="Z3462" t="s">
        <v>31172</v>
      </c>
      <c r="AA3462">
        <v>0.48705654895325579</v>
      </c>
      <c r="AB3462" t="str">
        <f>HYPERLINK("Melting_Curves/meltCurve_Q13247_3_SRSF6.pdf", "Melting_Curves/meltCurve_Q13247_3_SRSF6.pdf")</f>
        <v>Melting_Curves/meltCurve_Q13247_3_SRSF6.pdf</v>
      </c>
    </row>
    <row r="3463" spans="1:28" x14ac:dyDescent="0.25">
      <c r="A3463" t="s">
        <v>3467</v>
      </c>
      <c r="B3463">
        <v>0.99999676499088797</v>
      </c>
      <c r="C3463">
        <v>0.91424033726421905</v>
      </c>
      <c r="D3463">
        <v>0.76810393340896699</v>
      </c>
      <c r="E3463">
        <v>0.41489752817937597</v>
      </c>
      <c r="F3463">
        <v>0.238115240772096</v>
      </c>
      <c r="G3463">
        <v>0.182315182291372</v>
      </c>
      <c r="H3463">
        <v>0.116312969484969</v>
      </c>
      <c r="I3463">
        <v>9.1382187132209497E-2</v>
      </c>
      <c r="J3463">
        <v>7.1642876848067305E-2</v>
      </c>
      <c r="K3463">
        <v>6.2972303945708505E-2</v>
      </c>
      <c r="L3463">
        <v>880.62208453537596</v>
      </c>
      <c r="M3463">
        <v>18.177521568858701</v>
      </c>
      <c r="N3463">
        <v>48.929686628905301</v>
      </c>
      <c r="O3463">
        <v>47.870760838146801</v>
      </c>
      <c r="P3463">
        <v>-8.7122704527287403E-2</v>
      </c>
      <c r="Q3463">
        <v>8.2288110195669201E-2</v>
      </c>
      <c r="R3463">
        <v>0.99641807317985698</v>
      </c>
      <c r="S3463" t="s">
        <v>10466</v>
      </c>
      <c r="T3463" t="s">
        <v>14004</v>
      </c>
      <c r="U3463" t="s">
        <v>14004</v>
      </c>
      <c r="V3463" t="s">
        <v>14004</v>
      </c>
      <c r="W3463" t="s">
        <v>17423</v>
      </c>
      <c r="X3463">
        <v>9</v>
      </c>
      <c r="Y3463" t="s">
        <v>24276</v>
      </c>
      <c r="Z3463" t="s">
        <v>31173</v>
      </c>
      <c r="AA3463">
        <v>0.35641000170248838</v>
      </c>
      <c r="AB3463" t="str">
        <f>HYPERLINK("Melting_Curves/meltCurve_Q13257_MAD2L1.pdf", "Melting_Curves/meltCurve_Q13257_MAD2L1.pdf")</f>
        <v>Melting_Curves/meltCurve_Q13257_MAD2L1.pdf</v>
      </c>
    </row>
    <row r="3464" spans="1:28" x14ac:dyDescent="0.25">
      <c r="A3464" t="s">
        <v>3468</v>
      </c>
      <c r="B3464">
        <v>0.99999676499088797</v>
      </c>
      <c r="C3464">
        <v>1.1090317399811001</v>
      </c>
      <c r="D3464">
        <v>0.89717227497742003</v>
      </c>
      <c r="E3464">
        <v>0.32553716836931401</v>
      </c>
      <c r="F3464">
        <v>0.21113904397071501</v>
      </c>
      <c r="G3464">
        <v>0.14959374060792799</v>
      </c>
      <c r="H3464">
        <v>8.0221689138070595E-2</v>
      </c>
      <c r="I3464">
        <v>7.2047990459916597E-2</v>
      </c>
      <c r="J3464">
        <v>6.9187964501454605E-2</v>
      </c>
      <c r="K3464">
        <v>6.7670592335062896E-2</v>
      </c>
      <c r="L3464">
        <v>1888.4030163739999</v>
      </c>
      <c r="M3464">
        <v>39.063042943802998</v>
      </c>
      <c r="N3464">
        <v>48.623934068866198</v>
      </c>
      <c r="O3464">
        <v>48.216256593203099</v>
      </c>
      <c r="P3464">
        <v>-0.182044713906518</v>
      </c>
      <c r="Q3464">
        <v>0.101196736393442</v>
      </c>
      <c r="R3464">
        <v>0.983872143869993</v>
      </c>
      <c r="S3464" t="s">
        <v>10467</v>
      </c>
      <c r="T3464" t="s">
        <v>14004</v>
      </c>
      <c r="U3464" t="s">
        <v>14004</v>
      </c>
      <c r="V3464" t="s">
        <v>14004</v>
      </c>
      <c r="W3464" t="s">
        <v>17424</v>
      </c>
      <c r="X3464">
        <v>30</v>
      </c>
      <c r="Y3464" t="s">
        <v>24277</v>
      </c>
      <c r="Z3464" t="s">
        <v>31174</v>
      </c>
      <c r="AA3464">
        <v>0.35429537814258327</v>
      </c>
      <c r="AB3464" t="str">
        <f>HYPERLINK("Melting_Curves/meltCurve_Q13263_TRIM28.pdf", "Melting_Curves/meltCurve_Q13263_TRIM28.pdf")</f>
        <v>Melting_Curves/meltCurve_Q13263_TRIM28.pdf</v>
      </c>
    </row>
    <row r="3465" spans="1:28" x14ac:dyDescent="0.25">
      <c r="A3465" t="s">
        <v>3469</v>
      </c>
      <c r="B3465">
        <v>0.99999676499088797</v>
      </c>
      <c r="C3465">
        <v>1.0956923462739501</v>
      </c>
      <c r="D3465">
        <v>1.03274186731048</v>
      </c>
      <c r="E3465">
        <v>1.0965407639182601</v>
      </c>
      <c r="F3465">
        <v>1.05510930857809</v>
      </c>
      <c r="G3465">
        <v>0.76239386549663402</v>
      </c>
      <c r="H3465">
        <v>0.45878126858721002</v>
      </c>
      <c r="I3465">
        <v>0.26916398965845501</v>
      </c>
      <c r="J3465">
        <v>0.202810717901593</v>
      </c>
      <c r="K3465">
        <v>0.194745208642602</v>
      </c>
      <c r="L3465">
        <v>1709.0989518512099</v>
      </c>
      <c r="M3465">
        <v>28.9200067229431</v>
      </c>
      <c r="N3465">
        <v>60.070064149725297</v>
      </c>
      <c r="O3465">
        <v>58.817063653144103</v>
      </c>
      <c r="P3465">
        <v>-9.9943635339772893E-2</v>
      </c>
      <c r="Q3465">
        <v>0.18695096738995601</v>
      </c>
      <c r="R3465">
        <v>0.97817183348187098</v>
      </c>
      <c r="S3465" t="s">
        <v>10468</v>
      </c>
      <c r="T3465" t="s">
        <v>14004</v>
      </c>
      <c r="U3465" t="s">
        <v>14004</v>
      </c>
      <c r="V3465" t="s">
        <v>14004</v>
      </c>
      <c r="W3465" t="s">
        <v>17425</v>
      </c>
      <c r="X3465">
        <v>3</v>
      </c>
      <c r="Y3465" t="s">
        <v>24278</v>
      </c>
      <c r="Z3465" t="s">
        <v>31175</v>
      </c>
      <c r="AA3465">
        <v>0.70999632200143603</v>
      </c>
      <c r="AB3465" t="str">
        <f>HYPERLINK("Melting_Curves/meltCurve_Q13277_2_STX3.pdf", "Melting_Curves/meltCurve_Q13277_2_STX3.pdf")</f>
        <v>Melting_Curves/meltCurve_Q13277_2_STX3.pdf</v>
      </c>
    </row>
    <row r="3466" spans="1:28" x14ac:dyDescent="0.25">
      <c r="A3466" t="s">
        <v>3470</v>
      </c>
      <c r="B3466">
        <v>0.99999676499088797</v>
      </c>
      <c r="C3466">
        <v>0.928289784731681</v>
      </c>
      <c r="D3466">
        <v>0.87636105293292199</v>
      </c>
      <c r="E3466">
        <v>0.75186525677137706</v>
      </c>
      <c r="F3466">
        <v>0.36067959064907101</v>
      </c>
      <c r="G3466">
        <v>0.18241262297833999</v>
      </c>
      <c r="H3466">
        <v>9.32878688784336E-2</v>
      </c>
      <c r="I3466">
        <v>9.6481541380251001E-2</v>
      </c>
      <c r="J3466">
        <v>9.7169392509636507E-2</v>
      </c>
      <c r="K3466">
        <v>9.3974246435964706E-2</v>
      </c>
      <c r="L3466">
        <v>1088.8590677900199</v>
      </c>
      <c r="M3466">
        <v>21.1916606548305</v>
      </c>
      <c r="N3466">
        <v>51.803501274736199</v>
      </c>
      <c r="O3466">
        <v>50.9305325627397</v>
      </c>
      <c r="P3466">
        <v>-9.5778538038087502E-2</v>
      </c>
      <c r="Q3466">
        <v>7.9274807448554099E-2</v>
      </c>
      <c r="R3466">
        <v>0.99338561943335002</v>
      </c>
      <c r="S3466" t="s">
        <v>10469</v>
      </c>
      <c r="T3466" t="s">
        <v>14004</v>
      </c>
      <c r="U3466" t="s">
        <v>14004</v>
      </c>
      <c r="V3466" t="s">
        <v>14004</v>
      </c>
      <c r="W3466" t="s">
        <v>17426</v>
      </c>
      <c r="X3466">
        <v>25</v>
      </c>
      <c r="Y3466" t="s">
        <v>24279</v>
      </c>
      <c r="Z3466" t="s">
        <v>31176</v>
      </c>
      <c r="AA3466">
        <v>0.44004788269674999</v>
      </c>
      <c r="AB3466" t="str">
        <f>HYPERLINK("Melting_Curves/meltCurve_Q13283_G3BP1.pdf", "Melting_Curves/meltCurve_Q13283_G3BP1.pdf")</f>
        <v>Melting_Curves/meltCurve_Q13283_G3BP1.pdf</v>
      </c>
    </row>
    <row r="3467" spans="1:28" x14ac:dyDescent="0.25">
      <c r="A3467" t="s">
        <v>3471</v>
      </c>
      <c r="B3467">
        <v>0.99999676499088797</v>
      </c>
      <c r="C3467">
        <v>0.97930768920643996</v>
      </c>
      <c r="D3467">
        <v>1.0165462371388201</v>
      </c>
      <c r="E3467">
        <v>1.1705640323737201</v>
      </c>
      <c r="F3467">
        <v>1.1700125793294001</v>
      </c>
      <c r="G3467">
        <v>0.852927676951868</v>
      </c>
      <c r="H3467">
        <v>0.228059698959864</v>
      </c>
      <c r="I3467">
        <v>0.15065322773996701</v>
      </c>
      <c r="J3467">
        <v>0.134767274238489</v>
      </c>
      <c r="K3467">
        <v>0.122181537896595</v>
      </c>
      <c r="L3467">
        <v>3326.8306046171901</v>
      </c>
      <c r="M3467">
        <v>56.908301638963501</v>
      </c>
      <c r="N3467">
        <v>58.784785816934999</v>
      </c>
      <c r="O3467">
        <v>58.387439398583403</v>
      </c>
      <c r="P3467">
        <v>-0.21075440043338101</v>
      </c>
      <c r="Q3467">
        <v>0.135071461580691</v>
      </c>
      <c r="R3467">
        <v>0.96848632668907897</v>
      </c>
      <c r="S3467" t="s">
        <v>10470</v>
      </c>
      <c r="T3467" t="s">
        <v>14004</v>
      </c>
      <c r="U3467" t="s">
        <v>14004</v>
      </c>
      <c r="V3467" t="s">
        <v>14004</v>
      </c>
      <c r="W3467" t="s">
        <v>17427</v>
      </c>
      <c r="X3467">
        <v>13</v>
      </c>
      <c r="Y3467" t="s">
        <v>24280</v>
      </c>
      <c r="Z3467" t="s">
        <v>31177</v>
      </c>
      <c r="AA3467">
        <v>0.66899206525745858</v>
      </c>
      <c r="AB3467" t="str">
        <f>HYPERLINK("Melting_Curves/meltCurve_Q13287_NMI.pdf", "Melting_Curves/meltCurve_Q13287_NMI.pdf")</f>
        <v>Melting_Curves/meltCurve_Q13287_NMI.pdf</v>
      </c>
    </row>
    <row r="3468" spans="1:28" x14ac:dyDescent="0.25">
      <c r="A3468" t="s">
        <v>3472</v>
      </c>
      <c r="B3468">
        <v>0.99999676499088797</v>
      </c>
      <c r="C3468">
        <v>1.00614772233298</v>
      </c>
      <c r="D3468">
        <v>1.0676867472620599</v>
      </c>
      <c r="E3468">
        <v>1.3214445539553701</v>
      </c>
      <c r="F3468">
        <v>1.4262294390185599</v>
      </c>
      <c r="G3468">
        <v>1.3454475279510001</v>
      </c>
      <c r="H3468">
        <v>0.81652244547477104</v>
      </c>
      <c r="I3468">
        <v>0.64450091485859096</v>
      </c>
      <c r="J3468">
        <v>0.461619221892756</v>
      </c>
      <c r="K3468">
        <v>0.74997177797697601</v>
      </c>
      <c r="L3468">
        <v>8395.3385037618009</v>
      </c>
      <c r="M3468">
        <v>138.00309983291299</v>
      </c>
      <c r="O3468">
        <v>60.821653683237102</v>
      </c>
      <c r="P3468">
        <v>-0.21638867918193699</v>
      </c>
      <c r="Q3468">
        <v>0.61852695436549898</v>
      </c>
      <c r="R3468">
        <v>0.50857336411035203</v>
      </c>
      <c r="S3468" t="s">
        <v>10471</v>
      </c>
      <c r="T3468" t="s">
        <v>14004</v>
      </c>
      <c r="U3468" t="s">
        <v>14004</v>
      </c>
      <c r="V3468" t="s">
        <v>14004</v>
      </c>
      <c r="W3468" t="s">
        <v>17428</v>
      </c>
      <c r="X3468">
        <v>20</v>
      </c>
      <c r="Y3468" t="s">
        <v>24281</v>
      </c>
      <c r="Z3468" t="s">
        <v>31178</v>
      </c>
      <c r="AA3468">
        <v>0.88358632995147812</v>
      </c>
      <c r="AB3468" t="str">
        <f>HYPERLINK("Melting_Curves/meltCurve_Q13303_KCNAB2.pdf", "Melting_Curves/meltCurve_Q13303_KCNAB2.pdf")</f>
        <v>Melting_Curves/meltCurve_Q13303_KCNAB2.pdf</v>
      </c>
    </row>
    <row r="3469" spans="1:28" x14ac:dyDescent="0.25">
      <c r="A3469" t="s">
        <v>3473</v>
      </c>
      <c r="B3469">
        <v>0.99999676499088797</v>
      </c>
      <c r="C3469">
        <v>1.16913666581441</v>
      </c>
      <c r="D3469">
        <v>0.99650612717378095</v>
      </c>
      <c r="E3469">
        <v>0.72215145230407696</v>
      </c>
      <c r="F3469">
        <v>0.57537275635299301</v>
      </c>
      <c r="G3469">
        <v>0.63324714251862102</v>
      </c>
      <c r="H3469">
        <v>0.42048524166574602</v>
      </c>
      <c r="I3469">
        <v>0.39353759173682501</v>
      </c>
      <c r="J3469">
        <v>0.22442891496318301</v>
      </c>
      <c r="K3469">
        <v>0.39402997917226201</v>
      </c>
      <c r="L3469">
        <v>760.51453496838701</v>
      </c>
      <c r="M3469">
        <v>14.3704591896647</v>
      </c>
      <c r="N3469">
        <v>56.991662985406897</v>
      </c>
      <c r="O3469">
        <v>51.9289097484249</v>
      </c>
      <c r="P3469">
        <v>-4.6994416552428801E-2</v>
      </c>
      <c r="Q3469">
        <v>0.32080743925611999</v>
      </c>
      <c r="R3469">
        <v>0.89811913823441303</v>
      </c>
      <c r="S3469" t="s">
        <v>10472</v>
      </c>
      <c r="T3469" t="s">
        <v>14004</v>
      </c>
      <c r="U3469" t="s">
        <v>14004</v>
      </c>
      <c r="V3469" t="s">
        <v>14004</v>
      </c>
      <c r="W3469" t="s">
        <v>17429</v>
      </c>
      <c r="X3469">
        <v>19</v>
      </c>
      <c r="Y3469" t="s">
        <v>24281</v>
      </c>
      <c r="Z3469" t="s">
        <v>31179</v>
      </c>
      <c r="AA3469">
        <v>0.6289149829364391</v>
      </c>
      <c r="AB3469" t="str">
        <f>HYPERLINK("Melting_Curves/meltCurve_Q13303_2_KCNAB2.pdf", "Melting_Curves/meltCurve_Q13303_2_KCNAB2.pdf")</f>
        <v>Melting_Curves/meltCurve_Q13303_2_KCNAB2.pdf</v>
      </c>
    </row>
    <row r="3470" spans="1:28" x14ac:dyDescent="0.25">
      <c r="A3470" t="s">
        <v>3474</v>
      </c>
      <c r="B3470">
        <v>0.99999676499088797</v>
      </c>
      <c r="C3470">
        <v>0.983864214972755</v>
      </c>
      <c r="D3470">
        <v>0.998823411744306</v>
      </c>
      <c r="E3470">
        <v>1.0574694115509999</v>
      </c>
      <c r="F3470">
        <v>0.79974849034178397</v>
      </c>
      <c r="G3470">
        <v>0.39830005342168201</v>
      </c>
      <c r="H3470">
        <v>0.15707739193303699</v>
      </c>
      <c r="I3470">
        <v>0.145987551266966</v>
      </c>
      <c r="J3470">
        <v>0.14974875877670199</v>
      </c>
      <c r="K3470">
        <v>0.147132393524465</v>
      </c>
      <c r="L3470">
        <v>1909.65418841833</v>
      </c>
      <c r="M3470">
        <v>34.5534987502324</v>
      </c>
      <c r="N3470">
        <v>55.800042749106296</v>
      </c>
      <c r="O3470">
        <v>55.082455725807002</v>
      </c>
      <c r="P3470">
        <v>-0.134767680788733</v>
      </c>
      <c r="Q3470">
        <v>0.14065912048677201</v>
      </c>
      <c r="R3470">
        <v>0.99560555309515597</v>
      </c>
      <c r="S3470" t="s">
        <v>10473</v>
      </c>
      <c r="T3470" t="s">
        <v>14004</v>
      </c>
      <c r="U3470" t="s">
        <v>14004</v>
      </c>
      <c r="V3470" t="s">
        <v>14004</v>
      </c>
      <c r="W3470" t="s">
        <v>17430</v>
      </c>
      <c r="X3470">
        <v>21</v>
      </c>
      <c r="Y3470" t="s">
        <v>24282</v>
      </c>
      <c r="Z3470" t="s">
        <v>31180</v>
      </c>
      <c r="AA3470">
        <v>0.58232490431790596</v>
      </c>
      <c r="AB3470" t="str">
        <f>HYPERLINK("Melting_Curves/meltCurve_Q13308_PTK7.pdf", "Melting_Curves/meltCurve_Q13308_PTK7.pdf")</f>
        <v>Melting_Curves/meltCurve_Q13308_PTK7.pdf</v>
      </c>
    </row>
    <row r="3471" spans="1:28" x14ac:dyDescent="0.25">
      <c r="A3471" t="s">
        <v>3475</v>
      </c>
      <c r="B3471">
        <v>0.99999676499088797</v>
      </c>
      <c r="C3471">
        <v>0.89972050939751902</v>
      </c>
      <c r="D3471">
        <v>0.42774536467129898</v>
      </c>
      <c r="E3471">
        <v>0.18271224153459001</v>
      </c>
      <c r="F3471">
        <v>0.115180617781467</v>
      </c>
      <c r="G3471">
        <v>6.0592332251072301E-2</v>
      </c>
      <c r="H3471">
        <v>3.2430262738327997E-2</v>
      </c>
      <c r="I3471">
        <v>2.7149506295586299E-2</v>
      </c>
      <c r="J3471">
        <v>2.4424265863157799E-2</v>
      </c>
      <c r="K3471">
        <v>2.4336044880337901E-2</v>
      </c>
      <c r="L3471">
        <v>1275.12899569516</v>
      </c>
      <c r="M3471">
        <v>27.955433025999799</v>
      </c>
      <c r="N3471">
        <v>45.775891433448102</v>
      </c>
      <c r="O3471">
        <v>45.381434015949402</v>
      </c>
      <c r="P3471">
        <v>-0.14670927944469001</v>
      </c>
      <c r="Q3471">
        <v>4.7366587046276297E-2</v>
      </c>
      <c r="R3471">
        <v>0.99226994487284303</v>
      </c>
      <c r="S3471" t="s">
        <v>10474</v>
      </c>
      <c r="T3471" t="s">
        <v>14004</v>
      </c>
      <c r="U3471" t="s">
        <v>14004</v>
      </c>
      <c r="V3471" t="s">
        <v>14004</v>
      </c>
      <c r="W3471" t="s">
        <v>17431</v>
      </c>
      <c r="X3471">
        <v>3</v>
      </c>
      <c r="Y3471" t="s">
        <v>24283</v>
      </c>
      <c r="Z3471" t="s">
        <v>31181</v>
      </c>
      <c r="AA3471">
        <v>0.23253904192356331</v>
      </c>
      <c r="AB3471" t="str">
        <f>HYPERLINK("Melting_Curves/meltCurve_Q13309_SKP2.pdf", "Melting_Curves/meltCurve_Q13309_SKP2.pdf")</f>
        <v>Melting_Curves/meltCurve_Q13309_SKP2.pdf</v>
      </c>
    </row>
    <row r="3472" spans="1:28" x14ac:dyDescent="0.25">
      <c r="A3472" t="s">
        <v>3476</v>
      </c>
      <c r="B3472">
        <v>0.99999676499088797</v>
      </c>
      <c r="C3472">
        <v>1.1118508901300701</v>
      </c>
      <c r="D3472">
        <v>0.98432205666953199</v>
      </c>
      <c r="E3472">
        <v>0.59847000273303796</v>
      </c>
      <c r="F3472">
        <v>0.18715602636206999</v>
      </c>
      <c r="G3472">
        <v>0.18384775157208999</v>
      </c>
      <c r="H3472">
        <v>7.3166353580064306E-2</v>
      </c>
      <c r="I3472">
        <v>6.4528066187458696E-2</v>
      </c>
      <c r="J3472">
        <v>5.8340723942143E-2</v>
      </c>
      <c r="K3472">
        <v>5.6381829898689798E-2</v>
      </c>
      <c r="L3472">
        <v>1708.70683080653</v>
      </c>
      <c r="M3472">
        <v>34.146871081154899</v>
      </c>
      <c r="N3472">
        <v>50.304941091377202</v>
      </c>
      <c r="O3472">
        <v>49.869237431810802</v>
      </c>
      <c r="P3472">
        <v>-0.15709197220580601</v>
      </c>
      <c r="Q3472">
        <v>8.2314013405392905E-2</v>
      </c>
      <c r="R3472">
        <v>0.98696111477823401</v>
      </c>
      <c r="S3472" t="s">
        <v>10475</v>
      </c>
      <c r="T3472" t="s">
        <v>14004</v>
      </c>
      <c r="U3472" t="s">
        <v>14004</v>
      </c>
      <c r="V3472" t="s">
        <v>14004</v>
      </c>
      <c r="W3472" t="s">
        <v>17432</v>
      </c>
      <c r="X3472">
        <v>24</v>
      </c>
      <c r="Y3472" t="s">
        <v>24284</v>
      </c>
      <c r="Z3472" t="s">
        <v>31182</v>
      </c>
      <c r="AA3472">
        <v>0.39380157036477631</v>
      </c>
      <c r="AB3472" t="str">
        <f>HYPERLINK("Melting_Curves/meltCurve_Q13310_3_PABPC4.pdf", "Melting_Curves/meltCurve_Q13310_3_PABPC4.pdf")</f>
        <v>Melting_Curves/meltCurve_Q13310_3_PABPC4.pdf</v>
      </c>
    </row>
    <row r="3473" spans="1:28" x14ac:dyDescent="0.25">
      <c r="A3473" t="s">
        <v>3477</v>
      </c>
      <c r="B3473">
        <v>0.99999676499088797</v>
      </c>
      <c r="C3473">
        <v>0.96414435549061706</v>
      </c>
      <c r="D3473">
        <v>0.54094997836560399</v>
      </c>
      <c r="E3473">
        <v>0.22683926575135799</v>
      </c>
      <c r="F3473">
        <v>0.18727833736881799</v>
      </c>
      <c r="G3473">
        <v>0.14670301358788099</v>
      </c>
      <c r="H3473">
        <v>8.1801927967219801E-2</v>
      </c>
      <c r="I3473">
        <v>8.7274269184748204E-2</v>
      </c>
      <c r="J3473">
        <v>6.7078437494247495E-2</v>
      </c>
      <c r="K3473">
        <v>8.1347809769918095E-2</v>
      </c>
      <c r="L3473">
        <v>1369.4593806640401</v>
      </c>
      <c r="M3473">
        <v>29.684274863754499</v>
      </c>
      <c r="N3473">
        <v>46.508229121855997</v>
      </c>
      <c r="O3473">
        <v>45.926315287318701</v>
      </c>
      <c r="P3473">
        <v>-0.14442810537610301</v>
      </c>
      <c r="Q3473">
        <v>0.10619267123250301</v>
      </c>
      <c r="R3473">
        <v>0.98952825870057404</v>
      </c>
      <c r="S3473" t="s">
        <v>10476</v>
      </c>
      <c r="T3473" t="s">
        <v>14004</v>
      </c>
      <c r="U3473" t="s">
        <v>14004</v>
      </c>
      <c r="V3473" t="s">
        <v>14004</v>
      </c>
      <c r="W3473" t="s">
        <v>17433</v>
      </c>
      <c r="X3473">
        <v>6</v>
      </c>
      <c r="Y3473" t="s">
        <v>24285</v>
      </c>
      <c r="Z3473" t="s">
        <v>31183</v>
      </c>
      <c r="AA3473">
        <v>0.29450747012017708</v>
      </c>
      <c r="AB3473" t="str">
        <f>HYPERLINK("Melting_Curves/meltCurve_Q13325_IFIT5.pdf", "Melting_Curves/meltCurve_Q13325_IFIT5.pdf")</f>
        <v>Melting_Curves/meltCurve_Q13325_IFIT5.pdf</v>
      </c>
    </row>
    <row r="3474" spans="1:28" x14ac:dyDescent="0.25">
      <c r="A3474" t="s">
        <v>3478</v>
      </c>
      <c r="B3474">
        <v>0.99999676499088797</v>
      </c>
      <c r="C3474">
        <v>0.930795765656243</v>
      </c>
      <c r="D3474">
        <v>0.76267944364246498</v>
      </c>
      <c r="E3474">
        <v>0.60592820606281805</v>
      </c>
      <c r="F3474">
        <v>0.37931022681590798</v>
      </c>
      <c r="G3474">
        <v>0.218249020636681</v>
      </c>
      <c r="H3474">
        <v>9.4958446702663499E-2</v>
      </c>
      <c r="I3474">
        <v>0.10964245071824</v>
      </c>
      <c r="J3474">
        <v>0.11931395769387899</v>
      </c>
      <c r="K3474">
        <v>9.9369352499573196E-2</v>
      </c>
      <c r="L3474">
        <v>707.73874821196603</v>
      </c>
      <c r="M3474">
        <v>14.0648809639885</v>
      </c>
      <c r="N3474">
        <v>50.846421059218301</v>
      </c>
      <c r="O3474">
        <v>49.335102822689699</v>
      </c>
      <c r="P3474">
        <v>-6.6448082880190301E-2</v>
      </c>
      <c r="Q3474">
        <v>6.7806682299573803E-2</v>
      </c>
      <c r="R3474">
        <v>0.99466535324641603</v>
      </c>
      <c r="S3474" t="s">
        <v>10477</v>
      </c>
      <c r="T3474" t="s">
        <v>14004</v>
      </c>
      <c r="U3474" t="s">
        <v>14004</v>
      </c>
      <c r="V3474" t="s">
        <v>14004</v>
      </c>
      <c r="W3474" t="s">
        <v>17434</v>
      </c>
      <c r="X3474">
        <v>24</v>
      </c>
      <c r="Y3474" t="s">
        <v>24286</v>
      </c>
      <c r="Z3474" t="s">
        <v>31184</v>
      </c>
      <c r="AA3474">
        <v>0.41302628791160539</v>
      </c>
      <c r="AB3474" t="str">
        <f>HYPERLINK("Melting_Curves/meltCurve_Q13330_3_MTA1.pdf", "Melting_Curves/meltCurve_Q13330_3_MTA1.pdf")</f>
        <v>Melting_Curves/meltCurve_Q13330_3_MTA1.pdf</v>
      </c>
    </row>
    <row r="3475" spans="1:28" x14ac:dyDescent="0.25">
      <c r="A3475" t="s">
        <v>3479</v>
      </c>
      <c r="B3475">
        <v>0.99999676499088797</v>
      </c>
      <c r="C3475">
        <v>0.97612961856310299</v>
      </c>
      <c r="D3475">
        <v>0.949426868473912</v>
      </c>
      <c r="E3475">
        <v>0.70003352843656996</v>
      </c>
      <c r="F3475">
        <v>0.523323023985099</v>
      </c>
      <c r="G3475">
        <v>0.38953973466914699</v>
      </c>
      <c r="H3475">
        <v>0.20405590055227801</v>
      </c>
      <c r="I3475">
        <v>0.21946435186987501</v>
      </c>
      <c r="J3475">
        <v>0.19072540635832999</v>
      </c>
      <c r="K3475">
        <v>0.167538073374532</v>
      </c>
      <c r="L3475">
        <v>795.79530111106101</v>
      </c>
      <c r="M3475">
        <v>15.2258385873275</v>
      </c>
      <c r="N3475">
        <v>53.586934947665902</v>
      </c>
      <c r="O3475">
        <v>51.389417625665203</v>
      </c>
      <c r="P3475">
        <v>-6.2488236706814602E-2</v>
      </c>
      <c r="Q3475">
        <v>0.156453233294923</v>
      </c>
      <c r="R3475">
        <v>0.99328409639440696</v>
      </c>
      <c r="S3475" t="s">
        <v>10478</v>
      </c>
      <c r="T3475" t="s">
        <v>14004</v>
      </c>
      <c r="U3475" t="s">
        <v>14004</v>
      </c>
      <c r="V3475" t="s">
        <v>14004</v>
      </c>
      <c r="W3475" t="s">
        <v>17435</v>
      </c>
      <c r="X3475">
        <v>11</v>
      </c>
      <c r="Y3475" t="s">
        <v>24287</v>
      </c>
      <c r="Z3475" t="s">
        <v>31185</v>
      </c>
      <c r="AA3475">
        <v>0.51962076174853644</v>
      </c>
      <c r="AB3475" t="str">
        <f>HYPERLINK("Melting_Curves/meltCurve_Q13332_6_PTPRS.pdf", "Melting_Curves/meltCurve_Q13332_6_PTPRS.pdf")</f>
        <v>Melting_Curves/meltCurve_Q13332_6_PTPRS.pdf</v>
      </c>
    </row>
    <row r="3476" spans="1:28" x14ac:dyDescent="0.25">
      <c r="A3476" t="s">
        <v>3480</v>
      </c>
      <c r="B3476">
        <v>0.99999676499088797</v>
      </c>
      <c r="C3476">
        <v>0.942969074664888</v>
      </c>
      <c r="D3476">
        <v>0.84467497900781896</v>
      </c>
      <c r="E3476">
        <v>0.46880864847043002</v>
      </c>
      <c r="F3476">
        <v>0.169833491043343</v>
      </c>
      <c r="G3476">
        <v>0.117656928756335</v>
      </c>
      <c r="H3476">
        <v>6.3231223121794203E-2</v>
      </c>
      <c r="I3476">
        <v>6.9030171737019599E-2</v>
      </c>
      <c r="J3476">
        <v>5.6230779196510199E-2</v>
      </c>
      <c r="K3476">
        <v>4.9165139162669097E-2</v>
      </c>
      <c r="L3476">
        <v>1157.5211532147</v>
      </c>
      <c r="M3476">
        <v>23.606239561849002</v>
      </c>
      <c r="N3476">
        <v>49.292613334877203</v>
      </c>
      <c r="O3476">
        <v>48.6867238264185</v>
      </c>
      <c r="P3476">
        <v>-0.114170807227018</v>
      </c>
      <c r="Q3476">
        <v>5.8128902672610797E-2</v>
      </c>
      <c r="R3476">
        <v>0.99877239875077495</v>
      </c>
      <c r="S3476" t="s">
        <v>10479</v>
      </c>
      <c r="T3476" t="s">
        <v>14004</v>
      </c>
      <c r="U3476" t="s">
        <v>14004</v>
      </c>
      <c r="V3476" t="s">
        <v>14004</v>
      </c>
      <c r="W3476" t="s">
        <v>17436</v>
      </c>
      <c r="X3476">
        <v>19</v>
      </c>
      <c r="Y3476" t="s">
        <v>24288</v>
      </c>
      <c r="Z3476" t="s">
        <v>31186</v>
      </c>
      <c r="AA3476">
        <v>0.35116907239910761</v>
      </c>
      <c r="AB3476" t="str">
        <f>HYPERLINK("Melting_Curves/meltCurve_Q13347_EIF3I.pdf", "Melting_Curves/meltCurve_Q13347_EIF3I.pdf")</f>
        <v>Melting_Curves/meltCurve_Q13347_EIF3I.pdf</v>
      </c>
    </row>
    <row r="3477" spans="1:28" x14ac:dyDescent="0.25">
      <c r="A3477" t="s">
        <v>3481</v>
      </c>
      <c r="B3477">
        <v>0.99999676499088797</v>
      </c>
      <c r="C3477">
        <v>0.93454756975895104</v>
      </c>
      <c r="D3477">
        <v>0.65716618298590901</v>
      </c>
      <c r="E3477">
        <v>0.26869071030206598</v>
      </c>
      <c r="F3477">
        <v>0.13415279726426299</v>
      </c>
      <c r="G3477">
        <v>8.6251465126779003E-2</v>
      </c>
      <c r="H3477">
        <v>4.2120686160290702E-2</v>
      </c>
      <c r="I3477">
        <v>4.3564694628887499E-2</v>
      </c>
      <c r="J3477">
        <v>5.28845413082756E-2</v>
      </c>
      <c r="K3477">
        <v>3.4761840836005899E-2</v>
      </c>
      <c r="L3477">
        <v>1116.6176324717101</v>
      </c>
      <c r="M3477">
        <v>23.669688423865701</v>
      </c>
      <c r="N3477">
        <v>47.3851653484653</v>
      </c>
      <c r="O3477">
        <v>46.842146034856398</v>
      </c>
      <c r="P3477">
        <v>-0.120033551045254</v>
      </c>
      <c r="Q3477">
        <v>4.98336845362502E-2</v>
      </c>
      <c r="R3477">
        <v>0.99854178520293402</v>
      </c>
      <c r="S3477" t="s">
        <v>10480</v>
      </c>
      <c r="T3477" t="s">
        <v>14004</v>
      </c>
      <c r="U3477" t="s">
        <v>14004</v>
      </c>
      <c r="V3477" t="s">
        <v>14004</v>
      </c>
      <c r="W3477" t="s">
        <v>17437</v>
      </c>
      <c r="X3477">
        <v>5</v>
      </c>
      <c r="Y3477" t="s">
        <v>24289</v>
      </c>
      <c r="Z3477" t="s">
        <v>31187</v>
      </c>
      <c r="AA3477">
        <v>0.2866174541517908</v>
      </c>
      <c r="AB3477" t="str">
        <f>HYPERLINK("Melting_Curves/meltCurve_Q13356_PPIL2.pdf", "Melting_Curves/meltCurve_Q13356_PPIL2.pdf")</f>
        <v>Melting_Curves/meltCurve_Q13356_PPIL2.pdf</v>
      </c>
    </row>
    <row r="3478" spans="1:28" x14ac:dyDescent="0.25">
      <c r="A3478" t="s">
        <v>3482</v>
      </c>
      <c r="B3478">
        <v>0.99999676499088797</v>
      </c>
      <c r="C3478">
        <v>0.84750817385010901</v>
      </c>
      <c r="D3478">
        <v>0.83077144189997798</v>
      </c>
      <c r="E3478">
        <v>0.49712762011644901</v>
      </c>
      <c r="F3478">
        <v>0.22194242416516799</v>
      </c>
      <c r="G3478">
        <v>0.210773770129634</v>
      </c>
      <c r="H3478">
        <v>7.7130853479211295E-2</v>
      </c>
      <c r="I3478">
        <v>7.5355095797808802E-2</v>
      </c>
      <c r="J3478">
        <v>6.20452340439855E-2</v>
      </c>
      <c r="K3478">
        <v>7.61439873656021E-2</v>
      </c>
      <c r="L3478">
        <v>826.30346930638405</v>
      </c>
      <c r="M3478">
        <v>16.791104431953201</v>
      </c>
      <c r="N3478">
        <v>49.592600409134597</v>
      </c>
      <c r="O3478">
        <v>48.528693413474002</v>
      </c>
      <c r="P3478">
        <v>-8.1261323810684502E-2</v>
      </c>
      <c r="Q3478">
        <v>6.0633655910009202E-2</v>
      </c>
      <c r="R3478">
        <v>0.987355646093384</v>
      </c>
      <c r="S3478" t="s">
        <v>10481</v>
      </c>
      <c r="T3478" t="s">
        <v>14004</v>
      </c>
      <c r="U3478" t="s">
        <v>14004</v>
      </c>
      <c r="V3478" t="s">
        <v>14004</v>
      </c>
      <c r="W3478" t="s">
        <v>17438</v>
      </c>
      <c r="X3478">
        <v>13</v>
      </c>
      <c r="Y3478" t="s">
        <v>24290</v>
      </c>
      <c r="Z3478" t="s">
        <v>31188</v>
      </c>
      <c r="AA3478">
        <v>0.36761354085348852</v>
      </c>
      <c r="AB3478" t="str">
        <f>HYPERLINK("Melting_Curves/meltCurve_Q13362_2_PPP2R5C.pdf", "Melting_Curves/meltCurve_Q13362_2_PPP2R5C.pdf")</f>
        <v>Melting_Curves/meltCurve_Q13362_2_PPP2R5C.pdf</v>
      </c>
    </row>
    <row r="3479" spans="1:28" x14ac:dyDescent="0.25">
      <c r="A3479" t="s">
        <v>3483</v>
      </c>
      <c r="B3479">
        <v>0.99999676499088797</v>
      </c>
      <c r="C3479">
        <v>0.90336619363081305</v>
      </c>
      <c r="D3479">
        <v>0.81215487328159597</v>
      </c>
      <c r="E3479">
        <v>0.29103942574563701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1498.8715625700299</v>
      </c>
      <c r="M3479">
        <v>31.172469506791501</v>
      </c>
      <c r="N3479">
        <v>48.083195377688703</v>
      </c>
      <c r="O3479">
        <v>47.8866077424642</v>
      </c>
      <c r="P3479">
        <v>-0.162741995032087</v>
      </c>
      <c r="Q3479">
        <v>0</v>
      </c>
      <c r="R3479">
        <v>0.99514590897695898</v>
      </c>
      <c r="S3479" t="s">
        <v>10482</v>
      </c>
      <c r="T3479" t="s">
        <v>14004</v>
      </c>
      <c r="U3479" t="s">
        <v>14004</v>
      </c>
      <c r="V3479" t="s">
        <v>14004</v>
      </c>
      <c r="W3479" t="s">
        <v>17439</v>
      </c>
      <c r="X3479">
        <v>16</v>
      </c>
      <c r="Y3479" t="s">
        <v>24290</v>
      </c>
      <c r="Z3479" t="s">
        <v>31189</v>
      </c>
      <c r="AA3479">
        <v>0.27500070280171041</v>
      </c>
      <c r="AB3479" t="str">
        <f>HYPERLINK("Melting_Curves/meltCurve_Q13362_3_PPP2R5C.pdf", "Melting_Curves/meltCurve_Q13362_3_PPP2R5C.pdf")</f>
        <v>Melting_Curves/meltCurve_Q13362_3_PPP2R5C.pdf</v>
      </c>
    </row>
    <row r="3480" spans="1:28" x14ac:dyDescent="0.25">
      <c r="A3480" t="s">
        <v>3484</v>
      </c>
      <c r="B3480">
        <v>0.99999676499088797</v>
      </c>
      <c r="C3480">
        <v>1.0072916364893101</v>
      </c>
      <c r="D3480">
        <v>0.98585261964718396</v>
      </c>
      <c r="E3480">
        <v>0.60883526745488004</v>
      </c>
      <c r="F3480">
        <v>0.27760622793602802</v>
      </c>
      <c r="G3480">
        <v>0.18732097154024799</v>
      </c>
      <c r="H3480">
        <v>7.6667277315162097E-2</v>
      </c>
      <c r="I3480">
        <v>8.4612914857983501E-2</v>
      </c>
      <c r="J3480">
        <v>7.6090285327928206E-2</v>
      </c>
      <c r="K3480">
        <v>6.0734008750111403E-2</v>
      </c>
      <c r="L3480">
        <v>1293.58424009585</v>
      </c>
      <c r="M3480">
        <v>25.643354704074799</v>
      </c>
      <c r="N3480">
        <v>50.800593360723099</v>
      </c>
      <c r="O3480">
        <v>50.141426660512899</v>
      </c>
      <c r="P3480">
        <v>-0.11735809906415801</v>
      </c>
      <c r="Q3480">
        <v>8.2112164034526203E-2</v>
      </c>
      <c r="R3480">
        <v>0.99466397539817897</v>
      </c>
      <c r="S3480" t="s">
        <v>10483</v>
      </c>
      <c r="T3480" t="s">
        <v>14004</v>
      </c>
      <c r="U3480" t="s">
        <v>14004</v>
      </c>
      <c r="V3480" t="s">
        <v>14004</v>
      </c>
      <c r="W3480" t="s">
        <v>17440</v>
      </c>
      <c r="X3480">
        <v>17</v>
      </c>
      <c r="Y3480" t="s">
        <v>24290</v>
      </c>
      <c r="Z3480" t="s">
        <v>31190</v>
      </c>
      <c r="AA3480">
        <v>0.40953144622716381</v>
      </c>
      <c r="AB3480" t="str">
        <f>HYPERLINK("Melting_Curves/meltCurve_Q13362_4_PPP2R5C.pdf", "Melting_Curves/meltCurve_Q13362_4_PPP2R5C.pdf")</f>
        <v>Melting_Curves/meltCurve_Q13362_4_PPP2R5C.pdf</v>
      </c>
    </row>
    <row r="3481" spans="1:28" x14ac:dyDescent="0.25">
      <c r="A3481" t="s">
        <v>3485</v>
      </c>
      <c r="B3481">
        <v>0.99999676499088797</v>
      </c>
      <c r="C3481">
        <v>0.96482062821839698</v>
      </c>
      <c r="D3481">
        <v>0.98076236566791797</v>
      </c>
      <c r="E3481">
        <v>0.99417026133073105</v>
      </c>
      <c r="F3481">
        <v>0.984814689956513</v>
      </c>
      <c r="G3481">
        <v>0.76879676778348205</v>
      </c>
      <c r="H3481">
        <v>0.48370802223522302</v>
      </c>
      <c r="I3481">
        <v>0.25213343477115902</v>
      </c>
      <c r="J3481">
        <v>0.164182433519419</v>
      </c>
      <c r="K3481">
        <v>0.121520245584593</v>
      </c>
      <c r="L3481">
        <v>1354.37091070418</v>
      </c>
      <c r="M3481">
        <v>22.612842178248901</v>
      </c>
      <c r="N3481">
        <v>60.411500517741203</v>
      </c>
      <c r="O3481">
        <v>59.431398846622002</v>
      </c>
      <c r="P3481">
        <v>-8.6746100065479698E-2</v>
      </c>
      <c r="Q3481">
        <v>8.8069185972920794E-2</v>
      </c>
      <c r="R3481">
        <v>0.99704522456287503</v>
      </c>
      <c r="S3481" t="s">
        <v>10484</v>
      </c>
      <c r="T3481" t="s">
        <v>14004</v>
      </c>
      <c r="U3481" t="s">
        <v>14004</v>
      </c>
      <c r="V3481" t="s">
        <v>14004</v>
      </c>
      <c r="W3481" t="s">
        <v>17441</v>
      </c>
      <c r="X3481">
        <v>18</v>
      </c>
      <c r="Y3481" t="s">
        <v>21427</v>
      </c>
      <c r="Z3481" t="s">
        <v>31191</v>
      </c>
      <c r="AA3481">
        <v>0.70020947651278831</v>
      </c>
      <c r="AB3481" t="str">
        <f>HYPERLINK("Melting_Curves/meltCurve_Q13363_CTBP1.pdf", "Melting_Curves/meltCurve_Q13363_CTBP1.pdf")</f>
        <v>Melting_Curves/meltCurve_Q13363_CTBP1.pdf</v>
      </c>
    </row>
    <row r="3482" spans="1:28" x14ac:dyDescent="0.25">
      <c r="A3482" t="s">
        <v>3486</v>
      </c>
      <c r="B3482">
        <v>0.99999676499088797</v>
      </c>
      <c r="C3482">
        <v>0.96524514181536203</v>
      </c>
      <c r="D3482">
        <v>0.91040013310630696</v>
      </c>
      <c r="E3482">
        <v>0.65245073142696597</v>
      </c>
      <c r="F3482">
        <v>0.24635209101077801</v>
      </c>
      <c r="G3482">
        <v>0.17906095881311701</v>
      </c>
      <c r="H3482">
        <v>9.7274855658427195E-2</v>
      </c>
      <c r="I3482">
        <v>0.10846802748767299</v>
      </c>
      <c r="J3482">
        <v>8.3217653729212707E-2</v>
      </c>
      <c r="K3482">
        <v>8.5013425219096495E-2</v>
      </c>
      <c r="L3482">
        <v>1277.16674512893</v>
      </c>
      <c r="M3482">
        <v>25.365330868542099</v>
      </c>
      <c r="N3482">
        <v>50.763706153106199</v>
      </c>
      <c r="O3482">
        <v>50.041059178727501</v>
      </c>
      <c r="P3482">
        <v>-0.114914038104935</v>
      </c>
      <c r="Q3482">
        <v>9.3195853964429795E-2</v>
      </c>
      <c r="R3482">
        <v>0.99721320929170099</v>
      </c>
      <c r="S3482" t="s">
        <v>10485</v>
      </c>
      <c r="T3482" t="s">
        <v>14004</v>
      </c>
      <c r="U3482" t="s">
        <v>14004</v>
      </c>
      <c r="V3482" t="s">
        <v>14004</v>
      </c>
      <c r="W3482" t="s">
        <v>17442</v>
      </c>
      <c r="X3482">
        <v>8</v>
      </c>
      <c r="Y3482" t="s">
        <v>24291</v>
      </c>
      <c r="Z3482" t="s">
        <v>31192</v>
      </c>
      <c r="AA3482">
        <v>0.41397214355038481</v>
      </c>
      <c r="AB3482" t="str">
        <f>HYPERLINK("Melting_Curves/meltCurve_Q13371_PDCL.pdf", "Melting_Curves/meltCurve_Q13371_PDCL.pdf")</f>
        <v>Melting_Curves/meltCurve_Q13371_PDCL.pdf</v>
      </c>
    </row>
    <row r="3483" spans="1:28" x14ac:dyDescent="0.25">
      <c r="A3483" t="s">
        <v>3487</v>
      </c>
      <c r="B3483">
        <v>0.99999676499088797</v>
      </c>
      <c r="C3483">
        <v>1.0712456085497699</v>
      </c>
      <c r="D3483">
        <v>1.0588168282120201</v>
      </c>
      <c r="E3483">
        <v>1.03716806816306</v>
      </c>
      <c r="F3483">
        <v>0.26821338734769001</v>
      </c>
      <c r="G3483">
        <v>0.149067524858572</v>
      </c>
      <c r="H3483">
        <v>6.7236495696311904E-2</v>
      </c>
      <c r="I3483">
        <v>7.9555882550264204E-2</v>
      </c>
      <c r="J3483">
        <v>0.12481907044766501</v>
      </c>
      <c r="K3483">
        <v>0.105938853970519</v>
      </c>
      <c r="L3483">
        <v>13220.0715397475</v>
      </c>
      <c r="M3483">
        <v>250</v>
      </c>
      <c r="N3483">
        <v>52.930367517673901</v>
      </c>
      <c r="O3483">
        <v>52.876908398640097</v>
      </c>
      <c r="P3483">
        <v>-1.05749912590324</v>
      </c>
      <c r="Q3483">
        <v>0.105323555627391</v>
      </c>
      <c r="R3483">
        <v>0.99288701956401204</v>
      </c>
      <c r="S3483" t="s">
        <v>10486</v>
      </c>
      <c r="T3483" t="s">
        <v>14004</v>
      </c>
      <c r="U3483" t="s">
        <v>14004</v>
      </c>
      <c r="V3483" t="s">
        <v>14004</v>
      </c>
      <c r="W3483" t="s">
        <v>17443</v>
      </c>
      <c r="X3483">
        <v>8</v>
      </c>
      <c r="Y3483" t="s">
        <v>24292</v>
      </c>
      <c r="Z3483" t="s">
        <v>31193</v>
      </c>
      <c r="AA3483">
        <v>0.4895295393585648</v>
      </c>
      <c r="AB3483" t="str">
        <f>HYPERLINK("Melting_Curves/meltCurve_Q13395_TARBP1.pdf", "Melting_Curves/meltCurve_Q13395_TARBP1.pdf")</f>
        <v>Melting_Curves/meltCurve_Q13395_TARBP1.pdf</v>
      </c>
    </row>
    <row r="3484" spans="1:28" x14ac:dyDescent="0.25">
      <c r="A3484" t="s">
        <v>3488</v>
      </c>
      <c r="B3484">
        <v>0.99999676499088797</v>
      </c>
      <c r="C3484">
        <v>0.88915348148904505</v>
      </c>
      <c r="D3484">
        <v>0.92596333361582595</v>
      </c>
      <c r="E3484">
        <v>0.70217493413549703</v>
      </c>
      <c r="F3484">
        <v>0.75688519861134596</v>
      </c>
      <c r="G3484">
        <v>0.66835632011457202</v>
      </c>
      <c r="H3484">
        <v>0.456642398348163</v>
      </c>
      <c r="I3484">
        <v>0.468174478951003</v>
      </c>
      <c r="J3484">
        <v>0.45257588587022501</v>
      </c>
      <c r="K3484">
        <v>0.59131533995836305</v>
      </c>
      <c r="L3484">
        <v>534.70023475585594</v>
      </c>
      <c r="M3484">
        <v>10.362957620191199</v>
      </c>
      <c r="N3484">
        <v>66.781480039181005</v>
      </c>
      <c r="O3484">
        <v>49.7867910782808</v>
      </c>
      <c r="P3484">
        <v>-2.8496331717351601E-2</v>
      </c>
      <c r="Q3484">
        <v>0.45261219614604697</v>
      </c>
      <c r="R3484">
        <v>0.87727952320194102</v>
      </c>
      <c r="S3484" t="s">
        <v>10487</v>
      </c>
      <c r="T3484" t="s">
        <v>14004</v>
      </c>
      <c r="U3484" t="s">
        <v>14004</v>
      </c>
      <c r="V3484" t="s">
        <v>14004</v>
      </c>
      <c r="W3484" t="s">
        <v>17444</v>
      </c>
      <c r="X3484">
        <v>2</v>
      </c>
      <c r="Y3484" t="s">
        <v>24293</v>
      </c>
      <c r="Z3484" t="s">
        <v>31194</v>
      </c>
      <c r="AA3484">
        <v>0.68492611749725052</v>
      </c>
      <c r="AB3484" t="str">
        <f>HYPERLINK("Melting_Curves/meltCurve_Q13405_MRPL49.pdf", "Melting_Curves/meltCurve_Q13405_MRPL49.pdf")</f>
        <v>Melting_Curves/meltCurve_Q13405_MRPL49.pdf</v>
      </c>
    </row>
    <row r="3485" spans="1:28" x14ac:dyDescent="0.25">
      <c r="A3485" t="s">
        <v>3489</v>
      </c>
      <c r="B3485">
        <v>0.99999676499088797</v>
      </c>
      <c r="C3485">
        <v>0.92049079145439805</v>
      </c>
      <c r="D3485">
        <v>0.99311498589332303</v>
      </c>
      <c r="E3485">
        <v>0.99163931876442901</v>
      </c>
      <c r="F3485">
        <v>0.81188007752561198</v>
      </c>
      <c r="G3485">
        <v>0.51259495033263003</v>
      </c>
      <c r="H3485">
        <v>0.235707956666</v>
      </c>
      <c r="I3485">
        <v>0.211460881680644</v>
      </c>
      <c r="J3485">
        <v>0.169551129550079</v>
      </c>
      <c r="K3485">
        <v>0.21719475336954</v>
      </c>
      <c r="L3485">
        <v>1532.24113855255</v>
      </c>
      <c r="M3485">
        <v>27.4671234744565</v>
      </c>
      <c r="N3485">
        <v>56.728652202681502</v>
      </c>
      <c r="O3485">
        <v>55.491372307888497</v>
      </c>
      <c r="P3485">
        <v>-0.10104522392698</v>
      </c>
      <c r="Q3485">
        <v>0.18344762053785699</v>
      </c>
      <c r="R3485">
        <v>0.99246141906727103</v>
      </c>
      <c r="S3485" t="s">
        <v>10488</v>
      </c>
      <c r="T3485" t="s">
        <v>14004</v>
      </c>
      <c r="U3485" t="s">
        <v>14004</v>
      </c>
      <c r="V3485" t="s">
        <v>14004</v>
      </c>
      <c r="W3485" t="s">
        <v>17445</v>
      </c>
      <c r="X3485">
        <v>26</v>
      </c>
      <c r="Y3485" t="s">
        <v>24294</v>
      </c>
      <c r="Z3485" t="s">
        <v>31195</v>
      </c>
      <c r="AA3485">
        <v>0.61946278232320229</v>
      </c>
      <c r="AB3485" t="str">
        <f>HYPERLINK("Melting_Curves/meltCurve_Q13409_3_DYNC1I2.pdf", "Melting_Curves/meltCurve_Q13409_3_DYNC1I2.pdf")</f>
        <v>Melting_Curves/meltCurve_Q13409_3_DYNC1I2.pdf</v>
      </c>
    </row>
    <row r="3486" spans="1:28" x14ac:dyDescent="0.25">
      <c r="A3486" t="s">
        <v>3490</v>
      </c>
      <c r="B3486">
        <v>0.99999676499088797</v>
      </c>
      <c r="C3486">
        <v>0.97376044825157904</v>
      </c>
      <c r="D3486">
        <v>0.709953462810897</v>
      </c>
      <c r="E3486">
        <v>0.30129184042159501</v>
      </c>
      <c r="F3486">
        <v>0.18935119162275299</v>
      </c>
      <c r="G3486">
        <v>0.17509792206064301</v>
      </c>
      <c r="H3486">
        <v>9.5227080779408099E-2</v>
      </c>
      <c r="I3486">
        <v>0.107748963479112</v>
      </c>
      <c r="J3486">
        <v>0.111518089034082</v>
      </c>
      <c r="K3486">
        <v>8.1584691805869705E-2</v>
      </c>
      <c r="L3486">
        <v>1261.56708447595</v>
      </c>
      <c r="M3486">
        <v>26.6745432896751</v>
      </c>
      <c r="N3486">
        <v>47.763738418285101</v>
      </c>
      <c r="O3486">
        <v>47.0314045786278</v>
      </c>
      <c r="P3486">
        <v>-0.12545789857425199</v>
      </c>
      <c r="Q3486">
        <v>0.115201746329937</v>
      </c>
      <c r="R3486">
        <v>0.99505905153863305</v>
      </c>
      <c r="S3486" t="s">
        <v>10489</v>
      </c>
      <c r="T3486" t="s">
        <v>14004</v>
      </c>
      <c r="U3486" t="s">
        <v>14004</v>
      </c>
      <c r="V3486" t="s">
        <v>14004</v>
      </c>
      <c r="W3486" t="s">
        <v>17446</v>
      </c>
      <c r="X3486">
        <v>8</v>
      </c>
      <c r="Y3486" t="s">
        <v>24295</v>
      </c>
      <c r="Z3486" t="s">
        <v>31196</v>
      </c>
      <c r="AA3486">
        <v>0.33717786115163501</v>
      </c>
      <c r="AB3486" t="str">
        <f>HYPERLINK("Melting_Curves/meltCurve_Q13416_ORC2.pdf", "Melting_Curves/meltCurve_Q13416_ORC2.pdf")</f>
        <v>Melting_Curves/meltCurve_Q13416_ORC2.pdf</v>
      </c>
    </row>
    <row r="3487" spans="1:28" x14ac:dyDescent="0.25">
      <c r="A3487" t="s">
        <v>3491</v>
      </c>
      <c r="B3487">
        <v>0.99999676499088797</v>
      </c>
      <c r="C3487">
        <v>1.0383600695573401</v>
      </c>
      <c r="D3487">
        <v>0.784648276488906</v>
      </c>
      <c r="E3487">
        <v>0.32452414667411</v>
      </c>
      <c r="F3487">
        <v>0.20161510476001601</v>
      </c>
      <c r="G3487">
        <v>0.12983764108824999</v>
      </c>
      <c r="H3487">
        <v>7.3938346018328702E-2</v>
      </c>
      <c r="I3487">
        <v>7.3757542570466295E-2</v>
      </c>
      <c r="J3487">
        <v>5.6183239985669098E-2</v>
      </c>
      <c r="K3487">
        <v>5.2052535920793001E-2</v>
      </c>
      <c r="L3487">
        <v>1331.2828204059699</v>
      </c>
      <c r="M3487">
        <v>27.721584907590699</v>
      </c>
      <c r="N3487">
        <v>48.335022348360702</v>
      </c>
      <c r="O3487">
        <v>47.775522633452603</v>
      </c>
      <c r="P3487">
        <v>-0.13319046588487399</v>
      </c>
      <c r="Q3487">
        <v>8.1843811857104307E-2</v>
      </c>
      <c r="R3487">
        <v>0.99148964192122002</v>
      </c>
      <c r="S3487" t="s">
        <v>10490</v>
      </c>
      <c r="T3487" t="s">
        <v>14004</v>
      </c>
      <c r="U3487" t="s">
        <v>14004</v>
      </c>
      <c r="V3487" t="s">
        <v>14004</v>
      </c>
      <c r="W3487" t="s">
        <v>17447</v>
      </c>
      <c r="X3487">
        <v>13</v>
      </c>
      <c r="Y3487" t="s">
        <v>24296</v>
      </c>
      <c r="Z3487" t="s">
        <v>31197</v>
      </c>
      <c r="AA3487">
        <v>0.33392196235805199</v>
      </c>
      <c r="AB3487" t="str">
        <f>HYPERLINK("Melting_Curves/meltCurve_Q13418_ILK.pdf", "Melting_Curves/meltCurve_Q13418_ILK.pdf")</f>
        <v>Melting_Curves/meltCurve_Q13418_ILK.pdf</v>
      </c>
    </row>
    <row r="3488" spans="1:28" x14ac:dyDescent="0.25">
      <c r="A3488" t="s">
        <v>3492</v>
      </c>
      <c r="B3488">
        <v>0.99999676499088797</v>
      </c>
      <c r="C3488">
        <v>0.98372105146629496</v>
      </c>
      <c r="D3488">
        <v>0.91243935536697496</v>
      </c>
      <c r="E3488">
        <v>0.91113930680754895</v>
      </c>
      <c r="F3488">
        <v>0.56669822394017999</v>
      </c>
      <c r="G3488">
        <v>0.46038350439332199</v>
      </c>
      <c r="H3488">
        <v>0.47103049099592098</v>
      </c>
      <c r="I3488">
        <v>0.62771718240510199</v>
      </c>
      <c r="J3488">
        <v>0.65168938859472803</v>
      </c>
      <c r="K3488">
        <v>0.96161433166393395</v>
      </c>
      <c r="L3488">
        <v>12458.3156109544</v>
      </c>
      <c r="M3488">
        <v>250</v>
      </c>
      <c r="O3488">
        <v>49.830074333766902</v>
      </c>
      <c r="P3488">
        <v>-0.47262015503597099</v>
      </c>
      <c r="Q3488">
        <v>0.62318884784314998</v>
      </c>
      <c r="R3488">
        <v>0.59409824526822297</v>
      </c>
      <c r="S3488" t="s">
        <v>10491</v>
      </c>
      <c r="T3488" t="s">
        <v>14004</v>
      </c>
      <c r="U3488" t="s">
        <v>14004</v>
      </c>
      <c r="V3488" t="s">
        <v>14004</v>
      </c>
      <c r="W3488" t="s">
        <v>14354</v>
      </c>
      <c r="X3488">
        <v>16</v>
      </c>
      <c r="Y3488" t="s">
        <v>21291</v>
      </c>
      <c r="Z3488" t="s">
        <v>31198</v>
      </c>
      <c r="AA3488">
        <v>0.74673123416255049</v>
      </c>
      <c r="AB3488" t="str">
        <f>HYPERLINK("Melting_Curves/meltCurve_Q13422_IKZF1.pdf", "Melting_Curves/meltCurve_Q13422_IKZF1.pdf")</f>
        <v>Melting_Curves/meltCurve_Q13422_IKZF1.pdf</v>
      </c>
    </row>
    <row r="3489" spans="1:28" x14ac:dyDescent="0.25">
      <c r="A3489" t="s">
        <v>3493</v>
      </c>
      <c r="B3489">
        <v>0.99999676499088797</v>
      </c>
      <c r="C3489">
        <v>1.12949110810367</v>
      </c>
      <c r="D3489">
        <v>1.0017384577221899</v>
      </c>
      <c r="E3489">
        <v>0.94289458580096397</v>
      </c>
      <c r="F3489">
        <v>0.69017998675652004</v>
      </c>
      <c r="G3489">
        <v>0.66829207940056201</v>
      </c>
      <c r="H3489">
        <v>0.67168354004592801</v>
      </c>
      <c r="I3489">
        <v>0.92093723934405503</v>
      </c>
      <c r="J3489">
        <v>1.07565527174564</v>
      </c>
      <c r="K3489">
        <v>1.2011677511665</v>
      </c>
      <c r="L3489">
        <v>15000</v>
      </c>
      <c r="M3489">
        <v>223.04038416795399</v>
      </c>
      <c r="O3489">
        <v>67.246999834180201</v>
      </c>
      <c r="P3489">
        <v>0.166831770502813</v>
      </c>
      <c r="Q3489">
        <v>1.2012000491650201</v>
      </c>
      <c r="R3489">
        <v>-7.4753682569710404E-3</v>
      </c>
      <c r="S3489" t="s">
        <v>10492</v>
      </c>
      <c r="T3489" t="s">
        <v>14004</v>
      </c>
      <c r="U3489" t="s">
        <v>14004</v>
      </c>
      <c r="V3489" t="s">
        <v>14004</v>
      </c>
      <c r="W3489" t="s">
        <v>17448</v>
      </c>
      <c r="X3489">
        <v>13</v>
      </c>
      <c r="Y3489" t="s">
        <v>21291</v>
      </c>
      <c r="Z3489" t="s">
        <v>31199</v>
      </c>
      <c r="AA3489">
        <v>1.018397788249034</v>
      </c>
      <c r="AB3489" t="str">
        <f>HYPERLINK("Melting_Curves/meltCurve_Q13422_2_IKZF1.pdf", "Melting_Curves/meltCurve_Q13422_2_IKZF1.pdf")</f>
        <v>Melting_Curves/meltCurve_Q13422_2_IKZF1.pdf</v>
      </c>
    </row>
    <row r="3490" spans="1:28" x14ac:dyDescent="0.25">
      <c r="A3490" t="s">
        <v>3494</v>
      </c>
      <c r="B3490">
        <v>0.99999676499088797</v>
      </c>
      <c r="C3490">
        <v>0.97035402677700899</v>
      </c>
      <c r="D3490">
        <v>1.0020786713860801</v>
      </c>
      <c r="E3490">
        <v>1.0362115192361501</v>
      </c>
      <c r="F3490">
        <v>0.87625790263549697</v>
      </c>
      <c r="G3490">
        <v>0.25905835609155298</v>
      </c>
      <c r="H3490">
        <v>9.2988525361522897E-2</v>
      </c>
      <c r="I3490">
        <v>8.9373096174236E-2</v>
      </c>
      <c r="J3490">
        <v>9.2540076941919305E-2</v>
      </c>
      <c r="K3490">
        <v>6.0844659175710601E-2</v>
      </c>
      <c r="L3490">
        <v>2780.85532168588</v>
      </c>
      <c r="M3490">
        <v>50.391469564949801</v>
      </c>
      <c r="N3490">
        <v>55.380790882812299</v>
      </c>
      <c r="O3490">
        <v>55.098354321291303</v>
      </c>
      <c r="P3490">
        <v>-0.209992326282324</v>
      </c>
      <c r="Q3490">
        <v>8.1573212171792697E-2</v>
      </c>
      <c r="R3490">
        <v>0.99838313210323704</v>
      </c>
      <c r="S3490" t="s">
        <v>10493</v>
      </c>
      <c r="T3490" t="s">
        <v>14004</v>
      </c>
      <c r="U3490" t="s">
        <v>14004</v>
      </c>
      <c r="V3490" t="s">
        <v>14004</v>
      </c>
      <c r="W3490" t="s">
        <v>17449</v>
      </c>
      <c r="X3490">
        <v>46</v>
      </c>
      <c r="Y3490" t="s">
        <v>24297</v>
      </c>
      <c r="Z3490" t="s">
        <v>31200</v>
      </c>
      <c r="AA3490">
        <v>0.54865104497993</v>
      </c>
      <c r="AB3490" t="str">
        <f>HYPERLINK("Melting_Curves/meltCurve_Q13423_NNT.pdf", "Melting_Curves/meltCurve_Q13423_NNT.pdf")</f>
        <v>Melting_Curves/meltCurve_Q13423_NNT.pdf</v>
      </c>
    </row>
    <row r="3491" spans="1:28" x14ac:dyDescent="0.25">
      <c r="A3491" t="s">
        <v>3495</v>
      </c>
      <c r="B3491">
        <v>0.99999676499088797</v>
      </c>
      <c r="C3491">
        <v>0.92681010497150496</v>
      </c>
      <c r="D3491">
        <v>0.88642337823830697</v>
      </c>
      <c r="E3491">
        <v>0.99334667651298303</v>
      </c>
      <c r="F3491">
        <v>0.87660199535005001</v>
      </c>
      <c r="G3491">
        <v>0.75865617608837899</v>
      </c>
      <c r="H3491">
        <v>0.51267891736602</v>
      </c>
      <c r="I3491">
        <v>0.42462309841645601</v>
      </c>
      <c r="J3491">
        <v>0.27963687851470498</v>
      </c>
      <c r="K3491">
        <v>0.21190217451496901</v>
      </c>
      <c r="L3491">
        <v>741.01172042938595</v>
      </c>
      <c r="M3491">
        <v>12.039113841368501</v>
      </c>
      <c r="N3491">
        <v>61.807275739929899</v>
      </c>
      <c r="O3491">
        <v>59.925926673424499</v>
      </c>
      <c r="P3491">
        <v>-4.9010833834836703E-2</v>
      </c>
      <c r="Q3491">
        <v>2.4406401148498801E-2</v>
      </c>
      <c r="R3491">
        <v>0.97770467623721702</v>
      </c>
      <c r="S3491" t="s">
        <v>10494</v>
      </c>
      <c r="T3491" t="s">
        <v>14004</v>
      </c>
      <c r="U3491" t="s">
        <v>14004</v>
      </c>
      <c r="V3491" t="s">
        <v>14004</v>
      </c>
      <c r="W3491" t="s">
        <v>17450</v>
      </c>
      <c r="X3491">
        <v>19</v>
      </c>
      <c r="Y3491" t="s">
        <v>24298</v>
      </c>
      <c r="Z3491" t="s">
        <v>31201</v>
      </c>
      <c r="AA3491">
        <v>0.71761897909210393</v>
      </c>
      <c r="AB3491" t="str">
        <f>HYPERLINK("Melting_Curves/meltCurve_Q13426_XRCC4.pdf", "Melting_Curves/meltCurve_Q13426_XRCC4.pdf")</f>
        <v>Melting_Curves/meltCurve_Q13426_XRCC4.pdf</v>
      </c>
    </row>
    <row r="3492" spans="1:28" x14ac:dyDescent="0.25">
      <c r="A3492" t="s">
        <v>3496</v>
      </c>
      <c r="B3492">
        <v>0.99999676499088797</v>
      </c>
      <c r="C3492">
        <v>1.0385360011837299</v>
      </c>
      <c r="D3492">
        <v>0.89969002298591305</v>
      </c>
      <c r="E3492">
        <v>0.77901438406594703</v>
      </c>
      <c r="F3492">
        <v>0.50609527102125795</v>
      </c>
      <c r="G3492">
        <v>0.59948197901355604</v>
      </c>
      <c r="H3492">
        <v>0.247509600594677</v>
      </c>
      <c r="I3492">
        <v>0.47843355935597598</v>
      </c>
      <c r="J3492">
        <v>0.407217909169313</v>
      </c>
      <c r="K3492">
        <v>0.135264606754191</v>
      </c>
      <c r="L3492">
        <v>654.47232343582698</v>
      </c>
      <c r="M3492">
        <v>12.395788022006199</v>
      </c>
      <c r="N3492">
        <v>56.092111675836698</v>
      </c>
      <c r="O3492">
        <v>51.480314136323898</v>
      </c>
      <c r="P3492">
        <v>-4.4641946430378499E-2</v>
      </c>
      <c r="Q3492">
        <v>0.258556852412411</v>
      </c>
      <c r="R3492">
        <v>0.87943880195690505</v>
      </c>
      <c r="S3492" t="s">
        <v>10495</v>
      </c>
      <c r="T3492" t="s">
        <v>14004</v>
      </c>
      <c r="U3492" t="s">
        <v>14004</v>
      </c>
      <c r="V3492" t="s">
        <v>14004</v>
      </c>
      <c r="W3492" t="s">
        <v>17451</v>
      </c>
      <c r="X3492">
        <v>18</v>
      </c>
      <c r="Y3492" t="s">
        <v>24298</v>
      </c>
      <c r="Z3492" t="s">
        <v>31202</v>
      </c>
      <c r="AA3492">
        <v>0.5954955004527851</v>
      </c>
      <c r="AB3492" t="str">
        <f>HYPERLINK("Melting_Curves/meltCurve_Q13426_2_XRCC4.pdf", "Melting_Curves/meltCurve_Q13426_2_XRCC4.pdf")</f>
        <v>Melting_Curves/meltCurve_Q13426_2_XRCC4.pdf</v>
      </c>
    </row>
    <row r="3493" spans="1:28" x14ac:dyDescent="0.25">
      <c r="A3493" t="s">
        <v>3497</v>
      </c>
      <c r="B3493">
        <v>0.99999676499088797</v>
      </c>
      <c r="C3493">
        <v>0.98100550886928195</v>
      </c>
      <c r="D3493">
        <v>0.60610248756093199</v>
      </c>
      <c r="E3493">
        <v>0.33359408001851698</v>
      </c>
      <c r="F3493">
        <v>0.24928133659328</v>
      </c>
      <c r="G3493">
        <v>0.17283869753168399</v>
      </c>
      <c r="H3493">
        <v>0.109378199589518</v>
      </c>
      <c r="I3493">
        <v>0.128409227216324</v>
      </c>
      <c r="J3493">
        <v>0.15317508743283501</v>
      </c>
      <c r="K3493">
        <v>0.15739765333977501</v>
      </c>
      <c r="L3493">
        <v>1129.5786201308099</v>
      </c>
      <c r="M3493">
        <v>24.180217162721</v>
      </c>
      <c r="N3493">
        <v>47.4227465775365</v>
      </c>
      <c r="O3493">
        <v>46.398995632580601</v>
      </c>
      <c r="P3493">
        <v>-0.110552110849197</v>
      </c>
      <c r="Q3493">
        <v>0.15146698029024</v>
      </c>
      <c r="R3493">
        <v>0.98771256654468198</v>
      </c>
      <c r="S3493" t="s">
        <v>10496</v>
      </c>
      <c r="T3493" t="s">
        <v>14004</v>
      </c>
      <c r="U3493" t="s">
        <v>14004</v>
      </c>
      <c r="V3493" t="s">
        <v>14004</v>
      </c>
      <c r="W3493" t="s">
        <v>17452</v>
      </c>
      <c r="X3493">
        <v>12</v>
      </c>
      <c r="Y3493" t="s">
        <v>24299</v>
      </c>
      <c r="Z3493" t="s">
        <v>31203</v>
      </c>
      <c r="AA3493">
        <v>0.34961347082238298</v>
      </c>
      <c r="AB3493" t="str">
        <f>HYPERLINK("Melting_Curves/meltCurve_Q13427_PPIG.pdf", "Melting_Curves/meltCurve_Q13427_PPIG.pdf")</f>
        <v>Melting_Curves/meltCurve_Q13427_PPIG.pdf</v>
      </c>
    </row>
    <row r="3494" spans="1:28" x14ac:dyDescent="0.25">
      <c r="A3494" t="s">
        <v>3498</v>
      </c>
      <c r="B3494">
        <v>0.99999676499088797</v>
      </c>
      <c r="C3494">
        <v>0.94084922606960797</v>
      </c>
      <c r="D3494">
        <v>0.99941004623760499</v>
      </c>
      <c r="E3494">
        <v>1.0068466667828</v>
      </c>
      <c r="F3494">
        <v>0.69188574958721005</v>
      </c>
      <c r="G3494">
        <v>0.45479951002262597</v>
      </c>
      <c r="H3494">
        <v>0.249448755034444</v>
      </c>
      <c r="I3494">
        <v>0.234715931514585</v>
      </c>
      <c r="J3494">
        <v>0.22325138235358499</v>
      </c>
      <c r="K3494">
        <v>0.246188307319298</v>
      </c>
      <c r="L3494">
        <v>1462.6473754041201</v>
      </c>
      <c r="M3494">
        <v>26.858253036766701</v>
      </c>
      <c r="N3494">
        <v>55.711409900323403</v>
      </c>
      <c r="O3494">
        <v>54.158813114499303</v>
      </c>
      <c r="P3494">
        <v>-9.5866766514272103E-2</v>
      </c>
      <c r="Q3494">
        <v>0.22675867714685399</v>
      </c>
      <c r="R3494">
        <v>0.99071855559618605</v>
      </c>
      <c r="S3494" t="s">
        <v>10497</v>
      </c>
      <c r="T3494" t="s">
        <v>14004</v>
      </c>
      <c r="U3494" t="s">
        <v>14004</v>
      </c>
      <c r="V3494" t="s">
        <v>14004</v>
      </c>
      <c r="W3494" t="s">
        <v>17453</v>
      </c>
      <c r="X3494">
        <v>47</v>
      </c>
      <c r="Y3494" t="s">
        <v>24300</v>
      </c>
      <c r="Z3494" t="s">
        <v>31204</v>
      </c>
      <c r="AA3494">
        <v>0.60569470966078343</v>
      </c>
      <c r="AB3494" t="str">
        <f>HYPERLINK("Melting_Curves/meltCurve_Q13428_3_TCOF1.pdf", "Melting_Curves/meltCurve_Q13428_3_TCOF1.pdf")</f>
        <v>Melting_Curves/meltCurve_Q13428_3_TCOF1.pdf</v>
      </c>
    </row>
    <row r="3495" spans="1:28" x14ac:dyDescent="0.25">
      <c r="A3495" t="s">
        <v>3499</v>
      </c>
      <c r="B3495">
        <v>0.99999676499088797</v>
      </c>
      <c r="C3495">
        <v>1.08737671893431</v>
      </c>
      <c r="D3495">
        <v>0.82824293824232997</v>
      </c>
      <c r="E3495">
        <v>0.54741983916110004</v>
      </c>
      <c r="F3495">
        <v>0.28713129512802199</v>
      </c>
      <c r="G3495">
        <v>0.32217049898138</v>
      </c>
      <c r="H3495">
        <v>0.121496661326569</v>
      </c>
      <c r="I3495">
        <v>0.127663816856393</v>
      </c>
      <c r="J3495">
        <v>0.14661581906030299</v>
      </c>
      <c r="K3495">
        <v>0.10598525320527299</v>
      </c>
      <c r="L3495">
        <v>998.41455012083395</v>
      </c>
      <c r="M3495">
        <v>20.1412675997944</v>
      </c>
      <c r="N3495">
        <v>50.378622599296101</v>
      </c>
      <c r="O3495">
        <v>49.089685819189697</v>
      </c>
      <c r="P3495">
        <v>-8.8418384485001694E-2</v>
      </c>
      <c r="Q3495">
        <v>0.138029543095706</v>
      </c>
      <c r="R3495">
        <v>0.97381050942077296</v>
      </c>
      <c r="S3495" t="s">
        <v>10498</v>
      </c>
      <c r="T3495" t="s">
        <v>14004</v>
      </c>
      <c r="U3495" t="s">
        <v>14004</v>
      </c>
      <c r="V3495" t="s">
        <v>14004</v>
      </c>
      <c r="W3495" t="s">
        <v>17454</v>
      </c>
      <c r="X3495">
        <v>5</v>
      </c>
      <c r="Y3495" t="s">
        <v>24301</v>
      </c>
      <c r="Z3495" t="s">
        <v>31205</v>
      </c>
      <c r="AA3495">
        <v>0.42487196138271011</v>
      </c>
      <c r="AB3495" t="str">
        <f>HYPERLINK("Melting_Curves/meltCurve_Q13432_2_UNC119.pdf", "Melting_Curves/meltCurve_Q13432_2_UNC119.pdf")</f>
        <v>Melting_Curves/meltCurve_Q13432_2_UNC119.pdf</v>
      </c>
    </row>
    <row r="3496" spans="1:28" x14ac:dyDescent="0.25">
      <c r="A3496" t="s">
        <v>3500</v>
      </c>
      <c r="B3496">
        <v>0.99999676499088797</v>
      </c>
      <c r="C3496">
        <v>1.01878798505853</v>
      </c>
      <c r="D3496">
        <v>0.97389274804218395</v>
      </c>
      <c r="E3496">
        <v>1.04357684527317</v>
      </c>
      <c r="F3496">
        <v>0.99245894059505402</v>
      </c>
      <c r="G3496">
        <v>0.98852120336738603</v>
      </c>
      <c r="H3496">
        <v>0.64017229038840895</v>
      </c>
      <c r="I3496">
        <v>0.711454834769772</v>
      </c>
      <c r="J3496">
        <v>0.57838119194227999</v>
      </c>
      <c r="K3496">
        <v>0.68931189480525501</v>
      </c>
      <c r="L3496">
        <v>14391.396141617801</v>
      </c>
      <c r="M3496">
        <v>250</v>
      </c>
      <c r="O3496">
        <v>57.561900791391501</v>
      </c>
      <c r="P3496">
        <v>-0.374781404284595</v>
      </c>
      <c r="Q3496">
        <v>0.65482992045728305</v>
      </c>
      <c r="R3496">
        <v>0.95580887934490399</v>
      </c>
      <c r="S3496" t="s">
        <v>10499</v>
      </c>
      <c r="T3496" t="s">
        <v>14004</v>
      </c>
      <c r="U3496" t="s">
        <v>14004</v>
      </c>
      <c r="V3496" t="s">
        <v>14004</v>
      </c>
      <c r="W3496" t="s">
        <v>17455</v>
      </c>
      <c r="X3496">
        <v>5</v>
      </c>
      <c r="Y3496" t="s">
        <v>24302</v>
      </c>
      <c r="Z3496" t="s">
        <v>31206</v>
      </c>
      <c r="AA3496">
        <v>0.85696859925385516</v>
      </c>
      <c r="AB3496" t="str">
        <f>HYPERLINK("Melting_Curves/meltCurve_Q13433_SLC39A6.pdf", "Melting_Curves/meltCurve_Q13433_SLC39A6.pdf")</f>
        <v>Melting_Curves/meltCurve_Q13433_SLC39A6.pdf</v>
      </c>
    </row>
    <row r="3497" spans="1:28" x14ac:dyDescent="0.25">
      <c r="A3497" t="s">
        <v>3501</v>
      </c>
      <c r="B3497">
        <v>0.99999676499088797</v>
      </c>
      <c r="C3497">
        <v>0.89727359056001599</v>
      </c>
      <c r="D3497">
        <v>0.81958007081608697</v>
      </c>
      <c r="E3497">
        <v>0.53223646948813597</v>
      </c>
      <c r="F3497">
        <v>0.29925653401136398</v>
      </c>
      <c r="G3497">
        <v>0.23408616685906999</v>
      </c>
      <c r="H3497">
        <v>0.20892857041650001</v>
      </c>
      <c r="I3497">
        <v>0.27011459598931098</v>
      </c>
      <c r="J3497">
        <v>0.30419470263110099</v>
      </c>
      <c r="K3497">
        <v>0.37447374955942397</v>
      </c>
      <c r="L3497">
        <v>1160.74869572431</v>
      </c>
      <c r="M3497">
        <v>24.165692568380301</v>
      </c>
      <c r="N3497">
        <v>49.636793895192</v>
      </c>
      <c r="O3497">
        <v>47.707619154628702</v>
      </c>
      <c r="P3497">
        <v>-9.2319139690388699E-2</v>
      </c>
      <c r="Q3497">
        <v>0.27098986482504001</v>
      </c>
      <c r="R3497">
        <v>0.96879687560213901</v>
      </c>
      <c r="S3497" t="s">
        <v>10500</v>
      </c>
      <c r="T3497" t="s">
        <v>14004</v>
      </c>
      <c r="U3497" t="s">
        <v>14004</v>
      </c>
      <c r="V3497" t="s">
        <v>14004</v>
      </c>
      <c r="W3497" t="s">
        <v>17456</v>
      </c>
      <c r="X3497">
        <v>47</v>
      </c>
      <c r="Y3497" t="s">
        <v>24303</v>
      </c>
      <c r="Z3497" t="s">
        <v>31207</v>
      </c>
      <c r="AA3497">
        <v>0.47311691401521477</v>
      </c>
      <c r="AB3497" t="str">
        <f>HYPERLINK("Melting_Curves/meltCurve_Q13435_SF3B2.pdf", "Melting_Curves/meltCurve_Q13435_SF3B2.pdf")</f>
        <v>Melting_Curves/meltCurve_Q13435_SF3B2.pdf</v>
      </c>
    </row>
    <row r="3498" spans="1:28" x14ac:dyDescent="0.25">
      <c r="A3498" t="s">
        <v>3502</v>
      </c>
      <c r="B3498">
        <v>0.99999676499088797</v>
      </c>
      <c r="C3498">
        <v>0.99819494751391102</v>
      </c>
      <c r="D3498">
        <v>1.01404957940437</v>
      </c>
      <c r="E3498">
        <v>0.87342944708846804</v>
      </c>
      <c r="F3498">
        <v>0.64663419115808796</v>
      </c>
      <c r="G3498">
        <v>0.413458081156518</v>
      </c>
      <c r="H3498">
        <v>0.181977209572005</v>
      </c>
      <c r="I3498">
        <v>0.16245062845791799</v>
      </c>
      <c r="J3498">
        <v>0.142875247714633</v>
      </c>
      <c r="K3498">
        <v>0.11401261048538699</v>
      </c>
      <c r="L3498">
        <v>1056.2161429187599</v>
      </c>
      <c r="M3498">
        <v>19.377714677326399</v>
      </c>
      <c r="N3498">
        <v>55.194139002659497</v>
      </c>
      <c r="O3498">
        <v>53.936211546029803</v>
      </c>
      <c r="P3498">
        <v>-8.0191293555073401E-2</v>
      </c>
      <c r="Q3498">
        <v>0.107210533226532</v>
      </c>
      <c r="R3498">
        <v>0.99738913762257597</v>
      </c>
      <c r="S3498" t="s">
        <v>10501</v>
      </c>
      <c r="T3498" t="s">
        <v>14004</v>
      </c>
      <c r="U3498" t="s">
        <v>14004</v>
      </c>
      <c r="V3498" t="s">
        <v>14004</v>
      </c>
      <c r="W3498" t="s">
        <v>17457</v>
      </c>
      <c r="X3498">
        <v>13</v>
      </c>
      <c r="Y3498" t="s">
        <v>24304</v>
      </c>
      <c r="Z3498" t="s">
        <v>31208</v>
      </c>
      <c r="AA3498">
        <v>0.55154823155793475</v>
      </c>
      <c r="AB3498" t="str">
        <f>HYPERLINK("Melting_Curves/meltCurve_Q13438_4_OS9.pdf", "Melting_Curves/meltCurve_Q13438_4_OS9.pdf")</f>
        <v>Melting_Curves/meltCurve_Q13438_4_OS9.pdf</v>
      </c>
    </row>
    <row r="3499" spans="1:28" x14ac:dyDescent="0.25">
      <c r="A3499" t="s">
        <v>3503</v>
      </c>
      <c r="B3499">
        <v>0.99999676499088797</v>
      </c>
      <c r="C3499">
        <v>0.800389417216822</v>
      </c>
      <c r="D3499">
        <v>0.57261150615460399</v>
      </c>
      <c r="E3499">
        <v>0.38198018611217599</v>
      </c>
      <c r="F3499">
        <v>0.281381065689631</v>
      </c>
      <c r="G3499">
        <v>0.21493812210194299</v>
      </c>
      <c r="H3499">
        <v>0.14167847086942101</v>
      </c>
      <c r="I3499">
        <v>0.13637808900477899</v>
      </c>
      <c r="J3499">
        <v>0.112236833270434</v>
      </c>
      <c r="K3499">
        <v>0.126959040059994</v>
      </c>
      <c r="L3499">
        <v>682.83571418313204</v>
      </c>
      <c r="M3499">
        <v>14.6387920081388</v>
      </c>
      <c r="N3499">
        <v>47.582130832248097</v>
      </c>
      <c r="O3499">
        <v>45.801080558917</v>
      </c>
      <c r="P3499">
        <v>-6.9910882718918502E-2</v>
      </c>
      <c r="Q3499">
        <v>0.12516291740222099</v>
      </c>
      <c r="R3499">
        <v>0.98990210857196403</v>
      </c>
      <c r="S3499" t="s">
        <v>10502</v>
      </c>
      <c r="T3499" t="s">
        <v>14004</v>
      </c>
      <c r="U3499" t="s">
        <v>14004</v>
      </c>
      <c r="V3499" t="s">
        <v>14004</v>
      </c>
      <c r="W3499" t="s">
        <v>17458</v>
      </c>
      <c r="X3499">
        <v>4</v>
      </c>
      <c r="Y3499" t="s">
        <v>24305</v>
      </c>
      <c r="Z3499" t="s">
        <v>31209</v>
      </c>
      <c r="AA3499">
        <v>0.34454399722165108</v>
      </c>
      <c r="AB3499" t="str">
        <f>HYPERLINK("Melting_Curves/meltCurve_Q13439_3_GOLGA4.pdf", "Melting_Curves/meltCurve_Q13439_3_GOLGA4.pdf")</f>
        <v>Melting_Curves/meltCurve_Q13439_3_GOLGA4.pdf</v>
      </c>
    </row>
    <row r="3500" spans="1:28" x14ac:dyDescent="0.25">
      <c r="A3500" t="s">
        <v>3504</v>
      </c>
      <c r="B3500">
        <v>0.99999676499088797</v>
      </c>
      <c r="C3500">
        <v>1.01236538393161</v>
      </c>
      <c r="D3500">
        <v>1.01956416335455</v>
      </c>
      <c r="E3500">
        <v>0.81765314469940398</v>
      </c>
      <c r="F3500">
        <v>0.73670862533825898</v>
      </c>
      <c r="G3500">
        <v>0.83643093964645099</v>
      </c>
      <c r="H3500">
        <v>0.64685891404510198</v>
      </c>
      <c r="I3500">
        <v>0.79871435365481502</v>
      </c>
      <c r="J3500">
        <v>0.73904287868460505</v>
      </c>
      <c r="K3500">
        <v>0.58729355327408395</v>
      </c>
      <c r="L3500">
        <v>12366.8581899974</v>
      </c>
      <c r="M3500">
        <v>250</v>
      </c>
      <c r="O3500">
        <v>49.464281497308797</v>
      </c>
      <c r="P3500">
        <v>-0.34851563013000603</v>
      </c>
      <c r="Q3500">
        <v>0.72417487608214004</v>
      </c>
      <c r="R3500">
        <v>0.78906265653501595</v>
      </c>
      <c r="S3500" t="s">
        <v>10503</v>
      </c>
      <c r="T3500" t="s">
        <v>14004</v>
      </c>
      <c r="U3500" t="s">
        <v>14004</v>
      </c>
      <c r="V3500" t="s">
        <v>14004</v>
      </c>
      <c r="W3500" t="s">
        <v>17459</v>
      </c>
      <c r="X3500">
        <v>22</v>
      </c>
      <c r="Y3500" t="s">
        <v>24306</v>
      </c>
      <c r="Z3500" t="s">
        <v>31210</v>
      </c>
      <c r="AA3500">
        <v>0.81124401552987813</v>
      </c>
      <c r="AB3500" t="str">
        <f>HYPERLINK("Melting_Curves/meltCurve_Q13442_PDAP1.pdf", "Melting_Curves/meltCurve_Q13442_PDAP1.pdf")</f>
        <v>Melting_Curves/meltCurve_Q13442_PDAP1.pdf</v>
      </c>
    </row>
    <row r="3501" spans="1:28" x14ac:dyDescent="0.25">
      <c r="A3501" t="s">
        <v>3505</v>
      </c>
      <c r="B3501">
        <v>0.99999676499088797</v>
      </c>
      <c r="C3501">
        <v>1.0351839250931301</v>
      </c>
      <c r="D3501">
        <v>0.96448346163573595</v>
      </c>
      <c r="E3501">
        <v>0.959268001467938</v>
      </c>
      <c r="F3501">
        <v>0.71176896291151104</v>
      </c>
      <c r="G3501">
        <v>0.46216623774968701</v>
      </c>
      <c r="H3501">
        <v>0.137198313748842</v>
      </c>
      <c r="I3501">
        <v>0.14128113798014</v>
      </c>
      <c r="J3501">
        <v>0.12107472466435901</v>
      </c>
      <c r="K3501">
        <v>0.11930608638083801</v>
      </c>
      <c r="L3501">
        <v>1280.18733905772</v>
      </c>
      <c r="M3501">
        <v>23.145220048833501</v>
      </c>
      <c r="N3501">
        <v>55.8316356257385</v>
      </c>
      <c r="O3501">
        <v>54.903154348281703</v>
      </c>
      <c r="P3501">
        <v>-9.5164732376443004E-2</v>
      </c>
      <c r="Q3501">
        <v>9.7049178387514395E-2</v>
      </c>
      <c r="R3501">
        <v>0.99382204644618899</v>
      </c>
      <c r="S3501" t="s">
        <v>10504</v>
      </c>
      <c r="T3501" t="s">
        <v>14004</v>
      </c>
      <c r="U3501" t="s">
        <v>14004</v>
      </c>
      <c r="V3501" t="s">
        <v>14004</v>
      </c>
      <c r="W3501" t="s">
        <v>17460</v>
      </c>
      <c r="X3501">
        <v>5</v>
      </c>
      <c r="Y3501" t="s">
        <v>24307</v>
      </c>
      <c r="Z3501" t="s">
        <v>31211</v>
      </c>
      <c r="AA3501">
        <v>0.56738665938091493</v>
      </c>
      <c r="AB3501" t="str">
        <f>HYPERLINK("Melting_Curves/meltCurve_Q13445_TMED1.pdf", "Melting_Curves/meltCurve_Q13445_TMED1.pdf")</f>
        <v>Melting_Curves/meltCurve_Q13445_TMED1.pdf</v>
      </c>
    </row>
    <row r="3502" spans="1:28" x14ac:dyDescent="0.25">
      <c r="A3502" t="s">
        <v>3506</v>
      </c>
      <c r="B3502">
        <v>0.99999676499088797</v>
      </c>
      <c r="C3502">
        <v>0.86308569934153001</v>
      </c>
      <c r="D3502">
        <v>0.40155339520797101</v>
      </c>
      <c r="E3502">
        <v>0.22245704694207399</v>
      </c>
      <c r="F3502">
        <v>0.161744686413899</v>
      </c>
      <c r="G3502">
        <v>0.109900157011021</v>
      </c>
      <c r="H3502">
        <v>5.8546721642558801E-2</v>
      </c>
      <c r="I3502">
        <v>5.6911641159787398E-2</v>
      </c>
      <c r="J3502">
        <v>5.2337934652924002E-2</v>
      </c>
      <c r="K3502">
        <v>5.2690321709223803E-2</v>
      </c>
      <c r="L3502">
        <v>1186.02162310169</v>
      </c>
      <c r="M3502">
        <v>26.178355537021801</v>
      </c>
      <c r="N3502">
        <v>45.617949767298498</v>
      </c>
      <c r="O3502">
        <v>45.043533094703903</v>
      </c>
      <c r="P3502">
        <v>-0.13336961753607399</v>
      </c>
      <c r="Q3502">
        <v>8.2085719658443398E-2</v>
      </c>
      <c r="R3502">
        <v>0.98683117182101199</v>
      </c>
      <c r="S3502" t="s">
        <v>10505</v>
      </c>
      <c r="T3502" t="s">
        <v>14004</v>
      </c>
      <c r="U3502" t="s">
        <v>14004</v>
      </c>
      <c r="V3502" t="s">
        <v>14004</v>
      </c>
      <c r="W3502" t="s">
        <v>17461</v>
      </c>
      <c r="X3502">
        <v>23</v>
      </c>
      <c r="Y3502" t="s">
        <v>24308</v>
      </c>
      <c r="Z3502" t="s">
        <v>31212</v>
      </c>
      <c r="AA3502">
        <v>0.25238210470517303</v>
      </c>
      <c r="AB3502" t="str">
        <f>HYPERLINK("Melting_Curves/meltCurve_Q13451_FKBP5.pdf", "Melting_Curves/meltCurve_Q13451_FKBP5.pdf")</f>
        <v>Melting_Curves/meltCurve_Q13451_FKBP5.pdf</v>
      </c>
    </row>
    <row r="3503" spans="1:28" x14ac:dyDescent="0.25">
      <c r="A3503" t="s">
        <v>3507</v>
      </c>
      <c r="B3503">
        <v>0.99999676499088797</v>
      </c>
      <c r="C3503">
        <v>1.0197618823788599</v>
      </c>
      <c r="D3503">
        <v>1.02304657264911</v>
      </c>
      <c r="E3503">
        <v>0.49046546025361099</v>
      </c>
      <c r="F3503">
        <v>0.20345523284356201</v>
      </c>
      <c r="G3503">
        <v>0.14116567659836801</v>
      </c>
      <c r="H3503">
        <v>7.1159312200004599E-2</v>
      </c>
      <c r="I3503">
        <v>6.9781300987625902E-2</v>
      </c>
      <c r="J3503">
        <v>6.6675450519018603E-2</v>
      </c>
      <c r="K3503">
        <v>6.2472588433582603E-2</v>
      </c>
      <c r="L3503">
        <v>1956.5456472165299</v>
      </c>
      <c r="M3503">
        <v>39.5675299526335</v>
      </c>
      <c r="N3503">
        <v>49.698130059586397</v>
      </c>
      <c r="O3503">
        <v>49.322459845474498</v>
      </c>
      <c r="P3503">
        <v>-0.18246612800190901</v>
      </c>
      <c r="Q3503">
        <v>9.01975384554662E-2</v>
      </c>
      <c r="R3503">
        <v>0.991892633910198</v>
      </c>
      <c r="S3503" t="s">
        <v>10506</v>
      </c>
      <c r="T3503" t="s">
        <v>14004</v>
      </c>
      <c r="U3503" t="s">
        <v>14004</v>
      </c>
      <c r="V3503" t="s">
        <v>14004</v>
      </c>
      <c r="W3503" t="s">
        <v>17462</v>
      </c>
      <c r="X3503">
        <v>70</v>
      </c>
      <c r="Y3503" t="s">
        <v>24309</v>
      </c>
      <c r="Z3503" t="s">
        <v>31213</v>
      </c>
      <c r="AA3503">
        <v>0.3799135921888343</v>
      </c>
      <c r="AB3503" t="str">
        <f>HYPERLINK("Melting_Curves/meltCurve_Q13464_ROCK1.pdf", "Melting_Curves/meltCurve_Q13464_ROCK1.pdf")</f>
        <v>Melting_Curves/meltCurve_Q13464_ROCK1.pdf</v>
      </c>
    </row>
    <row r="3504" spans="1:28" x14ac:dyDescent="0.25">
      <c r="A3504" t="s">
        <v>3508</v>
      </c>
      <c r="B3504">
        <v>0.99999676499088797</v>
      </c>
      <c r="C3504">
        <v>0.94915685346467205</v>
      </c>
      <c r="D3504">
        <v>0.74225607417155004</v>
      </c>
      <c r="E3504">
        <v>0.36954497275825898</v>
      </c>
      <c r="F3504">
        <v>0.359484085598134</v>
      </c>
      <c r="G3504">
        <v>0.283565609578319</v>
      </c>
      <c r="H3504">
        <v>0.174790825901457</v>
      </c>
      <c r="I3504">
        <v>0.12516884246014501</v>
      </c>
      <c r="J3504">
        <v>0.10608061895183001</v>
      </c>
      <c r="K3504">
        <v>0.108286710375566</v>
      </c>
      <c r="L3504">
        <v>781.91323829675196</v>
      </c>
      <c r="M3504">
        <v>16.207174430944999</v>
      </c>
      <c r="N3504">
        <v>49.187884284154997</v>
      </c>
      <c r="O3504">
        <v>47.528318772383599</v>
      </c>
      <c r="P3504">
        <v>-7.38714330567634E-2</v>
      </c>
      <c r="Q3504">
        <v>0.13353839793405001</v>
      </c>
      <c r="R3504">
        <v>0.97383344805036498</v>
      </c>
      <c r="S3504" t="s">
        <v>10507</v>
      </c>
      <c r="T3504" t="s">
        <v>14004</v>
      </c>
      <c r="U3504" t="s">
        <v>14004</v>
      </c>
      <c r="V3504" t="s">
        <v>14004</v>
      </c>
      <c r="W3504" t="s">
        <v>17463</v>
      </c>
      <c r="X3504">
        <v>8</v>
      </c>
      <c r="Y3504" t="s">
        <v>24310</v>
      </c>
      <c r="Z3504" t="s">
        <v>31214</v>
      </c>
      <c r="AA3504">
        <v>0.39057690989034988</v>
      </c>
      <c r="AB3504" t="str">
        <f>HYPERLINK("Melting_Curves/meltCurve_Q13469_3_NFATC2.pdf", "Melting_Curves/meltCurve_Q13469_3_NFATC2.pdf")</f>
        <v>Melting_Curves/meltCurve_Q13469_3_NFATC2.pdf</v>
      </c>
    </row>
    <row r="3505" spans="1:28" x14ac:dyDescent="0.25">
      <c r="A3505" t="s">
        <v>3509</v>
      </c>
      <c r="B3505">
        <v>0.99999676499088797</v>
      </c>
      <c r="C3505">
        <v>0.87389122103096595</v>
      </c>
      <c r="D3505">
        <v>0.34170926365062598</v>
      </c>
      <c r="E3505">
        <v>0.219341333260271</v>
      </c>
      <c r="F3505">
        <v>0.13153721128250101</v>
      </c>
      <c r="G3505">
        <v>0.121480720122773</v>
      </c>
      <c r="H3505">
        <v>6.8631709269979094E-2</v>
      </c>
      <c r="I3505">
        <v>5.3203191036844601E-2</v>
      </c>
      <c r="J3505">
        <v>5.3856324755020703E-2</v>
      </c>
      <c r="K3505">
        <v>4.1269900997840697E-2</v>
      </c>
      <c r="L3505">
        <v>1510.1568267697601</v>
      </c>
      <c r="M3505">
        <v>33.597284213744601</v>
      </c>
      <c r="N3505">
        <v>45.212070353271301</v>
      </c>
      <c r="O3505">
        <v>44.790411043107703</v>
      </c>
      <c r="P3505">
        <v>-0.170863680115106</v>
      </c>
      <c r="Q3505">
        <v>8.8851877065313306E-2</v>
      </c>
      <c r="R3505">
        <v>0.98364689636960301</v>
      </c>
      <c r="S3505" t="s">
        <v>10508</v>
      </c>
      <c r="T3505" t="s">
        <v>14004</v>
      </c>
      <c r="U3505" t="s">
        <v>14004</v>
      </c>
      <c r="V3505" t="s">
        <v>14004</v>
      </c>
      <c r="W3505" t="s">
        <v>17464</v>
      </c>
      <c r="X3505">
        <v>4</v>
      </c>
      <c r="Y3505" t="s">
        <v>24311</v>
      </c>
      <c r="Z3505" t="s">
        <v>31215</v>
      </c>
      <c r="AA3505">
        <v>0.24365781018834379</v>
      </c>
      <c r="AB3505" t="str">
        <f>HYPERLINK("Melting_Curves/meltCurve_Q13472_2_TOP3A.pdf", "Melting_Curves/meltCurve_Q13472_2_TOP3A.pdf")</f>
        <v>Melting_Curves/meltCurve_Q13472_2_TOP3A.pdf</v>
      </c>
    </row>
    <row r="3506" spans="1:28" x14ac:dyDescent="0.25">
      <c r="A3506" t="s">
        <v>3510</v>
      </c>
      <c r="B3506">
        <v>0.99999676499088797</v>
      </c>
      <c r="C3506">
        <v>0.92636888437198905</v>
      </c>
      <c r="D3506">
        <v>0.95531689011615695</v>
      </c>
      <c r="E3506">
        <v>0.90701064977689005</v>
      </c>
      <c r="F3506">
        <v>0.64659965609427505</v>
      </c>
      <c r="G3506">
        <v>0.28176401213560898</v>
      </c>
      <c r="H3506">
        <v>0.154209091913073</v>
      </c>
      <c r="I3506">
        <v>0.15215883818636999</v>
      </c>
      <c r="J3506">
        <v>0.149895428488487</v>
      </c>
      <c r="K3506">
        <v>0.137461328722457</v>
      </c>
      <c r="L3506">
        <v>1494.68250810262</v>
      </c>
      <c r="M3506">
        <v>27.804101899440301</v>
      </c>
      <c r="N3506">
        <v>54.3744743947342</v>
      </c>
      <c r="O3506">
        <v>53.481848373625397</v>
      </c>
      <c r="P3506">
        <v>-0.11239137876381899</v>
      </c>
      <c r="Q3506">
        <v>0.13525770029683401</v>
      </c>
      <c r="R3506">
        <v>0.99430462006976805</v>
      </c>
      <c r="S3506" t="s">
        <v>10509</v>
      </c>
      <c r="T3506" t="s">
        <v>14004</v>
      </c>
      <c r="U3506" t="s">
        <v>14004</v>
      </c>
      <c r="V3506" t="s">
        <v>14004</v>
      </c>
      <c r="W3506" t="s">
        <v>17465</v>
      </c>
      <c r="X3506">
        <v>13</v>
      </c>
      <c r="Y3506" t="s">
        <v>24312</v>
      </c>
      <c r="Z3506" t="s">
        <v>31216</v>
      </c>
      <c r="AA3506">
        <v>0.53837165229643724</v>
      </c>
      <c r="AB3506" t="str">
        <f>HYPERLINK("Melting_Curves/meltCurve_Q13492_2_PICALM.pdf", "Melting_Curves/meltCurve_Q13492_2_PICALM.pdf")</f>
        <v>Melting_Curves/meltCurve_Q13492_2_PICALM.pdf</v>
      </c>
    </row>
    <row r="3507" spans="1:28" x14ac:dyDescent="0.25">
      <c r="A3507" t="s">
        <v>3511</v>
      </c>
      <c r="B3507">
        <v>0.99999676499088797</v>
      </c>
      <c r="C3507">
        <v>0.91359645044162197</v>
      </c>
      <c r="D3507">
        <v>0.92766289563273197</v>
      </c>
      <c r="E3507">
        <v>0.82767522622247702</v>
      </c>
      <c r="F3507">
        <v>0.58665625495808005</v>
      </c>
      <c r="G3507">
        <v>0.49378566853415101</v>
      </c>
      <c r="H3507">
        <v>0.24170165233048199</v>
      </c>
      <c r="I3507">
        <v>0.17722596900532001</v>
      </c>
      <c r="J3507">
        <v>5.9822464183608801E-2</v>
      </c>
      <c r="K3507">
        <v>7.3008677270546996E-2</v>
      </c>
      <c r="L3507">
        <v>677.43551654271903</v>
      </c>
      <c r="M3507">
        <v>12.2009700791805</v>
      </c>
      <c r="N3507">
        <v>55.523068249318698</v>
      </c>
      <c r="O3507">
        <v>54.094696635306498</v>
      </c>
      <c r="P3507">
        <v>-5.6399816150585202E-2</v>
      </c>
      <c r="Q3507">
        <v>0</v>
      </c>
      <c r="R3507">
        <v>0.99014243385688305</v>
      </c>
      <c r="S3507" t="s">
        <v>10510</v>
      </c>
      <c r="T3507" t="s">
        <v>14004</v>
      </c>
      <c r="U3507" t="s">
        <v>14004</v>
      </c>
      <c r="V3507" t="s">
        <v>14004</v>
      </c>
      <c r="W3507" t="s">
        <v>17466</v>
      </c>
      <c r="X3507">
        <v>12</v>
      </c>
      <c r="Y3507" t="s">
        <v>24313</v>
      </c>
      <c r="Z3507" t="s">
        <v>31217</v>
      </c>
      <c r="AA3507">
        <v>0.53913626440511131</v>
      </c>
      <c r="AB3507" t="str">
        <f>HYPERLINK("Melting_Curves/meltCurve_Q13496_MTM1.pdf", "Melting_Curves/meltCurve_Q13496_MTM1.pdf")</f>
        <v>Melting_Curves/meltCurve_Q13496_MTM1.pdf</v>
      </c>
    </row>
    <row r="3508" spans="1:28" x14ac:dyDescent="0.25">
      <c r="A3508" t="s">
        <v>3512</v>
      </c>
      <c r="B3508">
        <v>0.99999676499088797</v>
      </c>
      <c r="C3508">
        <v>1.0860237961891399</v>
      </c>
      <c r="D3508">
        <v>1.1838414141131399</v>
      </c>
      <c r="E3508">
        <v>1.03801996722629</v>
      </c>
      <c r="F3508">
        <v>0.558357427967481</v>
      </c>
      <c r="G3508">
        <v>0.29381889068355599</v>
      </c>
      <c r="H3508">
        <v>0.14973749570393999</v>
      </c>
      <c r="I3508">
        <v>0.13105825320415099</v>
      </c>
      <c r="J3508">
        <v>0.124519336380794</v>
      </c>
      <c r="K3508">
        <v>0.174054503900125</v>
      </c>
      <c r="L3508">
        <v>2139.3082685542099</v>
      </c>
      <c r="M3508">
        <v>40.137422562479699</v>
      </c>
      <c r="N3508">
        <v>53.802290688373297</v>
      </c>
      <c r="O3508">
        <v>53.167796119791902</v>
      </c>
      <c r="P3508">
        <v>-0.15921993378000299</v>
      </c>
      <c r="Q3508">
        <v>0.15636274779733</v>
      </c>
      <c r="R3508">
        <v>0.96942687777569403</v>
      </c>
      <c r="S3508" t="s">
        <v>10511</v>
      </c>
      <c r="T3508" t="s">
        <v>14004</v>
      </c>
      <c r="U3508" t="s">
        <v>14004</v>
      </c>
      <c r="V3508" t="s">
        <v>14004</v>
      </c>
      <c r="W3508" t="s">
        <v>17467</v>
      </c>
      <c r="X3508">
        <v>5</v>
      </c>
      <c r="Y3508" t="s">
        <v>24314</v>
      </c>
      <c r="Z3508" t="s">
        <v>31218</v>
      </c>
      <c r="AA3508">
        <v>0.53344664371905093</v>
      </c>
      <c r="AB3508" t="str">
        <f>HYPERLINK("Melting_Curves/meltCurve_Q13501_SQSTM1.pdf", "Melting_Curves/meltCurve_Q13501_SQSTM1.pdf")</f>
        <v>Melting_Curves/meltCurve_Q13501_SQSTM1.pdf</v>
      </c>
    </row>
    <row r="3509" spans="1:28" x14ac:dyDescent="0.25">
      <c r="A3509" t="s">
        <v>3513</v>
      </c>
      <c r="B3509">
        <v>0.99999676499088797</v>
      </c>
      <c r="C3509">
        <v>0.97838374258508898</v>
      </c>
      <c r="D3509">
        <v>1.0052364435354699</v>
      </c>
      <c r="E3509">
        <v>1.03575240181321</v>
      </c>
      <c r="F3509">
        <v>0.80923193703365504</v>
      </c>
      <c r="G3509">
        <v>0.61297169388105299</v>
      </c>
      <c r="H3509">
        <v>0.33430185018521102</v>
      </c>
      <c r="I3509">
        <v>0.38755773905778401</v>
      </c>
      <c r="J3509">
        <v>0.359016136287299</v>
      </c>
      <c r="K3509">
        <v>0.4155421275376</v>
      </c>
      <c r="L3509">
        <v>1644.6571004012201</v>
      </c>
      <c r="M3509">
        <v>29.733481507259299</v>
      </c>
      <c r="N3509">
        <v>57.894189666814</v>
      </c>
      <c r="O3509">
        <v>55.064901466630303</v>
      </c>
      <c r="P3509">
        <v>-8.5428807299944398E-2</v>
      </c>
      <c r="Q3509">
        <v>0.36716486789728098</v>
      </c>
      <c r="R3509">
        <v>0.98125842326937096</v>
      </c>
      <c r="S3509" t="s">
        <v>10512</v>
      </c>
      <c r="T3509" t="s">
        <v>14004</v>
      </c>
      <c r="U3509" t="s">
        <v>14004</v>
      </c>
      <c r="V3509" t="s">
        <v>14004</v>
      </c>
      <c r="W3509" t="s">
        <v>17468</v>
      </c>
      <c r="X3509">
        <v>1</v>
      </c>
      <c r="Y3509" t="s">
        <v>24315</v>
      </c>
      <c r="Z3509" t="s">
        <v>31219</v>
      </c>
      <c r="AA3509">
        <v>0.69446934563038731</v>
      </c>
      <c r="AB3509" t="str">
        <f>HYPERLINK("Melting_Curves/meltCurve_Q13503_MED21.pdf", "Melting_Curves/meltCurve_Q13503_MED21.pdf")</f>
        <v>Melting_Curves/meltCurve_Q13503_MED21.pdf</v>
      </c>
    </row>
    <row r="3510" spans="1:28" x14ac:dyDescent="0.25">
      <c r="A3510" t="s">
        <v>3514</v>
      </c>
      <c r="B3510">
        <v>0.99999676499088797</v>
      </c>
      <c r="C3510">
        <v>1.0365273674468301</v>
      </c>
      <c r="D3510">
        <v>1.05059056507585</v>
      </c>
      <c r="E3510">
        <v>1.09531169930336</v>
      </c>
      <c r="F3510">
        <v>0.90130096548389405</v>
      </c>
      <c r="G3510">
        <v>0.59082398135062697</v>
      </c>
      <c r="H3510">
        <v>0.247594160346883</v>
      </c>
      <c r="I3510">
        <v>0.32361680756330202</v>
      </c>
      <c r="J3510">
        <v>0.30587002039789402</v>
      </c>
      <c r="K3510">
        <v>0.23356069166191701</v>
      </c>
      <c r="L3510">
        <v>2268.6369490860998</v>
      </c>
      <c r="M3510">
        <v>40.289861802944898</v>
      </c>
      <c r="N3510">
        <v>57.412924041214701</v>
      </c>
      <c r="O3510">
        <v>56.169711892557103</v>
      </c>
      <c r="P3510">
        <v>-0.13094916804883</v>
      </c>
      <c r="Q3510">
        <v>0.26975565700231602</v>
      </c>
      <c r="R3510">
        <v>0.98127984823852199</v>
      </c>
      <c r="S3510" t="s">
        <v>10513</v>
      </c>
      <c r="T3510" t="s">
        <v>14004</v>
      </c>
      <c r="U3510" t="s">
        <v>14004</v>
      </c>
      <c r="V3510" t="s">
        <v>14004</v>
      </c>
      <c r="W3510" t="s">
        <v>17469</v>
      </c>
      <c r="X3510">
        <v>11</v>
      </c>
      <c r="Y3510" t="s">
        <v>24316</v>
      </c>
      <c r="Z3510" t="s">
        <v>31220</v>
      </c>
      <c r="AA3510">
        <v>0.66949441768776097</v>
      </c>
      <c r="AB3510" t="str">
        <f>HYPERLINK("Melting_Curves/meltCurve_Q13505_3_MTX1.pdf", "Melting_Curves/meltCurve_Q13505_3_MTX1.pdf")</f>
        <v>Melting_Curves/meltCurve_Q13505_3_MTX1.pdf</v>
      </c>
    </row>
    <row r="3511" spans="1:28" x14ac:dyDescent="0.25">
      <c r="A3511" t="s">
        <v>3515</v>
      </c>
      <c r="B3511">
        <v>0.99999676499088797</v>
      </c>
      <c r="C3511">
        <v>1.1135208707152799</v>
      </c>
      <c r="D3511">
        <v>1.13000641929762</v>
      </c>
      <c r="E3511">
        <v>1.35357398759907</v>
      </c>
      <c r="F3511">
        <v>1.2865961357786699</v>
      </c>
      <c r="G3511">
        <v>1.0889397201252899</v>
      </c>
      <c r="H3511">
        <v>0.457867941276343</v>
      </c>
      <c r="I3511">
        <v>0.15992394882604999</v>
      </c>
      <c r="J3511">
        <v>0.118882417619168</v>
      </c>
      <c r="K3511">
        <v>8.8037248228798798E-2</v>
      </c>
      <c r="L3511">
        <v>6562.9203473636098</v>
      </c>
      <c r="M3511">
        <v>108.415925426266</v>
      </c>
      <c r="N3511">
        <v>60.6901802545962</v>
      </c>
      <c r="O3511">
        <v>60.514040072361198</v>
      </c>
      <c r="P3511">
        <v>-0.39357062329986198</v>
      </c>
      <c r="Q3511">
        <v>0.121289361532131</v>
      </c>
      <c r="R3511">
        <v>0.89549690451758002</v>
      </c>
      <c r="S3511" t="s">
        <v>10514</v>
      </c>
      <c r="T3511" t="s">
        <v>14004</v>
      </c>
      <c r="U3511" t="s">
        <v>14004</v>
      </c>
      <c r="V3511" t="s">
        <v>14004</v>
      </c>
      <c r="W3511" t="s">
        <v>17470</v>
      </c>
      <c r="X3511">
        <v>27</v>
      </c>
      <c r="Y3511" t="s">
        <v>24317</v>
      </c>
      <c r="Z3511" t="s">
        <v>31221</v>
      </c>
      <c r="AA3511">
        <v>0.72325345749942438</v>
      </c>
      <c r="AB3511" t="str">
        <f>HYPERLINK("Melting_Curves/meltCurve_Q13509_TUBB3.pdf", "Melting_Curves/meltCurve_Q13509_TUBB3.pdf")</f>
        <v>Melting_Curves/meltCurve_Q13509_TUBB3.pdf</v>
      </c>
    </row>
    <row r="3512" spans="1:28" x14ac:dyDescent="0.25">
      <c r="A3512" t="s">
        <v>3516</v>
      </c>
      <c r="B3512">
        <v>0.99999676499088797</v>
      </c>
      <c r="C3512">
        <v>1.0106755249694099</v>
      </c>
      <c r="D3512">
        <v>0.932605638461252</v>
      </c>
      <c r="E3512">
        <v>0.54241207262792301</v>
      </c>
      <c r="F3512">
        <v>0.29144527240380402</v>
      </c>
      <c r="G3512">
        <v>0.18899938084092399</v>
      </c>
      <c r="H3512">
        <v>8.4411479408599596E-2</v>
      </c>
      <c r="I3512">
        <v>0.10445570349439399</v>
      </c>
      <c r="J3512">
        <v>0.117015969182984</v>
      </c>
      <c r="K3512">
        <v>9.5592073705050101E-2</v>
      </c>
      <c r="L3512">
        <v>1204.04507089649</v>
      </c>
      <c r="M3512">
        <v>24.1556916472891</v>
      </c>
      <c r="N3512">
        <v>50.346289092124799</v>
      </c>
      <c r="O3512">
        <v>49.5073470158624</v>
      </c>
      <c r="P3512">
        <v>-0.108948449948968</v>
      </c>
      <c r="Q3512">
        <v>0.106849768264953</v>
      </c>
      <c r="R3512">
        <v>0.99508704399462999</v>
      </c>
      <c r="S3512" t="s">
        <v>10515</v>
      </c>
      <c r="T3512" t="s">
        <v>14004</v>
      </c>
      <c r="U3512" t="s">
        <v>14004</v>
      </c>
      <c r="V3512" t="s">
        <v>14004</v>
      </c>
      <c r="W3512" t="s">
        <v>17471</v>
      </c>
      <c r="X3512">
        <v>10</v>
      </c>
      <c r="Y3512" t="s">
        <v>24318</v>
      </c>
      <c r="Z3512" t="s">
        <v>31222</v>
      </c>
      <c r="AA3512">
        <v>0.40849957225991079</v>
      </c>
      <c r="AB3512" t="str">
        <f>HYPERLINK("Melting_Curves/meltCurve_Q13526_PIN1.pdf", "Melting_Curves/meltCurve_Q13526_PIN1.pdf")</f>
        <v>Melting_Curves/meltCurve_Q13526_PIN1.pdf</v>
      </c>
    </row>
    <row r="3513" spans="1:28" x14ac:dyDescent="0.25">
      <c r="A3513" t="s">
        <v>3517</v>
      </c>
      <c r="B3513">
        <v>0.99999676499088797</v>
      </c>
      <c r="C3513">
        <v>1.20145775483059</v>
      </c>
      <c r="D3513">
        <v>1.1211551171308101</v>
      </c>
      <c r="E3513">
        <v>0.66707529318643</v>
      </c>
      <c r="F3513">
        <v>0.224495352021124</v>
      </c>
      <c r="G3513">
        <v>0.12397434752187</v>
      </c>
      <c r="H3513">
        <v>8.3513593316861798E-2</v>
      </c>
      <c r="I3513">
        <v>9.2340806779295806E-2</v>
      </c>
      <c r="J3513">
        <v>5.2294781618925097E-2</v>
      </c>
      <c r="K3513">
        <v>6.9537850760125294E-2</v>
      </c>
      <c r="L3513">
        <v>1987.26310589281</v>
      </c>
      <c r="M3513">
        <v>39.364422252546802</v>
      </c>
      <c r="N3513">
        <v>50.726254746844198</v>
      </c>
      <c r="O3513">
        <v>50.353991058440101</v>
      </c>
      <c r="P3513">
        <v>-0.17867523527781001</v>
      </c>
      <c r="Q3513">
        <v>8.5774597835953398E-2</v>
      </c>
      <c r="R3513">
        <v>0.96899291924907005</v>
      </c>
      <c r="S3513" t="s">
        <v>10516</v>
      </c>
      <c r="T3513" t="s">
        <v>14004</v>
      </c>
      <c r="U3513" t="s">
        <v>14004</v>
      </c>
      <c r="V3513" t="s">
        <v>14004</v>
      </c>
      <c r="W3513" t="s">
        <v>17472</v>
      </c>
      <c r="X3513">
        <v>1</v>
      </c>
      <c r="Y3513" t="s">
        <v>24319</v>
      </c>
      <c r="Z3513" t="s">
        <v>31223</v>
      </c>
      <c r="AA3513">
        <v>0.40855327357509491</v>
      </c>
      <c r="AB3513" t="str">
        <f>HYPERLINK("Melting_Curves/meltCurve_Q13535_2_ATR.pdf", "Melting_Curves/meltCurve_Q13535_2_ATR.pdf")</f>
        <v>Melting_Curves/meltCurve_Q13535_2_ATR.pdf</v>
      </c>
    </row>
    <row r="3514" spans="1:28" x14ac:dyDescent="0.25">
      <c r="A3514" t="s">
        <v>3518</v>
      </c>
      <c r="B3514">
        <v>0.99999676499088797</v>
      </c>
      <c r="C3514">
        <v>1.0491997300697</v>
      </c>
      <c r="D3514">
        <v>0.93388512184891403</v>
      </c>
      <c r="E3514">
        <v>0.75749077478162097</v>
      </c>
      <c r="F3514">
        <v>0.58803730024522505</v>
      </c>
      <c r="G3514">
        <v>0.447610901281214</v>
      </c>
      <c r="H3514">
        <v>0.21041514569788899</v>
      </c>
      <c r="I3514">
        <v>0.34612289323554801</v>
      </c>
      <c r="J3514">
        <v>0.383958520930892</v>
      </c>
      <c r="K3514">
        <v>0.21692241345503099</v>
      </c>
      <c r="L3514">
        <v>926.15419481483798</v>
      </c>
      <c r="M3514">
        <v>17.7889915979876</v>
      </c>
      <c r="N3514">
        <v>54.509132327400302</v>
      </c>
      <c r="O3514">
        <v>51.418776168648201</v>
      </c>
      <c r="P3514">
        <v>-6.2715454037654897E-2</v>
      </c>
      <c r="Q3514">
        <v>0.27492572700440798</v>
      </c>
      <c r="R3514">
        <v>0.96108075680813698</v>
      </c>
      <c r="S3514" t="s">
        <v>10517</v>
      </c>
      <c r="T3514" t="s">
        <v>14004</v>
      </c>
      <c r="U3514" t="s">
        <v>14004</v>
      </c>
      <c r="V3514" t="s">
        <v>14004</v>
      </c>
      <c r="W3514" t="s">
        <v>17473</v>
      </c>
      <c r="X3514">
        <v>5</v>
      </c>
      <c r="Y3514" t="s">
        <v>24320</v>
      </c>
      <c r="Z3514" t="s">
        <v>31224</v>
      </c>
      <c r="AA3514">
        <v>0.5787846325514252</v>
      </c>
      <c r="AB3514" t="str">
        <f>HYPERLINK("Melting_Curves/meltCurve_Q13541_EIF4EBP1.pdf", "Melting_Curves/meltCurve_Q13541_EIF4EBP1.pdf")</f>
        <v>Melting_Curves/meltCurve_Q13541_EIF4EBP1.pdf</v>
      </c>
    </row>
    <row r="3515" spans="1:28" x14ac:dyDescent="0.25">
      <c r="A3515" t="s">
        <v>3519</v>
      </c>
      <c r="B3515">
        <v>0.99999676499088797</v>
      </c>
      <c r="C3515">
        <v>0.987768391255473</v>
      </c>
      <c r="D3515">
        <v>0.85267750727789504</v>
      </c>
      <c r="E3515">
        <v>0.75791765878008199</v>
      </c>
      <c r="F3515">
        <v>0.68251922780832897</v>
      </c>
      <c r="G3515">
        <v>0.40162135565787299</v>
      </c>
      <c r="H3515">
        <v>0.26247554477049401</v>
      </c>
      <c r="I3515">
        <v>0.25133265508528702</v>
      </c>
      <c r="J3515">
        <v>0.26321745569879501</v>
      </c>
      <c r="K3515">
        <v>0.26177979590014699</v>
      </c>
      <c r="L3515">
        <v>726.61391185532398</v>
      </c>
      <c r="M3515">
        <v>13.683150708515299</v>
      </c>
      <c r="N3515">
        <v>55.1432671609343</v>
      </c>
      <c r="O3515">
        <v>52.007128277088498</v>
      </c>
      <c r="P3515">
        <v>-5.2717067716593798E-2</v>
      </c>
      <c r="Q3515">
        <v>0.198644613641587</v>
      </c>
      <c r="R3515">
        <v>0.97954840346272298</v>
      </c>
      <c r="S3515" t="s">
        <v>10518</v>
      </c>
      <c r="T3515" t="s">
        <v>14004</v>
      </c>
      <c r="U3515" t="s">
        <v>14004</v>
      </c>
      <c r="V3515" t="s">
        <v>14004</v>
      </c>
      <c r="W3515" t="s">
        <v>17474</v>
      </c>
      <c r="X3515">
        <v>3</v>
      </c>
      <c r="Y3515" t="s">
        <v>24321</v>
      </c>
      <c r="Z3515" t="s">
        <v>31225</v>
      </c>
      <c r="AA3515">
        <v>0.56802789764651018</v>
      </c>
      <c r="AB3515" t="str">
        <f>HYPERLINK("Melting_Curves/meltCurve_Q13542_EIF4EBP2.pdf", "Melting_Curves/meltCurve_Q13542_EIF4EBP2.pdf")</f>
        <v>Melting_Curves/meltCurve_Q13542_EIF4EBP2.pdf</v>
      </c>
    </row>
    <row r="3516" spans="1:28" x14ac:dyDescent="0.25">
      <c r="A3516" t="s">
        <v>3520</v>
      </c>
      <c r="B3516">
        <v>0.99999676499088797</v>
      </c>
      <c r="C3516">
        <v>0.92201044575850299</v>
      </c>
      <c r="D3516">
        <v>0.73669902416609101</v>
      </c>
      <c r="E3516">
        <v>0.50019306318624601</v>
      </c>
      <c r="F3516">
        <v>0.359209659909486</v>
      </c>
      <c r="G3516">
        <v>0.30773725291109699</v>
      </c>
      <c r="H3516">
        <v>0.14552667587995299</v>
      </c>
      <c r="I3516">
        <v>0.17422101880853599</v>
      </c>
      <c r="J3516">
        <v>0.15236981685922199</v>
      </c>
      <c r="K3516">
        <v>0.18252665078161701</v>
      </c>
      <c r="L3516">
        <v>715.57345110332199</v>
      </c>
      <c r="M3516">
        <v>14.6746572536125</v>
      </c>
      <c r="N3516">
        <v>50.010802863073202</v>
      </c>
      <c r="O3516">
        <v>47.883867122004297</v>
      </c>
      <c r="P3516">
        <v>-6.4874331118642797E-2</v>
      </c>
      <c r="Q3516">
        <v>0.153345500821192</v>
      </c>
      <c r="R3516">
        <v>0.99015982285357396</v>
      </c>
      <c r="S3516" t="s">
        <v>10519</v>
      </c>
      <c r="T3516" t="s">
        <v>14004</v>
      </c>
      <c r="U3516" t="s">
        <v>14004</v>
      </c>
      <c r="V3516" t="s">
        <v>14004</v>
      </c>
      <c r="W3516" t="s">
        <v>17475</v>
      </c>
      <c r="X3516">
        <v>2</v>
      </c>
      <c r="Y3516" t="s">
        <v>24322</v>
      </c>
      <c r="Z3516" t="s">
        <v>31226</v>
      </c>
      <c r="AA3516">
        <v>0.42262187771979509</v>
      </c>
      <c r="AB3516" t="str">
        <f>HYPERLINK("Melting_Curves/meltCurve_Q13546_RIPK1.pdf", "Melting_Curves/meltCurve_Q13546_RIPK1.pdf")</f>
        <v>Melting_Curves/meltCurve_Q13546_RIPK1.pdf</v>
      </c>
    </row>
    <row r="3517" spans="1:28" x14ac:dyDescent="0.25">
      <c r="A3517" t="s">
        <v>3521</v>
      </c>
      <c r="B3517">
        <v>0.99999676499088797</v>
      </c>
      <c r="C3517">
        <v>1.01802712455156</v>
      </c>
      <c r="D3517">
        <v>0.93184536384718597</v>
      </c>
      <c r="E3517">
        <v>0.860589321734199</v>
      </c>
      <c r="F3517">
        <v>0.41111783221950798</v>
      </c>
      <c r="G3517">
        <v>0.24462920444396299</v>
      </c>
      <c r="H3517">
        <v>0.10647964124281201</v>
      </c>
      <c r="I3517">
        <v>9.1705080717261106E-2</v>
      </c>
      <c r="J3517">
        <v>8.5903687242155094E-2</v>
      </c>
      <c r="K3517">
        <v>7.4099650805153697E-2</v>
      </c>
      <c r="L3517">
        <v>1324.22830917691</v>
      </c>
      <c r="M3517">
        <v>25.287665212873101</v>
      </c>
      <c r="N3517">
        <v>52.756652123027798</v>
      </c>
      <c r="O3517">
        <v>52.042382061027801</v>
      </c>
      <c r="P3517">
        <v>-0.111119733257652</v>
      </c>
      <c r="Q3517">
        <v>8.5267679329142601E-2</v>
      </c>
      <c r="R3517">
        <v>0.994913783065143</v>
      </c>
      <c r="S3517" t="s">
        <v>10520</v>
      </c>
      <c r="T3517" t="s">
        <v>14004</v>
      </c>
      <c r="U3517" t="s">
        <v>14004</v>
      </c>
      <c r="V3517" t="s">
        <v>14004</v>
      </c>
      <c r="W3517" t="s">
        <v>17476</v>
      </c>
      <c r="X3517">
        <v>17</v>
      </c>
      <c r="Y3517" t="s">
        <v>24323</v>
      </c>
      <c r="Z3517" t="s">
        <v>31227</v>
      </c>
      <c r="AA3517">
        <v>0.47053584714567592</v>
      </c>
      <c r="AB3517" t="str">
        <f>HYPERLINK("Melting_Curves/meltCurve_Q13547_HDAC1.pdf", "Melting_Curves/meltCurve_Q13547_HDAC1.pdf")</f>
        <v>Melting_Curves/meltCurve_Q13547_HDAC1.pdf</v>
      </c>
    </row>
    <row r="3518" spans="1:28" x14ac:dyDescent="0.25">
      <c r="A3518" t="s">
        <v>3522</v>
      </c>
      <c r="B3518">
        <v>0.99999676499088797</v>
      </c>
      <c r="C3518">
        <v>0.90720125208994395</v>
      </c>
      <c r="D3518">
        <v>0.867914033619409</v>
      </c>
      <c r="E3518">
        <v>0.69389728147930996</v>
      </c>
      <c r="F3518">
        <v>0.26957490755012298</v>
      </c>
      <c r="G3518">
        <v>0.18689045425453099</v>
      </c>
      <c r="H3518">
        <v>0.11369595924635199</v>
      </c>
      <c r="I3518">
        <v>8.5680365995444999E-2</v>
      </c>
      <c r="J3518">
        <v>7.6489417895787101E-2</v>
      </c>
      <c r="K3518">
        <v>6.7406646244833002E-2</v>
      </c>
      <c r="L3518">
        <v>1028.07411901058</v>
      </c>
      <c r="M3518">
        <v>20.286299235407501</v>
      </c>
      <c r="N3518">
        <v>51.0641227203756</v>
      </c>
      <c r="O3518">
        <v>50.193503251917001</v>
      </c>
      <c r="P3518">
        <v>-9.3863178045652904E-2</v>
      </c>
      <c r="Q3518">
        <v>7.1062354828525395E-2</v>
      </c>
      <c r="R3518">
        <v>0.99049506334999105</v>
      </c>
      <c r="S3518" t="s">
        <v>10521</v>
      </c>
      <c r="T3518" t="s">
        <v>14004</v>
      </c>
      <c r="U3518" t="s">
        <v>14004</v>
      </c>
      <c r="V3518" t="s">
        <v>14004</v>
      </c>
      <c r="W3518" t="s">
        <v>17477</v>
      </c>
      <c r="X3518">
        <v>25</v>
      </c>
      <c r="Y3518" t="s">
        <v>24324</v>
      </c>
      <c r="Z3518" t="s">
        <v>31228</v>
      </c>
      <c r="AA3518">
        <v>0.41427128846960209</v>
      </c>
      <c r="AB3518" t="str">
        <f>HYPERLINK("Melting_Curves/meltCurve_Q13564_NAE1.pdf", "Melting_Curves/meltCurve_Q13564_NAE1.pdf")</f>
        <v>Melting_Curves/meltCurve_Q13564_NAE1.pdf</v>
      </c>
    </row>
    <row r="3519" spans="1:28" x14ac:dyDescent="0.25">
      <c r="A3519" t="s">
        <v>3523</v>
      </c>
      <c r="B3519">
        <v>0.99999676499088797</v>
      </c>
      <c r="C3519">
        <v>1.0467751348079399</v>
      </c>
      <c r="D3519">
        <v>1.0355455756326</v>
      </c>
      <c r="E3519">
        <v>1.07969566836985</v>
      </c>
      <c r="F3519">
        <v>0.64490057393510802</v>
      </c>
      <c r="G3519">
        <v>0.296352402298591</v>
      </c>
      <c r="H3519">
        <v>0.102607721034044</v>
      </c>
      <c r="I3519">
        <v>0.127046557755921</v>
      </c>
      <c r="J3519">
        <v>0.14497428709065299</v>
      </c>
      <c r="K3519">
        <v>0.13310675476443001</v>
      </c>
      <c r="L3519">
        <v>2024.1088496094801</v>
      </c>
      <c r="M3519">
        <v>37.493434231682599</v>
      </c>
      <c r="N3519">
        <v>54.426714246697102</v>
      </c>
      <c r="O3519">
        <v>53.832800155161898</v>
      </c>
      <c r="P3519">
        <v>-0.151310212433929</v>
      </c>
      <c r="Q3519">
        <v>0.13100192778950601</v>
      </c>
      <c r="R3519">
        <v>0.98782965369908904</v>
      </c>
      <c r="S3519" t="s">
        <v>10522</v>
      </c>
      <c r="T3519" t="s">
        <v>14004</v>
      </c>
      <c r="U3519" t="s">
        <v>14004</v>
      </c>
      <c r="V3519" t="s">
        <v>14004</v>
      </c>
      <c r="W3519" t="s">
        <v>17478</v>
      </c>
      <c r="X3519">
        <v>9</v>
      </c>
      <c r="Y3519" t="s">
        <v>24325</v>
      </c>
      <c r="Z3519" t="s">
        <v>31229</v>
      </c>
      <c r="AA3519">
        <v>0.53980211112039411</v>
      </c>
      <c r="AB3519" t="str">
        <f>HYPERLINK("Melting_Curves/meltCurve_Q13572_ITPK1.pdf", "Melting_Curves/meltCurve_Q13572_ITPK1.pdf")</f>
        <v>Melting_Curves/meltCurve_Q13572_ITPK1.pdf</v>
      </c>
    </row>
    <row r="3520" spans="1:28" x14ac:dyDescent="0.25">
      <c r="A3520" t="s">
        <v>3524</v>
      </c>
      <c r="B3520">
        <v>0.99999676499088797</v>
      </c>
      <c r="C3520">
        <v>0.96675148017193702</v>
      </c>
      <c r="D3520">
        <v>0.94774439521992804</v>
      </c>
      <c r="E3520">
        <v>0.859406947577806</v>
      </c>
      <c r="F3520">
        <v>0.60596984673592102</v>
      </c>
      <c r="G3520">
        <v>0.50809127352862204</v>
      </c>
      <c r="H3520">
        <v>0.41483131755671299</v>
      </c>
      <c r="I3520">
        <v>0.49591857177752102</v>
      </c>
      <c r="J3520">
        <v>0.50631281994156396</v>
      </c>
      <c r="K3520">
        <v>0.63390989809249298</v>
      </c>
      <c r="L3520">
        <v>1689.2874834061699</v>
      </c>
      <c r="M3520">
        <v>33.211612356496303</v>
      </c>
      <c r="O3520">
        <v>50.681017963771701</v>
      </c>
      <c r="P3520">
        <v>-8.0393195609801196E-2</v>
      </c>
      <c r="Q3520">
        <v>0.50928116973377102</v>
      </c>
      <c r="R3520">
        <v>0.93919488375547999</v>
      </c>
      <c r="S3520" t="s">
        <v>10523</v>
      </c>
      <c r="T3520" t="s">
        <v>14004</v>
      </c>
      <c r="U3520" t="s">
        <v>14004</v>
      </c>
      <c r="V3520" t="s">
        <v>14004</v>
      </c>
      <c r="W3520" t="s">
        <v>17479</v>
      </c>
      <c r="X3520">
        <v>35</v>
      </c>
      <c r="Y3520" t="s">
        <v>24326</v>
      </c>
      <c r="Z3520" t="s">
        <v>31230</v>
      </c>
      <c r="AA3520">
        <v>0.68950217426681049</v>
      </c>
      <c r="AB3520" t="str">
        <f>HYPERLINK("Melting_Curves/meltCurve_Q13573_SNW1.pdf", "Melting_Curves/meltCurve_Q13573_SNW1.pdf")</f>
        <v>Melting_Curves/meltCurve_Q13573_SNW1.pdf</v>
      </c>
    </row>
    <row r="3521" spans="1:28" x14ac:dyDescent="0.25">
      <c r="A3521" t="s">
        <v>3525</v>
      </c>
      <c r="B3521">
        <v>0.99999676499088797</v>
      </c>
      <c r="C3521">
        <v>1.1836729436217299</v>
      </c>
      <c r="D3521">
        <v>1.02353138065822</v>
      </c>
      <c r="E3521">
        <v>0.61556605193458602</v>
      </c>
      <c r="F3521">
        <v>0.38337697953518302</v>
      </c>
      <c r="G3521">
        <v>0.206245024883392</v>
      </c>
      <c r="H3521">
        <v>0.1172038577137</v>
      </c>
      <c r="I3521">
        <v>0.120881436607381</v>
      </c>
      <c r="J3521">
        <v>9.8077218221196402E-2</v>
      </c>
      <c r="K3521">
        <v>7.7321146610106195E-2</v>
      </c>
      <c r="L3521">
        <v>1222.1706912122199</v>
      </c>
      <c r="M3521">
        <v>23.989164406330001</v>
      </c>
      <c r="N3521">
        <v>51.457733391125302</v>
      </c>
      <c r="O3521">
        <v>50.596732920270298</v>
      </c>
      <c r="P3521">
        <v>-0.105971222641464</v>
      </c>
      <c r="Q3521">
        <v>0.10597794779663</v>
      </c>
      <c r="R3521">
        <v>0.96843801263705298</v>
      </c>
      <c r="S3521" t="s">
        <v>10524</v>
      </c>
      <c r="T3521" t="s">
        <v>14004</v>
      </c>
      <c r="U3521" t="s">
        <v>14004</v>
      </c>
      <c r="V3521" t="s">
        <v>14004</v>
      </c>
      <c r="W3521" t="s">
        <v>17480</v>
      </c>
      <c r="X3521">
        <v>12</v>
      </c>
      <c r="Y3521" t="s">
        <v>24327</v>
      </c>
      <c r="Z3521" t="s">
        <v>31231</v>
      </c>
      <c r="AA3521">
        <v>0.44095336258782908</v>
      </c>
      <c r="AB3521" t="str">
        <f>HYPERLINK("Melting_Curves/meltCurve_Q13574_DGKZ.pdf", "Melting_Curves/meltCurve_Q13574_DGKZ.pdf")</f>
        <v>Melting_Curves/meltCurve_Q13574_DGKZ.pdf</v>
      </c>
    </row>
    <row r="3522" spans="1:28" x14ac:dyDescent="0.25">
      <c r="A3522" t="s">
        <v>3526</v>
      </c>
      <c r="B3522">
        <v>0.99999676499088797</v>
      </c>
      <c r="C3522">
        <v>0.91562059183481903</v>
      </c>
      <c r="D3522">
        <v>0.53565810267301395</v>
      </c>
      <c r="E3522">
        <v>0.26165540209858801</v>
      </c>
      <c r="F3522">
        <v>0.18716271047598201</v>
      </c>
      <c r="G3522">
        <v>0.12989827425210701</v>
      </c>
      <c r="H3522">
        <v>6.7116889635281105E-2</v>
      </c>
      <c r="I3522">
        <v>6.5329504969855207E-2</v>
      </c>
      <c r="J3522">
        <v>6.3468809058616599E-2</v>
      </c>
      <c r="K3522">
        <v>5.1685577271162901E-2</v>
      </c>
      <c r="L3522">
        <v>1026.5580356877399</v>
      </c>
      <c r="M3522">
        <v>22.143075465074599</v>
      </c>
      <c r="N3522">
        <v>46.727792858725401</v>
      </c>
      <c r="O3522">
        <v>45.987093840083702</v>
      </c>
      <c r="P3522">
        <v>-0.110757832152293</v>
      </c>
      <c r="Q3522">
        <v>7.9925647005379505E-2</v>
      </c>
      <c r="R3522">
        <v>0.99065458099772097</v>
      </c>
      <c r="S3522" t="s">
        <v>10525</v>
      </c>
      <c r="T3522" t="s">
        <v>14004</v>
      </c>
      <c r="U3522" t="s">
        <v>14004</v>
      </c>
      <c r="V3522" t="s">
        <v>14004</v>
      </c>
      <c r="W3522" t="s">
        <v>17481</v>
      </c>
      <c r="X3522">
        <v>31</v>
      </c>
      <c r="Y3522" t="s">
        <v>24328</v>
      </c>
      <c r="Z3522" t="s">
        <v>31232</v>
      </c>
      <c r="AA3522">
        <v>0.28601447107303662</v>
      </c>
      <c r="AB3522" t="str">
        <f>HYPERLINK("Melting_Curves/meltCurve_Q13576_IQGAP2.pdf", "Melting_Curves/meltCurve_Q13576_IQGAP2.pdf")</f>
        <v>Melting_Curves/meltCurve_Q13576_IQGAP2.pdf</v>
      </c>
    </row>
    <row r="3523" spans="1:28" x14ac:dyDescent="0.25">
      <c r="A3523" t="s">
        <v>3527</v>
      </c>
      <c r="B3523">
        <v>0.99999676499088797</v>
      </c>
      <c r="C3523">
        <v>0.86733160647941598</v>
      </c>
      <c r="D3523">
        <v>0.86460832377691599</v>
      </c>
      <c r="E3523">
        <v>0.52967912415148199</v>
      </c>
      <c r="F3523">
        <v>0.237077760351113</v>
      </c>
      <c r="G3523">
        <v>0.17406965658418899</v>
      </c>
      <c r="H3523">
        <v>8.3189339243619306E-2</v>
      </c>
      <c r="I3523">
        <v>7.0951319854450301E-2</v>
      </c>
      <c r="J3523">
        <v>6.73728142524537E-2</v>
      </c>
      <c r="K3523">
        <v>6.7462480381606599E-2</v>
      </c>
      <c r="L3523">
        <v>921.24287149708198</v>
      </c>
      <c r="M3523">
        <v>18.5821149573441</v>
      </c>
      <c r="N3523">
        <v>49.927268101966398</v>
      </c>
      <c r="O3523">
        <v>49.013413424360799</v>
      </c>
      <c r="P3523">
        <v>-8.8990227049842094E-2</v>
      </c>
      <c r="Q3523">
        <v>6.11352695605702E-2</v>
      </c>
      <c r="R3523">
        <v>0.99163594317901604</v>
      </c>
      <c r="S3523" t="s">
        <v>10526</v>
      </c>
      <c r="T3523" t="s">
        <v>14004</v>
      </c>
      <c r="U3523" t="s">
        <v>14004</v>
      </c>
      <c r="V3523" t="s">
        <v>14004</v>
      </c>
      <c r="W3523" t="s">
        <v>17482</v>
      </c>
      <c r="X3523">
        <v>16</v>
      </c>
      <c r="Y3523" t="s">
        <v>24329</v>
      </c>
      <c r="Z3523" t="s">
        <v>31233</v>
      </c>
      <c r="AA3523">
        <v>0.37598559369988183</v>
      </c>
      <c r="AB3523" t="str">
        <f>HYPERLINK("Melting_Curves/meltCurve_Q13586_STIM1.pdf", "Melting_Curves/meltCurve_Q13586_STIM1.pdf")</f>
        <v>Melting_Curves/meltCurve_Q13586_STIM1.pdf</v>
      </c>
    </row>
    <row r="3524" spans="1:28" x14ac:dyDescent="0.25">
      <c r="A3524" t="s">
        <v>3528</v>
      </c>
      <c r="B3524">
        <v>0.99999676499088797</v>
      </c>
      <c r="C3524">
        <v>1.0197815469284199</v>
      </c>
      <c r="D3524">
        <v>0.74964629998792098</v>
      </c>
      <c r="E3524">
        <v>0.42801657470003701</v>
      </c>
      <c r="F3524">
        <v>0.29265152815838102</v>
      </c>
      <c r="G3524">
        <v>0.38659912716237799</v>
      </c>
      <c r="H3524">
        <v>0.15132220660599099</v>
      </c>
      <c r="I3524">
        <v>0.13763652996704401</v>
      </c>
      <c r="J3524">
        <v>0.14828624994668599</v>
      </c>
      <c r="K3524">
        <v>0.115232560580088</v>
      </c>
      <c r="L3524">
        <v>908.197302471841</v>
      </c>
      <c r="M3524">
        <v>18.801736619185</v>
      </c>
      <c r="N3524">
        <v>49.352301402257602</v>
      </c>
      <c r="O3524">
        <v>47.767423557076398</v>
      </c>
      <c r="P3524">
        <v>-8.2204881622255005E-2</v>
      </c>
      <c r="Q3524">
        <v>0.16464051904694599</v>
      </c>
      <c r="R3524">
        <v>0.958140042176442</v>
      </c>
      <c r="S3524" t="s">
        <v>10527</v>
      </c>
      <c r="T3524" t="s">
        <v>14004</v>
      </c>
      <c r="U3524" t="s">
        <v>14004</v>
      </c>
      <c r="V3524" t="s">
        <v>14004</v>
      </c>
      <c r="W3524" t="s">
        <v>17483</v>
      </c>
      <c r="X3524">
        <v>3</v>
      </c>
      <c r="Y3524" t="s">
        <v>24330</v>
      </c>
      <c r="Z3524" t="s">
        <v>31234</v>
      </c>
      <c r="AA3524">
        <v>0.40929368053520448</v>
      </c>
      <c r="AB3524" t="str">
        <f>HYPERLINK("Melting_Curves/meltCurve_Q13588_GRAP.pdf", "Melting_Curves/meltCurve_Q13588_GRAP.pdf")</f>
        <v>Melting_Curves/meltCurve_Q13588_GRAP.pdf</v>
      </c>
    </row>
    <row r="3525" spans="1:28" x14ac:dyDescent="0.25">
      <c r="A3525" t="s">
        <v>3529</v>
      </c>
      <c r="B3525">
        <v>0.99999676499088797</v>
      </c>
      <c r="C3525">
        <v>1.0019278888910199</v>
      </c>
      <c r="D3525">
        <v>0.96321984036538</v>
      </c>
      <c r="E3525">
        <v>0.70341300738503199</v>
      </c>
      <c r="F3525">
        <v>0.234841293502666</v>
      </c>
      <c r="G3525">
        <v>0.15815557878636</v>
      </c>
      <c r="H3525">
        <v>8.06896957713584E-2</v>
      </c>
      <c r="I3525">
        <v>9.5319041771165597E-2</v>
      </c>
      <c r="J3525">
        <v>8.8920604925563695E-2</v>
      </c>
      <c r="K3525">
        <v>7.9810059273468806E-2</v>
      </c>
      <c r="L3525">
        <v>1657.2796331017801</v>
      </c>
      <c r="M3525">
        <v>32.715953744234099</v>
      </c>
      <c r="N3525">
        <v>50.973914712298402</v>
      </c>
      <c r="O3525">
        <v>50.468485829290103</v>
      </c>
      <c r="P3525">
        <v>-0.147132241247555</v>
      </c>
      <c r="Q3525">
        <v>9.21241371022508E-2</v>
      </c>
      <c r="R3525">
        <v>0.99854860638347198</v>
      </c>
      <c r="S3525" t="s">
        <v>10528</v>
      </c>
      <c r="T3525" t="s">
        <v>14004</v>
      </c>
      <c r="U3525" t="s">
        <v>14004</v>
      </c>
      <c r="V3525" t="s">
        <v>14004</v>
      </c>
      <c r="W3525" t="s">
        <v>17484</v>
      </c>
      <c r="X3525">
        <v>24</v>
      </c>
      <c r="Y3525" t="s">
        <v>24331</v>
      </c>
      <c r="Z3525" t="s">
        <v>31235</v>
      </c>
      <c r="AA3525">
        <v>0.41938799622239692</v>
      </c>
      <c r="AB3525" t="str">
        <f>HYPERLINK("Melting_Curves/meltCurve_Q13596_SNX1.pdf", "Melting_Curves/meltCurve_Q13596_SNX1.pdf")</f>
        <v>Melting_Curves/meltCurve_Q13596_SNX1.pdf</v>
      </c>
    </row>
    <row r="3526" spans="1:28" x14ac:dyDescent="0.25">
      <c r="A3526" t="s">
        <v>3530</v>
      </c>
      <c r="B3526">
        <v>0.99999676499088797</v>
      </c>
      <c r="C3526">
        <v>1.1337115271265401</v>
      </c>
      <c r="D3526">
        <v>1.3640000116850799</v>
      </c>
      <c r="E3526">
        <v>0.93709057922402805</v>
      </c>
      <c r="F3526">
        <v>1.8432017364744799</v>
      </c>
      <c r="G3526">
        <v>0.60418865894569096</v>
      </c>
      <c r="H3526">
        <v>0.222524008950024</v>
      </c>
      <c r="I3526">
        <v>0</v>
      </c>
      <c r="J3526">
        <v>0</v>
      </c>
      <c r="K3526">
        <v>0</v>
      </c>
      <c r="L3526">
        <v>14218.536996470601</v>
      </c>
      <c r="M3526">
        <v>250</v>
      </c>
      <c r="N3526">
        <v>56.9009839819607</v>
      </c>
      <c r="O3526">
        <v>56.8705087181824</v>
      </c>
      <c r="P3526">
        <v>-1.0378501432814</v>
      </c>
      <c r="Q3526">
        <v>5.5630956150649898E-2</v>
      </c>
      <c r="R3526">
        <v>0.76177023660872201</v>
      </c>
      <c r="S3526" t="s">
        <v>10529</v>
      </c>
      <c r="T3526" t="s">
        <v>14004</v>
      </c>
      <c r="U3526" t="s">
        <v>14004</v>
      </c>
      <c r="V3526" t="s">
        <v>14004</v>
      </c>
      <c r="W3526" t="s">
        <v>17485</v>
      </c>
      <c r="X3526">
        <v>1</v>
      </c>
      <c r="Y3526" t="s">
        <v>24332</v>
      </c>
      <c r="Z3526" t="s">
        <v>31236</v>
      </c>
      <c r="AA3526">
        <v>0.58690598332898314</v>
      </c>
      <c r="AB3526" t="str">
        <f>HYPERLINK("Melting_Curves/meltCurve_Q13608_PEX6.pdf", "Melting_Curves/meltCurve_Q13608_PEX6.pdf")</f>
        <v>Melting_Curves/meltCurve_Q13608_PEX6.pdf</v>
      </c>
    </row>
    <row r="3527" spans="1:28" x14ac:dyDescent="0.25">
      <c r="A3527" t="s">
        <v>3531</v>
      </c>
      <c r="B3527">
        <v>0.99999676499088797</v>
      </c>
      <c r="C3527">
        <v>1.0063433434558899</v>
      </c>
      <c r="D3527">
        <v>1.00298275251939</v>
      </c>
      <c r="E3527">
        <v>0.94212203526698601</v>
      </c>
      <c r="F3527">
        <v>1.52414567761717</v>
      </c>
      <c r="G3527">
        <v>1.7262411349003499</v>
      </c>
      <c r="H3527">
        <v>2.61136280000665</v>
      </c>
      <c r="I3527">
        <v>2.28392118089661</v>
      </c>
      <c r="J3527">
        <v>0.76466563205002003</v>
      </c>
      <c r="K3527">
        <v>0.63424154174499503</v>
      </c>
      <c r="L3527">
        <v>6743.2066253891599</v>
      </c>
      <c r="M3527">
        <v>131.006524518286</v>
      </c>
      <c r="O3527">
        <v>51.460304590312099</v>
      </c>
      <c r="P3527">
        <v>0.31822228854482099</v>
      </c>
      <c r="Q3527">
        <v>1.5</v>
      </c>
      <c r="R3527">
        <v>0.204496010317127</v>
      </c>
      <c r="S3527" t="s">
        <v>10530</v>
      </c>
      <c r="T3527" t="s">
        <v>14004</v>
      </c>
      <c r="U3527" t="s">
        <v>14004</v>
      </c>
      <c r="V3527" t="s">
        <v>14004</v>
      </c>
      <c r="W3527" t="s">
        <v>17486</v>
      </c>
      <c r="X3527">
        <v>5</v>
      </c>
      <c r="Y3527" t="s">
        <v>24333</v>
      </c>
      <c r="Z3527" t="s">
        <v>31237</v>
      </c>
      <c r="AA3527">
        <v>1.3086304889881659</v>
      </c>
      <c r="AB3527" t="str">
        <f>HYPERLINK("Melting_Curves/meltCurve_Q13610_PWP1.pdf", "Melting_Curves/meltCurve_Q13610_PWP1.pdf")</f>
        <v>Melting_Curves/meltCurve_Q13610_PWP1.pdf</v>
      </c>
    </row>
    <row r="3528" spans="1:28" x14ac:dyDescent="0.25">
      <c r="A3528" t="s">
        <v>3532</v>
      </c>
      <c r="B3528">
        <v>0.99999676499088797</v>
      </c>
      <c r="C3528">
        <v>0.92834559713967402</v>
      </c>
      <c r="D3528">
        <v>0.90796635400783698</v>
      </c>
      <c r="E3528">
        <v>0.88009183238215904</v>
      </c>
      <c r="F3528">
        <v>0.408706768952661</v>
      </c>
      <c r="G3528">
        <v>0.23391552473899199</v>
      </c>
      <c r="H3528">
        <v>7.9086696623126201E-2</v>
      </c>
      <c r="I3528">
        <v>7.4724549928846501E-2</v>
      </c>
      <c r="J3528">
        <v>8.34095218825152E-2</v>
      </c>
      <c r="K3528">
        <v>7.9196877890222603E-2</v>
      </c>
      <c r="L3528">
        <v>1368.1005952850701</v>
      </c>
      <c r="M3528">
        <v>26.098629939279199</v>
      </c>
      <c r="N3528">
        <v>52.755136158424897</v>
      </c>
      <c r="O3528">
        <v>52.115539486293002</v>
      </c>
      <c r="P3528">
        <v>-0.11564402413277</v>
      </c>
      <c r="Q3528">
        <v>7.6306718747205501E-2</v>
      </c>
      <c r="R3528">
        <v>0.98899144125407801</v>
      </c>
      <c r="S3528" t="s">
        <v>10531</v>
      </c>
      <c r="T3528" t="s">
        <v>14004</v>
      </c>
      <c r="U3528" t="s">
        <v>14004</v>
      </c>
      <c r="V3528" t="s">
        <v>14004</v>
      </c>
      <c r="W3528" t="s">
        <v>17487</v>
      </c>
      <c r="X3528">
        <v>10</v>
      </c>
      <c r="Y3528" t="s">
        <v>24334</v>
      </c>
      <c r="Z3528" t="s">
        <v>31238</v>
      </c>
      <c r="AA3528">
        <v>0.46652387879630391</v>
      </c>
      <c r="AB3528" t="str">
        <f>HYPERLINK("Melting_Curves/meltCurve_Q13614_MTMR2.pdf", "Melting_Curves/meltCurve_Q13614_MTMR2.pdf")</f>
        <v>Melting_Curves/meltCurve_Q13614_MTMR2.pdf</v>
      </c>
    </row>
    <row r="3529" spans="1:28" x14ac:dyDescent="0.25">
      <c r="A3529" t="s">
        <v>3533</v>
      </c>
      <c r="B3529">
        <v>0.99999676499088797</v>
      </c>
      <c r="C3529">
        <v>1.05817289309014</v>
      </c>
      <c r="D3529">
        <v>1.05118747752868</v>
      </c>
      <c r="E3529">
        <v>0.91782102626834605</v>
      </c>
      <c r="F3529">
        <v>0.61853955763356006</v>
      </c>
      <c r="G3529">
        <v>0.37210346749135798</v>
      </c>
      <c r="H3529">
        <v>0.20012428370770199</v>
      </c>
      <c r="I3529">
        <v>0.19403120182523101</v>
      </c>
      <c r="J3529">
        <v>0.18332910134614</v>
      </c>
      <c r="K3529">
        <v>0.17335039971808999</v>
      </c>
      <c r="L3529">
        <v>1361.7086761657399</v>
      </c>
      <c r="M3529">
        <v>25.3383124560191</v>
      </c>
      <c r="N3529">
        <v>54.676478655315201</v>
      </c>
      <c r="O3529">
        <v>53.409725296820397</v>
      </c>
      <c r="P3529">
        <v>-9.7745397552425006E-2</v>
      </c>
      <c r="Q3529">
        <v>0.17587456538351801</v>
      </c>
      <c r="R3529">
        <v>0.99347206312193004</v>
      </c>
      <c r="S3529" t="s">
        <v>10532</v>
      </c>
      <c r="T3529" t="s">
        <v>14004</v>
      </c>
      <c r="U3529" t="s">
        <v>14004</v>
      </c>
      <c r="V3529" t="s">
        <v>14004</v>
      </c>
      <c r="W3529" t="s">
        <v>17488</v>
      </c>
      <c r="X3529">
        <v>6</v>
      </c>
      <c r="Y3529" t="s">
        <v>24335</v>
      </c>
      <c r="Z3529" t="s">
        <v>31239</v>
      </c>
      <c r="AA3529">
        <v>0.56078735163583793</v>
      </c>
      <c r="AB3529" t="str">
        <f>HYPERLINK("Melting_Curves/meltCurve_Q13615_3_MTMR3.pdf", "Melting_Curves/meltCurve_Q13615_3_MTMR3.pdf")</f>
        <v>Melting_Curves/meltCurve_Q13615_3_MTMR3.pdf</v>
      </c>
    </row>
    <row r="3530" spans="1:28" x14ac:dyDescent="0.25">
      <c r="A3530" t="s">
        <v>3534</v>
      </c>
      <c r="B3530">
        <v>0.99999676499088797</v>
      </c>
      <c r="C3530">
        <v>1.0804286521398601</v>
      </c>
      <c r="D3530">
        <v>1.1654693069634401</v>
      </c>
      <c r="E3530">
        <v>1.42333450172154</v>
      </c>
      <c r="F3530">
        <v>1.32659310584998</v>
      </c>
      <c r="G3530">
        <v>1.243792347683</v>
      </c>
      <c r="H3530">
        <v>0.43194070286502501</v>
      </c>
      <c r="I3530">
        <v>0.144851878505702</v>
      </c>
      <c r="J3530">
        <v>0.119687331842272</v>
      </c>
      <c r="K3530">
        <v>0.10673436447755</v>
      </c>
      <c r="L3530">
        <v>11863.261827832999</v>
      </c>
      <c r="M3530">
        <v>195.73091346671001</v>
      </c>
      <c r="N3530">
        <v>60.698236457941</v>
      </c>
      <c r="O3530">
        <v>60.603729933922601</v>
      </c>
      <c r="P3530">
        <v>-0.70750470426388101</v>
      </c>
      <c r="Q3530">
        <v>0.123747535858088</v>
      </c>
      <c r="R3530">
        <v>0.85515939117306505</v>
      </c>
      <c r="S3530" t="s">
        <v>10533</v>
      </c>
      <c r="T3530" t="s">
        <v>14004</v>
      </c>
      <c r="U3530" t="s">
        <v>14004</v>
      </c>
      <c r="V3530" t="s">
        <v>14004</v>
      </c>
      <c r="W3530" t="s">
        <v>17489</v>
      </c>
      <c r="X3530">
        <v>27</v>
      </c>
      <c r="Y3530" t="s">
        <v>24336</v>
      </c>
      <c r="Z3530" t="s">
        <v>31240</v>
      </c>
      <c r="AA3530">
        <v>0.72588672342967953</v>
      </c>
      <c r="AB3530" t="str">
        <f>HYPERLINK("Melting_Curves/meltCurve_Q13616_CUL1.pdf", "Melting_Curves/meltCurve_Q13616_CUL1.pdf")</f>
        <v>Melting_Curves/meltCurve_Q13616_CUL1.pdf</v>
      </c>
    </row>
    <row r="3531" spans="1:28" x14ac:dyDescent="0.25">
      <c r="A3531" t="s">
        <v>3535</v>
      </c>
      <c r="B3531">
        <v>0.99999676499088797</v>
      </c>
      <c r="C3531">
        <v>1.02197834747463</v>
      </c>
      <c r="D3531">
        <v>1.06762624216197</v>
      </c>
      <c r="E3531">
        <v>1.18844200612674</v>
      </c>
      <c r="F3531">
        <v>0.61540134749581998</v>
      </c>
      <c r="G3531">
        <v>0.22266767578348701</v>
      </c>
      <c r="H3531">
        <v>0.106967469001943</v>
      </c>
      <c r="I3531">
        <v>9.0410013703090403E-2</v>
      </c>
      <c r="J3531">
        <v>9.3354779939758797E-2</v>
      </c>
      <c r="K3531">
        <v>8.4540299078948597E-2</v>
      </c>
      <c r="L3531">
        <v>2810.7733929726301</v>
      </c>
      <c r="M3531">
        <v>52.4391689806939</v>
      </c>
      <c r="N3531">
        <v>53.850997565975398</v>
      </c>
      <c r="O3531">
        <v>53.522867645283903</v>
      </c>
      <c r="P3531">
        <v>-0.21844269569542299</v>
      </c>
      <c r="Q3531">
        <v>0.108172656530096</v>
      </c>
      <c r="R3531">
        <v>0.97443339959740705</v>
      </c>
      <c r="S3531" t="s">
        <v>10534</v>
      </c>
      <c r="T3531" t="s">
        <v>14004</v>
      </c>
      <c r="U3531" t="s">
        <v>14004</v>
      </c>
      <c r="V3531" t="s">
        <v>14004</v>
      </c>
      <c r="W3531" t="s">
        <v>17490</v>
      </c>
      <c r="X3531">
        <v>31</v>
      </c>
      <c r="Y3531" t="s">
        <v>24337</v>
      </c>
      <c r="Z3531" t="s">
        <v>31241</v>
      </c>
      <c r="AA3531">
        <v>0.51440271761067102</v>
      </c>
      <c r="AB3531" t="str">
        <f>HYPERLINK("Melting_Curves/meltCurve_Q13617_CUL2.pdf", "Melting_Curves/meltCurve_Q13617_CUL2.pdf")</f>
        <v>Melting_Curves/meltCurve_Q13617_CUL2.pdf</v>
      </c>
    </row>
    <row r="3532" spans="1:28" x14ac:dyDescent="0.25">
      <c r="A3532" t="s">
        <v>3536</v>
      </c>
      <c r="B3532">
        <v>0.99999676499088797</v>
      </c>
      <c r="C3532">
        <v>1.02584460082691</v>
      </c>
      <c r="D3532">
        <v>1.0506008912320199</v>
      </c>
      <c r="E3532">
        <v>1.1476543895734601</v>
      </c>
      <c r="F3532">
        <v>0.81973929919336397</v>
      </c>
      <c r="G3532">
        <v>0.244833548500902</v>
      </c>
      <c r="H3532">
        <v>9.0696758977776598E-2</v>
      </c>
      <c r="I3532">
        <v>8.0864580282297704E-2</v>
      </c>
      <c r="J3532">
        <v>8.1691796211861303E-2</v>
      </c>
      <c r="K3532">
        <v>5.8339864650382101E-2</v>
      </c>
      <c r="L3532">
        <v>2576.5991373583101</v>
      </c>
      <c r="M3532">
        <v>46.914759665902999</v>
      </c>
      <c r="N3532">
        <v>55.115075909683497</v>
      </c>
      <c r="O3532">
        <v>54.8213562965568</v>
      </c>
      <c r="P3532">
        <v>-0.19764553230118101</v>
      </c>
      <c r="Q3532">
        <v>7.61812310252305E-2</v>
      </c>
      <c r="R3532">
        <v>0.98687578666804199</v>
      </c>
      <c r="S3532" t="s">
        <v>10535</v>
      </c>
      <c r="T3532" t="s">
        <v>14004</v>
      </c>
      <c r="U3532" t="s">
        <v>14004</v>
      </c>
      <c r="V3532" t="s">
        <v>14004</v>
      </c>
      <c r="W3532" t="s">
        <v>17491</v>
      </c>
      <c r="X3532">
        <v>33</v>
      </c>
      <c r="Y3532" t="s">
        <v>24338</v>
      </c>
      <c r="Z3532" t="s">
        <v>31242</v>
      </c>
      <c r="AA3532">
        <v>0.53819518952240919</v>
      </c>
      <c r="AB3532" t="str">
        <f>HYPERLINK("Melting_Curves/meltCurve_Q13618_CUL3.pdf", "Melting_Curves/meltCurve_Q13618_CUL3.pdf")</f>
        <v>Melting_Curves/meltCurve_Q13618_CUL3.pdf</v>
      </c>
    </row>
    <row r="3533" spans="1:28" x14ac:dyDescent="0.25">
      <c r="A3533" t="s">
        <v>3537</v>
      </c>
      <c r="B3533">
        <v>0.99999676499088797</v>
      </c>
      <c r="C3533">
        <v>1.0168450182226101</v>
      </c>
      <c r="D3533">
        <v>1.05655986747872</v>
      </c>
      <c r="E3533">
        <v>0.88059618588749899</v>
      </c>
      <c r="F3533">
        <v>0.26902078405871099</v>
      </c>
      <c r="G3533">
        <v>0.20279814653655101</v>
      </c>
      <c r="H3533">
        <v>0.11203642668521099</v>
      </c>
      <c r="I3533">
        <v>0.108700881341336</v>
      </c>
      <c r="J3533">
        <v>9.5367023402389603E-2</v>
      </c>
      <c r="K3533">
        <v>8.1589795069047802E-2</v>
      </c>
      <c r="L3533">
        <v>2431.76206752404</v>
      </c>
      <c r="M3533">
        <v>47.198779826990098</v>
      </c>
      <c r="N3533">
        <v>51.811775798765403</v>
      </c>
      <c r="O3533">
        <v>51.429480585913801</v>
      </c>
      <c r="P3533">
        <v>-0.20279497399742</v>
      </c>
      <c r="Q3533">
        <v>0.11611028501833</v>
      </c>
      <c r="R3533">
        <v>0.99349938217969602</v>
      </c>
      <c r="S3533" t="s">
        <v>10536</v>
      </c>
      <c r="T3533" t="s">
        <v>14004</v>
      </c>
      <c r="U3533" t="s">
        <v>14004</v>
      </c>
      <c r="V3533" t="s">
        <v>14004</v>
      </c>
      <c r="W3533" t="s">
        <v>17492</v>
      </c>
      <c r="X3533">
        <v>31</v>
      </c>
      <c r="Y3533" t="s">
        <v>24339</v>
      </c>
      <c r="Z3533" t="s">
        <v>31243</v>
      </c>
      <c r="AA3533">
        <v>0.45783007197981102</v>
      </c>
      <c r="AB3533" t="str">
        <f>HYPERLINK("Melting_Curves/meltCurve_Q13619_CUL4A.pdf", "Melting_Curves/meltCurve_Q13619_CUL4A.pdf")</f>
        <v>Melting_Curves/meltCurve_Q13619_CUL4A.pdf</v>
      </c>
    </row>
    <row r="3534" spans="1:28" x14ac:dyDescent="0.25">
      <c r="A3534" t="s">
        <v>3538</v>
      </c>
      <c r="B3534">
        <v>0.99999676499088797</v>
      </c>
      <c r="C3534">
        <v>0.94313139755224396</v>
      </c>
      <c r="D3534">
        <v>0.625455448911029</v>
      </c>
      <c r="E3534">
        <v>0.249019544903232</v>
      </c>
      <c r="F3534">
        <v>0.119220233243749</v>
      </c>
      <c r="G3534">
        <v>9.1747795699970797E-2</v>
      </c>
      <c r="H3534">
        <v>6.2908574636131698E-2</v>
      </c>
      <c r="I3534">
        <v>6.20539175455114E-2</v>
      </c>
      <c r="J3534">
        <v>6.1533010382328703E-2</v>
      </c>
      <c r="K3534">
        <v>4.3497684334461301E-2</v>
      </c>
      <c r="L3534">
        <v>1203.6556172850901</v>
      </c>
      <c r="M3534">
        <v>25.696989720201699</v>
      </c>
      <c r="N3534">
        <v>47.091637683635597</v>
      </c>
      <c r="O3534">
        <v>46.559414117900801</v>
      </c>
      <c r="P3534">
        <v>-0.12914048749002299</v>
      </c>
      <c r="Q3534">
        <v>6.4071688490047102E-2</v>
      </c>
      <c r="R3534">
        <v>0.99857211714641803</v>
      </c>
      <c r="S3534" t="s">
        <v>10537</v>
      </c>
      <c r="T3534" t="s">
        <v>14004</v>
      </c>
      <c r="U3534" t="s">
        <v>14004</v>
      </c>
      <c r="V3534" t="s">
        <v>14004</v>
      </c>
      <c r="W3534" t="s">
        <v>17493</v>
      </c>
      <c r="X3534">
        <v>4</v>
      </c>
      <c r="Y3534" t="s">
        <v>24340</v>
      </c>
      <c r="Z3534" t="s">
        <v>31244</v>
      </c>
      <c r="AA3534">
        <v>0.28536293190697898</v>
      </c>
      <c r="AB3534" t="str">
        <f>HYPERLINK("Melting_Curves/meltCurve_Q13625_2_TP53BP2.pdf", "Melting_Curves/meltCurve_Q13625_2_TP53BP2.pdf")</f>
        <v>Melting_Curves/meltCurve_Q13625_2_TP53BP2.pdf</v>
      </c>
    </row>
    <row r="3535" spans="1:28" x14ac:dyDescent="0.25">
      <c r="A3535" t="s">
        <v>3539</v>
      </c>
      <c r="B3535">
        <v>0.99999676499088797</v>
      </c>
      <c r="C3535">
        <v>1.01933561589858</v>
      </c>
      <c r="D3535">
        <v>0.95750843940082297</v>
      </c>
      <c r="E3535">
        <v>0.92446749729635902</v>
      </c>
      <c r="F3535">
        <v>0.43599010026368401</v>
      </c>
      <c r="G3535">
        <v>0.22160418723331399</v>
      </c>
      <c r="H3535">
        <v>0.102766836928564</v>
      </c>
      <c r="I3535">
        <v>0.11536574307486</v>
      </c>
      <c r="J3535">
        <v>0.111473005782864</v>
      </c>
      <c r="K3535">
        <v>9.7615187335469603E-2</v>
      </c>
      <c r="L3535">
        <v>1804.40830636496</v>
      </c>
      <c r="M3535">
        <v>34.360323738042901</v>
      </c>
      <c r="N3535">
        <v>52.906362886510102</v>
      </c>
      <c r="O3535">
        <v>52.337377660694898</v>
      </c>
      <c r="P3535">
        <v>-0.145681829186488</v>
      </c>
      <c r="Q3535">
        <v>0.11239765636796301</v>
      </c>
      <c r="R3535">
        <v>0.99638281236604298</v>
      </c>
      <c r="S3535" t="s">
        <v>10538</v>
      </c>
      <c r="T3535" t="s">
        <v>14004</v>
      </c>
      <c r="U3535" t="s">
        <v>14004</v>
      </c>
      <c r="V3535" t="s">
        <v>14004</v>
      </c>
      <c r="W3535" t="s">
        <v>17494</v>
      </c>
      <c r="X3535">
        <v>13</v>
      </c>
      <c r="Y3535" t="s">
        <v>24341</v>
      </c>
      <c r="Z3535" t="s">
        <v>31245</v>
      </c>
      <c r="AA3535">
        <v>0.48702077640835412</v>
      </c>
      <c r="AB3535" t="str">
        <f>HYPERLINK("Melting_Curves/meltCurve_Q13627_2_DYRK1A.pdf", "Melting_Curves/meltCurve_Q13627_2_DYRK1A.pdf")</f>
        <v>Melting_Curves/meltCurve_Q13627_2_DYRK1A.pdf</v>
      </c>
    </row>
    <row r="3536" spans="1:28" x14ac:dyDescent="0.25">
      <c r="A3536" t="s">
        <v>3540</v>
      </c>
      <c r="B3536">
        <v>0.99999676499088797</v>
      </c>
      <c r="C3536">
        <v>1.0347750530659701</v>
      </c>
      <c r="D3536">
        <v>0.96869874372879405</v>
      </c>
      <c r="E3536">
        <v>0.86593455384524498</v>
      </c>
      <c r="F3536">
        <v>0.74222983681180099</v>
      </c>
      <c r="G3536">
        <v>0.61526256326782702</v>
      </c>
      <c r="H3536">
        <v>0.20752495949805599</v>
      </c>
      <c r="I3536">
        <v>8.9026757111071095E-2</v>
      </c>
      <c r="J3536">
        <v>8.6388893570382999E-2</v>
      </c>
      <c r="K3536">
        <v>5.35445045116145E-2</v>
      </c>
      <c r="L3536">
        <v>976.10721823497795</v>
      </c>
      <c r="M3536">
        <v>17.106562049931298</v>
      </c>
      <c r="N3536">
        <v>57.060397027504003</v>
      </c>
      <c r="O3536">
        <v>56.297757250539199</v>
      </c>
      <c r="P3536">
        <v>-7.5969249921518295E-2</v>
      </c>
      <c r="Q3536">
        <v>0</v>
      </c>
      <c r="R3536">
        <v>0.98630749006993501</v>
      </c>
      <c r="S3536" t="s">
        <v>10539</v>
      </c>
      <c r="T3536" t="s">
        <v>14004</v>
      </c>
      <c r="U3536" t="s">
        <v>14004</v>
      </c>
      <c r="V3536" t="s">
        <v>14004</v>
      </c>
      <c r="W3536" t="s">
        <v>17495</v>
      </c>
      <c r="X3536">
        <v>17</v>
      </c>
      <c r="Y3536" t="s">
        <v>21888</v>
      </c>
      <c r="Z3536" t="s">
        <v>31246</v>
      </c>
      <c r="AA3536">
        <v>0.58297882807981394</v>
      </c>
      <c r="AB3536" t="str">
        <f>HYPERLINK("Melting_Curves/meltCurve_Q13630_TSTA3.pdf", "Melting_Curves/meltCurve_Q13630_TSTA3.pdf")</f>
        <v>Melting_Curves/meltCurve_Q13630_TSTA3.pdf</v>
      </c>
    </row>
    <row r="3537" spans="1:28" x14ac:dyDescent="0.25">
      <c r="A3537" t="s">
        <v>3541</v>
      </c>
      <c r="B3537">
        <v>0.99999676499088797</v>
      </c>
      <c r="C3537">
        <v>0.98049082216345396</v>
      </c>
      <c r="D3537">
        <v>0.986252251068928</v>
      </c>
      <c r="E3537">
        <v>0.964746643018771</v>
      </c>
      <c r="F3537">
        <v>0.86333189203727301</v>
      </c>
      <c r="G3537">
        <v>0.88357450180678898</v>
      </c>
      <c r="H3537">
        <v>0.53387882670924303</v>
      </c>
      <c r="I3537">
        <v>0.550668661731884</v>
      </c>
      <c r="J3537">
        <v>0.49466532884368303</v>
      </c>
      <c r="K3537">
        <v>0.56814633276214199</v>
      </c>
      <c r="L3537">
        <v>3526.5954233817001</v>
      </c>
      <c r="M3537">
        <v>61.067420394110101</v>
      </c>
      <c r="O3537">
        <v>57.687381032698397</v>
      </c>
      <c r="P3537">
        <v>-0.12390399564788</v>
      </c>
      <c r="Q3537">
        <v>0.53181620136403895</v>
      </c>
      <c r="R3537">
        <v>0.94497632073749505</v>
      </c>
      <c r="S3537" t="s">
        <v>10540</v>
      </c>
      <c r="T3537" t="s">
        <v>14004</v>
      </c>
      <c r="U3537" t="s">
        <v>14004</v>
      </c>
      <c r="V3537" t="s">
        <v>14004</v>
      </c>
      <c r="W3537" t="s">
        <v>17496</v>
      </c>
      <c r="X3537">
        <v>23</v>
      </c>
      <c r="Y3537" t="s">
        <v>24342</v>
      </c>
      <c r="Z3537" t="s">
        <v>31247</v>
      </c>
      <c r="AA3537">
        <v>0.80961017164150961</v>
      </c>
      <c r="AB3537" t="str">
        <f>HYPERLINK("Melting_Curves/meltCurve_Q13642_1_FHL1.pdf", "Melting_Curves/meltCurve_Q13642_1_FHL1.pdf")</f>
        <v>Melting_Curves/meltCurve_Q13642_1_FHL1.pdf</v>
      </c>
    </row>
    <row r="3538" spans="1:28" x14ac:dyDescent="0.25">
      <c r="A3538" t="s">
        <v>3542</v>
      </c>
      <c r="B3538">
        <v>0.99999676499088797</v>
      </c>
      <c r="C3538">
        <v>0.85919609137498998</v>
      </c>
      <c r="D3538">
        <v>0.92396735495508597</v>
      </c>
      <c r="E3538">
        <v>0.79647941756040597</v>
      </c>
      <c r="F3538">
        <v>0.68860430676400997</v>
      </c>
      <c r="G3538">
        <v>0.55371711893220199</v>
      </c>
      <c r="H3538">
        <v>0.29645267406039499</v>
      </c>
      <c r="I3538">
        <v>0.34693116526548501</v>
      </c>
      <c r="J3538">
        <v>0.36084977846960598</v>
      </c>
      <c r="K3538">
        <v>0.33422210500516297</v>
      </c>
      <c r="L3538">
        <v>642.96914404236895</v>
      </c>
      <c r="M3538">
        <v>11.9854920455506</v>
      </c>
      <c r="N3538">
        <v>57.238152403478203</v>
      </c>
      <c r="O3538">
        <v>52.217670651204202</v>
      </c>
      <c r="P3538">
        <v>-4.2223489180234997E-2</v>
      </c>
      <c r="Q3538">
        <v>0.26435114575992302</v>
      </c>
      <c r="R3538">
        <v>0.95579955137012895</v>
      </c>
      <c r="S3538" t="s">
        <v>10541</v>
      </c>
      <c r="T3538" t="s">
        <v>14004</v>
      </c>
      <c r="U3538" t="s">
        <v>14004</v>
      </c>
      <c r="V3538" t="s">
        <v>14004</v>
      </c>
      <c r="W3538" t="s">
        <v>17497</v>
      </c>
      <c r="X3538">
        <v>4</v>
      </c>
      <c r="Y3538" t="s">
        <v>24343</v>
      </c>
      <c r="Z3538" t="s">
        <v>31248</v>
      </c>
      <c r="AA3538">
        <v>0.61883764547912956</v>
      </c>
      <c r="AB3538" t="str">
        <f>HYPERLINK("Melting_Curves/meltCurve_Q13643_FHL3.pdf", "Melting_Curves/meltCurve_Q13643_FHL3.pdf")</f>
        <v>Melting_Curves/meltCurve_Q13643_FHL3.pdf</v>
      </c>
    </row>
    <row r="3539" spans="1:28" x14ac:dyDescent="0.25">
      <c r="A3539" t="s">
        <v>3543</v>
      </c>
      <c r="B3539">
        <v>0.99999676499088797</v>
      </c>
      <c r="C3539">
        <v>0.93229229392228097</v>
      </c>
      <c r="D3539">
        <v>0.82973444379656602</v>
      </c>
      <c r="E3539">
        <v>0.63175957110250502</v>
      </c>
      <c r="F3539">
        <v>0.44027464979615299</v>
      </c>
      <c r="G3539">
        <v>0.295898508966836</v>
      </c>
      <c r="H3539">
        <v>0.17596016678495599</v>
      </c>
      <c r="I3539">
        <v>0.143783431801249</v>
      </c>
      <c r="J3539">
        <v>0.13891748895822001</v>
      </c>
      <c r="K3539">
        <v>9.1858158383171698E-2</v>
      </c>
      <c r="L3539">
        <v>658.98452778977401</v>
      </c>
      <c r="M3539">
        <v>12.833562374240801</v>
      </c>
      <c r="N3539">
        <v>52.025866344587598</v>
      </c>
      <c r="O3539">
        <v>50.149685921444302</v>
      </c>
      <c r="P3539">
        <v>-5.9065206636992301E-2</v>
      </c>
      <c r="Q3539">
        <v>7.6935500281066202E-2</v>
      </c>
      <c r="R3539">
        <v>0.99871012870259002</v>
      </c>
      <c r="S3539" t="s">
        <v>10542</v>
      </c>
      <c r="T3539" t="s">
        <v>14004</v>
      </c>
      <c r="U3539" t="s">
        <v>14004</v>
      </c>
      <c r="V3539" t="s">
        <v>14004</v>
      </c>
      <c r="W3539" t="s">
        <v>17498</v>
      </c>
      <c r="X3539">
        <v>4</v>
      </c>
      <c r="Y3539" t="s">
        <v>24344</v>
      </c>
      <c r="Z3539" t="s">
        <v>31249</v>
      </c>
      <c r="AA3539">
        <v>0.45290584314121762</v>
      </c>
      <c r="AB3539" t="str">
        <f>HYPERLINK("Melting_Curves/meltCurve_Q13686_ALKBH1.pdf", "Melting_Curves/meltCurve_Q13686_ALKBH1.pdf")</f>
        <v>Melting_Curves/meltCurve_Q13686_ALKBH1.pdf</v>
      </c>
    </row>
    <row r="3540" spans="1:28" x14ac:dyDescent="0.25">
      <c r="A3540" t="s">
        <v>3544</v>
      </c>
      <c r="B3540">
        <v>0.99999676499088797</v>
      </c>
      <c r="C3540">
        <v>1.0075215904904</v>
      </c>
      <c r="D3540">
        <v>0.99587650055003196</v>
      </c>
      <c r="E3540">
        <v>1.00580662329952</v>
      </c>
      <c r="F3540">
        <v>0.34309719297429597</v>
      </c>
      <c r="G3540">
        <v>0.26030556302447</v>
      </c>
      <c r="H3540">
        <v>0.13383944081813801</v>
      </c>
      <c r="I3540">
        <v>0.16661831487572301</v>
      </c>
      <c r="J3540">
        <v>0.16733323378168599</v>
      </c>
      <c r="K3540">
        <v>0.134541067577305</v>
      </c>
      <c r="L3540">
        <v>4599.5398992475602</v>
      </c>
      <c r="M3540">
        <v>87.795881276699504</v>
      </c>
      <c r="N3540">
        <v>52.642094551269601</v>
      </c>
      <c r="O3540">
        <v>52.361853987608399</v>
      </c>
      <c r="P3540">
        <v>-0.34700775623888802</v>
      </c>
      <c r="Q3540">
        <v>0.17217220068033601</v>
      </c>
      <c r="R3540">
        <v>0.99317302208318903</v>
      </c>
      <c r="S3540" t="s">
        <v>10543</v>
      </c>
      <c r="T3540" t="s">
        <v>14004</v>
      </c>
      <c r="U3540" t="s">
        <v>14004</v>
      </c>
      <c r="V3540" t="s">
        <v>14004</v>
      </c>
      <c r="W3540" t="s">
        <v>17499</v>
      </c>
      <c r="X3540">
        <v>18</v>
      </c>
      <c r="Y3540" t="s">
        <v>24345</v>
      </c>
      <c r="Z3540" t="s">
        <v>31250</v>
      </c>
      <c r="AA3540">
        <v>0.51465606742671677</v>
      </c>
      <c r="AB3540" t="str">
        <f>HYPERLINK("Melting_Curves/meltCurve_Q13724_MOGS.pdf", "Melting_Curves/meltCurve_Q13724_MOGS.pdf")</f>
        <v>Melting_Curves/meltCurve_Q13724_MOGS.pdf</v>
      </c>
    </row>
    <row r="3541" spans="1:28" x14ac:dyDescent="0.25">
      <c r="A3541" t="s">
        <v>3545</v>
      </c>
      <c r="B3541">
        <v>0.99999676499088797</v>
      </c>
      <c r="C3541">
        <v>1.0240541264843701</v>
      </c>
      <c r="D3541">
        <v>1.0254304216302801</v>
      </c>
      <c r="E3541">
        <v>1.0313237656459</v>
      </c>
      <c r="F3541">
        <v>1.04506752224345</v>
      </c>
      <c r="G3541">
        <v>0.85477684347171101</v>
      </c>
      <c r="H3541">
        <v>0.66365608254317299</v>
      </c>
      <c r="I3541">
        <v>0.583583836498345</v>
      </c>
      <c r="J3541">
        <v>0.54601108332694803</v>
      </c>
      <c r="K3541">
        <v>0.65306269281413099</v>
      </c>
      <c r="L3541">
        <v>2465.3592306024502</v>
      </c>
      <c r="M3541">
        <v>42.674381393062902</v>
      </c>
      <c r="O3541">
        <v>57.645000206153597</v>
      </c>
      <c r="P3541">
        <v>-7.4465703237457201E-2</v>
      </c>
      <c r="Q3541">
        <v>0.59764458217039895</v>
      </c>
      <c r="R3541">
        <v>0.96868905897616397</v>
      </c>
      <c r="S3541" t="s">
        <v>10544</v>
      </c>
      <c r="T3541" t="s">
        <v>14004</v>
      </c>
      <c r="U3541" t="s">
        <v>14004</v>
      </c>
      <c r="V3541" t="s">
        <v>14004</v>
      </c>
      <c r="W3541" t="s">
        <v>17500</v>
      </c>
      <c r="X3541">
        <v>13</v>
      </c>
      <c r="Y3541" t="s">
        <v>24346</v>
      </c>
      <c r="Z3541" t="s">
        <v>31251</v>
      </c>
      <c r="AA3541">
        <v>0.83738619783112411</v>
      </c>
      <c r="AB3541" t="str">
        <f>HYPERLINK("Melting_Curves/meltCurve_Q13740_2_ALCAM.pdf", "Melting_Curves/meltCurve_Q13740_2_ALCAM.pdf")</f>
        <v>Melting_Curves/meltCurve_Q13740_2_ALCAM.pdf</v>
      </c>
    </row>
    <row r="3542" spans="1:28" x14ac:dyDescent="0.25">
      <c r="A3542" t="s">
        <v>3546</v>
      </c>
      <c r="B3542">
        <v>0.99999676499088797</v>
      </c>
      <c r="C3542">
        <v>1.0117650214337901</v>
      </c>
      <c r="D3542">
        <v>1.0154575440301601</v>
      </c>
      <c r="E3542">
        <v>0.93852482839060702</v>
      </c>
      <c r="F3542">
        <v>0.415689270062223</v>
      </c>
      <c r="G3542">
        <v>0.22627618737024899</v>
      </c>
      <c r="H3542">
        <v>0.123730068377526</v>
      </c>
      <c r="I3542">
        <v>0.12036272896898401</v>
      </c>
      <c r="J3542">
        <v>0.109120963528475</v>
      </c>
      <c r="K3542">
        <v>0.103553029497367</v>
      </c>
      <c r="L3542">
        <v>2065.9061208767698</v>
      </c>
      <c r="M3542">
        <v>39.425053987091097</v>
      </c>
      <c r="N3542">
        <v>52.786109536152203</v>
      </c>
      <c r="O3542">
        <v>52.266568253841598</v>
      </c>
      <c r="P3542">
        <v>-0.16500037690845101</v>
      </c>
      <c r="Q3542">
        <v>0.125024945989687</v>
      </c>
      <c r="R3542">
        <v>0.99629389222966402</v>
      </c>
      <c r="S3542" t="s">
        <v>10545</v>
      </c>
      <c r="T3542" t="s">
        <v>14004</v>
      </c>
      <c r="U3542" t="s">
        <v>14004</v>
      </c>
      <c r="V3542" t="s">
        <v>14004</v>
      </c>
      <c r="W3542" t="s">
        <v>17501</v>
      </c>
      <c r="X3542">
        <v>25</v>
      </c>
      <c r="Y3542" t="s">
        <v>24347</v>
      </c>
      <c r="Z3542" t="s">
        <v>31252</v>
      </c>
      <c r="AA3542">
        <v>0.4899664982470861</v>
      </c>
      <c r="AB3542" t="str">
        <f>HYPERLINK("Melting_Curves/meltCurve_Q13769_THOC5.pdf", "Melting_Curves/meltCurve_Q13769_THOC5.pdf")</f>
        <v>Melting_Curves/meltCurve_Q13769_THOC5.pdf</v>
      </c>
    </row>
    <row r="3543" spans="1:28" x14ac:dyDescent="0.25">
      <c r="A3543" t="s">
        <v>3547</v>
      </c>
      <c r="B3543">
        <v>0.99999676499088797</v>
      </c>
      <c r="C3543">
        <v>1.0271701494238501</v>
      </c>
      <c r="D3543">
        <v>0.95366293813121805</v>
      </c>
      <c r="E3543">
        <v>0.84786287305449004</v>
      </c>
      <c r="F3543">
        <v>0.462399589537967</v>
      </c>
      <c r="G3543">
        <v>0.26116102861328999</v>
      </c>
      <c r="H3543">
        <v>7.5750008289673404E-2</v>
      </c>
      <c r="I3543">
        <v>5.3150955396431297E-2</v>
      </c>
      <c r="J3543">
        <v>3.8169943360649002E-2</v>
      </c>
      <c r="K3543">
        <v>3.1443053342512399E-2</v>
      </c>
      <c r="L3543">
        <v>1127.7027100346199</v>
      </c>
      <c r="M3543">
        <v>21.2534214666933</v>
      </c>
      <c r="N3543">
        <v>53.207129470679703</v>
      </c>
      <c r="O3543">
        <v>52.596778914282602</v>
      </c>
      <c r="P3543">
        <v>-9.8136664410515204E-2</v>
      </c>
      <c r="Q3543">
        <v>2.85723471296674E-2</v>
      </c>
      <c r="R3543">
        <v>0.99692638722225402</v>
      </c>
      <c r="S3543" t="s">
        <v>10546</v>
      </c>
      <c r="T3543" t="s">
        <v>14004</v>
      </c>
      <c r="U3543" t="s">
        <v>14004</v>
      </c>
      <c r="V3543" t="s">
        <v>14004</v>
      </c>
      <c r="W3543" t="s">
        <v>17502</v>
      </c>
      <c r="X3543">
        <v>4</v>
      </c>
      <c r="Y3543" t="s">
        <v>24348</v>
      </c>
      <c r="Z3543" t="s">
        <v>31253</v>
      </c>
      <c r="AA3543">
        <v>0.46348289553613692</v>
      </c>
      <c r="AB3543" t="str">
        <f>HYPERLINK("Melting_Curves/meltCurve_Q13795_ARFRP1.pdf", "Melting_Curves/meltCurve_Q13795_ARFRP1.pdf")</f>
        <v>Melting_Curves/meltCurve_Q13795_ARFRP1.pdf</v>
      </c>
    </row>
    <row r="3544" spans="1:28" x14ac:dyDescent="0.25">
      <c r="A3544" t="s">
        <v>3548</v>
      </c>
      <c r="B3544">
        <v>0.99999676499088797</v>
      </c>
      <c r="C3544">
        <v>0.95450338585344197</v>
      </c>
      <c r="D3544">
        <v>1.03622287556641</v>
      </c>
      <c r="E3544">
        <v>0.92209214435693598</v>
      </c>
      <c r="F3544">
        <v>0.34696065224689698</v>
      </c>
      <c r="G3544">
        <v>0.234014314776259</v>
      </c>
      <c r="H3544">
        <v>0.11705024343293401</v>
      </c>
      <c r="I3544">
        <v>0.111836970418784</v>
      </c>
      <c r="J3544">
        <v>0.109615216228933</v>
      </c>
      <c r="K3544">
        <v>0.10716050263882</v>
      </c>
      <c r="L3544">
        <v>2287.7482214015999</v>
      </c>
      <c r="M3544">
        <v>43.995192011968101</v>
      </c>
      <c r="N3544">
        <v>52.354559382185599</v>
      </c>
      <c r="O3544">
        <v>51.892867633818703</v>
      </c>
      <c r="P3544">
        <v>-0.18464389202510501</v>
      </c>
      <c r="Q3544">
        <v>0.12884231648921399</v>
      </c>
      <c r="R3544">
        <v>0.99224356805620995</v>
      </c>
      <c r="S3544" t="s">
        <v>10547</v>
      </c>
      <c r="T3544" t="s">
        <v>14004</v>
      </c>
      <c r="U3544" t="s">
        <v>14004</v>
      </c>
      <c r="V3544" t="s">
        <v>14004</v>
      </c>
      <c r="W3544" t="s">
        <v>17503</v>
      </c>
      <c r="X3544">
        <v>181</v>
      </c>
      <c r="Y3544" t="s">
        <v>24349</v>
      </c>
      <c r="Z3544" t="s">
        <v>31254</v>
      </c>
      <c r="AA3544">
        <v>0.4798886091852218</v>
      </c>
      <c r="AB3544" t="str">
        <f>HYPERLINK("Melting_Curves/meltCurve_Q13813_SPTAN1.pdf", "Melting_Curves/meltCurve_Q13813_SPTAN1.pdf")</f>
        <v>Melting_Curves/meltCurve_Q13813_SPTAN1.pdf</v>
      </c>
    </row>
    <row r="3545" spans="1:28" x14ac:dyDescent="0.25">
      <c r="A3545" t="s">
        <v>3549</v>
      </c>
      <c r="B3545">
        <v>0.99999676499088797</v>
      </c>
      <c r="C3545">
        <v>0.95989310728465105</v>
      </c>
      <c r="D3545">
        <v>1.1583947441172</v>
      </c>
      <c r="E3545">
        <v>1.09464426138342</v>
      </c>
      <c r="F3545">
        <v>0.24276435982844299</v>
      </c>
      <c r="G3545">
        <v>0.11565419542635701</v>
      </c>
      <c r="H3545">
        <v>6.78024448493139E-2</v>
      </c>
      <c r="I3545">
        <v>3.6251577932276499E-2</v>
      </c>
      <c r="J3545">
        <v>3.9357171738683701E-2</v>
      </c>
      <c r="K3545">
        <v>4.4221021112528298E-2</v>
      </c>
      <c r="L3545">
        <v>13224.185786279801</v>
      </c>
      <c r="M3545">
        <v>250</v>
      </c>
      <c r="N3545">
        <v>52.924122982580798</v>
      </c>
      <c r="O3545">
        <v>52.893376945243197</v>
      </c>
      <c r="P3545">
        <v>-1.1099488264236199</v>
      </c>
      <c r="Q3545">
        <v>6.0657267182971902E-2</v>
      </c>
      <c r="R3545">
        <v>0.98242217564132395</v>
      </c>
      <c r="S3545" t="s">
        <v>10548</v>
      </c>
      <c r="T3545" t="s">
        <v>14004</v>
      </c>
      <c r="U3545" t="s">
        <v>14004</v>
      </c>
      <c r="V3545" t="s">
        <v>14004</v>
      </c>
      <c r="W3545" t="s">
        <v>17504</v>
      </c>
      <c r="X3545">
        <v>181</v>
      </c>
      <c r="Y3545" t="s">
        <v>24349</v>
      </c>
      <c r="Z3545" t="s">
        <v>31255</v>
      </c>
      <c r="AA3545">
        <v>0.46455986749607242</v>
      </c>
      <c r="AB3545" t="str">
        <f>HYPERLINK("Melting_Curves/meltCurve_Q13813_2_SPTAN1.pdf", "Melting_Curves/meltCurve_Q13813_2_SPTAN1.pdf")</f>
        <v>Melting_Curves/meltCurve_Q13813_2_SPTAN1.pdf</v>
      </c>
    </row>
    <row r="3546" spans="1:28" x14ac:dyDescent="0.25">
      <c r="A3546" t="s">
        <v>3550</v>
      </c>
      <c r="B3546">
        <v>0.99999676499088797</v>
      </c>
      <c r="C3546">
        <v>1.01655017904915</v>
      </c>
      <c r="D3546">
        <v>0.95125275577875901</v>
      </c>
      <c r="E3546">
        <v>0.75125368190822395</v>
      </c>
      <c r="F3546">
        <v>0.32015006616360903</v>
      </c>
      <c r="G3546">
        <v>0.19881032756549499</v>
      </c>
      <c r="H3546">
        <v>9.2810228241794607E-2</v>
      </c>
      <c r="I3546">
        <v>0.11365289445742199</v>
      </c>
      <c r="J3546">
        <v>0.103167194641477</v>
      </c>
      <c r="K3546">
        <v>8.2015085094747101E-2</v>
      </c>
      <c r="L3546">
        <v>1393.5176994783301</v>
      </c>
      <c r="M3546">
        <v>27.193740006233899</v>
      </c>
      <c r="N3546">
        <v>51.666017592698601</v>
      </c>
      <c r="O3546">
        <v>50.969352956918698</v>
      </c>
      <c r="P3546">
        <v>-0.120101868149699</v>
      </c>
      <c r="Q3546">
        <v>9.9578719070531896E-2</v>
      </c>
      <c r="R3546">
        <v>0.99768199519617995</v>
      </c>
      <c r="S3546" t="s">
        <v>10549</v>
      </c>
      <c r="T3546" t="s">
        <v>14004</v>
      </c>
      <c r="U3546" t="s">
        <v>14004</v>
      </c>
      <c r="V3546" t="s">
        <v>14004</v>
      </c>
      <c r="W3546" t="s">
        <v>17505</v>
      </c>
      <c r="X3546">
        <v>4</v>
      </c>
      <c r="Y3546" t="s">
        <v>24350</v>
      </c>
      <c r="Z3546" t="s">
        <v>31256</v>
      </c>
      <c r="AA3546">
        <v>0.44396931872932349</v>
      </c>
      <c r="AB3546" t="str">
        <f>HYPERLINK("Melting_Curves/meltCurve_Q13825_AUH.pdf", "Melting_Curves/meltCurve_Q13825_AUH.pdf")</f>
        <v>Melting_Curves/meltCurve_Q13825_AUH.pdf</v>
      </c>
    </row>
    <row r="3547" spans="1:28" x14ac:dyDescent="0.25">
      <c r="A3547" t="s">
        <v>3551</v>
      </c>
      <c r="B3547">
        <v>0.99999676499088797</v>
      </c>
      <c r="C3547">
        <v>0.93998586884089097</v>
      </c>
      <c r="D3547">
        <v>0.89446290658874394</v>
      </c>
      <c r="E3547">
        <v>0.77330432703215202</v>
      </c>
      <c r="F3547">
        <v>0.50809998143262702</v>
      </c>
      <c r="G3547">
        <v>0.23595929146992201</v>
      </c>
      <c r="H3547">
        <v>8.3078560979611304E-2</v>
      </c>
      <c r="I3547">
        <v>7.1405534842521504E-2</v>
      </c>
      <c r="J3547">
        <v>6.2322167879353803E-2</v>
      </c>
      <c r="K3547">
        <v>5.5181782600056302E-2</v>
      </c>
      <c r="L3547">
        <v>912.45447875597699</v>
      </c>
      <c r="M3547">
        <v>17.266067032002098</v>
      </c>
      <c r="N3547">
        <v>53.002855522522999</v>
      </c>
      <c r="O3547">
        <v>52.153073486809198</v>
      </c>
      <c r="P3547">
        <v>-8.0718486300661196E-2</v>
      </c>
      <c r="Q3547">
        <v>2.4798738770141701E-2</v>
      </c>
      <c r="R3547">
        <v>0.99619017156711998</v>
      </c>
      <c r="S3547" t="s">
        <v>10550</v>
      </c>
      <c r="T3547" t="s">
        <v>14004</v>
      </c>
      <c r="U3547" t="s">
        <v>14004</v>
      </c>
      <c r="V3547" t="s">
        <v>14004</v>
      </c>
      <c r="W3547" t="s">
        <v>17506</v>
      </c>
      <c r="X3547">
        <v>34</v>
      </c>
      <c r="Y3547" t="s">
        <v>24351</v>
      </c>
      <c r="Z3547" t="s">
        <v>31257</v>
      </c>
      <c r="AA3547">
        <v>0.45951566587416132</v>
      </c>
      <c r="AB3547" t="str">
        <f>HYPERLINK("Melting_Curves/meltCurve_Q13838_DDX39B.pdf", "Melting_Curves/meltCurve_Q13838_DDX39B.pdf")</f>
        <v>Melting_Curves/meltCurve_Q13838_DDX39B.pdf</v>
      </c>
    </row>
    <row r="3548" spans="1:28" x14ac:dyDescent="0.25">
      <c r="A3548" t="s">
        <v>3552</v>
      </c>
      <c r="B3548">
        <v>0.99999676499088797</v>
      </c>
      <c r="C3548">
        <v>1.0360213851587201</v>
      </c>
      <c r="D3548">
        <v>1.01317743782587</v>
      </c>
      <c r="E3548">
        <v>1.0520441710677799</v>
      </c>
      <c r="F3548">
        <v>1.34528790599753</v>
      </c>
      <c r="G3548">
        <v>0.97883739637845302</v>
      </c>
      <c r="H3548">
        <v>0.82327746720008799</v>
      </c>
      <c r="I3548">
        <v>0.57461270387651497</v>
      </c>
      <c r="J3548">
        <v>0.30350262613749202</v>
      </c>
      <c r="K3548">
        <v>0.20807083637672499</v>
      </c>
      <c r="L3548">
        <v>1947.1078693506099</v>
      </c>
      <c r="M3548">
        <v>30.504759231541598</v>
      </c>
      <c r="N3548">
        <v>64.605660941953204</v>
      </c>
      <c r="O3548">
        <v>63.557220840814601</v>
      </c>
      <c r="P3548">
        <v>-0.101584652308919</v>
      </c>
      <c r="Q3548">
        <v>0.15339135102672299</v>
      </c>
      <c r="R3548">
        <v>0.89272552139525596</v>
      </c>
      <c r="S3548" t="s">
        <v>10551</v>
      </c>
      <c r="T3548" t="s">
        <v>14004</v>
      </c>
      <c r="U3548" t="s">
        <v>14004</v>
      </c>
      <c r="V3548" t="s">
        <v>14004</v>
      </c>
      <c r="W3548" t="s">
        <v>17507</v>
      </c>
      <c r="X3548">
        <v>24</v>
      </c>
      <c r="Y3548" t="s">
        <v>24352</v>
      </c>
      <c r="Z3548" t="s">
        <v>31258</v>
      </c>
      <c r="AA3548">
        <v>0.82728303517610879</v>
      </c>
      <c r="AB3548" t="str">
        <f>HYPERLINK("Melting_Curves/meltCurve_Q13867_BLMH.pdf", "Melting_Curves/meltCurve_Q13867_BLMH.pdf")</f>
        <v>Melting_Curves/meltCurve_Q13867_BLMH.pdf</v>
      </c>
    </row>
    <row r="3549" spans="1:28" x14ac:dyDescent="0.25">
      <c r="A3549" t="s">
        <v>3553</v>
      </c>
      <c r="B3549">
        <v>0.99999676499088797</v>
      </c>
      <c r="C3549">
        <v>1.1271711314200801</v>
      </c>
      <c r="D3549">
        <v>1.17911619962849</v>
      </c>
      <c r="E3549">
        <v>1.45904967058666</v>
      </c>
      <c r="F3549">
        <v>1.6793460692234501</v>
      </c>
      <c r="G3549">
        <v>1.1405163307634101</v>
      </c>
      <c r="H3549">
        <v>0.55163973578764902</v>
      </c>
      <c r="I3549">
        <v>0.23109494447274201</v>
      </c>
      <c r="J3549">
        <v>0.189819613837519</v>
      </c>
      <c r="K3549">
        <v>0.143764490825255</v>
      </c>
      <c r="L3549">
        <v>5998.4079764241496</v>
      </c>
      <c r="M3549">
        <v>98.854747222957997</v>
      </c>
      <c r="N3549">
        <v>60.9664957145269</v>
      </c>
      <c r="O3549">
        <v>60.654189465328798</v>
      </c>
      <c r="P3549">
        <v>-0.33154805982114099</v>
      </c>
      <c r="Q3549">
        <v>0.186289880066141</v>
      </c>
      <c r="R3549">
        <v>0.72981405006519595</v>
      </c>
      <c r="S3549" t="s">
        <v>10552</v>
      </c>
      <c r="T3549" t="s">
        <v>14004</v>
      </c>
      <c r="U3549" t="s">
        <v>14004</v>
      </c>
      <c r="V3549" t="s">
        <v>14004</v>
      </c>
      <c r="W3549" t="s">
        <v>17508</v>
      </c>
      <c r="X3549">
        <v>13</v>
      </c>
      <c r="Y3549" t="s">
        <v>24353</v>
      </c>
      <c r="Z3549" t="s">
        <v>31259</v>
      </c>
      <c r="AA3549">
        <v>0.7477352966120524</v>
      </c>
      <c r="AB3549" t="str">
        <f>HYPERLINK("Melting_Curves/meltCurve_Q13868_EXOSC2.pdf", "Melting_Curves/meltCurve_Q13868_EXOSC2.pdf")</f>
        <v>Melting_Curves/meltCurve_Q13868_EXOSC2.pdf</v>
      </c>
    </row>
    <row r="3550" spans="1:28" x14ac:dyDescent="0.25">
      <c r="A3550" t="s">
        <v>3554</v>
      </c>
      <c r="B3550">
        <v>0.99999676499088797</v>
      </c>
      <c r="C3550">
        <v>1.09143577744644</v>
      </c>
      <c r="D3550">
        <v>0.780447570456825</v>
      </c>
      <c r="E3550">
        <v>0.37701123670491898</v>
      </c>
      <c r="F3550">
        <v>0.21153871449595199</v>
      </c>
      <c r="G3550">
        <v>0.17242612606730501</v>
      </c>
      <c r="H3550">
        <v>8.3171249747042097E-2</v>
      </c>
      <c r="I3550">
        <v>8.8911952489045404E-2</v>
      </c>
      <c r="J3550">
        <v>0.102662268526359</v>
      </c>
      <c r="K3550">
        <v>6.7488883355930798E-2</v>
      </c>
      <c r="L3550">
        <v>1298.59849231716</v>
      </c>
      <c r="M3550">
        <v>26.933787039099599</v>
      </c>
      <c r="N3550">
        <v>48.635961488435697</v>
      </c>
      <c r="O3550">
        <v>47.951042355325697</v>
      </c>
      <c r="P3550">
        <v>-0.125808558261678</v>
      </c>
      <c r="Q3550">
        <v>0.104085711540658</v>
      </c>
      <c r="R3550">
        <v>0.98457932980964902</v>
      </c>
      <c r="S3550" t="s">
        <v>10553</v>
      </c>
      <c r="T3550" t="s">
        <v>14004</v>
      </c>
      <c r="U3550" t="s">
        <v>14004</v>
      </c>
      <c r="V3550" t="s">
        <v>14004</v>
      </c>
      <c r="W3550" t="s">
        <v>17509</v>
      </c>
      <c r="X3550">
        <v>4</v>
      </c>
      <c r="Y3550" t="s">
        <v>24354</v>
      </c>
      <c r="Z3550" t="s">
        <v>31260</v>
      </c>
      <c r="AA3550">
        <v>0.35616952429997822</v>
      </c>
      <c r="AB3550" t="str">
        <f>HYPERLINK("Melting_Curves/meltCurve_Q13884_SNTB1.pdf", "Melting_Curves/meltCurve_Q13884_SNTB1.pdf")</f>
        <v>Melting_Curves/meltCurve_Q13884_SNTB1.pdf</v>
      </c>
    </row>
    <row r="3551" spans="1:28" x14ac:dyDescent="0.25">
      <c r="A3551" t="s">
        <v>3555</v>
      </c>
      <c r="B3551">
        <v>0.99999676499088797</v>
      </c>
      <c r="C3551">
        <v>1.1387024894669</v>
      </c>
      <c r="D3551">
        <v>1.17190925312884</v>
      </c>
      <c r="E3551">
        <v>1.3923591719271</v>
      </c>
      <c r="F3551">
        <v>1.3530637275001001</v>
      </c>
      <c r="G3551">
        <v>1.05449350609694</v>
      </c>
      <c r="H3551">
        <v>0.37305741071197801</v>
      </c>
      <c r="I3551">
        <v>0.14797440140229601</v>
      </c>
      <c r="J3551">
        <v>0.125799883244024</v>
      </c>
      <c r="K3551">
        <v>0.111780133215077</v>
      </c>
      <c r="L3551">
        <v>9705.1673183067196</v>
      </c>
      <c r="M3551">
        <v>160.56563602070699</v>
      </c>
      <c r="N3551">
        <v>60.555619858591797</v>
      </c>
      <c r="O3551">
        <v>60.434244561041197</v>
      </c>
      <c r="P3551">
        <v>-0.578881901486478</v>
      </c>
      <c r="Q3551">
        <v>0.12847387572666</v>
      </c>
      <c r="R3551">
        <v>0.87010813591748704</v>
      </c>
      <c r="S3551" t="s">
        <v>10554</v>
      </c>
      <c r="T3551" t="s">
        <v>14004</v>
      </c>
      <c r="U3551" t="s">
        <v>14004</v>
      </c>
      <c r="V3551" t="s">
        <v>14004</v>
      </c>
      <c r="W3551" t="s">
        <v>17510</v>
      </c>
      <c r="X3551">
        <v>32</v>
      </c>
      <c r="Y3551" t="s">
        <v>24355</v>
      </c>
      <c r="Z3551" t="s">
        <v>31261</v>
      </c>
      <c r="AA3551">
        <v>0.72260285343736841</v>
      </c>
      <c r="AB3551" t="str">
        <f>HYPERLINK("Melting_Curves/meltCurve_Q13885_TUBB2A.pdf", "Melting_Curves/meltCurve_Q13885_TUBB2A.pdf")</f>
        <v>Melting_Curves/meltCurve_Q13885_TUBB2A.pdf</v>
      </c>
    </row>
    <row r="3552" spans="1:28" x14ac:dyDescent="0.25">
      <c r="A3552" t="s">
        <v>3556</v>
      </c>
      <c r="B3552">
        <v>0.99999676499088797</v>
      </c>
      <c r="C3552">
        <v>0.94816896282399898</v>
      </c>
      <c r="D3552">
        <v>0.76638658760655398</v>
      </c>
      <c r="E3552">
        <v>0.292944952802764</v>
      </c>
      <c r="F3552">
        <v>0.195970798983998</v>
      </c>
      <c r="G3552">
        <v>0.124995176234159</v>
      </c>
      <c r="H3552">
        <v>5.9134603458300503E-2</v>
      </c>
      <c r="I3552">
        <v>6.2498982149709101E-2</v>
      </c>
      <c r="J3552">
        <v>5.2782024823964303E-2</v>
      </c>
      <c r="K3552">
        <v>5.12072962491407E-2</v>
      </c>
      <c r="L3552">
        <v>1204.6989984751699</v>
      </c>
      <c r="M3552">
        <v>25.214607055466601</v>
      </c>
      <c r="N3552">
        <v>48.071443290674097</v>
      </c>
      <c r="O3552">
        <v>47.4803417473357</v>
      </c>
      <c r="P3552">
        <v>-0.12328983342908099</v>
      </c>
      <c r="Q3552">
        <v>7.1368873819884798E-2</v>
      </c>
      <c r="R3552">
        <v>0.99403817835481101</v>
      </c>
      <c r="S3552" t="s">
        <v>10555</v>
      </c>
      <c r="T3552" t="s">
        <v>14004</v>
      </c>
      <c r="U3552" t="s">
        <v>14004</v>
      </c>
      <c r="V3552" t="s">
        <v>14004</v>
      </c>
      <c r="W3552" t="s">
        <v>17511</v>
      </c>
      <c r="X3552">
        <v>21</v>
      </c>
      <c r="Y3552" t="s">
        <v>24356</v>
      </c>
      <c r="Z3552" t="s">
        <v>31262</v>
      </c>
      <c r="AA3552">
        <v>0.32019226004034063</v>
      </c>
      <c r="AB3552" t="str">
        <f>HYPERLINK("Melting_Curves/meltCurve_Q13895_BYSL.pdf", "Melting_Curves/meltCurve_Q13895_BYSL.pdf")</f>
        <v>Melting_Curves/meltCurve_Q13895_BYSL.pdf</v>
      </c>
    </row>
    <row r="3553" spans="1:28" x14ac:dyDescent="0.25">
      <c r="A3553" t="s">
        <v>3557</v>
      </c>
      <c r="B3553">
        <v>0.99999676499088797</v>
      </c>
      <c r="C3553">
        <v>0.91858841081819398</v>
      </c>
      <c r="D3553">
        <v>0.80507432333004902</v>
      </c>
      <c r="E3553">
        <v>0.30160429226278002</v>
      </c>
      <c r="F3553">
        <v>0.21445671297022101</v>
      </c>
      <c r="G3553">
        <v>0.14853531204436399</v>
      </c>
      <c r="H3553">
        <v>7.8734850748159099E-2</v>
      </c>
      <c r="I3553">
        <v>7.5264191219537105E-2</v>
      </c>
      <c r="J3553">
        <v>7.3477820890031395E-2</v>
      </c>
      <c r="K3553">
        <v>6.8725671311951994E-2</v>
      </c>
      <c r="L3553">
        <v>1242.2077884083201</v>
      </c>
      <c r="M3553">
        <v>25.948596077529199</v>
      </c>
      <c r="N3553">
        <v>48.242882362209698</v>
      </c>
      <c r="O3553">
        <v>47.590263642079201</v>
      </c>
      <c r="P3553">
        <v>-0.123983971620532</v>
      </c>
      <c r="Q3553">
        <v>9.0453836241003394E-2</v>
      </c>
      <c r="R3553">
        <v>0.99044235309876805</v>
      </c>
      <c r="S3553" t="s">
        <v>10556</v>
      </c>
      <c r="T3553" t="s">
        <v>14004</v>
      </c>
      <c r="U3553" t="s">
        <v>14004</v>
      </c>
      <c r="V3553" t="s">
        <v>14004</v>
      </c>
      <c r="W3553" t="s">
        <v>17512</v>
      </c>
      <c r="X3553">
        <v>8</v>
      </c>
      <c r="Y3553" t="s">
        <v>24357</v>
      </c>
      <c r="Z3553" t="s">
        <v>31263</v>
      </c>
      <c r="AA3553">
        <v>0.33654378289262099</v>
      </c>
      <c r="AB3553" t="str">
        <f>HYPERLINK("Melting_Curves/meltCurve_Q13905_RAPGEF1.pdf", "Melting_Curves/meltCurve_Q13905_RAPGEF1.pdf")</f>
        <v>Melting_Curves/meltCurve_Q13905_RAPGEF1.pdf</v>
      </c>
    </row>
    <row r="3554" spans="1:28" x14ac:dyDescent="0.25">
      <c r="A3554" t="s">
        <v>3558</v>
      </c>
      <c r="B3554">
        <v>0.99999676499088797</v>
      </c>
      <c r="C3554">
        <v>1.0179647507985901</v>
      </c>
      <c r="D3554">
        <v>0.95454551217957895</v>
      </c>
      <c r="E3554">
        <v>0.92442423113666705</v>
      </c>
      <c r="F3554">
        <v>0.83473777222966605</v>
      </c>
      <c r="G3554">
        <v>0.71688248256415898</v>
      </c>
      <c r="H3554">
        <v>0.38685855405574898</v>
      </c>
      <c r="I3554">
        <v>0.30274630298902999</v>
      </c>
      <c r="J3554">
        <v>0.248381195962838</v>
      </c>
      <c r="K3554">
        <v>0.27377771001581802</v>
      </c>
      <c r="L3554">
        <v>1080.5007115733199</v>
      </c>
      <c r="M3554">
        <v>18.761384889309401</v>
      </c>
      <c r="N3554">
        <v>59.3297649874917</v>
      </c>
      <c r="O3554">
        <v>56.949395863996301</v>
      </c>
      <c r="P3554">
        <v>-6.4950713086772305E-2</v>
      </c>
      <c r="Q3554">
        <v>0.21141239944909501</v>
      </c>
      <c r="R3554">
        <v>0.98871932256300099</v>
      </c>
      <c r="S3554" t="s">
        <v>10557</v>
      </c>
      <c r="T3554" t="s">
        <v>14004</v>
      </c>
      <c r="U3554" t="s">
        <v>14004</v>
      </c>
      <c r="V3554" t="s">
        <v>14004</v>
      </c>
      <c r="W3554" t="s">
        <v>17513</v>
      </c>
      <c r="X3554">
        <v>12</v>
      </c>
      <c r="Y3554" t="s">
        <v>24358</v>
      </c>
      <c r="Z3554" t="s">
        <v>31264</v>
      </c>
      <c r="AA3554">
        <v>0.68369602061700496</v>
      </c>
      <c r="AB3554" t="str">
        <f>HYPERLINK("Melting_Curves/meltCurve_Q13907_IDI1.pdf", "Melting_Curves/meltCurve_Q13907_IDI1.pdf")</f>
        <v>Melting_Curves/meltCurve_Q13907_IDI1.pdf</v>
      </c>
    </row>
    <row r="3555" spans="1:28" x14ac:dyDescent="0.25">
      <c r="A3555" t="s">
        <v>3559</v>
      </c>
      <c r="B3555">
        <v>0.99999676499088797</v>
      </c>
      <c r="C3555">
        <v>1.26192220410775</v>
      </c>
      <c r="D3555">
        <v>1.1163881677377301</v>
      </c>
      <c r="E3555">
        <v>0.96704103227715399</v>
      </c>
      <c r="F3555">
        <v>0.35544700909931798</v>
      </c>
      <c r="G3555">
        <v>0.24677830082246299</v>
      </c>
      <c r="H3555">
        <v>8.5175643910244694E-2</v>
      </c>
      <c r="I3555">
        <v>6.8209134923892495E-2</v>
      </c>
      <c r="J3555">
        <v>4.8455505000165003E-2</v>
      </c>
      <c r="K3555">
        <v>3.7703482057018803E-2</v>
      </c>
      <c r="L3555">
        <v>2354.4214129564002</v>
      </c>
      <c r="M3555">
        <v>44.981022000470197</v>
      </c>
      <c r="N3555">
        <v>52.567367254307598</v>
      </c>
      <c r="O3555">
        <v>52.239409898687597</v>
      </c>
      <c r="P3555">
        <v>-0.19642730809091999</v>
      </c>
      <c r="Q3555">
        <v>8.7505534370754201E-2</v>
      </c>
      <c r="R3555">
        <v>0.95317834705506699</v>
      </c>
      <c r="S3555" t="s">
        <v>10558</v>
      </c>
      <c r="T3555" t="s">
        <v>14004</v>
      </c>
      <c r="U3555" t="s">
        <v>14004</v>
      </c>
      <c r="V3555" t="s">
        <v>14004</v>
      </c>
      <c r="W3555" t="s">
        <v>17514</v>
      </c>
      <c r="X3555">
        <v>21</v>
      </c>
      <c r="Y3555" t="s">
        <v>23504</v>
      </c>
      <c r="Z3555" t="s">
        <v>31265</v>
      </c>
      <c r="AA3555">
        <v>0.46552839357333969</v>
      </c>
      <c r="AB3555" t="str">
        <f>HYPERLINK("Melting_Curves/meltCurve_Q13948_CUX1.pdf", "Melting_Curves/meltCurve_Q13948_CUX1.pdf")</f>
        <v>Melting_Curves/meltCurve_Q13948_CUX1.pdf</v>
      </c>
    </row>
    <row r="3556" spans="1:28" x14ac:dyDescent="0.25">
      <c r="A3556" t="s">
        <v>3560</v>
      </c>
      <c r="B3556">
        <v>0.99999676499088797</v>
      </c>
      <c r="C3556">
        <v>1.19948481317366</v>
      </c>
      <c r="D3556">
        <v>0.91876596481179196</v>
      </c>
      <c r="E3556">
        <v>0.53811140599237095</v>
      </c>
      <c r="F3556">
        <v>0.41062068124345802</v>
      </c>
      <c r="G3556">
        <v>0.268545220452438</v>
      </c>
      <c r="H3556">
        <v>8.9944188503182004E-2</v>
      </c>
      <c r="I3556">
        <v>9.5143920962586601E-2</v>
      </c>
      <c r="J3556">
        <v>0.10581239892040301</v>
      </c>
      <c r="K3556">
        <v>8.9647771278129798E-2</v>
      </c>
      <c r="L3556">
        <v>976.44948609133701</v>
      </c>
      <c r="M3556">
        <v>19.253154614510802</v>
      </c>
      <c r="N3556">
        <v>51.287491605736903</v>
      </c>
      <c r="O3556">
        <v>50.1787074298269</v>
      </c>
      <c r="P3556">
        <v>-8.6670523405722399E-2</v>
      </c>
      <c r="Q3556">
        <v>9.6490856773383593E-2</v>
      </c>
      <c r="R3556">
        <v>0.95502838573706705</v>
      </c>
      <c r="S3556" t="s">
        <v>10559</v>
      </c>
      <c r="T3556" t="s">
        <v>14004</v>
      </c>
      <c r="U3556" t="s">
        <v>14004</v>
      </c>
      <c r="V3556" t="s">
        <v>14004</v>
      </c>
      <c r="W3556" t="s">
        <v>17515</v>
      </c>
      <c r="X3556">
        <v>18</v>
      </c>
      <c r="Y3556" t="s">
        <v>24359</v>
      </c>
      <c r="Z3556" t="s">
        <v>31266</v>
      </c>
      <c r="AA3556">
        <v>0.43271813748106669</v>
      </c>
      <c r="AB3556" t="str">
        <f>HYPERLINK("Melting_Curves/meltCurve_Q13951_CBFB.pdf", "Melting_Curves/meltCurve_Q13951_CBFB.pdf")</f>
        <v>Melting_Curves/meltCurve_Q13951_CBFB.pdf</v>
      </c>
    </row>
    <row r="3557" spans="1:28" x14ac:dyDescent="0.25">
      <c r="A3557" t="s">
        <v>3561</v>
      </c>
      <c r="B3557">
        <v>0.99999676499088797</v>
      </c>
      <c r="C3557">
        <v>0.91294938622422395</v>
      </c>
      <c r="D3557">
        <v>0.761846591529868</v>
      </c>
      <c r="E3557">
        <v>0.45966493630511501</v>
      </c>
      <c r="F3557">
        <v>0.39924315652619702</v>
      </c>
      <c r="G3557">
        <v>0.240892336338283</v>
      </c>
      <c r="H3557">
        <v>0.10915310628328399</v>
      </c>
      <c r="I3557">
        <v>0.121582584277777</v>
      </c>
      <c r="J3557">
        <v>0.113669594360071</v>
      </c>
      <c r="K3557">
        <v>9.8932454188532498E-2</v>
      </c>
      <c r="L3557">
        <v>668.74013815798605</v>
      </c>
      <c r="M3557">
        <v>13.5347393444071</v>
      </c>
      <c r="N3557">
        <v>50.081409525119902</v>
      </c>
      <c r="O3557">
        <v>48.367983093931301</v>
      </c>
      <c r="P3557">
        <v>-6.41558154096145E-2</v>
      </c>
      <c r="Q3557">
        <v>8.3065038227799204E-2</v>
      </c>
      <c r="R3557">
        <v>0.98846367581057004</v>
      </c>
      <c r="S3557" t="s">
        <v>10560</v>
      </c>
      <c r="T3557" t="s">
        <v>14004</v>
      </c>
      <c r="U3557" t="s">
        <v>14004</v>
      </c>
      <c r="V3557" t="s">
        <v>14004</v>
      </c>
      <c r="W3557" t="s">
        <v>17516</v>
      </c>
      <c r="X3557">
        <v>19</v>
      </c>
      <c r="Y3557" t="s">
        <v>24359</v>
      </c>
      <c r="Z3557" t="s">
        <v>31267</v>
      </c>
      <c r="AA3557">
        <v>0.39746828641032772</v>
      </c>
      <c r="AB3557" t="str">
        <f>HYPERLINK("Melting_Curves/meltCurve_Q13951_2_CBFB.pdf", "Melting_Curves/meltCurve_Q13951_2_CBFB.pdf")</f>
        <v>Melting_Curves/meltCurve_Q13951_2_CBFB.pdf</v>
      </c>
    </row>
    <row r="3558" spans="1:28" x14ac:dyDescent="0.25">
      <c r="A3558" t="s">
        <v>3562</v>
      </c>
      <c r="B3558">
        <v>0.99999676499088797</v>
      </c>
      <c r="C3558">
        <v>0.96195410618545796</v>
      </c>
      <c r="D3558">
        <v>0.839417464647504</v>
      </c>
      <c r="E3558">
        <v>0.956691798157566</v>
      </c>
      <c r="F3558">
        <v>0.76565672439618704</v>
      </c>
      <c r="G3558">
        <v>0.49705752797784297</v>
      </c>
      <c r="H3558">
        <v>0.105993826620936</v>
      </c>
      <c r="I3558">
        <v>8.5450778267510699E-2</v>
      </c>
      <c r="J3558">
        <v>6.9980850509039197E-2</v>
      </c>
      <c r="K3558">
        <v>5.9692467507043802E-2</v>
      </c>
      <c r="L3558">
        <v>1286.3051573335899</v>
      </c>
      <c r="M3558">
        <v>22.925682729081199</v>
      </c>
      <c r="N3558">
        <v>56.266387809593297</v>
      </c>
      <c r="O3558">
        <v>55.685934523811397</v>
      </c>
      <c r="P3558">
        <v>-9.9701955271075199E-2</v>
      </c>
      <c r="Q3558">
        <v>3.1323716416851798E-2</v>
      </c>
      <c r="R3558">
        <v>0.97876575068983795</v>
      </c>
      <c r="S3558" t="s">
        <v>10561</v>
      </c>
      <c r="T3558" t="s">
        <v>14004</v>
      </c>
      <c r="U3558" t="s">
        <v>14004</v>
      </c>
      <c r="V3558" t="s">
        <v>14004</v>
      </c>
      <c r="W3558" t="s">
        <v>17517</v>
      </c>
      <c r="X3558">
        <v>6</v>
      </c>
      <c r="Y3558" t="s">
        <v>24360</v>
      </c>
      <c r="Z3558" t="s">
        <v>31268</v>
      </c>
      <c r="AA3558">
        <v>0.56162302111772111</v>
      </c>
      <c r="AB3558" t="str">
        <f>HYPERLINK("Melting_Curves/meltCurve_Q13952_3_NFYC.pdf", "Melting_Curves/meltCurve_Q13952_3_NFYC.pdf")</f>
        <v>Melting_Curves/meltCurve_Q13952_3_NFYC.pdf</v>
      </c>
    </row>
    <row r="3559" spans="1:28" x14ac:dyDescent="0.25">
      <c r="A3559" t="s">
        <v>3563</v>
      </c>
      <c r="B3559">
        <v>0.99999676499088797</v>
      </c>
      <c r="C3559">
        <v>0.94191256225294795</v>
      </c>
      <c r="D3559">
        <v>0.87831694560116003</v>
      </c>
      <c r="E3559">
        <v>0.82564631825363</v>
      </c>
      <c r="F3559">
        <v>0.25993313651022898</v>
      </c>
      <c r="G3559">
        <v>0.29965983628023202</v>
      </c>
      <c r="H3559">
        <v>9.2315283411388394E-2</v>
      </c>
      <c r="I3559">
        <v>0.11841166247564899</v>
      </c>
      <c r="J3559">
        <v>0.11105979479230101</v>
      </c>
      <c r="K3559">
        <v>0.11294884614091601</v>
      </c>
      <c r="L3559">
        <v>1696.96858863066</v>
      </c>
      <c r="M3559">
        <v>33.1413727659708</v>
      </c>
      <c r="N3559">
        <v>51.673969251828701</v>
      </c>
      <c r="O3559">
        <v>51.018581247514099</v>
      </c>
      <c r="P3559">
        <v>-0.14126561471360499</v>
      </c>
      <c r="Q3559">
        <v>0.13013386255728601</v>
      </c>
      <c r="R3559">
        <v>0.97013338529151905</v>
      </c>
      <c r="S3559" t="s">
        <v>10562</v>
      </c>
      <c r="T3559" t="s">
        <v>14004</v>
      </c>
      <c r="U3559" t="s">
        <v>14004</v>
      </c>
      <c r="V3559" t="s">
        <v>14004</v>
      </c>
      <c r="W3559" t="s">
        <v>17518</v>
      </c>
      <c r="X3559">
        <v>5</v>
      </c>
      <c r="Y3559" t="s">
        <v>24361</v>
      </c>
      <c r="Z3559" t="s">
        <v>31269</v>
      </c>
      <c r="AA3559">
        <v>0.45949248006860649</v>
      </c>
      <c r="AB3559" t="str">
        <f>HYPERLINK("Melting_Curves/meltCurve_Q14004_2_CDK13.pdf", "Melting_Curves/meltCurve_Q14004_2_CDK13.pdf")</f>
        <v>Melting_Curves/meltCurve_Q14004_2_CDK13.pdf</v>
      </c>
    </row>
    <row r="3560" spans="1:28" x14ac:dyDescent="0.25">
      <c r="A3560" t="s">
        <v>3564</v>
      </c>
      <c r="B3560">
        <v>0.99999676499088797</v>
      </c>
      <c r="C3560">
        <v>1.0008138008810099</v>
      </c>
      <c r="D3560">
        <v>0.87140259839798195</v>
      </c>
      <c r="E3560">
        <v>0.44618705114720503</v>
      </c>
      <c r="F3560">
        <v>0.26649727392705302</v>
      </c>
      <c r="G3560">
        <v>0.16083421776273801</v>
      </c>
      <c r="H3560">
        <v>8.2623192887135197E-2</v>
      </c>
      <c r="I3560">
        <v>7.8352159474955704E-2</v>
      </c>
      <c r="J3560">
        <v>9.1399283451762695E-2</v>
      </c>
      <c r="K3560">
        <v>8.1339511775525397E-2</v>
      </c>
      <c r="L3560">
        <v>1143.2810115637201</v>
      </c>
      <c r="M3560">
        <v>23.284499212632401</v>
      </c>
      <c r="N3560">
        <v>49.531355544215003</v>
      </c>
      <c r="O3560">
        <v>48.742652504902097</v>
      </c>
      <c r="P3560">
        <v>-0.108479817765691</v>
      </c>
      <c r="Q3560">
        <v>9.1670314290500807E-2</v>
      </c>
      <c r="R3560">
        <v>0.99448997801136696</v>
      </c>
      <c r="S3560" t="s">
        <v>10563</v>
      </c>
      <c r="T3560" t="s">
        <v>14004</v>
      </c>
      <c r="U3560" t="s">
        <v>14004</v>
      </c>
      <c r="V3560" t="s">
        <v>14004</v>
      </c>
      <c r="W3560" t="s">
        <v>17519</v>
      </c>
      <c r="X3560">
        <v>9</v>
      </c>
      <c r="Y3560" t="s">
        <v>24362</v>
      </c>
      <c r="Z3560" t="s">
        <v>31270</v>
      </c>
      <c r="AA3560">
        <v>0.37653344906912178</v>
      </c>
      <c r="AB3560" t="str">
        <f>HYPERLINK("Melting_Curves/meltCurve_Q14005_3_IL16.pdf", "Melting_Curves/meltCurve_Q14005_3_IL16.pdf")</f>
        <v>Melting_Curves/meltCurve_Q14005_3_IL16.pdf</v>
      </c>
    </row>
    <row r="3561" spans="1:28" x14ac:dyDescent="0.25">
      <c r="A3561" t="s">
        <v>3565</v>
      </c>
      <c r="B3561">
        <v>0.99999676499088797</v>
      </c>
      <c r="C3561">
        <v>0.93368528609921697</v>
      </c>
      <c r="D3561">
        <v>0.69117979648003303</v>
      </c>
      <c r="E3561">
        <v>0.26974428289445501</v>
      </c>
      <c r="F3561">
        <v>0.20085523609643599</v>
      </c>
      <c r="G3561">
        <v>0.13781798505963899</v>
      </c>
      <c r="H3561">
        <v>7.5437908240470905E-2</v>
      </c>
      <c r="I3561">
        <v>6.4182832944640097E-2</v>
      </c>
      <c r="J3561">
        <v>5.9207887759802097E-2</v>
      </c>
      <c r="K3561">
        <v>5.8339808635291798E-2</v>
      </c>
      <c r="L3561">
        <v>1108.5479424451901</v>
      </c>
      <c r="M3561">
        <v>23.455023452286401</v>
      </c>
      <c r="N3561">
        <v>47.614663183635599</v>
      </c>
      <c r="O3561">
        <v>46.923173488539597</v>
      </c>
      <c r="P3561">
        <v>-0.11502150577952901</v>
      </c>
      <c r="Q3561">
        <v>7.9586411580948493E-2</v>
      </c>
      <c r="R3561">
        <v>0.993541794553368</v>
      </c>
      <c r="S3561" t="s">
        <v>10564</v>
      </c>
      <c r="T3561" t="s">
        <v>14004</v>
      </c>
      <c r="U3561" t="s">
        <v>14004</v>
      </c>
      <c r="V3561" t="s">
        <v>14004</v>
      </c>
      <c r="W3561" t="s">
        <v>17520</v>
      </c>
      <c r="X3561">
        <v>56</v>
      </c>
      <c r="Y3561" t="s">
        <v>24363</v>
      </c>
      <c r="Z3561" t="s">
        <v>31271</v>
      </c>
      <c r="AA3561">
        <v>0.31181650447841758</v>
      </c>
      <c r="AB3561" t="str">
        <f>HYPERLINK("Melting_Curves/meltCurve_Q14008_2_CKAP5.pdf", "Melting_Curves/meltCurve_Q14008_2_CKAP5.pdf")</f>
        <v>Melting_Curves/meltCurve_Q14008_2_CKAP5.pdf</v>
      </c>
    </row>
    <row r="3562" spans="1:28" x14ac:dyDescent="0.25">
      <c r="A3562" t="s">
        <v>3566</v>
      </c>
      <c r="B3562">
        <v>0.99999676499088797</v>
      </c>
      <c r="C3562">
        <v>0.96326578139716301</v>
      </c>
      <c r="D3562">
        <v>1.06242758238867</v>
      </c>
      <c r="E3562">
        <v>1.09427192213207</v>
      </c>
      <c r="F3562">
        <v>0.73064174162556195</v>
      </c>
      <c r="G3562">
        <v>0.58343347293470604</v>
      </c>
      <c r="H3562">
        <v>0.28660819460140502</v>
      </c>
      <c r="I3562">
        <v>0.22056721618903999</v>
      </c>
      <c r="J3562">
        <v>0.201988328717493</v>
      </c>
      <c r="K3562">
        <v>0.33356759303168798</v>
      </c>
      <c r="L3562">
        <v>1445.3022693492901</v>
      </c>
      <c r="M3562">
        <v>25.9913375789329</v>
      </c>
      <c r="N3562">
        <v>57.044140883174897</v>
      </c>
      <c r="O3562">
        <v>55.281027743007002</v>
      </c>
      <c r="P3562">
        <v>-8.9307101731514002E-2</v>
      </c>
      <c r="Q3562">
        <v>0.240218872696215</v>
      </c>
      <c r="R3562">
        <v>0.96160821389511097</v>
      </c>
      <c r="S3562" t="s">
        <v>10565</v>
      </c>
      <c r="T3562" t="s">
        <v>14004</v>
      </c>
      <c r="U3562" t="s">
        <v>14004</v>
      </c>
      <c r="V3562" t="s">
        <v>14004</v>
      </c>
      <c r="W3562" t="s">
        <v>17521</v>
      </c>
      <c r="X3562">
        <v>8</v>
      </c>
      <c r="Y3562" t="s">
        <v>24364</v>
      </c>
      <c r="Z3562" t="s">
        <v>31272</v>
      </c>
      <c r="AA3562">
        <v>0.64203497268469178</v>
      </c>
      <c r="AB3562" t="str">
        <f>HYPERLINK("Melting_Curves/meltCurve_Q14011_CIRBP.pdf", "Melting_Curves/meltCurve_Q14011_CIRBP.pdf")</f>
        <v>Melting_Curves/meltCurve_Q14011_CIRBP.pdf</v>
      </c>
    </row>
    <row r="3563" spans="1:28" x14ac:dyDescent="0.25">
      <c r="A3563" t="s">
        <v>3567</v>
      </c>
      <c r="B3563">
        <v>0.99999676499088797</v>
      </c>
      <c r="C3563">
        <v>0.96103538246062203</v>
      </c>
      <c r="D3563">
        <v>1.0713486906765</v>
      </c>
      <c r="E3563">
        <v>1.35502239883727</v>
      </c>
      <c r="F3563">
        <v>0.85747990707010402</v>
      </c>
      <c r="G3563">
        <v>0.35079866366158502</v>
      </c>
      <c r="H3563">
        <v>0.176307448343761</v>
      </c>
      <c r="I3563">
        <v>0.12536616307648801</v>
      </c>
      <c r="J3563">
        <v>0.11143942736594201</v>
      </c>
      <c r="K3563">
        <v>0.13012829329393899</v>
      </c>
      <c r="L3563">
        <v>2528.43010561042</v>
      </c>
      <c r="M3563">
        <v>45.637800957853898</v>
      </c>
      <c r="N3563">
        <v>55.776741395712698</v>
      </c>
      <c r="O3563">
        <v>55.296042933698999</v>
      </c>
      <c r="P3563">
        <v>-0.17909764072406101</v>
      </c>
      <c r="Q3563">
        <v>0.13200211829292</v>
      </c>
      <c r="R3563">
        <v>0.93351198330530805</v>
      </c>
      <c r="S3563" t="s">
        <v>10566</v>
      </c>
      <c r="T3563" t="s">
        <v>14004</v>
      </c>
      <c r="U3563" t="s">
        <v>14004</v>
      </c>
      <c r="V3563" t="s">
        <v>14004</v>
      </c>
      <c r="W3563" t="s">
        <v>17522</v>
      </c>
      <c r="X3563">
        <v>16</v>
      </c>
      <c r="Y3563" t="s">
        <v>24365</v>
      </c>
      <c r="Z3563" t="s">
        <v>31273</v>
      </c>
      <c r="AA3563">
        <v>0.58017980104498812</v>
      </c>
      <c r="AB3563" t="str">
        <f>HYPERLINK("Melting_Curves/meltCurve_Q14019_COTL1.pdf", "Melting_Curves/meltCurve_Q14019_COTL1.pdf")</f>
        <v>Melting_Curves/meltCurve_Q14019_COTL1.pdf</v>
      </c>
    </row>
    <row r="3564" spans="1:28" x14ac:dyDescent="0.25">
      <c r="A3564" t="s">
        <v>3568</v>
      </c>
      <c r="B3564">
        <v>0.99999676499088797</v>
      </c>
      <c r="C3564">
        <v>0.94349900665375497</v>
      </c>
      <c r="D3564">
        <v>1.0378917181138001</v>
      </c>
      <c r="E3564">
        <v>1.15584046613598</v>
      </c>
      <c r="F3564">
        <v>1.06517559383952</v>
      </c>
      <c r="G3564">
        <v>0.94980647397052498</v>
      </c>
      <c r="H3564">
        <v>0.77943962796197297</v>
      </c>
      <c r="I3564">
        <v>0.74007360725586202</v>
      </c>
      <c r="J3564">
        <v>0.61562523071037001</v>
      </c>
      <c r="K3564">
        <v>0.98102278604763204</v>
      </c>
      <c r="L3564">
        <v>14269.5464480175</v>
      </c>
      <c r="M3564">
        <v>250</v>
      </c>
      <c r="O3564">
        <v>57.074533380089299</v>
      </c>
      <c r="P3564">
        <v>-0.24196398057572599</v>
      </c>
      <c r="Q3564">
        <v>0.77904030050642203</v>
      </c>
      <c r="R3564">
        <v>0.58541094594943199</v>
      </c>
      <c r="S3564" t="s">
        <v>10567</v>
      </c>
      <c r="T3564" t="s">
        <v>14004</v>
      </c>
      <c r="U3564" t="s">
        <v>14004</v>
      </c>
      <c r="V3564" t="s">
        <v>14004</v>
      </c>
      <c r="W3564" t="s">
        <v>17523</v>
      </c>
      <c r="X3564">
        <v>7</v>
      </c>
      <c r="Y3564" t="s">
        <v>24366</v>
      </c>
      <c r="Z3564" t="s">
        <v>31274</v>
      </c>
      <c r="AA3564">
        <v>0.90484879434993815</v>
      </c>
      <c r="AB3564" t="str">
        <f>HYPERLINK("Melting_Curves/meltCurve_Q14061_COX17.pdf", "Melting_Curves/meltCurve_Q14061_COX17.pdf")</f>
        <v>Melting_Curves/meltCurve_Q14061_COX17.pdf</v>
      </c>
    </row>
    <row r="3565" spans="1:28" x14ac:dyDescent="0.25">
      <c r="A3565" t="s">
        <v>3569</v>
      </c>
      <c r="B3565">
        <v>0.99999676499088797</v>
      </c>
      <c r="C3565">
        <v>1.2918639107086101</v>
      </c>
      <c r="D3565">
        <v>0.88497829676362605</v>
      </c>
      <c r="E3565">
        <v>0.89461670435833895</v>
      </c>
      <c r="F3565">
        <v>0.69966724482092102</v>
      </c>
      <c r="G3565">
        <v>0.682396431903878</v>
      </c>
      <c r="H3565">
        <v>0.38222140733406301</v>
      </c>
      <c r="I3565">
        <v>0.36113471999570401</v>
      </c>
      <c r="J3565">
        <v>0.37779757912387002</v>
      </c>
      <c r="K3565">
        <v>0.207269197622346</v>
      </c>
      <c r="L3565">
        <v>731.13228596979104</v>
      </c>
      <c r="M3565">
        <v>12.864287900955199</v>
      </c>
      <c r="N3565">
        <v>59.2042617989866</v>
      </c>
      <c r="O3565">
        <v>55.513431303993897</v>
      </c>
      <c r="P3565">
        <v>-4.6283223277966301E-2</v>
      </c>
      <c r="Q3565">
        <v>0.20124057921938501</v>
      </c>
      <c r="R3565">
        <v>0.88543614424911798</v>
      </c>
      <c r="S3565" t="s">
        <v>10568</v>
      </c>
      <c r="T3565" t="s">
        <v>14004</v>
      </c>
      <c r="U3565" t="s">
        <v>14004</v>
      </c>
      <c r="V3565" t="s">
        <v>14004</v>
      </c>
      <c r="W3565" t="s">
        <v>17524</v>
      </c>
      <c r="X3565">
        <v>3</v>
      </c>
      <c r="Y3565" t="s">
        <v>24367</v>
      </c>
      <c r="Z3565" t="s">
        <v>31275</v>
      </c>
      <c r="AA3565">
        <v>0.66326383011340995</v>
      </c>
      <c r="AB3565" t="str">
        <f>HYPERLINK("Melting_Curves/meltCurve_Q14088_RAB33A.pdf", "Melting_Curves/meltCurve_Q14088_RAB33A.pdf")</f>
        <v>Melting_Curves/meltCurve_Q14088_RAB33A.pdf</v>
      </c>
    </row>
    <row r="3566" spans="1:28" x14ac:dyDescent="0.25">
      <c r="A3566" t="s">
        <v>3570</v>
      </c>
      <c r="B3566">
        <v>0.99999676499088797</v>
      </c>
      <c r="C3566">
        <v>1.1195611300550301</v>
      </c>
      <c r="D3566">
        <v>1.14416432976433</v>
      </c>
      <c r="E3566">
        <v>0.97378643845494794</v>
      </c>
      <c r="F3566">
        <v>0.73228023443794099</v>
      </c>
      <c r="G3566">
        <v>0.62052687669905204</v>
      </c>
      <c r="H3566">
        <v>0.35285764149745802</v>
      </c>
      <c r="I3566">
        <v>0.44964502817482999</v>
      </c>
      <c r="J3566">
        <v>0.60851618057178702</v>
      </c>
      <c r="K3566">
        <v>0.47059323296738398</v>
      </c>
      <c r="L3566">
        <v>1727.89364905818</v>
      </c>
      <c r="M3566">
        <v>32.316951913027602</v>
      </c>
      <c r="N3566">
        <v>59.427192134334398</v>
      </c>
      <c r="O3566">
        <v>53.263617055366403</v>
      </c>
      <c r="P3566">
        <v>-7.8809242773198604E-2</v>
      </c>
      <c r="Q3566">
        <v>0.48044048372534698</v>
      </c>
      <c r="R3566">
        <v>0.89761785744371303</v>
      </c>
      <c r="S3566" t="s">
        <v>10569</v>
      </c>
      <c r="T3566" t="s">
        <v>14004</v>
      </c>
      <c r="U3566" t="s">
        <v>14004</v>
      </c>
      <c r="V3566" t="s">
        <v>14004</v>
      </c>
      <c r="W3566" t="s">
        <v>17525</v>
      </c>
      <c r="X3566">
        <v>30</v>
      </c>
      <c r="Y3566" t="s">
        <v>24368</v>
      </c>
      <c r="Z3566" t="s">
        <v>31276</v>
      </c>
      <c r="AA3566">
        <v>0.71660344595706815</v>
      </c>
      <c r="AB3566" t="str">
        <f>HYPERLINK("Melting_Curves/meltCurve_Q14103_3_HNRNPD.pdf", "Melting_Curves/meltCurve_Q14103_3_HNRNPD.pdf")</f>
        <v>Melting_Curves/meltCurve_Q14103_3_HNRNPD.pdf</v>
      </c>
    </row>
    <row r="3567" spans="1:28" x14ac:dyDescent="0.25">
      <c r="A3567" t="s">
        <v>3571</v>
      </c>
      <c r="B3567">
        <v>0.99999676499088797</v>
      </c>
      <c r="C3567">
        <v>0.99221584834078103</v>
      </c>
      <c r="D3567">
        <v>0.99385722191884696</v>
      </c>
      <c r="E3567">
        <v>0.93713279360526103</v>
      </c>
      <c r="F3567">
        <v>0.77762359354640997</v>
      </c>
      <c r="G3567">
        <v>0.79906405660602398</v>
      </c>
      <c r="H3567">
        <v>0.35742454102062399</v>
      </c>
      <c r="I3567">
        <v>0.318377939363512</v>
      </c>
      <c r="J3567">
        <v>0.27993937705522998</v>
      </c>
      <c r="K3567">
        <v>0.31446381502746101</v>
      </c>
      <c r="L3567">
        <v>1121.55862506827</v>
      </c>
      <c r="M3567">
        <v>19.4877802364262</v>
      </c>
      <c r="N3567">
        <v>59.593592569425702</v>
      </c>
      <c r="O3567">
        <v>56.956152585962997</v>
      </c>
      <c r="P3567">
        <v>-6.4708304229778593E-2</v>
      </c>
      <c r="Q3567">
        <v>0.243545845315912</v>
      </c>
      <c r="R3567">
        <v>0.96047041781573905</v>
      </c>
      <c r="S3567" t="s">
        <v>10570</v>
      </c>
      <c r="T3567" t="s">
        <v>14004</v>
      </c>
      <c r="U3567" t="s">
        <v>14004</v>
      </c>
      <c r="V3567" t="s">
        <v>14004</v>
      </c>
      <c r="W3567" t="s">
        <v>17526</v>
      </c>
      <c r="X3567">
        <v>32</v>
      </c>
      <c r="Y3567" t="s">
        <v>24368</v>
      </c>
      <c r="Z3567" t="s">
        <v>31277</v>
      </c>
      <c r="AA3567">
        <v>0.69527133730587798</v>
      </c>
      <c r="AB3567" t="str">
        <f>HYPERLINK("Melting_Curves/meltCurve_Q14103_4_HNRNPD.pdf", "Melting_Curves/meltCurve_Q14103_4_HNRNPD.pdf")</f>
        <v>Melting_Curves/meltCurve_Q14103_4_HNRNPD.pdf</v>
      </c>
    </row>
    <row r="3568" spans="1:28" x14ac:dyDescent="0.25">
      <c r="A3568" t="s">
        <v>3572</v>
      </c>
      <c r="B3568">
        <v>0.99999676499088797</v>
      </c>
      <c r="C3568">
        <v>0.92902015023092299</v>
      </c>
      <c r="D3568">
        <v>0.93542731390081801</v>
      </c>
      <c r="E3568">
        <v>0.91515027304382501</v>
      </c>
      <c r="F3568">
        <v>0.79151171586779501</v>
      </c>
      <c r="G3568">
        <v>0.70923145884998195</v>
      </c>
      <c r="H3568">
        <v>0.46625981671512601</v>
      </c>
      <c r="I3568">
        <v>0.519355337492866</v>
      </c>
      <c r="J3568">
        <v>0.44358262114895503</v>
      </c>
      <c r="K3568">
        <v>0.43955751250939101</v>
      </c>
      <c r="L3568">
        <v>719.29678424828001</v>
      </c>
      <c r="M3568">
        <v>12.851423607803</v>
      </c>
      <c r="N3568">
        <v>63.131489204656503</v>
      </c>
      <c r="O3568">
        <v>54.666948994913902</v>
      </c>
      <c r="P3568">
        <v>-3.6231919033193699E-2</v>
      </c>
      <c r="Q3568">
        <v>0.38362544976455998</v>
      </c>
      <c r="R3568">
        <v>0.96934173071650598</v>
      </c>
      <c r="S3568" t="s">
        <v>10571</v>
      </c>
      <c r="T3568" t="s">
        <v>14004</v>
      </c>
      <c r="U3568" t="s">
        <v>14004</v>
      </c>
      <c r="V3568" t="s">
        <v>14004</v>
      </c>
      <c r="W3568" t="s">
        <v>17527</v>
      </c>
      <c r="X3568">
        <v>13</v>
      </c>
      <c r="Y3568" t="s">
        <v>24369</v>
      </c>
      <c r="Z3568" t="s">
        <v>31278</v>
      </c>
      <c r="AA3568">
        <v>0.72396936123375444</v>
      </c>
      <c r="AB3568" t="str">
        <f>HYPERLINK("Melting_Curves/meltCurve_Q14108_SCARB2.pdf", "Melting_Curves/meltCurve_Q14108_SCARB2.pdf")</f>
        <v>Melting_Curves/meltCurve_Q14108_SCARB2.pdf</v>
      </c>
    </row>
    <row r="3569" spans="1:28" x14ac:dyDescent="0.25">
      <c r="A3569" t="s">
        <v>3573</v>
      </c>
      <c r="B3569">
        <v>0.99999676499088797</v>
      </c>
      <c r="C3569">
        <v>1.05009478070225</v>
      </c>
      <c r="D3569">
        <v>0.99093785765929898</v>
      </c>
      <c r="E3569">
        <v>1.0820715476234499</v>
      </c>
      <c r="F3569">
        <v>0.98066794221221099</v>
      </c>
      <c r="G3569">
        <v>0.88993812619838497</v>
      </c>
      <c r="H3569">
        <v>0.58039670010306099</v>
      </c>
      <c r="I3569">
        <v>0.53403618644607498</v>
      </c>
      <c r="J3569">
        <v>0.36151102694974202</v>
      </c>
      <c r="K3569">
        <v>0.44238491602201002</v>
      </c>
      <c r="L3569">
        <v>1805.8673156529401</v>
      </c>
      <c r="M3569">
        <v>30.418168416362501</v>
      </c>
      <c r="N3569">
        <v>62.973697247100603</v>
      </c>
      <c r="O3569">
        <v>59.113232187352601</v>
      </c>
      <c r="P3569">
        <v>-7.5593644312022798E-2</v>
      </c>
      <c r="Q3569">
        <v>0.41238317001874703</v>
      </c>
      <c r="R3569">
        <v>0.97210196786546699</v>
      </c>
      <c r="S3569" t="s">
        <v>10572</v>
      </c>
      <c r="T3569" t="s">
        <v>14004</v>
      </c>
      <c r="U3569" t="s">
        <v>14004</v>
      </c>
      <c r="V3569" t="s">
        <v>14004</v>
      </c>
      <c r="W3569" t="s">
        <v>17528</v>
      </c>
      <c r="X3569">
        <v>9</v>
      </c>
      <c r="Y3569" t="s">
        <v>24370</v>
      </c>
      <c r="Z3569" t="s">
        <v>31279</v>
      </c>
      <c r="AA3569">
        <v>0.795380993519758</v>
      </c>
      <c r="AB3569" t="str">
        <f>HYPERLINK("Melting_Curves/meltCurve_Q14114_LRP8.pdf", "Melting_Curves/meltCurve_Q14114_LRP8.pdf")</f>
        <v>Melting_Curves/meltCurve_Q14114_LRP8.pdf</v>
      </c>
    </row>
    <row r="3570" spans="1:28" x14ac:dyDescent="0.25">
      <c r="A3570" t="s">
        <v>3574</v>
      </c>
      <c r="B3570">
        <v>0.99999676499088797</v>
      </c>
      <c r="C3570">
        <v>0.98684724284060699</v>
      </c>
      <c r="D3570">
        <v>0.92721476589640495</v>
      </c>
      <c r="E3570">
        <v>0.90429748973611102</v>
      </c>
      <c r="F3570">
        <v>0.82199022742694805</v>
      </c>
      <c r="G3570">
        <v>0.47991817656887498</v>
      </c>
      <c r="H3570">
        <v>5.0031946351874301E-2</v>
      </c>
      <c r="I3570">
        <v>0</v>
      </c>
      <c r="J3570">
        <v>0</v>
      </c>
      <c r="K3570">
        <v>0</v>
      </c>
      <c r="L3570">
        <v>1638.921827181</v>
      </c>
      <c r="M3570">
        <v>29.107962128071499</v>
      </c>
      <c r="N3570">
        <v>56.304934632137503</v>
      </c>
      <c r="O3570">
        <v>56.0411877027096</v>
      </c>
      <c r="P3570">
        <v>-0.12985170888553699</v>
      </c>
      <c r="Q3570">
        <v>0</v>
      </c>
      <c r="R3570">
        <v>0.99078146565042102</v>
      </c>
      <c r="S3570" t="s">
        <v>10573</v>
      </c>
      <c r="T3570" t="s">
        <v>14004</v>
      </c>
      <c r="U3570" t="s">
        <v>14004</v>
      </c>
      <c r="V3570" t="s">
        <v>14004</v>
      </c>
      <c r="W3570" t="s">
        <v>17529</v>
      </c>
      <c r="X3570">
        <v>1</v>
      </c>
      <c r="Y3570" t="s">
        <v>24371</v>
      </c>
      <c r="Z3570" t="s">
        <v>31280</v>
      </c>
      <c r="AA3570">
        <v>0.55054130949154623</v>
      </c>
      <c r="AB3570" t="str">
        <f>HYPERLINK("Melting_Curves/meltCurve_Q14117_DPYS.pdf", "Melting_Curves/meltCurve_Q14117_DPYS.pdf")</f>
        <v>Melting_Curves/meltCurve_Q14117_DPYS.pdf</v>
      </c>
    </row>
    <row r="3571" spans="1:28" x14ac:dyDescent="0.25">
      <c r="A3571" t="s">
        <v>3575</v>
      </c>
      <c r="B3571">
        <v>0.99999676499088797</v>
      </c>
      <c r="C3571">
        <v>0.92061733734155304</v>
      </c>
      <c r="D3571">
        <v>0.96617620154970696</v>
      </c>
      <c r="E3571">
        <v>1.0926622093109799</v>
      </c>
      <c r="F3571">
        <v>1.03222822192231</v>
      </c>
      <c r="G3571">
        <v>0.95518027085636104</v>
      </c>
      <c r="H3571">
        <v>0.70463871433041803</v>
      </c>
      <c r="I3571">
        <v>0.67078362706018202</v>
      </c>
      <c r="J3571">
        <v>0.53848114676988301</v>
      </c>
      <c r="K3571">
        <v>0.78458336900324899</v>
      </c>
      <c r="L3571">
        <v>3429.4765403390802</v>
      </c>
      <c r="M3571">
        <v>58.450725796824301</v>
      </c>
      <c r="O3571">
        <v>58.604385867284201</v>
      </c>
      <c r="P3571">
        <v>-8.3728275648421197E-2</v>
      </c>
      <c r="Q3571">
        <v>0.66420657771330405</v>
      </c>
      <c r="R3571">
        <v>0.83952726466840699</v>
      </c>
      <c r="S3571" t="s">
        <v>10574</v>
      </c>
      <c r="T3571" t="s">
        <v>14004</v>
      </c>
      <c r="U3571" t="s">
        <v>14004</v>
      </c>
      <c r="V3571" t="s">
        <v>14004</v>
      </c>
      <c r="W3571" t="s">
        <v>17530</v>
      </c>
      <c r="X3571">
        <v>6</v>
      </c>
      <c r="Y3571" t="s">
        <v>24372</v>
      </c>
      <c r="Z3571" t="s">
        <v>31281</v>
      </c>
      <c r="AA3571">
        <v>0.87384871520811991</v>
      </c>
      <c r="AB3571" t="str">
        <f>HYPERLINK("Melting_Curves/meltCurve_Q14118_DAG1.pdf", "Melting_Curves/meltCurve_Q14118_DAG1.pdf")</f>
        <v>Melting_Curves/meltCurve_Q14118_DAG1.pdf</v>
      </c>
    </row>
    <row r="3572" spans="1:28" x14ac:dyDescent="0.25">
      <c r="A3572" t="s">
        <v>3576</v>
      </c>
      <c r="B3572">
        <v>0.99999676499088797</v>
      </c>
      <c r="C3572">
        <v>0.93636062757101401</v>
      </c>
      <c r="D3572">
        <v>0.83633264967051102</v>
      </c>
      <c r="E3572">
        <v>0.68079562690337903</v>
      </c>
      <c r="F3572">
        <v>0.49732772009876097</v>
      </c>
      <c r="G3572">
        <v>0.32097271613147699</v>
      </c>
      <c r="H3572">
        <v>0.18575649202987801</v>
      </c>
      <c r="I3572">
        <v>0.18526401285729299</v>
      </c>
      <c r="J3572">
        <v>0.18953086587516299</v>
      </c>
      <c r="K3572">
        <v>0.19380017766308699</v>
      </c>
      <c r="L3572">
        <v>713.02425409187697</v>
      </c>
      <c r="M3572">
        <v>13.8867617594317</v>
      </c>
      <c r="N3572">
        <v>52.642198888754201</v>
      </c>
      <c r="O3572">
        <v>50.315981103090401</v>
      </c>
      <c r="P3572">
        <v>-5.9012437844677301E-2</v>
      </c>
      <c r="Q3572">
        <v>0.14483622552898001</v>
      </c>
      <c r="R3572">
        <v>0.99506446494720602</v>
      </c>
      <c r="S3572" t="s">
        <v>10575</v>
      </c>
      <c r="T3572" t="s">
        <v>14004</v>
      </c>
      <c r="U3572" t="s">
        <v>14004</v>
      </c>
      <c r="V3572" t="s">
        <v>14004</v>
      </c>
      <c r="W3572" t="s">
        <v>17531</v>
      </c>
      <c r="X3572">
        <v>10</v>
      </c>
      <c r="Y3572" t="s">
        <v>24373</v>
      </c>
      <c r="Z3572" t="s">
        <v>31282</v>
      </c>
      <c r="AA3572">
        <v>0.49031080051257891</v>
      </c>
      <c r="AB3572" t="str">
        <f>HYPERLINK("Melting_Curves/meltCurve_Q14126_DSG2.pdf", "Melting_Curves/meltCurve_Q14126_DSG2.pdf")</f>
        <v>Melting_Curves/meltCurve_Q14126_DSG2.pdf</v>
      </c>
    </row>
    <row r="3573" spans="1:28" x14ac:dyDescent="0.25">
      <c r="A3573" t="s">
        <v>3577</v>
      </c>
      <c r="B3573">
        <v>0.99999676499088797</v>
      </c>
      <c r="C3573">
        <v>1.23134768342399</v>
      </c>
      <c r="D3573">
        <v>1.09208969841431</v>
      </c>
      <c r="E3573">
        <v>1.0830367178767299</v>
      </c>
      <c r="F3573">
        <v>0.99692322432990399</v>
      </c>
      <c r="G3573">
        <v>0.82498015409553704</v>
      </c>
      <c r="H3573">
        <v>0.56693360835036399</v>
      </c>
      <c r="I3573">
        <v>0.64579566771174501</v>
      </c>
      <c r="J3573">
        <v>0.62842635061859198</v>
      </c>
      <c r="K3573">
        <v>0.64951012045458001</v>
      </c>
      <c r="L3573">
        <v>14208.231456530501</v>
      </c>
      <c r="M3573">
        <v>250</v>
      </c>
      <c r="O3573">
        <v>56.829290536744303</v>
      </c>
      <c r="P3573">
        <v>-0.41498580171896299</v>
      </c>
      <c r="Q3573">
        <v>0.62266643222053997</v>
      </c>
      <c r="R3573">
        <v>0.85609348455156298</v>
      </c>
      <c r="S3573" t="s">
        <v>10576</v>
      </c>
      <c r="T3573" t="s">
        <v>14004</v>
      </c>
      <c r="U3573" t="s">
        <v>14004</v>
      </c>
      <c r="V3573" t="s">
        <v>14004</v>
      </c>
      <c r="W3573" t="s">
        <v>17532</v>
      </c>
      <c r="X3573">
        <v>6</v>
      </c>
      <c r="Y3573" t="s">
        <v>24374</v>
      </c>
      <c r="Z3573" t="s">
        <v>31283</v>
      </c>
      <c r="AA3573">
        <v>0.83442499974822804</v>
      </c>
      <c r="AB3573" t="str">
        <f>HYPERLINK("Melting_Curves/meltCurve_Q14135_VGLL4.pdf", "Melting_Curves/meltCurve_Q14135_VGLL4.pdf")</f>
        <v>Melting_Curves/meltCurve_Q14135_VGLL4.pdf</v>
      </c>
    </row>
    <row r="3574" spans="1:28" x14ac:dyDescent="0.25">
      <c r="A3574" t="s">
        <v>3578</v>
      </c>
      <c r="B3574">
        <v>0.99999676499088797</v>
      </c>
      <c r="C3574">
        <v>0.80978220548267599</v>
      </c>
      <c r="D3574">
        <v>0.63238210460047195</v>
      </c>
      <c r="E3574">
        <v>0.45755942271539002</v>
      </c>
      <c r="F3574">
        <v>0.35121957894747802</v>
      </c>
      <c r="G3574">
        <v>0.21117355766705001</v>
      </c>
      <c r="H3574">
        <v>9.0952863012132304E-2</v>
      </c>
      <c r="I3574">
        <v>9.2165971067880104E-2</v>
      </c>
      <c r="J3574">
        <v>9.9103166661009406E-2</v>
      </c>
      <c r="K3574">
        <v>9.0152211719666794E-2</v>
      </c>
      <c r="L3574">
        <v>561.05531202950999</v>
      </c>
      <c r="M3574">
        <v>11.570767630530201</v>
      </c>
      <c r="N3574">
        <v>48.952543524862399</v>
      </c>
      <c r="O3574">
        <v>47.108569054539998</v>
      </c>
      <c r="P3574">
        <v>-5.8235054385050097E-2</v>
      </c>
      <c r="Q3574">
        <v>5.1883564764559499E-2</v>
      </c>
      <c r="R3574">
        <v>0.98765809712508101</v>
      </c>
      <c r="S3574" t="s">
        <v>10577</v>
      </c>
      <c r="T3574" t="s">
        <v>14004</v>
      </c>
      <c r="U3574" t="s">
        <v>14004</v>
      </c>
      <c r="V3574" t="s">
        <v>14004</v>
      </c>
      <c r="W3574" t="s">
        <v>17533</v>
      </c>
      <c r="X3574">
        <v>11</v>
      </c>
      <c r="Y3574" t="s">
        <v>24375</v>
      </c>
      <c r="Z3574" t="s">
        <v>31284</v>
      </c>
      <c r="AA3574">
        <v>0.35842121700210572</v>
      </c>
      <c r="AB3574" t="str">
        <f>HYPERLINK("Melting_Curves/meltCurve_Q14137_BOP1.pdf", "Melting_Curves/meltCurve_Q14137_BOP1.pdf")</f>
        <v>Melting_Curves/meltCurve_Q14137_BOP1.pdf</v>
      </c>
    </row>
    <row r="3575" spans="1:28" x14ac:dyDescent="0.25">
      <c r="A3575" t="s">
        <v>3579</v>
      </c>
      <c r="B3575">
        <v>0.99999676499088797</v>
      </c>
      <c r="C3575">
        <v>1.01760000397405</v>
      </c>
      <c r="D3575">
        <v>0.51444105157253905</v>
      </c>
      <c r="E3575">
        <v>0.24745639613833101</v>
      </c>
      <c r="F3575">
        <v>0.17578554146783501</v>
      </c>
      <c r="G3575">
        <v>0.113292843838583</v>
      </c>
      <c r="H3575">
        <v>6.4706396468915905E-2</v>
      </c>
      <c r="I3575">
        <v>7.0097166154012694E-2</v>
      </c>
      <c r="J3575">
        <v>5.8124596764064902E-2</v>
      </c>
      <c r="K3575">
        <v>4.5741431093025697E-2</v>
      </c>
      <c r="L3575">
        <v>1403.19894122906</v>
      </c>
      <c r="M3575">
        <v>30.3750355670381</v>
      </c>
      <c r="N3575">
        <v>46.498128768774301</v>
      </c>
      <c r="O3575">
        <v>45.996959698020802</v>
      </c>
      <c r="P3575">
        <v>-0.15029964672443699</v>
      </c>
      <c r="Q3575">
        <v>8.9609859449916507E-2</v>
      </c>
      <c r="R3575">
        <v>0.98055979155390005</v>
      </c>
      <c r="S3575" t="s">
        <v>10578</v>
      </c>
      <c r="T3575" t="s">
        <v>14004</v>
      </c>
      <c r="U3575" t="s">
        <v>14004</v>
      </c>
      <c r="V3575" t="s">
        <v>14004</v>
      </c>
      <c r="W3575" t="s">
        <v>17534</v>
      </c>
      <c r="X3575">
        <v>15</v>
      </c>
      <c r="Y3575" t="s">
        <v>24376</v>
      </c>
      <c r="Z3575" t="s">
        <v>31285</v>
      </c>
      <c r="AA3575">
        <v>0.28299724658114128</v>
      </c>
      <c r="AB3575" t="str">
        <f>HYPERLINK("Melting_Curves/meltCurve_Q14139_UBE4A.pdf", "Melting_Curves/meltCurve_Q14139_UBE4A.pdf")</f>
        <v>Melting_Curves/meltCurve_Q14139_UBE4A.pdf</v>
      </c>
    </row>
    <row r="3576" spans="1:28" x14ac:dyDescent="0.25">
      <c r="A3576" t="s">
        <v>3580</v>
      </c>
      <c r="B3576">
        <v>0.99999676499088797</v>
      </c>
      <c r="C3576">
        <v>0.93911496193759503</v>
      </c>
      <c r="D3576">
        <v>0.90826320544427397</v>
      </c>
      <c r="E3576">
        <v>0.75626285239785696</v>
      </c>
      <c r="F3576">
        <v>0.60588807236688802</v>
      </c>
      <c r="G3576">
        <v>0.36226042102481099</v>
      </c>
      <c r="H3576">
        <v>0.20112020860105301</v>
      </c>
      <c r="I3576">
        <v>0.14793067259510001</v>
      </c>
      <c r="J3576">
        <v>0.103702655567392</v>
      </c>
      <c r="K3576">
        <v>9.7576747320389304E-2</v>
      </c>
      <c r="L3576">
        <v>699.29378103909801</v>
      </c>
      <c r="M3576">
        <v>12.9233424653012</v>
      </c>
      <c r="N3576">
        <v>54.3991991035384</v>
      </c>
      <c r="O3576">
        <v>52.864402082425201</v>
      </c>
      <c r="P3576">
        <v>-5.9103434593303403E-2</v>
      </c>
      <c r="Q3576">
        <v>3.30975457566932E-2</v>
      </c>
      <c r="R3576">
        <v>0.997367009469458</v>
      </c>
      <c r="S3576" t="s">
        <v>10579</v>
      </c>
      <c r="T3576" t="s">
        <v>14004</v>
      </c>
      <c r="U3576" t="s">
        <v>14004</v>
      </c>
      <c r="V3576" t="s">
        <v>14004</v>
      </c>
      <c r="W3576" t="s">
        <v>17535</v>
      </c>
      <c r="X3576">
        <v>13</v>
      </c>
      <c r="Y3576" t="s">
        <v>24377</v>
      </c>
      <c r="Z3576" t="s">
        <v>31286</v>
      </c>
      <c r="AA3576">
        <v>0.51117286657405747</v>
      </c>
      <c r="AB3576" t="str">
        <f>HYPERLINK("Melting_Curves/meltCurve_Q14145_KEAP1.pdf", "Melting_Curves/meltCurve_Q14145_KEAP1.pdf")</f>
        <v>Melting_Curves/meltCurve_Q14145_KEAP1.pdf</v>
      </c>
    </row>
    <row r="3577" spans="1:28" x14ac:dyDescent="0.25">
      <c r="A3577" t="s">
        <v>3581</v>
      </c>
      <c r="B3577">
        <v>0.99999676499088797</v>
      </c>
      <c r="C3577">
        <v>1.0515732905758499</v>
      </c>
      <c r="D3577">
        <v>1.0982822742719001</v>
      </c>
      <c r="E3577">
        <v>0.62328032792907095</v>
      </c>
      <c r="F3577">
        <v>0.27629617080664298</v>
      </c>
      <c r="G3577">
        <v>0.19640437196871599</v>
      </c>
      <c r="H3577">
        <v>0.10830516474588001</v>
      </c>
      <c r="I3577">
        <v>0.11307704430922801</v>
      </c>
      <c r="J3577">
        <v>0.107587824859046</v>
      </c>
      <c r="K3577">
        <v>0.101983774366738</v>
      </c>
      <c r="L3577">
        <v>1746.05246100413</v>
      </c>
      <c r="M3577">
        <v>34.7229092938802</v>
      </c>
      <c r="N3577">
        <v>50.708301815266097</v>
      </c>
      <c r="O3577">
        <v>50.119404484945001</v>
      </c>
      <c r="P3577">
        <v>-0.151424153132657</v>
      </c>
      <c r="Q3577">
        <v>0.12573446106189901</v>
      </c>
      <c r="R3577">
        <v>0.983410287130149</v>
      </c>
      <c r="S3577" t="s">
        <v>10580</v>
      </c>
      <c r="T3577" t="s">
        <v>14004</v>
      </c>
      <c r="U3577" t="s">
        <v>14004</v>
      </c>
      <c r="V3577" t="s">
        <v>14004</v>
      </c>
      <c r="W3577" t="s">
        <v>17536</v>
      </c>
      <c r="X3577">
        <v>8</v>
      </c>
      <c r="Y3577" t="s">
        <v>24378</v>
      </c>
      <c r="Z3577" t="s">
        <v>31287</v>
      </c>
      <c r="AA3577">
        <v>0.42951505496015119</v>
      </c>
      <c r="AB3577" t="str">
        <f>HYPERLINK("Melting_Curves/meltCurve_Q14146_URB2.pdf", "Melting_Curves/meltCurve_Q14146_URB2.pdf")</f>
        <v>Melting_Curves/meltCurve_Q14146_URB2.pdf</v>
      </c>
    </row>
    <row r="3578" spans="1:28" x14ac:dyDescent="0.25">
      <c r="A3578" t="s">
        <v>3582</v>
      </c>
      <c r="B3578">
        <v>0.99999676499088797</v>
      </c>
      <c r="C3578">
        <v>1.05103378711249</v>
      </c>
      <c r="D3578">
        <v>0.80179686622297097</v>
      </c>
      <c r="E3578">
        <v>0.50951091563567696</v>
      </c>
      <c r="F3578">
        <v>0.25229788041289403</v>
      </c>
      <c r="G3578">
        <v>0.23390884069437401</v>
      </c>
      <c r="H3578">
        <v>7.4387813744421993E-2</v>
      </c>
      <c r="I3578">
        <v>0.10410727958773899</v>
      </c>
      <c r="J3578">
        <v>0.116928351223359</v>
      </c>
      <c r="K3578">
        <v>7.7618247747838195E-2</v>
      </c>
      <c r="L3578">
        <v>1011.88989560931</v>
      </c>
      <c r="M3578">
        <v>20.5457974255633</v>
      </c>
      <c r="N3578">
        <v>49.795746285314799</v>
      </c>
      <c r="O3578">
        <v>48.791009160829802</v>
      </c>
      <c r="P3578">
        <v>-9.4672281963293706E-2</v>
      </c>
      <c r="Q3578">
        <v>0.100736574611966</v>
      </c>
      <c r="R3578">
        <v>0.98672847997203195</v>
      </c>
      <c r="S3578" t="s">
        <v>10581</v>
      </c>
      <c r="T3578" t="s">
        <v>14004</v>
      </c>
      <c r="U3578" t="s">
        <v>14004</v>
      </c>
      <c r="V3578" t="s">
        <v>14004</v>
      </c>
      <c r="W3578" t="s">
        <v>17537</v>
      </c>
      <c r="X3578">
        <v>3</v>
      </c>
      <c r="Y3578" t="s">
        <v>24379</v>
      </c>
      <c r="Z3578" t="s">
        <v>31288</v>
      </c>
      <c r="AA3578">
        <v>0.38992927590766768</v>
      </c>
      <c r="AB3578" t="str">
        <f>HYPERLINK("Melting_Curves/meltCurve_Q14147_DHX34.pdf", "Melting_Curves/meltCurve_Q14147_DHX34.pdf")</f>
        <v>Melting_Curves/meltCurve_Q14147_DHX34.pdf</v>
      </c>
    </row>
    <row r="3579" spans="1:28" x14ac:dyDescent="0.25">
      <c r="A3579" t="s">
        <v>3583</v>
      </c>
      <c r="B3579">
        <v>0.99999676499088797</v>
      </c>
      <c r="C3579">
        <v>0.856780489567327</v>
      </c>
      <c r="D3579">
        <v>0.68313642726868395</v>
      </c>
      <c r="E3579">
        <v>0.49784305571303999</v>
      </c>
      <c r="F3579">
        <v>0.34396270884011998</v>
      </c>
      <c r="G3579">
        <v>0.24896643079763101</v>
      </c>
      <c r="H3579">
        <v>0.15972336352201799</v>
      </c>
      <c r="I3579">
        <v>0.145540950249923</v>
      </c>
      <c r="J3579">
        <v>0.135588391133034</v>
      </c>
      <c r="K3579">
        <v>0.12742204576019101</v>
      </c>
      <c r="L3579">
        <v>620.486698445054</v>
      </c>
      <c r="M3579">
        <v>12.7698332268982</v>
      </c>
      <c r="N3579">
        <v>49.5591743029795</v>
      </c>
      <c r="O3579">
        <v>47.444690108262897</v>
      </c>
      <c r="P3579">
        <v>-5.9864765555999899E-2</v>
      </c>
      <c r="Q3579">
        <v>0.11048878570417001</v>
      </c>
      <c r="R3579">
        <v>0.99551845204311395</v>
      </c>
      <c r="S3579" t="s">
        <v>10582</v>
      </c>
      <c r="T3579" t="s">
        <v>14004</v>
      </c>
      <c r="U3579" t="s">
        <v>14004</v>
      </c>
      <c r="V3579" t="s">
        <v>14004</v>
      </c>
      <c r="W3579" t="s">
        <v>17538</v>
      </c>
      <c r="X3579">
        <v>5</v>
      </c>
      <c r="Y3579" t="s">
        <v>24380</v>
      </c>
      <c r="Z3579" t="s">
        <v>31289</v>
      </c>
      <c r="AA3579">
        <v>0.39525087916946372</v>
      </c>
      <c r="AB3579" t="str">
        <f>HYPERLINK("Melting_Curves/meltCurve_Q14149_MORC3.pdf", "Melting_Curves/meltCurve_Q14149_MORC3.pdf")</f>
        <v>Melting_Curves/meltCurve_Q14149_MORC3.pdf</v>
      </c>
    </row>
    <row r="3580" spans="1:28" x14ac:dyDescent="0.25">
      <c r="A3580" t="s">
        <v>3584</v>
      </c>
      <c r="B3580">
        <v>0.99999676499088797</v>
      </c>
      <c r="C3580">
        <v>1.0102841308036601</v>
      </c>
      <c r="D3580">
        <v>0.97540824120578296</v>
      </c>
      <c r="E3580">
        <v>0.86130097935598104</v>
      </c>
      <c r="F3580">
        <v>0.81419282971206097</v>
      </c>
      <c r="G3580">
        <v>0.91168608593193301</v>
      </c>
      <c r="H3580">
        <v>0.64299872745231201</v>
      </c>
      <c r="I3580">
        <v>0.67996580948014995</v>
      </c>
      <c r="J3580">
        <v>0.682104696247255</v>
      </c>
      <c r="K3580">
        <v>0.65399233756643704</v>
      </c>
      <c r="L3580">
        <v>537.46134966801299</v>
      </c>
      <c r="M3580">
        <v>9.5504401943637909</v>
      </c>
      <c r="O3580">
        <v>53.974573833655199</v>
      </c>
      <c r="P3580">
        <v>-1.8022967904408101E-2</v>
      </c>
      <c r="Q3580">
        <v>0.59280686156603202</v>
      </c>
      <c r="R3580">
        <v>0.85930819819806803</v>
      </c>
      <c r="S3580" t="s">
        <v>10583</v>
      </c>
      <c r="T3580" t="s">
        <v>14004</v>
      </c>
      <c r="U3580" t="s">
        <v>14004</v>
      </c>
      <c r="V3580" t="s">
        <v>14004</v>
      </c>
      <c r="W3580" t="s">
        <v>17539</v>
      </c>
      <c r="X3580">
        <v>40</v>
      </c>
      <c r="Y3580" t="s">
        <v>22182</v>
      </c>
      <c r="Z3580" t="s">
        <v>31290</v>
      </c>
      <c r="AA3580">
        <v>0.82166045851645142</v>
      </c>
      <c r="AB3580" t="str">
        <f>HYPERLINK("Melting_Curves/meltCurve_Q14151_SAFB2.pdf", "Melting_Curves/meltCurve_Q14151_SAFB2.pdf")</f>
        <v>Melting_Curves/meltCurve_Q14151_SAFB2.pdf</v>
      </c>
    </row>
    <row r="3581" spans="1:28" x14ac:dyDescent="0.25">
      <c r="A3581" t="s">
        <v>3585</v>
      </c>
      <c r="B3581">
        <v>0.99999676499088797</v>
      </c>
      <c r="C3581">
        <v>1.01827021380967</v>
      </c>
      <c r="D3581">
        <v>1.03991213388574</v>
      </c>
      <c r="E3581">
        <v>0.34845913953840801</v>
      </c>
      <c r="F3581">
        <v>0.20864053403520999</v>
      </c>
      <c r="G3581">
        <v>0.151926145359466</v>
      </c>
      <c r="H3581">
        <v>8.1515170534353198E-2</v>
      </c>
      <c r="I3581">
        <v>9.3938290238013297E-2</v>
      </c>
      <c r="J3581">
        <v>8.8697872755913398E-2</v>
      </c>
      <c r="K3581">
        <v>7.3105975290664399E-2</v>
      </c>
      <c r="L3581">
        <v>6425.2334542286799</v>
      </c>
      <c r="M3581">
        <v>130.57258118720799</v>
      </c>
      <c r="N3581">
        <v>49.308102911312098</v>
      </c>
      <c r="O3581">
        <v>49.196596486206502</v>
      </c>
      <c r="P3581">
        <v>-0.58636346037480203</v>
      </c>
      <c r="Q3581">
        <v>0.116289629803331</v>
      </c>
      <c r="R3581">
        <v>0.99026917871901099</v>
      </c>
      <c r="S3581" t="s">
        <v>10584</v>
      </c>
      <c r="T3581" t="s">
        <v>14004</v>
      </c>
      <c r="U3581" t="s">
        <v>14004</v>
      </c>
      <c r="V3581" t="s">
        <v>14004</v>
      </c>
      <c r="W3581" t="s">
        <v>17540</v>
      </c>
      <c r="X3581">
        <v>97</v>
      </c>
      <c r="Y3581" t="s">
        <v>24381</v>
      </c>
      <c r="Z3581" t="s">
        <v>31291</v>
      </c>
      <c r="AA3581">
        <v>0.38781376498568221</v>
      </c>
      <c r="AB3581" t="str">
        <f>HYPERLINK("Melting_Curves/meltCurve_Q14152_EIF3A.pdf", "Melting_Curves/meltCurve_Q14152_EIF3A.pdf")</f>
        <v>Melting_Curves/meltCurve_Q14152_EIF3A.pdf</v>
      </c>
    </row>
    <row r="3582" spans="1:28" x14ac:dyDescent="0.25">
      <c r="A3582" t="s">
        <v>3586</v>
      </c>
      <c r="B3582">
        <v>0.99999676499088797</v>
      </c>
      <c r="C3582">
        <v>1.111631421789</v>
      </c>
      <c r="D3582">
        <v>0.91567665308970003</v>
      </c>
      <c r="E3582">
        <v>0.76289980521673595</v>
      </c>
      <c r="F3582">
        <v>0.64391997405626</v>
      </c>
      <c r="G3582">
        <v>0.366021528700678</v>
      </c>
      <c r="H3582">
        <v>0.13136413332793201</v>
      </c>
      <c r="I3582">
        <v>0.16851792279098399</v>
      </c>
      <c r="J3582">
        <v>0.21669579652975801</v>
      </c>
      <c r="K3582">
        <v>0.33325371663862702</v>
      </c>
      <c r="L3582">
        <v>1062.4322748997099</v>
      </c>
      <c r="M3582">
        <v>20.121508028922399</v>
      </c>
      <c r="N3582">
        <v>54.173682334694099</v>
      </c>
      <c r="O3582">
        <v>52.287609977968103</v>
      </c>
      <c r="P3582">
        <v>-7.6993505776427301E-2</v>
      </c>
      <c r="Q3582">
        <v>0.19972634092164401</v>
      </c>
      <c r="R3582">
        <v>0.950480564344373</v>
      </c>
      <c r="S3582" t="s">
        <v>10585</v>
      </c>
      <c r="T3582" t="s">
        <v>14004</v>
      </c>
      <c r="U3582" t="s">
        <v>14004</v>
      </c>
      <c r="V3582" t="s">
        <v>14004</v>
      </c>
      <c r="W3582" t="s">
        <v>17541</v>
      </c>
      <c r="X3582">
        <v>2</v>
      </c>
      <c r="Y3582" t="s">
        <v>24382</v>
      </c>
      <c r="Z3582" t="s">
        <v>31292</v>
      </c>
      <c r="AA3582">
        <v>0.55210820057649002</v>
      </c>
      <c r="AB3582" t="str">
        <f>HYPERLINK("Melting_Curves/meltCurve_Q14153_FAM53B.pdf", "Melting_Curves/meltCurve_Q14153_FAM53B.pdf")</f>
        <v>Melting_Curves/meltCurve_Q14153_FAM53B.pdf</v>
      </c>
    </row>
    <row r="3583" spans="1:28" x14ac:dyDescent="0.25">
      <c r="A3583" t="s">
        <v>3587</v>
      </c>
      <c r="B3583">
        <v>0.99999676499088797</v>
      </c>
      <c r="C3583">
        <v>0.98961668949190196</v>
      </c>
      <c r="D3583">
        <v>0.95689539670181001</v>
      </c>
      <c r="E3583">
        <v>0.87851830990891799</v>
      </c>
      <c r="F3583">
        <v>0.70379251991041902</v>
      </c>
      <c r="G3583">
        <v>0.64616760409574503</v>
      </c>
      <c r="H3583">
        <v>0.46856001360548699</v>
      </c>
      <c r="I3583">
        <v>0.52903076651082903</v>
      </c>
      <c r="J3583">
        <v>0.50592250523233895</v>
      </c>
      <c r="K3583">
        <v>0.60319265485207096</v>
      </c>
      <c r="L3583">
        <v>1065.48029897317</v>
      </c>
      <c r="M3583">
        <v>20.458025239470398</v>
      </c>
      <c r="O3583">
        <v>51.591320135061103</v>
      </c>
      <c r="P3583">
        <v>-4.6998726805065699E-2</v>
      </c>
      <c r="Q3583">
        <v>0.52592605241213397</v>
      </c>
      <c r="R3583">
        <v>0.961237453580297</v>
      </c>
      <c r="S3583" t="s">
        <v>10586</v>
      </c>
      <c r="T3583" t="s">
        <v>14004</v>
      </c>
      <c r="U3583" t="s">
        <v>14004</v>
      </c>
      <c r="V3583" t="s">
        <v>14004</v>
      </c>
      <c r="W3583" t="s">
        <v>17542</v>
      </c>
      <c r="X3583">
        <v>30</v>
      </c>
      <c r="Y3583" t="s">
        <v>24383</v>
      </c>
      <c r="Z3583" t="s">
        <v>31293</v>
      </c>
      <c r="AA3583">
        <v>0.72313740342400601</v>
      </c>
      <c r="AB3583" t="str">
        <f>HYPERLINK("Melting_Curves/meltCurve_Q14157_1_UBAP2L.pdf", "Melting_Curves/meltCurve_Q14157_1_UBAP2L.pdf")</f>
        <v>Melting_Curves/meltCurve_Q14157_1_UBAP2L.pdf</v>
      </c>
    </row>
    <row r="3584" spans="1:28" x14ac:dyDescent="0.25">
      <c r="A3584" t="s">
        <v>3588</v>
      </c>
      <c r="B3584">
        <v>0.99999676499088797</v>
      </c>
      <c r="C3584">
        <v>1.5677226585102599</v>
      </c>
      <c r="D3584">
        <v>1.0936118004770199</v>
      </c>
      <c r="E3584">
        <v>0.46142608070872698</v>
      </c>
      <c r="F3584">
        <v>0.304358549087349</v>
      </c>
      <c r="G3584">
        <v>0.31290629015818799</v>
      </c>
      <c r="H3584">
        <v>0.16303891534948001</v>
      </c>
      <c r="I3584">
        <v>0.29030894557098003</v>
      </c>
      <c r="J3584">
        <v>0.25611545152825199</v>
      </c>
      <c r="K3584">
        <v>0.11459092235814999</v>
      </c>
      <c r="L3584">
        <v>10824.798461133299</v>
      </c>
      <c r="M3584">
        <v>219.131733946705</v>
      </c>
      <c r="N3584">
        <v>49.5466358252893</v>
      </c>
      <c r="O3584">
        <v>49.394474215405097</v>
      </c>
      <c r="P3584">
        <v>-0.84266484884244597</v>
      </c>
      <c r="Q3584">
        <v>0.240219813983441</v>
      </c>
      <c r="R3584">
        <v>0.83031623466962201</v>
      </c>
      <c r="S3584" t="s">
        <v>10587</v>
      </c>
      <c r="T3584" t="s">
        <v>14004</v>
      </c>
      <c r="U3584" t="s">
        <v>14004</v>
      </c>
      <c r="V3584" t="s">
        <v>14004</v>
      </c>
      <c r="W3584" t="s">
        <v>17543</v>
      </c>
      <c r="X3584">
        <v>29</v>
      </c>
      <c r="Y3584" t="s">
        <v>24383</v>
      </c>
      <c r="Z3584" t="s">
        <v>31294</v>
      </c>
      <c r="AA3584">
        <v>0.47833427533631601</v>
      </c>
      <c r="AB3584" t="str">
        <f>HYPERLINK("Melting_Curves/meltCurve_Q14157_3_UBAP2L.pdf", "Melting_Curves/meltCurve_Q14157_3_UBAP2L.pdf")</f>
        <v>Melting_Curves/meltCurve_Q14157_3_UBAP2L.pdf</v>
      </c>
    </row>
    <row r="3585" spans="1:28" x14ac:dyDescent="0.25">
      <c r="A3585" t="s">
        <v>3589</v>
      </c>
      <c r="B3585">
        <v>0.99999676499088797</v>
      </c>
      <c r="C3585">
        <v>0.77029429778543801</v>
      </c>
      <c r="D3585">
        <v>0.33343954917895702</v>
      </c>
      <c r="E3585">
        <v>0.20463696178754201</v>
      </c>
      <c r="F3585">
        <v>0.12831408914299999</v>
      </c>
      <c r="G3585">
        <v>9.4966745980183398E-2</v>
      </c>
      <c r="H3585">
        <v>4.81772071607975E-2</v>
      </c>
      <c r="I3585">
        <v>5.1534708071773599E-2</v>
      </c>
      <c r="J3585">
        <v>4.4939784172936197E-2</v>
      </c>
      <c r="K3585">
        <v>4.36352417862284E-2</v>
      </c>
      <c r="L3585">
        <v>1141.9925278271801</v>
      </c>
      <c r="M3585">
        <v>25.555172910645801</v>
      </c>
      <c r="N3585">
        <v>44.957664417615497</v>
      </c>
      <c r="O3585">
        <v>44.416387243301003</v>
      </c>
      <c r="P3585">
        <v>-0.133596581541922</v>
      </c>
      <c r="Q3585">
        <v>7.1216711645664704E-2</v>
      </c>
      <c r="R3585">
        <v>0.98805239271060796</v>
      </c>
      <c r="S3585" t="s">
        <v>10588</v>
      </c>
      <c r="T3585" t="s">
        <v>14004</v>
      </c>
      <c r="U3585" t="s">
        <v>14004</v>
      </c>
      <c r="V3585" t="s">
        <v>14004</v>
      </c>
      <c r="W3585" t="s">
        <v>17544</v>
      </c>
      <c r="X3585">
        <v>19</v>
      </c>
      <c r="Y3585" t="s">
        <v>24384</v>
      </c>
      <c r="Z3585" t="s">
        <v>31295</v>
      </c>
      <c r="AA3585">
        <v>0.22542607574620541</v>
      </c>
      <c r="AB3585" t="str">
        <f>HYPERLINK("Melting_Curves/meltCurve_Q14160_SCRIB.pdf", "Melting_Curves/meltCurve_Q14160_SCRIB.pdf")</f>
        <v>Melting_Curves/meltCurve_Q14160_SCRIB.pdf</v>
      </c>
    </row>
    <row r="3586" spans="1:28" x14ac:dyDescent="0.25">
      <c r="A3586" t="s">
        <v>3590</v>
      </c>
      <c r="B3586">
        <v>0.99999676499088797</v>
      </c>
      <c r="C3586">
        <v>1.11424957762157</v>
      </c>
      <c r="D3586">
        <v>0.78973583108924905</v>
      </c>
      <c r="E3586">
        <v>0.36190780642897102</v>
      </c>
      <c r="F3586">
        <v>0.22543860053919201</v>
      </c>
      <c r="G3586">
        <v>0.19039367311730401</v>
      </c>
      <c r="H3586">
        <v>0.13486198284737799</v>
      </c>
      <c r="I3586">
        <v>0.124304339954575</v>
      </c>
      <c r="J3586">
        <v>0.106642970747007</v>
      </c>
      <c r="K3586">
        <v>0.117508690379537</v>
      </c>
      <c r="L3586">
        <v>1478.4753697937899</v>
      </c>
      <c r="M3586">
        <v>30.830673816198502</v>
      </c>
      <c r="N3586">
        <v>48.472657466114597</v>
      </c>
      <c r="O3586">
        <v>47.754298755696297</v>
      </c>
      <c r="P3586">
        <v>-0.138752916112555</v>
      </c>
      <c r="Q3586">
        <v>0.140335568252693</v>
      </c>
      <c r="R3586">
        <v>0.981993039835516</v>
      </c>
      <c r="S3586" t="s">
        <v>10589</v>
      </c>
      <c r="T3586" t="s">
        <v>14004</v>
      </c>
      <c r="U3586" t="s">
        <v>14004</v>
      </c>
      <c r="V3586" t="s">
        <v>14004</v>
      </c>
      <c r="W3586" t="s">
        <v>17545</v>
      </c>
      <c r="X3586">
        <v>9</v>
      </c>
      <c r="Y3586" t="s">
        <v>24385</v>
      </c>
      <c r="Z3586" t="s">
        <v>31296</v>
      </c>
      <c r="AA3586">
        <v>0.37316622237781888</v>
      </c>
      <c r="AB3586" t="str">
        <f>HYPERLINK("Melting_Curves/meltCurve_Q14161_GIT2.pdf", "Melting_Curves/meltCurve_Q14161_GIT2.pdf")</f>
        <v>Melting_Curves/meltCurve_Q14161_GIT2.pdf</v>
      </c>
    </row>
    <row r="3587" spans="1:28" x14ac:dyDescent="0.25">
      <c r="A3587" t="s">
        <v>3591</v>
      </c>
      <c r="B3587">
        <v>0.99999676499088797</v>
      </c>
      <c r="C3587">
        <v>0.94756671007526505</v>
      </c>
      <c r="D3587">
        <v>1.03924198261322</v>
      </c>
      <c r="E3587">
        <v>1.0579970097418201</v>
      </c>
      <c r="F3587">
        <v>0.407233850913646</v>
      </c>
      <c r="G3587">
        <v>0.20755860533119</v>
      </c>
      <c r="H3587">
        <v>8.5890296402570093E-2</v>
      </c>
      <c r="I3587">
        <v>8.8957951222427001E-2</v>
      </c>
      <c r="J3587">
        <v>8.7306454328667099E-2</v>
      </c>
      <c r="K3587">
        <v>8.9507670497302294E-2</v>
      </c>
      <c r="L3587">
        <v>5985.5540306811599</v>
      </c>
      <c r="M3587">
        <v>113.204899822085</v>
      </c>
      <c r="N3587">
        <v>52.992017563665698</v>
      </c>
      <c r="O3587">
        <v>52.857145122485697</v>
      </c>
      <c r="P3587">
        <v>-0.47560558323403701</v>
      </c>
      <c r="Q3587">
        <v>0.111729329756093</v>
      </c>
      <c r="R3587">
        <v>0.98953700254796095</v>
      </c>
      <c r="S3587" t="s">
        <v>10590</v>
      </c>
      <c r="T3587" t="s">
        <v>14004</v>
      </c>
      <c r="U3587" t="s">
        <v>14004</v>
      </c>
      <c r="V3587" t="s">
        <v>14004</v>
      </c>
      <c r="W3587" t="s">
        <v>17546</v>
      </c>
      <c r="X3587">
        <v>19</v>
      </c>
      <c r="Y3587" t="s">
        <v>24386</v>
      </c>
      <c r="Z3587" t="s">
        <v>31297</v>
      </c>
      <c r="AA3587">
        <v>0.49330726748571391</v>
      </c>
      <c r="AB3587" t="str">
        <f>HYPERLINK("Melting_Curves/meltCurve_Q14165_MLEC.pdf", "Melting_Curves/meltCurve_Q14165_MLEC.pdf")</f>
        <v>Melting_Curves/meltCurve_Q14165_MLEC.pdf</v>
      </c>
    </row>
    <row r="3588" spans="1:28" x14ac:dyDescent="0.25">
      <c r="A3588" t="s">
        <v>3592</v>
      </c>
      <c r="B3588">
        <v>0.99999676499088797</v>
      </c>
      <c r="C3588">
        <v>0.82166787216867199</v>
      </c>
      <c r="D3588">
        <v>0.37012182623675199</v>
      </c>
      <c r="E3588">
        <v>0.165017496441415</v>
      </c>
      <c r="F3588">
        <v>0.131684777462094</v>
      </c>
      <c r="G3588">
        <v>9.1768060004008001E-2</v>
      </c>
      <c r="H3588">
        <v>4.8277703647997897E-2</v>
      </c>
      <c r="I3588">
        <v>5.2886802681553498E-2</v>
      </c>
      <c r="J3588">
        <v>4.2148724651083297E-2</v>
      </c>
      <c r="K3588">
        <v>3.7026704347731802E-2</v>
      </c>
      <c r="L3588">
        <v>1261.85326292529</v>
      </c>
      <c r="M3588">
        <v>28.049544695500298</v>
      </c>
      <c r="N3588">
        <v>45.220964772691403</v>
      </c>
      <c r="O3588">
        <v>44.759782042247998</v>
      </c>
      <c r="P3588">
        <v>-0.146069936430304</v>
      </c>
      <c r="Q3588">
        <v>6.7649128657882293E-2</v>
      </c>
      <c r="R3588">
        <v>0.99284216321935403</v>
      </c>
      <c r="S3588" t="s">
        <v>10591</v>
      </c>
      <c r="T3588" t="s">
        <v>14004</v>
      </c>
      <c r="U3588" t="s">
        <v>14004</v>
      </c>
      <c r="V3588" t="s">
        <v>14004</v>
      </c>
      <c r="W3588" t="s">
        <v>17547</v>
      </c>
      <c r="X3588">
        <v>21</v>
      </c>
      <c r="Y3588" t="s">
        <v>24387</v>
      </c>
      <c r="Z3588" t="s">
        <v>31298</v>
      </c>
      <c r="AA3588">
        <v>0.229678530856538</v>
      </c>
      <c r="AB3588" t="str">
        <f>HYPERLINK("Melting_Curves/meltCurve_Q14166_TTLL12.pdf", "Melting_Curves/meltCurve_Q14166_TTLL12.pdf")</f>
        <v>Melting_Curves/meltCurve_Q14166_TTLL12.pdf</v>
      </c>
    </row>
    <row r="3589" spans="1:28" x14ac:dyDescent="0.25">
      <c r="A3589" t="s">
        <v>3593</v>
      </c>
      <c r="B3589">
        <v>0.99999676499088797</v>
      </c>
      <c r="C3589">
        <v>0.92754904643613001</v>
      </c>
      <c r="D3589">
        <v>0.70630963921424805</v>
      </c>
      <c r="E3589">
        <v>0.37428119125596998</v>
      </c>
      <c r="F3589">
        <v>0.23459635318377101</v>
      </c>
      <c r="G3589">
        <v>0.15009224396540299</v>
      </c>
      <c r="H3589">
        <v>7.1720947311165906E-2</v>
      </c>
      <c r="I3589">
        <v>6.2050447893777297E-2</v>
      </c>
      <c r="J3589">
        <v>6.0040257943504802E-2</v>
      </c>
      <c r="K3589">
        <v>5.3472467177676203E-2</v>
      </c>
      <c r="L3589">
        <v>862.35672080050301</v>
      </c>
      <c r="M3589">
        <v>17.934829126719801</v>
      </c>
      <c r="N3589">
        <v>48.436319493529297</v>
      </c>
      <c r="O3589">
        <v>47.496963053572202</v>
      </c>
      <c r="P3589">
        <v>-8.8612762093870506E-2</v>
      </c>
      <c r="Q3589">
        <v>6.1351204778493297E-2</v>
      </c>
      <c r="R3589">
        <v>0.996383259041147</v>
      </c>
      <c r="S3589" t="s">
        <v>10592</v>
      </c>
      <c r="T3589" t="s">
        <v>14004</v>
      </c>
      <c r="U3589" t="s">
        <v>14004</v>
      </c>
      <c r="V3589" t="s">
        <v>14004</v>
      </c>
      <c r="W3589" t="s">
        <v>17548</v>
      </c>
      <c r="X3589">
        <v>9</v>
      </c>
      <c r="Y3589" t="s">
        <v>24388</v>
      </c>
      <c r="Z3589" t="s">
        <v>31299</v>
      </c>
      <c r="AA3589">
        <v>0.33098696136193861</v>
      </c>
      <c r="AB3589" t="str">
        <f>HYPERLINK("Melting_Curves/meltCurve_Q14181_POLA2.pdf", "Melting_Curves/meltCurve_Q14181_POLA2.pdf")</f>
        <v>Melting_Curves/meltCurve_Q14181_POLA2.pdf</v>
      </c>
    </row>
    <row r="3590" spans="1:28" x14ac:dyDescent="0.25">
      <c r="A3590" t="s">
        <v>3594</v>
      </c>
      <c r="B3590">
        <v>0.99999676499088797</v>
      </c>
      <c r="C3590">
        <v>0.79867092494319403</v>
      </c>
      <c r="D3590">
        <v>0.51412428062406001</v>
      </c>
      <c r="E3590">
        <v>0.26653570294169698</v>
      </c>
      <c r="F3590">
        <v>0.119092123160808</v>
      </c>
      <c r="G3590">
        <v>9.7384267761363996E-2</v>
      </c>
      <c r="H3590">
        <v>3.7138376261280401E-2</v>
      </c>
      <c r="I3590">
        <v>2.8501879128212001E-2</v>
      </c>
      <c r="J3590">
        <v>3.1434356303080398E-2</v>
      </c>
      <c r="K3590">
        <v>3.14815920681802E-2</v>
      </c>
      <c r="L3590">
        <v>836.63788447351999</v>
      </c>
      <c r="M3590">
        <v>18.1141168397148</v>
      </c>
      <c r="N3590">
        <v>46.373743772405298</v>
      </c>
      <c r="O3590">
        <v>45.635194582806697</v>
      </c>
      <c r="P3590">
        <v>-9.5748630841485299E-2</v>
      </c>
      <c r="Q3590">
        <v>3.5161991260513899E-2</v>
      </c>
      <c r="R3590">
        <v>0.99552886321785194</v>
      </c>
      <c r="S3590" t="s">
        <v>10593</v>
      </c>
      <c r="T3590" t="s">
        <v>14004</v>
      </c>
      <c r="U3590" t="s">
        <v>14004</v>
      </c>
      <c r="V3590" t="s">
        <v>14004</v>
      </c>
      <c r="W3590" t="s">
        <v>17549</v>
      </c>
      <c r="X3590">
        <v>3</v>
      </c>
      <c r="Y3590" t="s">
        <v>24389</v>
      </c>
      <c r="Z3590" t="s">
        <v>31300</v>
      </c>
      <c r="AA3590">
        <v>0.25256652967174442</v>
      </c>
      <c r="AB3590" t="str">
        <f>HYPERLINK("Melting_Curves/meltCurve_Q14183_DOC2A.pdf", "Melting_Curves/meltCurve_Q14183_DOC2A.pdf")</f>
        <v>Melting_Curves/meltCurve_Q14183_DOC2A.pdf</v>
      </c>
    </row>
    <row r="3591" spans="1:28" x14ac:dyDescent="0.25">
      <c r="A3591" t="s">
        <v>3595</v>
      </c>
      <c r="B3591">
        <v>0.99999676499088797</v>
      </c>
      <c r="C3591">
        <v>0.85869507249641197</v>
      </c>
      <c r="D3591">
        <v>0.69451509413062196</v>
      </c>
      <c r="E3591">
        <v>0.52790298949889403</v>
      </c>
      <c r="F3591">
        <v>0.39233757853989099</v>
      </c>
      <c r="G3591">
        <v>0.26679472772244001</v>
      </c>
      <c r="H3591">
        <v>0.143223814292264</v>
      </c>
      <c r="I3591">
        <v>0.144729595791975</v>
      </c>
      <c r="J3591">
        <v>0.137966972736285</v>
      </c>
      <c r="K3591">
        <v>0.119669405961288</v>
      </c>
      <c r="L3591">
        <v>570.72776139535995</v>
      </c>
      <c r="M3591">
        <v>11.556894322980799</v>
      </c>
      <c r="N3591">
        <v>50.211067074768103</v>
      </c>
      <c r="O3591">
        <v>47.9750148374155</v>
      </c>
      <c r="P3591">
        <v>-5.5020283425551202E-2</v>
      </c>
      <c r="Q3591">
        <v>8.6653242980899298E-2</v>
      </c>
      <c r="R3591">
        <v>0.992910716516618</v>
      </c>
      <c r="S3591" t="s">
        <v>10594</v>
      </c>
      <c r="T3591" t="s">
        <v>14004</v>
      </c>
      <c r="U3591" t="s">
        <v>14004</v>
      </c>
      <c r="V3591" t="s">
        <v>14004</v>
      </c>
      <c r="W3591" t="s">
        <v>17550</v>
      </c>
      <c r="X3591">
        <v>3</v>
      </c>
      <c r="Y3591" t="s">
        <v>24390</v>
      </c>
      <c r="Z3591" t="s">
        <v>31301</v>
      </c>
      <c r="AA3591">
        <v>0.40719390177879128</v>
      </c>
      <c r="AB3591" t="str">
        <f>HYPERLINK("Melting_Curves/meltCurve_Q14188_TFDP2.pdf", "Melting_Curves/meltCurve_Q14188_TFDP2.pdf")</f>
        <v>Melting_Curves/meltCurve_Q14188_TFDP2.pdf</v>
      </c>
    </row>
    <row r="3592" spans="1:28" x14ac:dyDescent="0.25">
      <c r="A3592" t="s">
        <v>3596</v>
      </c>
      <c r="B3592">
        <v>0.99999676499088797</v>
      </c>
      <c r="C3592">
        <v>1.10941548212297</v>
      </c>
      <c r="D3592">
        <v>1.12802902982355</v>
      </c>
      <c r="E3592">
        <v>1.2036911497259799</v>
      </c>
      <c r="F3592">
        <v>0.30303256160292602</v>
      </c>
      <c r="G3592">
        <v>0.23529039292911699</v>
      </c>
      <c r="H3592">
        <v>0.10875171412171</v>
      </c>
      <c r="I3592">
        <v>0.10632684091305999</v>
      </c>
      <c r="J3592">
        <v>9.7383606633915196E-2</v>
      </c>
      <c r="K3592">
        <v>8.2381129002575298E-2</v>
      </c>
      <c r="L3592">
        <v>13227.0864622352</v>
      </c>
      <c r="M3592">
        <v>250</v>
      </c>
      <c r="N3592">
        <v>52.969894382331397</v>
      </c>
      <c r="O3592">
        <v>52.904969768865698</v>
      </c>
      <c r="P3592">
        <v>-1.0324803238203599</v>
      </c>
      <c r="Q3592">
        <v>0.126026715759918</v>
      </c>
      <c r="R3592">
        <v>0.96213845713716695</v>
      </c>
      <c r="S3592" t="s">
        <v>10595</v>
      </c>
      <c r="T3592" t="s">
        <v>14004</v>
      </c>
      <c r="U3592" t="s">
        <v>14004</v>
      </c>
      <c r="V3592" t="s">
        <v>14004</v>
      </c>
      <c r="W3592" t="s">
        <v>17551</v>
      </c>
      <c r="X3592">
        <v>134</v>
      </c>
      <c r="Y3592" t="s">
        <v>24391</v>
      </c>
      <c r="Z3592" t="s">
        <v>31302</v>
      </c>
      <c r="AA3592">
        <v>0.50215951427422423</v>
      </c>
      <c r="AB3592" t="str">
        <f>HYPERLINK("Melting_Curves/meltCurve_Q14204_DYNC1H1.pdf", "Melting_Curves/meltCurve_Q14204_DYNC1H1.pdf")</f>
        <v>Melting_Curves/meltCurve_Q14204_DYNC1H1.pdf</v>
      </c>
    </row>
    <row r="3593" spans="1:28" x14ac:dyDescent="0.25">
      <c r="A3593" t="s">
        <v>3597</v>
      </c>
      <c r="B3593">
        <v>0.99999676499088797</v>
      </c>
      <c r="C3593">
        <v>1.01546329220444</v>
      </c>
      <c r="D3593">
        <v>1.05540309731043</v>
      </c>
      <c r="E3593">
        <v>1.1875179152983999</v>
      </c>
      <c r="F3593">
        <v>1.0431992854163701</v>
      </c>
      <c r="G3593">
        <v>0.68747720357089104</v>
      </c>
      <c r="H3593">
        <v>0.122820272823184</v>
      </c>
      <c r="I3593">
        <v>8.9343376127895002E-2</v>
      </c>
      <c r="J3593">
        <v>7.8413135294489594E-2</v>
      </c>
      <c r="K3593">
        <v>6.3101551647492399E-2</v>
      </c>
      <c r="L3593">
        <v>3508.6320919110599</v>
      </c>
      <c r="M3593">
        <v>61.089614674081098</v>
      </c>
      <c r="N3593">
        <v>57.598762169498301</v>
      </c>
      <c r="O3593">
        <v>57.372733859866102</v>
      </c>
      <c r="P3593">
        <v>-0.244880278545135</v>
      </c>
      <c r="Q3593">
        <v>8.0076342331394407E-2</v>
      </c>
      <c r="R3593">
        <v>0.98046459693742105</v>
      </c>
      <c r="S3593" t="s">
        <v>10596</v>
      </c>
      <c r="T3593" t="s">
        <v>14004</v>
      </c>
      <c r="U3593" t="s">
        <v>14004</v>
      </c>
      <c r="V3593" t="s">
        <v>14004</v>
      </c>
      <c r="W3593" t="s">
        <v>17552</v>
      </c>
      <c r="X3593">
        <v>15</v>
      </c>
      <c r="Y3593" t="s">
        <v>24392</v>
      </c>
      <c r="Z3593" t="s">
        <v>31303</v>
      </c>
      <c r="AA3593">
        <v>0.61623781980419934</v>
      </c>
      <c r="AB3593" t="str">
        <f>HYPERLINK("Melting_Curves/meltCurve_Q14232_EIF2B1.pdf", "Melting_Curves/meltCurve_Q14232_EIF2B1.pdf")</f>
        <v>Melting_Curves/meltCurve_Q14232_EIF2B1.pdf</v>
      </c>
    </row>
    <row r="3594" spans="1:28" x14ac:dyDescent="0.25">
      <c r="A3594" t="s">
        <v>3598</v>
      </c>
      <c r="B3594">
        <v>0.99999676499088797</v>
      </c>
      <c r="C3594">
        <v>0.98152533984914403</v>
      </c>
      <c r="D3594">
        <v>0.988301180095153</v>
      </c>
      <c r="E3594">
        <v>0.95152935972300801</v>
      </c>
      <c r="F3594">
        <v>0.84596431305105901</v>
      </c>
      <c r="G3594">
        <v>0.56017696691019903</v>
      </c>
      <c r="H3594">
        <v>0.197974246192609</v>
      </c>
      <c r="I3594">
        <v>0.14748153392441499</v>
      </c>
      <c r="J3594">
        <v>0.122063781447798</v>
      </c>
      <c r="K3594">
        <v>0.11621081009807301</v>
      </c>
      <c r="L3594">
        <v>1476.2191875435999</v>
      </c>
      <c r="M3594">
        <v>26.058089891333999</v>
      </c>
      <c r="N3594">
        <v>57.1457632913068</v>
      </c>
      <c r="O3594">
        <v>56.3206088888601</v>
      </c>
      <c r="P3594">
        <v>-0.103990837773276</v>
      </c>
      <c r="Q3594">
        <v>0.10096856300286799</v>
      </c>
      <c r="R3594">
        <v>0.99783447087951005</v>
      </c>
      <c r="S3594" t="s">
        <v>10597</v>
      </c>
      <c r="T3594" t="s">
        <v>14004</v>
      </c>
      <c r="U3594" t="s">
        <v>14004</v>
      </c>
      <c r="V3594" t="s">
        <v>14004</v>
      </c>
      <c r="W3594" t="s">
        <v>17553</v>
      </c>
      <c r="X3594">
        <v>31</v>
      </c>
      <c r="Y3594" t="s">
        <v>24393</v>
      </c>
      <c r="Z3594" t="s">
        <v>31304</v>
      </c>
      <c r="AA3594">
        <v>0.60759955309231262</v>
      </c>
      <c r="AB3594" t="str">
        <f>HYPERLINK("Melting_Curves/meltCurve_Q14240_EIF4A2.pdf", "Melting_Curves/meltCurve_Q14240_EIF4A2.pdf")</f>
        <v>Melting_Curves/meltCurve_Q14240_EIF4A2.pdf</v>
      </c>
    </row>
    <row r="3595" spans="1:28" x14ac:dyDescent="0.25">
      <c r="A3595" t="s">
        <v>3599</v>
      </c>
      <c r="B3595">
        <v>0.99999676499088797</v>
      </c>
      <c r="C3595">
        <v>0.90389132456866905</v>
      </c>
      <c r="D3595">
        <v>0.76902790462236603</v>
      </c>
      <c r="E3595">
        <v>0.32995551872378598</v>
      </c>
      <c r="F3595">
        <v>0.18773953033972501</v>
      </c>
      <c r="G3595">
        <v>0.133298697655864</v>
      </c>
      <c r="H3595">
        <v>7.4198928454523097E-2</v>
      </c>
      <c r="I3595">
        <v>8.2041396431522806E-2</v>
      </c>
      <c r="J3595">
        <v>7.6072271353235493E-2</v>
      </c>
      <c r="K3595">
        <v>6.8649236477258097E-2</v>
      </c>
      <c r="L3595">
        <v>1095.1921922746401</v>
      </c>
      <c r="M3595">
        <v>22.8937914165842</v>
      </c>
      <c r="N3595">
        <v>48.208576174376802</v>
      </c>
      <c r="O3595">
        <v>47.477445388816299</v>
      </c>
      <c r="P3595">
        <v>-0.110825508529223</v>
      </c>
      <c r="Q3595">
        <v>8.0691945371146295E-2</v>
      </c>
      <c r="R3595">
        <v>0.99595130836909396</v>
      </c>
      <c r="S3595" t="s">
        <v>10598</v>
      </c>
      <c r="T3595" t="s">
        <v>14004</v>
      </c>
      <c r="U3595" t="s">
        <v>14004</v>
      </c>
      <c r="V3595" t="s">
        <v>14004</v>
      </c>
      <c r="W3595" t="s">
        <v>17554</v>
      </c>
      <c r="X3595">
        <v>20</v>
      </c>
      <c r="Y3595" t="s">
        <v>24394</v>
      </c>
      <c r="Z3595" t="s">
        <v>31305</v>
      </c>
      <c r="AA3595">
        <v>0.33069053875503129</v>
      </c>
      <c r="AB3595" t="str">
        <f>HYPERLINK("Melting_Curves/meltCurve_Q14241_TCEB3.pdf", "Melting_Curves/meltCurve_Q14241_TCEB3.pdf")</f>
        <v>Melting_Curves/meltCurve_Q14241_TCEB3.pdf</v>
      </c>
    </row>
    <row r="3596" spans="1:28" x14ac:dyDescent="0.25">
      <c r="A3596" t="s">
        <v>3600</v>
      </c>
      <c r="B3596">
        <v>0.99999676499088797</v>
      </c>
      <c r="C3596">
        <v>0.908054944834776</v>
      </c>
      <c r="D3596">
        <v>0.85483359414929605</v>
      </c>
      <c r="E3596">
        <v>0.73232753993710498</v>
      </c>
      <c r="F3596">
        <v>0.63010138755183998</v>
      </c>
      <c r="G3596">
        <v>0.54502551858718495</v>
      </c>
      <c r="H3596">
        <v>0.39700858040975701</v>
      </c>
      <c r="I3596">
        <v>0.50625173200051299</v>
      </c>
      <c r="J3596">
        <v>0.49595377799311302</v>
      </c>
      <c r="K3596">
        <v>0.60839150505512396</v>
      </c>
      <c r="L3596">
        <v>753.50632290888495</v>
      </c>
      <c r="M3596">
        <v>15.4547621896079</v>
      </c>
      <c r="O3596">
        <v>47.961167649544102</v>
      </c>
      <c r="P3596">
        <v>-4.0527558766387202E-2</v>
      </c>
      <c r="Q3596">
        <v>0.49696412115959299</v>
      </c>
      <c r="R3596">
        <v>0.91838733515543103</v>
      </c>
      <c r="S3596" t="s">
        <v>10599</v>
      </c>
      <c r="T3596" t="s">
        <v>14004</v>
      </c>
      <c r="U3596" t="s">
        <v>14004</v>
      </c>
      <c r="V3596" t="s">
        <v>14004</v>
      </c>
      <c r="W3596" t="s">
        <v>17555</v>
      </c>
      <c r="X3596">
        <v>4</v>
      </c>
      <c r="Y3596" t="s">
        <v>24395</v>
      </c>
      <c r="Z3596" t="s">
        <v>31306</v>
      </c>
      <c r="AA3596">
        <v>0.65561110347735407</v>
      </c>
      <c r="AB3596" t="str">
        <f>HYPERLINK("Melting_Curves/meltCurve_Q14242_SELPLG.pdf", "Melting_Curves/meltCurve_Q14242_SELPLG.pdf")</f>
        <v>Melting_Curves/meltCurve_Q14242_SELPLG.pdf</v>
      </c>
    </row>
    <row r="3597" spans="1:28" x14ac:dyDescent="0.25">
      <c r="A3597" t="s">
        <v>3601</v>
      </c>
      <c r="B3597">
        <v>0.99999676499088797</v>
      </c>
      <c r="C3597">
        <v>0.941505063890132</v>
      </c>
      <c r="D3597">
        <v>0.98887224709069599</v>
      </c>
      <c r="E3597">
        <v>1.1225786868201</v>
      </c>
      <c r="F3597">
        <v>1.10580749230175</v>
      </c>
      <c r="G3597">
        <v>0.94898444493783496</v>
      </c>
      <c r="H3597">
        <v>0.66749859179013304</v>
      </c>
      <c r="I3597">
        <v>0.59449526499672301</v>
      </c>
      <c r="J3597">
        <v>0.51855687217378998</v>
      </c>
      <c r="K3597">
        <v>0.81527702412372904</v>
      </c>
      <c r="L3597">
        <v>4181.8227781101295</v>
      </c>
      <c r="M3597">
        <v>71.776925642229003</v>
      </c>
      <c r="O3597">
        <v>58.216190622234997</v>
      </c>
      <c r="P3597">
        <v>-0.109586429985223</v>
      </c>
      <c r="Q3597">
        <v>0.64447043863435005</v>
      </c>
      <c r="R3597">
        <v>0.80877929792387004</v>
      </c>
      <c r="S3597" t="s">
        <v>10600</v>
      </c>
      <c r="T3597" t="s">
        <v>14004</v>
      </c>
      <c r="U3597" t="s">
        <v>14004</v>
      </c>
      <c r="V3597" t="s">
        <v>14004</v>
      </c>
      <c r="W3597" t="s">
        <v>17556</v>
      </c>
      <c r="X3597">
        <v>17</v>
      </c>
      <c r="Y3597" t="s">
        <v>24396</v>
      </c>
      <c r="Z3597" t="s">
        <v>31307</v>
      </c>
      <c r="AA3597">
        <v>0.86132780086487282</v>
      </c>
      <c r="AB3597" t="str">
        <f>HYPERLINK("Melting_Curves/meltCurve_Q14247_CTTN.pdf", "Melting_Curves/meltCurve_Q14247_CTTN.pdf")</f>
        <v>Melting_Curves/meltCurve_Q14247_CTTN.pdf</v>
      </c>
    </row>
    <row r="3598" spans="1:28" x14ac:dyDescent="0.25">
      <c r="A3598" t="s">
        <v>3602</v>
      </c>
      <c r="B3598">
        <v>0.99999676499088797</v>
      </c>
      <c r="C3598">
        <v>1.0950799782460501</v>
      </c>
      <c r="D3598">
        <v>1.07008034665915</v>
      </c>
      <c r="E3598">
        <v>0.75005064141770295</v>
      </c>
      <c r="F3598">
        <v>0.29791487946310402</v>
      </c>
      <c r="G3598">
        <v>0.318332752663819</v>
      </c>
      <c r="H3598">
        <v>0.118970381208473</v>
      </c>
      <c r="I3598">
        <v>0.13005961974182101</v>
      </c>
      <c r="J3598">
        <v>0.106866016827451</v>
      </c>
      <c r="K3598">
        <v>4.7354606173418599E-2</v>
      </c>
      <c r="L3598">
        <v>1511.41542706627</v>
      </c>
      <c r="M3598">
        <v>29.499513319597401</v>
      </c>
      <c r="N3598">
        <v>51.736870437418197</v>
      </c>
      <c r="O3598">
        <v>51.001551047629903</v>
      </c>
      <c r="P3598">
        <v>-0.12661766141837699</v>
      </c>
      <c r="Q3598">
        <v>0.124371716316332</v>
      </c>
      <c r="R3598">
        <v>0.97060207809272403</v>
      </c>
      <c r="S3598" t="s">
        <v>10601</v>
      </c>
      <c r="T3598" t="s">
        <v>14004</v>
      </c>
      <c r="U3598" t="s">
        <v>14004</v>
      </c>
      <c r="V3598" t="s">
        <v>14004</v>
      </c>
      <c r="W3598" t="s">
        <v>17557</v>
      </c>
      <c r="X3598">
        <v>4</v>
      </c>
      <c r="Y3598" t="s">
        <v>24397</v>
      </c>
      <c r="Z3598" t="s">
        <v>31308</v>
      </c>
      <c r="AA3598">
        <v>0.45801781744052278</v>
      </c>
      <c r="AB3598" t="str">
        <f>HYPERLINK("Melting_Curves/meltCurve_Q14249_ENDOG.pdf", "Melting_Curves/meltCurve_Q14249_ENDOG.pdf")</f>
        <v>Melting_Curves/meltCurve_Q14249_ENDOG.pdf</v>
      </c>
    </row>
    <row r="3599" spans="1:28" x14ac:dyDescent="0.25">
      <c r="A3599" t="s">
        <v>3603</v>
      </c>
      <c r="B3599">
        <v>0.99999676499088797</v>
      </c>
      <c r="C3599">
        <v>0.78474809308071203</v>
      </c>
      <c r="D3599">
        <v>0.88313354504320796</v>
      </c>
      <c r="E3599">
        <v>0.85443521275443401</v>
      </c>
      <c r="F3599">
        <v>0.84532369824670095</v>
      </c>
      <c r="G3599">
        <v>0.513035311547275</v>
      </c>
      <c r="H3599">
        <v>0.157367791666298</v>
      </c>
      <c r="I3599">
        <v>0.13106502404373299</v>
      </c>
      <c r="J3599">
        <v>0.11269668483628199</v>
      </c>
      <c r="K3599">
        <v>0.103250195132732</v>
      </c>
      <c r="L3599">
        <v>1292.1393676901</v>
      </c>
      <c r="M3599">
        <v>22.958161999168901</v>
      </c>
      <c r="N3599">
        <v>56.682827943499703</v>
      </c>
      <c r="O3599">
        <v>55.860549473183298</v>
      </c>
      <c r="P3599">
        <v>-9.5057129899245502E-2</v>
      </c>
      <c r="Q3599">
        <v>7.4866114477934995E-2</v>
      </c>
      <c r="R3599">
        <v>0.94029440062021397</v>
      </c>
      <c r="S3599" t="s">
        <v>10602</v>
      </c>
      <c r="T3599" t="s">
        <v>14004</v>
      </c>
      <c r="U3599" t="s">
        <v>14004</v>
      </c>
      <c r="V3599" t="s">
        <v>14004</v>
      </c>
      <c r="W3599" t="s">
        <v>17558</v>
      </c>
      <c r="X3599">
        <v>11</v>
      </c>
      <c r="Y3599" t="s">
        <v>24398</v>
      </c>
      <c r="Z3599" t="s">
        <v>31309</v>
      </c>
      <c r="AA3599">
        <v>0.58665384515039321</v>
      </c>
      <c r="AB3599" t="str">
        <f>HYPERLINK("Melting_Curves/meltCurve_Q14254_FLOT2.pdf", "Melting_Curves/meltCurve_Q14254_FLOT2.pdf")</f>
        <v>Melting_Curves/meltCurve_Q14254_FLOT2.pdf</v>
      </c>
    </row>
    <row r="3600" spans="1:28" x14ac:dyDescent="0.25">
      <c r="A3600" t="s">
        <v>3604</v>
      </c>
      <c r="B3600">
        <v>0.99999676499088797</v>
      </c>
      <c r="C3600">
        <v>1.00653468350189</v>
      </c>
      <c r="D3600">
        <v>1.0341339279763899</v>
      </c>
      <c r="E3600">
        <v>1.09399664933969</v>
      </c>
      <c r="F3600">
        <v>0.80530348825921305</v>
      </c>
      <c r="G3600">
        <v>0.59487534689004196</v>
      </c>
      <c r="H3600">
        <v>0.36981336701923601</v>
      </c>
      <c r="I3600">
        <v>0.30378941933649201</v>
      </c>
      <c r="J3600">
        <v>0.31282750358827999</v>
      </c>
      <c r="K3600">
        <v>0.382561369240633</v>
      </c>
      <c r="L3600">
        <v>1624.14221656417</v>
      </c>
      <c r="M3600">
        <v>29.208203524023201</v>
      </c>
      <c r="N3600">
        <v>57.711699526489902</v>
      </c>
      <c r="O3600">
        <v>55.346992270878999</v>
      </c>
      <c r="P3600">
        <v>-8.86874559711818E-2</v>
      </c>
      <c r="Q3600">
        <v>0.327785008506845</v>
      </c>
      <c r="R3600">
        <v>0.97712570352739703</v>
      </c>
      <c r="S3600" t="s">
        <v>10603</v>
      </c>
      <c r="T3600" t="s">
        <v>14004</v>
      </c>
      <c r="U3600" t="s">
        <v>14004</v>
      </c>
      <c r="V3600" t="s">
        <v>14004</v>
      </c>
      <c r="W3600" t="s">
        <v>17559</v>
      </c>
      <c r="X3600">
        <v>7</v>
      </c>
      <c r="Y3600" t="s">
        <v>24399</v>
      </c>
      <c r="Z3600" t="s">
        <v>31310</v>
      </c>
      <c r="AA3600">
        <v>0.682167192665737</v>
      </c>
      <c r="AB3600" t="str">
        <f>HYPERLINK("Melting_Curves/meltCurve_Q14257_RCN2.pdf", "Melting_Curves/meltCurve_Q14257_RCN2.pdf")</f>
        <v>Melting_Curves/meltCurve_Q14257_RCN2.pdf</v>
      </c>
    </row>
    <row r="3601" spans="1:28" x14ac:dyDescent="0.25">
      <c r="A3601" t="s">
        <v>3605</v>
      </c>
      <c r="B3601">
        <v>0.99999676499088797</v>
      </c>
      <c r="C3601">
        <v>1.0262336192463499</v>
      </c>
      <c r="D3601">
        <v>0.88260466912188795</v>
      </c>
      <c r="E3601">
        <v>0.34642625594639198</v>
      </c>
      <c r="F3601">
        <v>0.22909335207303599</v>
      </c>
      <c r="G3601">
        <v>0.13018543020436499</v>
      </c>
      <c r="H3601">
        <v>6.8563207746189694E-2</v>
      </c>
      <c r="I3601">
        <v>7.1603199075559495E-2</v>
      </c>
      <c r="J3601">
        <v>7.0016624214321893E-2</v>
      </c>
      <c r="K3601">
        <v>5.36557535819671E-2</v>
      </c>
      <c r="L3601">
        <v>1531.9745725215801</v>
      </c>
      <c r="M3601">
        <v>31.609726560609101</v>
      </c>
      <c r="N3601">
        <v>48.766968088309</v>
      </c>
      <c r="O3601">
        <v>48.272553684377101</v>
      </c>
      <c r="P3601">
        <v>-0.14916740241537099</v>
      </c>
      <c r="Q3601">
        <v>8.8805362106440994E-2</v>
      </c>
      <c r="R3601">
        <v>0.99010580240263502</v>
      </c>
      <c r="S3601" t="s">
        <v>10604</v>
      </c>
      <c r="T3601" t="s">
        <v>14004</v>
      </c>
      <c r="U3601" t="s">
        <v>14004</v>
      </c>
      <c r="V3601" t="s">
        <v>14004</v>
      </c>
      <c r="W3601" t="s">
        <v>17560</v>
      </c>
      <c r="X3601">
        <v>14</v>
      </c>
      <c r="Y3601" t="s">
        <v>24400</v>
      </c>
      <c r="Z3601" t="s">
        <v>31311</v>
      </c>
      <c r="AA3601">
        <v>0.35087009690126553</v>
      </c>
      <c r="AB3601" t="str">
        <f>HYPERLINK("Melting_Curves/meltCurve_Q14258_TRIM25.pdf", "Melting_Curves/meltCurve_Q14258_TRIM25.pdf")</f>
        <v>Melting_Curves/meltCurve_Q14258_TRIM25.pdf</v>
      </c>
    </row>
    <row r="3602" spans="1:28" x14ac:dyDescent="0.25">
      <c r="A3602" t="s">
        <v>3606</v>
      </c>
      <c r="B3602">
        <v>0.99999676499088797</v>
      </c>
      <c r="C3602">
        <v>0.97782819191260895</v>
      </c>
      <c r="D3602">
        <v>0.63702022255250301</v>
      </c>
      <c r="E3602">
        <v>0.21704425936501101</v>
      </c>
      <c r="F3602">
        <v>0.197490308851618</v>
      </c>
      <c r="G3602">
        <v>0.112791188306296</v>
      </c>
      <c r="H3602">
        <v>6.6858237507590595E-2</v>
      </c>
      <c r="I3602">
        <v>7.4689529113784403E-2</v>
      </c>
      <c r="J3602">
        <v>7.7801896318024394E-2</v>
      </c>
      <c r="K3602">
        <v>4.9194214823342602E-2</v>
      </c>
      <c r="L3602">
        <v>1369.46022416972</v>
      </c>
      <c r="M3602">
        <v>29.298163004401498</v>
      </c>
      <c r="N3602">
        <v>47.054884453745899</v>
      </c>
      <c r="O3602">
        <v>46.526048657915702</v>
      </c>
      <c r="P3602">
        <v>-0.14350424599091399</v>
      </c>
      <c r="Q3602">
        <v>8.8456466240591405E-2</v>
      </c>
      <c r="R3602">
        <v>0.99110140919275502</v>
      </c>
      <c r="S3602" t="s">
        <v>10605</v>
      </c>
      <c r="T3602" t="s">
        <v>14004</v>
      </c>
      <c r="U3602" t="s">
        <v>14004</v>
      </c>
      <c r="V3602" t="s">
        <v>14004</v>
      </c>
      <c r="W3602" t="s">
        <v>17561</v>
      </c>
      <c r="X3602">
        <v>16</v>
      </c>
      <c r="Y3602" t="s">
        <v>24401</v>
      </c>
      <c r="Z3602" t="s">
        <v>31312</v>
      </c>
      <c r="AA3602">
        <v>0.29908333811236909</v>
      </c>
      <c r="AB3602" t="str">
        <f>HYPERLINK("Melting_Curves/meltCurve_Q14289_2_PTK2B.pdf", "Melting_Curves/meltCurve_Q14289_2_PTK2B.pdf")</f>
        <v>Melting_Curves/meltCurve_Q14289_2_PTK2B.pdf</v>
      </c>
    </row>
    <row r="3603" spans="1:28" x14ac:dyDescent="0.25">
      <c r="A3603" t="s">
        <v>3607</v>
      </c>
      <c r="B3603">
        <v>0.99999676499088797</v>
      </c>
      <c r="C3603">
        <v>0</v>
      </c>
      <c r="D3603">
        <v>0</v>
      </c>
      <c r="E3603">
        <v>2.3517894997744802</v>
      </c>
      <c r="F3603">
        <v>0</v>
      </c>
      <c r="G3603">
        <v>0</v>
      </c>
      <c r="H3603">
        <v>0</v>
      </c>
      <c r="I3603">
        <v>0</v>
      </c>
      <c r="J3603">
        <v>0.925689156714952</v>
      </c>
      <c r="K3603">
        <v>0</v>
      </c>
      <c r="L3603">
        <v>208.351990329784</v>
      </c>
      <c r="M3603">
        <v>4.2077982321093801</v>
      </c>
      <c r="N3603">
        <v>49.515680040324398</v>
      </c>
      <c r="O3603">
        <v>41.2875616467255</v>
      </c>
      <c r="P3603">
        <v>-2.5756612596408102E-2</v>
      </c>
      <c r="Q3603">
        <v>0</v>
      </c>
      <c r="R3603">
        <v>5.0269857860470002E-2</v>
      </c>
      <c r="S3603" t="s">
        <v>10606</v>
      </c>
      <c r="T3603" t="s">
        <v>14004</v>
      </c>
      <c r="U3603" t="s">
        <v>14004</v>
      </c>
      <c r="V3603" t="s">
        <v>14004</v>
      </c>
      <c r="W3603" t="s">
        <v>17562</v>
      </c>
      <c r="X3603">
        <v>8</v>
      </c>
      <c r="Y3603" t="s">
        <v>24402</v>
      </c>
      <c r="Z3603" t="s">
        <v>31313</v>
      </c>
      <c r="AA3603">
        <v>0.42565973110685218</v>
      </c>
      <c r="AB3603" t="str">
        <f>HYPERLINK("Melting_Curves/meltCurve_Q14315_2_FLNC.pdf", "Melting_Curves/meltCurve_Q14315_2_FLNC.pdf")</f>
        <v>Melting_Curves/meltCurve_Q14315_2_FLNC.pdf</v>
      </c>
    </row>
    <row r="3604" spans="1:28" x14ac:dyDescent="0.25">
      <c r="A3604" t="s">
        <v>3608</v>
      </c>
      <c r="B3604">
        <v>0.99999676499088797</v>
      </c>
      <c r="C3604">
        <v>0.81299274316749603</v>
      </c>
      <c r="D3604">
        <v>0.34889872561232799</v>
      </c>
      <c r="E3604">
        <v>0.186526029515</v>
      </c>
      <c r="F3604">
        <v>0.174614948715931</v>
      </c>
      <c r="G3604">
        <v>9.7437390059000206E-2</v>
      </c>
      <c r="H3604">
        <v>5.5966409340713001E-2</v>
      </c>
      <c r="I3604">
        <v>6.1073909308887397E-2</v>
      </c>
      <c r="J3604">
        <v>5.0515841855070097E-2</v>
      </c>
      <c r="K3604">
        <v>4.1931647695058201E-2</v>
      </c>
      <c r="L3604">
        <v>1266.0440028911601</v>
      </c>
      <c r="M3604">
        <v>28.247544324700101</v>
      </c>
      <c r="N3604">
        <v>45.106701517733299</v>
      </c>
      <c r="O3604">
        <v>44.5967910861904</v>
      </c>
      <c r="P3604">
        <v>-0.145322560611754</v>
      </c>
      <c r="Q3604">
        <v>8.2275449097554298E-2</v>
      </c>
      <c r="R3604">
        <v>0.98583786283531905</v>
      </c>
      <c r="S3604" t="s">
        <v>10607</v>
      </c>
      <c r="T3604" t="s">
        <v>14004</v>
      </c>
      <c r="U3604" t="s">
        <v>14004</v>
      </c>
      <c r="V3604" t="s">
        <v>14004</v>
      </c>
      <c r="W3604" t="s">
        <v>17563</v>
      </c>
      <c r="X3604">
        <v>15</v>
      </c>
      <c r="Y3604" t="s">
        <v>24403</v>
      </c>
      <c r="Z3604" t="s">
        <v>31314</v>
      </c>
      <c r="AA3604">
        <v>0.2366521295378449</v>
      </c>
      <c r="AB3604" t="str">
        <f>HYPERLINK("Melting_Curves/meltCurve_Q14318_2_FKBP8.pdf", "Melting_Curves/meltCurve_Q14318_2_FKBP8.pdf")</f>
        <v>Melting_Curves/meltCurve_Q14318_2_FKBP8.pdf</v>
      </c>
    </row>
    <row r="3605" spans="1:28" x14ac:dyDescent="0.25">
      <c r="A3605" t="s">
        <v>3609</v>
      </c>
      <c r="B3605">
        <v>0.99999676499088797</v>
      </c>
      <c r="C3605">
        <v>0.93491315514449302</v>
      </c>
      <c r="D3605">
        <v>0.83147084443209895</v>
      </c>
      <c r="E3605">
        <v>0.48123029038105702</v>
      </c>
      <c r="F3605">
        <v>0.257730124859327</v>
      </c>
      <c r="G3605">
        <v>0.17386663249527601</v>
      </c>
      <c r="H3605">
        <v>0.102245232385591</v>
      </c>
      <c r="I3605">
        <v>0.111656512814445</v>
      </c>
      <c r="J3605">
        <v>0.11609707287422701</v>
      </c>
      <c r="K3605">
        <v>0.13151686550949901</v>
      </c>
      <c r="L3605">
        <v>1027.73870061652</v>
      </c>
      <c r="M3605">
        <v>21.0077863081084</v>
      </c>
      <c r="N3605">
        <v>49.525976743856901</v>
      </c>
      <c r="O3605">
        <v>48.484984925938697</v>
      </c>
      <c r="P3605">
        <v>-9.6079444119084007E-2</v>
      </c>
      <c r="Q3605">
        <v>0.11303653257344699</v>
      </c>
      <c r="R3605">
        <v>0.998243388800235</v>
      </c>
      <c r="S3605" t="s">
        <v>10608</v>
      </c>
      <c r="T3605" t="s">
        <v>14004</v>
      </c>
      <c r="U3605" t="s">
        <v>14004</v>
      </c>
      <c r="V3605" t="s">
        <v>14004</v>
      </c>
      <c r="W3605" t="s">
        <v>17564</v>
      </c>
      <c r="X3605">
        <v>15</v>
      </c>
      <c r="Y3605" t="s">
        <v>24404</v>
      </c>
      <c r="Z3605" t="s">
        <v>31315</v>
      </c>
      <c r="AA3605">
        <v>0.38805770534072492</v>
      </c>
      <c r="AB3605" t="str">
        <f>HYPERLINK("Melting_Curves/meltCurve_Q14320_FAM50A.pdf", "Melting_Curves/meltCurve_Q14320_FAM50A.pdf")</f>
        <v>Melting_Curves/meltCurve_Q14320_FAM50A.pdf</v>
      </c>
    </row>
    <row r="3606" spans="1:28" x14ac:dyDescent="0.25">
      <c r="A3606" t="s">
        <v>3610</v>
      </c>
      <c r="B3606">
        <v>0.99999676499088797</v>
      </c>
      <c r="C3606">
        <v>0.98986165221810996</v>
      </c>
      <c r="D3606">
        <v>0.85054424397835104</v>
      </c>
      <c r="E3606">
        <v>0.58645057502722797</v>
      </c>
      <c r="F3606">
        <v>0.253319447791511</v>
      </c>
      <c r="G3606">
        <v>0.120976667325655</v>
      </c>
      <c r="H3606">
        <v>5.6079386379098602E-2</v>
      </c>
      <c r="I3606">
        <v>5.8600832599582597E-2</v>
      </c>
      <c r="J3606">
        <v>5.3357719479808399E-2</v>
      </c>
      <c r="K3606">
        <v>4.8068745019291301E-2</v>
      </c>
      <c r="L3606">
        <v>1048.50801213147</v>
      </c>
      <c r="M3606">
        <v>20.9275154520002</v>
      </c>
      <c r="N3606">
        <v>50.322262232537703</v>
      </c>
      <c r="O3606">
        <v>49.651140108468603</v>
      </c>
      <c r="P3606">
        <v>-0.10076160687343</v>
      </c>
      <c r="Q3606">
        <v>4.3786624192557501E-2</v>
      </c>
      <c r="R3606">
        <v>0.99918621842355904</v>
      </c>
      <c r="S3606" t="s">
        <v>10609</v>
      </c>
      <c r="T3606" t="s">
        <v>14004</v>
      </c>
      <c r="U3606" t="s">
        <v>14004</v>
      </c>
      <c r="V3606" t="s">
        <v>14004</v>
      </c>
      <c r="W3606" t="s">
        <v>17565</v>
      </c>
      <c r="X3606">
        <v>13</v>
      </c>
      <c r="Y3606" t="s">
        <v>24405</v>
      </c>
      <c r="Z3606" t="s">
        <v>31316</v>
      </c>
      <c r="AA3606">
        <v>0.37795185863867398</v>
      </c>
      <c r="AB3606" t="str">
        <f>HYPERLINK("Melting_Curves/meltCurve_Q14331_FRG1.pdf", "Melting_Curves/meltCurve_Q14331_FRG1.pdf")</f>
        <v>Melting_Curves/meltCurve_Q14331_FRG1.pdf</v>
      </c>
    </row>
    <row r="3607" spans="1:28" x14ac:dyDescent="0.25">
      <c r="A3607" t="s">
        <v>3611</v>
      </c>
      <c r="B3607">
        <v>0.99999676499088797</v>
      </c>
      <c r="C3607">
        <v>0.89953755606397201</v>
      </c>
      <c r="D3607">
        <v>0.95539383714651804</v>
      </c>
      <c r="E3607">
        <v>0.866613771224098</v>
      </c>
      <c r="F3607">
        <v>0.728811720854459</v>
      </c>
      <c r="G3607">
        <v>0.70962501908108</v>
      </c>
      <c r="H3607">
        <v>0.44843240421840402</v>
      </c>
      <c r="I3607">
        <v>0.293169471650219</v>
      </c>
      <c r="J3607">
        <v>0.253193001475844</v>
      </c>
      <c r="K3607">
        <v>0.18713999188154901</v>
      </c>
      <c r="L3607">
        <v>590.54482426947698</v>
      </c>
      <c r="M3607">
        <v>9.8998627941951405</v>
      </c>
      <c r="N3607">
        <v>59.651806974647997</v>
      </c>
      <c r="O3607">
        <v>57.370860884838699</v>
      </c>
      <c r="P3607">
        <v>-4.3161574332831798E-2</v>
      </c>
      <c r="Q3607">
        <v>0</v>
      </c>
      <c r="R3607">
        <v>0.97930280108815504</v>
      </c>
      <c r="S3607" t="s">
        <v>10610</v>
      </c>
      <c r="T3607" t="s">
        <v>14004</v>
      </c>
      <c r="U3607" t="s">
        <v>14004</v>
      </c>
      <c r="V3607" t="s">
        <v>14004</v>
      </c>
      <c r="W3607" t="s">
        <v>17566</v>
      </c>
      <c r="X3607">
        <v>2</v>
      </c>
      <c r="Y3607" t="s">
        <v>24406</v>
      </c>
      <c r="Z3607" t="s">
        <v>31317</v>
      </c>
      <c r="AA3607">
        <v>0.65332312102723722</v>
      </c>
      <c r="AB3607" t="str">
        <f>HYPERLINK("Melting_Curves/meltCurve_Q14332_FZD2.pdf", "Melting_Curves/meltCurve_Q14332_FZD2.pdf")</f>
        <v>Melting_Curves/meltCurve_Q14332_FZD2.pdf</v>
      </c>
    </row>
    <row r="3608" spans="1:28" x14ac:dyDescent="0.25">
      <c r="A3608" t="s">
        <v>3612</v>
      </c>
      <c r="B3608">
        <v>0.99999676499088797</v>
      </c>
      <c r="C3608">
        <v>0.94614377590096799</v>
      </c>
      <c r="D3608">
        <v>0.96237947951680403</v>
      </c>
      <c r="E3608">
        <v>0.992088301849678</v>
      </c>
      <c r="F3608">
        <v>0.66264733764764105</v>
      </c>
      <c r="G3608">
        <v>0.31850990577836902</v>
      </c>
      <c r="H3608">
        <v>0.109460149126672</v>
      </c>
      <c r="I3608">
        <v>0.10245620333932901</v>
      </c>
      <c r="J3608">
        <v>0.111006903111996</v>
      </c>
      <c r="K3608">
        <v>9.7163877596735795E-2</v>
      </c>
      <c r="L3608">
        <v>1591.0515822796001</v>
      </c>
      <c r="M3608">
        <v>29.273879582596098</v>
      </c>
      <c r="N3608">
        <v>54.744132862547801</v>
      </c>
      <c r="O3608">
        <v>54.098823870232103</v>
      </c>
      <c r="P3608">
        <v>-0.12244312001591701</v>
      </c>
      <c r="Q3608">
        <v>9.4895398591056807E-2</v>
      </c>
      <c r="R3608">
        <v>0.99508330258438904</v>
      </c>
      <c r="S3608" t="s">
        <v>10611</v>
      </c>
      <c r="T3608" t="s">
        <v>14004</v>
      </c>
      <c r="U3608" t="s">
        <v>14004</v>
      </c>
      <c r="V3608" t="s">
        <v>14004</v>
      </c>
      <c r="W3608" t="s">
        <v>17567</v>
      </c>
      <c r="X3608">
        <v>19</v>
      </c>
      <c r="Y3608" t="s">
        <v>24407</v>
      </c>
      <c r="Z3608" t="s">
        <v>31318</v>
      </c>
      <c r="AA3608">
        <v>0.53410797659553044</v>
      </c>
      <c r="AB3608" t="str">
        <f>HYPERLINK("Melting_Curves/meltCurve_Q14344_GNA13.pdf", "Melting_Curves/meltCurve_Q14344_GNA13.pdf")</f>
        <v>Melting_Curves/meltCurve_Q14344_GNA13.pdf</v>
      </c>
    </row>
    <row r="3609" spans="1:28" x14ac:dyDescent="0.25">
      <c r="A3609" t="s">
        <v>3613</v>
      </c>
      <c r="B3609">
        <v>0.99999676499088797</v>
      </c>
      <c r="C3609">
        <v>0.907521705513615</v>
      </c>
      <c r="D3609">
        <v>0.86589213935934495</v>
      </c>
      <c r="E3609">
        <v>0.64786356448320204</v>
      </c>
      <c r="F3609">
        <v>0.28914188116302297</v>
      </c>
      <c r="G3609">
        <v>0.16185819163859599</v>
      </c>
      <c r="H3609">
        <v>7.1065576787150003E-2</v>
      </c>
      <c r="I3609">
        <v>6.5887669613067495E-2</v>
      </c>
      <c r="J3609">
        <v>6.4903841443823607E-2</v>
      </c>
      <c r="K3609">
        <v>4.5564127764850103E-2</v>
      </c>
      <c r="L3609">
        <v>943.70718571877705</v>
      </c>
      <c r="M3609">
        <v>18.638036777383999</v>
      </c>
      <c r="N3609">
        <v>50.874753037505798</v>
      </c>
      <c r="O3609">
        <v>50.061310558744097</v>
      </c>
      <c r="P3609">
        <v>-8.9141475967452796E-2</v>
      </c>
      <c r="Q3609">
        <v>4.2313897010906501E-2</v>
      </c>
      <c r="R3609">
        <v>0.99560351831768801</v>
      </c>
      <c r="S3609" t="s">
        <v>10612</v>
      </c>
      <c r="T3609" t="s">
        <v>14004</v>
      </c>
      <c r="U3609" t="s">
        <v>14004</v>
      </c>
      <c r="V3609" t="s">
        <v>14004</v>
      </c>
      <c r="W3609" t="s">
        <v>17568</v>
      </c>
      <c r="X3609">
        <v>11</v>
      </c>
      <c r="Y3609" t="s">
        <v>24408</v>
      </c>
      <c r="Z3609" t="s">
        <v>31319</v>
      </c>
      <c r="AA3609">
        <v>0.39695680128220528</v>
      </c>
      <c r="AB3609" t="str">
        <f>HYPERLINK("Melting_Curves/meltCurve_Q14353_GAMT.pdf", "Melting_Curves/meltCurve_Q14353_GAMT.pdf")</f>
        <v>Melting_Curves/meltCurve_Q14353_GAMT.pdf</v>
      </c>
    </row>
    <row r="3610" spans="1:28" x14ac:dyDescent="0.25">
      <c r="A3610" t="s">
        <v>3614</v>
      </c>
      <c r="B3610">
        <v>0.99999676499088797</v>
      </c>
      <c r="C3610">
        <v>0.96728526690990502</v>
      </c>
      <c r="D3610">
        <v>0.96389241825136995</v>
      </c>
      <c r="E3610">
        <v>1.04692168643433</v>
      </c>
      <c r="F3610">
        <v>0.90762094983289299</v>
      </c>
      <c r="G3610">
        <v>0.295109730622998</v>
      </c>
      <c r="H3610">
        <v>0.113640553310762</v>
      </c>
      <c r="I3610">
        <v>9.5984954067041106E-2</v>
      </c>
      <c r="J3610">
        <v>7.7931111159036198E-2</v>
      </c>
      <c r="K3610">
        <v>7.33181822643795E-2</v>
      </c>
      <c r="L3610">
        <v>2856.70767063936</v>
      </c>
      <c r="M3610">
        <v>51.506596265031</v>
      </c>
      <c r="N3610">
        <v>55.670072542113601</v>
      </c>
      <c r="O3610">
        <v>55.379546014912698</v>
      </c>
      <c r="P3610">
        <v>-0.21224211882206101</v>
      </c>
      <c r="Q3610">
        <v>8.7195717863817607E-2</v>
      </c>
      <c r="R3610">
        <v>0.99705940760450296</v>
      </c>
      <c r="S3610" t="s">
        <v>10613</v>
      </c>
      <c r="T3610" t="s">
        <v>14004</v>
      </c>
      <c r="U3610" t="s">
        <v>14004</v>
      </c>
      <c r="V3610" t="s">
        <v>14004</v>
      </c>
      <c r="W3610" t="s">
        <v>17569</v>
      </c>
      <c r="X3610">
        <v>15</v>
      </c>
      <c r="Y3610" t="s">
        <v>24409</v>
      </c>
      <c r="Z3610" t="s">
        <v>31320</v>
      </c>
      <c r="AA3610">
        <v>0.5597864021316854</v>
      </c>
      <c r="AB3610" t="str">
        <f>HYPERLINK("Melting_Curves/meltCurve_Q14376_GALE.pdf", "Melting_Curves/meltCurve_Q14376_GALE.pdf")</f>
        <v>Melting_Curves/meltCurve_Q14376_GALE.pdf</v>
      </c>
    </row>
    <row r="3611" spans="1:28" x14ac:dyDescent="0.25">
      <c r="A3611" t="s">
        <v>3615</v>
      </c>
      <c r="B3611">
        <v>0.99999676499088797</v>
      </c>
      <c r="C3611">
        <v>0.97532996196680599</v>
      </c>
      <c r="D3611">
        <v>1.01136904536047</v>
      </c>
      <c r="E3611">
        <v>1.04676099643632</v>
      </c>
      <c r="F3611">
        <v>0.83097566138670798</v>
      </c>
      <c r="G3611">
        <v>0.475052936460229</v>
      </c>
      <c r="H3611">
        <v>0.25144933637512101</v>
      </c>
      <c r="I3611">
        <v>0.26044819832865401</v>
      </c>
      <c r="J3611">
        <v>0.25526134306153903</v>
      </c>
      <c r="K3611">
        <v>0.29747098734597099</v>
      </c>
      <c r="L3611">
        <v>2005.68894052523</v>
      </c>
      <c r="M3611">
        <v>36.3269077296438</v>
      </c>
      <c r="N3611">
        <v>56.357135030943397</v>
      </c>
      <c r="O3611">
        <v>55.045715096571399</v>
      </c>
      <c r="P3611">
        <v>-0.12193021072896899</v>
      </c>
      <c r="Q3611">
        <v>0.26096510066744699</v>
      </c>
      <c r="R3611">
        <v>0.99359391955323495</v>
      </c>
      <c r="S3611" t="s">
        <v>10614</v>
      </c>
      <c r="T3611" t="s">
        <v>14004</v>
      </c>
      <c r="U3611" t="s">
        <v>14004</v>
      </c>
      <c r="V3611" t="s">
        <v>14004</v>
      </c>
      <c r="W3611" t="s">
        <v>17570</v>
      </c>
      <c r="X3611">
        <v>27</v>
      </c>
      <c r="Y3611" t="s">
        <v>24410</v>
      </c>
      <c r="Z3611" t="s">
        <v>31321</v>
      </c>
      <c r="AA3611">
        <v>0.63910733133426245</v>
      </c>
      <c r="AB3611" t="str">
        <f>HYPERLINK("Melting_Curves/meltCurve_Q14444_CAPRIN1.pdf", "Melting_Curves/meltCurve_Q14444_CAPRIN1.pdf")</f>
        <v>Melting_Curves/meltCurve_Q14444_CAPRIN1.pdf</v>
      </c>
    </row>
    <row r="3612" spans="1:28" x14ac:dyDescent="0.25">
      <c r="A3612" t="s">
        <v>3616</v>
      </c>
      <c r="B3612">
        <v>0.99999676499088797</v>
      </c>
      <c r="C3612">
        <v>0.98754959157412203</v>
      </c>
      <c r="D3612">
        <v>1.0181508819115901</v>
      </c>
      <c r="E3612">
        <v>1.12999132960245</v>
      </c>
      <c r="F3612">
        <v>0.51901952824111797</v>
      </c>
      <c r="G3612">
        <v>0.25470138048359903</v>
      </c>
      <c r="H3612">
        <v>0.13449543152457399</v>
      </c>
      <c r="I3612">
        <v>0.12362579612527801</v>
      </c>
      <c r="J3612">
        <v>0.11593009956542499</v>
      </c>
      <c r="K3612">
        <v>8.0807839512913399E-2</v>
      </c>
      <c r="L3612">
        <v>4453.4083391761897</v>
      </c>
      <c r="M3612">
        <v>83.935632296734497</v>
      </c>
      <c r="N3612">
        <v>53.267403031752103</v>
      </c>
      <c r="O3612">
        <v>53.0273274151591</v>
      </c>
      <c r="P3612">
        <v>-0.33998089351064897</v>
      </c>
      <c r="Q3612">
        <v>0.140852308114815</v>
      </c>
      <c r="R3612">
        <v>0.98065132038306002</v>
      </c>
      <c r="S3612" t="s">
        <v>10615</v>
      </c>
      <c r="T3612" t="s">
        <v>14004</v>
      </c>
      <c r="U3612" t="s">
        <v>14004</v>
      </c>
      <c r="V3612" t="s">
        <v>14004</v>
      </c>
      <c r="W3612" t="s">
        <v>17571</v>
      </c>
      <c r="X3612">
        <v>9</v>
      </c>
      <c r="Y3612" t="s">
        <v>24411</v>
      </c>
      <c r="Z3612" t="s">
        <v>31322</v>
      </c>
      <c r="AA3612">
        <v>0.51550507338577078</v>
      </c>
      <c r="AB3612" t="str">
        <f>HYPERLINK("Melting_Curves/meltCurve_Q14457_BECN1.pdf", "Melting_Curves/meltCurve_Q14457_BECN1.pdf")</f>
        <v>Melting_Curves/meltCurve_Q14457_BECN1.pdf</v>
      </c>
    </row>
    <row r="3613" spans="1:28" x14ac:dyDescent="0.25">
      <c r="A3613" t="s">
        <v>3617</v>
      </c>
      <c r="B3613">
        <v>0.99999676499088797</v>
      </c>
      <c r="C3613">
        <v>0.86216327153192696</v>
      </c>
      <c r="D3613">
        <v>1.1680509643668699</v>
      </c>
      <c r="E3613">
        <v>1.81685162382096</v>
      </c>
      <c r="F3613">
        <v>1.18605478364324</v>
      </c>
      <c r="G3613">
        <v>2.4248005767584901</v>
      </c>
      <c r="H3613">
        <v>0.93726371086996096</v>
      </c>
      <c r="I3613">
        <v>1.1774540398183</v>
      </c>
      <c r="J3613">
        <v>2.8696549996176199</v>
      </c>
      <c r="K3613">
        <v>1.9133786665582899</v>
      </c>
      <c r="L3613">
        <v>11531.312839665899</v>
      </c>
      <c r="M3613">
        <v>250</v>
      </c>
      <c r="O3613">
        <v>46.122301164847897</v>
      </c>
      <c r="P3613">
        <v>0.67754644226876204</v>
      </c>
      <c r="Q3613">
        <v>1.5</v>
      </c>
      <c r="R3613">
        <v>0.17197300755192399</v>
      </c>
      <c r="S3613" t="s">
        <v>10616</v>
      </c>
      <c r="T3613" t="s">
        <v>14004</v>
      </c>
      <c r="U3613" t="s">
        <v>14004</v>
      </c>
      <c r="V3613" t="s">
        <v>14004</v>
      </c>
      <c r="W3613" t="s">
        <v>17572</v>
      </c>
      <c r="X3613">
        <v>2</v>
      </c>
      <c r="Y3613" t="s">
        <v>24412</v>
      </c>
      <c r="Z3613" t="s">
        <v>31323</v>
      </c>
      <c r="AA3613">
        <v>1.3978720028064731</v>
      </c>
      <c r="AB3613" t="str">
        <f>HYPERLINK("Melting_Curves/meltCurve_Q14469_HES1.pdf", "Melting_Curves/meltCurve_Q14469_HES1.pdf")</f>
        <v>Melting_Curves/meltCurve_Q14469_HES1.pdf</v>
      </c>
    </row>
    <row r="3614" spans="1:28" x14ac:dyDescent="0.25">
      <c r="A3614" t="s">
        <v>3618</v>
      </c>
      <c r="B3614">
        <v>0.99999676499088797</v>
      </c>
      <c r="C3614">
        <v>1.17497936413662</v>
      </c>
      <c r="D3614">
        <v>1.0216409163297999</v>
      </c>
      <c r="E3614">
        <v>0.59910309735428002</v>
      </c>
      <c r="F3614">
        <v>0.47990631803248801</v>
      </c>
      <c r="G3614">
        <v>0.32922965792404801</v>
      </c>
      <c r="H3614">
        <v>0.16674510199929701</v>
      </c>
      <c r="I3614">
        <v>0.26887316769459102</v>
      </c>
      <c r="J3614">
        <v>0.34523997859639199</v>
      </c>
      <c r="K3614">
        <v>0.32314531319844703</v>
      </c>
      <c r="L3614">
        <v>1477.6400736165001</v>
      </c>
      <c r="M3614">
        <v>29.659752054358499</v>
      </c>
      <c r="N3614">
        <v>51.348604909699603</v>
      </c>
      <c r="O3614">
        <v>49.594875880427601</v>
      </c>
      <c r="P3614">
        <v>-0.105666445652951</v>
      </c>
      <c r="Q3614">
        <v>0.29325389915785799</v>
      </c>
      <c r="R3614">
        <v>0.93783724120774803</v>
      </c>
      <c r="S3614" t="s">
        <v>10617</v>
      </c>
      <c r="T3614" t="s">
        <v>14004</v>
      </c>
      <c r="U3614" t="s">
        <v>14004</v>
      </c>
      <c r="V3614" t="s">
        <v>14004</v>
      </c>
      <c r="W3614" t="s">
        <v>17573</v>
      </c>
      <c r="X3614">
        <v>5</v>
      </c>
      <c r="Y3614" t="s">
        <v>21756</v>
      </c>
      <c r="Z3614" t="s">
        <v>31324</v>
      </c>
      <c r="AA3614">
        <v>0.52904914183908824</v>
      </c>
      <c r="AB3614" t="str">
        <f>HYPERLINK("Melting_Curves/meltCurve_Q14493_2_SLBP.pdf", "Melting_Curves/meltCurve_Q14493_2_SLBP.pdf")</f>
        <v>Melting_Curves/meltCurve_Q14493_2_SLBP.pdf</v>
      </c>
    </row>
    <row r="3615" spans="1:28" x14ac:dyDescent="0.25">
      <c r="A3615" t="s">
        <v>3619</v>
      </c>
      <c r="B3615">
        <v>0.99999676499088797</v>
      </c>
      <c r="C3615">
        <v>0.92262545400854901</v>
      </c>
      <c r="D3615">
        <v>0.76587651893116604</v>
      </c>
      <c r="E3615">
        <v>0.37937455760434002</v>
      </c>
      <c r="F3615">
        <v>0.225432742082989</v>
      </c>
      <c r="G3615">
        <v>0.15396330519628501</v>
      </c>
      <c r="H3615">
        <v>9.0378072620964006E-2</v>
      </c>
      <c r="I3615">
        <v>7.3430045249356493E-2</v>
      </c>
      <c r="J3615">
        <v>6.9136874036341694E-2</v>
      </c>
      <c r="K3615">
        <v>5.7365953011105301E-2</v>
      </c>
      <c r="L3615">
        <v>949.55952924155395</v>
      </c>
      <c r="M3615">
        <v>19.680079481082402</v>
      </c>
      <c r="N3615">
        <v>48.64746220928</v>
      </c>
      <c r="O3615">
        <v>47.759880452943101</v>
      </c>
      <c r="P3615">
        <v>-9.5364712415782996E-2</v>
      </c>
      <c r="Q3615">
        <v>7.4302684081606396E-2</v>
      </c>
      <c r="R3615">
        <v>0.99664736247057595</v>
      </c>
      <c r="S3615" t="s">
        <v>10618</v>
      </c>
      <c r="T3615" t="s">
        <v>14004</v>
      </c>
      <c r="U3615" t="s">
        <v>14004</v>
      </c>
      <c r="V3615" t="s">
        <v>14004</v>
      </c>
      <c r="W3615" t="s">
        <v>17574</v>
      </c>
      <c r="X3615">
        <v>17</v>
      </c>
      <c r="Y3615" t="s">
        <v>24413</v>
      </c>
      <c r="Z3615" t="s">
        <v>31325</v>
      </c>
      <c r="AA3615">
        <v>0.34240636084064802</v>
      </c>
      <c r="AB3615" t="str">
        <f>HYPERLINK("Melting_Curves/meltCurve_Q14498_2_RBM39.pdf", "Melting_Curves/meltCurve_Q14498_2_RBM39.pdf")</f>
        <v>Melting_Curves/meltCurve_Q14498_2_RBM39.pdf</v>
      </c>
    </row>
    <row r="3616" spans="1:28" x14ac:dyDescent="0.25">
      <c r="A3616" t="s">
        <v>3620</v>
      </c>
      <c r="B3616">
        <v>0.99999676499088797</v>
      </c>
      <c r="C3616">
        <v>1.02092007694555</v>
      </c>
      <c r="D3616">
        <v>1.0194429405194501</v>
      </c>
      <c r="E3616">
        <v>1.10502715885174</v>
      </c>
      <c r="F3616">
        <v>0.947595386842918</v>
      </c>
      <c r="G3616">
        <v>1.1518846331619701</v>
      </c>
      <c r="H3616">
        <v>0.47098765714687202</v>
      </c>
      <c r="I3616">
        <v>0.72088252938756803</v>
      </c>
      <c r="J3616">
        <v>0.57085778928012398</v>
      </c>
      <c r="K3616">
        <v>0.61105682571173903</v>
      </c>
      <c r="L3616">
        <v>5198.1964337449799</v>
      </c>
      <c r="M3616">
        <v>88.367388653856594</v>
      </c>
      <c r="O3616">
        <v>58.794721087679598</v>
      </c>
      <c r="P3616">
        <v>-0.15352413379524499</v>
      </c>
      <c r="Q3616">
        <v>0.59141452658110405</v>
      </c>
      <c r="R3616">
        <v>0.850410819516769</v>
      </c>
      <c r="S3616" t="s">
        <v>10619</v>
      </c>
      <c r="T3616" t="s">
        <v>14004</v>
      </c>
      <c r="U3616" t="s">
        <v>14004</v>
      </c>
      <c r="V3616" t="s">
        <v>14004</v>
      </c>
      <c r="W3616" t="s">
        <v>17575</v>
      </c>
      <c r="X3616">
        <v>3</v>
      </c>
      <c r="Y3616" t="s">
        <v>24414</v>
      </c>
      <c r="Z3616" t="s">
        <v>31326</v>
      </c>
      <c r="AA3616">
        <v>0.84813769110660797</v>
      </c>
      <c r="AB3616" t="str">
        <f>HYPERLINK("Melting_Curves/meltCurve_Q14517_FAT1.pdf", "Melting_Curves/meltCurve_Q14517_FAT1.pdf")</f>
        <v>Melting_Curves/meltCurve_Q14517_FAT1.pdf</v>
      </c>
    </row>
    <row r="3617" spans="1:28" x14ac:dyDescent="0.25">
      <c r="A3617" t="s">
        <v>3621</v>
      </c>
      <c r="B3617">
        <v>0.99999676499088797</v>
      </c>
      <c r="C3617">
        <v>0.90133951535721601</v>
      </c>
      <c r="D3617">
        <v>1.0193389341301999</v>
      </c>
      <c r="E3617">
        <v>1.1184202787589299</v>
      </c>
      <c r="F3617">
        <v>1.0128681257762699</v>
      </c>
      <c r="G3617">
        <v>0.42698961680721098</v>
      </c>
      <c r="H3617">
        <v>0.15437674742743601</v>
      </c>
      <c r="I3617">
        <v>0.121814341163312</v>
      </c>
      <c r="J3617">
        <v>0.115488688566027</v>
      </c>
      <c r="K3617">
        <v>8.4104050105659897E-2</v>
      </c>
      <c r="L3617">
        <v>8031.9044753809703</v>
      </c>
      <c r="M3617">
        <v>142.027313072395</v>
      </c>
      <c r="N3617">
        <v>56.660193952733799</v>
      </c>
      <c r="O3617">
        <v>56.540619592621702</v>
      </c>
      <c r="P3617">
        <v>-0.55329961178595899</v>
      </c>
      <c r="Q3617">
        <v>0.118932778325125</v>
      </c>
      <c r="R3617">
        <v>0.98531245470030904</v>
      </c>
      <c r="S3617" t="s">
        <v>10620</v>
      </c>
      <c r="T3617" t="s">
        <v>14004</v>
      </c>
      <c r="U3617" t="s">
        <v>14004</v>
      </c>
      <c r="V3617" t="s">
        <v>14004</v>
      </c>
      <c r="W3617" t="s">
        <v>17576</v>
      </c>
      <c r="X3617">
        <v>1</v>
      </c>
      <c r="Y3617" t="s">
        <v>24415</v>
      </c>
      <c r="Z3617" t="s">
        <v>31327</v>
      </c>
      <c r="AA3617">
        <v>0.60531300403076038</v>
      </c>
      <c r="AB3617" t="str">
        <f>HYPERLINK("Melting_Curves/meltCurve_Q14520_2_HABP2.pdf", "Melting_Curves/meltCurve_Q14520_2_HABP2.pdf")</f>
        <v>Melting_Curves/meltCurve_Q14520_2_HABP2.pdf</v>
      </c>
    </row>
    <row r="3618" spans="1:28" x14ac:dyDescent="0.25">
      <c r="A3618" t="s">
        <v>3622</v>
      </c>
      <c r="B3618">
        <v>0.99999676499088797</v>
      </c>
      <c r="C3618">
        <v>1.0419248490597</v>
      </c>
      <c r="D3618">
        <v>0.89657343104460996</v>
      </c>
      <c r="E3618">
        <v>0.66952906505839005</v>
      </c>
      <c r="F3618">
        <v>0.220268886720315</v>
      </c>
      <c r="G3618">
        <v>0.15061180353190401</v>
      </c>
      <c r="H3618">
        <v>6.6146429660483202E-2</v>
      </c>
      <c r="I3618">
        <v>6.1566762699831502E-2</v>
      </c>
      <c r="J3618">
        <v>5.8490576493981997E-2</v>
      </c>
      <c r="K3618">
        <v>4.4739431880338298E-2</v>
      </c>
      <c r="L3618">
        <v>1347.6638717451599</v>
      </c>
      <c r="M3618">
        <v>26.669340320369098</v>
      </c>
      <c r="N3618">
        <v>50.77243733708</v>
      </c>
      <c r="O3618">
        <v>50.250777635192399</v>
      </c>
      <c r="P3618">
        <v>-0.124821656137273</v>
      </c>
      <c r="Q3618">
        <v>5.9246334223017699E-2</v>
      </c>
      <c r="R3618">
        <v>0.99508892750406697</v>
      </c>
      <c r="S3618" t="s">
        <v>10621</v>
      </c>
      <c r="T3618" t="s">
        <v>14004</v>
      </c>
      <c r="U3618" t="s">
        <v>14004</v>
      </c>
      <c r="V3618" t="s">
        <v>14004</v>
      </c>
      <c r="W3618" t="s">
        <v>17577</v>
      </c>
      <c r="X3618">
        <v>24</v>
      </c>
      <c r="Y3618" t="s">
        <v>24416</v>
      </c>
      <c r="Z3618" t="s">
        <v>31328</v>
      </c>
      <c r="AA3618">
        <v>0.39695700275008511</v>
      </c>
      <c r="AB3618" t="str">
        <f>HYPERLINK("Melting_Curves/meltCurve_Q14527_HLTF.pdf", "Melting_Curves/meltCurve_Q14527_HLTF.pdf")</f>
        <v>Melting_Curves/meltCurve_Q14527_HLTF.pdf</v>
      </c>
    </row>
    <row r="3619" spans="1:28" x14ac:dyDescent="0.25">
      <c r="A3619" t="s">
        <v>3623</v>
      </c>
      <c r="B3619">
        <v>0.99999676499088797</v>
      </c>
      <c r="C3619">
        <v>0.925602213742998</v>
      </c>
      <c r="D3619">
        <v>0.80851973241133002</v>
      </c>
      <c r="E3619">
        <v>0.52529218275459</v>
      </c>
      <c r="F3619">
        <v>0.32314361716867901</v>
      </c>
      <c r="G3619">
        <v>0.173056300884218</v>
      </c>
      <c r="H3619">
        <v>8.3348892410166395E-2</v>
      </c>
      <c r="I3619">
        <v>7.7615053163054296E-2</v>
      </c>
      <c r="J3619">
        <v>7.9750575657432293E-2</v>
      </c>
      <c r="K3619">
        <v>6.64771412796126E-2</v>
      </c>
      <c r="L3619">
        <v>794.60094663366897</v>
      </c>
      <c r="M3619">
        <v>15.9559895699536</v>
      </c>
      <c r="N3619">
        <v>50.159484697897298</v>
      </c>
      <c r="O3619">
        <v>49.037012113287403</v>
      </c>
      <c r="P3619">
        <v>-7.6952391089670599E-2</v>
      </c>
      <c r="Q3619">
        <v>5.4094074627080699E-2</v>
      </c>
      <c r="R3619">
        <v>0.99872548298747199</v>
      </c>
      <c r="S3619" t="s">
        <v>10622</v>
      </c>
      <c r="T3619" t="s">
        <v>14004</v>
      </c>
      <c r="U3619" t="s">
        <v>14004</v>
      </c>
      <c r="V3619" t="s">
        <v>14004</v>
      </c>
      <c r="W3619" t="s">
        <v>17578</v>
      </c>
      <c r="X3619">
        <v>6</v>
      </c>
      <c r="Y3619" t="s">
        <v>24417</v>
      </c>
      <c r="Z3619" t="s">
        <v>31329</v>
      </c>
      <c r="AA3619">
        <v>0.38336736118278297</v>
      </c>
      <c r="AB3619" t="str">
        <f>HYPERLINK("Melting_Curves/meltCurve_Q14534_SQLE.pdf", "Melting_Curves/meltCurve_Q14534_SQLE.pdf")</f>
        <v>Melting_Curves/meltCurve_Q14534_SQLE.pdf</v>
      </c>
    </row>
    <row r="3620" spans="1:28" x14ac:dyDescent="0.25">
      <c r="A3620" t="s">
        <v>3624</v>
      </c>
      <c r="B3620">
        <v>0.99999676499088797</v>
      </c>
      <c r="C3620">
        <v>0.97573435669855202</v>
      </c>
      <c r="D3620">
        <v>0.97307991578077202</v>
      </c>
      <c r="E3620">
        <v>0.84755720498963605</v>
      </c>
      <c r="F3620">
        <v>0.378242009189592</v>
      </c>
      <c r="G3620">
        <v>0.27403322565008498</v>
      </c>
      <c r="H3620">
        <v>0.149863886509501</v>
      </c>
      <c r="I3620">
        <v>0.15255739336899199</v>
      </c>
      <c r="J3620">
        <v>0.158907569132472</v>
      </c>
      <c r="K3620">
        <v>0.15026357983535099</v>
      </c>
      <c r="L3620">
        <v>1632.41539827202</v>
      </c>
      <c r="M3620">
        <v>31.558298633852001</v>
      </c>
      <c r="N3620">
        <v>52.374024734423799</v>
      </c>
      <c r="O3620">
        <v>51.520615214406703</v>
      </c>
      <c r="P3620">
        <v>-0.12841353424128901</v>
      </c>
      <c r="Q3620">
        <v>0.161436732952042</v>
      </c>
      <c r="R3620">
        <v>0.99500562746144094</v>
      </c>
      <c r="S3620" t="s">
        <v>10623</v>
      </c>
      <c r="T3620" t="s">
        <v>14004</v>
      </c>
      <c r="U3620" t="s">
        <v>14004</v>
      </c>
      <c r="V3620" t="s">
        <v>14004</v>
      </c>
      <c r="W3620" t="s">
        <v>17579</v>
      </c>
      <c r="X3620">
        <v>16</v>
      </c>
      <c r="Y3620" t="s">
        <v>24418</v>
      </c>
      <c r="Z3620" t="s">
        <v>31330</v>
      </c>
      <c r="AA3620">
        <v>0.49405328432016121</v>
      </c>
      <c r="AB3620" t="str">
        <f>HYPERLINK("Melting_Curves/meltCurve_Q14554_PDIA5.pdf", "Melting_Curves/meltCurve_Q14554_PDIA5.pdf")</f>
        <v>Melting_Curves/meltCurve_Q14554_PDIA5.pdf</v>
      </c>
    </row>
    <row r="3621" spans="1:28" x14ac:dyDescent="0.25">
      <c r="A3621" t="s">
        <v>3625</v>
      </c>
      <c r="B3621">
        <v>0.99999676499088797</v>
      </c>
      <c r="C3621">
        <v>1.07756675218839</v>
      </c>
      <c r="D3621">
        <v>1.1659495501810799</v>
      </c>
      <c r="E3621">
        <v>1.21803506664636</v>
      </c>
      <c r="F3621">
        <v>1.3199809991736799</v>
      </c>
      <c r="G3621">
        <v>1.31041936806171</v>
      </c>
      <c r="H3621">
        <v>0.63784238013513495</v>
      </c>
      <c r="I3621">
        <v>0.156431921754943</v>
      </c>
      <c r="J3621">
        <v>0.113632733615943</v>
      </c>
      <c r="K3621">
        <v>8.4196728859111503E-2</v>
      </c>
      <c r="L3621">
        <v>5695.95576911439</v>
      </c>
      <c r="M3621">
        <v>93.300150486053596</v>
      </c>
      <c r="N3621">
        <v>61.218998476532697</v>
      </c>
      <c r="O3621">
        <v>61.021770078295603</v>
      </c>
      <c r="P3621">
        <v>-0.338805157164355</v>
      </c>
      <c r="Q3621">
        <v>0.11363532996409401</v>
      </c>
      <c r="R3621">
        <v>0.88142681118784505</v>
      </c>
      <c r="S3621" t="s">
        <v>10624</v>
      </c>
      <c r="T3621" t="s">
        <v>14004</v>
      </c>
      <c r="U3621" t="s">
        <v>14004</v>
      </c>
      <c r="V3621" t="s">
        <v>14004</v>
      </c>
      <c r="W3621" t="s">
        <v>17580</v>
      </c>
      <c r="X3621">
        <v>20</v>
      </c>
      <c r="Y3621" t="s">
        <v>24419</v>
      </c>
      <c r="Z3621" t="s">
        <v>31331</v>
      </c>
      <c r="AA3621">
        <v>0.73624464870908179</v>
      </c>
      <c r="AB3621" t="str">
        <f>HYPERLINK("Melting_Curves/meltCurve_Q14558_2_PRPSAP1.pdf", "Melting_Curves/meltCurve_Q14558_2_PRPSAP1.pdf")</f>
        <v>Melting_Curves/meltCurve_Q14558_2_PRPSAP1.pdf</v>
      </c>
    </row>
    <row r="3622" spans="1:28" x14ac:dyDescent="0.25">
      <c r="A3622" t="s">
        <v>3626</v>
      </c>
      <c r="B3622">
        <v>0.99999676499088797</v>
      </c>
      <c r="C3622">
        <v>1.0002021515905399</v>
      </c>
      <c r="D3622">
        <v>0.92499497222125304</v>
      </c>
      <c r="E3622">
        <v>0.60457508773666302</v>
      </c>
      <c r="F3622">
        <v>0.29925245111435</v>
      </c>
      <c r="G3622">
        <v>0.17978790598244701</v>
      </c>
      <c r="H3622">
        <v>7.7254394822485098E-2</v>
      </c>
      <c r="I3622">
        <v>7.6801270848321002E-2</v>
      </c>
      <c r="J3622">
        <v>6.4221091850373196E-2</v>
      </c>
      <c r="K3622">
        <v>5.8052787207787199E-2</v>
      </c>
      <c r="L3622">
        <v>1089.88177195911</v>
      </c>
      <c r="M3622">
        <v>21.573946203630001</v>
      </c>
      <c r="N3622">
        <v>50.849885344916402</v>
      </c>
      <c r="O3622">
        <v>50.090382288701697</v>
      </c>
      <c r="P3622">
        <v>-0.100614704710407</v>
      </c>
      <c r="Q3622">
        <v>6.5593779440494895E-2</v>
      </c>
      <c r="R3622">
        <v>0.99803483135999504</v>
      </c>
      <c r="S3622" t="s">
        <v>10625</v>
      </c>
      <c r="T3622" t="s">
        <v>14004</v>
      </c>
      <c r="U3622" t="s">
        <v>14004</v>
      </c>
      <c r="V3622" t="s">
        <v>14004</v>
      </c>
      <c r="W3622" t="s">
        <v>17581</v>
      </c>
      <c r="X3622">
        <v>23</v>
      </c>
      <c r="Y3622" t="s">
        <v>24420</v>
      </c>
      <c r="Z3622" t="s">
        <v>31332</v>
      </c>
      <c r="AA3622">
        <v>0.40443251360277449</v>
      </c>
      <c r="AB3622" t="str">
        <f>HYPERLINK("Melting_Curves/meltCurve_Q14562_DHX8.pdf", "Melting_Curves/meltCurve_Q14562_DHX8.pdf")</f>
        <v>Melting_Curves/meltCurve_Q14562_DHX8.pdf</v>
      </c>
    </row>
    <row r="3623" spans="1:28" x14ac:dyDescent="0.25">
      <c r="A3623" t="s">
        <v>3627</v>
      </c>
      <c r="B3623">
        <v>0.99999676499088797</v>
      </c>
      <c r="C3623">
        <v>1.0525720854345</v>
      </c>
      <c r="D3623">
        <v>1.0329000666274399</v>
      </c>
      <c r="E3623">
        <v>1.04432343365275</v>
      </c>
      <c r="F3623">
        <v>0.32536189934983401</v>
      </c>
      <c r="G3623">
        <v>0.196455488728559</v>
      </c>
      <c r="H3623">
        <v>8.5585106924861196E-2</v>
      </c>
      <c r="I3623">
        <v>7.4723415103294805E-2</v>
      </c>
      <c r="J3623">
        <v>6.5948998065639794E-2</v>
      </c>
      <c r="K3623">
        <v>6.4495053154683402E-2</v>
      </c>
      <c r="L3623">
        <v>8687.9553720139393</v>
      </c>
      <c r="M3623">
        <v>164.392534302835</v>
      </c>
      <c r="N3623">
        <v>52.918602184831002</v>
      </c>
      <c r="O3623">
        <v>52.841020731421501</v>
      </c>
      <c r="P3623">
        <v>-0.70198511481672499</v>
      </c>
      <c r="Q3623">
        <v>9.7438047378772596E-2</v>
      </c>
      <c r="R3623">
        <v>0.99077315334641503</v>
      </c>
      <c r="S3623" t="s">
        <v>10626</v>
      </c>
      <c r="T3623" t="s">
        <v>14004</v>
      </c>
      <c r="U3623" t="s">
        <v>14004</v>
      </c>
      <c r="V3623" t="s">
        <v>14004</v>
      </c>
      <c r="W3623" t="s">
        <v>17582</v>
      </c>
      <c r="X3623">
        <v>63</v>
      </c>
      <c r="Y3623" t="s">
        <v>24421</v>
      </c>
      <c r="Z3623" t="s">
        <v>31333</v>
      </c>
      <c r="AA3623">
        <v>0.48419428781715268</v>
      </c>
      <c r="AB3623" t="str">
        <f>HYPERLINK("Melting_Curves/meltCurve_Q14566_MCM6.pdf", "Melting_Curves/meltCurve_Q14566_MCM6.pdf")</f>
        <v>Melting_Curves/meltCurve_Q14566_MCM6.pdf</v>
      </c>
    </row>
    <row r="3624" spans="1:28" x14ac:dyDescent="0.25">
      <c r="A3624" t="s">
        <v>3628</v>
      </c>
      <c r="B3624">
        <v>0.99999676499088797</v>
      </c>
      <c r="C3624">
        <v>0.76022060908099798</v>
      </c>
      <c r="D3624">
        <v>0.59810579670563402</v>
      </c>
      <c r="E3624">
        <v>0.258927260559279</v>
      </c>
      <c r="F3624">
        <v>0.17307620516970501</v>
      </c>
      <c r="G3624">
        <v>0.12696303299038</v>
      </c>
      <c r="H3624">
        <v>7.5465939783588495E-2</v>
      </c>
      <c r="I3624">
        <v>9.0873559799870496E-2</v>
      </c>
      <c r="J3624">
        <v>7.2291145328480494E-2</v>
      </c>
      <c r="K3624">
        <v>6.3145089261363793E-2</v>
      </c>
      <c r="L3624">
        <v>813.62306018717504</v>
      </c>
      <c r="M3624">
        <v>17.585356485608202</v>
      </c>
      <c r="N3624">
        <v>46.687827019798398</v>
      </c>
      <c r="O3624">
        <v>45.681214803666002</v>
      </c>
      <c r="P3624">
        <v>-8.9191988177174206E-2</v>
      </c>
      <c r="Q3624">
        <v>7.3279405822080895E-2</v>
      </c>
      <c r="R3624">
        <v>0.99092099480861795</v>
      </c>
      <c r="S3624" t="s">
        <v>10627</v>
      </c>
      <c r="T3624" t="s">
        <v>14004</v>
      </c>
      <c r="U3624" t="s">
        <v>14004</v>
      </c>
      <c r="V3624" t="s">
        <v>14004</v>
      </c>
      <c r="W3624" t="s">
        <v>17583</v>
      </c>
      <c r="X3624">
        <v>3</v>
      </c>
      <c r="Y3624" t="s">
        <v>24422</v>
      </c>
      <c r="Z3624" t="s">
        <v>31334</v>
      </c>
      <c r="AA3624">
        <v>0.28566696769526972</v>
      </c>
      <c r="AB3624" t="str">
        <f>HYPERLINK("Melting_Curves/meltCurve_Q14644_RASA3.pdf", "Melting_Curves/meltCurve_Q14644_RASA3.pdf")</f>
        <v>Melting_Curves/meltCurve_Q14644_RASA3.pdf</v>
      </c>
    </row>
    <row r="3625" spans="1:28" x14ac:dyDescent="0.25">
      <c r="A3625" t="s">
        <v>3629</v>
      </c>
      <c r="B3625">
        <v>0.99999676499088797</v>
      </c>
      <c r="C3625">
        <v>0.95746627744086499</v>
      </c>
      <c r="D3625">
        <v>0.95562737087665395</v>
      </c>
      <c r="E3625">
        <v>0.87135959463568002</v>
      </c>
      <c r="F3625">
        <v>0.33465639399142399</v>
      </c>
      <c r="G3625">
        <v>0.201527787999456</v>
      </c>
      <c r="H3625">
        <v>0.10135238718487399</v>
      </c>
      <c r="I3625">
        <v>9.4712537832843904E-2</v>
      </c>
      <c r="J3625">
        <v>7.9701008167652299E-2</v>
      </c>
      <c r="K3625">
        <v>7.7872961521925202E-2</v>
      </c>
      <c r="L3625">
        <v>1821.6373256337599</v>
      </c>
      <c r="M3625">
        <v>35.1276459432883</v>
      </c>
      <c r="N3625">
        <v>52.181565662373004</v>
      </c>
      <c r="O3625">
        <v>51.690454378384501</v>
      </c>
      <c r="P3625">
        <v>-0.15325232726717</v>
      </c>
      <c r="Q3625">
        <v>9.7957784733573097E-2</v>
      </c>
      <c r="R3625">
        <v>0.994389343081721</v>
      </c>
      <c r="S3625" t="s">
        <v>10628</v>
      </c>
      <c r="T3625" t="s">
        <v>14004</v>
      </c>
      <c r="U3625" t="s">
        <v>14004</v>
      </c>
      <c r="V3625" t="s">
        <v>14004</v>
      </c>
      <c r="W3625" t="s">
        <v>17584</v>
      </c>
      <c r="X3625">
        <v>18</v>
      </c>
      <c r="Y3625" t="s">
        <v>24423</v>
      </c>
      <c r="Z3625" t="s">
        <v>31335</v>
      </c>
      <c r="AA3625">
        <v>0.45869056410721087</v>
      </c>
      <c r="AB3625" t="str">
        <f>HYPERLINK("Melting_Curves/meltCurve_Q14651_PLS1.pdf", "Melting_Curves/meltCurve_Q14651_PLS1.pdf")</f>
        <v>Melting_Curves/meltCurve_Q14651_PLS1.pdf</v>
      </c>
    </row>
    <row r="3626" spans="1:28" x14ac:dyDescent="0.25">
      <c r="A3626" t="s">
        <v>3630</v>
      </c>
      <c r="B3626">
        <v>0.99999676499088797</v>
      </c>
      <c r="C3626">
        <v>1.0142279835118899</v>
      </c>
      <c r="D3626">
        <v>0.98425353467754995</v>
      </c>
      <c r="E3626">
        <v>0.84206784389460398</v>
      </c>
      <c r="F3626">
        <v>0.43055277326346097</v>
      </c>
      <c r="G3626">
        <v>0.177198969535134</v>
      </c>
      <c r="H3626">
        <v>5.5137500155428697E-2</v>
      </c>
      <c r="I3626">
        <v>4.2476246532178998E-2</v>
      </c>
      <c r="J3626">
        <v>3.30636058852447E-2</v>
      </c>
      <c r="K3626">
        <v>2.3197375197410899E-2</v>
      </c>
      <c r="L3626">
        <v>1358.7379869910301</v>
      </c>
      <c r="M3626">
        <v>25.826501610707499</v>
      </c>
      <c r="N3626">
        <v>52.738130240111801</v>
      </c>
      <c r="O3626">
        <v>52.2978217532076</v>
      </c>
      <c r="P3626">
        <v>-0.119712149519003</v>
      </c>
      <c r="Q3626">
        <v>3.03583589387325E-2</v>
      </c>
      <c r="R3626">
        <v>0.999320234274506</v>
      </c>
      <c r="S3626" t="s">
        <v>10629</v>
      </c>
      <c r="T3626" t="s">
        <v>14004</v>
      </c>
      <c r="U3626" t="s">
        <v>14004</v>
      </c>
      <c r="V3626" t="s">
        <v>14004</v>
      </c>
      <c r="W3626" t="s">
        <v>17585</v>
      </c>
      <c r="X3626">
        <v>8</v>
      </c>
      <c r="Y3626" t="s">
        <v>24424</v>
      </c>
      <c r="Z3626" t="s">
        <v>31336</v>
      </c>
      <c r="AA3626">
        <v>0.44630443318449547</v>
      </c>
      <c r="AB3626" t="str">
        <f>HYPERLINK("Melting_Curves/meltCurve_Q14653_IRF3.pdf", "Melting_Curves/meltCurve_Q14653_IRF3.pdf")</f>
        <v>Melting_Curves/meltCurve_Q14653_IRF3.pdf</v>
      </c>
    </row>
    <row r="3627" spans="1:28" x14ac:dyDescent="0.25">
      <c r="A3627" t="s">
        <v>3631</v>
      </c>
      <c r="B3627">
        <v>0.99999676499088797</v>
      </c>
      <c r="C3627">
        <v>0.91841981933952399</v>
      </c>
      <c r="D3627">
        <v>0.94002171587889305</v>
      </c>
      <c r="E3627">
        <v>0.71337239167192801</v>
      </c>
      <c r="F3627">
        <v>0.753759203276965</v>
      </c>
      <c r="G3627">
        <v>0.84005226998281901</v>
      </c>
      <c r="H3627">
        <v>0.36975149601762097</v>
      </c>
      <c r="I3627">
        <v>0.17312871182763301</v>
      </c>
      <c r="J3627">
        <v>0.104440481775048</v>
      </c>
      <c r="K3627">
        <v>9.4345218915800402E-2</v>
      </c>
      <c r="L3627">
        <v>818.824660479626</v>
      </c>
      <c r="M3627">
        <v>13.906301225332401</v>
      </c>
      <c r="N3627">
        <v>58.881556607482899</v>
      </c>
      <c r="O3627">
        <v>57.704030493270103</v>
      </c>
      <c r="P3627">
        <v>-6.0256581289924199E-2</v>
      </c>
      <c r="Q3627">
        <v>0</v>
      </c>
      <c r="R3627">
        <v>0.90602261315494803</v>
      </c>
      <c r="S3627" t="s">
        <v>10630</v>
      </c>
      <c r="T3627" t="s">
        <v>14004</v>
      </c>
      <c r="U3627" t="s">
        <v>14004</v>
      </c>
      <c r="V3627" t="s">
        <v>14004</v>
      </c>
      <c r="W3627" t="s">
        <v>17586</v>
      </c>
      <c r="X3627">
        <v>5</v>
      </c>
      <c r="Y3627" t="s">
        <v>24425</v>
      </c>
      <c r="Z3627" t="s">
        <v>31337</v>
      </c>
      <c r="AA3627">
        <v>0.63979041995594688</v>
      </c>
      <c r="AB3627" t="str">
        <f>HYPERLINK("Melting_Curves/meltCurve_Q14657_LAGE3.pdf", "Melting_Curves/meltCurve_Q14657_LAGE3.pdf")</f>
        <v>Melting_Curves/meltCurve_Q14657_LAGE3.pdf</v>
      </c>
    </row>
    <row r="3628" spans="1:28" x14ac:dyDescent="0.25">
      <c r="A3628" t="s">
        <v>3632</v>
      </c>
      <c r="B3628">
        <v>0.99999676499088797</v>
      </c>
      <c r="C3628">
        <v>0.71907354412143198</v>
      </c>
      <c r="D3628">
        <v>0.26521583445694102</v>
      </c>
      <c r="E3628">
        <v>0.214271048413612</v>
      </c>
      <c r="F3628">
        <v>0.17544959964742601</v>
      </c>
      <c r="G3628">
        <v>0.116717168064825</v>
      </c>
      <c r="H3628">
        <v>5.30252367890739E-2</v>
      </c>
      <c r="I3628">
        <v>4.5451143083442003E-2</v>
      </c>
      <c r="J3628">
        <v>3.4821582166179602E-2</v>
      </c>
      <c r="K3628">
        <v>3.8283786139709702E-2</v>
      </c>
      <c r="L3628">
        <v>1262.0895563239601</v>
      </c>
      <c r="M3628">
        <v>28.611958685666</v>
      </c>
      <c r="N3628">
        <v>44.403752504309303</v>
      </c>
      <c r="O3628">
        <v>43.896766127844202</v>
      </c>
      <c r="P3628">
        <v>-0.14892490638463499</v>
      </c>
      <c r="Q3628">
        <v>8.6078508877661705E-2</v>
      </c>
      <c r="R3628">
        <v>0.97223280213441998</v>
      </c>
      <c r="S3628" t="s">
        <v>10631</v>
      </c>
      <c r="T3628" t="s">
        <v>14004</v>
      </c>
      <c r="U3628" t="s">
        <v>14004</v>
      </c>
      <c r="V3628" t="s">
        <v>14004</v>
      </c>
      <c r="W3628" t="s">
        <v>17587</v>
      </c>
      <c r="X3628">
        <v>13</v>
      </c>
      <c r="Y3628" t="s">
        <v>24426</v>
      </c>
      <c r="Z3628" t="s">
        <v>31338</v>
      </c>
      <c r="AA3628">
        <v>0.21866676974988811</v>
      </c>
      <c r="AB3628" t="str">
        <f>HYPERLINK("Melting_Curves/meltCurve_Q14669_2_TRIP12.pdf", "Melting_Curves/meltCurve_Q14669_2_TRIP12.pdf")</f>
        <v>Melting_Curves/meltCurve_Q14669_2_TRIP12.pdf</v>
      </c>
    </row>
    <row r="3629" spans="1:28" x14ac:dyDescent="0.25">
      <c r="A3629" t="s">
        <v>3633</v>
      </c>
      <c r="B3629">
        <v>0.99999676499088797</v>
      </c>
      <c r="C3629">
        <v>0.82238056981086605</v>
      </c>
      <c r="D3629">
        <v>0.68857354327847897</v>
      </c>
      <c r="E3629">
        <v>0.44220863661007698</v>
      </c>
      <c r="F3629">
        <v>0.31863320503841502</v>
      </c>
      <c r="G3629">
        <v>0.20811732916994599</v>
      </c>
      <c r="H3629">
        <v>0.13121218054400399</v>
      </c>
      <c r="I3629">
        <v>8.0691558261593396E-2</v>
      </c>
      <c r="J3629">
        <v>0.10758862760327</v>
      </c>
      <c r="K3629">
        <v>9.3289008227629297E-2</v>
      </c>
      <c r="L3629">
        <v>621.936249934643</v>
      </c>
      <c r="M3629">
        <v>12.851020477486999</v>
      </c>
      <c r="N3629">
        <v>48.992110344707001</v>
      </c>
      <c r="O3629">
        <v>47.268921401159098</v>
      </c>
      <c r="P3629">
        <v>-6.3059029196952804E-2</v>
      </c>
      <c r="Q3629">
        <v>7.2390887791201605E-2</v>
      </c>
      <c r="R3629">
        <v>0.99351898335833599</v>
      </c>
      <c r="S3629" t="s">
        <v>10632</v>
      </c>
      <c r="T3629" t="s">
        <v>14004</v>
      </c>
      <c r="U3629" t="s">
        <v>14004</v>
      </c>
      <c r="V3629" t="s">
        <v>14004</v>
      </c>
      <c r="W3629" t="s">
        <v>17588</v>
      </c>
      <c r="X3629">
        <v>18</v>
      </c>
      <c r="Y3629" t="s">
        <v>24427</v>
      </c>
      <c r="Z3629" t="s">
        <v>31339</v>
      </c>
      <c r="AA3629">
        <v>0.36333616938090751</v>
      </c>
      <c r="AB3629" t="str">
        <f>HYPERLINK("Melting_Curves/meltCurve_Q14671_PUM1.pdf", "Melting_Curves/meltCurve_Q14671_PUM1.pdf")</f>
        <v>Melting_Curves/meltCurve_Q14671_PUM1.pdf</v>
      </c>
    </row>
    <row r="3630" spans="1:28" x14ac:dyDescent="0.25">
      <c r="A3630" t="s">
        <v>3634</v>
      </c>
      <c r="B3630">
        <v>0.99999676499088797</v>
      </c>
      <c r="C3630">
        <v>0.96444428235101698</v>
      </c>
      <c r="D3630">
        <v>0.89942190684218604</v>
      </c>
      <c r="E3630">
        <v>0.71467343196019095</v>
      </c>
      <c r="F3630">
        <v>0.34662324464403699</v>
      </c>
      <c r="G3630">
        <v>0.18842061000858301</v>
      </c>
      <c r="H3630">
        <v>0.11417949728282099</v>
      </c>
      <c r="I3630">
        <v>0.13198170855175601</v>
      </c>
      <c r="J3630">
        <v>0.14640961716546499</v>
      </c>
      <c r="K3630">
        <v>0.166874055465079</v>
      </c>
      <c r="L3630">
        <v>1228.95592727035</v>
      </c>
      <c r="M3630">
        <v>24.1760932366298</v>
      </c>
      <c r="N3630">
        <v>51.486231885369598</v>
      </c>
      <c r="O3630">
        <v>50.489548177173099</v>
      </c>
      <c r="P3630">
        <v>-0.103910544761508</v>
      </c>
      <c r="Q3630">
        <v>0.13198281779132601</v>
      </c>
      <c r="R3630">
        <v>0.99609097571248395</v>
      </c>
      <c r="S3630" t="s">
        <v>10633</v>
      </c>
      <c r="T3630" t="s">
        <v>14004</v>
      </c>
      <c r="U3630" t="s">
        <v>14004</v>
      </c>
      <c r="V3630" t="s">
        <v>14004</v>
      </c>
      <c r="W3630" t="s">
        <v>17589</v>
      </c>
      <c r="X3630">
        <v>32</v>
      </c>
      <c r="Y3630" t="s">
        <v>24428</v>
      </c>
      <c r="Z3630" t="s">
        <v>31340</v>
      </c>
      <c r="AA3630">
        <v>0.4538004279482396</v>
      </c>
      <c r="AB3630" t="str">
        <f>HYPERLINK("Melting_Curves/meltCurve_Q14676_MDC1.pdf", "Melting_Curves/meltCurve_Q14676_MDC1.pdf")</f>
        <v>Melting_Curves/meltCurve_Q14676_MDC1.pdf</v>
      </c>
    </row>
    <row r="3631" spans="1:28" x14ac:dyDescent="0.25">
      <c r="A3631" t="s">
        <v>3635</v>
      </c>
      <c r="B3631">
        <v>0.99999676499088797</v>
      </c>
      <c r="C3631">
        <v>0.80547941569376402</v>
      </c>
      <c r="D3631">
        <v>0.78044140361046299</v>
      </c>
      <c r="E3631">
        <v>0.51424394364881798</v>
      </c>
      <c r="F3631">
        <v>0.34677061358092398</v>
      </c>
      <c r="G3631">
        <v>0.47254603772620302</v>
      </c>
      <c r="H3631">
        <v>0.40055795874668598</v>
      </c>
      <c r="I3631">
        <v>0.65965763248374598</v>
      </c>
      <c r="J3631">
        <v>0.756803662393849</v>
      </c>
      <c r="K3631">
        <v>0.54668717380655396</v>
      </c>
      <c r="L3631">
        <v>1105.0998550146201</v>
      </c>
      <c r="M3631">
        <v>24.698020246037402</v>
      </c>
      <c r="O3631">
        <v>44.454227958477198</v>
      </c>
      <c r="P3631">
        <v>-6.5516788379485297E-2</v>
      </c>
      <c r="Q3631">
        <v>0.52830921398474096</v>
      </c>
      <c r="R3631">
        <v>0.62813004660656402</v>
      </c>
      <c r="S3631" t="s">
        <v>10634</v>
      </c>
      <c r="T3631" t="s">
        <v>14004</v>
      </c>
      <c r="U3631" t="s">
        <v>14004</v>
      </c>
      <c r="V3631" t="s">
        <v>14004</v>
      </c>
      <c r="W3631" t="s">
        <v>17590</v>
      </c>
      <c r="X3631">
        <v>20</v>
      </c>
      <c r="Y3631" t="s">
        <v>24429</v>
      </c>
      <c r="Z3631" t="s">
        <v>31341</v>
      </c>
      <c r="AA3631">
        <v>0.60788710507941179</v>
      </c>
      <c r="AB3631" t="str">
        <f>HYPERLINK("Melting_Curves/meltCurve_Q14677_CLINT1.pdf", "Melting_Curves/meltCurve_Q14677_CLINT1.pdf")</f>
        <v>Melting_Curves/meltCurve_Q14677_CLINT1.pdf</v>
      </c>
    </row>
    <row r="3632" spans="1:28" x14ac:dyDescent="0.25">
      <c r="A3632" t="s">
        <v>3636</v>
      </c>
      <c r="B3632">
        <v>0.99999676499088797</v>
      </c>
      <c r="C3632">
        <v>0.89579982397064495</v>
      </c>
      <c r="D3632">
        <v>0.895230723192178</v>
      </c>
      <c r="E3632">
        <v>0.64886650952087099</v>
      </c>
      <c r="F3632">
        <v>0.44296574488019402</v>
      </c>
      <c r="G3632">
        <v>0.27203483077226998</v>
      </c>
      <c r="H3632">
        <v>0.19130835330426199</v>
      </c>
      <c r="I3632">
        <v>0.19346313772632501</v>
      </c>
      <c r="J3632">
        <v>0.19257422676874</v>
      </c>
      <c r="K3632">
        <v>0.194708381264761</v>
      </c>
      <c r="L3632">
        <v>840.80317004333801</v>
      </c>
      <c r="M3632">
        <v>16.607811283251301</v>
      </c>
      <c r="N3632">
        <v>51.915420278532402</v>
      </c>
      <c r="O3632">
        <v>49.9100327715893</v>
      </c>
      <c r="P3632">
        <v>-6.9143329268231996E-2</v>
      </c>
      <c r="Q3632">
        <v>0.16889421457322501</v>
      </c>
      <c r="R3632">
        <v>0.99351288473891297</v>
      </c>
      <c r="S3632" t="s">
        <v>10635</v>
      </c>
      <c r="T3632" t="s">
        <v>14004</v>
      </c>
      <c r="U3632" t="s">
        <v>14004</v>
      </c>
      <c r="V3632" t="s">
        <v>14004</v>
      </c>
      <c r="W3632" t="s">
        <v>17591</v>
      </c>
      <c r="X3632">
        <v>19</v>
      </c>
      <c r="Y3632" t="s">
        <v>24429</v>
      </c>
      <c r="Z3632" t="s">
        <v>31342</v>
      </c>
      <c r="AA3632">
        <v>0.47957125156881081</v>
      </c>
      <c r="AB3632" t="str">
        <f>HYPERLINK("Melting_Curves/meltCurve_Q14677_3_CLINT1.pdf", "Melting_Curves/meltCurve_Q14677_3_CLINT1.pdf")</f>
        <v>Melting_Curves/meltCurve_Q14677_3_CLINT1.pdf</v>
      </c>
    </row>
    <row r="3633" spans="1:28" x14ac:dyDescent="0.25">
      <c r="A3633" t="s">
        <v>3637</v>
      </c>
      <c r="B3633">
        <v>0.99999676499088797</v>
      </c>
      <c r="C3633">
        <v>1.0433570203710101</v>
      </c>
      <c r="D3633">
        <v>0.87713404422654095</v>
      </c>
      <c r="E3633">
        <v>0.56547320353645403</v>
      </c>
      <c r="F3633">
        <v>0.34256461318945503</v>
      </c>
      <c r="G3633">
        <v>0.23542322201156099</v>
      </c>
      <c r="H3633">
        <v>0.10284771774038701</v>
      </c>
      <c r="I3633">
        <v>4.9852177149978999E-2</v>
      </c>
      <c r="J3633">
        <v>5.31533152123842E-2</v>
      </c>
      <c r="K3633">
        <v>4.7093684692378401E-2</v>
      </c>
      <c r="L3633">
        <v>871.51434772020195</v>
      </c>
      <c r="M3633">
        <v>17.1847380451979</v>
      </c>
      <c r="N3633">
        <v>51.009550855161898</v>
      </c>
      <c r="O3633">
        <v>50.042634896851197</v>
      </c>
      <c r="P3633">
        <v>-8.1792948315594E-2</v>
      </c>
      <c r="Q3633">
        <v>4.73192724710505E-2</v>
      </c>
      <c r="R3633">
        <v>0.99086797095579804</v>
      </c>
      <c r="S3633" t="s">
        <v>10636</v>
      </c>
      <c r="T3633" t="s">
        <v>14004</v>
      </c>
      <c r="U3633" t="s">
        <v>14004</v>
      </c>
      <c r="V3633" t="s">
        <v>14004</v>
      </c>
      <c r="W3633" t="s">
        <v>17592</v>
      </c>
      <c r="X3633">
        <v>2</v>
      </c>
      <c r="Y3633" t="s">
        <v>24430</v>
      </c>
      <c r="Z3633" t="s">
        <v>31343</v>
      </c>
      <c r="AA3633">
        <v>0.40508621709036102</v>
      </c>
      <c r="AB3633" t="str">
        <f>HYPERLINK("Melting_Curves/meltCurve_Q14680_5_MELK.pdf", "Melting_Curves/meltCurve_Q14680_5_MELK.pdf")</f>
        <v>Melting_Curves/meltCurve_Q14680_5_MELK.pdf</v>
      </c>
    </row>
    <row r="3634" spans="1:28" x14ac:dyDescent="0.25">
      <c r="A3634" t="s">
        <v>3638</v>
      </c>
      <c r="B3634">
        <v>0.99999676499088797</v>
      </c>
      <c r="C3634">
        <v>1.0129266402616199</v>
      </c>
      <c r="D3634">
        <v>1.00506828783688</v>
      </c>
      <c r="E3634">
        <v>1.0093387134907901</v>
      </c>
      <c r="F3634">
        <v>0.662404657063553</v>
      </c>
      <c r="G3634">
        <v>0.39823439104123298</v>
      </c>
      <c r="H3634">
        <v>0.18029842203157301</v>
      </c>
      <c r="I3634">
        <v>0.17665920975774299</v>
      </c>
      <c r="J3634">
        <v>0.16334411613986599</v>
      </c>
      <c r="K3634">
        <v>0.14486990418683099</v>
      </c>
      <c r="L3634">
        <v>1468.14569139947</v>
      </c>
      <c r="M3634">
        <v>26.963301392145599</v>
      </c>
      <c r="N3634">
        <v>55.1984184128683</v>
      </c>
      <c r="O3634">
        <v>54.152899349932703</v>
      </c>
      <c r="P3634">
        <v>-0.105415715007567</v>
      </c>
      <c r="Q3634">
        <v>0.15314354861372201</v>
      </c>
      <c r="R3634">
        <v>0.994140154818699</v>
      </c>
      <c r="S3634" t="s">
        <v>10637</v>
      </c>
      <c r="T3634" t="s">
        <v>14004</v>
      </c>
      <c r="U3634" t="s">
        <v>14004</v>
      </c>
      <c r="V3634" t="s">
        <v>14004</v>
      </c>
      <c r="W3634" t="s">
        <v>17593</v>
      </c>
      <c r="X3634">
        <v>84</v>
      </c>
      <c r="Y3634" t="s">
        <v>24431</v>
      </c>
      <c r="Z3634" t="s">
        <v>31344</v>
      </c>
      <c r="AA3634">
        <v>0.56787297202392639</v>
      </c>
      <c r="AB3634" t="str">
        <f>HYPERLINK("Melting_Curves/meltCurve_Q14683_SMC1A.pdf", "Melting_Curves/meltCurve_Q14683_SMC1A.pdf")</f>
        <v>Melting_Curves/meltCurve_Q14683_SMC1A.pdf</v>
      </c>
    </row>
    <row r="3635" spans="1:28" x14ac:dyDescent="0.25">
      <c r="A3635" t="s">
        <v>3639</v>
      </c>
      <c r="B3635">
        <v>0.99999676499088797</v>
      </c>
      <c r="C3635">
        <v>0.90319037742879504</v>
      </c>
      <c r="D3635">
        <v>0.57895077279552698</v>
      </c>
      <c r="E3635">
        <v>0.343381501152622</v>
      </c>
      <c r="F3635">
        <v>0.22021973202762801</v>
      </c>
      <c r="G3635">
        <v>0.153618812305165</v>
      </c>
      <c r="H3635">
        <v>0.159528789789734</v>
      </c>
      <c r="I3635">
        <v>0.26875411054857201</v>
      </c>
      <c r="J3635">
        <v>0.41438547743773702</v>
      </c>
      <c r="K3635">
        <v>0.44218676802756202</v>
      </c>
      <c r="L3635">
        <v>1468.5791993073101</v>
      </c>
      <c r="M3635">
        <v>32.272469349812198</v>
      </c>
      <c r="N3635">
        <v>46.680751082706998</v>
      </c>
      <c r="O3635">
        <v>45.331978048362998</v>
      </c>
      <c r="P3635">
        <v>-0.12848220159920001</v>
      </c>
      <c r="Q3635">
        <v>0.27810619670985898</v>
      </c>
      <c r="R3635">
        <v>0.89922841166999001</v>
      </c>
      <c r="S3635" t="s">
        <v>10638</v>
      </c>
      <c r="T3635" t="s">
        <v>14004</v>
      </c>
      <c r="U3635" t="s">
        <v>14004</v>
      </c>
      <c r="V3635" t="s">
        <v>14004</v>
      </c>
      <c r="W3635" t="s">
        <v>17594</v>
      </c>
      <c r="X3635">
        <v>5</v>
      </c>
      <c r="Y3635" t="s">
        <v>24432</v>
      </c>
      <c r="Z3635" t="s">
        <v>31345</v>
      </c>
      <c r="AA3635">
        <v>0.41438536139994031</v>
      </c>
      <c r="AB3635" t="str">
        <f>HYPERLINK("Melting_Curves/meltCurve_Q14684_2_RRP1B.pdf", "Melting_Curves/meltCurve_Q14684_2_RRP1B.pdf")</f>
        <v>Melting_Curves/meltCurve_Q14684_2_RRP1B.pdf</v>
      </c>
    </row>
    <row r="3636" spans="1:28" x14ac:dyDescent="0.25">
      <c r="A3636" t="s">
        <v>3640</v>
      </c>
      <c r="B3636">
        <v>0.99999676499088797</v>
      </c>
      <c r="C3636">
        <v>0.82380672096130303</v>
      </c>
      <c r="D3636">
        <v>0.64871608188471996</v>
      </c>
      <c r="E3636">
        <v>0.45186833278510802</v>
      </c>
      <c r="F3636">
        <v>0.36972146851369297</v>
      </c>
      <c r="G3636">
        <v>0.40814381075429601</v>
      </c>
      <c r="H3636">
        <v>0.40243088174958302</v>
      </c>
      <c r="I3636">
        <v>0.39274064544270498</v>
      </c>
      <c r="J3636">
        <v>0.372463414700619</v>
      </c>
      <c r="K3636">
        <v>0.58001419137122801</v>
      </c>
      <c r="L3636">
        <v>1121.8472522196801</v>
      </c>
      <c r="M3636">
        <v>25.041451832770299</v>
      </c>
      <c r="N3636">
        <v>48.3040830055794</v>
      </c>
      <c r="O3636">
        <v>44.5168413152849</v>
      </c>
      <c r="P3636">
        <v>-8.1745331956381895E-2</v>
      </c>
      <c r="Q3636">
        <v>0.41872453889468098</v>
      </c>
      <c r="R3636">
        <v>0.91627561872982899</v>
      </c>
      <c r="S3636" t="s">
        <v>10639</v>
      </c>
      <c r="T3636" t="s">
        <v>14004</v>
      </c>
      <c r="U3636" t="s">
        <v>14004</v>
      </c>
      <c r="V3636" t="s">
        <v>14004</v>
      </c>
      <c r="W3636" t="s">
        <v>17595</v>
      </c>
      <c r="X3636">
        <v>5</v>
      </c>
      <c r="Y3636" t="s">
        <v>24433</v>
      </c>
      <c r="Z3636" t="s">
        <v>31346</v>
      </c>
      <c r="AA3636">
        <v>0.51761816699323626</v>
      </c>
      <c r="AB3636" t="str">
        <f>HYPERLINK("Melting_Curves/meltCurve_Q14686_NCOA6.pdf", "Melting_Curves/meltCurve_Q14686_NCOA6.pdf")</f>
        <v>Melting_Curves/meltCurve_Q14686_NCOA6.pdf</v>
      </c>
    </row>
    <row r="3637" spans="1:28" x14ac:dyDescent="0.25">
      <c r="A3637" t="s">
        <v>3641</v>
      </c>
      <c r="B3637">
        <v>0.99999676499088797</v>
      </c>
      <c r="C3637">
        <v>0.93440962934236005</v>
      </c>
      <c r="D3637">
        <v>0.84671507180653105</v>
      </c>
      <c r="E3637">
        <v>0.56309100240671595</v>
      </c>
      <c r="F3637">
        <v>0.389444725494759</v>
      </c>
      <c r="G3637">
        <v>0.30706816056491398</v>
      </c>
      <c r="H3637">
        <v>0.24055236619965101</v>
      </c>
      <c r="I3637">
        <v>0.341277423488067</v>
      </c>
      <c r="J3637">
        <v>0.45034740618982699</v>
      </c>
      <c r="K3637">
        <v>0.39557231268098603</v>
      </c>
      <c r="L3637">
        <v>1241.2267616686199</v>
      </c>
      <c r="M3637">
        <v>25.811326004634399</v>
      </c>
      <c r="N3637">
        <v>50.366645923887297</v>
      </c>
      <c r="O3637">
        <v>47.8025981723125</v>
      </c>
      <c r="P3637">
        <v>-8.8496257173700493E-2</v>
      </c>
      <c r="Q3637">
        <v>0.34442732460054398</v>
      </c>
      <c r="R3637">
        <v>0.95794095135680102</v>
      </c>
      <c r="S3637" t="s">
        <v>10640</v>
      </c>
      <c r="T3637" t="s">
        <v>14004</v>
      </c>
      <c r="U3637" t="s">
        <v>14004</v>
      </c>
      <c r="V3637" t="s">
        <v>14004</v>
      </c>
      <c r="W3637" t="s">
        <v>17596</v>
      </c>
      <c r="X3637">
        <v>9</v>
      </c>
      <c r="Y3637" t="s">
        <v>24434</v>
      </c>
      <c r="Z3637" t="s">
        <v>31347</v>
      </c>
      <c r="AA3637">
        <v>0.52659460690288673</v>
      </c>
      <c r="AB3637" t="str">
        <f>HYPERLINK("Melting_Curves/meltCurve_Q14687_2_GSE1.pdf", "Melting_Curves/meltCurve_Q14687_2_GSE1.pdf")</f>
        <v>Melting_Curves/meltCurve_Q14687_2_GSE1.pdf</v>
      </c>
    </row>
    <row r="3638" spans="1:28" x14ac:dyDescent="0.25">
      <c r="A3638" t="s">
        <v>3642</v>
      </c>
      <c r="B3638">
        <v>0.99999676499088797</v>
      </c>
      <c r="C3638">
        <v>0.81460362450713497</v>
      </c>
      <c r="D3638">
        <v>0.30972197491277897</v>
      </c>
      <c r="E3638">
        <v>0.17089250911576701</v>
      </c>
      <c r="F3638">
        <v>0.112146176392092</v>
      </c>
      <c r="G3638">
        <v>8.8936238060252207E-2</v>
      </c>
      <c r="H3638">
        <v>5.2381885759851303E-2</v>
      </c>
      <c r="I3638">
        <v>5.37812156171356E-2</v>
      </c>
      <c r="J3638">
        <v>5.2753450213155098E-2</v>
      </c>
      <c r="K3638">
        <v>4.8445536978750099E-2</v>
      </c>
      <c r="L3638">
        <v>1446.6392257857201</v>
      </c>
      <c r="M3638">
        <v>32.401488497203097</v>
      </c>
      <c r="N3638">
        <v>44.8709636282858</v>
      </c>
      <c r="O3638">
        <v>44.4782721812944</v>
      </c>
      <c r="P3638">
        <v>-0.16854027674970701</v>
      </c>
      <c r="Q3638">
        <v>7.4567911562004902E-2</v>
      </c>
      <c r="R3638">
        <v>0.992536715590839</v>
      </c>
      <c r="S3638" t="s">
        <v>10641</v>
      </c>
      <c r="T3638" t="s">
        <v>14004</v>
      </c>
      <c r="U3638" t="s">
        <v>14004</v>
      </c>
      <c r="V3638" t="s">
        <v>14004</v>
      </c>
      <c r="W3638" t="s">
        <v>17597</v>
      </c>
      <c r="X3638">
        <v>6</v>
      </c>
      <c r="Y3638" t="s">
        <v>24435</v>
      </c>
      <c r="Z3638" t="s">
        <v>31348</v>
      </c>
      <c r="AA3638">
        <v>0.22304193841003109</v>
      </c>
      <c r="AB3638" t="str">
        <f>HYPERLINK("Melting_Curves/meltCurve_Q14690_PDCD11.pdf", "Melting_Curves/meltCurve_Q14690_PDCD11.pdf")</f>
        <v>Melting_Curves/meltCurve_Q14690_PDCD11.pdf</v>
      </c>
    </row>
    <row r="3639" spans="1:28" x14ac:dyDescent="0.25">
      <c r="A3639" t="s">
        <v>3643</v>
      </c>
      <c r="B3639">
        <v>0.99999676499088797</v>
      </c>
      <c r="C3639">
        <v>0.970227118875991</v>
      </c>
      <c r="D3639">
        <v>0.96899821116850304</v>
      </c>
      <c r="E3639">
        <v>0.99431302554951595</v>
      </c>
      <c r="F3639">
        <v>0.34924780597042798</v>
      </c>
      <c r="G3639">
        <v>0.19781378787020301</v>
      </c>
      <c r="H3639">
        <v>0.110283856708976</v>
      </c>
      <c r="I3639">
        <v>0.15281342601714701</v>
      </c>
      <c r="J3639">
        <v>0.15434578583620101</v>
      </c>
      <c r="K3639">
        <v>0.16581760127783499</v>
      </c>
      <c r="L3639">
        <v>3985.7844367610301</v>
      </c>
      <c r="M3639">
        <v>76.1256533441979</v>
      </c>
      <c r="N3639">
        <v>52.615646430295698</v>
      </c>
      <c r="O3639">
        <v>52.321871422612297</v>
      </c>
      <c r="P3639">
        <v>-0.30713816404863398</v>
      </c>
      <c r="Q3639">
        <v>0.15560447562964999</v>
      </c>
      <c r="R3639">
        <v>0.99635487593837602</v>
      </c>
      <c r="S3639" t="s">
        <v>10642</v>
      </c>
      <c r="T3639" t="s">
        <v>14004</v>
      </c>
      <c r="U3639" t="s">
        <v>14004</v>
      </c>
      <c r="V3639" t="s">
        <v>14004</v>
      </c>
      <c r="W3639" t="s">
        <v>17598</v>
      </c>
      <c r="X3639">
        <v>17</v>
      </c>
      <c r="Y3639" t="s">
        <v>24436</v>
      </c>
      <c r="Z3639" t="s">
        <v>31349</v>
      </c>
      <c r="AA3639">
        <v>0.50427682352662584</v>
      </c>
      <c r="AB3639" t="str">
        <f>HYPERLINK("Melting_Curves/meltCurve_Q14691_GINS1.pdf", "Melting_Curves/meltCurve_Q14691_GINS1.pdf")</f>
        <v>Melting_Curves/meltCurve_Q14691_GINS1.pdf</v>
      </c>
    </row>
    <row r="3640" spans="1:28" x14ac:dyDescent="0.25">
      <c r="A3640" t="s">
        <v>3644</v>
      </c>
      <c r="B3640">
        <v>0.99999676499088797</v>
      </c>
      <c r="C3640">
        <v>0.93963947895779998</v>
      </c>
      <c r="D3640">
        <v>0.93111038516113998</v>
      </c>
      <c r="E3640">
        <v>0.59133067988063104</v>
      </c>
      <c r="F3640">
        <v>0.251551715041754</v>
      </c>
      <c r="G3640">
        <v>0.172780465603356</v>
      </c>
      <c r="H3640">
        <v>8.6201320257972697E-2</v>
      </c>
      <c r="I3640">
        <v>6.7567186348473904E-2</v>
      </c>
      <c r="J3640">
        <v>7.50522825020776E-2</v>
      </c>
      <c r="K3640">
        <v>7.0016926395543994E-2</v>
      </c>
      <c r="L3640">
        <v>1180.3261028049401</v>
      </c>
      <c r="M3640">
        <v>23.531849783735002</v>
      </c>
      <c r="N3640">
        <v>50.509604008584603</v>
      </c>
      <c r="O3640">
        <v>49.800642381507899</v>
      </c>
      <c r="P3640">
        <v>-0.10922315218155999</v>
      </c>
      <c r="Q3640">
        <v>7.5416458465809799E-2</v>
      </c>
      <c r="R3640">
        <v>0.996553675741083</v>
      </c>
      <c r="S3640" t="s">
        <v>10643</v>
      </c>
      <c r="T3640" t="s">
        <v>14004</v>
      </c>
      <c r="U3640" t="s">
        <v>14004</v>
      </c>
      <c r="V3640" t="s">
        <v>14004</v>
      </c>
      <c r="W3640" t="s">
        <v>17599</v>
      </c>
      <c r="X3640">
        <v>7</v>
      </c>
      <c r="Y3640" t="s">
        <v>24437</v>
      </c>
      <c r="Z3640" t="s">
        <v>31350</v>
      </c>
      <c r="AA3640">
        <v>0.39784198536474952</v>
      </c>
      <c r="AB3640" t="str">
        <f>HYPERLINK("Melting_Curves/meltCurve_Q14692_BMS1.pdf", "Melting_Curves/meltCurve_Q14692_BMS1.pdf")</f>
        <v>Melting_Curves/meltCurve_Q14692_BMS1.pdf</v>
      </c>
    </row>
    <row r="3641" spans="1:28" x14ac:dyDescent="0.25">
      <c r="A3641" t="s">
        <v>3645</v>
      </c>
      <c r="B3641">
        <v>0.99999676499088797</v>
      </c>
      <c r="C3641">
        <v>0.672461971841398</v>
      </c>
      <c r="D3641">
        <v>0.31470567420447598</v>
      </c>
      <c r="E3641">
        <v>0.19798264089512299</v>
      </c>
      <c r="F3641">
        <v>0.147865145139604</v>
      </c>
      <c r="G3641">
        <v>0.111168768204585</v>
      </c>
      <c r="H3641">
        <v>6.0159638474306498E-2</v>
      </c>
      <c r="I3641">
        <v>5.2269605417239802E-2</v>
      </c>
      <c r="J3641">
        <v>4.2746024611496E-2</v>
      </c>
      <c r="K3641">
        <v>4.9528770613608199E-2</v>
      </c>
      <c r="L3641">
        <v>1049.71241600183</v>
      </c>
      <c r="M3641">
        <v>23.7626867626178</v>
      </c>
      <c r="N3641">
        <v>44.496068480294099</v>
      </c>
      <c r="O3641">
        <v>43.865544284656302</v>
      </c>
      <c r="P3641">
        <v>-0.124755508641684</v>
      </c>
      <c r="Q3641">
        <v>7.8828496550140306E-2</v>
      </c>
      <c r="R3641">
        <v>0.98278735997717603</v>
      </c>
      <c r="S3641" t="s">
        <v>10644</v>
      </c>
      <c r="T3641" t="s">
        <v>14004</v>
      </c>
      <c r="U3641" t="s">
        <v>14004</v>
      </c>
      <c r="V3641" t="s">
        <v>14004</v>
      </c>
      <c r="W3641" t="s">
        <v>17600</v>
      </c>
      <c r="X3641">
        <v>11</v>
      </c>
      <c r="Y3641" t="s">
        <v>24438</v>
      </c>
      <c r="Z3641" t="s">
        <v>31351</v>
      </c>
      <c r="AA3641">
        <v>0.21860161570403899</v>
      </c>
      <c r="AB3641" t="str">
        <f>HYPERLINK("Melting_Curves/meltCurve_Q14694_USP10.pdf", "Melting_Curves/meltCurve_Q14694_USP10.pdf")</f>
        <v>Melting_Curves/meltCurve_Q14694_USP10.pdf</v>
      </c>
    </row>
    <row r="3642" spans="1:28" x14ac:dyDescent="0.25">
      <c r="A3642" t="s">
        <v>3646</v>
      </c>
      <c r="B3642">
        <v>0.99999676499088797</v>
      </c>
      <c r="C3642">
        <v>1.00335588835136</v>
      </c>
      <c r="D3642">
        <v>1.0044768143009499</v>
      </c>
      <c r="E3642">
        <v>0.90521372541316103</v>
      </c>
      <c r="F3642">
        <v>0.58005329359687197</v>
      </c>
      <c r="G3642">
        <v>0.35279827339522102</v>
      </c>
      <c r="H3642">
        <v>0.15434431617587499</v>
      </c>
      <c r="I3642">
        <v>0.12962832411707301</v>
      </c>
      <c r="J3642">
        <v>0.106566710948217</v>
      </c>
      <c r="K3642">
        <v>0.10488858350475801</v>
      </c>
      <c r="L3642">
        <v>1185.28997376349</v>
      </c>
      <c r="M3642">
        <v>21.9937720147074</v>
      </c>
      <c r="N3642">
        <v>54.4403867840225</v>
      </c>
      <c r="O3642">
        <v>53.452478641713199</v>
      </c>
      <c r="P3642">
        <v>-9.2648450753635703E-2</v>
      </c>
      <c r="Q3642">
        <v>9.9348927098311807E-2</v>
      </c>
      <c r="R3642">
        <v>0.99763555769609102</v>
      </c>
      <c r="S3642" t="s">
        <v>10645</v>
      </c>
      <c r="T3642" t="s">
        <v>14004</v>
      </c>
      <c r="U3642" t="s">
        <v>14004</v>
      </c>
      <c r="V3642" t="s">
        <v>14004</v>
      </c>
      <c r="W3642" t="s">
        <v>17601</v>
      </c>
      <c r="X3642">
        <v>9</v>
      </c>
      <c r="Y3642" t="s">
        <v>24439</v>
      </c>
      <c r="Z3642" t="s">
        <v>31352</v>
      </c>
      <c r="AA3642">
        <v>0.52687300964673534</v>
      </c>
      <c r="AB3642" t="str">
        <f>HYPERLINK("Melting_Curves/meltCurve_Q14696_MESDC2.pdf", "Melting_Curves/meltCurve_Q14696_MESDC2.pdf")</f>
        <v>Melting_Curves/meltCurve_Q14696_MESDC2.pdf</v>
      </c>
    </row>
    <row r="3643" spans="1:28" x14ac:dyDescent="0.25">
      <c r="A3643" t="s">
        <v>3647</v>
      </c>
      <c r="B3643">
        <v>0.99999676499088797</v>
      </c>
      <c r="C3643">
        <v>0.93182117911865403</v>
      </c>
      <c r="D3643">
        <v>0.92928798921523204</v>
      </c>
      <c r="E3643">
        <v>0.71427905355054999</v>
      </c>
      <c r="F3643">
        <v>0.21519888502547599</v>
      </c>
      <c r="G3643">
        <v>0.177350465129478</v>
      </c>
      <c r="H3643">
        <v>8.6682144457286697E-2</v>
      </c>
      <c r="I3643">
        <v>8.7057378656182197E-2</v>
      </c>
      <c r="J3643">
        <v>8.5234832736092503E-2</v>
      </c>
      <c r="K3643">
        <v>7.9493944880217896E-2</v>
      </c>
      <c r="L3643">
        <v>1633.74575557706</v>
      </c>
      <c r="M3643">
        <v>32.268406176598099</v>
      </c>
      <c r="N3643">
        <v>50.9504242721626</v>
      </c>
      <c r="O3643">
        <v>50.436641315900097</v>
      </c>
      <c r="P3643">
        <v>-0.14525294370531</v>
      </c>
      <c r="Q3643">
        <v>9.1863078196222803E-2</v>
      </c>
      <c r="R3643">
        <v>0.99256758493645103</v>
      </c>
      <c r="S3643" t="s">
        <v>10646</v>
      </c>
      <c r="T3643" t="s">
        <v>14004</v>
      </c>
      <c r="U3643" t="s">
        <v>14004</v>
      </c>
      <c r="V3643" t="s">
        <v>14004</v>
      </c>
      <c r="W3643" t="s">
        <v>17602</v>
      </c>
      <c r="X3643">
        <v>41</v>
      </c>
      <c r="Y3643" t="s">
        <v>24440</v>
      </c>
      <c r="Z3643" t="s">
        <v>31353</v>
      </c>
      <c r="AA3643">
        <v>0.41854365686447642</v>
      </c>
      <c r="AB3643" t="str">
        <f>HYPERLINK("Melting_Curves/meltCurve_Q14697_GANAB.pdf", "Melting_Curves/meltCurve_Q14697_GANAB.pdf")</f>
        <v>Melting_Curves/meltCurve_Q14697_GANAB.pdf</v>
      </c>
    </row>
    <row r="3644" spans="1:28" x14ac:dyDescent="0.25">
      <c r="A3644" t="s">
        <v>3648</v>
      </c>
      <c r="B3644">
        <v>0.99999676499088797</v>
      </c>
      <c r="C3644">
        <v>0.79253432566486604</v>
      </c>
      <c r="D3644">
        <v>1.0380100600748801</v>
      </c>
      <c r="E3644">
        <v>0.53860477927288797</v>
      </c>
      <c r="F3644">
        <v>0.19413512552749401</v>
      </c>
      <c r="G3644">
        <v>7.78689697782637E-2</v>
      </c>
      <c r="H3644">
        <v>9.0755460897114504E-2</v>
      </c>
      <c r="I3644">
        <v>0</v>
      </c>
      <c r="J3644">
        <v>0</v>
      </c>
      <c r="K3644">
        <v>0</v>
      </c>
      <c r="L3644">
        <v>1477.9142408227899</v>
      </c>
      <c r="M3644">
        <v>29.541121164786201</v>
      </c>
      <c r="N3644">
        <v>50.128221461379702</v>
      </c>
      <c r="O3644">
        <v>49.801473933855398</v>
      </c>
      <c r="P3644">
        <v>-0.144086306378401</v>
      </c>
      <c r="Q3644">
        <v>2.83834227048489E-2</v>
      </c>
      <c r="R3644">
        <v>0.96399178649602801</v>
      </c>
      <c r="S3644" t="s">
        <v>10647</v>
      </c>
      <c r="T3644" t="s">
        <v>14004</v>
      </c>
      <c r="U3644" t="s">
        <v>14004</v>
      </c>
      <c r="V3644" t="s">
        <v>14004</v>
      </c>
      <c r="W3644" t="s">
        <v>17603</v>
      </c>
      <c r="X3644">
        <v>41</v>
      </c>
      <c r="Y3644" t="s">
        <v>24440</v>
      </c>
      <c r="Z3644" t="s">
        <v>31354</v>
      </c>
      <c r="AA3644">
        <v>0.35939932551045101</v>
      </c>
      <c r="AB3644" t="str">
        <f>HYPERLINK("Melting_Curves/meltCurve_Q14697_2_GANAB.pdf", "Melting_Curves/meltCurve_Q14697_2_GANAB.pdf")</f>
        <v>Melting_Curves/meltCurve_Q14697_2_GANAB.pdf</v>
      </c>
    </row>
    <row r="3645" spans="1:28" x14ac:dyDescent="0.25">
      <c r="A3645" t="s">
        <v>3649</v>
      </c>
      <c r="B3645">
        <v>0.99999676499088797</v>
      </c>
      <c r="C3645">
        <v>0.96074374226450698</v>
      </c>
      <c r="D3645">
        <v>1.01828247786938</v>
      </c>
      <c r="E3645">
        <v>1.02919480485156</v>
      </c>
      <c r="F3645">
        <v>0.56530473964236305</v>
      </c>
      <c r="G3645">
        <v>0.25348896275941302</v>
      </c>
      <c r="H3645">
        <v>9.0041036216891995E-2</v>
      </c>
      <c r="I3645">
        <v>9.8748580724236604E-2</v>
      </c>
      <c r="J3645">
        <v>8.1047119356660105E-2</v>
      </c>
      <c r="K3645">
        <v>6.6367020507025004E-2</v>
      </c>
      <c r="L3645">
        <v>1847.15634104222</v>
      </c>
      <c r="M3645">
        <v>34.446517676367499</v>
      </c>
      <c r="N3645">
        <v>53.922877908680697</v>
      </c>
      <c r="O3645">
        <v>53.444130024243499</v>
      </c>
      <c r="P3645">
        <v>-0.14712604802186999</v>
      </c>
      <c r="Q3645">
        <v>8.6933055100697904E-2</v>
      </c>
      <c r="R3645">
        <v>0.99232464564178902</v>
      </c>
      <c r="S3645" t="s">
        <v>10648</v>
      </c>
      <c r="T3645" t="s">
        <v>14004</v>
      </c>
      <c r="U3645" t="s">
        <v>14004</v>
      </c>
      <c r="V3645" t="s">
        <v>14004</v>
      </c>
      <c r="W3645" t="s">
        <v>17604</v>
      </c>
      <c r="X3645">
        <v>16</v>
      </c>
      <c r="Y3645" t="s">
        <v>24441</v>
      </c>
      <c r="Z3645" t="s">
        <v>31355</v>
      </c>
      <c r="AA3645">
        <v>0.50613561297010212</v>
      </c>
      <c r="AB3645" t="str">
        <f>HYPERLINK("Melting_Curves/meltCurve_Q14699_RFTN1.pdf", "Melting_Curves/meltCurve_Q14699_RFTN1.pdf")</f>
        <v>Melting_Curves/meltCurve_Q14699_RFTN1.pdf</v>
      </c>
    </row>
    <row r="3646" spans="1:28" x14ac:dyDescent="0.25">
      <c r="A3646" t="s">
        <v>3650</v>
      </c>
      <c r="B3646">
        <v>0.99999676499088797</v>
      </c>
      <c r="C3646">
        <v>0.99063221772937504</v>
      </c>
      <c r="D3646">
        <v>0.88773983563209602</v>
      </c>
      <c r="E3646">
        <v>0.95972239224760003</v>
      </c>
      <c r="F3646">
        <v>0.33550233580063898</v>
      </c>
      <c r="G3646">
        <v>0.17005653484181499</v>
      </c>
      <c r="H3646">
        <v>8.5907949355976898E-2</v>
      </c>
      <c r="I3646">
        <v>6.9395551235321304E-2</v>
      </c>
      <c r="J3646">
        <v>5.4565328275337499E-2</v>
      </c>
      <c r="K3646">
        <v>4.4415255230237503E-2</v>
      </c>
      <c r="L3646">
        <v>2544.1185493765702</v>
      </c>
      <c r="M3646">
        <v>48.702043492566403</v>
      </c>
      <c r="N3646">
        <v>52.423882809649697</v>
      </c>
      <c r="O3646">
        <v>52.150605053210299</v>
      </c>
      <c r="P3646">
        <v>-0.214993567488418</v>
      </c>
      <c r="Q3646">
        <v>7.9132686067468302E-2</v>
      </c>
      <c r="R3646">
        <v>0.988232163847795</v>
      </c>
      <c r="S3646" t="s">
        <v>10649</v>
      </c>
      <c r="T3646" t="s">
        <v>14004</v>
      </c>
      <c r="U3646" t="s">
        <v>14004</v>
      </c>
      <c r="V3646" t="s">
        <v>14004</v>
      </c>
      <c r="W3646" t="s">
        <v>17605</v>
      </c>
      <c r="X3646">
        <v>15</v>
      </c>
      <c r="Y3646" t="s">
        <v>24442</v>
      </c>
      <c r="Z3646" t="s">
        <v>31356</v>
      </c>
      <c r="AA3646">
        <v>0.45703546816549773</v>
      </c>
      <c r="AB3646" t="str">
        <f>HYPERLINK("Melting_Curves/meltCurve_Q14739_LBR.pdf", "Melting_Curves/meltCurve_Q14739_LBR.pdf")</f>
        <v>Melting_Curves/meltCurve_Q14739_LBR.pdf</v>
      </c>
    </row>
    <row r="3647" spans="1:28" x14ac:dyDescent="0.25">
      <c r="A3647" t="s">
        <v>3651</v>
      </c>
      <c r="B3647">
        <v>0.99999676499088797</v>
      </c>
      <c r="C3647">
        <v>1.0360848019494</v>
      </c>
      <c r="D3647">
        <v>0.79123825159699901</v>
      </c>
      <c r="E3647">
        <v>0.41916803701264299</v>
      </c>
      <c r="F3647">
        <v>0.31422719232247598</v>
      </c>
      <c r="G3647">
        <v>0.26365843983440601</v>
      </c>
      <c r="H3647">
        <v>0.15152177310318099</v>
      </c>
      <c r="I3647">
        <v>0.109879765971564</v>
      </c>
      <c r="J3647">
        <v>7.4272585684076395E-2</v>
      </c>
      <c r="K3647">
        <v>8.1018883153591903E-2</v>
      </c>
      <c r="L3647">
        <v>918.92306267974504</v>
      </c>
      <c r="M3647">
        <v>18.814442150672502</v>
      </c>
      <c r="N3647">
        <v>49.530255848660801</v>
      </c>
      <c r="O3647">
        <v>48.299637313537303</v>
      </c>
      <c r="P3647">
        <v>-8.6176588377484403E-2</v>
      </c>
      <c r="Q3647">
        <v>0.115121204348451</v>
      </c>
      <c r="R3647">
        <v>0.97751466219915595</v>
      </c>
      <c r="S3647" t="s">
        <v>10650</v>
      </c>
      <c r="T3647" t="s">
        <v>14004</v>
      </c>
      <c r="U3647" t="s">
        <v>14004</v>
      </c>
      <c r="V3647" t="s">
        <v>14004</v>
      </c>
      <c r="W3647" t="s">
        <v>17606</v>
      </c>
      <c r="X3647">
        <v>2</v>
      </c>
      <c r="Y3647" t="s">
        <v>24443</v>
      </c>
      <c r="Z3647" t="s">
        <v>31357</v>
      </c>
      <c r="AA3647">
        <v>0.38996650980024022</v>
      </c>
      <c r="AB3647" t="str">
        <f>HYPERLINK("Melting_Curves/meltCurve_Q14746_2_COG2.pdf", "Melting_Curves/meltCurve_Q14746_2_COG2.pdf")</f>
        <v>Melting_Curves/meltCurve_Q14746_2_COG2.pdf</v>
      </c>
    </row>
    <row r="3648" spans="1:28" x14ac:dyDescent="0.25">
      <c r="A3648" t="s">
        <v>3652</v>
      </c>
      <c r="B3648">
        <v>0.99999676499088797</v>
      </c>
      <c r="C3648">
        <v>0.92225579024764504</v>
      </c>
      <c r="D3648">
        <v>0.87019710240103199</v>
      </c>
      <c r="E3648">
        <v>0.73320302018828398</v>
      </c>
      <c r="F3648">
        <v>0.61456032004893502</v>
      </c>
      <c r="G3648">
        <v>0.482824926748462</v>
      </c>
      <c r="H3648">
        <v>0.31920778133379002</v>
      </c>
      <c r="I3648">
        <v>0.37607239591268998</v>
      </c>
      <c r="J3648">
        <v>0.35284677635358302</v>
      </c>
      <c r="K3648">
        <v>0.39116479557195699</v>
      </c>
      <c r="L3648">
        <v>678.01151784709305</v>
      </c>
      <c r="M3648">
        <v>13.2374455986052</v>
      </c>
      <c r="N3648">
        <v>55.675403499001902</v>
      </c>
      <c r="O3648">
        <v>50.092663523658601</v>
      </c>
      <c r="P3648">
        <v>-4.4489572005758003E-2</v>
      </c>
      <c r="Q3648">
        <v>0.32668781903820798</v>
      </c>
      <c r="R3648">
        <v>0.98136445638375902</v>
      </c>
      <c r="S3648" t="s">
        <v>10651</v>
      </c>
      <c r="T3648" t="s">
        <v>14004</v>
      </c>
      <c r="U3648" t="s">
        <v>14004</v>
      </c>
      <c r="V3648" t="s">
        <v>14004</v>
      </c>
      <c r="W3648" t="s">
        <v>17607</v>
      </c>
      <c r="X3648">
        <v>6</v>
      </c>
      <c r="Y3648" t="s">
        <v>24444</v>
      </c>
      <c r="Z3648" t="s">
        <v>31358</v>
      </c>
      <c r="AA3648">
        <v>0.59727772698559156</v>
      </c>
      <c r="AB3648" t="str">
        <f>HYPERLINK("Melting_Curves/meltCurve_Q14761_PTPRCAP.pdf", "Melting_Curves/meltCurve_Q14761_PTPRCAP.pdf")</f>
        <v>Melting_Curves/meltCurve_Q14761_PTPRCAP.pdf</v>
      </c>
    </row>
    <row r="3649" spans="1:28" x14ac:dyDescent="0.25">
      <c r="A3649" t="s">
        <v>3653</v>
      </c>
      <c r="B3649">
        <v>0.99999676499088797</v>
      </c>
      <c r="C3649">
        <v>0.74153961007070102</v>
      </c>
      <c r="D3649">
        <v>0.25942933406969498</v>
      </c>
      <c r="E3649">
        <v>0.179820951254794</v>
      </c>
      <c r="F3649">
        <v>0.157163637952281</v>
      </c>
      <c r="G3649">
        <v>0.100894553960951</v>
      </c>
      <c r="H3649">
        <v>5.32602879102776E-2</v>
      </c>
      <c r="I3649">
        <v>5.07927214580614E-2</v>
      </c>
      <c r="J3649">
        <v>4.85237401605772E-2</v>
      </c>
      <c r="K3649">
        <v>4.4251267461616499E-2</v>
      </c>
      <c r="L3649">
        <v>1415.0481099454701</v>
      </c>
      <c r="M3649">
        <v>32.057644591081001</v>
      </c>
      <c r="N3649">
        <v>44.394612818889698</v>
      </c>
      <c r="O3649">
        <v>43.970039629737101</v>
      </c>
      <c r="P3649">
        <v>-0.167004167567012</v>
      </c>
      <c r="Q3649">
        <v>8.3757622311556507E-2</v>
      </c>
      <c r="R3649">
        <v>0.983688519665193</v>
      </c>
      <c r="S3649" t="s">
        <v>10652</v>
      </c>
      <c r="T3649" t="s">
        <v>14004</v>
      </c>
      <c r="U3649" t="s">
        <v>14004</v>
      </c>
      <c r="V3649" t="s">
        <v>14004</v>
      </c>
      <c r="W3649" t="s">
        <v>17608</v>
      </c>
      <c r="X3649">
        <v>33</v>
      </c>
      <c r="Y3649" t="s">
        <v>24445</v>
      </c>
      <c r="Z3649" t="s">
        <v>31359</v>
      </c>
      <c r="AA3649">
        <v>0.21575979442275101</v>
      </c>
      <c r="AB3649" t="str">
        <f>HYPERLINK("Melting_Curves/meltCurve_Q14789_GOLGB1.pdf", "Melting_Curves/meltCurve_Q14789_GOLGB1.pdf")</f>
        <v>Melting_Curves/meltCurve_Q14789_GOLGB1.pdf</v>
      </c>
    </row>
    <row r="3650" spans="1:28" x14ac:dyDescent="0.25">
      <c r="A3650" t="s">
        <v>3654</v>
      </c>
      <c r="B3650">
        <v>0.99999676499088797</v>
      </c>
      <c r="C3650">
        <v>0.896883607774286</v>
      </c>
      <c r="D3650">
        <v>0.70531284453870702</v>
      </c>
      <c r="E3650">
        <v>0.28082042825132297</v>
      </c>
      <c r="F3650">
        <v>0.18360290224342299</v>
      </c>
      <c r="G3650">
        <v>0.123938401307345</v>
      </c>
      <c r="H3650">
        <v>6.8610866685292801E-2</v>
      </c>
      <c r="I3650">
        <v>6.4889097761987799E-2</v>
      </c>
      <c r="J3650">
        <v>6.6607977061166196E-2</v>
      </c>
      <c r="K3650">
        <v>6.9132327182545805E-2</v>
      </c>
      <c r="L3650">
        <v>1061.36319865159</v>
      </c>
      <c r="M3650">
        <v>22.4297811510739</v>
      </c>
      <c r="N3650">
        <v>47.663822671593799</v>
      </c>
      <c r="O3650">
        <v>46.948058302924601</v>
      </c>
      <c r="P3650">
        <v>-0.11050512627719999</v>
      </c>
      <c r="Q3650">
        <v>7.4820425642394495E-2</v>
      </c>
      <c r="R3650">
        <v>0.99586569173601303</v>
      </c>
      <c r="S3650" t="s">
        <v>10653</v>
      </c>
      <c r="T3650" t="s">
        <v>14004</v>
      </c>
      <c r="U3650" t="s">
        <v>14004</v>
      </c>
      <c r="V3650" t="s">
        <v>14004</v>
      </c>
      <c r="W3650" t="s">
        <v>17609</v>
      </c>
      <c r="X3650">
        <v>6</v>
      </c>
      <c r="Y3650" t="s">
        <v>24446</v>
      </c>
      <c r="Z3650" t="s">
        <v>31360</v>
      </c>
      <c r="AA3650">
        <v>0.31096118983633642</v>
      </c>
      <c r="AB3650" t="str">
        <f>HYPERLINK("Melting_Curves/meltCurve_Q14790_2_CASP8.pdf", "Melting_Curves/meltCurve_Q14790_2_CASP8.pdf")</f>
        <v>Melting_Curves/meltCurve_Q14790_2_CASP8.pdf</v>
      </c>
    </row>
    <row r="3651" spans="1:28" x14ac:dyDescent="0.25">
      <c r="A3651" t="s">
        <v>3655</v>
      </c>
      <c r="B3651">
        <v>0.99999676499088797</v>
      </c>
      <c r="C3651">
        <v>0.98956990851885995</v>
      </c>
      <c r="D3651">
        <v>0.99948317184448499</v>
      </c>
      <c r="E3651">
        <v>1.01374859057766</v>
      </c>
      <c r="F3651">
        <v>0.36903985249573801</v>
      </c>
      <c r="G3651">
        <v>0.16527037834185901</v>
      </c>
      <c r="H3651">
        <v>9.0500400431664602E-2</v>
      </c>
      <c r="I3651">
        <v>8.7220456668214499E-2</v>
      </c>
      <c r="J3651">
        <v>9.5905763122798998E-2</v>
      </c>
      <c r="K3651">
        <v>6.99882145622268E-2</v>
      </c>
      <c r="L3651">
        <v>4196.2819351671496</v>
      </c>
      <c r="M3651">
        <v>79.725332953878393</v>
      </c>
      <c r="N3651">
        <v>52.783678823600297</v>
      </c>
      <c r="O3651">
        <v>52.6011468839774</v>
      </c>
      <c r="P3651">
        <v>-0.34063275123841702</v>
      </c>
      <c r="Q3651">
        <v>0.10102998657797101</v>
      </c>
      <c r="R3651">
        <v>0.99690369790129896</v>
      </c>
      <c r="S3651" t="s">
        <v>10654</v>
      </c>
      <c r="T3651" t="s">
        <v>14004</v>
      </c>
      <c r="U3651" t="s">
        <v>14004</v>
      </c>
      <c r="V3651" t="s">
        <v>14004</v>
      </c>
      <c r="W3651" t="s">
        <v>17610</v>
      </c>
      <c r="X3651">
        <v>10</v>
      </c>
      <c r="Y3651" t="s">
        <v>24447</v>
      </c>
      <c r="Z3651" t="s">
        <v>31361</v>
      </c>
      <c r="AA3651">
        <v>0.48044141274260471</v>
      </c>
      <c r="AB3651" t="str">
        <f>HYPERLINK("Melting_Curves/meltCurve_Q147X3_NAA30.pdf", "Melting_Curves/meltCurve_Q147X3_NAA30.pdf")</f>
        <v>Melting_Curves/meltCurve_Q147X3_NAA30.pdf</v>
      </c>
    </row>
    <row r="3652" spans="1:28" x14ac:dyDescent="0.25">
      <c r="A3652" t="s">
        <v>3656</v>
      </c>
      <c r="B3652">
        <v>0.99999676499088797</v>
      </c>
      <c r="C3652">
        <v>0.78747499953170297</v>
      </c>
      <c r="D3652">
        <v>0.31416969555624202</v>
      </c>
      <c r="E3652">
        <v>0.23678448924502599</v>
      </c>
      <c r="F3652">
        <v>0.21620396228201899</v>
      </c>
      <c r="G3652">
        <v>0.17140259563754401</v>
      </c>
      <c r="H3652">
        <v>0.10708873055887801</v>
      </c>
      <c r="I3652">
        <v>0.12538979832217001</v>
      </c>
      <c r="J3652">
        <v>8.9795840578846001E-2</v>
      </c>
      <c r="K3652">
        <v>6.3834538806382998E-2</v>
      </c>
      <c r="L3652">
        <v>1433.7002061253099</v>
      </c>
      <c r="M3652">
        <v>32.3459460617728</v>
      </c>
      <c r="N3652">
        <v>44.767158998869903</v>
      </c>
      <c r="O3652">
        <v>44.155568559919502</v>
      </c>
      <c r="P3652">
        <v>-0.15804555905666501</v>
      </c>
      <c r="Q3652">
        <v>0.137009896739789</v>
      </c>
      <c r="R3652">
        <v>0.97599758470231301</v>
      </c>
      <c r="S3652" t="s">
        <v>10655</v>
      </c>
      <c r="T3652" t="s">
        <v>14004</v>
      </c>
      <c r="U3652" t="s">
        <v>14004</v>
      </c>
      <c r="V3652" t="s">
        <v>14004</v>
      </c>
      <c r="W3652" t="s">
        <v>17611</v>
      </c>
      <c r="X3652">
        <v>8</v>
      </c>
      <c r="Y3652" t="s">
        <v>24448</v>
      </c>
      <c r="Z3652" t="s">
        <v>31362</v>
      </c>
      <c r="AA3652">
        <v>0.26636581339078008</v>
      </c>
      <c r="AB3652" t="str">
        <f>HYPERLINK("Melting_Curves/meltCurve_Q14807_KIF22.pdf", "Melting_Curves/meltCurve_Q14807_KIF22.pdf")</f>
        <v>Melting_Curves/meltCurve_Q14807_KIF22.pdf</v>
      </c>
    </row>
    <row r="3653" spans="1:28" x14ac:dyDescent="0.25">
      <c r="A3653" t="s">
        <v>3657</v>
      </c>
      <c r="B3653">
        <v>0.99999676499088797</v>
      </c>
      <c r="C3653">
        <v>0.92356347532480398</v>
      </c>
      <c r="D3653">
        <v>0.85687795293680802</v>
      </c>
      <c r="E3653">
        <v>0.75337964684578795</v>
      </c>
      <c r="F3653">
        <v>0.72529436742891396</v>
      </c>
      <c r="G3653">
        <v>0.39079268925183802</v>
      </c>
      <c r="H3653">
        <v>0.23571074018111701</v>
      </c>
      <c r="I3653">
        <v>0.28496958545608297</v>
      </c>
      <c r="J3653">
        <v>0.20815680812885501</v>
      </c>
      <c r="K3653">
        <v>0.20267969014038301</v>
      </c>
      <c r="L3653">
        <v>635.48807945675696</v>
      </c>
      <c r="M3653">
        <v>11.7468478991144</v>
      </c>
      <c r="N3653">
        <v>55.459775228746999</v>
      </c>
      <c r="O3653">
        <v>52.602182284567803</v>
      </c>
      <c r="P3653">
        <v>-4.8849726806371598E-2</v>
      </c>
      <c r="Q3653">
        <v>0.12523608822105001</v>
      </c>
      <c r="R3653">
        <v>0.96910646223095098</v>
      </c>
      <c r="S3653" t="s">
        <v>10656</v>
      </c>
      <c r="T3653" t="s">
        <v>14004</v>
      </c>
      <c r="U3653" t="s">
        <v>14004</v>
      </c>
      <c r="V3653" t="s">
        <v>14004</v>
      </c>
      <c r="W3653" t="s">
        <v>17612</v>
      </c>
      <c r="X3653">
        <v>3</v>
      </c>
      <c r="Y3653" t="s">
        <v>24449</v>
      </c>
      <c r="Z3653" t="s">
        <v>31363</v>
      </c>
      <c r="AA3653">
        <v>0.55939677997041126</v>
      </c>
      <c r="AB3653" t="str">
        <f>HYPERLINK("Melting_Curves/meltCurve_Q14814_4_MEF2D.pdf", "Melting_Curves/meltCurve_Q14814_4_MEF2D.pdf")</f>
        <v>Melting_Curves/meltCurve_Q14814_4_MEF2D.pdf</v>
      </c>
    </row>
    <row r="3654" spans="1:28" x14ac:dyDescent="0.25">
      <c r="A3654" t="s">
        <v>3658</v>
      </c>
      <c r="B3654">
        <v>0.99999676499088797</v>
      </c>
      <c r="C3654">
        <v>0.98132828197243505</v>
      </c>
      <c r="D3654">
        <v>0.998717808377522</v>
      </c>
      <c r="E3654">
        <v>0.87197275103274696</v>
      </c>
      <c r="F3654">
        <v>0.82257351991292904</v>
      </c>
      <c r="G3654">
        <v>0.73598156070765497</v>
      </c>
      <c r="H3654">
        <v>0.47232480966901003</v>
      </c>
      <c r="I3654">
        <v>0.56721574836342203</v>
      </c>
      <c r="J3654">
        <v>0.52116816885557504</v>
      </c>
      <c r="K3654">
        <v>0.563744402091367</v>
      </c>
      <c r="L3654">
        <v>936.41183644712498</v>
      </c>
      <c r="M3654">
        <v>17.180310478794102</v>
      </c>
      <c r="O3654">
        <v>53.782566631836801</v>
      </c>
      <c r="P3654">
        <v>-3.90722884007157E-2</v>
      </c>
      <c r="Q3654">
        <v>0.51076944984350603</v>
      </c>
      <c r="R3654">
        <v>0.94534127543991997</v>
      </c>
      <c r="S3654" t="s">
        <v>10657</v>
      </c>
      <c r="T3654" t="s">
        <v>14004</v>
      </c>
      <c r="U3654" t="s">
        <v>14004</v>
      </c>
      <c r="V3654" t="s">
        <v>14004</v>
      </c>
      <c r="W3654" t="s">
        <v>17613</v>
      </c>
      <c r="X3654">
        <v>23</v>
      </c>
      <c r="Y3654" t="s">
        <v>24450</v>
      </c>
      <c r="Z3654" t="s">
        <v>31364</v>
      </c>
      <c r="AA3654">
        <v>0.75553382956311455</v>
      </c>
      <c r="AB3654" t="str">
        <f>HYPERLINK("Melting_Curves/meltCurve_Q14847_LASP1.pdf", "Melting_Curves/meltCurve_Q14847_LASP1.pdf")</f>
        <v>Melting_Curves/meltCurve_Q14847_LASP1.pdf</v>
      </c>
    </row>
    <row r="3655" spans="1:28" x14ac:dyDescent="0.25">
      <c r="A3655" t="s">
        <v>3659</v>
      </c>
      <c r="B3655">
        <v>0.99999676499088797</v>
      </c>
      <c r="C3655">
        <v>1.0457269809641301</v>
      </c>
      <c r="D3655">
        <v>0.94651668391753496</v>
      </c>
      <c r="E3655">
        <v>0.78226032972258097</v>
      </c>
      <c r="F3655">
        <v>0.790991151061882</v>
      </c>
      <c r="G3655">
        <v>0.66231791627111802</v>
      </c>
      <c r="H3655">
        <v>0.45607381209558401</v>
      </c>
      <c r="I3655">
        <v>0.253894019040595</v>
      </c>
      <c r="J3655">
        <v>0.111923659829849</v>
      </c>
      <c r="K3655">
        <v>0.134334862440355</v>
      </c>
      <c r="L3655">
        <v>707.18141276989604</v>
      </c>
      <c r="M3655">
        <v>12.0089422501862</v>
      </c>
      <c r="N3655">
        <v>58.887901894438201</v>
      </c>
      <c r="O3655">
        <v>57.326240318449301</v>
      </c>
      <c r="P3655">
        <v>-5.2383621482756201E-2</v>
      </c>
      <c r="Q3655">
        <v>0</v>
      </c>
      <c r="R3655">
        <v>0.97361780433128098</v>
      </c>
      <c r="S3655" t="s">
        <v>10658</v>
      </c>
      <c r="T3655" t="s">
        <v>14004</v>
      </c>
      <c r="U3655" t="s">
        <v>14004</v>
      </c>
      <c r="V3655" t="s">
        <v>14004</v>
      </c>
      <c r="W3655" t="s">
        <v>17614</v>
      </c>
      <c r="X3655">
        <v>3</v>
      </c>
      <c r="Y3655" t="s">
        <v>24451</v>
      </c>
      <c r="Z3655" t="s">
        <v>31365</v>
      </c>
      <c r="AA3655">
        <v>0.63809610377462</v>
      </c>
      <c r="AB3655" t="str">
        <f>HYPERLINK("Melting_Curves/meltCurve_Q14894_CRYM.pdf", "Melting_Curves/meltCurve_Q14894_CRYM.pdf")</f>
        <v>Melting_Curves/meltCurve_Q14894_CRYM.pdf</v>
      </c>
    </row>
    <row r="3656" spans="1:28" x14ac:dyDescent="0.25">
      <c r="A3656" t="s">
        <v>3660</v>
      </c>
      <c r="B3656">
        <v>0.99999676499088797</v>
      </c>
      <c r="C3656">
        <v>0.729671826479657</v>
      </c>
      <c r="D3656">
        <v>0.76379987859561405</v>
      </c>
      <c r="E3656">
        <v>0.62259781195716402</v>
      </c>
      <c r="F3656">
        <v>0.53714465438251202</v>
      </c>
      <c r="G3656">
        <v>0.40809985443979002</v>
      </c>
      <c r="H3656">
        <v>0.21823376630755301</v>
      </c>
      <c r="I3656">
        <v>0.22277998205469501</v>
      </c>
      <c r="J3656">
        <v>0.112643698045926</v>
      </c>
      <c r="K3656">
        <v>8.9876870094626596E-2</v>
      </c>
      <c r="L3656">
        <v>414.89998310831601</v>
      </c>
      <c r="M3656">
        <v>7.8666426447802102</v>
      </c>
      <c r="N3656">
        <v>52.741683509290802</v>
      </c>
      <c r="O3656">
        <v>49.659612022332603</v>
      </c>
      <c r="P3656">
        <v>-3.96505082994821E-2</v>
      </c>
      <c r="Q3656">
        <v>0</v>
      </c>
      <c r="R3656">
        <v>0.96195466641717198</v>
      </c>
      <c r="S3656" t="s">
        <v>10659</v>
      </c>
      <c r="T3656" t="s">
        <v>14004</v>
      </c>
      <c r="U3656" t="s">
        <v>14004</v>
      </c>
      <c r="V3656" t="s">
        <v>14004</v>
      </c>
      <c r="W3656" t="s">
        <v>17615</v>
      </c>
      <c r="X3656">
        <v>4</v>
      </c>
      <c r="Y3656" t="s">
        <v>24452</v>
      </c>
      <c r="Z3656" t="s">
        <v>31366</v>
      </c>
      <c r="AA3656">
        <v>0.46762486987485441</v>
      </c>
      <c r="AB3656" t="str">
        <f>HYPERLINK("Melting_Curves/meltCurve_Q14964_RAB39A.pdf", "Melting_Curves/meltCurve_Q14964_RAB39A.pdf")</f>
        <v>Melting_Curves/meltCurve_Q14964_RAB39A.pdf</v>
      </c>
    </row>
    <row r="3657" spans="1:28" x14ac:dyDescent="0.25">
      <c r="A3657" t="s">
        <v>3661</v>
      </c>
      <c r="B3657">
        <v>0.99999676499088797</v>
      </c>
      <c r="C3657">
        <v>0.82178654446931498</v>
      </c>
      <c r="D3657">
        <v>0.63811500654922704</v>
      </c>
      <c r="E3657">
        <v>0.387645820254781</v>
      </c>
      <c r="F3657">
        <v>0.219146571089188</v>
      </c>
      <c r="G3657">
        <v>0.171919491487599</v>
      </c>
      <c r="H3657">
        <v>0.115196390385815</v>
      </c>
      <c r="I3657">
        <v>0.16329781038916799</v>
      </c>
      <c r="J3657">
        <v>0.21074734492219999</v>
      </c>
      <c r="K3657">
        <v>0.19989682588995999</v>
      </c>
      <c r="L3657">
        <v>868.44966087179</v>
      </c>
      <c r="M3657">
        <v>18.6488708622344</v>
      </c>
      <c r="N3657">
        <v>47.572594860032197</v>
      </c>
      <c r="O3657">
        <v>46.042931058237301</v>
      </c>
      <c r="P3657">
        <v>-8.4787642591084803E-2</v>
      </c>
      <c r="Q3657">
        <v>0.162693893619278</v>
      </c>
      <c r="R3657">
        <v>0.98798762376849503</v>
      </c>
      <c r="S3657" t="s">
        <v>10660</v>
      </c>
      <c r="T3657" t="s">
        <v>14004</v>
      </c>
      <c r="U3657" t="s">
        <v>14004</v>
      </c>
      <c r="V3657" t="s">
        <v>14004</v>
      </c>
      <c r="W3657" t="s">
        <v>17616</v>
      </c>
      <c r="X3657">
        <v>20</v>
      </c>
      <c r="Y3657" t="s">
        <v>24453</v>
      </c>
      <c r="Z3657" t="s">
        <v>31367</v>
      </c>
      <c r="AA3657">
        <v>0.36064226798383658</v>
      </c>
      <c r="AB3657" t="str">
        <f>HYPERLINK("Melting_Curves/meltCurve_Q14966_ZNF638.pdf", "Melting_Curves/meltCurve_Q14966_ZNF638.pdf")</f>
        <v>Melting_Curves/meltCurve_Q14966_ZNF638.pdf</v>
      </c>
    </row>
    <row r="3658" spans="1:28" x14ac:dyDescent="0.25">
      <c r="A3658" t="s">
        <v>3662</v>
      </c>
      <c r="B3658">
        <v>0.99999676499088797</v>
      </c>
      <c r="C3658">
        <v>0.97133715138481502</v>
      </c>
      <c r="D3658">
        <v>0.863452243610626</v>
      </c>
      <c r="E3658">
        <v>0.41042079476417698</v>
      </c>
      <c r="F3658">
        <v>0.23714731399836</v>
      </c>
      <c r="G3658">
        <v>0.157353881177757</v>
      </c>
      <c r="H3658">
        <v>7.4020462095376202E-2</v>
      </c>
      <c r="I3658">
        <v>6.5454042427887105E-2</v>
      </c>
      <c r="J3658">
        <v>5.7018894272195898E-2</v>
      </c>
      <c r="K3658">
        <v>4.7224031602029398E-2</v>
      </c>
      <c r="L3658">
        <v>1126.8823256138101</v>
      </c>
      <c r="M3658">
        <v>23.040160280250301</v>
      </c>
      <c r="N3658">
        <v>49.2403666877467</v>
      </c>
      <c r="O3658">
        <v>48.545518076878601</v>
      </c>
      <c r="P3658">
        <v>-0.110145024185153</v>
      </c>
      <c r="Q3658">
        <v>7.1717101155414395E-2</v>
      </c>
      <c r="R3658">
        <v>0.99351441033859</v>
      </c>
      <c r="S3658" t="s">
        <v>10661</v>
      </c>
      <c r="T3658" t="s">
        <v>14004</v>
      </c>
      <c r="U3658" t="s">
        <v>14004</v>
      </c>
      <c r="V3658" t="s">
        <v>14004</v>
      </c>
      <c r="W3658" t="s">
        <v>17617</v>
      </c>
      <c r="X3658">
        <v>40</v>
      </c>
      <c r="Y3658" t="s">
        <v>24454</v>
      </c>
      <c r="Z3658" t="s">
        <v>31368</v>
      </c>
      <c r="AA3658">
        <v>0.35713229541835662</v>
      </c>
      <c r="AB3658" t="str">
        <f>HYPERLINK("Melting_Curves/meltCurve_Q14974_KPNB1.pdf", "Melting_Curves/meltCurve_Q14974_KPNB1.pdf")</f>
        <v>Melting_Curves/meltCurve_Q14974_KPNB1.pdf</v>
      </c>
    </row>
    <row r="3659" spans="1:28" x14ac:dyDescent="0.25">
      <c r="A3659" t="s">
        <v>3663</v>
      </c>
      <c r="B3659">
        <v>0.99999676499088797</v>
      </c>
      <c r="C3659">
        <v>0.96650151649689398</v>
      </c>
      <c r="D3659">
        <v>0.97178763290699099</v>
      </c>
      <c r="E3659">
        <v>0.91046448507484401</v>
      </c>
      <c r="F3659">
        <v>0.64808929705296503</v>
      </c>
      <c r="G3659">
        <v>0.62647984718900895</v>
      </c>
      <c r="H3659">
        <v>0.366101802407303</v>
      </c>
      <c r="I3659">
        <v>0.508532119804886</v>
      </c>
      <c r="J3659">
        <v>0.51689547313974704</v>
      </c>
      <c r="K3659">
        <v>0.59852781745983197</v>
      </c>
      <c r="L3659">
        <v>1481.5367704993901</v>
      </c>
      <c r="M3659">
        <v>28.553407340790599</v>
      </c>
      <c r="O3659">
        <v>51.6340065115741</v>
      </c>
      <c r="P3659">
        <v>-6.7734623550998393E-2</v>
      </c>
      <c r="Q3659">
        <v>0.51005741104369995</v>
      </c>
      <c r="R3659">
        <v>0.91862008067978396</v>
      </c>
      <c r="S3659" t="s">
        <v>10662</v>
      </c>
      <c r="T3659" t="s">
        <v>14004</v>
      </c>
      <c r="U3659" t="s">
        <v>14004</v>
      </c>
      <c r="V3659" t="s">
        <v>14004</v>
      </c>
      <c r="W3659" t="s">
        <v>17618</v>
      </c>
      <c r="X3659">
        <v>30</v>
      </c>
      <c r="Y3659" t="s">
        <v>24455</v>
      </c>
      <c r="Z3659" t="s">
        <v>31369</v>
      </c>
      <c r="AA3659">
        <v>0.70762709324169504</v>
      </c>
      <c r="AB3659" t="str">
        <f>HYPERLINK("Melting_Curves/meltCurve_Q14978_2_NOLC1.pdf", "Melting_Curves/meltCurve_Q14978_2_NOLC1.pdf")</f>
        <v>Melting_Curves/meltCurve_Q14978_2_NOLC1.pdf</v>
      </c>
    </row>
    <row r="3660" spans="1:28" x14ac:dyDescent="0.25">
      <c r="A3660" t="s">
        <v>3664</v>
      </c>
      <c r="B3660">
        <v>0.99999676499088797</v>
      </c>
      <c r="C3660">
        <v>0.68919814615984998</v>
      </c>
      <c r="D3660">
        <v>0.48794303862333899</v>
      </c>
      <c r="E3660">
        <v>0.301348233651621</v>
      </c>
      <c r="F3660">
        <v>0.242328091173449</v>
      </c>
      <c r="G3660">
        <v>0.179575228835675</v>
      </c>
      <c r="H3660">
        <v>0.135581419319143</v>
      </c>
      <c r="I3660">
        <v>0.22428922605637899</v>
      </c>
      <c r="J3660">
        <v>0.31882440792566102</v>
      </c>
      <c r="K3660">
        <v>0.33283950717418198</v>
      </c>
      <c r="L3660">
        <v>1016.60914269078</v>
      </c>
      <c r="M3660">
        <v>23.032840217473701</v>
      </c>
      <c r="N3660">
        <v>45.415914172574702</v>
      </c>
      <c r="O3660">
        <v>43.8087089776214</v>
      </c>
      <c r="P3660">
        <v>-0.100085039282492</v>
      </c>
      <c r="Q3660">
        <v>0.238562918973801</v>
      </c>
      <c r="R3660">
        <v>0.94021970640873598</v>
      </c>
      <c r="S3660" t="s">
        <v>10663</v>
      </c>
      <c r="T3660" t="s">
        <v>14004</v>
      </c>
      <c r="U3660" t="s">
        <v>14004</v>
      </c>
      <c r="V3660" t="s">
        <v>14004</v>
      </c>
      <c r="W3660" t="s">
        <v>17619</v>
      </c>
      <c r="X3660">
        <v>62</v>
      </c>
      <c r="Y3660" t="s">
        <v>24456</v>
      </c>
      <c r="Z3660" t="s">
        <v>31370</v>
      </c>
      <c r="AA3660">
        <v>0.35395903730261341</v>
      </c>
      <c r="AB3660" t="str">
        <f>HYPERLINK("Melting_Curves/meltCurve_Q14980_2_NUMA1.pdf", "Melting_Curves/meltCurve_Q14980_2_NUMA1.pdf")</f>
        <v>Melting_Curves/meltCurve_Q14980_2_NUMA1.pdf</v>
      </c>
    </row>
    <row r="3661" spans="1:28" x14ac:dyDescent="0.25">
      <c r="A3661" t="s">
        <v>3665</v>
      </c>
      <c r="B3661">
        <v>0.99999676499088797</v>
      </c>
      <c r="C3661">
        <v>1.50516866355407</v>
      </c>
      <c r="D3661">
        <v>1.47346049860297</v>
      </c>
      <c r="E3661">
        <v>1.48583926232288</v>
      </c>
      <c r="F3661">
        <v>0.38795192093275199</v>
      </c>
      <c r="G3661">
        <v>0.83373006314508202</v>
      </c>
      <c r="H3661">
        <v>0.44723237525696802</v>
      </c>
      <c r="I3661">
        <v>0.27298509632012302</v>
      </c>
      <c r="J3661">
        <v>0.33539139420817798</v>
      </c>
      <c r="K3661">
        <v>0.63862725251792996</v>
      </c>
      <c r="L3661">
        <v>12876.3970611438</v>
      </c>
      <c r="M3661">
        <v>250</v>
      </c>
      <c r="N3661">
        <v>52.252430513700403</v>
      </c>
      <c r="O3661">
        <v>51.502293377897601</v>
      </c>
      <c r="P3661">
        <v>-0.62379786701048101</v>
      </c>
      <c r="Q3661">
        <v>0.48596767998539903</v>
      </c>
      <c r="R3661">
        <v>0.584895368053721</v>
      </c>
      <c r="S3661" t="s">
        <v>10664</v>
      </c>
      <c r="T3661" t="s">
        <v>14004</v>
      </c>
      <c r="U3661" t="s">
        <v>14004</v>
      </c>
      <c r="V3661" t="s">
        <v>14004</v>
      </c>
      <c r="W3661" t="s">
        <v>17620</v>
      </c>
      <c r="X3661">
        <v>1</v>
      </c>
      <c r="Y3661" t="s">
        <v>24457</v>
      </c>
      <c r="Z3661" t="s">
        <v>31371</v>
      </c>
      <c r="AA3661">
        <v>0.68315561809054015</v>
      </c>
      <c r="AB3661" t="str">
        <f>HYPERLINK("Melting_Curves/meltCurve_Q14990_ODF1.pdf", "Melting_Curves/meltCurve_Q14990_ODF1.pdf")</f>
        <v>Melting_Curves/meltCurve_Q14990_ODF1.pdf</v>
      </c>
    </row>
    <row r="3662" spans="1:28" x14ac:dyDescent="0.25">
      <c r="A3662" t="s">
        <v>3666</v>
      </c>
      <c r="B3662">
        <v>0.99999676499088797</v>
      </c>
      <c r="C3662">
        <v>0.96963550726372605</v>
      </c>
      <c r="D3662">
        <v>1.00258062602482</v>
      </c>
      <c r="E3662">
        <v>1.1893768198268699</v>
      </c>
      <c r="F3662">
        <v>0.395832643888059</v>
      </c>
      <c r="G3662">
        <v>0.27233649784877401</v>
      </c>
      <c r="H3662">
        <v>0.131781300261476</v>
      </c>
      <c r="I3662">
        <v>0.12174500379648499</v>
      </c>
      <c r="J3662">
        <v>0.125663669909994</v>
      </c>
      <c r="K3662">
        <v>9.4007362980747106E-2</v>
      </c>
      <c r="L3662">
        <v>13252.355522858699</v>
      </c>
      <c r="M3662">
        <v>250</v>
      </c>
      <c r="N3662">
        <v>53.084615842808198</v>
      </c>
      <c r="O3662">
        <v>53.006020716241402</v>
      </c>
      <c r="P3662">
        <v>-1.00329770802264</v>
      </c>
      <c r="Q3662">
        <v>0.14910674860449899</v>
      </c>
      <c r="R3662">
        <v>0.96915716637278804</v>
      </c>
      <c r="S3662" t="s">
        <v>10665</v>
      </c>
      <c r="T3662" t="s">
        <v>14004</v>
      </c>
      <c r="U3662" t="s">
        <v>14004</v>
      </c>
      <c r="V3662" t="s">
        <v>14004</v>
      </c>
      <c r="W3662" t="s">
        <v>17621</v>
      </c>
      <c r="X3662">
        <v>12</v>
      </c>
      <c r="Y3662" t="s">
        <v>24458</v>
      </c>
      <c r="Z3662" t="s">
        <v>31372</v>
      </c>
      <c r="AA3662">
        <v>0.518173556547039</v>
      </c>
      <c r="AB3662" t="str">
        <f>HYPERLINK("Melting_Curves/meltCurve_Q14997_PSME4.pdf", "Melting_Curves/meltCurve_Q14997_PSME4.pdf")</f>
        <v>Melting_Curves/meltCurve_Q14997_PSME4.pdf</v>
      </c>
    </row>
    <row r="3663" spans="1:28" x14ac:dyDescent="0.25">
      <c r="A3663" t="s">
        <v>3667</v>
      </c>
      <c r="B3663">
        <v>0.99999676499088797</v>
      </c>
      <c r="C3663">
        <v>0.86529734705628303</v>
      </c>
      <c r="D3663">
        <v>0.63296967749263999</v>
      </c>
      <c r="E3663">
        <v>0.33161830820378102</v>
      </c>
      <c r="F3663">
        <v>0.190517757329667</v>
      </c>
      <c r="G3663">
        <v>0.186124007428669</v>
      </c>
      <c r="H3663">
        <v>7.1706557458479703E-2</v>
      </c>
      <c r="I3663">
        <v>7.0374892078847201E-2</v>
      </c>
      <c r="J3663">
        <v>2.6652765228717699E-2</v>
      </c>
      <c r="K3663">
        <v>3.1104161669043E-2</v>
      </c>
      <c r="L3663">
        <v>783.94714730078101</v>
      </c>
      <c r="M3663">
        <v>16.550345154740299</v>
      </c>
      <c r="N3663">
        <v>47.688548948744497</v>
      </c>
      <c r="O3663">
        <v>46.692063110786101</v>
      </c>
      <c r="P3663">
        <v>-8.3947334383419295E-2</v>
      </c>
      <c r="Q3663">
        <v>5.2731088028015599E-2</v>
      </c>
      <c r="R3663">
        <v>0.99123792847577596</v>
      </c>
      <c r="S3663" t="s">
        <v>10666</v>
      </c>
      <c r="T3663" t="s">
        <v>14004</v>
      </c>
      <c r="U3663" t="s">
        <v>14004</v>
      </c>
      <c r="V3663" t="s">
        <v>14004</v>
      </c>
      <c r="W3663" t="s">
        <v>17622</v>
      </c>
      <c r="X3663">
        <v>5</v>
      </c>
      <c r="Y3663" t="s">
        <v>24459</v>
      </c>
      <c r="Z3663" t="s">
        <v>31373</v>
      </c>
      <c r="AA3663">
        <v>0.30590898412311152</v>
      </c>
      <c r="AB3663" t="str">
        <f>HYPERLINK("Melting_Curves/meltCurve_Q14BN4_2_SLMAP.pdf", "Melting_Curves/meltCurve_Q14BN4_2_SLMAP.pdf")</f>
        <v>Melting_Curves/meltCurve_Q14BN4_2_SLMAP.pdf</v>
      </c>
    </row>
    <row r="3664" spans="1:28" x14ac:dyDescent="0.25">
      <c r="A3664" t="s">
        <v>3668</v>
      </c>
      <c r="B3664">
        <v>0.99999676499088797</v>
      </c>
      <c r="C3664">
        <v>1.02003903509153</v>
      </c>
      <c r="D3664">
        <v>0.75724225260582001</v>
      </c>
      <c r="E3664">
        <v>0.318662406413879</v>
      </c>
      <c r="F3664">
        <v>0.22975325749486</v>
      </c>
      <c r="G3664">
        <v>0.15445337041868901</v>
      </c>
      <c r="H3664">
        <v>7.8127902510846906E-2</v>
      </c>
      <c r="I3664">
        <v>8.7094673704886605E-2</v>
      </c>
      <c r="J3664">
        <v>8.8522433026224395E-2</v>
      </c>
      <c r="K3664">
        <v>6.5181683566279902E-2</v>
      </c>
      <c r="L3664">
        <v>1257.5271401730799</v>
      </c>
      <c r="M3664">
        <v>26.3047926027476</v>
      </c>
      <c r="N3664">
        <v>48.214182719958998</v>
      </c>
      <c r="O3664">
        <v>47.532283618929398</v>
      </c>
      <c r="P3664">
        <v>-0.124543353323238</v>
      </c>
      <c r="Q3664">
        <v>9.9819559829714799E-2</v>
      </c>
      <c r="R3664">
        <v>0.98986623529860596</v>
      </c>
      <c r="S3664" t="s">
        <v>10667</v>
      </c>
      <c r="T3664" t="s">
        <v>14004</v>
      </c>
      <c r="U3664" t="s">
        <v>14004</v>
      </c>
      <c r="V3664" t="s">
        <v>14004</v>
      </c>
      <c r="W3664" t="s">
        <v>17623</v>
      </c>
      <c r="X3664">
        <v>26</v>
      </c>
      <c r="Y3664" t="s">
        <v>24460</v>
      </c>
      <c r="Z3664" t="s">
        <v>31374</v>
      </c>
      <c r="AA3664">
        <v>0.34118959791348219</v>
      </c>
      <c r="AB3664" t="str">
        <f>HYPERLINK("Melting_Curves/meltCurve_Q14C86_5_GAPVD1.pdf", "Melting_Curves/meltCurve_Q14C86_5_GAPVD1.pdf")</f>
        <v>Melting_Curves/meltCurve_Q14C86_5_GAPVD1.pdf</v>
      </c>
    </row>
    <row r="3665" spans="1:28" x14ac:dyDescent="0.25">
      <c r="A3665" t="s">
        <v>3669</v>
      </c>
      <c r="B3665">
        <v>0.99999676499088797</v>
      </c>
      <c r="C3665">
        <v>1.00862251938475</v>
      </c>
      <c r="D3665">
        <v>1.09227578998579</v>
      </c>
      <c r="E3665">
        <v>1.3297880735665499</v>
      </c>
      <c r="F3665">
        <v>0.72242282055406404</v>
      </c>
      <c r="G3665">
        <v>0.216333620829637</v>
      </c>
      <c r="H3665">
        <v>9.1867688129695493E-2</v>
      </c>
      <c r="I3665">
        <v>8.7027647908861597E-2</v>
      </c>
      <c r="J3665">
        <v>7.6351814419557198E-2</v>
      </c>
      <c r="K3665">
        <v>6.8784934047641702E-2</v>
      </c>
      <c r="L3665">
        <v>2705.84928114073</v>
      </c>
      <c r="M3665">
        <v>49.8549991530112</v>
      </c>
      <c r="N3665">
        <v>54.483882475751699</v>
      </c>
      <c r="O3665">
        <v>54.187255886447197</v>
      </c>
      <c r="P3665">
        <v>-0.20995093732113801</v>
      </c>
      <c r="Q3665">
        <v>8.7220240154046294E-2</v>
      </c>
      <c r="R3665">
        <v>0.94597935075533002</v>
      </c>
      <c r="S3665" t="s">
        <v>10668</v>
      </c>
      <c r="T3665" t="s">
        <v>14004</v>
      </c>
      <c r="U3665" t="s">
        <v>14004</v>
      </c>
      <c r="V3665" t="s">
        <v>14004</v>
      </c>
      <c r="W3665" t="s">
        <v>17624</v>
      </c>
      <c r="X3665">
        <v>17</v>
      </c>
      <c r="Y3665" t="s">
        <v>24461</v>
      </c>
      <c r="Z3665" t="s">
        <v>31375</v>
      </c>
      <c r="AA3665">
        <v>0.52372974307560549</v>
      </c>
      <c r="AB3665" t="str">
        <f>HYPERLINK("Melting_Curves/meltCurve_Q14CX7_NAA25.pdf", "Melting_Curves/meltCurve_Q14CX7_NAA25.pdf")</f>
        <v>Melting_Curves/meltCurve_Q14CX7_NAA25.pdf</v>
      </c>
    </row>
    <row r="3666" spans="1:28" x14ac:dyDescent="0.25">
      <c r="A3666" t="s">
        <v>3670</v>
      </c>
      <c r="B3666">
        <v>0.99999676499088797</v>
      </c>
      <c r="C3666">
        <v>1.0291423954054</v>
      </c>
      <c r="D3666">
        <v>0.83500817511935699</v>
      </c>
      <c r="E3666">
        <v>0.29383237694782299</v>
      </c>
      <c r="F3666">
        <v>0.21831056400498</v>
      </c>
      <c r="G3666">
        <v>0.14402248521059899</v>
      </c>
      <c r="H3666">
        <v>8.7855854914487802E-2</v>
      </c>
      <c r="I3666">
        <v>8.3321787609740905E-2</v>
      </c>
      <c r="J3666">
        <v>8.8517875872429999E-2</v>
      </c>
      <c r="K3666">
        <v>8.1227701602612806E-2</v>
      </c>
      <c r="L3666">
        <v>1670.51386424878</v>
      </c>
      <c r="M3666">
        <v>34.871508590111802</v>
      </c>
      <c r="N3666">
        <v>48.2448016721927</v>
      </c>
      <c r="O3666">
        <v>47.7481166621086</v>
      </c>
      <c r="P3666">
        <v>-0.16269163987045901</v>
      </c>
      <c r="Q3666">
        <v>0.108935450720843</v>
      </c>
      <c r="R3666">
        <v>0.99130979570724598</v>
      </c>
      <c r="S3666" t="s">
        <v>10669</v>
      </c>
      <c r="T3666" t="s">
        <v>14004</v>
      </c>
      <c r="U3666" t="s">
        <v>14004</v>
      </c>
      <c r="V3666" t="s">
        <v>14004</v>
      </c>
      <c r="W3666" t="s">
        <v>17625</v>
      </c>
      <c r="X3666">
        <v>24</v>
      </c>
      <c r="Y3666" t="s">
        <v>24462</v>
      </c>
      <c r="Z3666" t="s">
        <v>31376</v>
      </c>
      <c r="AA3666">
        <v>0.34764650470562403</v>
      </c>
      <c r="AB3666" t="str">
        <f>HYPERLINK("Melting_Curves/meltCurve_Q15003_NCAPH.pdf", "Melting_Curves/meltCurve_Q15003_NCAPH.pdf")</f>
        <v>Melting_Curves/meltCurve_Q15003_NCAPH.pdf</v>
      </c>
    </row>
    <row r="3667" spans="1:28" x14ac:dyDescent="0.25">
      <c r="A3667" t="s">
        <v>3671</v>
      </c>
      <c r="B3667">
        <v>0.99999676499088797</v>
      </c>
      <c r="C3667">
        <v>1.0278146096494101</v>
      </c>
      <c r="D3667">
        <v>1.05202670519596</v>
      </c>
      <c r="E3667">
        <v>1.02726365974248</v>
      </c>
      <c r="F3667">
        <v>0.94598432416107603</v>
      </c>
      <c r="G3667">
        <v>0.93267309301920998</v>
      </c>
      <c r="H3667">
        <v>0.64615055664055498</v>
      </c>
      <c r="I3667">
        <v>0.74703127199806196</v>
      </c>
      <c r="J3667">
        <v>0.65348800406700502</v>
      </c>
      <c r="K3667">
        <v>0.73115378448797097</v>
      </c>
      <c r="L3667">
        <v>14271.7737099269</v>
      </c>
      <c r="M3667">
        <v>250</v>
      </c>
      <c r="O3667">
        <v>57.083440523622599</v>
      </c>
      <c r="P3667">
        <v>-0.33453670937635399</v>
      </c>
      <c r="Q3667">
        <v>0.69445589271534702</v>
      </c>
      <c r="R3667">
        <v>0.93649293407179701</v>
      </c>
      <c r="S3667" t="s">
        <v>10670</v>
      </c>
      <c r="T3667" t="s">
        <v>14004</v>
      </c>
      <c r="U3667" t="s">
        <v>14004</v>
      </c>
      <c r="V3667" t="s">
        <v>14004</v>
      </c>
      <c r="W3667" t="s">
        <v>17626</v>
      </c>
      <c r="X3667">
        <v>10</v>
      </c>
      <c r="Y3667" t="s">
        <v>24463</v>
      </c>
      <c r="Z3667" t="s">
        <v>31377</v>
      </c>
      <c r="AA3667">
        <v>0.86851520888106526</v>
      </c>
      <c r="AB3667" t="str">
        <f>HYPERLINK("Melting_Curves/meltCurve_Q15004_KIAA0101.pdf", "Melting_Curves/meltCurve_Q15004_KIAA0101.pdf")</f>
        <v>Melting_Curves/meltCurve_Q15004_KIAA0101.pdf</v>
      </c>
    </row>
    <row r="3668" spans="1:28" x14ac:dyDescent="0.25">
      <c r="A3668" t="s">
        <v>3672</v>
      </c>
      <c r="B3668">
        <v>0.99999676499088797</v>
      </c>
      <c r="C3668">
        <v>0.99814957461232601</v>
      </c>
      <c r="D3668">
        <v>1.01639969291174</v>
      </c>
      <c r="E3668">
        <v>1.0892133663495001</v>
      </c>
      <c r="F3668">
        <v>0.97449110078771894</v>
      </c>
      <c r="G3668">
        <v>0.343439583314952</v>
      </c>
      <c r="H3668">
        <v>0.139651434728114</v>
      </c>
      <c r="I3668">
        <v>0.103867138466724</v>
      </c>
      <c r="J3668">
        <v>0.104299108954616</v>
      </c>
      <c r="K3668">
        <v>8.5075123565890295E-2</v>
      </c>
      <c r="L3668">
        <v>3714.0036749201499</v>
      </c>
      <c r="M3668">
        <v>66.400679831305297</v>
      </c>
      <c r="N3668">
        <v>56.136445398731297</v>
      </c>
      <c r="O3668">
        <v>55.882550251794598</v>
      </c>
      <c r="P3668">
        <v>-0.265318905046668</v>
      </c>
      <c r="Q3668">
        <v>0.106834869131714</v>
      </c>
      <c r="R3668">
        <v>0.99497162729930899</v>
      </c>
      <c r="S3668" t="s">
        <v>10671</v>
      </c>
      <c r="T3668" t="s">
        <v>14004</v>
      </c>
      <c r="U3668" t="s">
        <v>14004</v>
      </c>
      <c r="V3668" t="s">
        <v>14004</v>
      </c>
      <c r="W3668" t="s">
        <v>17627</v>
      </c>
      <c r="X3668">
        <v>8</v>
      </c>
      <c r="Y3668" t="s">
        <v>24464</v>
      </c>
      <c r="Z3668" t="s">
        <v>31378</v>
      </c>
      <c r="AA3668">
        <v>0.58244775515086311</v>
      </c>
      <c r="AB3668" t="str">
        <f>HYPERLINK("Melting_Curves/meltCurve_Q15006_EMC2.pdf", "Melting_Curves/meltCurve_Q15006_EMC2.pdf")</f>
        <v>Melting_Curves/meltCurve_Q15006_EMC2.pdf</v>
      </c>
    </row>
    <row r="3669" spans="1:28" x14ac:dyDescent="0.25">
      <c r="A3669" t="s">
        <v>3673</v>
      </c>
      <c r="B3669">
        <v>0.99999676499088797</v>
      </c>
      <c r="C3669">
        <v>0.97566843676454496</v>
      </c>
      <c r="D3669">
        <v>0.91969920058271903</v>
      </c>
      <c r="E3669">
        <v>0.40212525885065498</v>
      </c>
      <c r="F3669">
        <v>0.28613162427106698</v>
      </c>
      <c r="G3669">
        <v>0.20680492854931201</v>
      </c>
      <c r="H3669">
        <v>0.145179701604367</v>
      </c>
      <c r="I3669">
        <v>0.13552140064748</v>
      </c>
      <c r="J3669">
        <v>0.14207683006380101</v>
      </c>
      <c r="K3669">
        <v>0.12382975105481001</v>
      </c>
      <c r="L3669">
        <v>1591.5888653731499</v>
      </c>
      <c r="M3669">
        <v>32.776541860297002</v>
      </c>
      <c r="N3669">
        <v>49.136705440212303</v>
      </c>
      <c r="O3669">
        <v>48.379110812173998</v>
      </c>
      <c r="P3669">
        <v>-0.14228348174435601</v>
      </c>
      <c r="Q3669">
        <v>0.15994625984597</v>
      </c>
      <c r="R3669">
        <v>0.98936522069383404</v>
      </c>
      <c r="S3669" t="s">
        <v>10672</v>
      </c>
      <c r="T3669" t="s">
        <v>14004</v>
      </c>
      <c r="U3669" t="s">
        <v>14004</v>
      </c>
      <c r="V3669" t="s">
        <v>14004</v>
      </c>
      <c r="W3669" t="s">
        <v>17628</v>
      </c>
      <c r="X3669">
        <v>14</v>
      </c>
      <c r="Y3669" t="s">
        <v>24465</v>
      </c>
      <c r="Z3669" t="s">
        <v>31379</v>
      </c>
      <c r="AA3669">
        <v>0.40384655905669492</v>
      </c>
      <c r="AB3669" t="str">
        <f>HYPERLINK("Melting_Curves/meltCurve_Q15007_WTAP.pdf", "Melting_Curves/meltCurve_Q15007_WTAP.pdf")</f>
        <v>Melting_Curves/meltCurve_Q15007_WTAP.pdf</v>
      </c>
    </row>
    <row r="3670" spans="1:28" x14ac:dyDescent="0.25">
      <c r="A3670" t="s">
        <v>3674</v>
      </c>
      <c r="B3670">
        <v>0.99999676499088797</v>
      </c>
      <c r="C3670">
        <v>0.91601746299289599</v>
      </c>
      <c r="D3670">
        <v>0.96680761460972797</v>
      </c>
      <c r="E3670">
        <v>0.85782138338395897</v>
      </c>
      <c r="F3670">
        <v>0.76640882822189504</v>
      </c>
      <c r="G3670">
        <v>0.38101709124912703</v>
      </c>
      <c r="H3670">
        <v>9.7012063184500605E-2</v>
      </c>
      <c r="I3670">
        <v>7.9818648654005606E-2</v>
      </c>
      <c r="J3670">
        <v>7.3240735121189698E-2</v>
      </c>
      <c r="K3670">
        <v>6.6055467846897906E-2</v>
      </c>
      <c r="L3670">
        <v>1294.4943209543501</v>
      </c>
      <c r="M3670">
        <v>23.4150127683641</v>
      </c>
      <c r="N3670">
        <v>55.4920782658142</v>
      </c>
      <c r="O3670">
        <v>54.886295388063502</v>
      </c>
      <c r="P3670">
        <v>-0.102188131751107</v>
      </c>
      <c r="Q3670">
        <v>4.1874552222584301E-2</v>
      </c>
      <c r="R3670">
        <v>0.98818185966412697</v>
      </c>
      <c r="S3670" t="s">
        <v>10673</v>
      </c>
      <c r="T3670" t="s">
        <v>14004</v>
      </c>
      <c r="U3670" t="s">
        <v>14004</v>
      </c>
      <c r="V3670" t="s">
        <v>14004</v>
      </c>
      <c r="W3670" t="s">
        <v>17629</v>
      </c>
      <c r="X3670">
        <v>28</v>
      </c>
      <c r="Y3670" t="s">
        <v>24466</v>
      </c>
      <c r="Z3670" t="s">
        <v>31380</v>
      </c>
      <c r="AA3670">
        <v>0.53992452114284417</v>
      </c>
      <c r="AB3670" t="str">
        <f>HYPERLINK("Melting_Curves/meltCurve_Q15008_PSMD6.pdf", "Melting_Curves/meltCurve_Q15008_PSMD6.pdf")</f>
        <v>Melting_Curves/meltCurve_Q15008_PSMD6.pdf</v>
      </c>
    </row>
    <row r="3671" spans="1:28" x14ac:dyDescent="0.25">
      <c r="A3671" t="s">
        <v>3675</v>
      </c>
      <c r="B3671">
        <v>0.99999676499088797</v>
      </c>
      <c r="C3671">
        <v>1.2018057184094999</v>
      </c>
      <c r="D3671">
        <v>0.96800670116348397</v>
      </c>
      <c r="E3671">
        <v>0.60773549693439799</v>
      </c>
      <c r="F3671">
        <v>0.40830064096172503</v>
      </c>
      <c r="G3671">
        <v>0.31975190917450802</v>
      </c>
      <c r="H3671">
        <v>7.4439829704823199E-2</v>
      </c>
      <c r="I3671">
        <v>0.110056108513849</v>
      </c>
      <c r="J3671">
        <v>0.139680974157851</v>
      </c>
      <c r="K3671">
        <v>0.13232912755325499</v>
      </c>
      <c r="L3671">
        <v>1053.9050301437001</v>
      </c>
      <c r="M3671">
        <v>20.6320464091635</v>
      </c>
      <c r="N3671">
        <v>51.780425786856497</v>
      </c>
      <c r="O3671">
        <v>50.608364719395503</v>
      </c>
      <c r="P3671">
        <v>-8.9527669485611194E-2</v>
      </c>
      <c r="Q3671">
        <v>0.121615268320566</v>
      </c>
      <c r="R3671">
        <v>0.953625349053556</v>
      </c>
      <c r="S3671" t="s">
        <v>10674</v>
      </c>
      <c r="T3671" t="s">
        <v>14004</v>
      </c>
      <c r="U3671" t="s">
        <v>14004</v>
      </c>
      <c r="V3671" t="s">
        <v>14004</v>
      </c>
      <c r="W3671" t="s">
        <v>17630</v>
      </c>
      <c r="X3671">
        <v>1</v>
      </c>
      <c r="Y3671" t="s">
        <v>24467</v>
      </c>
      <c r="Z3671" t="s">
        <v>31381</v>
      </c>
      <c r="AA3671">
        <v>0.45756081736394</v>
      </c>
      <c r="AB3671" t="str">
        <f>HYPERLINK("Melting_Curves/meltCurve_Q15011_3_HERPUD1.pdf", "Melting_Curves/meltCurve_Q15011_3_HERPUD1.pdf")</f>
        <v>Melting_Curves/meltCurve_Q15011_3_HERPUD1.pdf</v>
      </c>
    </row>
    <row r="3672" spans="1:28" x14ac:dyDescent="0.25">
      <c r="A3672" t="s">
        <v>3676</v>
      </c>
      <c r="B3672">
        <v>0.99999676499088797</v>
      </c>
      <c r="C3672">
        <v>1.04782090951076</v>
      </c>
      <c r="D3672">
        <v>0.930863737695105</v>
      </c>
      <c r="E3672">
        <v>0.61921747875266897</v>
      </c>
      <c r="F3672">
        <v>0.293898357301901</v>
      </c>
      <c r="G3672">
        <v>0.17365581878209899</v>
      </c>
      <c r="H3672">
        <v>5.4398776093054803E-2</v>
      </c>
      <c r="I3672">
        <v>7.4133089164764104E-2</v>
      </c>
      <c r="J3672">
        <v>7.1986038721222598E-2</v>
      </c>
      <c r="K3672">
        <v>5.8824544655179299E-2</v>
      </c>
      <c r="L3672">
        <v>1170.20418422739</v>
      </c>
      <c r="M3672">
        <v>23.131834136997998</v>
      </c>
      <c r="N3672">
        <v>50.896730814784902</v>
      </c>
      <c r="O3672">
        <v>50.214945221870302</v>
      </c>
      <c r="P3672">
        <v>-0.10763851522699799</v>
      </c>
      <c r="Q3672">
        <v>6.5363655345791805E-2</v>
      </c>
      <c r="R3672">
        <v>0.99564162565746095</v>
      </c>
      <c r="S3672" t="s">
        <v>10675</v>
      </c>
      <c r="T3672" t="s">
        <v>14004</v>
      </c>
      <c r="U3672" t="s">
        <v>14004</v>
      </c>
      <c r="V3672" t="s">
        <v>14004</v>
      </c>
      <c r="W3672" t="s">
        <v>17631</v>
      </c>
      <c r="X3672">
        <v>4</v>
      </c>
      <c r="Y3672" t="s">
        <v>24468</v>
      </c>
      <c r="Z3672" t="s">
        <v>31382</v>
      </c>
      <c r="AA3672">
        <v>0.40504187066945391</v>
      </c>
      <c r="AB3672" t="str">
        <f>HYPERLINK("Melting_Curves/meltCurve_Q15013_MAD2L1BP.pdf", "Melting_Curves/meltCurve_Q15013_MAD2L1BP.pdf")</f>
        <v>Melting_Curves/meltCurve_Q15013_MAD2L1BP.pdf</v>
      </c>
    </row>
    <row r="3673" spans="1:28" x14ac:dyDescent="0.25">
      <c r="A3673" t="s">
        <v>3677</v>
      </c>
      <c r="B3673">
        <v>0.99999676499088797</v>
      </c>
      <c r="C3673">
        <v>1.0089555135122601</v>
      </c>
      <c r="D3673">
        <v>1.0028520189035499</v>
      </c>
      <c r="E3673">
        <v>1.0272091407606201</v>
      </c>
      <c r="F3673">
        <v>0.59715599190363</v>
      </c>
      <c r="G3673">
        <v>0.37450080528725999</v>
      </c>
      <c r="H3673">
        <v>0.18281388428958401</v>
      </c>
      <c r="I3673">
        <v>0.15535556866539499</v>
      </c>
      <c r="J3673">
        <v>0.135000651194779</v>
      </c>
      <c r="K3673">
        <v>0.14161321976588601</v>
      </c>
      <c r="L3673">
        <v>1486.7358298209599</v>
      </c>
      <c r="M3673">
        <v>27.5235831884169</v>
      </c>
      <c r="N3673">
        <v>54.702723547064302</v>
      </c>
      <c r="O3673">
        <v>53.734061809304499</v>
      </c>
      <c r="P3673">
        <v>-0.109368239208031</v>
      </c>
      <c r="Q3673">
        <v>0.14593300848387999</v>
      </c>
      <c r="R3673">
        <v>0.98909931494887904</v>
      </c>
      <c r="S3673" t="s">
        <v>10676</v>
      </c>
      <c r="T3673" t="s">
        <v>14004</v>
      </c>
      <c r="U3673" t="s">
        <v>14004</v>
      </c>
      <c r="V3673" t="s">
        <v>14004</v>
      </c>
      <c r="W3673" t="s">
        <v>17632</v>
      </c>
      <c r="X3673">
        <v>10</v>
      </c>
      <c r="Y3673" t="s">
        <v>24469</v>
      </c>
      <c r="Z3673" t="s">
        <v>31383</v>
      </c>
      <c r="AA3673">
        <v>0.5515890911587007</v>
      </c>
      <c r="AB3673" t="str">
        <f>HYPERLINK("Melting_Curves/meltCurve_Q15014_MORF4L2.pdf", "Melting_Curves/meltCurve_Q15014_MORF4L2.pdf")</f>
        <v>Melting_Curves/meltCurve_Q15014_MORF4L2.pdf</v>
      </c>
    </row>
    <row r="3674" spans="1:28" x14ac:dyDescent="0.25">
      <c r="A3674" t="s">
        <v>3678</v>
      </c>
      <c r="B3674">
        <v>0.99999676499088797</v>
      </c>
      <c r="C3674">
        <v>1.0718122447715499</v>
      </c>
      <c r="D3674">
        <v>1.11084148616227</v>
      </c>
      <c r="E3674">
        <v>1.1335467278306599</v>
      </c>
      <c r="F3674">
        <v>1.0859269922080299</v>
      </c>
      <c r="G3674">
        <v>0.99240745766858895</v>
      </c>
      <c r="H3674">
        <v>0.56298979895784795</v>
      </c>
      <c r="I3674">
        <v>0.35021713899403101</v>
      </c>
      <c r="J3674">
        <v>0.21334603454541701</v>
      </c>
      <c r="K3674">
        <v>0.15398413601791999</v>
      </c>
      <c r="L3674">
        <v>2208.2986382123299</v>
      </c>
      <c r="M3674">
        <v>36.262666860647997</v>
      </c>
      <c r="N3674">
        <v>61.655500152299901</v>
      </c>
      <c r="O3674">
        <v>60.712995910809603</v>
      </c>
      <c r="P3674">
        <v>-0.12245971994640301</v>
      </c>
      <c r="Q3674">
        <v>0.17988671642029699</v>
      </c>
      <c r="R3674">
        <v>0.96487903927031204</v>
      </c>
      <c r="S3674" t="s">
        <v>10677</v>
      </c>
      <c r="T3674" t="s">
        <v>14004</v>
      </c>
      <c r="U3674" t="s">
        <v>14004</v>
      </c>
      <c r="V3674" t="s">
        <v>14004</v>
      </c>
      <c r="W3674" t="s">
        <v>17633</v>
      </c>
      <c r="X3674">
        <v>12</v>
      </c>
      <c r="Y3674" t="s">
        <v>24470</v>
      </c>
      <c r="Z3674" t="s">
        <v>31384</v>
      </c>
      <c r="AA3674">
        <v>0.75478948963183579</v>
      </c>
      <c r="AB3674" t="str">
        <f>HYPERLINK("Melting_Curves/meltCurve_Q15018_FAM175B.pdf", "Melting_Curves/meltCurve_Q15018_FAM175B.pdf")</f>
        <v>Melting_Curves/meltCurve_Q15018_FAM175B.pdf</v>
      </c>
    </row>
    <row r="3675" spans="1:28" x14ac:dyDescent="0.25">
      <c r="A3675" t="s">
        <v>3679</v>
      </c>
      <c r="B3675">
        <v>0.99999676499088797</v>
      </c>
      <c r="C3675">
        <v>1.0313397891678699</v>
      </c>
      <c r="D3675">
        <v>0.96922989173279095</v>
      </c>
      <c r="E3675">
        <v>0.92384039149751196</v>
      </c>
      <c r="F3675">
        <v>0.81246719216978003</v>
      </c>
      <c r="G3675">
        <v>0.67491188082518905</v>
      </c>
      <c r="H3675">
        <v>0.42468305517889599</v>
      </c>
      <c r="I3675">
        <v>0.311538352512163</v>
      </c>
      <c r="J3675">
        <v>0.16863741496782</v>
      </c>
      <c r="K3675">
        <v>0.17124629235454</v>
      </c>
      <c r="L3675">
        <v>793.97336188189195</v>
      </c>
      <c r="M3675">
        <v>13.4155028027592</v>
      </c>
      <c r="N3675">
        <v>59.563100946969797</v>
      </c>
      <c r="O3675">
        <v>57.914646788298597</v>
      </c>
      <c r="P3675">
        <v>-5.5545235240214E-2</v>
      </c>
      <c r="Q3675">
        <v>4.0996071031807198E-2</v>
      </c>
      <c r="R3675">
        <v>0.99594685927119597</v>
      </c>
      <c r="S3675" t="s">
        <v>10678</v>
      </c>
      <c r="T3675" t="s">
        <v>14004</v>
      </c>
      <c r="U3675" t="s">
        <v>14004</v>
      </c>
      <c r="V3675" t="s">
        <v>14004</v>
      </c>
      <c r="W3675" t="s">
        <v>17634</v>
      </c>
      <c r="X3675">
        <v>21</v>
      </c>
      <c r="Y3675" t="s">
        <v>24471</v>
      </c>
      <c r="Z3675" t="s">
        <v>31385</v>
      </c>
      <c r="AA3675">
        <v>0.66267197339368711</v>
      </c>
      <c r="AB3675" t="str">
        <f>HYPERLINK("Melting_Curves/meltCurve_Q15019_2_SEPT2.pdf", "Melting_Curves/meltCurve_Q15019_2_SEPT2.pdf")</f>
        <v>Melting_Curves/meltCurve_Q15019_2_SEPT2.pdf</v>
      </c>
    </row>
    <row r="3676" spans="1:28" x14ac:dyDescent="0.25">
      <c r="A3676" t="s">
        <v>3680</v>
      </c>
      <c r="B3676">
        <v>0.99999676499088797</v>
      </c>
      <c r="C3676">
        <v>0.89280334530749605</v>
      </c>
      <c r="D3676">
        <v>0.76031106516785596</v>
      </c>
      <c r="E3676">
        <v>0.349701965338721</v>
      </c>
      <c r="F3676">
        <v>0.20867297713104699</v>
      </c>
      <c r="G3676">
        <v>0.16162046579415501</v>
      </c>
      <c r="H3676">
        <v>9.6465052738671106E-2</v>
      </c>
      <c r="I3676">
        <v>9.0774802648066297E-2</v>
      </c>
      <c r="J3676">
        <v>8.6533609489954505E-2</v>
      </c>
      <c r="K3676">
        <v>6.1664206009225397E-2</v>
      </c>
      <c r="L3676">
        <v>984.58578966541097</v>
      </c>
      <c r="M3676">
        <v>20.5632276197375</v>
      </c>
      <c r="N3676">
        <v>48.334421149088499</v>
      </c>
      <c r="O3676">
        <v>47.434972307173901</v>
      </c>
      <c r="P3676">
        <v>-9.8870206167247093E-2</v>
      </c>
      <c r="Q3676">
        <v>8.7736850262559701E-2</v>
      </c>
      <c r="R3676">
        <v>0.99468883966004495</v>
      </c>
      <c r="S3676" t="s">
        <v>10679</v>
      </c>
      <c r="T3676" t="s">
        <v>14004</v>
      </c>
      <c r="U3676" t="s">
        <v>14004</v>
      </c>
      <c r="V3676" t="s">
        <v>14004</v>
      </c>
      <c r="W3676" t="s">
        <v>17635</v>
      </c>
      <c r="X3676">
        <v>19</v>
      </c>
      <c r="Y3676" t="s">
        <v>24472</v>
      </c>
      <c r="Z3676" t="s">
        <v>31386</v>
      </c>
      <c r="AA3676">
        <v>0.33963531586794088</v>
      </c>
      <c r="AB3676" t="str">
        <f>HYPERLINK("Melting_Curves/meltCurve_Q15020_SART3.pdf", "Melting_Curves/meltCurve_Q15020_SART3.pdf")</f>
        <v>Melting_Curves/meltCurve_Q15020_SART3.pdf</v>
      </c>
    </row>
    <row r="3677" spans="1:28" x14ac:dyDescent="0.25">
      <c r="A3677" t="s">
        <v>3681</v>
      </c>
      <c r="B3677">
        <v>0.99999676499088797</v>
      </c>
      <c r="C3677">
        <v>0.97647811204978396</v>
      </c>
      <c r="D3677">
        <v>0.80352176636929695</v>
      </c>
      <c r="E3677">
        <v>0.22958229713697001</v>
      </c>
      <c r="F3677">
        <v>0.172914644077027</v>
      </c>
      <c r="G3677">
        <v>0.125715292064707</v>
      </c>
      <c r="H3677">
        <v>6.5436421557205707E-2</v>
      </c>
      <c r="I3677">
        <v>6.5081353865129601E-2</v>
      </c>
      <c r="J3677">
        <v>6.6112313181148005E-2</v>
      </c>
      <c r="K3677">
        <v>5.5944581671964699E-2</v>
      </c>
      <c r="L3677">
        <v>1755.82520804501</v>
      </c>
      <c r="M3677">
        <v>36.930088129873397</v>
      </c>
      <c r="N3677">
        <v>47.7886457789646</v>
      </c>
      <c r="O3677">
        <v>47.405805927653503</v>
      </c>
      <c r="P3677">
        <v>-0.17801686108797199</v>
      </c>
      <c r="Q3677">
        <v>8.5947637945006095E-2</v>
      </c>
      <c r="R3677">
        <v>0.99386924109084696</v>
      </c>
      <c r="S3677" t="s">
        <v>10680</v>
      </c>
      <c r="T3677" t="s">
        <v>14004</v>
      </c>
      <c r="U3677" t="s">
        <v>14004</v>
      </c>
      <c r="V3677" t="s">
        <v>14004</v>
      </c>
      <c r="W3677" t="s">
        <v>17636</v>
      </c>
      <c r="X3677">
        <v>32</v>
      </c>
      <c r="Y3677" t="s">
        <v>24473</v>
      </c>
      <c r="Z3677" t="s">
        <v>31387</v>
      </c>
      <c r="AA3677">
        <v>0.3193737714870436</v>
      </c>
      <c r="AB3677" t="str">
        <f>HYPERLINK("Melting_Curves/meltCurve_Q15021_NCAPD2.pdf", "Melting_Curves/meltCurve_Q15021_NCAPD2.pdf")</f>
        <v>Melting_Curves/meltCurve_Q15021_NCAPD2.pdf</v>
      </c>
    </row>
    <row r="3678" spans="1:28" x14ac:dyDescent="0.25">
      <c r="A3678" t="s">
        <v>3682</v>
      </c>
      <c r="B3678">
        <v>0.99999676499088797</v>
      </c>
      <c r="C3678">
        <v>0.888151316468341</v>
      </c>
      <c r="D3678">
        <v>0.77798642361662396</v>
      </c>
      <c r="E3678">
        <v>0.62106895587238697</v>
      </c>
      <c r="F3678">
        <v>0.52070068199447095</v>
      </c>
      <c r="G3678">
        <v>0.35026957153979099</v>
      </c>
      <c r="H3678">
        <v>0.123597301253208</v>
      </c>
      <c r="I3678">
        <v>0.100773280229128</v>
      </c>
      <c r="J3678">
        <v>8.29312421617696E-2</v>
      </c>
      <c r="K3678">
        <v>7.4757520890366996E-2</v>
      </c>
      <c r="L3678">
        <v>551.43903641279303</v>
      </c>
      <c r="M3678">
        <v>10.5250200018769</v>
      </c>
      <c r="N3678">
        <v>52.393152987334702</v>
      </c>
      <c r="O3678">
        <v>50.6077795889558</v>
      </c>
      <c r="P3678">
        <v>-5.20138548292342E-2</v>
      </c>
      <c r="Q3678">
        <v>0</v>
      </c>
      <c r="R3678">
        <v>0.98748479961218905</v>
      </c>
      <c r="S3678" t="s">
        <v>10681</v>
      </c>
      <c r="T3678" t="s">
        <v>14004</v>
      </c>
      <c r="U3678" t="s">
        <v>14004</v>
      </c>
      <c r="V3678" t="s">
        <v>14004</v>
      </c>
      <c r="W3678" t="s">
        <v>17637</v>
      </c>
      <c r="X3678">
        <v>8</v>
      </c>
      <c r="Y3678" t="s">
        <v>24474</v>
      </c>
      <c r="Z3678" t="s">
        <v>31388</v>
      </c>
      <c r="AA3678">
        <v>0.44771912501154659</v>
      </c>
      <c r="AB3678" t="str">
        <f>HYPERLINK("Melting_Curves/meltCurve_Q15022_SUZ12.pdf", "Melting_Curves/meltCurve_Q15022_SUZ12.pdf")</f>
        <v>Melting_Curves/meltCurve_Q15022_SUZ12.pdf</v>
      </c>
    </row>
    <row r="3679" spans="1:28" x14ac:dyDescent="0.25">
      <c r="A3679" t="s">
        <v>3683</v>
      </c>
      <c r="B3679">
        <v>0.99999676499088797</v>
      </c>
      <c r="C3679">
        <v>1.0456002462092999</v>
      </c>
      <c r="D3679">
        <v>1.0927350208073601</v>
      </c>
      <c r="E3679">
        <v>1.2061224011326099</v>
      </c>
      <c r="F3679">
        <v>1.1711871880934399</v>
      </c>
      <c r="G3679">
        <v>1.0624214884877901</v>
      </c>
      <c r="H3679">
        <v>0.48199970100441802</v>
      </c>
      <c r="I3679">
        <v>0.21532999512579701</v>
      </c>
      <c r="J3679">
        <v>0.13971538655341401</v>
      </c>
      <c r="K3679">
        <v>0.103901060836985</v>
      </c>
      <c r="L3679">
        <v>4385.6373855792599</v>
      </c>
      <c r="M3679">
        <v>72.533513122136796</v>
      </c>
      <c r="N3679">
        <v>60.753431893633902</v>
      </c>
      <c r="O3679">
        <v>60.417689342802802</v>
      </c>
      <c r="P3679">
        <v>-0.25623806903035601</v>
      </c>
      <c r="Q3679">
        <v>0.14625346168692599</v>
      </c>
      <c r="R3679">
        <v>0.95141257382210898</v>
      </c>
      <c r="S3679" t="s">
        <v>10682</v>
      </c>
      <c r="T3679" t="s">
        <v>14004</v>
      </c>
      <c r="U3679" t="s">
        <v>14004</v>
      </c>
      <c r="V3679" t="s">
        <v>14004</v>
      </c>
      <c r="W3679" t="s">
        <v>17638</v>
      </c>
      <c r="X3679">
        <v>13</v>
      </c>
      <c r="Y3679" t="s">
        <v>24475</v>
      </c>
      <c r="Z3679" t="s">
        <v>31389</v>
      </c>
      <c r="AA3679">
        <v>0.72968821430926323</v>
      </c>
      <c r="AB3679" t="str">
        <f>HYPERLINK("Melting_Curves/meltCurve_Q15024_EXOSC7.pdf", "Melting_Curves/meltCurve_Q15024_EXOSC7.pdf")</f>
        <v>Melting_Curves/meltCurve_Q15024_EXOSC7.pdf</v>
      </c>
    </row>
    <row r="3680" spans="1:28" x14ac:dyDescent="0.25">
      <c r="A3680" t="s">
        <v>3684</v>
      </c>
      <c r="B3680">
        <v>0.99999676499088797</v>
      </c>
      <c r="C3680">
        <v>0.89307102317041898</v>
      </c>
      <c r="D3680">
        <v>0.78535214161387401</v>
      </c>
      <c r="E3680">
        <v>0.46923553652227601</v>
      </c>
      <c r="F3680">
        <v>0.19279553629669599</v>
      </c>
      <c r="G3680">
        <v>0.14167158349339501</v>
      </c>
      <c r="H3680">
        <v>6.5475734094396998E-2</v>
      </c>
      <c r="I3680">
        <v>6.23561857322587E-2</v>
      </c>
      <c r="J3680">
        <v>4.8786591436613798E-2</v>
      </c>
      <c r="K3680">
        <v>4.5147083016754803E-2</v>
      </c>
      <c r="L3680">
        <v>890.21636129569004</v>
      </c>
      <c r="M3680">
        <v>18.208039887765398</v>
      </c>
      <c r="N3680">
        <v>49.144408802009799</v>
      </c>
      <c r="O3680">
        <v>48.313100238809099</v>
      </c>
      <c r="P3680">
        <v>-9.0007651283580403E-2</v>
      </c>
      <c r="Q3680">
        <v>4.4742083082009602E-2</v>
      </c>
      <c r="R3680">
        <v>0.99724319000092998</v>
      </c>
      <c r="S3680" t="s">
        <v>10683</v>
      </c>
      <c r="T3680" t="s">
        <v>14004</v>
      </c>
      <c r="U3680" t="s">
        <v>14004</v>
      </c>
      <c r="V3680" t="s">
        <v>14004</v>
      </c>
      <c r="W3680" t="s">
        <v>17639</v>
      </c>
      <c r="X3680">
        <v>27</v>
      </c>
      <c r="Y3680" t="s">
        <v>24476</v>
      </c>
      <c r="Z3680" t="s">
        <v>31390</v>
      </c>
      <c r="AA3680">
        <v>0.34406366714205949</v>
      </c>
      <c r="AB3680" t="str">
        <f>HYPERLINK("Melting_Curves/meltCurve_Q15027_ACAP1.pdf", "Melting_Curves/meltCurve_Q15027_ACAP1.pdf")</f>
        <v>Melting_Curves/meltCurve_Q15027_ACAP1.pdf</v>
      </c>
    </row>
    <row r="3681" spans="1:28" x14ac:dyDescent="0.25">
      <c r="A3681" t="s">
        <v>3685</v>
      </c>
      <c r="B3681">
        <v>0.99999676499088797</v>
      </c>
      <c r="C3681">
        <v>1.0185049578834999</v>
      </c>
      <c r="D3681">
        <v>1.06155415015043</v>
      </c>
      <c r="E3681">
        <v>1.44099264226187</v>
      </c>
      <c r="F3681">
        <v>2.5774043552299699</v>
      </c>
      <c r="G3681">
        <v>2.3898800715995101</v>
      </c>
      <c r="H3681">
        <v>1.0622297705011301</v>
      </c>
      <c r="I3681">
        <v>0.26255075157757102</v>
      </c>
      <c r="J3681">
        <v>0.210642507834991</v>
      </c>
      <c r="K3681">
        <v>0.164076004621305</v>
      </c>
      <c r="L3681">
        <v>15000</v>
      </c>
      <c r="M3681">
        <v>236.65749415778501</v>
      </c>
      <c r="N3681">
        <v>63.5087339182706</v>
      </c>
      <c r="O3681">
        <v>63.378209893721198</v>
      </c>
      <c r="P3681">
        <v>-0.758623845509109</v>
      </c>
      <c r="Q3681">
        <v>0.18734501986701699</v>
      </c>
      <c r="R3681">
        <v>0.27154428292836102</v>
      </c>
      <c r="S3681" t="s">
        <v>10684</v>
      </c>
      <c r="T3681" t="s">
        <v>14004</v>
      </c>
      <c r="U3681" t="s">
        <v>14004</v>
      </c>
      <c r="V3681" t="s">
        <v>14004</v>
      </c>
      <c r="W3681" t="s">
        <v>17640</v>
      </c>
      <c r="X3681">
        <v>47</v>
      </c>
      <c r="Y3681" t="s">
        <v>24477</v>
      </c>
      <c r="Z3681" t="s">
        <v>31391</v>
      </c>
      <c r="AA3681">
        <v>0.82084918773006377</v>
      </c>
      <c r="AB3681" t="str">
        <f>HYPERLINK("Melting_Curves/meltCurve_Q15029_2_EFTUD2.pdf", "Melting_Curves/meltCurve_Q15029_2_EFTUD2.pdf")</f>
        <v>Melting_Curves/meltCurve_Q15029_2_EFTUD2.pdf</v>
      </c>
    </row>
    <row r="3682" spans="1:28" x14ac:dyDescent="0.25">
      <c r="A3682" t="s">
        <v>3686</v>
      </c>
      <c r="B3682">
        <v>0.99999676499088797</v>
      </c>
      <c r="C3682">
        <v>1.0747306783969699</v>
      </c>
      <c r="D3682">
        <v>1.02156808277279</v>
      </c>
      <c r="E3682">
        <v>0.85412449191627204</v>
      </c>
      <c r="F3682">
        <v>0.254738265019051</v>
      </c>
      <c r="G3682">
        <v>0.20916020747084901</v>
      </c>
      <c r="H3682">
        <v>0.102619752363744</v>
      </c>
      <c r="I3682">
        <v>0.122259522120783</v>
      </c>
      <c r="J3682">
        <v>0.11676897082913699</v>
      </c>
      <c r="K3682">
        <v>0.103490788308293</v>
      </c>
      <c r="L3682">
        <v>2396.2029300324898</v>
      </c>
      <c r="M3682">
        <v>46.724903859135203</v>
      </c>
      <c r="N3682">
        <v>51.607697821846202</v>
      </c>
      <c r="O3682">
        <v>51.189551708028802</v>
      </c>
      <c r="P3682">
        <v>-0.199151320184242</v>
      </c>
      <c r="Q3682">
        <v>0.127278935379011</v>
      </c>
      <c r="R3682">
        <v>0.99248511457186195</v>
      </c>
      <c r="S3682" t="s">
        <v>10685</v>
      </c>
      <c r="T3682" t="s">
        <v>14004</v>
      </c>
      <c r="U3682" t="s">
        <v>14004</v>
      </c>
      <c r="V3682" t="s">
        <v>14004</v>
      </c>
      <c r="W3682" t="s">
        <v>17641</v>
      </c>
      <c r="X3682">
        <v>16</v>
      </c>
      <c r="Y3682" t="s">
        <v>24478</v>
      </c>
      <c r="Z3682" t="s">
        <v>31392</v>
      </c>
      <c r="AA3682">
        <v>0.45777766906517858</v>
      </c>
      <c r="AB3682" t="str">
        <f>HYPERLINK("Melting_Curves/meltCurve_Q15031_LARS2.pdf", "Melting_Curves/meltCurve_Q15031_LARS2.pdf")</f>
        <v>Melting_Curves/meltCurve_Q15031_LARS2.pdf</v>
      </c>
    </row>
    <row r="3683" spans="1:28" x14ac:dyDescent="0.25">
      <c r="A3683" t="s">
        <v>3687</v>
      </c>
      <c r="B3683">
        <v>0.99999676499088797</v>
      </c>
      <c r="C3683">
        <v>0.980582718264844</v>
      </c>
      <c r="D3683">
        <v>0.81631223634775096</v>
      </c>
      <c r="E3683">
        <v>0.47754878097181402</v>
      </c>
      <c r="F3683">
        <v>0.274548862143428</v>
      </c>
      <c r="G3683">
        <v>0.14592948429932601</v>
      </c>
      <c r="H3683">
        <v>7.6068619076102004E-2</v>
      </c>
      <c r="I3683">
        <v>0.10953674658363299</v>
      </c>
      <c r="J3683">
        <v>9.8308216738262899E-2</v>
      </c>
      <c r="K3683">
        <v>8.9157456959734802E-2</v>
      </c>
      <c r="L3683">
        <v>1002.279948784</v>
      </c>
      <c r="M3683">
        <v>20.413795545863501</v>
      </c>
      <c r="N3683">
        <v>49.578018174656897</v>
      </c>
      <c r="O3683">
        <v>48.634294803192603</v>
      </c>
      <c r="P3683">
        <v>-9.5531440687848607E-2</v>
      </c>
      <c r="Q3683">
        <v>8.9642200687434295E-2</v>
      </c>
      <c r="R3683">
        <v>0.99764816874439399</v>
      </c>
      <c r="S3683" t="s">
        <v>10686</v>
      </c>
      <c r="T3683" t="s">
        <v>14004</v>
      </c>
      <c r="U3683" t="s">
        <v>14004</v>
      </c>
      <c r="V3683" t="s">
        <v>14004</v>
      </c>
      <c r="W3683" t="s">
        <v>17642</v>
      </c>
      <c r="X3683">
        <v>8</v>
      </c>
      <c r="Y3683" t="s">
        <v>24479</v>
      </c>
      <c r="Z3683" t="s">
        <v>31393</v>
      </c>
      <c r="AA3683">
        <v>0.37795111902923789</v>
      </c>
      <c r="AB3683" t="str">
        <f>HYPERLINK("Melting_Curves/meltCurve_Q15032_2_R3HDM1.pdf", "Melting_Curves/meltCurve_Q15032_2_R3HDM1.pdf")</f>
        <v>Melting_Curves/meltCurve_Q15032_2_R3HDM1.pdf</v>
      </c>
    </row>
    <row r="3684" spans="1:28" x14ac:dyDescent="0.25">
      <c r="A3684" t="s">
        <v>3688</v>
      </c>
      <c r="B3684">
        <v>0.99999676499088797</v>
      </c>
      <c r="C3684">
        <v>0.83942893682642405</v>
      </c>
      <c r="D3684">
        <v>0.63223481031416795</v>
      </c>
      <c r="E3684">
        <v>0.30008808293237099</v>
      </c>
      <c r="F3684">
        <v>0.216463644160931</v>
      </c>
      <c r="G3684">
        <v>0.115186311940204</v>
      </c>
      <c r="H3684">
        <v>4.3432718387406102E-2</v>
      </c>
      <c r="I3684">
        <v>3.8556315612178801E-2</v>
      </c>
      <c r="J3684">
        <v>3.9944627790495103E-2</v>
      </c>
      <c r="K3684">
        <v>3.4311047407612302E-2</v>
      </c>
      <c r="L3684">
        <v>781.30038985229601</v>
      </c>
      <c r="M3684">
        <v>16.5303637632069</v>
      </c>
      <c r="N3684">
        <v>47.483802689155503</v>
      </c>
      <c r="O3684">
        <v>46.589082344459698</v>
      </c>
      <c r="P3684">
        <v>-8.5449736584643804E-2</v>
      </c>
      <c r="Q3684">
        <v>3.6741896976104298E-2</v>
      </c>
      <c r="R3684">
        <v>0.99410669998492895</v>
      </c>
      <c r="S3684" t="s">
        <v>10687</v>
      </c>
      <c r="T3684" t="s">
        <v>14004</v>
      </c>
      <c r="U3684" t="s">
        <v>14004</v>
      </c>
      <c r="V3684" t="s">
        <v>14004</v>
      </c>
      <c r="W3684" t="s">
        <v>17643</v>
      </c>
      <c r="X3684">
        <v>11</v>
      </c>
      <c r="Y3684" t="s">
        <v>24480</v>
      </c>
      <c r="Z3684" t="s">
        <v>31394</v>
      </c>
      <c r="AA3684">
        <v>0.29105049923663739</v>
      </c>
      <c r="AB3684" t="str">
        <f>HYPERLINK("Melting_Curves/meltCurve_Q15036_2_SNX17.pdf", "Melting_Curves/meltCurve_Q15036_2_SNX17.pdf")</f>
        <v>Melting_Curves/meltCurve_Q15036_2_SNX17.pdf</v>
      </c>
    </row>
    <row r="3685" spans="1:28" x14ac:dyDescent="0.25">
      <c r="A3685" t="s">
        <v>3689</v>
      </c>
      <c r="B3685">
        <v>0.99999676499088797</v>
      </c>
      <c r="C3685">
        <v>1.0696391681452599</v>
      </c>
      <c r="D3685">
        <v>0.86709821060838299</v>
      </c>
      <c r="E3685">
        <v>0.33334756055012799</v>
      </c>
      <c r="F3685">
        <v>0.26229674343397802</v>
      </c>
      <c r="G3685">
        <v>0.15751249644571999</v>
      </c>
      <c r="H3685">
        <v>8.3309390785445595E-2</v>
      </c>
      <c r="I3685">
        <v>9.0068476483412596E-2</v>
      </c>
      <c r="J3685">
        <v>8.3930106213101902E-2</v>
      </c>
      <c r="K3685">
        <v>6.4665367188016007E-2</v>
      </c>
      <c r="L3685">
        <v>1575.94650756944</v>
      </c>
      <c r="M3685">
        <v>32.638396053013103</v>
      </c>
      <c r="N3685">
        <v>48.656609790715997</v>
      </c>
      <c r="O3685">
        <v>48.104844744833201</v>
      </c>
      <c r="P3685">
        <v>-0.15091193917002599</v>
      </c>
      <c r="Q3685">
        <v>0.110303713214589</v>
      </c>
      <c r="R3685">
        <v>0.98236713055757896</v>
      </c>
      <c r="S3685" t="s">
        <v>10688</v>
      </c>
      <c r="T3685" t="s">
        <v>14004</v>
      </c>
      <c r="U3685" t="s">
        <v>14004</v>
      </c>
      <c r="V3685" t="s">
        <v>14004</v>
      </c>
      <c r="W3685" t="s">
        <v>17644</v>
      </c>
      <c r="X3685">
        <v>15</v>
      </c>
      <c r="Y3685" t="s">
        <v>24481</v>
      </c>
      <c r="Z3685" t="s">
        <v>31395</v>
      </c>
      <c r="AA3685">
        <v>0.36052023295083069</v>
      </c>
      <c r="AB3685" t="str">
        <f>HYPERLINK("Melting_Curves/meltCurve_Q15042_RAB3GAP1.pdf", "Melting_Curves/meltCurve_Q15042_RAB3GAP1.pdf")</f>
        <v>Melting_Curves/meltCurve_Q15042_RAB3GAP1.pdf</v>
      </c>
    </row>
    <row r="3686" spans="1:28" x14ac:dyDescent="0.25">
      <c r="A3686" t="s">
        <v>3690</v>
      </c>
      <c r="B3686">
        <v>0.99999676499088797</v>
      </c>
      <c r="C3686">
        <v>1.014051200867</v>
      </c>
      <c r="D3686">
        <v>1.1457354357180201</v>
      </c>
      <c r="E3686">
        <v>1.20714365368919</v>
      </c>
      <c r="F3686">
        <v>1.2008088051035499</v>
      </c>
      <c r="G3686">
        <v>1.13286115755593</v>
      </c>
      <c r="H3686">
        <v>0.89003009973653202</v>
      </c>
      <c r="I3686">
        <v>0.91640283209696205</v>
      </c>
      <c r="J3686">
        <v>0.76504407982910605</v>
      </c>
      <c r="K3686">
        <v>0.94690912570000596</v>
      </c>
      <c r="L3686">
        <v>15000</v>
      </c>
      <c r="M3686">
        <v>248.77796774815999</v>
      </c>
      <c r="O3686">
        <v>60.290831651293402</v>
      </c>
      <c r="P3686">
        <v>-0.127793007670463</v>
      </c>
      <c r="Q3686">
        <v>0.87611850340770403</v>
      </c>
      <c r="R3686">
        <v>0.27404634210979101</v>
      </c>
      <c r="S3686" t="s">
        <v>10689</v>
      </c>
      <c r="T3686" t="s">
        <v>14004</v>
      </c>
      <c r="U3686" t="s">
        <v>14004</v>
      </c>
      <c r="V3686" t="s">
        <v>14004</v>
      </c>
      <c r="W3686" t="s">
        <v>17645</v>
      </c>
      <c r="X3686">
        <v>4</v>
      </c>
      <c r="Y3686" t="s">
        <v>24482</v>
      </c>
      <c r="Z3686" t="s">
        <v>31396</v>
      </c>
      <c r="AA3686">
        <v>0.95993645216843448</v>
      </c>
      <c r="AB3686" t="str">
        <f>HYPERLINK("Melting_Curves/meltCurve_Q15043_2_SLC39A14.pdf", "Melting_Curves/meltCurve_Q15043_2_SLC39A14.pdf")</f>
        <v>Melting_Curves/meltCurve_Q15043_2_SLC39A14.pdf</v>
      </c>
    </row>
    <row r="3687" spans="1:28" x14ac:dyDescent="0.25">
      <c r="A3687" t="s">
        <v>3691</v>
      </c>
      <c r="B3687">
        <v>0.99999676499088797</v>
      </c>
      <c r="C3687">
        <v>0.97684947394916499</v>
      </c>
      <c r="D3687">
        <v>0.99586213213826302</v>
      </c>
      <c r="E3687">
        <v>1.00627935174663</v>
      </c>
      <c r="F3687">
        <v>0.49584413000347199</v>
      </c>
      <c r="G3687">
        <v>0.197903631999575</v>
      </c>
      <c r="H3687">
        <v>8.2436676015763294E-2</v>
      </c>
      <c r="I3687">
        <v>8.2600402704945203E-2</v>
      </c>
      <c r="J3687">
        <v>7.8108493932543793E-2</v>
      </c>
      <c r="K3687">
        <v>7.0309271054872904E-2</v>
      </c>
      <c r="L3687">
        <v>2208.4858828423398</v>
      </c>
      <c r="M3687">
        <v>41.622658270857698</v>
      </c>
      <c r="N3687">
        <v>53.306383819708799</v>
      </c>
      <c r="O3687">
        <v>52.937666587584303</v>
      </c>
      <c r="P3687">
        <v>-0.17934559613728601</v>
      </c>
      <c r="Q3687">
        <v>8.7600788902813295E-2</v>
      </c>
      <c r="R3687">
        <v>0.99579211843821103</v>
      </c>
      <c r="S3687" t="s">
        <v>10690</v>
      </c>
      <c r="T3687" t="s">
        <v>14004</v>
      </c>
      <c r="U3687" t="s">
        <v>14004</v>
      </c>
      <c r="V3687" t="s">
        <v>14004</v>
      </c>
      <c r="W3687" t="s">
        <v>17646</v>
      </c>
      <c r="X3687">
        <v>38</v>
      </c>
      <c r="Y3687" t="s">
        <v>24483</v>
      </c>
      <c r="Z3687" t="s">
        <v>31397</v>
      </c>
      <c r="AA3687">
        <v>0.48787583160656489</v>
      </c>
      <c r="AB3687" t="str">
        <f>HYPERLINK("Melting_Curves/meltCurve_Q15046_KARS.pdf", "Melting_Curves/meltCurve_Q15046_KARS.pdf")</f>
        <v>Melting_Curves/meltCurve_Q15046_KARS.pdf</v>
      </c>
    </row>
    <row r="3688" spans="1:28" x14ac:dyDescent="0.25">
      <c r="A3688" t="s">
        <v>3692</v>
      </c>
      <c r="B3688">
        <v>0.99999676499088797</v>
      </c>
      <c r="C3688">
        <v>1.11239848639475</v>
      </c>
      <c r="D3688">
        <v>0.95056949868145602</v>
      </c>
      <c r="E3688">
        <v>0.78903320558838297</v>
      </c>
      <c r="F3688">
        <v>1.1191056440534299</v>
      </c>
      <c r="G3688">
        <v>1.46153347248059</v>
      </c>
      <c r="H3688">
        <v>1.3202922902226</v>
      </c>
      <c r="I3688">
        <v>2.0767196833903299</v>
      </c>
      <c r="J3688">
        <v>2.3288277688221402</v>
      </c>
      <c r="K3688">
        <v>2.48056851462613</v>
      </c>
      <c r="L3688">
        <v>3318.05000623043</v>
      </c>
      <c r="M3688">
        <v>61.1241469993723</v>
      </c>
      <c r="O3688">
        <v>54.225790858868102</v>
      </c>
      <c r="P3688">
        <v>0.14090203256532</v>
      </c>
      <c r="Q3688">
        <v>1.5</v>
      </c>
      <c r="R3688">
        <v>0.38186560606981501</v>
      </c>
      <c r="S3688" t="s">
        <v>10691</v>
      </c>
      <c r="T3688" t="s">
        <v>14004</v>
      </c>
      <c r="U3688" t="s">
        <v>14004</v>
      </c>
      <c r="V3688" t="s">
        <v>14004</v>
      </c>
      <c r="W3688" t="s">
        <v>17647</v>
      </c>
      <c r="X3688">
        <v>2</v>
      </c>
      <c r="Y3688" t="s">
        <v>24484</v>
      </c>
      <c r="Z3688" t="s">
        <v>31398</v>
      </c>
      <c r="AA3688">
        <v>1.2611373289650001</v>
      </c>
      <c r="AB3688" t="str">
        <f>HYPERLINK("Melting_Curves/meltCurve_Q15050_RRS1.pdf", "Melting_Curves/meltCurve_Q15050_RRS1.pdf")</f>
        <v>Melting_Curves/meltCurve_Q15050_RRS1.pdf</v>
      </c>
    </row>
    <row r="3689" spans="1:28" x14ac:dyDescent="0.25">
      <c r="A3689" t="s">
        <v>3693</v>
      </c>
      <c r="B3689">
        <v>0.99999676499088797</v>
      </c>
      <c r="C3689">
        <v>0.939242738826357</v>
      </c>
      <c r="D3689">
        <v>0.58220772395085296</v>
      </c>
      <c r="E3689">
        <v>0.30529950414750501</v>
      </c>
      <c r="F3689">
        <v>0.204045830857495</v>
      </c>
      <c r="G3689">
        <v>0.17771430988230799</v>
      </c>
      <c r="H3689">
        <v>0.10239000695592</v>
      </c>
      <c r="I3689">
        <v>0.103047211878148</v>
      </c>
      <c r="J3689">
        <v>8.4169999551711297E-2</v>
      </c>
      <c r="K3689">
        <v>6.4961120881056503E-2</v>
      </c>
      <c r="L3689">
        <v>1010.72483791605</v>
      </c>
      <c r="M3689">
        <v>21.645956215132198</v>
      </c>
      <c r="N3689">
        <v>47.213677952145801</v>
      </c>
      <c r="O3689">
        <v>46.300445630569598</v>
      </c>
      <c r="P3689">
        <v>-0.10448015071807699</v>
      </c>
      <c r="Q3689">
        <v>0.106094356982999</v>
      </c>
      <c r="R3689">
        <v>0.98951319807967097</v>
      </c>
      <c r="S3689" t="s">
        <v>10692</v>
      </c>
      <c r="T3689" t="s">
        <v>14004</v>
      </c>
      <c r="U3689" t="s">
        <v>14004</v>
      </c>
      <c r="V3689" t="s">
        <v>14004</v>
      </c>
      <c r="W3689" t="s">
        <v>17648</v>
      </c>
      <c r="X3689">
        <v>18</v>
      </c>
      <c r="Y3689" t="s">
        <v>24485</v>
      </c>
      <c r="Z3689" t="s">
        <v>31399</v>
      </c>
      <c r="AA3689">
        <v>0.31664681940922479</v>
      </c>
      <c r="AB3689" t="str">
        <f>HYPERLINK("Melting_Curves/meltCurve_Q15052_ARHGEF6.pdf", "Melting_Curves/meltCurve_Q15052_ARHGEF6.pdf")</f>
        <v>Melting_Curves/meltCurve_Q15052_ARHGEF6.pdf</v>
      </c>
    </row>
    <row r="3690" spans="1:28" x14ac:dyDescent="0.25">
      <c r="A3690" t="s">
        <v>3694</v>
      </c>
      <c r="B3690">
        <v>0.99999676499088797</v>
      </c>
      <c r="C3690">
        <v>0.87928437605076504</v>
      </c>
      <c r="D3690">
        <v>0.88432805155692595</v>
      </c>
      <c r="E3690">
        <v>0.69412913238903196</v>
      </c>
      <c r="F3690">
        <v>0.435227057103376</v>
      </c>
      <c r="G3690">
        <v>0.26919021156898698</v>
      </c>
      <c r="H3690">
        <v>0.16668179797156699</v>
      </c>
      <c r="I3690">
        <v>0.20774077461514801</v>
      </c>
      <c r="J3690">
        <v>0.22581552795117099</v>
      </c>
      <c r="K3690">
        <v>0.26225890533631702</v>
      </c>
      <c r="L3690">
        <v>936.03619008064004</v>
      </c>
      <c r="M3690">
        <v>18.5244835856276</v>
      </c>
      <c r="N3690">
        <v>51.9551262542399</v>
      </c>
      <c r="O3690">
        <v>49.951874776539697</v>
      </c>
      <c r="P3690">
        <v>-7.4244595730589294E-2</v>
      </c>
      <c r="Q3690">
        <v>0.19922341948480499</v>
      </c>
      <c r="R3690">
        <v>0.98141042196467998</v>
      </c>
      <c r="S3690" t="s">
        <v>10693</v>
      </c>
      <c r="T3690" t="s">
        <v>14004</v>
      </c>
      <c r="U3690" t="s">
        <v>14004</v>
      </c>
      <c r="V3690" t="s">
        <v>14004</v>
      </c>
      <c r="W3690" t="s">
        <v>17649</v>
      </c>
      <c r="X3690">
        <v>21</v>
      </c>
      <c r="Y3690" t="s">
        <v>24486</v>
      </c>
      <c r="Z3690" t="s">
        <v>31400</v>
      </c>
      <c r="AA3690">
        <v>0.49314948523678248</v>
      </c>
      <c r="AB3690" t="str">
        <f>HYPERLINK("Melting_Curves/meltCurve_Q15056_EIF4H.pdf", "Melting_Curves/meltCurve_Q15056_EIF4H.pdf")</f>
        <v>Melting_Curves/meltCurve_Q15056_EIF4H.pdf</v>
      </c>
    </row>
    <row r="3691" spans="1:28" x14ac:dyDescent="0.25">
      <c r="A3691" t="s">
        <v>3695</v>
      </c>
      <c r="B3691">
        <v>0.99999676499088797</v>
      </c>
      <c r="C3691">
        <v>0.85679404907731005</v>
      </c>
      <c r="D3691">
        <v>0.74919020618059695</v>
      </c>
      <c r="E3691">
        <v>0.45518818053535998</v>
      </c>
      <c r="F3691">
        <v>0.28809530217764101</v>
      </c>
      <c r="G3691">
        <v>0.19352700709704401</v>
      </c>
      <c r="H3691">
        <v>0.123310364844057</v>
      </c>
      <c r="I3691">
        <v>0.19830270043256801</v>
      </c>
      <c r="J3691">
        <v>0.210699026470965</v>
      </c>
      <c r="K3691">
        <v>0.187970840308647</v>
      </c>
      <c r="L3691">
        <v>864.56415108896601</v>
      </c>
      <c r="M3691">
        <v>18.086629956530299</v>
      </c>
      <c r="N3691">
        <v>48.919122807366598</v>
      </c>
      <c r="O3691">
        <v>47.228428653159703</v>
      </c>
      <c r="P3691">
        <v>-7.9538497264687702E-2</v>
      </c>
      <c r="Q3691">
        <v>0.16926568707301301</v>
      </c>
      <c r="R3691">
        <v>0.98931609745554605</v>
      </c>
      <c r="S3691" t="s">
        <v>10694</v>
      </c>
      <c r="T3691" t="s">
        <v>14004</v>
      </c>
      <c r="U3691" t="s">
        <v>14004</v>
      </c>
      <c r="V3691" t="s">
        <v>14004</v>
      </c>
      <c r="W3691" t="s">
        <v>17650</v>
      </c>
      <c r="X3691">
        <v>19</v>
      </c>
      <c r="Y3691" t="s">
        <v>24486</v>
      </c>
      <c r="Z3691" t="s">
        <v>31401</v>
      </c>
      <c r="AA3691">
        <v>0.39997582330112608</v>
      </c>
      <c r="AB3691" t="str">
        <f>HYPERLINK("Melting_Curves/meltCurve_Q15056_2_EIF4H.pdf", "Melting_Curves/meltCurve_Q15056_2_EIF4H.pdf")</f>
        <v>Melting_Curves/meltCurve_Q15056_2_EIF4H.pdf</v>
      </c>
    </row>
    <row r="3692" spans="1:28" x14ac:dyDescent="0.25">
      <c r="A3692" t="s">
        <v>3696</v>
      </c>
      <c r="B3692">
        <v>0.99999676499088797</v>
      </c>
      <c r="C3692">
        <v>0.95400125159984195</v>
      </c>
      <c r="D3692">
        <v>0.95565348245632498</v>
      </c>
      <c r="E3692">
        <v>0.83692759427473495</v>
      </c>
      <c r="F3692">
        <v>0.23944391335801801</v>
      </c>
      <c r="G3692">
        <v>0.19242373472791399</v>
      </c>
      <c r="H3692">
        <v>8.6318665404462605E-2</v>
      </c>
      <c r="I3692">
        <v>9.4298301969970799E-2</v>
      </c>
      <c r="J3692">
        <v>0.104320670391643</v>
      </c>
      <c r="K3692">
        <v>9.61603501912449E-2</v>
      </c>
      <c r="L3692">
        <v>2255.8187016659399</v>
      </c>
      <c r="M3692">
        <v>44.048343724817101</v>
      </c>
      <c r="N3692">
        <v>51.5024807245156</v>
      </c>
      <c r="O3692">
        <v>51.1071214006232</v>
      </c>
      <c r="P3692">
        <v>-0.19179430101935999</v>
      </c>
      <c r="Q3692">
        <v>0.109883366943953</v>
      </c>
      <c r="R3692">
        <v>0.99368274896887099</v>
      </c>
      <c r="S3692" t="s">
        <v>10695</v>
      </c>
      <c r="T3692" t="s">
        <v>14004</v>
      </c>
      <c r="U3692" t="s">
        <v>14004</v>
      </c>
      <c r="V3692" t="s">
        <v>14004</v>
      </c>
      <c r="W3692" t="s">
        <v>17651</v>
      </c>
      <c r="X3692">
        <v>26</v>
      </c>
      <c r="Y3692" t="s">
        <v>24487</v>
      </c>
      <c r="Z3692" t="s">
        <v>31402</v>
      </c>
      <c r="AA3692">
        <v>0.44515434765991663</v>
      </c>
      <c r="AB3692" t="str">
        <f>HYPERLINK("Melting_Curves/meltCurve_Q15057_ACAP2.pdf", "Melting_Curves/meltCurve_Q15057_ACAP2.pdf")</f>
        <v>Melting_Curves/meltCurve_Q15057_ACAP2.pdf</v>
      </c>
    </row>
    <row r="3693" spans="1:28" x14ac:dyDescent="0.25">
      <c r="A3693" t="s">
        <v>3697</v>
      </c>
      <c r="B3693">
        <v>0.99999676499088797</v>
      </c>
      <c r="C3693">
        <v>0.826280610134702</v>
      </c>
      <c r="D3693">
        <v>0.40749445403845602</v>
      </c>
      <c r="E3693">
        <v>0.30314069556128298</v>
      </c>
      <c r="F3693">
        <v>0.21736997212733</v>
      </c>
      <c r="G3693">
        <v>0.14560576094812999</v>
      </c>
      <c r="H3693">
        <v>7.7305967163010705E-2</v>
      </c>
      <c r="I3693">
        <v>8.1537473788168502E-2</v>
      </c>
      <c r="J3693">
        <v>0.10186368461657699</v>
      </c>
      <c r="K3693">
        <v>8.2121044855313102E-2</v>
      </c>
      <c r="L3693">
        <v>924.62683336186001</v>
      </c>
      <c r="M3693">
        <v>20.382941075961298</v>
      </c>
      <c r="N3693">
        <v>45.915754965380501</v>
      </c>
      <c r="O3693">
        <v>44.932917063684599</v>
      </c>
      <c r="P3693">
        <v>-0.101067999831658</v>
      </c>
      <c r="Q3693">
        <v>0.1088346258051</v>
      </c>
      <c r="R3693">
        <v>0.97651513128643197</v>
      </c>
      <c r="S3693" t="s">
        <v>10696</v>
      </c>
      <c r="T3693" t="s">
        <v>14004</v>
      </c>
      <c r="U3693" t="s">
        <v>14004</v>
      </c>
      <c r="V3693" t="s">
        <v>14004</v>
      </c>
      <c r="W3693" t="s">
        <v>17652</v>
      </c>
      <c r="X3693">
        <v>2</v>
      </c>
      <c r="Y3693" t="s">
        <v>24488</v>
      </c>
      <c r="Z3693" t="s">
        <v>31403</v>
      </c>
      <c r="AA3693">
        <v>0.28203661472110952</v>
      </c>
      <c r="AB3693" t="str">
        <f>HYPERLINK("Melting_Curves/meltCurve_Q15058_KIF14.pdf", "Melting_Curves/meltCurve_Q15058_KIF14.pdf")</f>
        <v>Melting_Curves/meltCurve_Q15058_KIF14.pdf</v>
      </c>
    </row>
    <row r="3694" spans="1:28" x14ac:dyDescent="0.25">
      <c r="A3694" t="s">
        <v>3698</v>
      </c>
      <c r="B3694">
        <v>0.99999676499088797</v>
      </c>
      <c r="C3694">
        <v>0.89924022636998302</v>
      </c>
      <c r="D3694">
        <v>0.86393144619181605</v>
      </c>
      <c r="E3694">
        <v>0.70799858299014595</v>
      </c>
      <c r="F3694">
        <v>0.51872721170967595</v>
      </c>
      <c r="G3694">
        <v>0.44462506886480502</v>
      </c>
      <c r="H3694">
        <v>0.35324359113389098</v>
      </c>
      <c r="I3694">
        <v>0.31594762047520297</v>
      </c>
      <c r="J3694">
        <v>0.26582940823262902</v>
      </c>
      <c r="K3694">
        <v>0.29783940011572102</v>
      </c>
      <c r="L3694">
        <v>618.002294538049</v>
      </c>
      <c r="M3694">
        <v>12.0674107322615</v>
      </c>
      <c r="N3694">
        <v>54.375692406242997</v>
      </c>
      <c r="O3694">
        <v>49.866967142709903</v>
      </c>
      <c r="P3694">
        <v>-4.5250942307916001E-2</v>
      </c>
      <c r="Q3694">
        <v>0.25220245100205302</v>
      </c>
      <c r="R3694">
        <v>0.99406577544499197</v>
      </c>
      <c r="S3694" t="s">
        <v>10697</v>
      </c>
      <c r="T3694" t="s">
        <v>14004</v>
      </c>
      <c r="U3694" t="s">
        <v>14004</v>
      </c>
      <c r="V3694" t="s">
        <v>14004</v>
      </c>
      <c r="W3694" t="s">
        <v>17653</v>
      </c>
      <c r="X3694">
        <v>7</v>
      </c>
      <c r="Y3694" t="s">
        <v>24489</v>
      </c>
      <c r="Z3694" t="s">
        <v>31404</v>
      </c>
      <c r="AA3694">
        <v>0.55557633967746323</v>
      </c>
      <c r="AB3694" t="str">
        <f>HYPERLINK("Melting_Curves/meltCurve_Q15059_BRD3.pdf", "Melting_Curves/meltCurve_Q15059_BRD3.pdf")</f>
        <v>Melting_Curves/meltCurve_Q15059_BRD3.pdf</v>
      </c>
    </row>
    <row r="3695" spans="1:28" x14ac:dyDescent="0.25">
      <c r="A3695" t="s">
        <v>3699</v>
      </c>
      <c r="B3695">
        <v>0.99999676499088797</v>
      </c>
      <c r="C3695">
        <v>0.97714943023805501</v>
      </c>
      <c r="D3695">
        <v>1.0705731516983199</v>
      </c>
      <c r="E3695">
        <v>1.3164256067897799</v>
      </c>
      <c r="F3695">
        <v>1.1779711678384099</v>
      </c>
      <c r="G3695">
        <v>0.67202813778529402</v>
      </c>
      <c r="H3695">
        <v>0.186403294029305</v>
      </c>
      <c r="I3695">
        <v>9.9764672237899699E-2</v>
      </c>
      <c r="J3695">
        <v>8.6578478200586298E-2</v>
      </c>
      <c r="K3695">
        <v>6.4653507885866907E-2</v>
      </c>
      <c r="L3695">
        <v>3328.0490879454801</v>
      </c>
      <c r="M3695">
        <v>57.9513310956414</v>
      </c>
      <c r="N3695">
        <v>57.646574958082297</v>
      </c>
      <c r="O3695">
        <v>57.360081833858104</v>
      </c>
      <c r="P3695">
        <v>-0.22770060451174001</v>
      </c>
      <c r="Q3695">
        <v>9.8490496855913295E-2</v>
      </c>
      <c r="R3695">
        <v>0.93709305755953298</v>
      </c>
      <c r="S3695" t="s">
        <v>10698</v>
      </c>
      <c r="T3695" t="s">
        <v>14004</v>
      </c>
      <c r="U3695" t="s">
        <v>14004</v>
      </c>
      <c r="V3695" t="s">
        <v>14004</v>
      </c>
      <c r="W3695" t="s">
        <v>17654</v>
      </c>
      <c r="X3695">
        <v>15</v>
      </c>
      <c r="Y3695" t="s">
        <v>24490</v>
      </c>
      <c r="Z3695" t="s">
        <v>31405</v>
      </c>
      <c r="AA3695">
        <v>0.62391398346142546</v>
      </c>
      <c r="AB3695" t="str">
        <f>HYPERLINK("Melting_Curves/meltCurve_Q15061_WDR43.pdf", "Melting_Curves/meltCurve_Q15061_WDR43.pdf")</f>
        <v>Melting_Curves/meltCurve_Q15061_WDR43.pdf</v>
      </c>
    </row>
    <row r="3696" spans="1:28" x14ac:dyDescent="0.25">
      <c r="A3696" t="s">
        <v>3700</v>
      </c>
      <c r="B3696">
        <v>0.99999676499088797</v>
      </c>
      <c r="C3696">
        <v>0.99279993594877902</v>
      </c>
      <c r="D3696">
        <v>1.03524116151854</v>
      </c>
      <c r="E3696">
        <v>1.14143178931176</v>
      </c>
      <c r="F3696">
        <v>1.13585996828682</v>
      </c>
      <c r="G3696">
        <v>0.89522548968451898</v>
      </c>
      <c r="H3696">
        <v>0.57733657115505599</v>
      </c>
      <c r="I3696">
        <v>0.39002717086265498</v>
      </c>
      <c r="J3696">
        <v>0.22068809833230099</v>
      </c>
      <c r="K3696">
        <v>0.13508458631478801</v>
      </c>
      <c r="L3696">
        <v>1618.5761351512199</v>
      </c>
      <c r="M3696">
        <v>26.380793639685699</v>
      </c>
      <c r="N3696">
        <v>62.053808186609103</v>
      </c>
      <c r="O3696">
        <v>61.005036734939402</v>
      </c>
      <c r="P3696">
        <v>-9.4205672856268699E-2</v>
      </c>
      <c r="Q3696">
        <v>0.128614764968418</v>
      </c>
      <c r="R3696">
        <v>0.96372482477062105</v>
      </c>
      <c r="S3696" t="s">
        <v>10699</v>
      </c>
      <c r="T3696" t="s">
        <v>14004</v>
      </c>
      <c r="U3696" t="s">
        <v>14004</v>
      </c>
      <c r="V3696" t="s">
        <v>14004</v>
      </c>
      <c r="W3696" t="s">
        <v>17655</v>
      </c>
      <c r="X3696">
        <v>24</v>
      </c>
      <c r="Y3696" t="s">
        <v>24491</v>
      </c>
      <c r="Z3696" t="s">
        <v>31406</v>
      </c>
      <c r="AA3696">
        <v>0.7538224281436865</v>
      </c>
      <c r="AB3696" t="str">
        <f>HYPERLINK("Melting_Curves/meltCurve_Q15067_2_ACOX1.pdf", "Melting_Curves/meltCurve_Q15067_2_ACOX1.pdf")</f>
        <v>Melting_Curves/meltCurve_Q15067_2_ACOX1.pdf</v>
      </c>
    </row>
    <row r="3697" spans="1:28" x14ac:dyDescent="0.25">
      <c r="A3697" t="s">
        <v>3701</v>
      </c>
      <c r="B3697">
        <v>0.99999676499088797</v>
      </c>
      <c r="C3697">
        <v>0.89119387245555404</v>
      </c>
      <c r="D3697">
        <v>0.67109778076670101</v>
      </c>
      <c r="E3697">
        <v>0.394626133953487</v>
      </c>
      <c r="F3697">
        <v>0.22524306503755001</v>
      </c>
      <c r="G3697">
        <v>0.17637570634534699</v>
      </c>
      <c r="H3697">
        <v>8.2251838036985103E-2</v>
      </c>
      <c r="I3697">
        <v>7.93965591221686E-2</v>
      </c>
      <c r="J3697">
        <v>8.3828761752159406E-2</v>
      </c>
      <c r="K3697">
        <v>5.69045738606173E-2</v>
      </c>
      <c r="L3697">
        <v>789.03219886231898</v>
      </c>
      <c r="M3697">
        <v>16.4862857845349</v>
      </c>
      <c r="N3697">
        <v>48.306937627656197</v>
      </c>
      <c r="O3697">
        <v>47.172357788792198</v>
      </c>
      <c r="P3697">
        <v>-8.11968176099606E-2</v>
      </c>
      <c r="Q3697">
        <v>7.0747839422320005E-2</v>
      </c>
      <c r="R3697">
        <v>0.99655537266463801</v>
      </c>
      <c r="S3697" t="s">
        <v>10700</v>
      </c>
      <c r="T3697" t="s">
        <v>14004</v>
      </c>
      <c r="U3697" t="s">
        <v>14004</v>
      </c>
      <c r="V3697" t="s">
        <v>14004</v>
      </c>
      <c r="W3697" t="s">
        <v>17656</v>
      </c>
      <c r="X3697">
        <v>2</v>
      </c>
      <c r="Y3697" t="s">
        <v>24492</v>
      </c>
      <c r="Z3697" t="s">
        <v>31407</v>
      </c>
      <c r="AA3697">
        <v>0.33408996798859819</v>
      </c>
      <c r="AB3697" t="str">
        <f>HYPERLINK("Melting_Curves/meltCurve_Q15072_ZNF146.pdf", "Melting_Curves/meltCurve_Q15072_ZNF146.pdf")</f>
        <v>Melting_Curves/meltCurve_Q15072_ZNF146.pdf</v>
      </c>
    </row>
    <row r="3698" spans="1:28" x14ac:dyDescent="0.25">
      <c r="A3698" t="s">
        <v>3702</v>
      </c>
      <c r="B3698">
        <v>0.99999676499088797</v>
      </c>
      <c r="C3698">
        <v>0.992193666924712</v>
      </c>
      <c r="D3698">
        <v>1.0437477008824401</v>
      </c>
      <c r="E3698">
        <v>0.98496618292261395</v>
      </c>
      <c r="F3698">
        <v>0.878523142399386</v>
      </c>
      <c r="G3698">
        <v>0.74829563803385102</v>
      </c>
      <c r="H3698">
        <v>0.53987050482315802</v>
      </c>
      <c r="I3698">
        <v>0.65812788793936805</v>
      </c>
      <c r="J3698">
        <v>0.65412828523857203</v>
      </c>
      <c r="K3698">
        <v>0.84181133273497999</v>
      </c>
      <c r="L3698">
        <v>2138.3540892987098</v>
      </c>
      <c r="M3698">
        <v>39.612806379371101</v>
      </c>
      <c r="O3698">
        <v>53.844360721507599</v>
      </c>
      <c r="P3698">
        <v>-5.9082467875097702E-2</v>
      </c>
      <c r="Q3698">
        <v>0.67876541454005501</v>
      </c>
      <c r="R3698">
        <v>0.81704740665601705</v>
      </c>
      <c r="S3698" t="s">
        <v>10701</v>
      </c>
      <c r="T3698" t="s">
        <v>14004</v>
      </c>
      <c r="U3698" t="s">
        <v>14004</v>
      </c>
      <c r="V3698" t="s">
        <v>14004</v>
      </c>
      <c r="W3698" t="s">
        <v>17657</v>
      </c>
      <c r="X3698">
        <v>82</v>
      </c>
      <c r="Y3698" t="s">
        <v>24493</v>
      </c>
      <c r="Z3698" t="s">
        <v>31408</v>
      </c>
      <c r="AA3698">
        <v>0.82969525882131523</v>
      </c>
      <c r="AB3698" t="str">
        <f>HYPERLINK("Melting_Curves/meltCurve_Q15075_EEA1.pdf", "Melting_Curves/meltCurve_Q15075_EEA1.pdf")</f>
        <v>Melting_Curves/meltCurve_Q15075_EEA1.pdf</v>
      </c>
    </row>
    <row r="3699" spans="1:28" x14ac:dyDescent="0.25">
      <c r="A3699" t="s">
        <v>3703</v>
      </c>
      <c r="B3699">
        <v>0.99999676499088797</v>
      </c>
      <c r="C3699">
        <v>0.97694027605270295</v>
      </c>
      <c r="D3699">
        <v>0.91029412315064695</v>
      </c>
      <c r="E3699">
        <v>0.76267742121042204</v>
      </c>
      <c r="F3699">
        <v>0.56010862873034595</v>
      </c>
      <c r="G3699">
        <v>0.335501270398467</v>
      </c>
      <c r="H3699">
        <v>0.111455626005156</v>
      </c>
      <c r="I3699">
        <v>9.52105228591347E-2</v>
      </c>
      <c r="J3699">
        <v>7.7991062270960698E-2</v>
      </c>
      <c r="K3699">
        <v>8.2329593579870103E-2</v>
      </c>
      <c r="L3699">
        <v>819.52519211719698</v>
      </c>
      <c r="M3699">
        <v>15.30675785471</v>
      </c>
      <c r="N3699">
        <v>53.754432256485401</v>
      </c>
      <c r="O3699">
        <v>52.6512190577468</v>
      </c>
      <c r="P3699">
        <v>-7.0534969863704194E-2</v>
      </c>
      <c r="Q3699">
        <v>2.9603620286662E-2</v>
      </c>
      <c r="R3699">
        <v>0.99642485465877595</v>
      </c>
      <c r="S3699" t="s">
        <v>10702</v>
      </c>
      <c r="T3699" t="s">
        <v>14004</v>
      </c>
      <c r="U3699" t="s">
        <v>14004</v>
      </c>
      <c r="V3699" t="s">
        <v>14004</v>
      </c>
      <c r="W3699" t="s">
        <v>17658</v>
      </c>
      <c r="X3699">
        <v>14</v>
      </c>
      <c r="Y3699" t="s">
        <v>24494</v>
      </c>
      <c r="Z3699" t="s">
        <v>31409</v>
      </c>
      <c r="AA3699">
        <v>0.48742026126886467</v>
      </c>
      <c r="AB3699" t="str">
        <f>HYPERLINK("Melting_Curves/meltCurve_Q15102_PAFAH1B3.pdf", "Melting_Curves/meltCurve_Q15102_PAFAH1B3.pdf")</f>
        <v>Melting_Curves/meltCurve_Q15102_PAFAH1B3.pdf</v>
      </c>
    </row>
    <row r="3700" spans="1:28" x14ac:dyDescent="0.25">
      <c r="A3700" t="s">
        <v>3704</v>
      </c>
      <c r="B3700">
        <v>0.99999676499088797</v>
      </c>
      <c r="C3700">
        <v>0.99280653160792498</v>
      </c>
      <c r="D3700">
        <v>0.93942401944853904</v>
      </c>
      <c r="E3700">
        <v>0.94553156597962196</v>
      </c>
      <c r="F3700">
        <v>0.28496093758429902</v>
      </c>
      <c r="G3700">
        <v>0.161886009517338</v>
      </c>
      <c r="H3700">
        <v>8.7650877754557904E-2</v>
      </c>
      <c r="I3700">
        <v>7.3786109263065502E-2</v>
      </c>
      <c r="J3700">
        <v>6.40768359808747E-2</v>
      </c>
      <c r="K3700">
        <v>3.3414675620915497E-2</v>
      </c>
      <c r="L3700">
        <v>2744.9332437043499</v>
      </c>
      <c r="M3700">
        <v>52.794635729872297</v>
      </c>
      <c r="N3700">
        <v>52.166429468789801</v>
      </c>
      <c r="O3700">
        <v>51.918202176171697</v>
      </c>
      <c r="P3700">
        <v>-0.23372117595056</v>
      </c>
      <c r="Q3700">
        <v>8.0635487012389498E-2</v>
      </c>
      <c r="R3700">
        <v>0.99359404317652</v>
      </c>
      <c r="S3700" t="s">
        <v>10703</v>
      </c>
      <c r="T3700" t="s">
        <v>14004</v>
      </c>
      <c r="U3700" t="s">
        <v>14004</v>
      </c>
      <c r="V3700" t="s">
        <v>14004</v>
      </c>
      <c r="W3700" t="s">
        <v>17659</v>
      </c>
      <c r="X3700">
        <v>8</v>
      </c>
      <c r="Y3700" t="s">
        <v>24495</v>
      </c>
      <c r="Z3700" t="s">
        <v>31410</v>
      </c>
      <c r="AA3700">
        <v>0.45004618558871318</v>
      </c>
      <c r="AB3700" t="str">
        <f>HYPERLINK("Melting_Curves/meltCurve_Q15118_PDK1.pdf", "Melting_Curves/meltCurve_Q15118_PDK1.pdf")</f>
        <v>Melting_Curves/meltCurve_Q15118_PDK1.pdf</v>
      </c>
    </row>
    <row r="3701" spans="1:28" x14ac:dyDescent="0.25">
      <c r="A3701" t="s">
        <v>3705</v>
      </c>
      <c r="B3701">
        <v>0.99999676499088797</v>
      </c>
      <c r="C3701">
        <v>1.02118113329368</v>
      </c>
      <c r="D3701">
        <v>1.02851513609718</v>
      </c>
      <c r="E3701">
        <v>0.73016421702759304</v>
      </c>
      <c r="F3701">
        <v>0.36848423862273799</v>
      </c>
      <c r="G3701">
        <v>0.163320719702302</v>
      </c>
      <c r="H3701">
        <v>3.7269227357608299E-2</v>
      </c>
      <c r="I3701">
        <v>8.1142322255061003E-2</v>
      </c>
      <c r="J3701">
        <v>8.9241828735432002E-2</v>
      </c>
      <c r="K3701">
        <v>5.6284314304168803E-2</v>
      </c>
      <c r="L3701">
        <v>1349.5493245336299</v>
      </c>
      <c r="M3701">
        <v>26.148008049610102</v>
      </c>
      <c r="N3701">
        <v>51.886440726938702</v>
      </c>
      <c r="O3701">
        <v>51.312907280735899</v>
      </c>
      <c r="P3701">
        <v>-0.11916735358521</v>
      </c>
      <c r="Q3701">
        <v>6.4593586289211802E-2</v>
      </c>
      <c r="R3701">
        <v>0.99474965835931894</v>
      </c>
      <c r="S3701" t="s">
        <v>10704</v>
      </c>
      <c r="T3701" t="s">
        <v>14004</v>
      </c>
      <c r="U3701" t="s">
        <v>14004</v>
      </c>
      <c r="V3701" t="s">
        <v>14004</v>
      </c>
      <c r="W3701" t="s">
        <v>17660</v>
      </c>
      <c r="X3701">
        <v>4</v>
      </c>
      <c r="Y3701" t="s">
        <v>24496</v>
      </c>
      <c r="Z3701" t="s">
        <v>31411</v>
      </c>
      <c r="AA3701">
        <v>0.43444928150317441</v>
      </c>
      <c r="AB3701" t="str">
        <f>HYPERLINK("Melting_Curves/meltCurve_Q15119_PDK2.pdf", "Melting_Curves/meltCurve_Q15119_PDK2.pdf")</f>
        <v>Melting_Curves/meltCurve_Q15119_PDK2.pdf</v>
      </c>
    </row>
    <row r="3702" spans="1:28" x14ac:dyDescent="0.25">
      <c r="A3702" t="s">
        <v>3706</v>
      </c>
      <c r="B3702">
        <v>0.99999676499088797</v>
      </c>
      <c r="C3702">
        <v>0.918100804424689</v>
      </c>
      <c r="D3702">
        <v>0.89323042241113804</v>
      </c>
      <c r="E3702">
        <v>0.94891769741807996</v>
      </c>
      <c r="F3702">
        <v>0.60277410649086205</v>
      </c>
      <c r="G3702">
        <v>0.32950030851687401</v>
      </c>
      <c r="H3702">
        <v>0.13474523278782</v>
      </c>
      <c r="I3702">
        <v>0.13080901240564599</v>
      </c>
      <c r="J3702">
        <v>0.107723354214184</v>
      </c>
      <c r="K3702">
        <v>0.103665424511827</v>
      </c>
      <c r="L3702">
        <v>1270.4924825911</v>
      </c>
      <c r="M3702">
        <v>23.5411023382811</v>
      </c>
      <c r="N3702">
        <v>54.473962745083</v>
      </c>
      <c r="O3702">
        <v>53.5841997568346</v>
      </c>
      <c r="P3702">
        <v>-9.9069752231068703E-2</v>
      </c>
      <c r="Q3702">
        <v>9.8006106093297907E-2</v>
      </c>
      <c r="R3702">
        <v>0.986598299939215</v>
      </c>
      <c r="S3702" t="s">
        <v>10705</v>
      </c>
      <c r="T3702" t="s">
        <v>14004</v>
      </c>
      <c r="U3702" t="s">
        <v>14004</v>
      </c>
      <c r="V3702" t="s">
        <v>14004</v>
      </c>
      <c r="W3702" t="s">
        <v>17661</v>
      </c>
      <c r="X3702">
        <v>10</v>
      </c>
      <c r="Y3702" t="s">
        <v>24497</v>
      </c>
      <c r="Z3702" t="s">
        <v>31412</v>
      </c>
      <c r="AA3702">
        <v>0.52730782306150981</v>
      </c>
      <c r="AB3702" t="str">
        <f>HYPERLINK("Melting_Curves/meltCurve_Q15120_PDK3.pdf", "Melting_Curves/meltCurve_Q15120_PDK3.pdf")</f>
        <v>Melting_Curves/meltCurve_Q15120_PDK3.pdf</v>
      </c>
    </row>
    <row r="3703" spans="1:28" x14ac:dyDescent="0.25">
      <c r="A3703" t="s">
        <v>3707</v>
      </c>
      <c r="B3703">
        <v>0.99999676499088797</v>
      </c>
      <c r="C3703">
        <v>1.4514150910271399</v>
      </c>
      <c r="D3703">
        <v>1.19138926945294</v>
      </c>
      <c r="E3703">
        <v>0.58059679085875504</v>
      </c>
      <c r="F3703">
        <v>0.55908928990642603</v>
      </c>
      <c r="G3703">
        <v>0.502558767601196</v>
      </c>
      <c r="H3703">
        <v>0.33914405727450297</v>
      </c>
      <c r="I3703">
        <v>0.39104576681391001</v>
      </c>
      <c r="J3703">
        <v>0.30720863764128298</v>
      </c>
      <c r="K3703">
        <v>0.17631606868236799</v>
      </c>
      <c r="L3703">
        <v>7773.8533329376296</v>
      </c>
      <c r="M3703">
        <v>157.46446572645701</v>
      </c>
      <c r="N3703">
        <v>49.818404425646797</v>
      </c>
      <c r="O3703">
        <v>49.360977173531403</v>
      </c>
      <c r="P3703">
        <v>-0.495078185604651</v>
      </c>
      <c r="Q3703">
        <v>0.37922396216167897</v>
      </c>
      <c r="R3703">
        <v>0.78972595799194101</v>
      </c>
      <c r="S3703" t="s">
        <v>10706</v>
      </c>
      <c r="T3703" t="s">
        <v>14004</v>
      </c>
      <c r="U3703" t="s">
        <v>14004</v>
      </c>
      <c r="V3703" t="s">
        <v>14004</v>
      </c>
      <c r="W3703" t="s">
        <v>17662</v>
      </c>
      <c r="X3703">
        <v>3</v>
      </c>
      <c r="Y3703" t="s">
        <v>24498</v>
      </c>
      <c r="Z3703" t="s">
        <v>31413</v>
      </c>
      <c r="AA3703">
        <v>0.57322664082549624</v>
      </c>
      <c r="AB3703" t="str">
        <f>HYPERLINK("Melting_Curves/meltCurve_Q15125_EBP.pdf", "Melting_Curves/meltCurve_Q15125_EBP.pdf")</f>
        <v>Melting_Curves/meltCurve_Q15125_EBP.pdf</v>
      </c>
    </row>
    <row r="3704" spans="1:28" x14ac:dyDescent="0.25">
      <c r="A3704" t="s">
        <v>3708</v>
      </c>
      <c r="B3704">
        <v>0.99999676499088797</v>
      </c>
      <c r="C3704">
        <v>0.92597531068279204</v>
      </c>
      <c r="D3704">
        <v>0.57473213637188403</v>
      </c>
      <c r="E3704">
        <v>0.25645795818945499</v>
      </c>
      <c r="F3704">
        <v>0.18891696472335701</v>
      </c>
      <c r="G3704">
        <v>0.13734276093780801</v>
      </c>
      <c r="H3704">
        <v>5.9860579638756503E-2</v>
      </c>
      <c r="I3704">
        <v>6.3964600794700302E-2</v>
      </c>
      <c r="J3704">
        <v>6.03247073419651E-2</v>
      </c>
      <c r="K3704">
        <v>5.3519183461420497E-2</v>
      </c>
      <c r="L3704">
        <v>1050.28280278697</v>
      </c>
      <c r="M3704">
        <v>22.544453748919398</v>
      </c>
      <c r="N3704">
        <v>46.941517285894903</v>
      </c>
      <c r="O3704">
        <v>46.225263526631203</v>
      </c>
      <c r="P3704">
        <v>-0.112389886032166</v>
      </c>
      <c r="Q3704">
        <v>7.8239077076117006E-2</v>
      </c>
      <c r="R3704">
        <v>0.99157916670872104</v>
      </c>
      <c r="S3704" t="s">
        <v>10707</v>
      </c>
      <c r="T3704" t="s">
        <v>14004</v>
      </c>
      <c r="U3704" t="s">
        <v>14004</v>
      </c>
      <c r="V3704" t="s">
        <v>14004</v>
      </c>
      <c r="W3704" t="s">
        <v>17663</v>
      </c>
      <c r="X3704">
        <v>13</v>
      </c>
      <c r="Y3704" t="s">
        <v>24499</v>
      </c>
      <c r="Z3704" t="s">
        <v>31414</v>
      </c>
      <c r="AA3704">
        <v>0.29112980041848241</v>
      </c>
      <c r="AB3704" t="str">
        <f>HYPERLINK("Melting_Curves/meltCurve_Q15126_PMVK.pdf", "Melting_Curves/meltCurve_Q15126_PMVK.pdf")</f>
        <v>Melting_Curves/meltCurve_Q15126_PMVK.pdf</v>
      </c>
    </row>
    <row r="3705" spans="1:28" x14ac:dyDescent="0.25">
      <c r="A3705" t="s">
        <v>3709</v>
      </c>
      <c r="B3705">
        <v>0.99999676499088797</v>
      </c>
      <c r="C3705">
        <v>0.80900004808727599</v>
      </c>
      <c r="D3705">
        <v>0.91390615903130501</v>
      </c>
      <c r="E3705">
        <v>0.96573375247589599</v>
      </c>
      <c r="F3705">
        <v>0.73606773620915</v>
      </c>
      <c r="G3705">
        <v>0.40873057394300999</v>
      </c>
      <c r="H3705">
        <v>0.12362879014033699</v>
      </c>
      <c r="I3705">
        <v>0.12164711245132</v>
      </c>
      <c r="J3705">
        <v>9.6627824954324606E-2</v>
      </c>
      <c r="K3705">
        <v>8.2177087251311398E-2</v>
      </c>
      <c r="L3705">
        <v>1364.83884231917</v>
      </c>
      <c r="M3705">
        <v>24.6930619752011</v>
      </c>
      <c r="N3705">
        <v>55.640644467654603</v>
      </c>
      <c r="O3705">
        <v>54.9134833784817</v>
      </c>
      <c r="P3705">
        <v>-0.103939760404045</v>
      </c>
      <c r="Q3705">
        <v>7.5430386342674405E-2</v>
      </c>
      <c r="R3705">
        <v>0.96797427986664597</v>
      </c>
      <c r="S3705" t="s">
        <v>10708</v>
      </c>
      <c r="T3705" t="s">
        <v>14004</v>
      </c>
      <c r="U3705" t="s">
        <v>14004</v>
      </c>
      <c r="V3705" t="s">
        <v>14004</v>
      </c>
      <c r="W3705" t="s">
        <v>17664</v>
      </c>
      <c r="X3705">
        <v>129</v>
      </c>
      <c r="Y3705" t="s">
        <v>24500</v>
      </c>
      <c r="Z3705" t="s">
        <v>31415</v>
      </c>
      <c r="AA3705">
        <v>0.55482975702471959</v>
      </c>
      <c r="AB3705" t="str">
        <f>HYPERLINK("Melting_Curves/meltCurve_Q15149_PLEC.pdf", "Melting_Curves/meltCurve_Q15149_PLEC.pdf")</f>
        <v>Melting_Curves/meltCurve_Q15149_PLEC.pdf</v>
      </c>
    </row>
    <row r="3706" spans="1:28" x14ac:dyDescent="0.25">
      <c r="A3706" t="s">
        <v>3710</v>
      </c>
      <c r="B3706">
        <v>0.99999676499088797</v>
      </c>
      <c r="C3706">
        <v>0.96620730593293902</v>
      </c>
      <c r="D3706">
        <v>0.79104452307777295</v>
      </c>
      <c r="E3706">
        <v>0.353833359296155</v>
      </c>
      <c r="F3706">
        <v>0.273422321164763</v>
      </c>
      <c r="G3706">
        <v>0.197832963431363</v>
      </c>
      <c r="H3706">
        <v>9.8816381911497803E-2</v>
      </c>
      <c r="I3706">
        <v>0.101736365116462</v>
      </c>
      <c r="J3706">
        <v>9.6362910816394004E-2</v>
      </c>
      <c r="K3706">
        <v>8.0969189936554997E-2</v>
      </c>
      <c r="L3706">
        <v>1065.9703486972201</v>
      </c>
      <c r="M3706">
        <v>22.140993786472901</v>
      </c>
      <c r="N3706">
        <v>48.697103050636898</v>
      </c>
      <c r="O3706">
        <v>47.757068941661302</v>
      </c>
      <c r="P3706">
        <v>-0.103034166471698</v>
      </c>
      <c r="Q3706">
        <v>0.111060180410828</v>
      </c>
      <c r="R3706">
        <v>0.98855881321855399</v>
      </c>
      <c r="S3706" t="s">
        <v>10709</v>
      </c>
      <c r="T3706" t="s">
        <v>14004</v>
      </c>
      <c r="U3706" t="s">
        <v>14004</v>
      </c>
      <c r="V3706" t="s">
        <v>14004</v>
      </c>
      <c r="W3706" t="s">
        <v>17665</v>
      </c>
      <c r="X3706">
        <v>128</v>
      </c>
      <c r="Y3706" t="s">
        <v>24500</v>
      </c>
      <c r="Z3706" t="s">
        <v>31416</v>
      </c>
      <c r="AA3706">
        <v>0.36255628604890749</v>
      </c>
      <c r="AB3706" t="str">
        <f>HYPERLINK("Melting_Curves/meltCurve_Q15149_3_PLEC.pdf", "Melting_Curves/meltCurve_Q15149_3_PLEC.pdf")</f>
        <v>Melting_Curves/meltCurve_Q15149_3_PLEC.pdf</v>
      </c>
    </row>
    <row r="3707" spans="1:28" x14ac:dyDescent="0.25">
      <c r="A3707" t="s">
        <v>3711</v>
      </c>
      <c r="B3707">
        <v>0.99999676499088797</v>
      </c>
      <c r="C3707">
        <v>0.95953665349143802</v>
      </c>
      <c r="D3707">
        <v>1.00070672794266</v>
      </c>
      <c r="E3707">
        <v>0.55345668092843603</v>
      </c>
      <c r="F3707">
        <v>0.53925700692516398</v>
      </c>
      <c r="G3707">
        <v>0.41631026597739401</v>
      </c>
      <c r="H3707">
        <v>0.37434570271318401</v>
      </c>
      <c r="I3707">
        <v>0.33451595718566401</v>
      </c>
      <c r="J3707">
        <v>0.31671874138406098</v>
      </c>
      <c r="K3707">
        <v>0.38775705826683599</v>
      </c>
      <c r="L3707">
        <v>1380.68731207823</v>
      </c>
      <c r="M3707">
        <v>28.213882134741901</v>
      </c>
      <c r="N3707">
        <v>51.462001718986897</v>
      </c>
      <c r="O3707">
        <v>48.6925741586386</v>
      </c>
      <c r="P3707">
        <v>-9.0566752155490399E-2</v>
      </c>
      <c r="Q3707">
        <v>0.37479105540130803</v>
      </c>
      <c r="R3707">
        <v>0.95675548302950897</v>
      </c>
      <c r="S3707" t="s">
        <v>10710</v>
      </c>
      <c r="T3707" t="s">
        <v>14004</v>
      </c>
      <c r="U3707" t="s">
        <v>14004</v>
      </c>
      <c r="V3707" t="s">
        <v>14004</v>
      </c>
      <c r="W3707" t="s">
        <v>17666</v>
      </c>
      <c r="X3707">
        <v>6</v>
      </c>
      <c r="Y3707" t="s">
        <v>24501</v>
      </c>
      <c r="Z3707" t="s">
        <v>31417</v>
      </c>
      <c r="AA3707">
        <v>0.56534533812811805</v>
      </c>
      <c r="AB3707" t="str">
        <f>HYPERLINK("Melting_Curves/meltCurve_Q15154_2_PCM1.pdf", "Melting_Curves/meltCurve_Q15154_2_PCM1.pdf")</f>
        <v>Melting_Curves/meltCurve_Q15154_2_PCM1.pdf</v>
      </c>
    </row>
    <row r="3708" spans="1:28" x14ac:dyDescent="0.25">
      <c r="A3708" t="s">
        <v>3712</v>
      </c>
      <c r="B3708">
        <v>0.99999676499088797</v>
      </c>
      <c r="C3708">
        <v>1.10194090545607</v>
      </c>
      <c r="D3708">
        <v>0.99348345603096999</v>
      </c>
      <c r="E3708">
        <v>0.64374935247083298</v>
      </c>
      <c r="F3708">
        <v>0.14016582169514599</v>
      </c>
      <c r="G3708">
        <v>0.127886841831333</v>
      </c>
      <c r="H3708">
        <v>9.7031558812899106E-3</v>
      </c>
      <c r="I3708">
        <v>7.3887116463191904E-2</v>
      </c>
      <c r="J3708">
        <v>2.7033307379074899E-2</v>
      </c>
      <c r="K3708">
        <v>3.8838349217464402E-2</v>
      </c>
      <c r="L3708">
        <v>2013.49713464051</v>
      </c>
      <c r="M3708">
        <v>40.074350233953602</v>
      </c>
      <c r="N3708">
        <v>50.383113204199198</v>
      </c>
      <c r="O3708">
        <v>50.119411072107297</v>
      </c>
      <c r="P3708">
        <v>-0.18942932778605701</v>
      </c>
      <c r="Q3708">
        <v>5.2354786419022602E-2</v>
      </c>
      <c r="R3708">
        <v>0.990436699125399</v>
      </c>
      <c r="S3708" t="s">
        <v>10711</v>
      </c>
      <c r="T3708" t="s">
        <v>14004</v>
      </c>
      <c r="U3708" t="s">
        <v>14004</v>
      </c>
      <c r="V3708" t="s">
        <v>14004</v>
      </c>
      <c r="W3708" t="s">
        <v>17667</v>
      </c>
      <c r="X3708">
        <v>32</v>
      </c>
      <c r="Y3708" t="s">
        <v>24502</v>
      </c>
      <c r="Z3708" t="s">
        <v>31418</v>
      </c>
      <c r="AA3708">
        <v>0.37922485371998688</v>
      </c>
      <c r="AB3708" t="str">
        <f>HYPERLINK("Melting_Curves/meltCurve_Q15155_NOMO1.pdf", "Melting_Curves/meltCurve_Q15155_NOMO1.pdf")</f>
        <v>Melting_Curves/meltCurve_Q15155_NOMO1.pdf</v>
      </c>
    </row>
    <row r="3709" spans="1:28" x14ac:dyDescent="0.25">
      <c r="A3709" t="s">
        <v>3713</v>
      </c>
      <c r="B3709">
        <v>0.99999676499088797</v>
      </c>
      <c r="C3709">
        <v>0.90842204955805195</v>
      </c>
      <c r="D3709">
        <v>0.90203869271169801</v>
      </c>
      <c r="E3709">
        <v>0.62006033357155299</v>
      </c>
      <c r="F3709">
        <v>0.53722965362573605</v>
      </c>
      <c r="G3709">
        <v>0.40720500451559</v>
      </c>
      <c r="H3709">
        <v>0.324511916849753</v>
      </c>
      <c r="I3709">
        <v>0.43161431734983202</v>
      </c>
      <c r="J3709">
        <v>0.38326294263124899</v>
      </c>
      <c r="K3709">
        <v>0.33333502096334899</v>
      </c>
      <c r="L3709">
        <v>854.03489329435604</v>
      </c>
      <c r="M3709">
        <v>17.3338569468863</v>
      </c>
      <c r="N3709">
        <v>53.1500650825691</v>
      </c>
      <c r="O3709">
        <v>48.628028337102997</v>
      </c>
      <c r="P3709">
        <v>-5.7130230120337397E-2</v>
      </c>
      <c r="Q3709">
        <v>0.35894903746804702</v>
      </c>
      <c r="R3709">
        <v>0.97374508113453495</v>
      </c>
      <c r="S3709" t="s">
        <v>10712</v>
      </c>
      <c r="T3709" t="s">
        <v>14004</v>
      </c>
      <c r="U3709" t="s">
        <v>14004</v>
      </c>
      <c r="V3709" t="s">
        <v>14004</v>
      </c>
      <c r="W3709" t="s">
        <v>17668</v>
      </c>
      <c r="X3709">
        <v>4</v>
      </c>
      <c r="Y3709" t="s">
        <v>24503</v>
      </c>
      <c r="Z3709" t="s">
        <v>31419</v>
      </c>
      <c r="AA3709">
        <v>0.56892601786660824</v>
      </c>
      <c r="AB3709" t="str">
        <f>HYPERLINK("Melting_Curves/meltCurve_Q15170_2_TCEAL1.pdf", "Melting_Curves/meltCurve_Q15170_2_TCEAL1.pdf")</f>
        <v>Melting_Curves/meltCurve_Q15170_2_TCEAL1.pdf</v>
      </c>
    </row>
    <row r="3710" spans="1:28" x14ac:dyDescent="0.25">
      <c r="A3710" t="s">
        <v>3714</v>
      </c>
      <c r="B3710">
        <v>0.99999676499088797</v>
      </c>
      <c r="C3710">
        <v>0.88116894186996697</v>
      </c>
      <c r="D3710">
        <v>0.94853345040646597</v>
      </c>
      <c r="E3710">
        <v>0.58437211006326895</v>
      </c>
      <c r="F3710">
        <v>0.181862578662669</v>
      </c>
      <c r="G3710">
        <v>0.134195783828059</v>
      </c>
      <c r="H3710">
        <v>5.5153539988211001E-2</v>
      </c>
      <c r="I3710">
        <v>5.1790311772354901E-2</v>
      </c>
      <c r="J3710">
        <v>4.1164039887914998E-2</v>
      </c>
      <c r="K3710">
        <v>2.6607477233831299E-2</v>
      </c>
      <c r="L3710">
        <v>1358.8334283244601</v>
      </c>
      <c r="M3710">
        <v>27.1515552168154</v>
      </c>
      <c r="N3710">
        <v>50.233508312888297</v>
      </c>
      <c r="O3710">
        <v>49.777131146290401</v>
      </c>
      <c r="P3710">
        <v>-0.12980342496052499</v>
      </c>
      <c r="Q3710">
        <v>4.8131196065198202E-2</v>
      </c>
      <c r="R3710">
        <v>0.98952206902073203</v>
      </c>
      <c r="S3710" t="s">
        <v>10713</v>
      </c>
      <c r="T3710" t="s">
        <v>14004</v>
      </c>
      <c r="U3710" t="s">
        <v>14004</v>
      </c>
      <c r="V3710" t="s">
        <v>14004</v>
      </c>
      <c r="W3710" t="s">
        <v>17669</v>
      </c>
      <c r="X3710">
        <v>7</v>
      </c>
      <c r="Y3710" t="s">
        <v>24504</v>
      </c>
      <c r="Z3710" t="s">
        <v>31420</v>
      </c>
      <c r="AA3710">
        <v>0.37409598990770182</v>
      </c>
      <c r="AB3710" t="str">
        <f>HYPERLINK("Melting_Curves/meltCurve_Q15172_PPP2R5A.pdf", "Melting_Curves/meltCurve_Q15172_PPP2R5A.pdf")</f>
        <v>Melting_Curves/meltCurve_Q15172_PPP2R5A.pdf</v>
      </c>
    </row>
    <row r="3711" spans="1:28" x14ac:dyDescent="0.25">
      <c r="A3711" t="s">
        <v>3715</v>
      </c>
      <c r="B3711">
        <v>0.99999676499088797</v>
      </c>
      <c r="C3711">
        <v>1.02839944341407</v>
      </c>
      <c r="D3711">
        <v>0.78516517980437095</v>
      </c>
      <c r="E3711">
        <v>0.33564752005027398</v>
      </c>
      <c r="F3711">
        <v>0.19443873735126399</v>
      </c>
      <c r="G3711">
        <v>0.13028948880510299</v>
      </c>
      <c r="H3711">
        <v>6.4559220264194903E-2</v>
      </c>
      <c r="I3711">
        <v>6.11988566212208E-2</v>
      </c>
      <c r="J3711">
        <v>6.2605681981082004E-2</v>
      </c>
      <c r="K3711">
        <v>5.04861754946484E-2</v>
      </c>
      <c r="L3711">
        <v>1285.5333036494401</v>
      </c>
      <c r="M3711">
        <v>26.723423503716798</v>
      </c>
      <c r="N3711">
        <v>48.4036702261592</v>
      </c>
      <c r="O3711">
        <v>47.8381586453254</v>
      </c>
      <c r="P3711">
        <v>-0.129045420367108</v>
      </c>
      <c r="Q3711">
        <v>7.5981929903954207E-2</v>
      </c>
      <c r="R3711">
        <v>0.99305322560582798</v>
      </c>
      <c r="S3711" t="s">
        <v>10714</v>
      </c>
      <c r="T3711" t="s">
        <v>14004</v>
      </c>
      <c r="U3711" t="s">
        <v>14004</v>
      </c>
      <c r="V3711" t="s">
        <v>14004</v>
      </c>
      <c r="W3711" t="s">
        <v>17670</v>
      </c>
      <c r="X3711">
        <v>6</v>
      </c>
      <c r="Y3711" t="s">
        <v>24505</v>
      </c>
      <c r="Z3711" t="s">
        <v>31421</v>
      </c>
      <c r="AA3711">
        <v>0.33271765262459402</v>
      </c>
      <c r="AB3711" t="str">
        <f>HYPERLINK("Melting_Curves/meltCurve_Q15173_2_PPP2R5B.pdf", "Melting_Curves/meltCurve_Q15173_2_PPP2R5B.pdf")</f>
        <v>Melting_Curves/meltCurve_Q15173_2_PPP2R5B.pdf</v>
      </c>
    </row>
    <row r="3712" spans="1:28" x14ac:dyDescent="0.25">
      <c r="A3712" t="s">
        <v>3716</v>
      </c>
      <c r="B3712">
        <v>0.99999676499088797</v>
      </c>
      <c r="C3712">
        <v>0.84352745788585104</v>
      </c>
      <c r="D3712">
        <v>0.87752324612827604</v>
      </c>
      <c r="E3712">
        <v>0.96021013263314703</v>
      </c>
      <c r="F3712">
        <v>0.92345460765507004</v>
      </c>
      <c r="G3712">
        <v>0.76307312264476601</v>
      </c>
      <c r="H3712">
        <v>0.45146252266440001</v>
      </c>
      <c r="I3712">
        <v>0.23744903894294001</v>
      </c>
      <c r="J3712">
        <v>0.149536503569214</v>
      </c>
      <c r="K3712">
        <v>0.133652689102916</v>
      </c>
      <c r="L3712">
        <v>1231.21890625987</v>
      </c>
      <c r="M3712">
        <v>20.665708214249701</v>
      </c>
      <c r="N3712">
        <v>60.057114283185797</v>
      </c>
      <c r="O3712">
        <v>59.028409940912901</v>
      </c>
      <c r="P3712">
        <v>-8.0873906604703699E-2</v>
      </c>
      <c r="Q3712">
        <v>7.6010949304455205E-2</v>
      </c>
      <c r="R3712">
        <v>0.96391948999349497</v>
      </c>
      <c r="S3712" t="s">
        <v>10715</v>
      </c>
      <c r="T3712" t="s">
        <v>14004</v>
      </c>
      <c r="U3712" t="s">
        <v>14004</v>
      </c>
      <c r="V3712" t="s">
        <v>14004</v>
      </c>
      <c r="W3712" t="s">
        <v>17671</v>
      </c>
      <c r="X3712">
        <v>24</v>
      </c>
      <c r="Y3712" t="s">
        <v>24506</v>
      </c>
      <c r="Z3712" t="s">
        <v>31422</v>
      </c>
      <c r="AA3712">
        <v>0.68733040452561434</v>
      </c>
      <c r="AB3712" t="str">
        <f>HYPERLINK("Melting_Curves/meltCurve_Q15181_PPA1.pdf", "Melting_Curves/meltCurve_Q15181_PPA1.pdf")</f>
        <v>Melting_Curves/meltCurve_Q15181_PPA1.pdf</v>
      </c>
    </row>
    <row r="3713" spans="1:28" x14ac:dyDescent="0.25">
      <c r="A3713" t="s">
        <v>3717</v>
      </c>
      <c r="B3713">
        <v>0.99999676499088797</v>
      </c>
      <c r="C3713">
        <v>0.99581586673730604</v>
      </c>
      <c r="D3713">
        <v>0.79677652505218299</v>
      </c>
      <c r="E3713">
        <v>0.43231531630693398</v>
      </c>
      <c r="F3713">
        <v>0.252005907224371</v>
      </c>
      <c r="G3713">
        <v>0.21642745378375</v>
      </c>
      <c r="H3713">
        <v>0.110858996390091</v>
      </c>
      <c r="I3713">
        <v>0.10474235932484401</v>
      </c>
      <c r="J3713">
        <v>7.5270418431487907E-2</v>
      </c>
      <c r="K3713">
        <v>5.96941433568101E-2</v>
      </c>
      <c r="L3713">
        <v>982.53310041980103</v>
      </c>
      <c r="M3713">
        <v>20.1540021364764</v>
      </c>
      <c r="N3713">
        <v>49.271398615994599</v>
      </c>
      <c r="O3713">
        <v>48.278928125209198</v>
      </c>
      <c r="P3713">
        <v>-9.4365005082756998E-2</v>
      </c>
      <c r="Q3713">
        <v>9.5823150356530495E-2</v>
      </c>
      <c r="R3713">
        <v>0.99129070594055801</v>
      </c>
      <c r="S3713" t="s">
        <v>10716</v>
      </c>
      <c r="T3713" t="s">
        <v>14004</v>
      </c>
      <c r="U3713" t="s">
        <v>14004</v>
      </c>
      <c r="V3713" t="s">
        <v>14004</v>
      </c>
      <c r="W3713" t="s">
        <v>17672</v>
      </c>
      <c r="X3713">
        <v>9</v>
      </c>
      <c r="Y3713" t="s">
        <v>24507</v>
      </c>
      <c r="Z3713" t="s">
        <v>31423</v>
      </c>
      <c r="AA3713">
        <v>0.37207919444458087</v>
      </c>
      <c r="AB3713" t="str">
        <f>HYPERLINK("Melting_Curves/meltCurve_Q15208_STK38.pdf", "Melting_Curves/meltCurve_Q15208_STK38.pdf")</f>
        <v>Melting_Curves/meltCurve_Q15208_STK38.pdf</v>
      </c>
    </row>
    <row r="3714" spans="1:28" x14ac:dyDescent="0.25">
      <c r="A3714" t="s">
        <v>3718</v>
      </c>
      <c r="B3714">
        <v>0.99999676499088797</v>
      </c>
      <c r="C3714">
        <v>1.07888699828471</v>
      </c>
      <c r="D3714">
        <v>0.97231631864499701</v>
      </c>
      <c r="E3714">
        <v>0.87285470961082101</v>
      </c>
      <c r="F3714">
        <v>0.73060374061567301</v>
      </c>
      <c r="G3714">
        <v>0.71083601950383402</v>
      </c>
      <c r="H3714">
        <v>0.39632004341430399</v>
      </c>
      <c r="I3714">
        <v>0.47540666761315697</v>
      </c>
      <c r="J3714">
        <v>0.38476159767554002</v>
      </c>
      <c r="K3714">
        <v>0.45996804222815102</v>
      </c>
      <c r="L3714">
        <v>859.24945306550205</v>
      </c>
      <c r="M3714">
        <v>15.6955172743547</v>
      </c>
      <c r="N3714">
        <v>60.641562077896999</v>
      </c>
      <c r="O3714">
        <v>53.879326817944197</v>
      </c>
      <c r="P3714">
        <v>-4.4332210963640199E-2</v>
      </c>
      <c r="Q3714">
        <v>0.39131980044253301</v>
      </c>
      <c r="R3714">
        <v>0.94668004215391899</v>
      </c>
      <c r="S3714" t="s">
        <v>10717</v>
      </c>
      <c r="T3714" t="s">
        <v>14004</v>
      </c>
      <c r="U3714" t="s">
        <v>14004</v>
      </c>
      <c r="V3714" t="s">
        <v>14004</v>
      </c>
      <c r="W3714" t="s">
        <v>17673</v>
      </c>
      <c r="X3714">
        <v>8</v>
      </c>
      <c r="Y3714" t="s">
        <v>24508</v>
      </c>
      <c r="Z3714" t="s">
        <v>31424</v>
      </c>
      <c r="AA3714">
        <v>0.70182379185556343</v>
      </c>
      <c r="AB3714" t="str">
        <f>HYPERLINK("Melting_Curves/meltCurve_Q15223_PVRL1.pdf", "Melting_Curves/meltCurve_Q15223_PVRL1.pdf")</f>
        <v>Melting_Curves/meltCurve_Q15223_PVRL1.pdf</v>
      </c>
    </row>
    <row r="3715" spans="1:28" x14ac:dyDescent="0.25">
      <c r="A3715" t="s">
        <v>3719</v>
      </c>
      <c r="B3715">
        <v>0.99999676499088797</v>
      </c>
      <c r="C3715">
        <v>0.88523157179288803</v>
      </c>
      <c r="D3715">
        <v>0.44881482655284799</v>
      </c>
      <c r="E3715">
        <v>0.19171350888022301</v>
      </c>
      <c r="F3715">
        <v>0.138038553037032</v>
      </c>
      <c r="G3715">
        <v>0.10511323686504299</v>
      </c>
      <c r="H3715">
        <v>5.7546774149211798E-2</v>
      </c>
      <c r="I3715">
        <v>6.1809171172799597E-2</v>
      </c>
      <c r="J3715">
        <v>6.6050747600080895E-2</v>
      </c>
      <c r="K3715">
        <v>6.0524897143078703E-2</v>
      </c>
      <c r="L3715">
        <v>1283.6842819701001</v>
      </c>
      <c r="M3715">
        <v>28.191488040879399</v>
      </c>
      <c r="N3715">
        <v>45.819633081795203</v>
      </c>
      <c r="O3715">
        <v>45.307195016784199</v>
      </c>
      <c r="P3715">
        <v>-0.14304203577032701</v>
      </c>
      <c r="Q3715">
        <v>8.0462983284966302E-2</v>
      </c>
      <c r="R3715">
        <v>0.99471339059630204</v>
      </c>
      <c r="S3715" t="s">
        <v>10718</v>
      </c>
      <c r="T3715" t="s">
        <v>14004</v>
      </c>
      <c r="U3715" t="s">
        <v>14004</v>
      </c>
      <c r="V3715" t="s">
        <v>14004</v>
      </c>
      <c r="W3715" t="s">
        <v>17674</v>
      </c>
      <c r="X3715">
        <v>46</v>
      </c>
      <c r="Y3715" t="s">
        <v>24509</v>
      </c>
      <c r="Z3715" t="s">
        <v>31425</v>
      </c>
      <c r="AA3715">
        <v>0.25669744987930537</v>
      </c>
      <c r="AB3715" t="str">
        <f>HYPERLINK("Melting_Curves/meltCurve_Q15233_NONO.pdf", "Melting_Curves/meltCurve_Q15233_NONO.pdf")</f>
        <v>Melting_Curves/meltCurve_Q15233_NONO.pdf</v>
      </c>
    </row>
    <row r="3716" spans="1:28" x14ac:dyDescent="0.25">
      <c r="A3716" t="s">
        <v>3720</v>
      </c>
      <c r="B3716">
        <v>0.99999676499088797</v>
      </c>
      <c r="C3716">
        <v>0.94851401341121599</v>
      </c>
      <c r="D3716">
        <v>0.97223137514195301</v>
      </c>
      <c r="E3716">
        <v>1.07356745873158</v>
      </c>
      <c r="F3716">
        <v>0.98442123610077603</v>
      </c>
      <c r="G3716">
        <v>0.43258189977259398</v>
      </c>
      <c r="H3716">
        <v>0.12781899290937099</v>
      </c>
      <c r="I3716">
        <v>0.12734152184509401</v>
      </c>
      <c r="J3716">
        <v>0.11803341514757899</v>
      </c>
      <c r="K3716">
        <v>9.58677685894746E-2</v>
      </c>
      <c r="L3716">
        <v>3782.7964534357402</v>
      </c>
      <c r="M3716">
        <v>67.178997637173794</v>
      </c>
      <c r="N3716">
        <v>56.530449944839198</v>
      </c>
      <c r="O3716">
        <v>56.2593798152731</v>
      </c>
      <c r="P3716">
        <v>-0.26401575972638103</v>
      </c>
      <c r="Q3716">
        <v>0.11559511015042399</v>
      </c>
      <c r="R3716">
        <v>0.99462458309832902</v>
      </c>
      <c r="S3716" t="s">
        <v>10719</v>
      </c>
      <c r="T3716" t="s">
        <v>14004</v>
      </c>
      <c r="U3716" t="s">
        <v>14004</v>
      </c>
      <c r="V3716" t="s">
        <v>14004</v>
      </c>
      <c r="W3716" t="s">
        <v>17675</v>
      </c>
      <c r="X3716">
        <v>12</v>
      </c>
      <c r="Y3716" t="s">
        <v>24510</v>
      </c>
      <c r="Z3716" t="s">
        <v>31426</v>
      </c>
      <c r="AA3716">
        <v>0.59760710446737286</v>
      </c>
      <c r="AB3716" t="str">
        <f>HYPERLINK("Melting_Curves/meltCurve_Q15257_PPP2R4.pdf", "Melting_Curves/meltCurve_Q15257_PPP2R4.pdf")</f>
        <v>Melting_Curves/meltCurve_Q15257_PPP2R4.pdf</v>
      </c>
    </row>
    <row r="3717" spans="1:28" x14ac:dyDescent="0.25">
      <c r="A3717" t="s">
        <v>3721</v>
      </c>
      <c r="B3717">
        <v>0.99999676499088797</v>
      </c>
      <c r="C3717">
        <v>0.99287627334377404</v>
      </c>
      <c r="D3717">
        <v>1.04033651719956</v>
      </c>
      <c r="E3717">
        <v>0.59794902627964897</v>
      </c>
      <c r="F3717">
        <v>0.21027995795747301</v>
      </c>
      <c r="G3717">
        <v>0.13953528217153899</v>
      </c>
      <c r="H3717">
        <v>6.0744753449053203E-2</v>
      </c>
      <c r="I3717">
        <v>6.6335174746614906E-2</v>
      </c>
      <c r="J3717">
        <v>6.12420506744078E-2</v>
      </c>
      <c r="K3717">
        <v>5.61571350208687E-2</v>
      </c>
      <c r="L3717">
        <v>1725.0331548812901</v>
      </c>
      <c r="M3717">
        <v>34.397960054563598</v>
      </c>
      <c r="N3717">
        <v>50.388105966452201</v>
      </c>
      <c r="O3717">
        <v>49.980693030462</v>
      </c>
      <c r="P3717">
        <v>-0.15911528819837301</v>
      </c>
      <c r="Q3717">
        <v>7.5216842550986193E-2</v>
      </c>
      <c r="R3717">
        <v>0.99366717630083001</v>
      </c>
      <c r="S3717" t="s">
        <v>10720</v>
      </c>
      <c r="T3717" t="s">
        <v>14004</v>
      </c>
      <c r="U3717" t="s">
        <v>14004</v>
      </c>
      <c r="V3717" t="s">
        <v>14004</v>
      </c>
      <c r="W3717" t="s">
        <v>17676</v>
      </c>
      <c r="X3717">
        <v>25</v>
      </c>
      <c r="Y3717" t="s">
        <v>24511</v>
      </c>
      <c r="Z3717" t="s">
        <v>31427</v>
      </c>
      <c r="AA3717">
        <v>0.39242858053392182</v>
      </c>
      <c r="AB3717" t="str">
        <f>HYPERLINK("Melting_Curves/meltCurve_Q15269_PWP2.pdf", "Melting_Curves/meltCurve_Q15269_PWP2.pdf")</f>
        <v>Melting_Curves/meltCurve_Q15269_PWP2.pdf</v>
      </c>
    </row>
    <row r="3718" spans="1:28" x14ac:dyDescent="0.25">
      <c r="A3718" t="s">
        <v>3722</v>
      </c>
      <c r="B3718">
        <v>0.99999676499088797</v>
      </c>
      <c r="C3718">
        <v>0.76431361179029</v>
      </c>
      <c r="D3718">
        <v>0.70193662254475897</v>
      </c>
      <c r="E3718">
        <v>0.65665491315557101</v>
      </c>
      <c r="F3718">
        <v>0.76232155953609404</v>
      </c>
      <c r="G3718">
        <v>0.62795645737477901</v>
      </c>
      <c r="H3718">
        <v>0.384334843356473</v>
      </c>
      <c r="I3718">
        <v>0.49100648851408102</v>
      </c>
      <c r="J3718">
        <v>0.47539182202108599</v>
      </c>
      <c r="K3718">
        <v>0.55530334969740602</v>
      </c>
      <c r="L3718">
        <v>361.38911326876502</v>
      </c>
      <c r="M3718">
        <v>7.5281923849218799</v>
      </c>
      <c r="N3718">
        <v>66.244371725428493</v>
      </c>
      <c r="O3718">
        <v>44.967976228824703</v>
      </c>
      <c r="P3718">
        <v>-2.3593201510255499E-2</v>
      </c>
      <c r="Q3718">
        <v>0.437083453471866</v>
      </c>
      <c r="R3718">
        <v>0.74892515047237296</v>
      </c>
      <c r="S3718" t="s">
        <v>10721</v>
      </c>
      <c r="T3718" t="s">
        <v>14004</v>
      </c>
      <c r="U3718" t="s">
        <v>14004</v>
      </c>
      <c r="V3718" t="s">
        <v>14004</v>
      </c>
      <c r="W3718" t="s">
        <v>17677</v>
      </c>
      <c r="X3718">
        <v>5</v>
      </c>
      <c r="Y3718" t="s">
        <v>24512</v>
      </c>
      <c r="Z3718" t="s">
        <v>31428</v>
      </c>
      <c r="AA3718">
        <v>0.6313565490463432</v>
      </c>
      <c r="AB3718" t="str">
        <f>HYPERLINK("Melting_Curves/meltCurve_Q15274_QPRT.pdf", "Melting_Curves/meltCurve_Q15274_QPRT.pdf")</f>
        <v>Melting_Curves/meltCurve_Q15274_QPRT.pdf</v>
      </c>
    </row>
    <row r="3719" spans="1:28" x14ac:dyDescent="0.25">
      <c r="A3719" t="s">
        <v>3723</v>
      </c>
      <c r="B3719">
        <v>0.99999676499088797</v>
      </c>
      <c r="C3719">
        <v>1.01787912597242</v>
      </c>
      <c r="D3719">
        <v>0.94817401520432298</v>
      </c>
      <c r="E3719">
        <v>0.54523648174972505</v>
      </c>
      <c r="F3719">
        <v>0.25398357315374698</v>
      </c>
      <c r="G3719">
        <v>0.188150955391334</v>
      </c>
      <c r="H3719">
        <v>0.10031669617427701</v>
      </c>
      <c r="I3719">
        <v>9.5724448299463097E-2</v>
      </c>
      <c r="J3719">
        <v>9.3309691820068999E-2</v>
      </c>
      <c r="K3719">
        <v>8.7301387670012706E-2</v>
      </c>
      <c r="L3719">
        <v>1338.54903429611</v>
      </c>
      <c r="M3719">
        <v>26.891219972603999</v>
      </c>
      <c r="N3719">
        <v>50.2160750231427</v>
      </c>
      <c r="O3719">
        <v>49.503628069787702</v>
      </c>
      <c r="P3719">
        <v>-0.121562318188739</v>
      </c>
      <c r="Q3719">
        <v>0.10488062662934999</v>
      </c>
      <c r="R3719">
        <v>0.99549308987165297</v>
      </c>
      <c r="S3719" t="s">
        <v>10722</v>
      </c>
      <c r="T3719" t="s">
        <v>14004</v>
      </c>
      <c r="U3719" t="s">
        <v>14004</v>
      </c>
      <c r="V3719" t="s">
        <v>14004</v>
      </c>
      <c r="W3719" t="s">
        <v>17678</v>
      </c>
      <c r="X3719">
        <v>31</v>
      </c>
      <c r="Y3719" t="s">
        <v>24513</v>
      </c>
      <c r="Z3719" t="s">
        <v>31429</v>
      </c>
      <c r="AA3719">
        <v>0.40347026443902417</v>
      </c>
      <c r="AB3719" t="str">
        <f>HYPERLINK("Melting_Curves/meltCurve_Q15276_RABEP1.pdf", "Melting_Curves/meltCurve_Q15276_RABEP1.pdf")</f>
        <v>Melting_Curves/meltCurve_Q15276_RABEP1.pdf</v>
      </c>
    </row>
    <row r="3720" spans="1:28" x14ac:dyDescent="0.25">
      <c r="A3720" t="s">
        <v>3724</v>
      </c>
      <c r="B3720">
        <v>0.99999676499088797</v>
      </c>
      <c r="C3720">
        <v>0.88883002942846201</v>
      </c>
      <c r="D3720">
        <v>0.64339400388406298</v>
      </c>
      <c r="E3720">
        <v>0.35768617637744499</v>
      </c>
      <c r="F3720">
        <v>0.27358539820792099</v>
      </c>
      <c r="G3720">
        <v>0.19560225241100501</v>
      </c>
      <c r="H3720">
        <v>0.115268866558947</v>
      </c>
      <c r="I3720">
        <v>9.0550413503534696E-2</v>
      </c>
      <c r="J3720">
        <v>7.29335375086404E-2</v>
      </c>
      <c r="K3720">
        <v>9.9190778915556693E-2</v>
      </c>
      <c r="L3720">
        <v>775.98078241927794</v>
      </c>
      <c r="M3720">
        <v>16.351682223497001</v>
      </c>
      <c r="N3720">
        <v>48.0792197044616</v>
      </c>
      <c r="O3720">
        <v>46.763003238233402</v>
      </c>
      <c r="P3720">
        <v>-7.9071750066192201E-2</v>
      </c>
      <c r="Q3720">
        <v>9.5539063191552406E-2</v>
      </c>
      <c r="R3720">
        <v>0.99158299340242495</v>
      </c>
      <c r="S3720" t="s">
        <v>10723</v>
      </c>
      <c r="T3720" t="s">
        <v>14004</v>
      </c>
      <c r="U3720" t="s">
        <v>14004</v>
      </c>
      <c r="V3720" t="s">
        <v>14004</v>
      </c>
      <c r="W3720" t="s">
        <v>17679</v>
      </c>
      <c r="X3720">
        <v>5</v>
      </c>
      <c r="Y3720" t="s">
        <v>24514</v>
      </c>
      <c r="Z3720" t="s">
        <v>31430</v>
      </c>
      <c r="AA3720">
        <v>0.34035495662537951</v>
      </c>
      <c r="AB3720" t="str">
        <f>HYPERLINK("Melting_Curves/meltCurve_Q15283_2_RASA2.pdf", "Melting_Curves/meltCurve_Q15283_2_RASA2.pdf")</f>
        <v>Melting_Curves/meltCurve_Q15283_2_RASA2.pdf</v>
      </c>
    </row>
    <row r="3721" spans="1:28" x14ac:dyDescent="0.25">
      <c r="A3721" t="s">
        <v>3725</v>
      </c>
      <c r="B3721">
        <v>0.99999676499088797</v>
      </c>
      <c r="C3721">
        <v>0.94338015494273697</v>
      </c>
      <c r="D3721">
        <v>0.97706673693731705</v>
      </c>
      <c r="E3721">
        <v>1.25669212186969</v>
      </c>
      <c r="F3721">
        <v>1.1978022738005101</v>
      </c>
      <c r="G3721">
        <v>0.96461853035527101</v>
      </c>
      <c r="H3721">
        <v>0.53010550040862003</v>
      </c>
      <c r="I3721">
        <v>0.17379715717591501</v>
      </c>
      <c r="J3721">
        <v>9.17796061613953E-2</v>
      </c>
      <c r="K3721">
        <v>6.87429785894038E-2</v>
      </c>
      <c r="L3721">
        <v>2765.08083295699</v>
      </c>
      <c r="M3721">
        <v>45.491391148564098</v>
      </c>
      <c r="N3721">
        <v>61.006706929143903</v>
      </c>
      <c r="O3721">
        <v>60.665400523387</v>
      </c>
      <c r="P3721">
        <v>-0.173038736897725</v>
      </c>
      <c r="Q3721">
        <v>7.6972501532833998E-2</v>
      </c>
      <c r="R3721">
        <v>0.943023959648569</v>
      </c>
      <c r="S3721" t="s">
        <v>10724</v>
      </c>
      <c r="T3721" t="s">
        <v>14004</v>
      </c>
      <c r="U3721" t="s">
        <v>14004</v>
      </c>
      <c r="V3721" t="s">
        <v>14004</v>
      </c>
      <c r="W3721" t="s">
        <v>17680</v>
      </c>
      <c r="X3721">
        <v>14</v>
      </c>
      <c r="Y3721" t="s">
        <v>24515</v>
      </c>
      <c r="Z3721" t="s">
        <v>31431</v>
      </c>
      <c r="AA3721">
        <v>0.71924938019959594</v>
      </c>
      <c r="AB3721" t="str">
        <f>HYPERLINK("Melting_Curves/meltCurve_Q15286_RAB35.pdf", "Melting_Curves/meltCurve_Q15286_RAB35.pdf")</f>
        <v>Melting_Curves/meltCurve_Q15286_RAB35.pdf</v>
      </c>
    </row>
    <row r="3722" spans="1:28" x14ac:dyDescent="0.25">
      <c r="A3722" t="s">
        <v>3726</v>
      </c>
      <c r="B3722">
        <v>0.99999676499088797</v>
      </c>
      <c r="C3722">
        <v>0.97006204546089503</v>
      </c>
      <c r="D3722">
        <v>1.0500009013521201</v>
      </c>
      <c r="E3722">
        <v>1.05615843011774</v>
      </c>
      <c r="F3722">
        <v>1.1462330982327</v>
      </c>
      <c r="G3722">
        <v>1.14067398469693</v>
      </c>
      <c r="H3722">
        <v>0.74265524837411201</v>
      </c>
      <c r="I3722">
        <v>0.54913583147242995</v>
      </c>
      <c r="J3722">
        <v>0.27371666307582598</v>
      </c>
      <c r="K3722">
        <v>0.20528443729286999</v>
      </c>
      <c r="L3722">
        <v>2009.4653727708901</v>
      </c>
      <c r="M3722">
        <v>31.776197203464701</v>
      </c>
      <c r="N3722">
        <v>64.081303733813797</v>
      </c>
      <c r="O3722">
        <v>62.989195712564403</v>
      </c>
      <c r="P3722">
        <v>-0.104569223833945</v>
      </c>
      <c r="Q3722">
        <v>0.17086401201804199</v>
      </c>
      <c r="R3722">
        <v>0.94444744197333197</v>
      </c>
      <c r="S3722" t="s">
        <v>10725</v>
      </c>
      <c r="T3722" t="s">
        <v>14004</v>
      </c>
      <c r="U3722" t="s">
        <v>14004</v>
      </c>
      <c r="V3722" t="s">
        <v>14004</v>
      </c>
      <c r="W3722" t="s">
        <v>17681</v>
      </c>
      <c r="X3722">
        <v>21</v>
      </c>
      <c r="Y3722" t="s">
        <v>24516</v>
      </c>
      <c r="Z3722" t="s">
        <v>31432</v>
      </c>
      <c r="AA3722">
        <v>0.81558816908631648</v>
      </c>
      <c r="AB3722" t="str">
        <f>HYPERLINK("Melting_Curves/meltCurve_Q15291_RBBP5.pdf", "Melting_Curves/meltCurve_Q15291_RBBP5.pdf")</f>
        <v>Melting_Curves/meltCurve_Q15291_RBBP5.pdf</v>
      </c>
    </row>
    <row r="3723" spans="1:28" x14ac:dyDescent="0.25">
      <c r="A3723" t="s">
        <v>3727</v>
      </c>
      <c r="B3723">
        <v>0.99999676499088797</v>
      </c>
      <c r="C3723">
        <v>0.92074084147509805</v>
      </c>
      <c r="D3723">
        <v>0.90464587608993097</v>
      </c>
      <c r="E3723">
        <v>0.93726607220374303</v>
      </c>
      <c r="F3723">
        <v>0.72280538220507595</v>
      </c>
      <c r="G3723">
        <v>0.54284556283096397</v>
      </c>
      <c r="H3723">
        <v>0.362213932865178</v>
      </c>
      <c r="I3723">
        <v>0.44223098805220101</v>
      </c>
      <c r="J3723">
        <v>0.39847951598220499</v>
      </c>
      <c r="K3723">
        <v>0.53475237526504504</v>
      </c>
      <c r="L3723">
        <v>1436.58768427359</v>
      </c>
      <c r="M3723">
        <v>26.979872391994299</v>
      </c>
      <c r="N3723">
        <v>57.5274246669115</v>
      </c>
      <c r="O3723">
        <v>52.956698931702803</v>
      </c>
      <c r="P3723">
        <v>-7.22375144914887E-2</v>
      </c>
      <c r="Q3723">
        <v>0.43284798706813898</v>
      </c>
      <c r="R3723">
        <v>0.93895125045368899</v>
      </c>
      <c r="S3723" t="s">
        <v>10726</v>
      </c>
      <c r="T3723" t="s">
        <v>14004</v>
      </c>
      <c r="U3723" t="s">
        <v>14004</v>
      </c>
      <c r="V3723" t="s">
        <v>14004</v>
      </c>
      <c r="W3723" t="s">
        <v>17682</v>
      </c>
      <c r="X3723">
        <v>5</v>
      </c>
      <c r="Y3723" t="s">
        <v>24517</v>
      </c>
      <c r="Z3723" t="s">
        <v>31433</v>
      </c>
      <c r="AA3723">
        <v>0.68780649725531251</v>
      </c>
      <c r="AB3723" t="str">
        <f>HYPERLINK("Melting_Curves/meltCurve_Q15293_RCN1.pdf", "Melting_Curves/meltCurve_Q15293_RCN1.pdf")</f>
        <v>Melting_Curves/meltCurve_Q15293_RCN1.pdf</v>
      </c>
    </row>
    <row r="3724" spans="1:28" x14ac:dyDescent="0.25">
      <c r="A3724" t="s">
        <v>3728</v>
      </c>
      <c r="B3724">
        <v>0.99999676499088797</v>
      </c>
      <c r="C3724">
        <v>0.69582083459603505</v>
      </c>
      <c r="D3724">
        <v>0.32894043457859201</v>
      </c>
      <c r="E3724">
        <v>0.197492609258478</v>
      </c>
      <c r="F3724">
        <v>0.13026314675803699</v>
      </c>
      <c r="G3724">
        <v>9.5543439842988104E-2</v>
      </c>
      <c r="H3724">
        <v>5.4712255511491198E-2</v>
      </c>
      <c r="I3724">
        <v>5.1914016710042497E-2</v>
      </c>
      <c r="J3724">
        <v>4.6926368229689701E-2</v>
      </c>
      <c r="K3724">
        <v>4.85831617465914E-2</v>
      </c>
      <c r="L3724">
        <v>1040.8475902796799</v>
      </c>
      <c r="M3724">
        <v>23.456052142095199</v>
      </c>
      <c r="N3724">
        <v>44.669935299766898</v>
      </c>
      <c r="O3724">
        <v>44.055613965841196</v>
      </c>
      <c r="P3724">
        <v>-0.12353903880504701</v>
      </c>
      <c r="Q3724">
        <v>7.1882349979690702E-2</v>
      </c>
      <c r="R3724">
        <v>0.98750990295268604</v>
      </c>
      <c r="S3724" t="s">
        <v>10727</v>
      </c>
      <c r="T3724" t="s">
        <v>14004</v>
      </c>
      <c r="U3724" t="s">
        <v>14004</v>
      </c>
      <c r="V3724" t="s">
        <v>14004</v>
      </c>
      <c r="W3724" t="s">
        <v>17683</v>
      </c>
      <c r="X3724">
        <v>11</v>
      </c>
      <c r="Y3724" t="s">
        <v>24518</v>
      </c>
      <c r="Z3724" t="s">
        <v>31434</v>
      </c>
      <c r="AA3724">
        <v>0.21888547964945371</v>
      </c>
      <c r="AB3724" t="str">
        <f>HYPERLINK("Melting_Curves/meltCurve_Q15311_RALBP1.pdf", "Melting_Curves/meltCurve_Q15311_RALBP1.pdf")</f>
        <v>Melting_Curves/meltCurve_Q15311_RALBP1.pdf</v>
      </c>
    </row>
    <row r="3725" spans="1:28" x14ac:dyDescent="0.25">
      <c r="A3725" t="s">
        <v>3729</v>
      </c>
      <c r="B3725">
        <v>0.99999676499088797</v>
      </c>
      <c r="C3725">
        <v>1.1297219763053801</v>
      </c>
      <c r="D3725">
        <v>0.81112027907041395</v>
      </c>
      <c r="E3725">
        <v>0.36874943636191398</v>
      </c>
      <c r="F3725">
        <v>0.25479819992956398</v>
      </c>
      <c r="G3725">
        <v>0.1646122861423</v>
      </c>
      <c r="H3725">
        <v>9.6280291749420904E-2</v>
      </c>
      <c r="I3725">
        <v>0.15955309412690299</v>
      </c>
      <c r="J3725">
        <v>0.179967216894733</v>
      </c>
      <c r="K3725">
        <v>7.4589131103343601E-2</v>
      </c>
      <c r="L3725">
        <v>1508.61663888063</v>
      </c>
      <c r="M3725">
        <v>31.3692124444004</v>
      </c>
      <c r="N3725">
        <v>48.6206203921625</v>
      </c>
      <c r="O3725">
        <v>47.898106125238399</v>
      </c>
      <c r="P3725">
        <v>-0.140082377332164</v>
      </c>
      <c r="Q3725">
        <v>0.14442963909772299</v>
      </c>
      <c r="R3725">
        <v>0.97448082696391702</v>
      </c>
      <c r="S3725" t="s">
        <v>10728</v>
      </c>
      <c r="T3725" t="s">
        <v>14004</v>
      </c>
      <c r="U3725" t="s">
        <v>14004</v>
      </c>
      <c r="V3725" t="s">
        <v>14004</v>
      </c>
      <c r="W3725" t="s">
        <v>17684</v>
      </c>
      <c r="X3725">
        <v>2</v>
      </c>
      <c r="Y3725" t="s">
        <v>24519</v>
      </c>
      <c r="Z3725" t="s">
        <v>31435</v>
      </c>
      <c r="AA3725">
        <v>0.37990997134683102</v>
      </c>
      <c r="AB3725" t="str">
        <f>HYPERLINK("Melting_Curves/meltCurve_Q15334_LLGL1.pdf", "Melting_Curves/meltCurve_Q15334_LLGL1.pdf")</f>
        <v>Melting_Curves/meltCurve_Q15334_LLGL1.pdf</v>
      </c>
    </row>
    <row r="3726" spans="1:28" x14ac:dyDescent="0.25">
      <c r="A3726" t="s">
        <v>3730</v>
      </c>
      <c r="B3726">
        <v>0.99999676499088797</v>
      </c>
      <c r="C3726">
        <v>0.99477465401037601</v>
      </c>
      <c r="D3726">
        <v>0.72251820053243698</v>
      </c>
      <c r="E3726">
        <v>0.316648349597759</v>
      </c>
      <c r="F3726">
        <v>0.157101876583879</v>
      </c>
      <c r="G3726">
        <v>6.5932822470164798E-2</v>
      </c>
      <c r="H3726">
        <v>8.7799952986723606E-2</v>
      </c>
      <c r="I3726">
        <v>1.5447769384950599E-2</v>
      </c>
      <c r="J3726">
        <v>4.32488098320691E-2</v>
      </c>
      <c r="K3726">
        <v>0</v>
      </c>
      <c r="L3726">
        <v>1148.31584975806</v>
      </c>
      <c r="M3726">
        <v>23.988146043107101</v>
      </c>
      <c r="N3726">
        <v>48.040585735784703</v>
      </c>
      <c r="O3726">
        <v>47.541182388184701</v>
      </c>
      <c r="P3726">
        <v>-0.121000515446948</v>
      </c>
      <c r="Q3726">
        <v>4.0790169347563902E-2</v>
      </c>
      <c r="R3726">
        <v>0.994233414819502</v>
      </c>
      <c r="S3726" t="s">
        <v>10729</v>
      </c>
      <c r="T3726" t="s">
        <v>14004</v>
      </c>
      <c r="U3726" t="s">
        <v>14004</v>
      </c>
      <c r="V3726" t="s">
        <v>14004</v>
      </c>
      <c r="W3726" t="s">
        <v>17685</v>
      </c>
      <c r="X3726">
        <v>2</v>
      </c>
      <c r="Y3726" t="s">
        <v>24520</v>
      </c>
      <c r="Z3726" t="s">
        <v>31436</v>
      </c>
      <c r="AA3726">
        <v>0.30169132262793141</v>
      </c>
      <c r="AB3726" t="str">
        <f>HYPERLINK("Melting_Curves/meltCurve_Q15345_LRRC41.pdf", "Melting_Curves/meltCurve_Q15345_LRRC41.pdf")</f>
        <v>Melting_Curves/meltCurve_Q15345_LRRC41.pdf</v>
      </c>
    </row>
    <row r="3727" spans="1:28" x14ac:dyDescent="0.25">
      <c r="A3727" t="s">
        <v>3731</v>
      </c>
      <c r="B3727">
        <v>0.99999676499088797</v>
      </c>
      <c r="C3727">
        <v>0.98054176747657196</v>
      </c>
      <c r="D3727">
        <v>0.99374439961530803</v>
      </c>
      <c r="E3727">
        <v>1.07963491299423</v>
      </c>
      <c r="F3727">
        <v>0.81372739783730597</v>
      </c>
      <c r="G3727">
        <v>0.47978061793253801</v>
      </c>
      <c r="H3727">
        <v>0.192979209884199</v>
      </c>
      <c r="I3727">
        <v>0.20297126453457001</v>
      </c>
      <c r="J3727">
        <v>0.139905509388737</v>
      </c>
      <c r="K3727">
        <v>0.104284162324846</v>
      </c>
      <c r="L3727">
        <v>1652.57230742965</v>
      </c>
      <c r="M3727">
        <v>29.5567449884255</v>
      </c>
      <c r="N3727">
        <v>56.515674076216499</v>
      </c>
      <c r="O3727">
        <v>55.657769981869201</v>
      </c>
      <c r="P3727">
        <v>-0.114786991727924</v>
      </c>
      <c r="Q3727">
        <v>0.13539260546697501</v>
      </c>
      <c r="R3727">
        <v>0.99030423946794699</v>
      </c>
      <c r="S3727" t="s">
        <v>10730</v>
      </c>
      <c r="T3727" t="s">
        <v>14004</v>
      </c>
      <c r="U3727" t="s">
        <v>14004</v>
      </c>
      <c r="V3727" t="s">
        <v>14004</v>
      </c>
      <c r="W3727" t="s">
        <v>17686</v>
      </c>
      <c r="X3727">
        <v>5</v>
      </c>
      <c r="Y3727" t="s">
        <v>24521</v>
      </c>
      <c r="Z3727" t="s">
        <v>31437</v>
      </c>
      <c r="AA3727">
        <v>0.59989971244116158</v>
      </c>
      <c r="AB3727" t="str">
        <f>HYPERLINK("Melting_Curves/meltCurve_Q15363_TMED2.pdf", "Melting_Curves/meltCurve_Q15363_TMED2.pdf")</f>
        <v>Melting_Curves/meltCurve_Q15363_TMED2.pdf</v>
      </c>
    </row>
    <row r="3728" spans="1:28" x14ac:dyDescent="0.25">
      <c r="A3728" t="s">
        <v>3732</v>
      </c>
      <c r="B3728">
        <v>0.99999676499088797</v>
      </c>
      <c r="C3728">
        <v>0.99992822190670305</v>
      </c>
      <c r="D3728">
        <v>0.77904708005819501</v>
      </c>
      <c r="E3728">
        <v>0.383444721395654</v>
      </c>
      <c r="F3728">
        <v>0.20584364707970901</v>
      </c>
      <c r="G3728">
        <v>0.128051381842786</v>
      </c>
      <c r="H3728">
        <v>6.4656088000515199E-2</v>
      </c>
      <c r="I3728">
        <v>5.53269824482686E-2</v>
      </c>
      <c r="J3728">
        <v>4.8481709596618697E-2</v>
      </c>
      <c r="K3728">
        <v>4.3024797562157102E-2</v>
      </c>
      <c r="L3728">
        <v>1086.02328997213</v>
      </c>
      <c r="M3728">
        <v>22.413124503586999</v>
      </c>
      <c r="N3728">
        <v>48.734774632863498</v>
      </c>
      <c r="O3728">
        <v>48.074027684526101</v>
      </c>
      <c r="P3728">
        <v>-0.10951656510686</v>
      </c>
      <c r="Q3728">
        <v>6.04092408789519E-2</v>
      </c>
      <c r="R3728">
        <v>0.995761683064045</v>
      </c>
      <c r="S3728" t="s">
        <v>10731</v>
      </c>
      <c r="T3728" t="s">
        <v>14004</v>
      </c>
      <c r="U3728" t="s">
        <v>14004</v>
      </c>
      <c r="V3728" t="s">
        <v>14004</v>
      </c>
      <c r="W3728" t="s">
        <v>17687</v>
      </c>
      <c r="X3728">
        <v>23</v>
      </c>
      <c r="Y3728" t="s">
        <v>24522</v>
      </c>
      <c r="Z3728" t="s">
        <v>31438</v>
      </c>
      <c r="AA3728">
        <v>0.33565187460764179</v>
      </c>
      <c r="AB3728" t="str">
        <f>HYPERLINK("Melting_Curves/meltCurve_Q15365_PCBP1.pdf", "Melting_Curves/meltCurve_Q15365_PCBP1.pdf")</f>
        <v>Melting_Curves/meltCurve_Q15365_PCBP1.pdf</v>
      </c>
    </row>
    <row r="3729" spans="1:28" x14ac:dyDescent="0.25">
      <c r="A3729" t="s">
        <v>3733</v>
      </c>
      <c r="B3729">
        <v>0.99999676499088797</v>
      </c>
      <c r="C3729">
        <v>1.02106852759828</v>
      </c>
      <c r="D3729">
        <v>0.67688333107048804</v>
      </c>
      <c r="E3729">
        <v>0.27219063766814799</v>
      </c>
      <c r="F3729">
        <v>0.17660308144515899</v>
      </c>
      <c r="G3729">
        <v>0.108699442420846</v>
      </c>
      <c r="H3729">
        <v>5.4202475996694602E-2</v>
      </c>
      <c r="I3729">
        <v>4.63539493533493E-2</v>
      </c>
      <c r="J3729">
        <v>4.42110243346759E-2</v>
      </c>
      <c r="K3729">
        <v>3.3693732732340498E-2</v>
      </c>
      <c r="L3729">
        <v>1238.0294405115999</v>
      </c>
      <c r="M3729">
        <v>26.1370684962959</v>
      </c>
      <c r="N3729">
        <v>47.613503490697902</v>
      </c>
      <c r="O3729">
        <v>47.092146350331497</v>
      </c>
      <c r="P3729">
        <v>-0.12996881895861301</v>
      </c>
      <c r="Q3729">
        <v>6.33317648767317E-2</v>
      </c>
      <c r="R3729">
        <v>0.99032190051080504</v>
      </c>
      <c r="S3729" t="s">
        <v>10732</v>
      </c>
      <c r="T3729" t="s">
        <v>14004</v>
      </c>
      <c r="U3729" t="s">
        <v>14004</v>
      </c>
      <c r="V3729" t="s">
        <v>14004</v>
      </c>
      <c r="W3729" t="s">
        <v>17688</v>
      </c>
      <c r="X3729">
        <v>22</v>
      </c>
      <c r="Y3729" t="s">
        <v>24523</v>
      </c>
      <c r="Z3729" t="s">
        <v>31439</v>
      </c>
      <c r="AA3729">
        <v>0.30089036378863382</v>
      </c>
      <c r="AB3729" t="str">
        <f>HYPERLINK("Melting_Curves/meltCurve_Q15366_2_PCBP2.pdf", "Melting_Curves/meltCurve_Q15366_2_PCBP2.pdf")</f>
        <v>Melting_Curves/meltCurve_Q15366_2_PCBP2.pdf</v>
      </c>
    </row>
    <row r="3730" spans="1:28" x14ac:dyDescent="0.25">
      <c r="A3730" t="s">
        <v>3734</v>
      </c>
      <c r="B3730">
        <v>0.99999676499088797</v>
      </c>
      <c r="C3730">
        <v>0.88230245162721599</v>
      </c>
      <c r="D3730">
        <v>0.85354913811153399</v>
      </c>
      <c r="E3730">
        <v>0.407996819322131</v>
      </c>
      <c r="F3730">
        <v>0.201656476931387</v>
      </c>
      <c r="G3730">
        <v>0.20854206501171599</v>
      </c>
      <c r="H3730">
        <v>8.1662506165927906E-2</v>
      </c>
      <c r="I3730">
        <v>7.2488761558912998E-2</v>
      </c>
      <c r="J3730">
        <v>8.2312518837867596E-2</v>
      </c>
      <c r="K3730">
        <v>7.1137622735026093E-2</v>
      </c>
      <c r="L3730">
        <v>1053.97294399971</v>
      </c>
      <c r="M3730">
        <v>21.680563210245101</v>
      </c>
      <c r="N3730">
        <v>49.045744985027198</v>
      </c>
      <c r="O3730">
        <v>48.205781101573301</v>
      </c>
      <c r="P3730">
        <v>-0.102666572635103</v>
      </c>
      <c r="Q3730">
        <v>8.6922650568767496E-2</v>
      </c>
      <c r="R3730">
        <v>0.98609890347495999</v>
      </c>
      <c r="S3730" t="s">
        <v>10733</v>
      </c>
      <c r="T3730" t="s">
        <v>14004</v>
      </c>
      <c r="U3730" t="s">
        <v>14004</v>
      </c>
      <c r="V3730" t="s">
        <v>14004</v>
      </c>
      <c r="W3730" t="s">
        <v>17689</v>
      </c>
      <c r="X3730">
        <v>22</v>
      </c>
      <c r="Y3730" t="s">
        <v>24523</v>
      </c>
      <c r="Z3730" t="s">
        <v>31440</v>
      </c>
      <c r="AA3730">
        <v>0.35995485311850212</v>
      </c>
      <c r="AB3730" t="str">
        <f>HYPERLINK("Melting_Curves/meltCurve_Q15366_3_PCBP2.pdf", "Melting_Curves/meltCurve_Q15366_3_PCBP2.pdf")</f>
        <v>Melting_Curves/meltCurve_Q15366_3_PCBP2.pdf</v>
      </c>
    </row>
    <row r="3731" spans="1:28" x14ac:dyDescent="0.25">
      <c r="A3731" t="s">
        <v>3735</v>
      </c>
      <c r="B3731">
        <v>0.99999676499088797</v>
      </c>
      <c r="C3731">
        <v>0.98837545864179899</v>
      </c>
      <c r="D3731">
        <v>1.0162232396264801</v>
      </c>
      <c r="E3731">
        <v>1.1698008471111001</v>
      </c>
      <c r="F3731">
        <v>0.63451658547676704</v>
      </c>
      <c r="G3731">
        <v>0.29538774507152699</v>
      </c>
      <c r="H3731">
        <v>0.12867598509447301</v>
      </c>
      <c r="I3731">
        <v>0.123188714017805</v>
      </c>
      <c r="J3731">
        <v>0.111322320280713</v>
      </c>
      <c r="K3731">
        <v>0.105132353994269</v>
      </c>
      <c r="L3731">
        <v>2118.42562106078</v>
      </c>
      <c r="M3731">
        <v>39.226529609323698</v>
      </c>
      <c r="N3731">
        <v>54.399128458677097</v>
      </c>
      <c r="O3731">
        <v>53.865136842611598</v>
      </c>
      <c r="P3731">
        <v>-0.159535422533815</v>
      </c>
      <c r="Q3731">
        <v>0.123717728275394</v>
      </c>
      <c r="R3731">
        <v>0.97473914137942796</v>
      </c>
      <c r="S3731" t="s">
        <v>10734</v>
      </c>
      <c r="T3731" t="s">
        <v>14004</v>
      </c>
      <c r="U3731" t="s">
        <v>14004</v>
      </c>
      <c r="V3731" t="s">
        <v>14004</v>
      </c>
      <c r="W3731" t="s">
        <v>17690</v>
      </c>
      <c r="X3731">
        <v>14</v>
      </c>
      <c r="Y3731" t="s">
        <v>24524</v>
      </c>
      <c r="Z3731" t="s">
        <v>31441</v>
      </c>
      <c r="AA3731">
        <v>0.5361875249104604</v>
      </c>
      <c r="AB3731" t="str">
        <f>HYPERLINK("Melting_Curves/meltCurve_Q15370_TCEB2.pdf", "Melting_Curves/meltCurve_Q15370_TCEB2.pdf")</f>
        <v>Melting_Curves/meltCurve_Q15370_TCEB2.pdf</v>
      </c>
    </row>
    <row r="3732" spans="1:28" x14ac:dyDescent="0.25">
      <c r="A3732" t="s">
        <v>3736</v>
      </c>
      <c r="B3732">
        <v>0.99999676499088797</v>
      </c>
      <c r="C3732">
        <v>1.0097909455804699</v>
      </c>
      <c r="D3732">
        <v>1.0637723888470401</v>
      </c>
      <c r="E3732">
        <v>1.12732317506464</v>
      </c>
      <c r="F3732">
        <v>0.85965216181806803</v>
      </c>
      <c r="G3732">
        <v>0.59516490392027599</v>
      </c>
      <c r="H3732">
        <v>0.16634962133423301</v>
      </c>
      <c r="I3732">
        <v>0.13359283210186301</v>
      </c>
      <c r="J3732">
        <v>0.162073227704156</v>
      </c>
      <c r="K3732">
        <v>8.6467483854381494E-2</v>
      </c>
      <c r="L3732">
        <v>1897.73846661171</v>
      </c>
      <c r="M3732">
        <v>33.3577059564441</v>
      </c>
      <c r="N3732">
        <v>57.316983975182403</v>
      </c>
      <c r="O3732">
        <v>56.687269626894299</v>
      </c>
      <c r="P3732">
        <v>-0.13094744493090099</v>
      </c>
      <c r="Q3732">
        <v>0.109888304140198</v>
      </c>
      <c r="R3732">
        <v>0.98238890630189302</v>
      </c>
      <c r="S3732" t="s">
        <v>10735</v>
      </c>
      <c r="T3732" t="s">
        <v>14004</v>
      </c>
      <c r="U3732" t="s">
        <v>14004</v>
      </c>
      <c r="V3732" t="s">
        <v>14004</v>
      </c>
      <c r="W3732" t="s">
        <v>17691</v>
      </c>
      <c r="X3732">
        <v>12</v>
      </c>
      <c r="Y3732" t="s">
        <v>24525</v>
      </c>
      <c r="Z3732" t="s">
        <v>31442</v>
      </c>
      <c r="AA3732">
        <v>0.6159315609621081</v>
      </c>
      <c r="AB3732" t="str">
        <f>HYPERLINK("Melting_Curves/meltCurve_Q15382_RHEB.pdf", "Melting_Curves/meltCurve_Q15382_RHEB.pdf")</f>
        <v>Melting_Curves/meltCurve_Q15382_RHEB.pdf</v>
      </c>
    </row>
    <row r="3733" spans="1:28" x14ac:dyDescent="0.25">
      <c r="A3733" t="s">
        <v>3737</v>
      </c>
      <c r="B3733">
        <v>0.99999676499088797</v>
      </c>
      <c r="C3733">
        <v>1.0859135019288999</v>
      </c>
      <c r="D3733">
        <v>1.03690205592078</v>
      </c>
      <c r="E3733">
        <v>0.68419986792103704</v>
      </c>
      <c r="F3733">
        <v>0.30431720805231399</v>
      </c>
      <c r="G3733">
        <v>0.220354117662205</v>
      </c>
      <c r="H3733">
        <v>0.13407583759629399</v>
      </c>
      <c r="I3733">
        <v>0.120982964212012</v>
      </c>
      <c r="J3733">
        <v>0.12748585949109301</v>
      </c>
      <c r="K3733">
        <v>8.2890789284683297E-2</v>
      </c>
      <c r="L3733">
        <v>1526.71116402079</v>
      </c>
      <c r="M3733">
        <v>30.079434974887199</v>
      </c>
      <c r="N3733">
        <v>51.257138300548903</v>
      </c>
      <c r="O3733">
        <v>50.533222907235199</v>
      </c>
      <c r="P3733">
        <v>-0.129852893357355</v>
      </c>
      <c r="Q3733">
        <v>0.127398062340982</v>
      </c>
      <c r="R3733">
        <v>0.98780858438131602</v>
      </c>
      <c r="S3733" t="s">
        <v>10736</v>
      </c>
      <c r="T3733" t="s">
        <v>14004</v>
      </c>
      <c r="U3733" t="s">
        <v>14004</v>
      </c>
      <c r="V3733" t="s">
        <v>14004</v>
      </c>
      <c r="W3733" t="s">
        <v>17692</v>
      </c>
      <c r="X3733">
        <v>7</v>
      </c>
      <c r="Y3733" t="s">
        <v>24526</v>
      </c>
      <c r="Z3733" t="s">
        <v>31443</v>
      </c>
      <c r="AA3733">
        <v>0.44568985715864617</v>
      </c>
      <c r="AB3733" t="str">
        <f>HYPERLINK("Melting_Curves/meltCurve_Q15386_UBE3C.pdf", "Melting_Curves/meltCurve_Q15386_UBE3C.pdf")</f>
        <v>Melting_Curves/meltCurve_Q15386_UBE3C.pdf</v>
      </c>
    </row>
    <row r="3734" spans="1:28" x14ac:dyDescent="0.25">
      <c r="A3734" t="s">
        <v>3738</v>
      </c>
      <c r="B3734">
        <v>0.99999676499088797</v>
      </c>
      <c r="C3734">
        <v>1.2032919128358499</v>
      </c>
      <c r="D3734">
        <v>0.89159115171352998</v>
      </c>
      <c r="E3734">
        <v>0.54277095213201998</v>
      </c>
      <c r="F3734">
        <v>0.30962848343932697</v>
      </c>
      <c r="G3734">
        <v>0.240250293105646</v>
      </c>
      <c r="H3734">
        <v>0.10851600905762999</v>
      </c>
      <c r="I3734">
        <v>0.17148190572576699</v>
      </c>
      <c r="J3734">
        <v>0.222054611856395</v>
      </c>
      <c r="K3734">
        <v>0.13346999007999899</v>
      </c>
      <c r="L3734">
        <v>1379.1775173014701</v>
      </c>
      <c r="M3734">
        <v>27.902671974641201</v>
      </c>
      <c r="N3734">
        <v>50.194131198724499</v>
      </c>
      <c r="O3734">
        <v>49.176358625011702</v>
      </c>
      <c r="P3734">
        <v>-0.11725774197968</v>
      </c>
      <c r="Q3734">
        <v>0.173375415256247</v>
      </c>
      <c r="R3734">
        <v>0.95985395507620996</v>
      </c>
      <c r="S3734" t="s">
        <v>10737</v>
      </c>
      <c r="T3734" t="s">
        <v>14004</v>
      </c>
      <c r="U3734" t="s">
        <v>14004</v>
      </c>
      <c r="V3734" t="s">
        <v>14004</v>
      </c>
      <c r="W3734" t="s">
        <v>17693</v>
      </c>
      <c r="X3734">
        <v>2</v>
      </c>
      <c r="Y3734" t="s">
        <v>24527</v>
      </c>
      <c r="Z3734" t="s">
        <v>31444</v>
      </c>
      <c r="AA3734">
        <v>0.43903373198604873</v>
      </c>
      <c r="AB3734" t="str">
        <f>HYPERLINK("Melting_Curves/meltCurve_Q15388_TOMM20.pdf", "Melting_Curves/meltCurve_Q15388_TOMM20.pdf")</f>
        <v>Melting_Curves/meltCurve_Q15388_TOMM20.pdf</v>
      </c>
    </row>
    <row r="3735" spans="1:28" x14ac:dyDescent="0.25">
      <c r="A3735" t="s">
        <v>3739</v>
      </c>
      <c r="B3735">
        <v>0.99999676499088797</v>
      </c>
      <c r="C3735">
        <v>0.94989556206703496</v>
      </c>
      <c r="D3735">
        <v>0.97315907429494197</v>
      </c>
      <c r="E3735">
        <v>1.0078796346238701</v>
      </c>
      <c r="F3735">
        <v>0.60725984881386097</v>
      </c>
      <c r="G3735">
        <v>0.278994592400301</v>
      </c>
      <c r="H3735">
        <v>0.102682260802549</v>
      </c>
      <c r="I3735">
        <v>7.8322799445403504E-2</v>
      </c>
      <c r="J3735">
        <v>6.6852671874702202E-2</v>
      </c>
      <c r="K3735">
        <v>6.3435756957598594E-2</v>
      </c>
      <c r="L3735">
        <v>1598.8457845442799</v>
      </c>
      <c r="M3735">
        <v>29.5765939339915</v>
      </c>
      <c r="N3735">
        <v>54.333156254546601</v>
      </c>
      <c r="O3735">
        <v>53.812488725673603</v>
      </c>
      <c r="P3735">
        <v>-0.12784348727762701</v>
      </c>
      <c r="Q3735">
        <v>6.9598236932165394E-2</v>
      </c>
      <c r="R3735">
        <v>0.99417103840655696</v>
      </c>
      <c r="S3735" t="s">
        <v>10738</v>
      </c>
      <c r="T3735" t="s">
        <v>14004</v>
      </c>
      <c r="U3735" t="s">
        <v>14004</v>
      </c>
      <c r="V3735" t="s">
        <v>14004</v>
      </c>
      <c r="W3735" t="s">
        <v>17694</v>
      </c>
      <c r="X3735">
        <v>59</v>
      </c>
      <c r="Y3735" t="s">
        <v>24528</v>
      </c>
      <c r="Z3735" t="s">
        <v>31445</v>
      </c>
      <c r="AA3735">
        <v>0.51186360121374697</v>
      </c>
      <c r="AB3735" t="str">
        <f>HYPERLINK("Melting_Curves/meltCurve_Q15393_SF3B3.pdf", "Melting_Curves/meltCurve_Q15393_SF3B3.pdf")</f>
        <v>Melting_Curves/meltCurve_Q15393_SF3B3.pdf</v>
      </c>
    </row>
    <row r="3736" spans="1:28" x14ac:dyDescent="0.25">
      <c r="A3736" t="s">
        <v>3740</v>
      </c>
      <c r="B3736">
        <v>0.99999676499088797</v>
      </c>
      <c r="C3736">
        <v>0.67949890337756302</v>
      </c>
      <c r="D3736">
        <v>0.47011715063111897</v>
      </c>
      <c r="E3736">
        <v>0.28546998958976799</v>
      </c>
      <c r="F3736">
        <v>0.158499914826949</v>
      </c>
      <c r="G3736">
        <v>0.104328990954712</v>
      </c>
      <c r="H3736">
        <v>5.1876705661687901E-2</v>
      </c>
      <c r="I3736">
        <v>5.6702360290317701E-2</v>
      </c>
      <c r="J3736">
        <v>5.29134513968232E-2</v>
      </c>
      <c r="K3736">
        <v>5.0178023294285001E-2</v>
      </c>
      <c r="L3736">
        <v>714.62482908095103</v>
      </c>
      <c r="M3736">
        <v>15.703721086074999</v>
      </c>
      <c r="N3736">
        <v>45.830333885338199</v>
      </c>
      <c r="O3736">
        <v>44.787946391319601</v>
      </c>
      <c r="P3736">
        <v>-8.3062803636725704E-2</v>
      </c>
      <c r="Q3736">
        <v>5.2479753443231698E-2</v>
      </c>
      <c r="R3736">
        <v>0.98461930729450597</v>
      </c>
      <c r="S3736" t="s">
        <v>10739</v>
      </c>
      <c r="T3736" t="s">
        <v>14004</v>
      </c>
      <c r="U3736" t="s">
        <v>14004</v>
      </c>
      <c r="V3736" t="s">
        <v>14004</v>
      </c>
      <c r="W3736" t="s">
        <v>17695</v>
      </c>
      <c r="X3736">
        <v>13</v>
      </c>
      <c r="Y3736" t="s">
        <v>24529</v>
      </c>
      <c r="Z3736" t="s">
        <v>31446</v>
      </c>
      <c r="AA3736">
        <v>0.25262540694361202</v>
      </c>
      <c r="AB3736" t="str">
        <f>HYPERLINK("Melting_Curves/meltCurve_Q15398_3_DLGAP5.pdf", "Melting_Curves/meltCurve_Q15398_3_DLGAP5.pdf")</f>
        <v>Melting_Curves/meltCurve_Q15398_3_DLGAP5.pdf</v>
      </c>
    </row>
    <row r="3737" spans="1:28" x14ac:dyDescent="0.25">
      <c r="A3737" t="s">
        <v>3741</v>
      </c>
      <c r="B3737">
        <v>0.99999676499088797</v>
      </c>
      <c r="C3737">
        <v>0.97059530873947397</v>
      </c>
      <c r="D3737">
        <v>1.0140753434187499</v>
      </c>
      <c r="E3737">
        <v>0.95327301253223495</v>
      </c>
      <c r="F3737">
        <v>0.73287277177168297</v>
      </c>
      <c r="G3737">
        <v>0.45070426682183801</v>
      </c>
      <c r="H3737">
        <v>0.211288888531768</v>
      </c>
      <c r="I3737">
        <v>0.131050727293649</v>
      </c>
      <c r="J3737">
        <v>8.1676518576816001E-2</v>
      </c>
      <c r="K3737">
        <v>6.2885070766519599E-2</v>
      </c>
      <c r="L3737">
        <v>1130.8151895967701</v>
      </c>
      <c r="M3737">
        <v>20.2425747382153</v>
      </c>
      <c r="N3737">
        <v>56.183528550210603</v>
      </c>
      <c r="O3737">
        <v>55.326593947738303</v>
      </c>
      <c r="P3737">
        <v>-8.6486281148243194E-2</v>
      </c>
      <c r="Q3737">
        <v>5.4499145047912097E-2</v>
      </c>
      <c r="R3737">
        <v>0.99851337193443102</v>
      </c>
      <c r="S3737" t="s">
        <v>10740</v>
      </c>
      <c r="T3737" t="s">
        <v>14004</v>
      </c>
      <c r="U3737" t="s">
        <v>14004</v>
      </c>
      <c r="V3737" t="s">
        <v>14004</v>
      </c>
      <c r="W3737" t="s">
        <v>17696</v>
      </c>
      <c r="X3737">
        <v>17</v>
      </c>
      <c r="Y3737" t="s">
        <v>24530</v>
      </c>
      <c r="Z3737" t="s">
        <v>31447</v>
      </c>
      <c r="AA3737">
        <v>0.56649761688192524</v>
      </c>
      <c r="AB3737" t="str">
        <f>HYPERLINK("Melting_Curves/meltCurve_Q15404_RSU1.pdf", "Melting_Curves/meltCurve_Q15404_RSU1.pdf")</f>
        <v>Melting_Curves/meltCurve_Q15404_RSU1.pdf</v>
      </c>
    </row>
    <row r="3738" spans="1:28" x14ac:dyDescent="0.25">
      <c r="A3738" t="s">
        <v>3742</v>
      </c>
      <c r="B3738">
        <v>0.99999676499088797</v>
      </c>
      <c r="C3738">
        <v>0.82473731383879301</v>
      </c>
      <c r="D3738">
        <v>0.85813747661697803</v>
      </c>
      <c r="E3738">
        <v>0.36380357774567301</v>
      </c>
      <c r="F3738">
        <v>0.198849123697456</v>
      </c>
      <c r="G3738">
        <v>0.131647844297681</v>
      </c>
      <c r="H3738">
        <v>5.0476344732517303E-2</v>
      </c>
      <c r="I3738">
        <v>5.6422722950189297E-2</v>
      </c>
      <c r="J3738">
        <v>4.8425903148505103E-2</v>
      </c>
      <c r="K3738">
        <v>3.8873019296813097E-2</v>
      </c>
      <c r="L3738">
        <v>994.554336462062</v>
      </c>
      <c r="M3738">
        <v>20.496678253535599</v>
      </c>
      <c r="N3738">
        <v>48.768878524253402</v>
      </c>
      <c r="O3738">
        <v>48.067908525891099</v>
      </c>
      <c r="P3738">
        <v>-0.101366777768137</v>
      </c>
      <c r="Q3738">
        <v>4.9144379992519499E-2</v>
      </c>
      <c r="R3738">
        <v>0.980027241500807</v>
      </c>
      <c r="S3738" t="s">
        <v>10741</v>
      </c>
      <c r="T3738" t="s">
        <v>14004</v>
      </c>
      <c r="U3738" t="s">
        <v>14004</v>
      </c>
      <c r="V3738" t="s">
        <v>14004</v>
      </c>
      <c r="W3738" t="s">
        <v>17697</v>
      </c>
      <c r="X3738">
        <v>7</v>
      </c>
      <c r="Y3738" t="s">
        <v>24531</v>
      </c>
      <c r="Z3738" t="s">
        <v>31448</v>
      </c>
      <c r="AA3738">
        <v>0.33200063794334778</v>
      </c>
      <c r="AB3738" t="str">
        <f>HYPERLINK("Melting_Curves/meltCurve_Q15417_CNN3.pdf", "Melting_Curves/meltCurve_Q15417_CNN3.pdf")</f>
        <v>Melting_Curves/meltCurve_Q15417_CNN3.pdf</v>
      </c>
    </row>
    <row r="3739" spans="1:28" x14ac:dyDescent="0.25">
      <c r="A3739" t="s">
        <v>3743</v>
      </c>
      <c r="B3739">
        <v>0.99999676499088797</v>
      </c>
      <c r="C3739">
        <v>0.96293011229447201</v>
      </c>
      <c r="D3739">
        <v>0.93717716889548197</v>
      </c>
      <c r="E3739">
        <v>0.93034710163398204</v>
      </c>
      <c r="F3739">
        <v>1.0510076269730899</v>
      </c>
      <c r="G3739">
        <v>1.16188366463885</v>
      </c>
      <c r="H3739">
        <v>0.85950245259723801</v>
      </c>
      <c r="I3739">
        <v>1.0012043401005399</v>
      </c>
      <c r="J3739">
        <v>1.0278713455985899</v>
      </c>
      <c r="K3739">
        <v>1.22148504724345</v>
      </c>
      <c r="L3739">
        <v>6946.2018740942403</v>
      </c>
      <c r="M3739">
        <v>101.466620397494</v>
      </c>
      <c r="O3739">
        <v>68.431427808284894</v>
      </c>
      <c r="P3739">
        <v>9.0884384189543393E-2</v>
      </c>
      <c r="Q3739">
        <v>1.2451780535141601</v>
      </c>
      <c r="R3739">
        <v>0.44707243712883599</v>
      </c>
      <c r="S3739" t="s">
        <v>10742</v>
      </c>
      <c r="T3739" t="s">
        <v>14004</v>
      </c>
      <c r="U3739" t="s">
        <v>14004</v>
      </c>
      <c r="V3739" t="s">
        <v>14004</v>
      </c>
      <c r="W3739" t="s">
        <v>17698</v>
      </c>
      <c r="X3739">
        <v>52</v>
      </c>
      <c r="Y3739" t="s">
        <v>24532</v>
      </c>
      <c r="Z3739" t="s">
        <v>31449</v>
      </c>
      <c r="AA3739">
        <v>1.013021546933297</v>
      </c>
      <c r="AB3739" t="str">
        <f>HYPERLINK("Melting_Curves/meltCurve_Q15424_SAFB.pdf", "Melting_Curves/meltCurve_Q15424_SAFB.pdf")</f>
        <v>Melting_Curves/meltCurve_Q15424_SAFB.pdf</v>
      </c>
    </row>
    <row r="3740" spans="1:28" x14ac:dyDescent="0.25">
      <c r="A3740" t="s">
        <v>3744</v>
      </c>
      <c r="B3740">
        <v>0.99999676499088797</v>
      </c>
      <c r="C3740">
        <v>0.87035863248720902</v>
      </c>
      <c r="D3740">
        <v>1.03924269400826</v>
      </c>
      <c r="E3740">
        <v>0.902638826284754</v>
      </c>
      <c r="F3740">
        <v>0.371638004765936</v>
      </c>
      <c r="G3740">
        <v>0.20484586154904499</v>
      </c>
      <c r="H3740">
        <v>0.13749736614535199</v>
      </c>
      <c r="I3740">
        <v>0.16531740903863501</v>
      </c>
      <c r="J3740">
        <v>0.16134724742729001</v>
      </c>
      <c r="K3740">
        <v>0.264880100170232</v>
      </c>
      <c r="L3740">
        <v>2372.3917661474202</v>
      </c>
      <c r="M3740">
        <v>45.803395094986001</v>
      </c>
      <c r="N3740">
        <v>52.3182852392939</v>
      </c>
      <c r="O3740">
        <v>51.696644649168697</v>
      </c>
      <c r="P3740">
        <v>-0.18080336886592799</v>
      </c>
      <c r="Q3740">
        <v>0.18373560418840201</v>
      </c>
      <c r="R3740">
        <v>0.97916543134887002</v>
      </c>
      <c r="S3740" t="s">
        <v>10743</v>
      </c>
      <c r="T3740" t="s">
        <v>14004</v>
      </c>
      <c r="U3740" t="s">
        <v>14004</v>
      </c>
      <c r="V3740" t="s">
        <v>14004</v>
      </c>
      <c r="W3740" t="s">
        <v>17699</v>
      </c>
      <c r="X3740">
        <v>4</v>
      </c>
      <c r="Y3740" t="s">
        <v>24533</v>
      </c>
      <c r="Z3740" t="s">
        <v>31450</v>
      </c>
      <c r="AA3740">
        <v>0.50689082235293603</v>
      </c>
      <c r="AB3740" t="str">
        <f>HYPERLINK("Melting_Curves/meltCurve_Q15427_SF3B4.pdf", "Melting_Curves/meltCurve_Q15427_SF3B4.pdf")</f>
        <v>Melting_Curves/meltCurve_Q15427_SF3B4.pdf</v>
      </c>
    </row>
    <row r="3741" spans="1:28" x14ac:dyDescent="0.25">
      <c r="A3741" t="s">
        <v>3745</v>
      </c>
      <c r="B3741">
        <v>0.99999676499088797</v>
      </c>
      <c r="C3741">
        <v>0.93032113935394101</v>
      </c>
      <c r="D3741">
        <v>0.731236303243751</v>
      </c>
      <c r="E3741">
        <v>0.356067990638535</v>
      </c>
      <c r="F3741">
        <v>0.17985936020186299</v>
      </c>
      <c r="G3741">
        <v>0.116323570289549</v>
      </c>
      <c r="H3741">
        <v>6.3294864206589099E-2</v>
      </c>
      <c r="I3741">
        <v>6.7987647580487795E-2</v>
      </c>
      <c r="J3741">
        <v>6.5793396885201805E-2</v>
      </c>
      <c r="K3741">
        <v>6.2638942076122903E-2</v>
      </c>
      <c r="L3741">
        <v>1023.04295274597</v>
      </c>
      <c r="M3741">
        <v>21.3566777603614</v>
      </c>
      <c r="N3741">
        <v>48.223742344180998</v>
      </c>
      <c r="O3741">
        <v>47.488674377251698</v>
      </c>
      <c r="P3741">
        <v>-0.104982976096127</v>
      </c>
      <c r="Q3741">
        <v>6.6263845682498504E-2</v>
      </c>
      <c r="R3741">
        <v>0.99914111982853504</v>
      </c>
      <c r="S3741" t="s">
        <v>10744</v>
      </c>
      <c r="T3741" t="s">
        <v>14004</v>
      </c>
      <c r="U3741" t="s">
        <v>14004</v>
      </c>
      <c r="V3741" t="s">
        <v>14004</v>
      </c>
      <c r="W3741" t="s">
        <v>17700</v>
      </c>
      <c r="X3741">
        <v>17</v>
      </c>
      <c r="Y3741" t="s">
        <v>24534</v>
      </c>
      <c r="Z3741" t="s">
        <v>31451</v>
      </c>
      <c r="AA3741">
        <v>0.32379163114503717</v>
      </c>
      <c r="AB3741" t="str">
        <f>HYPERLINK("Melting_Curves/meltCurve_Q15428_SF3A2.pdf", "Melting_Curves/meltCurve_Q15428_SF3A2.pdf")</f>
        <v>Melting_Curves/meltCurve_Q15428_SF3A2.pdf</v>
      </c>
    </row>
    <row r="3742" spans="1:28" x14ac:dyDescent="0.25">
      <c r="A3742" t="s">
        <v>3746</v>
      </c>
      <c r="B3742">
        <v>0.99999676499088797</v>
      </c>
      <c r="C3742">
        <v>0.99039619365419496</v>
      </c>
      <c r="D3742">
        <v>0.95791716945825101</v>
      </c>
      <c r="E3742">
        <v>0.88279190073429004</v>
      </c>
      <c r="F3742">
        <v>0.56665539601250403</v>
      </c>
      <c r="G3742">
        <v>0.214207169104984</v>
      </c>
      <c r="H3742">
        <v>7.4118545986194995E-2</v>
      </c>
      <c r="I3742">
        <v>7.3429936074620006E-2</v>
      </c>
      <c r="J3742">
        <v>6.0401892513212499E-2</v>
      </c>
      <c r="K3742">
        <v>5.4099306547001597E-2</v>
      </c>
      <c r="L3742">
        <v>1385.2782222811099</v>
      </c>
      <c r="M3742">
        <v>25.906373637084702</v>
      </c>
      <c r="N3742">
        <v>53.691270576305797</v>
      </c>
      <c r="O3742">
        <v>53.156939226395203</v>
      </c>
      <c r="P3742">
        <v>-0.11573734348953001</v>
      </c>
      <c r="Q3742">
        <v>5.0091839283733897E-2</v>
      </c>
      <c r="R3742">
        <v>0.99914807221898905</v>
      </c>
      <c r="S3742" t="s">
        <v>10745</v>
      </c>
      <c r="T3742" t="s">
        <v>14004</v>
      </c>
      <c r="U3742" t="s">
        <v>14004</v>
      </c>
      <c r="V3742" t="s">
        <v>14004</v>
      </c>
      <c r="W3742" t="s">
        <v>17701</v>
      </c>
      <c r="X3742">
        <v>24</v>
      </c>
      <c r="Y3742" t="s">
        <v>24535</v>
      </c>
      <c r="Z3742" t="s">
        <v>31452</v>
      </c>
      <c r="AA3742">
        <v>0.48488758532175108</v>
      </c>
      <c r="AB3742" t="str">
        <f>HYPERLINK("Melting_Curves/meltCurve_Q15435_PPP1R7.pdf", "Melting_Curves/meltCurve_Q15435_PPP1R7.pdf")</f>
        <v>Melting_Curves/meltCurve_Q15435_PPP1R7.pdf</v>
      </c>
    </row>
    <row r="3743" spans="1:28" x14ac:dyDescent="0.25">
      <c r="A3743" t="s">
        <v>3747</v>
      </c>
      <c r="B3743">
        <v>0.99999676499088797</v>
      </c>
      <c r="C3743">
        <v>1.0150587928418899</v>
      </c>
      <c r="D3743">
        <v>0.94853883424305596</v>
      </c>
      <c r="E3743">
        <v>0.727867135437542</v>
      </c>
      <c r="F3743">
        <v>0.53523160106920997</v>
      </c>
      <c r="G3743">
        <v>0.35389153010721103</v>
      </c>
      <c r="H3743">
        <v>8.3078715552416693E-2</v>
      </c>
      <c r="I3743">
        <v>6.7703584099412004E-2</v>
      </c>
      <c r="J3743">
        <v>6.7992594548298299E-2</v>
      </c>
      <c r="K3743">
        <v>5.0035382221847398E-2</v>
      </c>
      <c r="L3743">
        <v>818.12620087315099</v>
      </c>
      <c r="M3743">
        <v>15.275067157463299</v>
      </c>
      <c r="N3743">
        <v>53.605525150866903</v>
      </c>
      <c r="O3743">
        <v>52.666795140068899</v>
      </c>
      <c r="P3743">
        <v>-7.2043317152492403E-2</v>
      </c>
      <c r="Q3743">
        <v>6.5029145475925801E-3</v>
      </c>
      <c r="R3743">
        <v>0.99241193212450296</v>
      </c>
      <c r="S3743" t="s">
        <v>10746</v>
      </c>
      <c r="T3743" t="s">
        <v>14004</v>
      </c>
      <c r="U3743" t="s">
        <v>14004</v>
      </c>
      <c r="V3743" t="s">
        <v>14004</v>
      </c>
      <c r="W3743" t="s">
        <v>17702</v>
      </c>
      <c r="X3743">
        <v>24</v>
      </c>
      <c r="Y3743" t="s">
        <v>24536</v>
      </c>
      <c r="Z3743" t="s">
        <v>31453</v>
      </c>
      <c r="AA3743">
        <v>0.47590196558442349</v>
      </c>
      <c r="AB3743" t="str">
        <f>HYPERLINK("Melting_Curves/meltCurve_Q15437_SEC23B.pdf", "Melting_Curves/meltCurve_Q15437_SEC23B.pdf")</f>
        <v>Melting_Curves/meltCurve_Q15437_SEC23B.pdf</v>
      </c>
    </row>
    <row r="3744" spans="1:28" x14ac:dyDescent="0.25">
      <c r="A3744" t="s">
        <v>3748</v>
      </c>
      <c r="B3744">
        <v>0.99999676499088797</v>
      </c>
      <c r="C3744">
        <v>0.872435527363708</v>
      </c>
      <c r="D3744">
        <v>0.87034422797128097</v>
      </c>
      <c r="E3744">
        <v>0.84146819201187695</v>
      </c>
      <c r="F3744">
        <v>0.29818960308672998</v>
      </c>
      <c r="G3744">
        <v>0.19288708232687601</v>
      </c>
      <c r="H3744">
        <v>7.6869249791767694E-2</v>
      </c>
      <c r="I3744">
        <v>7.1175596838842101E-2</v>
      </c>
      <c r="J3744">
        <v>7.0085368545030197E-2</v>
      </c>
      <c r="K3744">
        <v>5.8464582359239098E-2</v>
      </c>
      <c r="L3744">
        <v>1513.96212675529</v>
      </c>
      <c r="M3744">
        <v>29.321481292186501</v>
      </c>
      <c r="N3744">
        <v>51.9122891230543</v>
      </c>
      <c r="O3744">
        <v>51.394832335910898</v>
      </c>
      <c r="P3744">
        <v>-0.13222918591042601</v>
      </c>
      <c r="Q3744">
        <v>7.2918878770261097E-2</v>
      </c>
      <c r="R3744">
        <v>0.97556955137658397</v>
      </c>
      <c r="S3744" t="s">
        <v>10747</v>
      </c>
      <c r="T3744" t="s">
        <v>14004</v>
      </c>
      <c r="U3744" t="s">
        <v>14004</v>
      </c>
      <c r="V3744" t="s">
        <v>14004</v>
      </c>
      <c r="W3744" t="s">
        <v>17703</v>
      </c>
      <c r="X3744">
        <v>9</v>
      </c>
      <c r="Y3744" t="s">
        <v>24537</v>
      </c>
      <c r="Z3744" t="s">
        <v>31454</v>
      </c>
      <c r="AA3744">
        <v>0.43857968048473872</v>
      </c>
      <c r="AB3744" t="str">
        <f>HYPERLINK("Melting_Curves/meltCurve_Q15438_2_CYTH1.pdf", "Melting_Curves/meltCurve_Q15438_2_CYTH1.pdf")</f>
        <v>Melting_Curves/meltCurve_Q15438_2_CYTH1.pdf</v>
      </c>
    </row>
    <row r="3745" spans="1:28" x14ac:dyDescent="0.25">
      <c r="A3745" t="s">
        <v>3749</v>
      </c>
      <c r="B3745">
        <v>0.99999676499088797</v>
      </c>
      <c r="C3745">
        <v>0.95963567140171202</v>
      </c>
      <c r="D3745">
        <v>0.81457833075798902</v>
      </c>
      <c r="E3745">
        <v>0.40640039724518701</v>
      </c>
      <c r="F3745">
        <v>0.22658966215169099</v>
      </c>
      <c r="G3745">
        <v>0.15152778152770999</v>
      </c>
      <c r="H3745">
        <v>8.6128976555210499E-2</v>
      </c>
      <c r="I3745">
        <v>7.7514792550763198E-2</v>
      </c>
      <c r="J3745">
        <v>8.2620104130617697E-2</v>
      </c>
      <c r="K3745">
        <v>7.7547883792527902E-2</v>
      </c>
      <c r="L3745">
        <v>1089.42843183372</v>
      </c>
      <c r="M3745">
        <v>22.436345481786301</v>
      </c>
      <c r="N3745">
        <v>48.971357324743103</v>
      </c>
      <c r="O3745">
        <v>48.175585052420502</v>
      </c>
      <c r="P3745">
        <v>-0.10635341894679</v>
      </c>
      <c r="Q3745">
        <v>8.6565153254874197E-2</v>
      </c>
      <c r="R3745">
        <v>0.99739878751404798</v>
      </c>
      <c r="S3745" t="s">
        <v>10748</v>
      </c>
      <c r="T3745" t="s">
        <v>14004</v>
      </c>
      <c r="U3745" t="s">
        <v>14004</v>
      </c>
      <c r="V3745" t="s">
        <v>14004</v>
      </c>
      <c r="W3745" t="s">
        <v>17704</v>
      </c>
      <c r="X3745">
        <v>35</v>
      </c>
      <c r="Y3745" t="s">
        <v>24538</v>
      </c>
      <c r="Z3745" t="s">
        <v>31455</v>
      </c>
      <c r="AA3745">
        <v>0.3572130344087826</v>
      </c>
      <c r="AB3745" t="str">
        <f>HYPERLINK("Melting_Curves/meltCurve_Q15459_SF3A1.pdf", "Melting_Curves/meltCurve_Q15459_SF3A1.pdf")</f>
        <v>Melting_Curves/meltCurve_Q15459_SF3A1.pdf</v>
      </c>
    </row>
    <row r="3746" spans="1:28" x14ac:dyDescent="0.25">
      <c r="A3746" t="s">
        <v>3750</v>
      </c>
      <c r="B3746">
        <v>0.99999676499088797</v>
      </c>
      <c r="C3746">
        <v>1.0844119288957701</v>
      </c>
      <c r="D3746">
        <v>0.80627129122051</v>
      </c>
      <c r="E3746">
        <v>0.40777942026153402</v>
      </c>
      <c r="F3746">
        <v>0.33466839097786699</v>
      </c>
      <c r="G3746">
        <v>0.39167776588910702</v>
      </c>
      <c r="H3746">
        <v>0.24002762191341001</v>
      </c>
      <c r="I3746">
        <v>0.28572286416534198</v>
      </c>
      <c r="J3746">
        <v>0.32761738900494602</v>
      </c>
      <c r="K3746">
        <v>0.254169699282769</v>
      </c>
      <c r="L3746">
        <v>1850.1431487053201</v>
      </c>
      <c r="M3746">
        <v>39.1490381577294</v>
      </c>
      <c r="N3746">
        <v>48.422103890133002</v>
      </c>
      <c r="O3746">
        <v>47.1361572083064</v>
      </c>
      <c r="P3746">
        <v>-0.144358162584968</v>
      </c>
      <c r="Q3746">
        <v>0.30476202898222499</v>
      </c>
      <c r="R3746">
        <v>0.97296461256719402</v>
      </c>
      <c r="S3746" t="s">
        <v>10749</v>
      </c>
      <c r="T3746" t="s">
        <v>14004</v>
      </c>
      <c r="U3746" t="s">
        <v>14004</v>
      </c>
      <c r="V3746" t="s">
        <v>14004</v>
      </c>
      <c r="W3746" t="s">
        <v>17705</v>
      </c>
      <c r="X3746">
        <v>8</v>
      </c>
      <c r="Y3746" t="s">
        <v>24539</v>
      </c>
      <c r="Z3746" t="s">
        <v>31456</v>
      </c>
      <c r="AA3746">
        <v>0.47537382727320748</v>
      </c>
      <c r="AB3746" t="str">
        <f>HYPERLINK("Melting_Curves/meltCurve_Q15477_SKIV2L.pdf", "Melting_Curves/meltCurve_Q15477_SKIV2L.pdf")</f>
        <v>Melting_Curves/meltCurve_Q15477_SKIV2L.pdf</v>
      </c>
    </row>
    <row r="3747" spans="1:28" x14ac:dyDescent="0.25">
      <c r="A3747" t="s">
        <v>3751</v>
      </c>
      <c r="B3747">
        <v>0.99999676499088797</v>
      </c>
      <c r="C3747">
        <v>1.0676488864238201</v>
      </c>
      <c r="D3747">
        <v>0.94225365243869397</v>
      </c>
      <c r="E3747">
        <v>0.90567527832666395</v>
      </c>
      <c r="F3747">
        <v>0.78443693060606301</v>
      </c>
      <c r="G3747">
        <v>0.78144122884207801</v>
      </c>
      <c r="H3747">
        <v>0.45735789894365197</v>
      </c>
      <c r="I3747">
        <v>0.66017189544751298</v>
      </c>
      <c r="J3747">
        <v>0.64179649984882103</v>
      </c>
      <c r="K3747">
        <v>0.70806514075431004</v>
      </c>
      <c r="L3747">
        <v>1081.485662998</v>
      </c>
      <c r="M3747">
        <v>20.596982144354801</v>
      </c>
      <c r="O3747">
        <v>52.019564149510998</v>
      </c>
      <c r="P3747">
        <v>-3.6906004708111E-2</v>
      </c>
      <c r="Q3747">
        <v>0.62717282904331195</v>
      </c>
      <c r="R3747">
        <v>0.81513154668504895</v>
      </c>
      <c r="S3747" t="s">
        <v>10750</v>
      </c>
      <c r="T3747" t="s">
        <v>14004</v>
      </c>
      <c r="U3747" t="s">
        <v>14004</v>
      </c>
      <c r="V3747" t="s">
        <v>14004</v>
      </c>
      <c r="W3747" t="s">
        <v>17706</v>
      </c>
      <c r="X3747">
        <v>1</v>
      </c>
      <c r="Y3747" t="s">
        <v>24540</v>
      </c>
      <c r="Z3747" t="s">
        <v>31457</v>
      </c>
      <c r="AA3747">
        <v>0.78749072941093778</v>
      </c>
      <c r="AB3747" t="str">
        <f>HYPERLINK("Melting_Curves/meltCurve_Q15506_SPA17.pdf", "Melting_Curves/meltCurve_Q15506_SPA17.pdf")</f>
        <v>Melting_Curves/meltCurve_Q15506_SPA17.pdf</v>
      </c>
    </row>
    <row r="3748" spans="1:28" x14ac:dyDescent="0.25">
      <c r="A3748" t="s">
        <v>3752</v>
      </c>
      <c r="B3748">
        <v>0.99999676499088797</v>
      </c>
      <c r="C3748">
        <v>0.985519273358479</v>
      </c>
      <c r="D3748">
        <v>1.02140428417387</v>
      </c>
      <c r="E3748">
        <v>0.78715400256464696</v>
      </c>
      <c r="F3748">
        <v>0.394595723781755</v>
      </c>
      <c r="G3748">
        <v>0.27212818827402202</v>
      </c>
      <c r="H3748">
        <v>0.15254836994872101</v>
      </c>
      <c r="I3748">
        <v>0.117899229777421</v>
      </c>
      <c r="J3748">
        <v>9.4850285711100199E-2</v>
      </c>
      <c r="K3748">
        <v>8.53011832933359E-2</v>
      </c>
      <c r="L3748">
        <v>1240.3396581633799</v>
      </c>
      <c r="M3748">
        <v>23.8660587609202</v>
      </c>
      <c r="N3748">
        <v>52.513920707252197</v>
      </c>
      <c r="O3748">
        <v>51.610091912065798</v>
      </c>
      <c r="P3748">
        <v>-0.10296710338760701</v>
      </c>
      <c r="Q3748">
        <v>0.10935319479790701</v>
      </c>
      <c r="R3748">
        <v>0.99329182450645304</v>
      </c>
      <c r="S3748" t="s">
        <v>10751</v>
      </c>
      <c r="T3748" t="s">
        <v>14004</v>
      </c>
      <c r="U3748" t="s">
        <v>14004</v>
      </c>
      <c r="V3748" t="s">
        <v>14004</v>
      </c>
      <c r="W3748" t="s">
        <v>17707</v>
      </c>
      <c r="X3748">
        <v>11</v>
      </c>
      <c r="Y3748" t="s">
        <v>24541</v>
      </c>
      <c r="Z3748" t="s">
        <v>31458</v>
      </c>
      <c r="AA3748">
        <v>0.47363113485210079</v>
      </c>
      <c r="AB3748" t="str">
        <f>HYPERLINK("Melting_Curves/meltCurve_Q15526_2_SURF1.pdf", "Melting_Curves/meltCurve_Q15526_2_SURF1.pdf")</f>
        <v>Melting_Curves/meltCurve_Q15526_2_SURF1.pdf</v>
      </c>
    </row>
    <row r="3749" spans="1:28" x14ac:dyDescent="0.25">
      <c r="A3749" t="s">
        <v>3753</v>
      </c>
      <c r="B3749">
        <v>0.99999676499088797</v>
      </c>
      <c r="C3749">
        <v>0.98896205814462101</v>
      </c>
      <c r="D3749">
        <v>0.86498590828727695</v>
      </c>
      <c r="E3749">
        <v>0.60336407770654998</v>
      </c>
      <c r="F3749">
        <v>0.27666623013399799</v>
      </c>
      <c r="G3749">
        <v>0.21322375767913301</v>
      </c>
      <c r="H3749">
        <v>0.114783289792939</v>
      </c>
      <c r="I3749">
        <v>0.16048549212920901</v>
      </c>
      <c r="J3749">
        <v>0.164111364681611</v>
      </c>
      <c r="K3749">
        <v>0.146099185774162</v>
      </c>
      <c r="L3749">
        <v>1151.7921053258599</v>
      </c>
      <c r="M3749">
        <v>23.164007188261699</v>
      </c>
      <c r="N3749">
        <v>50.464554364448297</v>
      </c>
      <c r="O3749">
        <v>49.357219072486899</v>
      </c>
      <c r="P3749">
        <v>-0.100411779393456</v>
      </c>
      <c r="Q3749">
        <v>0.14419712805618201</v>
      </c>
      <c r="R3749">
        <v>0.99665925366688701</v>
      </c>
      <c r="S3749" t="s">
        <v>10752</v>
      </c>
      <c r="T3749" t="s">
        <v>14004</v>
      </c>
      <c r="U3749" t="s">
        <v>14004</v>
      </c>
      <c r="V3749" t="s">
        <v>14004</v>
      </c>
      <c r="W3749" t="s">
        <v>17708</v>
      </c>
      <c r="X3749">
        <v>8</v>
      </c>
      <c r="Y3749" t="s">
        <v>24542</v>
      </c>
      <c r="Z3749" t="s">
        <v>31459</v>
      </c>
      <c r="AA3749">
        <v>0.43047107595997619</v>
      </c>
      <c r="AB3749" t="str">
        <f>HYPERLINK("Melting_Curves/meltCurve_Q15527_SURF2.pdf", "Melting_Curves/meltCurve_Q15527_SURF2.pdf")</f>
        <v>Melting_Curves/meltCurve_Q15527_SURF2.pdf</v>
      </c>
    </row>
    <row r="3750" spans="1:28" x14ac:dyDescent="0.25">
      <c r="A3750" t="s">
        <v>3754</v>
      </c>
      <c r="B3750">
        <v>0.99999676499088797</v>
      </c>
      <c r="C3750">
        <v>1.0366352235460301</v>
      </c>
      <c r="D3750">
        <v>0.81628673630284598</v>
      </c>
      <c r="E3750">
        <v>0.38298831565994501</v>
      </c>
      <c r="F3750">
        <v>0.28893102918326502</v>
      </c>
      <c r="G3750">
        <v>0.180669868745721</v>
      </c>
      <c r="H3750">
        <v>6.3926095315246304E-2</v>
      </c>
      <c r="I3750">
        <v>5.6821356349991498E-2</v>
      </c>
      <c r="J3750">
        <v>4.1575627549165703E-2</v>
      </c>
      <c r="K3750">
        <v>4.0934272336853997E-2</v>
      </c>
      <c r="L3750">
        <v>996.18646637959296</v>
      </c>
      <c r="M3750">
        <v>20.366843629676701</v>
      </c>
      <c r="N3750">
        <v>49.243992778345103</v>
      </c>
      <c r="O3750">
        <v>48.447951532701602</v>
      </c>
      <c r="P3750">
        <v>-9.8360778049028999E-2</v>
      </c>
      <c r="Q3750">
        <v>6.4119356846936704E-2</v>
      </c>
      <c r="R3750">
        <v>0.98225556494982103</v>
      </c>
      <c r="S3750" t="s">
        <v>10753</v>
      </c>
      <c r="T3750" t="s">
        <v>14004</v>
      </c>
      <c r="U3750" t="s">
        <v>14004</v>
      </c>
      <c r="V3750" t="s">
        <v>14004</v>
      </c>
      <c r="W3750" t="s">
        <v>17709</v>
      </c>
      <c r="X3750">
        <v>3</v>
      </c>
      <c r="Y3750" t="s">
        <v>24543</v>
      </c>
      <c r="Z3750" t="s">
        <v>31460</v>
      </c>
      <c r="AA3750">
        <v>0.35478602987986491</v>
      </c>
      <c r="AB3750" t="str">
        <f>HYPERLINK("Melting_Curves/meltCurve_Q15542_TAF5.pdf", "Melting_Curves/meltCurve_Q15542_TAF5.pdf")</f>
        <v>Melting_Curves/meltCurve_Q15542_TAF5.pdf</v>
      </c>
    </row>
    <row r="3751" spans="1:28" x14ac:dyDescent="0.25">
      <c r="A3751" t="s">
        <v>3755</v>
      </c>
      <c r="B3751">
        <v>0.99999676499088797</v>
      </c>
      <c r="C3751">
        <v>0.82181609245772602</v>
      </c>
      <c r="D3751">
        <v>0.95636942807342096</v>
      </c>
      <c r="E3751">
        <v>0.93418893632690803</v>
      </c>
      <c r="F3751">
        <v>0.54831147338948405</v>
      </c>
      <c r="G3751">
        <v>0.41792598805505798</v>
      </c>
      <c r="H3751">
        <v>0.30450405881863402</v>
      </c>
      <c r="I3751">
        <v>0.319821445607405</v>
      </c>
      <c r="J3751">
        <v>0.31151403410456902</v>
      </c>
      <c r="K3751">
        <v>0.39422929375785498</v>
      </c>
      <c r="L3751">
        <v>1870.85334109976</v>
      </c>
      <c r="M3751">
        <v>35.820274470178703</v>
      </c>
      <c r="N3751">
        <v>53.938214182176097</v>
      </c>
      <c r="O3751">
        <v>52.066914396079</v>
      </c>
      <c r="P3751">
        <v>-0.113632767726304</v>
      </c>
      <c r="Q3751">
        <v>0.33931399858455102</v>
      </c>
      <c r="R3751">
        <v>0.94649964601927605</v>
      </c>
      <c r="S3751" t="s">
        <v>10754</v>
      </c>
      <c r="T3751" t="s">
        <v>14004</v>
      </c>
      <c r="U3751" t="s">
        <v>14004</v>
      </c>
      <c r="V3751" t="s">
        <v>14004</v>
      </c>
      <c r="W3751" t="s">
        <v>17710</v>
      </c>
      <c r="X3751">
        <v>3</v>
      </c>
      <c r="Y3751" t="s">
        <v>24544</v>
      </c>
      <c r="Z3751" t="s">
        <v>31461</v>
      </c>
      <c r="AA3751">
        <v>0.61160437888421459</v>
      </c>
      <c r="AB3751" t="str">
        <f>HYPERLINK("Melting_Curves/meltCurve_Q15544_TAF11.pdf", "Melting_Curves/meltCurve_Q15544_TAF11.pdf")</f>
        <v>Melting_Curves/meltCurve_Q15544_TAF11.pdf</v>
      </c>
    </row>
    <row r="3752" spans="1:28" x14ac:dyDescent="0.25">
      <c r="A3752" t="s">
        <v>3756</v>
      </c>
      <c r="B3752">
        <v>0.99999676499088797</v>
      </c>
      <c r="C3752">
        <v>0.89551461899712204</v>
      </c>
      <c r="D3752">
        <v>0.82782333754259796</v>
      </c>
      <c r="E3752">
        <v>0.92429148494541202</v>
      </c>
      <c r="F3752">
        <v>0.78775747425945797</v>
      </c>
      <c r="G3752">
        <v>0.58263124094691698</v>
      </c>
      <c r="H3752">
        <v>0.434536832107</v>
      </c>
      <c r="I3752">
        <v>0.47585155975042098</v>
      </c>
      <c r="J3752">
        <v>0.58629328137117498</v>
      </c>
      <c r="K3752">
        <v>0.74287797309822201</v>
      </c>
      <c r="L3752">
        <v>1464.9844953623799</v>
      </c>
      <c r="M3752">
        <v>27.823824400669501</v>
      </c>
      <c r="O3752">
        <v>52.382434564165798</v>
      </c>
      <c r="P3752">
        <v>-5.8931204620837299E-2</v>
      </c>
      <c r="Q3752">
        <v>0.55621731629319104</v>
      </c>
      <c r="R3752">
        <v>0.71001627937645395</v>
      </c>
      <c r="S3752" t="s">
        <v>10755</v>
      </c>
      <c r="T3752" t="s">
        <v>14004</v>
      </c>
      <c r="U3752" t="s">
        <v>14004</v>
      </c>
      <c r="V3752" t="s">
        <v>14004</v>
      </c>
      <c r="W3752" t="s">
        <v>17711</v>
      </c>
      <c r="X3752">
        <v>4</v>
      </c>
      <c r="Y3752" t="s">
        <v>24545</v>
      </c>
      <c r="Z3752" t="s">
        <v>31462</v>
      </c>
      <c r="AA3752">
        <v>0.7466957739479676</v>
      </c>
      <c r="AB3752" t="str">
        <f>HYPERLINK("Melting_Curves/meltCurve_Q15545_TAF7.pdf", "Melting_Curves/meltCurve_Q15545_TAF7.pdf")</f>
        <v>Melting_Curves/meltCurve_Q15545_TAF7.pdf</v>
      </c>
    </row>
    <row r="3753" spans="1:28" x14ac:dyDescent="0.25">
      <c r="A3753" t="s">
        <v>3757</v>
      </c>
      <c r="B3753">
        <v>0.99999676499088797</v>
      </c>
      <c r="C3753">
        <v>0.96109075150522705</v>
      </c>
      <c r="D3753">
        <v>0.92820965052999505</v>
      </c>
      <c r="E3753">
        <v>0.58449942290624002</v>
      </c>
      <c r="F3753">
        <v>0.20878438146371101</v>
      </c>
      <c r="G3753">
        <v>0.147904634699242</v>
      </c>
      <c r="H3753">
        <v>7.6984312463381305E-2</v>
      </c>
      <c r="I3753">
        <v>6.9241759142853299E-2</v>
      </c>
      <c r="J3753">
        <v>6.4238764431614401E-2</v>
      </c>
      <c r="K3753">
        <v>5.8284516936456802E-2</v>
      </c>
      <c r="L3753">
        <v>1331.98034533999</v>
      </c>
      <c r="M3753">
        <v>26.6454006832342</v>
      </c>
      <c r="N3753">
        <v>50.276571132856503</v>
      </c>
      <c r="O3753">
        <v>49.710106418557899</v>
      </c>
      <c r="P3753">
        <v>-0.124537777166406</v>
      </c>
      <c r="Q3753">
        <v>7.0650638176827901E-2</v>
      </c>
      <c r="R3753">
        <v>0.99797753950968004</v>
      </c>
      <c r="S3753" t="s">
        <v>10756</v>
      </c>
      <c r="T3753" t="s">
        <v>14004</v>
      </c>
      <c r="U3753" t="s">
        <v>14004</v>
      </c>
      <c r="V3753" t="s">
        <v>14004</v>
      </c>
      <c r="W3753" t="s">
        <v>17712</v>
      </c>
      <c r="X3753">
        <v>20</v>
      </c>
      <c r="Y3753" t="s">
        <v>24546</v>
      </c>
      <c r="Z3753" t="s">
        <v>31463</v>
      </c>
      <c r="AA3753">
        <v>0.38740120659634619</v>
      </c>
      <c r="AB3753" t="str">
        <f>HYPERLINK("Melting_Curves/meltCurve_Q15554_TERF2.pdf", "Melting_Curves/meltCurve_Q15554_TERF2.pdf")</f>
        <v>Melting_Curves/meltCurve_Q15554_TERF2.pdf</v>
      </c>
    </row>
    <row r="3754" spans="1:28" x14ac:dyDescent="0.25">
      <c r="A3754" t="s">
        <v>3758</v>
      </c>
      <c r="B3754">
        <v>0.99999676499088797</v>
      </c>
      <c r="C3754">
        <v>0.518864905372179</v>
      </c>
      <c r="D3754">
        <v>0.34770309037876201</v>
      </c>
      <c r="E3754">
        <v>0.27369552734377101</v>
      </c>
      <c r="F3754">
        <v>0.17869675269612201</v>
      </c>
      <c r="G3754">
        <v>0.124941152048303</v>
      </c>
      <c r="H3754">
        <v>6.1356317442378697E-2</v>
      </c>
      <c r="I3754">
        <v>5.4406538470700198E-2</v>
      </c>
      <c r="J3754">
        <v>4.9278694804171401E-2</v>
      </c>
      <c r="K3754">
        <v>4.5438022073215997E-2</v>
      </c>
      <c r="L3754">
        <v>756.90123952250406</v>
      </c>
      <c r="M3754">
        <v>17.245305527137401</v>
      </c>
      <c r="N3754">
        <v>44.332251515167997</v>
      </c>
      <c r="O3754">
        <v>43.312858844940699</v>
      </c>
      <c r="P3754">
        <v>-9.1682882526560303E-2</v>
      </c>
      <c r="Q3754">
        <v>7.8980468041743204E-2</v>
      </c>
      <c r="R3754">
        <v>0.94091000814499903</v>
      </c>
      <c r="S3754" t="s">
        <v>10757</v>
      </c>
      <c r="T3754" t="s">
        <v>14004</v>
      </c>
      <c r="U3754" t="s">
        <v>14004</v>
      </c>
      <c r="V3754" t="s">
        <v>14004</v>
      </c>
      <c r="W3754" t="s">
        <v>17713</v>
      </c>
      <c r="X3754">
        <v>9</v>
      </c>
      <c r="Y3754" t="s">
        <v>24547</v>
      </c>
      <c r="Z3754" t="s">
        <v>31464</v>
      </c>
      <c r="AA3754">
        <v>0.22375687470844691</v>
      </c>
      <c r="AB3754" t="str">
        <f>HYPERLINK("Melting_Curves/meltCurve_Q15555_4_MAPRE2.pdf", "Melting_Curves/meltCurve_Q15555_4_MAPRE2.pdf")</f>
        <v>Melting_Curves/meltCurve_Q15555_4_MAPRE2.pdf</v>
      </c>
    </row>
    <row r="3755" spans="1:28" x14ac:dyDescent="0.25">
      <c r="A3755" t="s">
        <v>3759</v>
      </c>
      <c r="B3755">
        <v>0.99999676499088797</v>
      </c>
      <c r="C3755">
        <v>0.90827912600670802</v>
      </c>
      <c r="D3755">
        <v>0.88671851874271301</v>
      </c>
      <c r="E3755">
        <v>0.52380515207667599</v>
      </c>
      <c r="F3755">
        <v>0.20307549045437101</v>
      </c>
      <c r="G3755">
        <v>7.8275311657596394E-2</v>
      </c>
      <c r="H3755">
        <v>0.155976953894188</v>
      </c>
      <c r="I3755">
        <v>0.19686987968762201</v>
      </c>
      <c r="J3755">
        <v>0</v>
      </c>
      <c r="K3755">
        <v>0</v>
      </c>
      <c r="L3755">
        <v>1193.84746267733</v>
      </c>
      <c r="M3755">
        <v>24.151183590294099</v>
      </c>
      <c r="N3755">
        <v>49.762019150120601</v>
      </c>
      <c r="O3755">
        <v>49.097083937359102</v>
      </c>
      <c r="P3755">
        <v>-0.113884660929193</v>
      </c>
      <c r="Q3755">
        <v>7.3947079367772797E-2</v>
      </c>
      <c r="R3755">
        <v>0.974106638553347</v>
      </c>
      <c r="S3755" t="s">
        <v>10758</v>
      </c>
      <c r="T3755" t="s">
        <v>14004</v>
      </c>
      <c r="U3755" t="s">
        <v>14004</v>
      </c>
      <c r="V3755" t="s">
        <v>14004</v>
      </c>
      <c r="W3755" t="s">
        <v>17714</v>
      </c>
      <c r="X3755">
        <v>5</v>
      </c>
      <c r="Y3755" t="s">
        <v>24548</v>
      </c>
      <c r="Z3755" t="s">
        <v>31465</v>
      </c>
      <c r="AA3755">
        <v>0.37393884702937991</v>
      </c>
      <c r="AB3755" t="str">
        <f>HYPERLINK("Melting_Curves/meltCurve_Q15560_2_TCEA2.pdf", "Melting_Curves/meltCurve_Q15560_2_TCEA2.pdf")</f>
        <v>Melting_Curves/meltCurve_Q15560_2_TCEA2.pdf</v>
      </c>
    </row>
    <row r="3756" spans="1:28" x14ac:dyDescent="0.25">
      <c r="A3756" t="s">
        <v>3760</v>
      </c>
      <c r="B3756">
        <v>0.99999676499088797</v>
      </c>
      <c r="C3756">
        <v>0.75606514660645496</v>
      </c>
      <c r="D3756">
        <v>0.37169258614001199</v>
      </c>
      <c r="E3756">
        <v>0.217597991430627</v>
      </c>
      <c r="F3756">
        <v>0.20716358782402</v>
      </c>
      <c r="G3756">
        <v>0.13684984997754601</v>
      </c>
      <c r="H3756">
        <v>9.5532788546352707E-2</v>
      </c>
      <c r="I3756">
        <v>9.4542205572948401E-2</v>
      </c>
      <c r="J3756">
        <v>0.12422581050909901</v>
      </c>
      <c r="K3756">
        <v>0.10265656116663099</v>
      </c>
      <c r="L3756">
        <v>1144.55821377098</v>
      </c>
      <c r="M3756">
        <v>25.7078446631667</v>
      </c>
      <c r="N3756">
        <v>45.032864880144601</v>
      </c>
      <c r="O3756">
        <v>44.254985370192699</v>
      </c>
      <c r="P3756">
        <v>-0.126851348540447</v>
      </c>
      <c r="Q3756">
        <v>0.12653349109696399</v>
      </c>
      <c r="R3756">
        <v>0.98794924442709997</v>
      </c>
      <c r="S3756" t="s">
        <v>10759</v>
      </c>
      <c r="T3756" t="s">
        <v>14004</v>
      </c>
      <c r="U3756" t="s">
        <v>14004</v>
      </c>
      <c r="V3756" t="s">
        <v>14004</v>
      </c>
      <c r="W3756" t="s">
        <v>17715</v>
      </c>
      <c r="X3756">
        <v>2</v>
      </c>
      <c r="Y3756" t="s">
        <v>24549</v>
      </c>
      <c r="Z3756" t="s">
        <v>31466</v>
      </c>
      <c r="AA3756">
        <v>0.26679685642613982</v>
      </c>
      <c r="AB3756" t="str">
        <f>HYPERLINK("Melting_Curves/meltCurve_Q15596_NCOA2.pdf", "Melting_Curves/meltCurve_Q15596_NCOA2.pdf")</f>
        <v>Melting_Curves/meltCurve_Q15596_NCOA2.pdf</v>
      </c>
    </row>
    <row r="3757" spans="1:28" x14ac:dyDescent="0.25">
      <c r="A3757" t="s">
        <v>3761</v>
      </c>
      <c r="B3757">
        <v>0.99999676499088797</v>
      </c>
      <c r="C3757">
        <v>0.91878968466293898</v>
      </c>
      <c r="D3757">
        <v>0.86385277214797296</v>
      </c>
      <c r="E3757">
        <v>0.65739202452498302</v>
      </c>
      <c r="F3757">
        <v>0.465736011169328</v>
      </c>
      <c r="G3757">
        <v>0.36221772530257801</v>
      </c>
      <c r="H3757">
        <v>0.200573794650307</v>
      </c>
      <c r="I3757">
        <v>0.24719526888519899</v>
      </c>
      <c r="J3757">
        <v>0.26700470829198703</v>
      </c>
      <c r="K3757">
        <v>0.252957019959413</v>
      </c>
      <c r="L3757">
        <v>783.10557713813898</v>
      </c>
      <c r="M3757">
        <v>15.5471615075773</v>
      </c>
      <c r="N3757">
        <v>52.362674995729897</v>
      </c>
      <c r="O3757">
        <v>49.558424028154398</v>
      </c>
      <c r="P3757">
        <v>-6.0919173516800103E-2</v>
      </c>
      <c r="Q3757">
        <v>0.22331977877259401</v>
      </c>
      <c r="R3757">
        <v>0.99016839070260299</v>
      </c>
      <c r="S3757" t="s">
        <v>10760</v>
      </c>
      <c r="T3757" t="s">
        <v>14004</v>
      </c>
      <c r="U3757" t="s">
        <v>14004</v>
      </c>
      <c r="V3757" t="s">
        <v>14004</v>
      </c>
      <c r="W3757" t="s">
        <v>17716</v>
      </c>
      <c r="X3757">
        <v>9</v>
      </c>
      <c r="Y3757" t="s">
        <v>24550</v>
      </c>
      <c r="Z3757" t="s">
        <v>31467</v>
      </c>
      <c r="AA3757">
        <v>0.50897962265986452</v>
      </c>
      <c r="AB3757" t="str">
        <f>HYPERLINK("Melting_Curves/meltCurve_Q15599_SLC9A3R2.pdf", "Melting_Curves/meltCurve_Q15599_SLC9A3R2.pdf")</f>
        <v>Melting_Curves/meltCurve_Q15599_SLC9A3R2.pdf</v>
      </c>
    </row>
    <row r="3758" spans="1:28" x14ac:dyDescent="0.25">
      <c r="A3758" t="s">
        <v>3762</v>
      </c>
      <c r="B3758">
        <v>0.99999676499088797</v>
      </c>
      <c r="C3758">
        <v>0.76186038657895705</v>
      </c>
      <c r="D3758">
        <v>0.479538119692622</v>
      </c>
      <c r="E3758">
        <v>0.27306232310286499</v>
      </c>
      <c r="F3758">
        <v>0.21725766650125</v>
      </c>
      <c r="G3758">
        <v>0.17247706668302001</v>
      </c>
      <c r="H3758">
        <v>8.2803903585988603E-2</v>
      </c>
      <c r="I3758">
        <v>0.120406864685299</v>
      </c>
      <c r="J3758">
        <v>6.3588710495466105E-2</v>
      </c>
      <c r="K3758">
        <v>5.47643582504845E-2</v>
      </c>
      <c r="L3758">
        <v>792.46847555360296</v>
      </c>
      <c r="M3758">
        <v>17.381827738854899</v>
      </c>
      <c r="N3758">
        <v>46.151476326684801</v>
      </c>
      <c r="O3758">
        <v>45.001149670120903</v>
      </c>
      <c r="P3758">
        <v>-8.7391684608601999E-2</v>
      </c>
      <c r="Q3758">
        <v>9.5030821002954194E-2</v>
      </c>
      <c r="R3758">
        <v>0.98346571674497196</v>
      </c>
      <c r="S3758" t="s">
        <v>10761</v>
      </c>
      <c r="T3758" t="s">
        <v>14004</v>
      </c>
      <c r="U3758" t="s">
        <v>14004</v>
      </c>
      <c r="V3758" t="s">
        <v>14004</v>
      </c>
      <c r="W3758" t="s">
        <v>17717</v>
      </c>
      <c r="X3758">
        <v>3</v>
      </c>
      <c r="Y3758" t="s">
        <v>24551</v>
      </c>
      <c r="Z3758" t="s">
        <v>31468</v>
      </c>
      <c r="AA3758">
        <v>0.28359319760031648</v>
      </c>
      <c r="AB3758" t="str">
        <f>HYPERLINK("Melting_Curves/meltCurve_Q15628_TRADD.pdf", "Melting_Curves/meltCurve_Q15628_TRADD.pdf")</f>
        <v>Melting_Curves/meltCurve_Q15628_TRADD.pdf</v>
      </c>
    </row>
    <row r="3759" spans="1:28" x14ac:dyDescent="0.25">
      <c r="A3759" t="s">
        <v>3763</v>
      </c>
      <c r="B3759">
        <v>0.99999676499088797</v>
      </c>
      <c r="C3759">
        <v>1.0281705971289199</v>
      </c>
      <c r="D3759">
        <v>0.98264008256296198</v>
      </c>
      <c r="E3759">
        <v>0.90598570695202496</v>
      </c>
      <c r="F3759">
        <v>0.84885009003409295</v>
      </c>
      <c r="G3759">
        <v>0.635599102403128</v>
      </c>
      <c r="H3759">
        <v>0.31696039774275803</v>
      </c>
      <c r="I3759">
        <v>0.33165913975952399</v>
      </c>
      <c r="J3759">
        <v>0.34266153872202298</v>
      </c>
      <c r="K3759">
        <v>0.35345480999203099</v>
      </c>
      <c r="L3759">
        <v>1455.9019106895901</v>
      </c>
      <c r="M3759">
        <v>26.034763595425598</v>
      </c>
      <c r="N3759">
        <v>58.152787695830398</v>
      </c>
      <c r="O3759">
        <v>55.594665417234701</v>
      </c>
      <c r="P3759">
        <v>-8.0095007569863097E-2</v>
      </c>
      <c r="Q3759">
        <v>0.31586807835488701</v>
      </c>
      <c r="R3759">
        <v>0.982569439989742</v>
      </c>
      <c r="S3759" t="s">
        <v>10762</v>
      </c>
      <c r="T3759" t="s">
        <v>14004</v>
      </c>
      <c r="U3759" t="s">
        <v>14004</v>
      </c>
      <c r="V3759" t="s">
        <v>14004</v>
      </c>
      <c r="W3759" t="s">
        <v>17718</v>
      </c>
      <c r="X3759">
        <v>24</v>
      </c>
      <c r="Y3759" t="s">
        <v>22000</v>
      </c>
      <c r="Z3759" t="s">
        <v>31469</v>
      </c>
      <c r="AA3759">
        <v>0.68481667487844888</v>
      </c>
      <c r="AB3759" t="str">
        <f>HYPERLINK("Melting_Curves/meltCurve_Q15637_5_SF1.pdf", "Melting_Curves/meltCurve_Q15637_5_SF1.pdf")</f>
        <v>Melting_Curves/meltCurve_Q15637_5_SF1.pdf</v>
      </c>
    </row>
    <row r="3760" spans="1:28" x14ac:dyDescent="0.25">
      <c r="A3760" t="s">
        <v>3764</v>
      </c>
      <c r="B3760">
        <v>0.99999676499088797</v>
      </c>
      <c r="C3760">
        <v>0.90162358948330101</v>
      </c>
      <c r="D3760">
        <v>0.89273085122104201</v>
      </c>
      <c r="E3760">
        <v>0.67948173256977695</v>
      </c>
      <c r="F3760">
        <v>0.37461834921596698</v>
      </c>
      <c r="G3760">
        <v>0.16793204807859199</v>
      </c>
      <c r="H3760">
        <v>5.1688400838137499E-2</v>
      </c>
      <c r="I3760">
        <v>4.3764701688252999E-2</v>
      </c>
      <c r="J3760">
        <v>3.3523446746389997E-2</v>
      </c>
      <c r="K3760">
        <v>4.9594545514593302E-2</v>
      </c>
      <c r="L3760">
        <v>902.11473810627604</v>
      </c>
      <c r="M3760">
        <v>17.525357604509299</v>
      </c>
      <c r="N3760">
        <v>51.564803486471199</v>
      </c>
      <c r="O3760">
        <v>50.818642876359498</v>
      </c>
      <c r="P3760">
        <v>-8.4921551870560899E-2</v>
      </c>
      <c r="Q3760">
        <v>1.50588539692469E-2</v>
      </c>
      <c r="R3760">
        <v>0.995650185810249</v>
      </c>
      <c r="S3760" t="s">
        <v>10763</v>
      </c>
      <c r="T3760" t="s">
        <v>14004</v>
      </c>
      <c r="U3760" t="s">
        <v>14004</v>
      </c>
      <c r="V3760" t="s">
        <v>14004</v>
      </c>
      <c r="W3760" t="s">
        <v>17719</v>
      </c>
      <c r="X3760">
        <v>23</v>
      </c>
      <c r="Y3760" t="s">
        <v>22000</v>
      </c>
      <c r="Z3760" t="s">
        <v>31470</v>
      </c>
      <c r="AA3760">
        <v>0.40908391615678941</v>
      </c>
      <c r="AB3760" t="str">
        <f>HYPERLINK("Melting_Curves/meltCurve_Q15637_6_SF1.pdf", "Melting_Curves/meltCurve_Q15637_6_SF1.pdf")</f>
        <v>Melting_Curves/meltCurve_Q15637_6_SF1.pdf</v>
      </c>
    </row>
    <row r="3761" spans="1:28" x14ac:dyDescent="0.25">
      <c r="A3761" t="s">
        <v>3765</v>
      </c>
      <c r="B3761">
        <v>0.99999676499088797</v>
      </c>
      <c r="C3761">
        <v>0.91183197707935804</v>
      </c>
      <c r="D3761">
        <v>0.91358802142353601</v>
      </c>
      <c r="E3761">
        <v>0.61456319930252701</v>
      </c>
      <c r="F3761">
        <v>0.32130455733137703</v>
      </c>
      <c r="G3761">
        <v>0.240163829874914</v>
      </c>
      <c r="H3761">
        <v>0.128142908028685</v>
      </c>
      <c r="I3761">
        <v>0.119376604096314</v>
      </c>
      <c r="J3761">
        <v>0.102375275006769</v>
      </c>
      <c r="K3761">
        <v>0.119231877547936</v>
      </c>
      <c r="L3761">
        <v>966.51854603295396</v>
      </c>
      <c r="M3761">
        <v>19.1877636501703</v>
      </c>
      <c r="N3761">
        <v>51.018817073532801</v>
      </c>
      <c r="O3761">
        <v>49.834054024349697</v>
      </c>
      <c r="P3761">
        <v>-8.5863356745675606E-2</v>
      </c>
      <c r="Q3761">
        <v>0.108024241538483</v>
      </c>
      <c r="R3761">
        <v>0.994144773888194</v>
      </c>
      <c r="S3761" t="s">
        <v>10764</v>
      </c>
      <c r="T3761" t="s">
        <v>14004</v>
      </c>
      <c r="U3761" t="s">
        <v>14004</v>
      </c>
      <c r="V3761" t="s">
        <v>14004</v>
      </c>
      <c r="W3761" t="s">
        <v>17720</v>
      </c>
      <c r="X3761">
        <v>4</v>
      </c>
      <c r="Y3761" t="s">
        <v>24552</v>
      </c>
      <c r="Z3761" t="s">
        <v>31471</v>
      </c>
      <c r="AA3761">
        <v>0.42982306864845499</v>
      </c>
      <c r="AB3761" t="str">
        <f>HYPERLINK("Melting_Curves/meltCurve_Q15642_2_TRIP10.pdf", "Melting_Curves/meltCurve_Q15642_2_TRIP10.pdf")</f>
        <v>Melting_Curves/meltCurve_Q15642_2_TRIP10.pdf</v>
      </c>
    </row>
    <row r="3762" spans="1:28" x14ac:dyDescent="0.25">
      <c r="A3762" t="s">
        <v>3766</v>
      </c>
      <c r="B3762">
        <v>0.99999676499088797</v>
      </c>
      <c r="C3762">
        <v>0.59551492032310405</v>
      </c>
      <c r="D3762">
        <v>0.32545767477508902</v>
      </c>
      <c r="E3762">
        <v>0.26549234751461198</v>
      </c>
      <c r="F3762">
        <v>0.21379678730386301</v>
      </c>
      <c r="G3762">
        <v>0.16580386541137301</v>
      </c>
      <c r="H3762">
        <v>9.1820097008036505E-2</v>
      </c>
      <c r="I3762">
        <v>7.2309883095513602E-2</v>
      </c>
      <c r="J3762">
        <v>6.8297248638759606E-2</v>
      </c>
      <c r="K3762">
        <v>7.5877809751903502E-2</v>
      </c>
      <c r="L3762">
        <v>926.29451408528598</v>
      </c>
      <c r="M3762">
        <v>21.156425383774799</v>
      </c>
      <c r="N3762">
        <v>44.340029631201197</v>
      </c>
      <c r="O3762">
        <v>43.397584118991901</v>
      </c>
      <c r="P3762">
        <v>-0.107658641028683</v>
      </c>
      <c r="Q3762">
        <v>0.116674374945511</v>
      </c>
      <c r="R3762">
        <v>0.95500936994341901</v>
      </c>
      <c r="S3762" t="s">
        <v>10765</v>
      </c>
      <c r="T3762" t="s">
        <v>14004</v>
      </c>
      <c r="U3762" t="s">
        <v>14004</v>
      </c>
      <c r="V3762" t="s">
        <v>14004</v>
      </c>
      <c r="W3762" t="s">
        <v>17721</v>
      </c>
      <c r="X3762">
        <v>11</v>
      </c>
      <c r="Y3762" t="s">
        <v>24553</v>
      </c>
      <c r="Z3762" t="s">
        <v>31472</v>
      </c>
      <c r="AA3762">
        <v>0.243729050072923</v>
      </c>
      <c r="AB3762" t="str">
        <f>HYPERLINK("Melting_Curves/meltCurve_Q15643_TRIP11.pdf", "Melting_Curves/meltCurve_Q15643_TRIP11.pdf")</f>
        <v>Melting_Curves/meltCurve_Q15643_TRIP11.pdf</v>
      </c>
    </row>
    <row r="3763" spans="1:28" x14ac:dyDescent="0.25">
      <c r="A3763" t="s">
        <v>3767</v>
      </c>
      <c r="B3763">
        <v>0.99999676499088797</v>
      </c>
      <c r="C3763">
        <v>0.99993958123689597</v>
      </c>
      <c r="D3763">
        <v>0.95659112114020495</v>
      </c>
      <c r="E3763">
        <v>0.937179521056835</v>
      </c>
      <c r="F3763">
        <v>0.35990629263280899</v>
      </c>
      <c r="G3763">
        <v>0.17716119289339899</v>
      </c>
      <c r="H3763">
        <v>8.44953833016346E-2</v>
      </c>
      <c r="I3763">
        <v>9.41195872280427E-2</v>
      </c>
      <c r="J3763">
        <v>8.5134149079539007E-2</v>
      </c>
      <c r="K3763">
        <v>6.5780794131182194E-2</v>
      </c>
      <c r="L3763">
        <v>2276.9899381742198</v>
      </c>
      <c r="M3763">
        <v>43.6024118951185</v>
      </c>
      <c r="N3763">
        <v>52.471253512188397</v>
      </c>
      <c r="O3763">
        <v>52.112162225794698</v>
      </c>
      <c r="P3763">
        <v>-0.189584997698235</v>
      </c>
      <c r="Q3763">
        <v>9.3658428335004096E-2</v>
      </c>
      <c r="R3763">
        <v>0.99620102569799995</v>
      </c>
      <c r="S3763" t="s">
        <v>10766</v>
      </c>
      <c r="T3763" t="s">
        <v>14004</v>
      </c>
      <c r="U3763" t="s">
        <v>14004</v>
      </c>
      <c r="V3763" t="s">
        <v>14004</v>
      </c>
      <c r="W3763" t="s">
        <v>17722</v>
      </c>
      <c r="X3763">
        <v>14</v>
      </c>
      <c r="Y3763" t="s">
        <v>24554</v>
      </c>
      <c r="Z3763" t="s">
        <v>31473</v>
      </c>
      <c r="AA3763">
        <v>0.46564067749386567</v>
      </c>
      <c r="AB3763" t="str">
        <f>HYPERLINK("Melting_Curves/meltCurve_Q15645_TRIP13.pdf", "Melting_Curves/meltCurve_Q15645_TRIP13.pdf")</f>
        <v>Melting_Curves/meltCurve_Q15645_TRIP13.pdf</v>
      </c>
    </row>
    <row r="3764" spans="1:28" x14ac:dyDescent="0.25">
      <c r="A3764" t="s">
        <v>3768</v>
      </c>
      <c r="B3764">
        <v>0.99999676499088797</v>
      </c>
      <c r="C3764">
        <v>0.94195820374776895</v>
      </c>
      <c r="D3764">
        <v>0.80282115656875497</v>
      </c>
      <c r="E3764">
        <v>0.67000164763158598</v>
      </c>
      <c r="F3764">
        <v>0.296853919855327</v>
      </c>
      <c r="G3764">
        <v>0.199779768848624</v>
      </c>
      <c r="H3764">
        <v>0.12950404351148101</v>
      </c>
      <c r="I3764">
        <v>0.13172197076925399</v>
      </c>
      <c r="J3764">
        <v>0.15691743665989499</v>
      </c>
      <c r="K3764">
        <v>0.151793532976153</v>
      </c>
      <c r="L3764">
        <v>944.97424610086102</v>
      </c>
      <c r="M3764">
        <v>18.885606012337401</v>
      </c>
      <c r="N3764">
        <v>50.808144910230197</v>
      </c>
      <c r="O3764">
        <v>49.485863430186797</v>
      </c>
      <c r="P3764">
        <v>-8.3520453151138499E-2</v>
      </c>
      <c r="Q3764">
        <v>0.12464295205699</v>
      </c>
      <c r="R3764">
        <v>0.989334650870204</v>
      </c>
      <c r="S3764" t="s">
        <v>10767</v>
      </c>
      <c r="T3764" t="s">
        <v>14004</v>
      </c>
      <c r="U3764" t="s">
        <v>14004</v>
      </c>
      <c r="V3764" t="s">
        <v>14004</v>
      </c>
      <c r="W3764" t="s">
        <v>17723</v>
      </c>
      <c r="X3764">
        <v>18</v>
      </c>
      <c r="Y3764" t="s">
        <v>24555</v>
      </c>
      <c r="Z3764" t="s">
        <v>31474</v>
      </c>
      <c r="AA3764">
        <v>0.4311146885816472</v>
      </c>
      <c r="AB3764" t="str">
        <f>HYPERLINK("Melting_Curves/meltCurve_Q15648_MED1.pdf", "Melting_Curves/meltCurve_Q15648_MED1.pdf")</f>
        <v>Melting_Curves/meltCurve_Q15648_MED1.pdf</v>
      </c>
    </row>
    <row r="3765" spans="1:28" x14ac:dyDescent="0.25">
      <c r="A3765" t="s">
        <v>3769</v>
      </c>
      <c r="B3765">
        <v>0.99999676499088797</v>
      </c>
      <c r="C3765">
        <v>1.1735475511964899</v>
      </c>
      <c r="D3765">
        <v>1.21166780449583</v>
      </c>
      <c r="E3765">
        <v>1.02270340238016</v>
      </c>
      <c r="F3765">
        <v>0.748915434716383</v>
      </c>
      <c r="G3765">
        <v>0.63171963930812802</v>
      </c>
      <c r="H3765">
        <v>0.43188283944081002</v>
      </c>
      <c r="I3765">
        <v>0.458514841040295</v>
      </c>
      <c r="J3765">
        <v>0.47564747566822102</v>
      </c>
      <c r="K3765">
        <v>0.50914691668308698</v>
      </c>
      <c r="L3765">
        <v>1684.2344758445599</v>
      </c>
      <c r="M3765">
        <v>31.183826010242498</v>
      </c>
      <c r="N3765">
        <v>59.6286563900453</v>
      </c>
      <c r="O3765">
        <v>53.789222623800697</v>
      </c>
      <c r="P3765">
        <v>-7.6305100186009597E-2</v>
      </c>
      <c r="Q3765">
        <v>0.47352594036392398</v>
      </c>
      <c r="R3765">
        <v>0.89499205217397804</v>
      </c>
      <c r="S3765" t="s">
        <v>10768</v>
      </c>
      <c r="T3765" t="s">
        <v>14004</v>
      </c>
      <c r="U3765" t="s">
        <v>14004</v>
      </c>
      <c r="V3765" t="s">
        <v>14004</v>
      </c>
      <c r="W3765" t="s">
        <v>17724</v>
      </c>
      <c r="X3765">
        <v>5</v>
      </c>
      <c r="Y3765" t="s">
        <v>24556</v>
      </c>
      <c r="Z3765" t="s">
        <v>31475</v>
      </c>
      <c r="AA3765">
        <v>0.72259605370022262</v>
      </c>
      <c r="AB3765" t="str">
        <f>HYPERLINK("Melting_Curves/meltCurve_Q15649_ZNHIT3.pdf", "Melting_Curves/meltCurve_Q15649_ZNHIT3.pdf")</f>
        <v>Melting_Curves/meltCurve_Q15649_ZNHIT3.pdf</v>
      </c>
    </row>
    <row r="3766" spans="1:28" x14ac:dyDescent="0.25">
      <c r="A3766" t="s">
        <v>3770</v>
      </c>
      <c r="B3766">
        <v>0.99999676499088797</v>
      </c>
      <c r="C3766">
        <v>0.968471576795502</v>
      </c>
      <c r="D3766">
        <v>0.77504347171599397</v>
      </c>
      <c r="E3766">
        <v>0.48325786795829301</v>
      </c>
      <c r="F3766">
        <v>0.347395310267754</v>
      </c>
      <c r="G3766">
        <v>0.22325101718651799</v>
      </c>
      <c r="H3766">
        <v>0.10343915301348799</v>
      </c>
      <c r="I3766">
        <v>0.11830794497389301</v>
      </c>
      <c r="J3766">
        <v>0.12876899864383501</v>
      </c>
      <c r="K3766">
        <v>0.109629481642497</v>
      </c>
      <c r="L3766">
        <v>806.44690969591795</v>
      </c>
      <c r="M3766">
        <v>16.391472585791401</v>
      </c>
      <c r="N3766">
        <v>49.922937897991702</v>
      </c>
      <c r="O3766">
        <v>48.484387043768301</v>
      </c>
      <c r="P3766">
        <v>-7.5586328151447404E-2</v>
      </c>
      <c r="Q3766">
        <v>0.105755648924189</v>
      </c>
      <c r="R3766">
        <v>0.99322226890296805</v>
      </c>
      <c r="S3766" t="s">
        <v>10769</v>
      </c>
      <c r="T3766" t="s">
        <v>14004</v>
      </c>
      <c r="U3766" t="s">
        <v>14004</v>
      </c>
      <c r="V3766" t="s">
        <v>14004</v>
      </c>
      <c r="W3766" t="s">
        <v>17725</v>
      </c>
      <c r="X3766">
        <v>6</v>
      </c>
      <c r="Y3766" t="s">
        <v>24557</v>
      </c>
      <c r="Z3766" t="s">
        <v>31476</v>
      </c>
      <c r="AA3766">
        <v>0.39849025798979892</v>
      </c>
      <c r="AB3766" t="str">
        <f>HYPERLINK("Melting_Curves/meltCurve_Q15650_TRIP4.pdf", "Melting_Curves/meltCurve_Q15650_TRIP4.pdf")</f>
        <v>Melting_Curves/meltCurve_Q15650_TRIP4.pdf</v>
      </c>
    </row>
    <row r="3767" spans="1:28" x14ac:dyDescent="0.25">
      <c r="A3767" t="s">
        <v>3771</v>
      </c>
      <c r="B3767">
        <v>0.99999676499088797</v>
      </c>
      <c r="C3767">
        <v>0.933502167123614</v>
      </c>
      <c r="D3767">
        <v>0.88441322090888697</v>
      </c>
      <c r="E3767">
        <v>0.71640778855062803</v>
      </c>
      <c r="F3767">
        <v>0.46046033487462301</v>
      </c>
      <c r="G3767">
        <v>0.41601889333224001</v>
      </c>
      <c r="H3767">
        <v>0.32222233889956597</v>
      </c>
      <c r="I3767">
        <v>0.40078055670389201</v>
      </c>
      <c r="J3767">
        <v>0.38829903225895601</v>
      </c>
      <c r="K3767">
        <v>0.44675258076428098</v>
      </c>
      <c r="L3767">
        <v>1108.1232054795801</v>
      </c>
      <c r="M3767">
        <v>22.409153361986998</v>
      </c>
      <c r="N3767">
        <v>52.887368366709701</v>
      </c>
      <c r="O3767">
        <v>49.0608206673826</v>
      </c>
      <c r="P3767">
        <v>-7.0400983411283397E-2</v>
      </c>
      <c r="Q3767">
        <v>0.38349122967534199</v>
      </c>
      <c r="R3767">
        <v>0.977369401140881</v>
      </c>
      <c r="S3767" t="s">
        <v>10770</v>
      </c>
      <c r="T3767" t="s">
        <v>14004</v>
      </c>
      <c r="U3767" t="s">
        <v>14004</v>
      </c>
      <c r="V3767" t="s">
        <v>14004</v>
      </c>
      <c r="W3767" t="s">
        <v>17726</v>
      </c>
      <c r="X3767">
        <v>16</v>
      </c>
      <c r="Y3767" t="s">
        <v>24558</v>
      </c>
      <c r="Z3767" t="s">
        <v>31477</v>
      </c>
      <c r="AA3767">
        <v>0.58452907167834733</v>
      </c>
      <c r="AB3767" t="str">
        <f>HYPERLINK("Melting_Curves/meltCurve_Q15652_3_JMJD1C.pdf", "Melting_Curves/meltCurve_Q15652_3_JMJD1C.pdf")</f>
        <v>Melting_Curves/meltCurve_Q15652_3_JMJD1C.pdf</v>
      </c>
    </row>
    <row r="3768" spans="1:28" x14ac:dyDescent="0.25">
      <c r="A3768" t="s">
        <v>3772</v>
      </c>
      <c r="B3768">
        <v>0.99999676499088797</v>
      </c>
      <c r="C3768">
        <v>0.90286390109402903</v>
      </c>
      <c r="D3768">
        <v>0.92890738571979803</v>
      </c>
      <c r="E3768">
        <v>0.79817709242817803</v>
      </c>
      <c r="F3768">
        <v>0.36711974241765299</v>
      </c>
      <c r="G3768">
        <v>0.19519332806249601</v>
      </c>
      <c r="H3768">
        <v>0.100543292149535</v>
      </c>
      <c r="I3768">
        <v>8.8186210329333006E-2</v>
      </c>
      <c r="J3768">
        <v>7.5503568197048399E-2</v>
      </c>
      <c r="K3768">
        <v>7.4424020166894797E-2</v>
      </c>
      <c r="L3768">
        <v>1254.4638944204401</v>
      </c>
      <c r="M3768">
        <v>24.2185205860136</v>
      </c>
      <c r="N3768">
        <v>52.1552763752955</v>
      </c>
      <c r="O3768">
        <v>51.448424036387401</v>
      </c>
      <c r="P3768">
        <v>-0.108683493282169</v>
      </c>
      <c r="Q3768">
        <v>7.6490307909942698E-2</v>
      </c>
      <c r="R3768">
        <v>0.992090186562954</v>
      </c>
      <c r="S3768" t="s">
        <v>10771</v>
      </c>
      <c r="T3768" t="s">
        <v>14004</v>
      </c>
      <c r="U3768" t="s">
        <v>14004</v>
      </c>
      <c r="V3768" t="s">
        <v>14004</v>
      </c>
      <c r="W3768" t="s">
        <v>17727</v>
      </c>
      <c r="X3768">
        <v>19</v>
      </c>
      <c r="Y3768" t="s">
        <v>24559</v>
      </c>
      <c r="Z3768" t="s">
        <v>31478</v>
      </c>
      <c r="AA3768">
        <v>0.44861171422852453</v>
      </c>
      <c r="AB3768" t="str">
        <f>HYPERLINK("Melting_Curves/meltCurve_Q15691_MAPRE1.pdf", "Melting_Curves/meltCurve_Q15691_MAPRE1.pdf")</f>
        <v>Melting_Curves/meltCurve_Q15691_MAPRE1.pdf</v>
      </c>
    </row>
    <row r="3769" spans="1:28" x14ac:dyDescent="0.25">
      <c r="A3769" t="s">
        <v>3773</v>
      </c>
      <c r="B3769">
        <v>0.99999676499088797</v>
      </c>
      <c r="C3769">
        <v>0.87350177863036305</v>
      </c>
      <c r="D3769">
        <v>0.87789645528607096</v>
      </c>
      <c r="E3769">
        <v>0.80891239585093</v>
      </c>
      <c r="F3769">
        <v>0.60871109599850703</v>
      </c>
      <c r="G3769">
        <v>0.55010160663567798</v>
      </c>
      <c r="H3769">
        <v>0.35622256596949298</v>
      </c>
      <c r="I3769">
        <v>0.348179270370991</v>
      </c>
      <c r="J3769">
        <v>0.333465152263137</v>
      </c>
      <c r="K3769">
        <v>0.42629350267653099</v>
      </c>
      <c r="L3769">
        <v>622.47666150565499</v>
      </c>
      <c r="M3769">
        <v>11.9042104357244</v>
      </c>
      <c r="N3769">
        <v>57.0039181937492</v>
      </c>
      <c r="O3769">
        <v>50.880358288730001</v>
      </c>
      <c r="P3769">
        <v>-4.018448849082E-2</v>
      </c>
      <c r="Q3769">
        <v>0.31315297868113101</v>
      </c>
      <c r="R3769">
        <v>0.95908647540452896</v>
      </c>
      <c r="S3769" t="s">
        <v>10772</v>
      </c>
      <c r="T3769" t="s">
        <v>14004</v>
      </c>
      <c r="U3769" t="s">
        <v>14004</v>
      </c>
      <c r="V3769" t="s">
        <v>14004</v>
      </c>
      <c r="W3769" t="s">
        <v>17728</v>
      </c>
      <c r="X3769">
        <v>7</v>
      </c>
      <c r="Y3769" t="s">
        <v>24560</v>
      </c>
      <c r="Z3769" t="s">
        <v>31479</v>
      </c>
      <c r="AA3769">
        <v>0.61535266439229575</v>
      </c>
      <c r="AB3769" t="str">
        <f>HYPERLINK("Melting_Curves/meltCurve_Q15714_TSC22D1.pdf", "Melting_Curves/meltCurve_Q15714_TSC22D1.pdf")</f>
        <v>Melting_Curves/meltCurve_Q15714_TSC22D1.pdf</v>
      </c>
    </row>
    <row r="3770" spans="1:28" x14ac:dyDescent="0.25">
      <c r="A3770" t="s">
        <v>3774</v>
      </c>
      <c r="B3770">
        <v>0.99999676499088797</v>
      </c>
      <c r="C3770">
        <v>0.96432723530366204</v>
      </c>
      <c r="D3770">
        <v>0.92313711700553802</v>
      </c>
      <c r="E3770">
        <v>0.37766354700148103</v>
      </c>
      <c r="F3770">
        <v>0.23058984138069799</v>
      </c>
      <c r="G3770">
        <v>0.15113021917837499</v>
      </c>
      <c r="H3770">
        <v>9.2874836203008196E-2</v>
      </c>
      <c r="I3770">
        <v>8.7284254047267001E-2</v>
      </c>
      <c r="J3770">
        <v>8.4375433891569096E-2</v>
      </c>
      <c r="K3770">
        <v>9.8918743434124906E-2</v>
      </c>
      <c r="L3770">
        <v>1654.73015903347</v>
      </c>
      <c r="M3770">
        <v>34.039981859576201</v>
      </c>
      <c r="N3770">
        <v>48.975551455301002</v>
      </c>
      <c r="O3770">
        <v>48.444512048850001</v>
      </c>
      <c r="P3770">
        <v>-0.156023759879131</v>
      </c>
      <c r="Q3770">
        <v>0.111813135502409</v>
      </c>
      <c r="R3770">
        <v>0.99191226017301204</v>
      </c>
      <c r="S3770" t="s">
        <v>10773</v>
      </c>
      <c r="T3770" t="s">
        <v>14004</v>
      </c>
      <c r="U3770" t="s">
        <v>14004</v>
      </c>
      <c r="V3770" t="s">
        <v>14004</v>
      </c>
      <c r="W3770" t="s">
        <v>17729</v>
      </c>
      <c r="X3770">
        <v>9</v>
      </c>
      <c r="Y3770" t="s">
        <v>24561</v>
      </c>
      <c r="Z3770" t="s">
        <v>31480</v>
      </c>
      <c r="AA3770">
        <v>0.37091467142290557</v>
      </c>
      <c r="AB3770" t="str">
        <f>HYPERLINK("Melting_Curves/meltCurve_Q15717_ELAVL1.pdf", "Melting_Curves/meltCurve_Q15717_ELAVL1.pdf")</f>
        <v>Melting_Curves/meltCurve_Q15717_ELAVL1.pdf</v>
      </c>
    </row>
    <row r="3771" spans="1:28" x14ac:dyDescent="0.25">
      <c r="A3771" t="s">
        <v>3775</v>
      </c>
      <c r="B3771">
        <v>0.99999676499088797</v>
      </c>
      <c r="C3771">
        <v>0.99178057882950299</v>
      </c>
      <c r="D3771">
        <v>1.05066435278346</v>
      </c>
      <c r="E3771">
        <v>1.1677674300154</v>
      </c>
      <c r="F3771">
        <v>0.65541745449113498</v>
      </c>
      <c r="G3771">
        <v>0.28704780634016103</v>
      </c>
      <c r="H3771">
        <v>7.9268641587091196E-2</v>
      </c>
      <c r="I3771">
        <v>6.5018493542158995E-2</v>
      </c>
      <c r="J3771">
        <v>5.9627697827573302E-2</v>
      </c>
      <c r="K3771">
        <v>5.0457276596910398E-2</v>
      </c>
      <c r="L3771">
        <v>1923.2086866304201</v>
      </c>
      <c r="M3771">
        <v>35.314348026452997</v>
      </c>
      <c r="N3771">
        <v>54.667113884735599</v>
      </c>
      <c r="O3771">
        <v>54.285949018054701</v>
      </c>
      <c r="P3771">
        <v>-0.15243462164992899</v>
      </c>
      <c r="Q3771">
        <v>6.2700527760998701E-2</v>
      </c>
      <c r="R3771">
        <v>0.97689789039471098</v>
      </c>
      <c r="S3771" t="s">
        <v>10774</v>
      </c>
      <c r="T3771" t="s">
        <v>14004</v>
      </c>
      <c r="U3771" t="s">
        <v>14004</v>
      </c>
      <c r="V3771" t="s">
        <v>14004</v>
      </c>
      <c r="W3771" t="s">
        <v>17730</v>
      </c>
      <c r="X3771">
        <v>12</v>
      </c>
      <c r="Y3771" t="s">
        <v>24562</v>
      </c>
      <c r="Z3771" t="s">
        <v>31481</v>
      </c>
      <c r="AA3771">
        <v>0.51897517669053927</v>
      </c>
      <c r="AB3771" t="str">
        <f>HYPERLINK("Melting_Curves/meltCurve_Q15738_NSDHL.pdf", "Melting_Curves/meltCurve_Q15738_NSDHL.pdf")</f>
        <v>Melting_Curves/meltCurve_Q15738_NSDHL.pdf</v>
      </c>
    </row>
    <row r="3772" spans="1:28" x14ac:dyDescent="0.25">
      <c r="A3772" t="s">
        <v>3776</v>
      </c>
      <c r="B3772">
        <v>0.99999676499088797</v>
      </c>
      <c r="C3772">
        <v>0.93196452799246998</v>
      </c>
      <c r="D3772">
        <v>0.93468614064415001</v>
      </c>
      <c r="E3772">
        <v>1.03064235997592</v>
      </c>
      <c r="F3772">
        <v>0.96999724001822396</v>
      </c>
      <c r="G3772">
        <v>0.75823224048835902</v>
      </c>
      <c r="H3772">
        <v>0.65459067870909504</v>
      </c>
      <c r="I3772">
        <v>0.79644891011813801</v>
      </c>
      <c r="J3772">
        <v>0.78556782665781499</v>
      </c>
      <c r="K3772">
        <v>0.75144419109271299</v>
      </c>
      <c r="L3772">
        <v>4423.6552345133996</v>
      </c>
      <c r="M3772">
        <v>81.131967162033305</v>
      </c>
      <c r="O3772">
        <v>54.491098221099797</v>
      </c>
      <c r="P3772">
        <v>-9.4044397742390595E-2</v>
      </c>
      <c r="Q3772">
        <v>0.74734587021214505</v>
      </c>
      <c r="R3772">
        <v>0.84640069010655306</v>
      </c>
      <c r="S3772" t="s">
        <v>10775</v>
      </c>
      <c r="T3772" t="s">
        <v>14004</v>
      </c>
      <c r="U3772" t="s">
        <v>14004</v>
      </c>
      <c r="V3772" t="s">
        <v>14004</v>
      </c>
      <c r="W3772" t="s">
        <v>17731</v>
      </c>
      <c r="X3772">
        <v>1</v>
      </c>
      <c r="Y3772" t="s">
        <v>24563</v>
      </c>
      <c r="Z3772" t="s">
        <v>31482</v>
      </c>
      <c r="AA3772">
        <v>0.86989578944771828</v>
      </c>
      <c r="AB3772" t="str">
        <f>HYPERLINK("Melting_Curves/meltCurve_Q15743_GPR68.pdf", "Melting_Curves/meltCurve_Q15743_GPR68.pdf")</f>
        <v>Melting_Curves/meltCurve_Q15743_GPR68.pdf</v>
      </c>
    </row>
    <row r="3773" spans="1:28" x14ac:dyDescent="0.25">
      <c r="A3773" t="s">
        <v>3777</v>
      </c>
      <c r="B3773">
        <v>0.99999676499088797</v>
      </c>
      <c r="C3773">
        <v>0.95966626440582603</v>
      </c>
      <c r="D3773">
        <v>0.84880534268111096</v>
      </c>
      <c r="E3773">
        <v>0.53524056885350502</v>
      </c>
      <c r="F3773">
        <v>0.329188600700004</v>
      </c>
      <c r="G3773">
        <v>0.24639842187571101</v>
      </c>
      <c r="H3773">
        <v>0.116719893379231</v>
      </c>
      <c r="I3773">
        <v>6.3689179169392304E-2</v>
      </c>
      <c r="J3773">
        <v>4.5670710833940503E-2</v>
      </c>
      <c r="K3773">
        <v>4.2021689175697999E-2</v>
      </c>
      <c r="L3773">
        <v>760.28883903605094</v>
      </c>
      <c r="M3773">
        <v>15.070981396424701</v>
      </c>
      <c r="N3773">
        <v>50.716681085450901</v>
      </c>
      <c r="O3773">
        <v>49.584015574078897</v>
      </c>
      <c r="P3773">
        <v>-7.3070504974909301E-2</v>
      </c>
      <c r="Q3773">
        <v>3.8478075771854303E-2</v>
      </c>
      <c r="R3773">
        <v>0.99420189186212404</v>
      </c>
      <c r="S3773" t="s">
        <v>10776</v>
      </c>
      <c r="T3773" t="s">
        <v>14004</v>
      </c>
      <c r="U3773" t="s">
        <v>14004</v>
      </c>
      <c r="V3773" t="s">
        <v>14004</v>
      </c>
      <c r="W3773" t="s">
        <v>17732</v>
      </c>
      <c r="X3773">
        <v>2</v>
      </c>
      <c r="Y3773" t="s">
        <v>24564</v>
      </c>
      <c r="Z3773" t="s">
        <v>31483</v>
      </c>
      <c r="AA3773">
        <v>0.39574060695151658</v>
      </c>
      <c r="AB3773" t="str">
        <f>HYPERLINK("Melting_Curves/meltCurve_Q15746_4_MYLK.pdf", "Melting_Curves/meltCurve_Q15746_4_MYLK.pdf")</f>
        <v>Melting_Curves/meltCurve_Q15746_4_MYLK.pdf</v>
      </c>
    </row>
    <row r="3774" spans="1:28" x14ac:dyDescent="0.25">
      <c r="A3774" t="s">
        <v>3778</v>
      </c>
      <c r="B3774">
        <v>0.99999676499088797</v>
      </c>
      <c r="C3774">
        <v>0.94739938812053603</v>
      </c>
      <c r="D3774">
        <v>0.78542502724374397</v>
      </c>
      <c r="E3774">
        <v>0.33475588823614699</v>
      </c>
      <c r="F3774">
        <v>0.27808170755988798</v>
      </c>
      <c r="G3774">
        <v>0.15602670428940599</v>
      </c>
      <c r="H3774">
        <v>8.7577889591903504E-2</v>
      </c>
      <c r="I3774">
        <v>6.97428345747899E-2</v>
      </c>
      <c r="J3774">
        <v>6.6826222968780394E-2</v>
      </c>
      <c r="K3774">
        <v>4.3079204318156997E-2</v>
      </c>
      <c r="L3774">
        <v>975.27928879645503</v>
      </c>
      <c r="M3774">
        <v>20.2089247154085</v>
      </c>
      <c r="N3774">
        <v>48.6597905784283</v>
      </c>
      <c r="O3774">
        <v>47.794732681418601</v>
      </c>
      <c r="P3774">
        <v>-9.7620967512185797E-2</v>
      </c>
      <c r="Q3774">
        <v>7.6522401001638193E-2</v>
      </c>
      <c r="R3774">
        <v>0.98691086583524301</v>
      </c>
      <c r="S3774" t="s">
        <v>10777</v>
      </c>
      <c r="T3774" t="s">
        <v>14004</v>
      </c>
      <c r="U3774" t="s">
        <v>14004</v>
      </c>
      <c r="V3774" t="s">
        <v>14004</v>
      </c>
      <c r="W3774" t="s">
        <v>17733</v>
      </c>
      <c r="X3774">
        <v>11</v>
      </c>
      <c r="Y3774" t="s">
        <v>24565</v>
      </c>
      <c r="Z3774" t="s">
        <v>31484</v>
      </c>
      <c r="AA3774">
        <v>0.34355950958188919</v>
      </c>
      <c r="AB3774" t="str">
        <f>HYPERLINK("Melting_Curves/meltCurve_Q15750_2_TAB1.pdf", "Melting_Curves/meltCurve_Q15750_2_TAB1.pdf")</f>
        <v>Melting_Curves/meltCurve_Q15750_2_TAB1.pdf</v>
      </c>
    </row>
    <row r="3775" spans="1:28" x14ac:dyDescent="0.25">
      <c r="A3775" t="s">
        <v>3779</v>
      </c>
      <c r="B3775">
        <v>0.99999676499088797</v>
      </c>
      <c r="C3775">
        <v>1.2855747494965499</v>
      </c>
      <c r="D3775">
        <v>1.1320652328865299</v>
      </c>
      <c r="E3775">
        <v>1.23413481102018</v>
      </c>
      <c r="F3775">
        <v>0.50622841508683503</v>
      </c>
      <c r="G3775">
        <v>0.214193726809981</v>
      </c>
      <c r="H3775">
        <v>0.21857237031659801</v>
      </c>
      <c r="I3775">
        <v>0.24198027864423799</v>
      </c>
      <c r="J3775">
        <v>0.27556509405405</v>
      </c>
      <c r="K3775">
        <v>5.0406160832599398E-2</v>
      </c>
      <c r="L3775">
        <v>13274.559209449</v>
      </c>
      <c r="M3775">
        <v>250</v>
      </c>
      <c r="N3775">
        <v>53.2070689016222</v>
      </c>
      <c r="O3775">
        <v>53.094840820698103</v>
      </c>
      <c r="P3775">
        <v>-0.94154218711368898</v>
      </c>
      <c r="Q3775">
        <v>0.200143509001073</v>
      </c>
      <c r="R3775">
        <v>0.91437365438644103</v>
      </c>
      <c r="S3775" t="s">
        <v>10778</v>
      </c>
      <c r="T3775" t="s">
        <v>14004</v>
      </c>
      <c r="U3775" t="s">
        <v>14004</v>
      </c>
      <c r="V3775" t="s">
        <v>14004</v>
      </c>
      <c r="W3775" t="s">
        <v>17734</v>
      </c>
      <c r="X3775">
        <v>1</v>
      </c>
      <c r="Y3775" t="s">
        <v>24566</v>
      </c>
      <c r="Z3775" t="s">
        <v>31485</v>
      </c>
      <c r="AA3775">
        <v>0.54944170340311371</v>
      </c>
      <c r="AB3775" t="str">
        <f>HYPERLINK("Melting_Curves/meltCurve_Q15751_HERC1.pdf", "Melting_Curves/meltCurve_Q15751_HERC1.pdf")</f>
        <v>Melting_Curves/meltCurve_Q15751_HERC1.pdf</v>
      </c>
    </row>
    <row r="3776" spans="1:28" x14ac:dyDescent="0.25">
      <c r="A3776" t="s">
        <v>3780</v>
      </c>
      <c r="B3776">
        <v>0.99999676499088797</v>
      </c>
      <c r="C3776">
        <v>1.02510802121869</v>
      </c>
      <c r="D3776">
        <v>1.04728510163449</v>
      </c>
      <c r="E3776">
        <v>0.96493165959260796</v>
      </c>
      <c r="F3776">
        <v>1.0162214599233299</v>
      </c>
      <c r="G3776">
        <v>0.87948276413585602</v>
      </c>
      <c r="H3776">
        <v>0.67809568543794096</v>
      </c>
      <c r="I3776">
        <v>0.68607516887367903</v>
      </c>
      <c r="J3776">
        <v>0.64952788766997505</v>
      </c>
      <c r="K3776">
        <v>0.77076641137467505</v>
      </c>
      <c r="L3776">
        <v>14223.8386154953</v>
      </c>
      <c r="M3776">
        <v>250</v>
      </c>
      <c r="O3776">
        <v>56.891713564485798</v>
      </c>
      <c r="P3776">
        <v>-0.33384004900130798</v>
      </c>
      <c r="Q3776">
        <v>0.69611628139856496</v>
      </c>
      <c r="R3776">
        <v>0.94598890605420105</v>
      </c>
      <c r="S3776" t="s">
        <v>10779</v>
      </c>
      <c r="T3776" t="s">
        <v>14004</v>
      </c>
      <c r="U3776" t="s">
        <v>14004</v>
      </c>
      <c r="V3776" t="s">
        <v>14004</v>
      </c>
      <c r="W3776" t="s">
        <v>17735</v>
      </c>
      <c r="X3776">
        <v>11</v>
      </c>
      <c r="Y3776" t="s">
        <v>24567</v>
      </c>
      <c r="Z3776" t="s">
        <v>31486</v>
      </c>
      <c r="AA3776">
        <v>0.86728739569467805</v>
      </c>
      <c r="AB3776" t="str">
        <f>HYPERLINK("Melting_Curves/meltCurve_Q15758_SLC1A5.pdf", "Melting_Curves/meltCurve_Q15758_SLC1A5.pdf")</f>
        <v>Melting_Curves/meltCurve_Q15758_SLC1A5.pdf</v>
      </c>
    </row>
    <row r="3777" spans="1:28" x14ac:dyDescent="0.25">
      <c r="A3777" t="s">
        <v>3781</v>
      </c>
      <c r="B3777">
        <v>0.99999676499088797</v>
      </c>
      <c r="C3777">
        <v>1.2481214962273399</v>
      </c>
      <c r="D3777">
        <v>1.4187922847460399</v>
      </c>
      <c r="E3777">
        <v>1.0166169181125499</v>
      </c>
      <c r="F3777">
        <v>0.40785191908205798</v>
      </c>
      <c r="G3777">
        <v>0.30100359187924902</v>
      </c>
      <c r="H3777">
        <v>0</v>
      </c>
      <c r="I3777">
        <v>9.7698958895064802E-2</v>
      </c>
      <c r="J3777">
        <v>0</v>
      </c>
      <c r="K3777">
        <v>0</v>
      </c>
      <c r="L3777">
        <v>1936.6811992083001</v>
      </c>
      <c r="M3777">
        <v>36.563769311443899</v>
      </c>
      <c r="N3777">
        <v>53.130533555226798</v>
      </c>
      <c r="O3777">
        <v>52.809528715945497</v>
      </c>
      <c r="P3777">
        <v>-0.163892621840599</v>
      </c>
      <c r="Q3777">
        <v>5.31538030169669E-2</v>
      </c>
      <c r="R3777">
        <v>0.89627900099555002</v>
      </c>
      <c r="S3777" t="s">
        <v>10780</v>
      </c>
      <c r="T3777" t="s">
        <v>14004</v>
      </c>
      <c r="U3777" t="s">
        <v>14004</v>
      </c>
      <c r="V3777" t="s">
        <v>14004</v>
      </c>
      <c r="W3777" t="s">
        <v>17736</v>
      </c>
      <c r="X3777">
        <v>1</v>
      </c>
      <c r="Y3777" t="s">
        <v>24568</v>
      </c>
      <c r="Z3777" t="s">
        <v>31487</v>
      </c>
      <c r="AA3777">
        <v>0.46656492957980239</v>
      </c>
      <c r="AB3777" t="str">
        <f>HYPERLINK("Melting_Curves/meltCurve_Q15759_MAPK11.pdf", "Melting_Curves/meltCurve_Q15759_MAPK11.pdf")</f>
        <v>Melting_Curves/meltCurve_Q15759_MAPK11.pdf</v>
      </c>
    </row>
    <row r="3778" spans="1:28" x14ac:dyDescent="0.25">
      <c r="A3778" t="s">
        <v>3782</v>
      </c>
      <c r="B3778">
        <v>0.99999676499088797</v>
      </c>
      <c r="C3778">
        <v>0.93984034609175204</v>
      </c>
      <c r="D3778">
        <v>0.95072629414114396</v>
      </c>
      <c r="E3778">
        <v>0.896995375272021</v>
      </c>
      <c r="F3778">
        <v>0.488956231800179</v>
      </c>
      <c r="G3778">
        <v>0.32513727436309497</v>
      </c>
      <c r="H3778">
        <v>0.116628535967959</v>
      </c>
      <c r="I3778">
        <v>9.5685402827209998E-2</v>
      </c>
      <c r="J3778">
        <v>9.0737768283741804E-2</v>
      </c>
      <c r="K3778">
        <v>4.2606524059157401E-2</v>
      </c>
      <c r="L3778">
        <v>1086.8161801797801</v>
      </c>
      <c r="M3778">
        <v>20.341234113697499</v>
      </c>
      <c r="N3778">
        <v>53.7627598136635</v>
      </c>
      <c r="O3778">
        <v>52.920884193623003</v>
      </c>
      <c r="P3778">
        <v>-9.0399117088302894E-2</v>
      </c>
      <c r="Q3778">
        <v>5.9279446659443201E-2</v>
      </c>
      <c r="R3778">
        <v>0.99083269736785495</v>
      </c>
      <c r="S3778" t="s">
        <v>10781</v>
      </c>
      <c r="T3778" t="s">
        <v>14004</v>
      </c>
      <c r="U3778" t="s">
        <v>14004</v>
      </c>
      <c r="V3778" t="s">
        <v>14004</v>
      </c>
      <c r="W3778" t="s">
        <v>17737</v>
      </c>
      <c r="X3778">
        <v>4</v>
      </c>
      <c r="Y3778" t="s">
        <v>24569</v>
      </c>
      <c r="Z3778" t="s">
        <v>31488</v>
      </c>
      <c r="AA3778">
        <v>0.49290780848357052</v>
      </c>
      <c r="AB3778" t="str">
        <f>HYPERLINK("Melting_Curves/meltCurve_Q15771_RAB30.pdf", "Melting_Curves/meltCurve_Q15771_RAB30.pdf")</f>
        <v>Melting_Curves/meltCurve_Q15771_RAB30.pdf</v>
      </c>
    </row>
    <row r="3779" spans="1:28" x14ac:dyDescent="0.25">
      <c r="A3779" t="s">
        <v>3783</v>
      </c>
      <c r="B3779">
        <v>0.99999676499088797</v>
      </c>
      <c r="C3779">
        <v>0.86792409629048906</v>
      </c>
      <c r="D3779">
        <v>0.51847949653148595</v>
      </c>
      <c r="E3779">
        <v>0.53803147921662897</v>
      </c>
      <c r="F3779">
        <v>0.416729769438895</v>
      </c>
      <c r="G3779">
        <v>0.44008497277134301</v>
      </c>
      <c r="H3779">
        <v>0.39397471661186301</v>
      </c>
      <c r="I3779">
        <v>1.1972683466237499</v>
      </c>
      <c r="J3779">
        <v>1.4634460835551699</v>
      </c>
      <c r="K3779">
        <v>1.92083829039562</v>
      </c>
      <c r="L3779">
        <v>10597.8489220436</v>
      </c>
      <c r="M3779">
        <v>250</v>
      </c>
      <c r="O3779">
        <v>42.388682972513003</v>
      </c>
      <c r="P3779">
        <v>-0.20479132550641399</v>
      </c>
      <c r="Q3779">
        <v>0.86110664717618801</v>
      </c>
      <c r="R3779">
        <v>7.0816377582233504E-3</v>
      </c>
      <c r="S3779" t="s">
        <v>10782</v>
      </c>
      <c r="T3779" t="s">
        <v>14004</v>
      </c>
      <c r="U3779" t="s">
        <v>14004</v>
      </c>
      <c r="V3779" t="s">
        <v>14004</v>
      </c>
      <c r="W3779" t="s">
        <v>17738</v>
      </c>
      <c r="X3779">
        <v>1</v>
      </c>
      <c r="Y3779" t="s">
        <v>24570</v>
      </c>
      <c r="Z3779" t="s">
        <v>31489</v>
      </c>
      <c r="AA3779">
        <v>0.87218861271193349</v>
      </c>
      <c r="AB3779" t="str">
        <f>HYPERLINK("Melting_Curves/meltCurve_Q15773_MLF2.pdf", "Melting_Curves/meltCurve_Q15773_MLF2.pdf")</f>
        <v>Melting_Curves/meltCurve_Q15773_MLF2.pdf</v>
      </c>
    </row>
    <row r="3780" spans="1:28" x14ac:dyDescent="0.25">
      <c r="A3780" t="s">
        <v>3784</v>
      </c>
      <c r="B3780">
        <v>0.99999676499088797</v>
      </c>
      <c r="C3780">
        <v>1.0702768250417301</v>
      </c>
      <c r="D3780">
        <v>0.92377424454950996</v>
      </c>
      <c r="E3780">
        <v>0.87227386350973202</v>
      </c>
      <c r="F3780">
        <v>0.82781803755952699</v>
      </c>
      <c r="G3780">
        <v>0.69891339388047002</v>
      </c>
      <c r="H3780">
        <v>0.43309193887604402</v>
      </c>
      <c r="I3780">
        <v>0.36772714334032802</v>
      </c>
      <c r="J3780">
        <v>0.222553366389733</v>
      </c>
      <c r="K3780">
        <v>0.14287433770292801</v>
      </c>
      <c r="L3780">
        <v>694.61614496481695</v>
      </c>
      <c r="M3780">
        <v>11.551935541588399</v>
      </c>
      <c r="N3780">
        <v>60.129849484175303</v>
      </c>
      <c r="O3780">
        <v>58.412652055553004</v>
      </c>
      <c r="P3780">
        <v>-4.9454877195765599E-2</v>
      </c>
      <c r="Q3780">
        <v>0</v>
      </c>
      <c r="R3780">
        <v>0.98489872662088795</v>
      </c>
      <c r="S3780" t="s">
        <v>10783</v>
      </c>
      <c r="T3780" t="s">
        <v>14004</v>
      </c>
      <c r="U3780" t="s">
        <v>14004</v>
      </c>
      <c r="V3780" t="s">
        <v>14004</v>
      </c>
      <c r="W3780" t="s">
        <v>17739</v>
      </c>
      <c r="X3780">
        <v>3</v>
      </c>
      <c r="Y3780" t="s">
        <v>24571</v>
      </c>
      <c r="Z3780" t="s">
        <v>31490</v>
      </c>
      <c r="AA3780">
        <v>0.671417657773411</v>
      </c>
      <c r="AB3780" t="str">
        <f>HYPERLINK("Melting_Curves/meltCurve_Q15777_2_MPPED2.pdf", "Melting_Curves/meltCurve_Q15777_2_MPPED2.pdf")</f>
        <v>Melting_Curves/meltCurve_Q15777_2_MPPED2.pdf</v>
      </c>
    </row>
    <row r="3781" spans="1:28" x14ac:dyDescent="0.25">
      <c r="A3781" t="s">
        <v>3785</v>
      </c>
      <c r="B3781">
        <v>0.99999676499088797</v>
      </c>
      <c r="C3781">
        <v>0.85163651050184996</v>
      </c>
      <c r="D3781">
        <v>0.54255254348551596</v>
      </c>
      <c r="E3781">
        <v>0.201473205615948</v>
      </c>
      <c r="F3781">
        <v>0.135465883930874</v>
      </c>
      <c r="G3781">
        <v>8.3791624012736501E-2</v>
      </c>
      <c r="H3781">
        <v>4.4821840680046202E-2</v>
      </c>
      <c r="I3781">
        <v>4.2292488031098197E-2</v>
      </c>
      <c r="J3781">
        <v>4.16521825314057E-2</v>
      </c>
      <c r="K3781">
        <v>4.1763986882651503E-2</v>
      </c>
      <c r="L3781">
        <v>1034.82251391504</v>
      </c>
      <c r="M3781">
        <v>22.418690399422101</v>
      </c>
      <c r="N3781">
        <v>46.382478255569502</v>
      </c>
      <c r="O3781">
        <v>45.796357149846898</v>
      </c>
      <c r="P3781">
        <v>-0.11611764804827999</v>
      </c>
      <c r="Q3781">
        <v>5.1210420689032997E-2</v>
      </c>
      <c r="R3781">
        <v>0.99725686230773702</v>
      </c>
      <c r="S3781" t="s">
        <v>10784</v>
      </c>
      <c r="T3781" t="s">
        <v>14004</v>
      </c>
      <c r="U3781" t="s">
        <v>14004</v>
      </c>
      <c r="V3781" t="s">
        <v>14004</v>
      </c>
      <c r="W3781" t="s">
        <v>17740</v>
      </c>
      <c r="X3781">
        <v>15</v>
      </c>
      <c r="Y3781" t="s">
        <v>24572</v>
      </c>
      <c r="Z3781" t="s">
        <v>31491</v>
      </c>
      <c r="AA3781">
        <v>0.257165010600793</v>
      </c>
      <c r="AB3781" t="str">
        <f>HYPERLINK("Melting_Curves/meltCurve_Q15785_TOMM34.pdf", "Melting_Curves/meltCurve_Q15785_TOMM34.pdf")</f>
        <v>Melting_Curves/meltCurve_Q15785_TOMM34.pdf</v>
      </c>
    </row>
    <row r="3782" spans="1:28" x14ac:dyDescent="0.25">
      <c r="A3782" t="s">
        <v>3786</v>
      </c>
      <c r="B3782">
        <v>0.99999676499088797</v>
      </c>
      <c r="C3782">
        <v>0.99297443016364195</v>
      </c>
      <c r="D3782">
        <v>0.897622184503715</v>
      </c>
      <c r="E3782">
        <v>0.49002176045071899</v>
      </c>
      <c r="F3782">
        <v>0.19569218787112899</v>
      </c>
      <c r="G3782">
        <v>0.12889050037570501</v>
      </c>
      <c r="H3782">
        <v>6.5680107226614895E-2</v>
      </c>
      <c r="I3782">
        <v>6.4690491474456102E-2</v>
      </c>
      <c r="J3782">
        <v>5.5925828795795898E-2</v>
      </c>
      <c r="K3782">
        <v>5.5952450483412103E-2</v>
      </c>
      <c r="L3782">
        <v>1299.89567305886</v>
      </c>
      <c r="M3782">
        <v>26.328647193305699</v>
      </c>
      <c r="N3782">
        <v>49.640350500697203</v>
      </c>
      <c r="O3782">
        <v>49.089732673772197</v>
      </c>
      <c r="P3782">
        <v>-0.125188925643024</v>
      </c>
      <c r="Q3782">
        <v>6.6351854640772701E-2</v>
      </c>
      <c r="R3782">
        <v>0.99865069060005596</v>
      </c>
      <c r="S3782" t="s">
        <v>10785</v>
      </c>
      <c r="T3782" t="s">
        <v>14004</v>
      </c>
      <c r="U3782" t="s">
        <v>14004</v>
      </c>
      <c r="V3782" t="s">
        <v>14004</v>
      </c>
      <c r="W3782" t="s">
        <v>17741</v>
      </c>
      <c r="X3782">
        <v>15</v>
      </c>
      <c r="Y3782" t="s">
        <v>24573</v>
      </c>
      <c r="Z3782" t="s">
        <v>31492</v>
      </c>
      <c r="AA3782">
        <v>0.36548460924196507</v>
      </c>
      <c r="AB3782" t="str">
        <f>HYPERLINK("Melting_Curves/meltCurve_Q15796_2_SMAD2.pdf", "Melting_Curves/meltCurve_Q15796_2_SMAD2.pdf")</f>
        <v>Melting_Curves/meltCurve_Q15796_2_SMAD2.pdf</v>
      </c>
    </row>
    <row r="3783" spans="1:28" x14ac:dyDescent="0.25">
      <c r="A3783" t="s">
        <v>3787</v>
      </c>
      <c r="B3783">
        <v>0.99999676499088797</v>
      </c>
      <c r="C3783">
        <v>0.92597902092022399</v>
      </c>
      <c r="D3783">
        <v>0.97605660886061996</v>
      </c>
      <c r="E3783">
        <v>1.18855381629112</v>
      </c>
      <c r="F3783">
        <v>1.0549779377388999</v>
      </c>
      <c r="G3783">
        <v>0.79636810731723395</v>
      </c>
      <c r="H3783">
        <v>0.56248411157683798</v>
      </c>
      <c r="I3783">
        <v>0.23987541350754099</v>
      </c>
      <c r="J3783">
        <v>0.141911727072938</v>
      </c>
      <c r="K3783">
        <v>0.120241054399191</v>
      </c>
      <c r="L3783">
        <v>1583.71396286549</v>
      </c>
      <c r="M3783">
        <v>26.1278932428174</v>
      </c>
      <c r="N3783">
        <v>61.023674157845598</v>
      </c>
      <c r="O3783">
        <v>60.2622072940528</v>
      </c>
      <c r="P3783">
        <v>-9.9672815891251404E-2</v>
      </c>
      <c r="Q3783">
        <v>8.0456416454502702E-2</v>
      </c>
      <c r="R3783">
        <v>0.96194710743845002</v>
      </c>
      <c r="S3783" t="s">
        <v>10786</v>
      </c>
      <c r="T3783" t="s">
        <v>14004</v>
      </c>
      <c r="U3783" t="s">
        <v>14004</v>
      </c>
      <c r="V3783" t="s">
        <v>14004</v>
      </c>
      <c r="W3783" t="s">
        <v>17742</v>
      </c>
      <c r="X3783">
        <v>2</v>
      </c>
      <c r="Y3783" t="s">
        <v>24574</v>
      </c>
      <c r="Z3783" t="s">
        <v>31493</v>
      </c>
      <c r="AA3783">
        <v>0.71834337617203237</v>
      </c>
      <c r="AB3783" t="str">
        <f>HYPERLINK("Melting_Curves/meltCurve_Q15800_MSMO1.pdf", "Melting_Curves/meltCurve_Q15800_MSMO1.pdf")</f>
        <v>Melting_Curves/meltCurve_Q15800_MSMO1.pdf</v>
      </c>
    </row>
    <row r="3784" spans="1:28" x14ac:dyDescent="0.25">
      <c r="A3784" t="s">
        <v>3788</v>
      </c>
      <c r="B3784">
        <v>0.99999676499088797</v>
      </c>
      <c r="C3784">
        <v>0.93999165739080603</v>
      </c>
      <c r="D3784">
        <v>0.76445632850944401</v>
      </c>
      <c r="E3784">
        <v>0.267130844865484</v>
      </c>
      <c r="F3784">
        <v>0.17887168153455399</v>
      </c>
      <c r="G3784">
        <v>0.14279760321535001</v>
      </c>
      <c r="H3784">
        <v>7.4072994355209004E-2</v>
      </c>
      <c r="I3784">
        <v>7.2462087147060594E-2</v>
      </c>
      <c r="J3784">
        <v>6.30775142504163E-2</v>
      </c>
      <c r="K3784">
        <v>5.9833699009085903E-2</v>
      </c>
      <c r="L3784">
        <v>1345.56498456539</v>
      </c>
      <c r="M3784">
        <v>28.307172402049101</v>
      </c>
      <c r="N3784">
        <v>47.851476765419903</v>
      </c>
      <c r="O3784">
        <v>47.299086465257297</v>
      </c>
      <c r="P3784">
        <v>-0.13682589512726401</v>
      </c>
      <c r="Q3784">
        <v>8.5505732248693095E-2</v>
      </c>
      <c r="R3784">
        <v>0.99376061316277897</v>
      </c>
      <c r="S3784" t="s">
        <v>10787</v>
      </c>
      <c r="T3784" t="s">
        <v>14004</v>
      </c>
      <c r="U3784" t="s">
        <v>14004</v>
      </c>
      <c r="V3784" t="s">
        <v>14004</v>
      </c>
      <c r="W3784" t="s">
        <v>14237</v>
      </c>
      <c r="X3784">
        <v>26</v>
      </c>
      <c r="Y3784" t="s">
        <v>21174</v>
      </c>
      <c r="Z3784" t="s">
        <v>31494</v>
      </c>
      <c r="AA3784">
        <v>0.32138560996790472</v>
      </c>
      <c r="AB3784" t="str">
        <f>HYPERLINK("Melting_Curves/meltCurve_Q15813_TBCE.pdf", "Melting_Curves/meltCurve_Q15813_TBCE.pdf")</f>
        <v>Melting_Curves/meltCurve_Q15813_TBCE.pdf</v>
      </c>
    </row>
    <row r="3785" spans="1:28" x14ac:dyDescent="0.25">
      <c r="A3785" t="s">
        <v>3789</v>
      </c>
      <c r="B3785">
        <v>0.99999676499088797</v>
      </c>
      <c r="C3785">
        <v>0.96675985307593504</v>
      </c>
      <c r="D3785">
        <v>0.89462527407412096</v>
      </c>
      <c r="E3785">
        <v>0.75036842459876596</v>
      </c>
      <c r="F3785">
        <v>0.38076827415752201</v>
      </c>
      <c r="G3785">
        <v>0.194066371262687</v>
      </c>
      <c r="H3785">
        <v>7.8359992615999394E-2</v>
      </c>
      <c r="I3785">
        <v>8.0136537686485904E-2</v>
      </c>
      <c r="J3785">
        <v>7.5395233065318895E-2</v>
      </c>
      <c r="K3785">
        <v>6.1322861497690902E-2</v>
      </c>
      <c r="L3785">
        <v>1057.52567551321</v>
      </c>
      <c r="M3785">
        <v>20.451641508347301</v>
      </c>
      <c r="N3785">
        <v>52.011643151764602</v>
      </c>
      <c r="O3785">
        <v>51.2218359164616</v>
      </c>
      <c r="P3785">
        <v>-9.4215172058835395E-2</v>
      </c>
      <c r="Q3785">
        <v>5.6167637005759503E-2</v>
      </c>
      <c r="R3785">
        <v>0.997724767752597</v>
      </c>
      <c r="S3785" t="s">
        <v>10788</v>
      </c>
      <c r="T3785" t="s">
        <v>14004</v>
      </c>
      <c r="U3785" t="s">
        <v>14004</v>
      </c>
      <c r="V3785" t="s">
        <v>14004</v>
      </c>
      <c r="W3785" t="s">
        <v>17743</v>
      </c>
      <c r="X3785">
        <v>8</v>
      </c>
      <c r="Y3785" t="s">
        <v>24575</v>
      </c>
      <c r="Z3785" t="s">
        <v>31495</v>
      </c>
      <c r="AA3785">
        <v>0.43708679127278338</v>
      </c>
      <c r="AB3785" t="str">
        <f>HYPERLINK("Melting_Curves/meltCurve_Q15814_TBCC.pdf", "Melting_Curves/meltCurve_Q15814_TBCC.pdf")</f>
        <v>Melting_Curves/meltCurve_Q15814_TBCC.pdf</v>
      </c>
    </row>
    <row r="3786" spans="1:28" x14ac:dyDescent="0.25">
      <c r="A3786" t="s">
        <v>3790</v>
      </c>
      <c r="B3786">
        <v>0.99999676499088797</v>
      </c>
      <c r="C3786">
        <v>0.95918618314160697</v>
      </c>
      <c r="D3786">
        <v>0.93473510361897305</v>
      </c>
      <c r="E3786">
        <v>0.98468324512190397</v>
      </c>
      <c r="F3786">
        <v>0.51266030888885805</v>
      </c>
      <c r="G3786">
        <v>0.28801648081344</v>
      </c>
      <c r="H3786">
        <v>0.16402649847763501</v>
      </c>
      <c r="I3786">
        <v>0.181300801072801</v>
      </c>
      <c r="J3786">
        <v>0.16261079142923299</v>
      </c>
      <c r="K3786">
        <v>0.18769780329777799</v>
      </c>
      <c r="L3786">
        <v>2072.09809474239</v>
      </c>
      <c r="M3786">
        <v>39.222017265096603</v>
      </c>
      <c r="N3786">
        <v>53.4507608818245</v>
      </c>
      <c r="O3786">
        <v>52.6932007180786</v>
      </c>
      <c r="P3786">
        <v>-0.15204344752153101</v>
      </c>
      <c r="Q3786">
        <v>0.182944869131315</v>
      </c>
      <c r="R3786">
        <v>0.99093552387095096</v>
      </c>
      <c r="S3786" t="s">
        <v>10789</v>
      </c>
      <c r="T3786" t="s">
        <v>14004</v>
      </c>
      <c r="U3786" t="s">
        <v>14004</v>
      </c>
      <c r="V3786" t="s">
        <v>14004</v>
      </c>
      <c r="W3786" t="s">
        <v>17744</v>
      </c>
      <c r="X3786">
        <v>14</v>
      </c>
      <c r="Y3786" t="s">
        <v>24576</v>
      </c>
      <c r="Z3786" t="s">
        <v>31496</v>
      </c>
      <c r="AA3786">
        <v>0.53547207116510165</v>
      </c>
      <c r="AB3786" t="str">
        <f>HYPERLINK("Melting_Curves/meltCurve_Q15819_UBE2V2.pdf", "Melting_Curves/meltCurve_Q15819_UBE2V2.pdf")</f>
        <v>Melting_Curves/meltCurve_Q15819_UBE2V2.pdf</v>
      </c>
    </row>
    <row r="3787" spans="1:28" x14ac:dyDescent="0.25">
      <c r="A3787" t="s">
        <v>3791</v>
      </c>
      <c r="B3787">
        <v>0.99999676499088797</v>
      </c>
      <c r="C3787">
        <v>0.94485456703709303</v>
      </c>
      <c r="D3787">
        <v>0.86610776721137195</v>
      </c>
      <c r="E3787">
        <v>0.88383357929152695</v>
      </c>
      <c r="F3787">
        <v>0.73842690584472204</v>
      </c>
      <c r="G3787">
        <v>0.59449077806769501</v>
      </c>
      <c r="H3787">
        <v>0.28934667810554399</v>
      </c>
      <c r="I3787">
        <v>0.15259025433779999</v>
      </c>
      <c r="J3787">
        <v>0.10822317698416099</v>
      </c>
      <c r="K3787">
        <v>6.7923188407559898E-2</v>
      </c>
      <c r="L3787">
        <v>794.50667386651196</v>
      </c>
      <c r="M3787">
        <v>13.873161361828201</v>
      </c>
      <c r="N3787">
        <v>57.269331290592099</v>
      </c>
      <c r="O3787">
        <v>56.118728029872798</v>
      </c>
      <c r="P3787">
        <v>-6.1811175437754398E-2</v>
      </c>
      <c r="Q3787">
        <v>0</v>
      </c>
      <c r="R3787">
        <v>0.98516835485808196</v>
      </c>
      <c r="S3787" t="s">
        <v>10790</v>
      </c>
      <c r="T3787" t="s">
        <v>14004</v>
      </c>
      <c r="U3787" t="s">
        <v>14004</v>
      </c>
      <c r="V3787" t="s">
        <v>14004</v>
      </c>
      <c r="W3787" t="s">
        <v>17745</v>
      </c>
      <c r="X3787">
        <v>5</v>
      </c>
      <c r="Y3787" t="s">
        <v>24577</v>
      </c>
      <c r="Z3787" t="s">
        <v>31497</v>
      </c>
      <c r="AA3787">
        <v>0.5913211058588097</v>
      </c>
      <c r="AB3787" t="str">
        <f>HYPERLINK("Melting_Curves/meltCurve_Q15831_2_STK11.pdf", "Melting_Curves/meltCurve_Q15831_2_STK11.pdf")</f>
        <v>Melting_Curves/meltCurve_Q15831_2_STK11.pdf</v>
      </c>
    </row>
    <row r="3788" spans="1:28" x14ac:dyDescent="0.25">
      <c r="A3788" t="s">
        <v>3792</v>
      </c>
      <c r="B3788">
        <v>0.99999676499088797</v>
      </c>
      <c r="C3788">
        <v>0.97477736293735795</v>
      </c>
      <c r="D3788">
        <v>0.76716933224544803</v>
      </c>
      <c r="E3788">
        <v>0.254503295070026</v>
      </c>
      <c r="F3788">
        <v>0.169336962364</v>
      </c>
      <c r="G3788">
        <v>0.10517097164696</v>
      </c>
      <c r="H3788">
        <v>5.7102083734817503E-2</v>
      </c>
      <c r="I3788">
        <v>4.9208583868210899E-2</v>
      </c>
      <c r="J3788">
        <v>4.6062160700894202E-2</v>
      </c>
      <c r="K3788">
        <v>4.5392688592260498E-2</v>
      </c>
      <c r="L3788">
        <v>1428.1599932941499</v>
      </c>
      <c r="M3788">
        <v>30.0009577897812</v>
      </c>
      <c r="N3788">
        <v>47.834304798678602</v>
      </c>
      <c r="O3788">
        <v>47.393808090657501</v>
      </c>
      <c r="P3788">
        <v>-0.14760408264766101</v>
      </c>
      <c r="Q3788">
        <v>6.7299912029551698E-2</v>
      </c>
      <c r="R3788">
        <v>0.99491606629186802</v>
      </c>
      <c r="S3788" t="s">
        <v>10791</v>
      </c>
      <c r="T3788" t="s">
        <v>14004</v>
      </c>
      <c r="U3788" t="s">
        <v>14004</v>
      </c>
      <c r="V3788" t="s">
        <v>14004</v>
      </c>
      <c r="W3788" t="s">
        <v>17746</v>
      </c>
      <c r="X3788">
        <v>22</v>
      </c>
      <c r="Y3788" t="s">
        <v>24578</v>
      </c>
      <c r="Z3788" t="s">
        <v>31498</v>
      </c>
      <c r="AA3788">
        <v>0.30930020071262793</v>
      </c>
      <c r="AB3788" t="str">
        <f>HYPERLINK("Melting_Curves/meltCurve_Q15833_STXBP2.pdf", "Melting_Curves/meltCurve_Q15833_STXBP2.pdf")</f>
        <v>Melting_Curves/meltCurve_Q15833_STXBP2.pdf</v>
      </c>
    </row>
    <row r="3789" spans="1:28" x14ac:dyDescent="0.25">
      <c r="A3789" t="s">
        <v>3793</v>
      </c>
      <c r="B3789">
        <v>0.99999676499088797</v>
      </c>
      <c r="C3789">
        <v>0.888817306036494</v>
      </c>
      <c r="D3789">
        <v>0.89110576778058603</v>
      </c>
      <c r="E3789">
        <v>0.68929431328123103</v>
      </c>
      <c r="F3789">
        <v>0.72835968649821203</v>
      </c>
      <c r="G3789">
        <v>0.57799727492977004</v>
      </c>
      <c r="H3789">
        <v>0.41395305402959098</v>
      </c>
      <c r="I3789">
        <v>0.40806003843347199</v>
      </c>
      <c r="J3789">
        <v>0.47368208937339001</v>
      </c>
      <c r="K3789">
        <v>0.43660550622188399</v>
      </c>
      <c r="L3789">
        <v>517.25140322648895</v>
      </c>
      <c r="M3789">
        <v>9.9720901537174598</v>
      </c>
      <c r="N3789">
        <v>59.9804530202208</v>
      </c>
      <c r="O3789">
        <v>49.913375800741697</v>
      </c>
      <c r="P3789">
        <v>-3.1473302358306997E-2</v>
      </c>
      <c r="Q3789">
        <v>0.37017542461014302</v>
      </c>
      <c r="R3789">
        <v>0.94298698408958703</v>
      </c>
      <c r="S3789" t="s">
        <v>10792</v>
      </c>
      <c r="T3789" t="s">
        <v>14004</v>
      </c>
      <c r="U3789" t="s">
        <v>14004</v>
      </c>
      <c r="V3789" t="s">
        <v>14004</v>
      </c>
      <c r="W3789" t="s">
        <v>17747</v>
      </c>
      <c r="X3789">
        <v>6</v>
      </c>
      <c r="Y3789" t="s">
        <v>24579</v>
      </c>
      <c r="Z3789" t="s">
        <v>31499</v>
      </c>
      <c r="AA3789">
        <v>0.64366126269259893</v>
      </c>
      <c r="AB3789" t="str">
        <f>HYPERLINK("Melting_Curves/meltCurve_Q15836_VAMP3.pdf", "Melting_Curves/meltCurve_Q15836_VAMP3.pdf")</f>
        <v>Melting_Curves/meltCurve_Q15836_VAMP3.pdf</v>
      </c>
    </row>
    <row r="3790" spans="1:28" x14ac:dyDescent="0.25">
      <c r="A3790" t="s">
        <v>3794</v>
      </c>
      <c r="B3790">
        <v>0.99999676499088797</v>
      </c>
      <c r="C3790">
        <v>1.0858683543072001</v>
      </c>
      <c r="D3790">
        <v>1.03273897899241</v>
      </c>
      <c r="E3790">
        <v>0.90697870942993797</v>
      </c>
      <c r="F3790">
        <v>0.64488025029695595</v>
      </c>
      <c r="G3790">
        <v>0.67355691111362603</v>
      </c>
      <c r="H3790">
        <v>0.41861209376191</v>
      </c>
      <c r="I3790">
        <v>0.44234042230588</v>
      </c>
      <c r="J3790">
        <v>0.424178392139899</v>
      </c>
      <c r="K3790">
        <v>0.54482822186123903</v>
      </c>
      <c r="L3790">
        <v>1171.8562837015199</v>
      </c>
      <c r="M3790">
        <v>22.184155090075301</v>
      </c>
      <c r="N3790">
        <v>59.880376122110199</v>
      </c>
      <c r="O3790">
        <v>52.400398990300303</v>
      </c>
      <c r="P3790">
        <v>-5.6796135756000302E-2</v>
      </c>
      <c r="Q3790">
        <v>0.46338705903326699</v>
      </c>
      <c r="R3790">
        <v>0.932567617222959</v>
      </c>
      <c r="S3790" t="s">
        <v>10793</v>
      </c>
      <c r="T3790" t="s">
        <v>14004</v>
      </c>
      <c r="U3790" t="s">
        <v>14004</v>
      </c>
      <c r="V3790" t="s">
        <v>14004</v>
      </c>
      <c r="W3790" t="s">
        <v>17748</v>
      </c>
      <c r="X3790">
        <v>4</v>
      </c>
      <c r="Y3790" t="s">
        <v>24580</v>
      </c>
      <c r="Z3790" t="s">
        <v>31500</v>
      </c>
      <c r="AA3790">
        <v>0.6989260057257447</v>
      </c>
      <c r="AB3790" t="str">
        <f>HYPERLINK("Melting_Curves/meltCurve_Q15853_2_USF2.pdf", "Melting_Curves/meltCurve_Q15853_2_USF2.pdf")</f>
        <v>Melting_Curves/meltCurve_Q15853_2_USF2.pdf</v>
      </c>
    </row>
    <row r="3791" spans="1:28" x14ac:dyDescent="0.25">
      <c r="A3791" t="s">
        <v>3795</v>
      </c>
      <c r="B3791">
        <v>0.99999676499088797</v>
      </c>
      <c r="C3791">
        <v>0.90492597867843305</v>
      </c>
      <c r="D3791">
        <v>0.86297193060352895</v>
      </c>
      <c r="E3791">
        <v>0.83723172581124805</v>
      </c>
      <c r="F3791">
        <v>0.725301186168405</v>
      </c>
      <c r="G3791">
        <v>0.56797687809029196</v>
      </c>
      <c r="H3791">
        <v>0.41678476412961002</v>
      </c>
      <c r="I3791">
        <v>0.37694097043789299</v>
      </c>
      <c r="J3791">
        <v>0.26395594662000599</v>
      </c>
      <c r="K3791">
        <v>0.28238471479507798</v>
      </c>
      <c r="L3791">
        <v>468.89333787943502</v>
      </c>
      <c r="M3791">
        <v>8.0914250601706108</v>
      </c>
      <c r="N3791">
        <v>58.979609181982298</v>
      </c>
      <c r="O3791">
        <v>54.731873771647599</v>
      </c>
      <c r="P3791">
        <v>-3.4561235752740498E-2</v>
      </c>
      <c r="Q3791">
        <v>6.5898522129816603E-2</v>
      </c>
      <c r="R3791">
        <v>0.98748267751256702</v>
      </c>
      <c r="S3791" t="s">
        <v>10794</v>
      </c>
      <c r="T3791" t="s">
        <v>14004</v>
      </c>
      <c r="U3791" t="s">
        <v>14004</v>
      </c>
      <c r="V3791" t="s">
        <v>14004</v>
      </c>
      <c r="W3791" t="s">
        <v>17749</v>
      </c>
      <c r="X3791">
        <v>6</v>
      </c>
      <c r="Y3791" t="s">
        <v>24581</v>
      </c>
      <c r="Z3791" t="s">
        <v>31501</v>
      </c>
      <c r="AA3791">
        <v>0.62891159992889234</v>
      </c>
      <c r="AB3791" t="str">
        <f>HYPERLINK("Melting_Curves/meltCurve_Q15904_ATP6AP1.pdf", "Melting_Curves/meltCurve_Q15904_ATP6AP1.pdf")</f>
        <v>Melting_Curves/meltCurve_Q15904_ATP6AP1.pdf</v>
      </c>
    </row>
    <row r="3792" spans="1:28" x14ac:dyDescent="0.25">
      <c r="A3792" t="s">
        <v>3796</v>
      </c>
      <c r="B3792">
        <v>0.99999676499088797</v>
      </c>
      <c r="C3792">
        <v>0.88632324069637702</v>
      </c>
      <c r="D3792">
        <v>0.82135674017445404</v>
      </c>
      <c r="E3792">
        <v>0.59927346068589804</v>
      </c>
      <c r="F3792">
        <v>0.38347965524087801</v>
      </c>
      <c r="G3792">
        <v>0.29736350748714002</v>
      </c>
      <c r="H3792">
        <v>0.229314866133873</v>
      </c>
      <c r="I3792">
        <v>0.30612711917385399</v>
      </c>
      <c r="J3792">
        <v>0.33016080608236498</v>
      </c>
      <c r="K3792">
        <v>0.40592054126713201</v>
      </c>
      <c r="L3792">
        <v>970.89038683120498</v>
      </c>
      <c r="M3792">
        <v>20.0849743871435</v>
      </c>
      <c r="N3792">
        <v>50.709699449583503</v>
      </c>
      <c r="O3792">
        <v>47.867604450511202</v>
      </c>
      <c r="P3792">
        <v>-7.2961804947019496E-2</v>
      </c>
      <c r="Q3792">
        <v>0.30447609694845601</v>
      </c>
      <c r="R3792">
        <v>0.96445559041295403</v>
      </c>
      <c r="S3792" t="s">
        <v>10795</v>
      </c>
      <c r="T3792" t="s">
        <v>14004</v>
      </c>
      <c r="U3792" t="s">
        <v>14004</v>
      </c>
      <c r="V3792" t="s">
        <v>14004</v>
      </c>
      <c r="W3792" t="s">
        <v>17750</v>
      </c>
      <c r="X3792">
        <v>6</v>
      </c>
      <c r="Y3792" t="s">
        <v>24582</v>
      </c>
      <c r="Z3792" t="s">
        <v>31502</v>
      </c>
      <c r="AA3792">
        <v>0.50754833688821643</v>
      </c>
      <c r="AB3792" t="str">
        <f>HYPERLINK("Melting_Curves/meltCurve_Q15906_VPS72.pdf", "Melting_Curves/meltCurve_Q15906_VPS72.pdf")</f>
        <v>Melting_Curves/meltCurve_Q15906_VPS72.pdf</v>
      </c>
    </row>
    <row r="3793" spans="1:28" x14ac:dyDescent="0.25">
      <c r="A3793" t="s">
        <v>3797</v>
      </c>
      <c r="B3793">
        <v>0.99999676499088797</v>
      </c>
      <c r="C3793">
        <v>1.06632243856151</v>
      </c>
      <c r="D3793">
        <v>0.98648268172023501</v>
      </c>
      <c r="E3793">
        <v>0.94767610496597798</v>
      </c>
      <c r="F3793">
        <v>0.92167182067366704</v>
      </c>
      <c r="G3793">
        <v>0.84500404914190297</v>
      </c>
      <c r="H3793">
        <v>0.493164704155303</v>
      </c>
      <c r="I3793">
        <v>0.317965818280524</v>
      </c>
      <c r="J3793">
        <v>0.14377992678148799</v>
      </c>
      <c r="K3793">
        <v>0.10644695922773</v>
      </c>
      <c r="L3793">
        <v>1210.8732924764699</v>
      </c>
      <c r="M3793">
        <v>19.902851747095301</v>
      </c>
      <c r="N3793">
        <v>61.039591690658703</v>
      </c>
      <c r="O3793">
        <v>60.234992276899298</v>
      </c>
      <c r="P3793">
        <v>-7.99950688854877E-2</v>
      </c>
      <c r="Q3793">
        <v>3.1627873118187398E-2</v>
      </c>
      <c r="R3793">
        <v>0.992419109562516</v>
      </c>
      <c r="S3793" t="s">
        <v>10796</v>
      </c>
      <c r="T3793" t="s">
        <v>14004</v>
      </c>
      <c r="U3793" t="s">
        <v>14004</v>
      </c>
      <c r="V3793" t="s">
        <v>14004</v>
      </c>
      <c r="W3793" t="s">
        <v>17751</v>
      </c>
      <c r="X3793">
        <v>23</v>
      </c>
      <c r="Y3793" t="s">
        <v>24583</v>
      </c>
      <c r="Z3793" t="s">
        <v>31503</v>
      </c>
      <c r="AA3793">
        <v>0.71056054879514052</v>
      </c>
      <c r="AB3793" t="str">
        <f>HYPERLINK("Melting_Curves/meltCurve_Q15907_RAB11B.pdf", "Melting_Curves/meltCurve_Q15907_RAB11B.pdf")</f>
        <v>Melting_Curves/meltCurve_Q15907_RAB11B.pdf</v>
      </c>
    </row>
    <row r="3794" spans="1:28" x14ac:dyDescent="0.25">
      <c r="A3794" t="s">
        <v>3798</v>
      </c>
      <c r="B3794">
        <v>0.99999676499088797</v>
      </c>
      <c r="C3794">
        <v>0.89136002091704103</v>
      </c>
      <c r="D3794">
        <v>0.66460123156324302</v>
      </c>
      <c r="E3794">
        <v>0.350498318926107</v>
      </c>
      <c r="F3794">
        <v>0.22170668423037099</v>
      </c>
      <c r="G3794">
        <v>0.17140276429649201</v>
      </c>
      <c r="H3794">
        <v>8.8611066102439601E-2</v>
      </c>
      <c r="I3794">
        <v>0.10058889423928701</v>
      </c>
      <c r="J3794">
        <v>0.12068461392594</v>
      </c>
      <c r="K3794">
        <v>9.6893523496043299E-2</v>
      </c>
      <c r="L3794">
        <v>899.33931954937702</v>
      </c>
      <c r="M3794">
        <v>19.022806558064499</v>
      </c>
      <c r="N3794">
        <v>47.870921568582197</v>
      </c>
      <c r="O3794">
        <v>46.763739182208298</v>
      </c>
      <c r="P3794">
        <v>-9.1008492704344995E-2</v>
      </c>
      <c r="Q3794">
        <v>0.10513129390654601</v>
      </c>
      <c r="R3794">
        <v>0.99675003417654395</v>
      </c>
      <c r="S3794" t="s">
        <v>10797</v>
      </c>
      <c r="T3794" t="s">
        <v>14004</v>
      </c>
      <c r="U3794" t="s">
        <v>14004</v>
      </c>
      <c r="V3794" t="s">
        <v>14004</v>
      </c>
      <c r="W3794" t="s">
        <v>17752</v>
      </c>
      <c r="X3794">
        <v>6</v>
      </c>
      <c r="Y3794" t="s">
        <v>24584</v>
      </c>
      <c r="Z3794" t="s">
        <v>31504</v>
      </c>
      <c r="AA3794">
        <v>0.33665678216851269</v>
      </c>
      <c r="AB3794" t="str">
        <f>HYPERLINK("Melting_Curves/meltCurve_Q15910_EZH2.pdf", "Melting_Curves/meltCurve_Q15910_EZH2.pdf")</f>
        <v>Melting_Curves/meltCurve_Q15910_EZH2.pdf</v>
      </c>
    </row>
    <row r="3795" spans="1:28" x14ac:dyDescent="0.25">
      <c r="A3795" t="s">
        <v>3799</v>
      </c>
      <c r="B3795">
        <v>0.99999676499088797</v>
      </c>
      <c r="C3795">
        <v>0.98399257928549499</v>
      </c>
      <c r="D3795">
        <v>1.0318674385009801</v>
      </c>
      <c r="E3795">
        <v>0.90059876312691201</v>
      </c>
      <c r="F3795">
        <v>0.81397851623407502</v>
      </c>
      <c r="G3795">
        <v>0.70614526028921698</v>
      </c>
      <c r="H3795">
        <v>0.437803414383998</v>
      </c>
      <c r="I3795">
        <v>0.46849280767330698</v>
      </c>
      <c r="J3795">
        <v>0.40249874511539202</v>
      </c>
      <c r="K3795">
        <v>0.46532533429355699</v>
      </c>
      <c r="L3795">
        <v>1047.2380736196001</v>
      </c>
      <c r="M3795">
        <v>18.8219276081849</v>
      </c>
      <c r="N3795">
        <v>61.136869981929202</v>
      </c>
      <c r="O3795">
        <v>55.022619965199901</v>
      </c>
      <c r="P3795">
        <v>-5.0631700469768399E-2</v>
      </c>
      <c r="Q3795">
        <v>0.40797287981763702</v>
      </c>
      <c r="R3795">
        <v>0.97396506258709803</v>
      </c>
      <c r="S3795" t="s">
        <v>10798</v>
      </c>
      <c r="T3795" t="s">
        <v>14004</v>
      </c>
      <c r="U3795" t="s">
        <v>14004</v>
      </c>
      <c r="V3795" t="s">
        <v>14004</v>
      </c>
      <c r="W3795" t="s">
        <v>17753</v>
      </c>
      <c r="X3795">
        <v>15</v>
      </c>
      <c r="Y3795" t="s">
        <v>24585</v>
      </c>
      <c r="Z3795" t="s">
        <v>31505</v>
      </c>
      <c r="AA3795">
        <v>0.7250015164359539</v>
      </c>
      <c r="AB3795" t="str">
        <f>HYPERLINK("Melting_Curves/meltCurve_Q15942_ZYX.pdf", "Melting_Curves/meltCurve_Q15942_ZYX.pdf")</f>
        <v>Melting_Curves/meltCurve_Q15942_ZYX.pdf</v>
      </c>
    </row>
    <row r="3796" spans="1:28" x14ac:dyDescent="0.25">
      <c r="A3796" t="s">
        <v>3800</v>
      </c>
      <c r="B3796">
        <v>0.99999676499088797</v>
      </c>
      <c r="C3796">
        <v>1.05321754519452</v>
      </c>
      <c r="D3796">
        <v>0.92906831466908801</v>
      </c>
      <c r="E3796">
        <v>0.50090085433340104</v>
      </c>
      <c r="F3796">
        <v>0.44232001233429502</v>
      </c>
      <c r="G3796">
        <v>0.330270350304607</v>
      </c>
      <c r="H3796">
        <v>0.21850123451200101</v>
      </c>
      <c r="I3796">
        <v>0.207549498315175</v>
      </c>
      <c r="J3796">
        <v>0.24644231734550301</v>
      </c>
      <c r="K3796">
        <v>0.153005094537846</v>
      </c>
      <c r="L3796">
        <v>1035.21951443325</v>
      </c>
      <c r="M3796">
        <v>20.896763094253298</v>
      </c>
      <c r="N3796">
        <v>50.942942641000698</v>
      </c>
      <c r="O3796">
        <v>49.092706938800099</v>
      </c>
      <c r="P3796">
        <v>-8.3131558029827801E-2</v>
      </c>
      <c r="Q3796">
        <v>0.21881815321774001</v>
      </c>
      <c r="R3796">
        <v>0.96787304215525205</v>
      </c>
      <c r="S3796" t="s">
        <v>10799</v>
      </c>
      <c r="T3796" t="s">
        <v>14004</v>
      </c>
      <c r="U3796" t="s">
        <v>14004</v>
      </c>
      <c r="V3796" t="s">
        <v>14004</v>
      </c>
      <c r="W3796" t="s">
        <v>17754</v>
      </c>
      <c r="X3796">
        <v>3</v>
      </c>
      <c r="Y3796" t="s">
        <v>24586</v>
      </c>
      <c r="Z3796" t="s">
        <v>31506</v>
      </c>
      <c r="AA3796">
        <v>0.47721192688008962</v>
      </c>
      <c r="AB3796" t="str">
        <f>HYPERLINK("Melting_Curves/meltCurve_Q15973_4_ZNF124.pdf", "Melting_Curves/meltCurve_Q15973_4_ZNF124.pdf")</f>
        <v>Melting_Curves/meltCurve_Q15973_4_ZNF124.pdf</v>
      </c>
    </row>
    <row r="3797" spans="1:28" x14ac:dyDescent="0.25">
      <c r="A3797" t="s">
        <v>3801</v>
      </c>
      <c r="B3797">
        <v>0.99999676499088797</v>
      </c>
      <c r="C3797">
        <v>1.0504406942087201</v>
      </c>
      <c r="D3797">
        <v>1.14875032014411</v>
      </c>
      <c r="E3797">
        <v>1.24518084024743</v>
      </c>
      <c r="F3797">
        <v>0.99033142295100296</v>
      </c>
      <c r="G3797">
        <v>0.300377832419019</v>
      </c>
      <c r="H3797">
        <v>0.118362527875362</v>
      </c>
      <c r="I3797">
        <v>0.11594523492091</v>
      </c>
      <c r="J3797">
        <v>0.106356918764858</v>
      </c>
      <c r="K3797">
        <v>0.103799273351886</v>
      </c>
      <c r="L3797">
        <v>4890.8500971841904</v>
      </c>
      <c r="M3797">
        <v>87.412400223136004</v>
      </c>
      <c r="N3797">
        <v>56.1124097902728</v>
      </c>
      <c r="O3797">
        <v>55.922188092023902</v>
      </c>
      <c r="P3797">
        <v>-0.34744275740990399</v>
      </c>
      <c r="Q3797">
        <v>0.110892522306743</v>
      </c>
      <c r="R3797">
        <v>0.96267381807222496</v>
      </c>
      <c r="S3797" t="s">
        <v>10800</v>
      </c>
      <c r="T3797" t="s">
        <v>14004</v>
      </c>
      <c r="U3797" t="s">
        <v>14004</v>
      </c>
      <c r="V3797" t="s">
        <v>14004</v>
      </c>
      <c r="W3797" t="s">
        <v>17755</v>
      </c>
      <c r="X3797">
        <v>23</v>
      </c>
      <c r="Y3797" t="s">
        <v>24587</v>
      </c>
      <c r="Z3797" t="s">
        <v>31507</v>
      </c>
      <c r="AA3797">
        <v>0.58435941484838783</v>
      </c>
      <c r="AB3797" t="str">
        <f>HYPERLINK("Melting_Curves/meltCurve_Q16134_ETFDH.pdf", "Melting_Curves/meltCurve_Q16134_ETFDH.pdf")</f>
        <v>Melting_Curves/meltCurve_Q16134_ETFDH.pdf</v>
      </c>
    </row>
    <row r="3798" spans="1:28" x14ac:dyDescent="0.25">
      <c r="A3798" t="s">
        <v>3802</v>
      </c>
      <c r="B3798">
        <v>0.99999676499088797</v>
      </c>
      <c r="C3798">
        <v>0.87174545073514598</v>
      </c>
      <c r="D3798">
        <v>0.93247918782293604</v>
      </c>
      <c r="E3798">
        <v>0.94925458338338597</v>
      </c>
      <c r="F3798">
        <v>0.87386394823445102</v>
      </c>
      <c r="G3798">
        <v>0.73025965361184497</v>
      </c>
      <c r="H3798">
        <v>0.53140890114894501</v>
      </c>
      <c r="I3798">
        <v>0.54781667379930798</v>
      </c>
      <c r="J3798">
        <v>0.48504089404711498</v>
      </c>
      <c r="K3798">
        <v>0.60088524962066903</v>
      </c>
      <c r="L3798">
        <v>1296.14845671227</v>
      </c>
      <c r="M3798">
        <v>23.353833274594098</v>
      </c>
      <c r="O3798">
        <v>55.098317274332402</v>
      </c>
      <c r="P3798">
        <v>-5.0319074774724297E-2</v>
      </c>
      <c r="Q3798">
        <v>0.52514044107490698</v>
      </c>
      <c r="R3798">
        <v>0.90873596129383905</v>
      </c>
      <c r="S3798" t="s">
        <v>10801</v>
      </c>
      <c r="T3798" t="s">
        <v>14004</v>
      </c>
      <c r="U3798" t="s">
        <v>14004</v>
      </c>
      <c r="V3798" t="s">
        <v>14004</v>
      </c>
      <c r="W3798" t="s">
        <v>17756</v>
      </c>
      <c r="X3798">
        <v>4</v>
      </c>
      <c r="Y3798" t="s">
        <v>24588</v>
      </c>
      <c r="Z3798" t="s">
        <v>31508</v>
      </c>
      <c r="AA3798">
        <v>0.77540151286395564</v>
      </c>
      <c r="AB3798" t="str">
        <f>HYPERLINK("Melting_Curves/meltCurve_Q16143_SNCB.pdf", "Melting_Curves/meltCurve_Q16143_SNCB.pdf")</f>
        <v>Melting_Curves/meltCurve_Q16143_SNCB.pdf</v>
      </c>
    </row>
    <row r="3799" spans="1:28" x14ac:dyDescent="0.25">
      <c r="A3799" t="s">
        <v>3803</v>
      </c>
      <c r="B3799">
        <v>0.99999676499088797</v>
      </c>
      <c r="C3799">
        <v>1.0405097056345101</v>
      </c>
      <c r="D3799">
        <v>1.01959229414352</v>
      </c>
      <c r="E3799">
        <v>0.93413713772095297</v>
      </c>
      <c r="F3799">
        <v>0.54980707220740799</v>
      </c>
      <c r="G3799">
        <v>0.20645412126384999</v>
      </c>
      <c r="H3799">
        <v>8.3637518202044694E-2</v>
      </c>
      <c r="I3799">
        <v>8.0386415006790404E-2</v>
      </c>
      <c r="J3799">
        <v>7.6224681545857501E-2</v>
      </c>
      <c r="K3799">
        <v>5.8565481632797102E-2</v>
      </c>
      <c r="L3799">
        <v>1680.1174111394</v>
      </c>
      <c r="M3799">
        <v>31.4730370319628</v>
      </c>
      <c r="N3799">
        <v>53.640942731496899</v>
      </c>
      <c r="O3799">
        <v>53.168606336926501</v>
      </c>
      <c r="P3799">
        <v>-0.137586169476727</v>
      </c>
      <c r="Q3799">
        <v>7.0286318490554001E-2</v>
      </c>
      <c r="R3799">
        <v>0.99833881683150305</v>
      </c>
      <c r="S3799" t="s">
        <v>10802</v>
      </c>
      <c r="T3799" t="s">
        <v>14004</v>
      </c>
      <c r="U3799" t="s">
        <v>14004</v>
      </c>
      <c r="V3799" t="s">
        <v>14004</v>
      </c>
      <c r="W3799" t="s">
        <v>17757</v>
      </c>
      <c r="X3799">
        <v>36</v>
      </c>
      <c r="Y3799" t="s">
        <v>21794</v>
      </c>
      <c r="Z3799" t="s">
        <v>31509</v>
      </c>
      <c r="AA3799">
        <v>0.49054211349825</v>
      </c>
      <c r="AB3799" t="str">
        <f>HYPERLINK("Melting_Curves/meltCurve_Q16181_SEPT7.pdf", "Melting_Curves/meltCurve_Q16181_SEPT7.pdf")</f>
        <v>Melting_Curves/meltCurve_Q16181_SEPT7.pdf</v>
      </c>
    </row>
    <row r="3800" spans="1:28" x14ac:dyDescent="0.25">
      <c r="A3800" t="s">
        <v>3804</v>
      </c>
      <c r="B3800">
        <v>0.99999676499088797</v>
      </c>
      <c r="C3800">
        <v>1.0655589178260101</v>
      </c>
      <c r="D3800">
        <v>1.10922433423685</v>
      </c>
      <c r="E3800">
        <v>0.66284645461314295</v>
      </c>
      <c r="F3800">
        <v>0.39318174054604499</v>
      </c>
      <c r="G3800">
        <v>4.9550627448265799E-2</v>
      </c>
      <c r="H3800">
        <v>0</v>
      </c>
      <c r="I3800">
        <v>0</v>
      </c>
      <c r="J3800">
        <v>0</v>
      </c>
      <c r="K3800">
        <v>0</v>
      </c>
      <c r="L3800">
        <v>1339.9258827772301</v>
      </c>
      <c r="M3800">
        <v>25.907504133757101</v>
      </c>
      <c r="N3800">
        <v>51.719610572261999</v>
      </c>
      <c r="O3800">
        <v>51.414409627909002</v>
      </c>
      <c r="P3800">
        <v>-0.12597541577792701</v>
      </c>
      <c r="Q3800">
        <v>0</v>
      </c>
      <c r="R3800">
        <v>0.98072454074892002</v>
      </c>
      <c r="S3800" t="s">
        <v>10803</v>
      </c>
      <c r="T3800" t="s">
        <v>14004</v>
      </c>
      <c r="U3800" t="s">
        <v>14004</v>
      </c>
      <c r="V3800" t="s">
        <v>14004</v>
      </c>
      <c r="W3800" t="s">
        <v>17758</v>
      </c>
      <c r="X3800">
        <v>36</v>
      </c>
      <c r="Y3800" t="s">
        <v>21794</v>
      </c>
      <c r="Z3800" t="s">
        <v>31510</v>
      </c>
      <c r="AA3800">
        <v>0.39914736585666782</v>
      </c>
      <c r="AB3800" t="str">
        <f>HYPERLINK("Melting_Curves/meltCurve_Q16181_2_SEPT7.pdf", "Melting_Curves/meltCurve_Q16181_2_SEPT7.pdf")</f>
        <v>Melting_Curves/meltCurve_Q16181_2_SEPT7.pdf</v>
      </c>
    </row>
    <row r="3801" spans="1:28" x14ac:dyDescent="0.25">
      <c r="A3801" t="s">
        <v>3805</v>
      </c>
      <c r="B3801">
        <v>0.99999676499088797</v>
      </c>
      <c r="C3801">
        <v>1.0912503394645801</v>
      </c>
      <c r="D3801">
        <v>0.94485444687012099</v>
      </c>
      <c r="E3801">
        <v>0.668230982119703</v>
      </c>
      <c r="F3801">
        <v>0.334580082414766</v>
      </c>
      <c r="G3801">
        <v>0.232544932522458</v>
      </c>
      <c r="H3801">
        <v>0.10621408940549</v>
      </c>
      <c r="I3801">
        <v>0.104513232154424</v>
      </c>
      <c r="J3801">
        <v>0.117045999400927</v>
      </c>
      <c r="K3801">
        <v>0.113654678787188</v>
      </c>
      <c r="L3801">
        <v>1210.16782568601</v>
      </c>
      <c r="M3801">
        <v>23.8048694404138</v>
      </c>
      <c r="N3801">
        <v>51.391208151148099</v>
      </c>
      <c r="O3801">
        <v>50.4823048613422</v>
      </c>
      <c r="P3801">
        <v>-0.104543270819312</v>
      </c>
      <c r="Q3801">
        <v>0.113206786873761</v>
      </c>
      <c r="R3801">
        <v>0.99054900682562497</v>
      </c>
      <c r="S3801" t="s">
        <v>10804</v>
      </c>
      <c r="T3801" t="s">
        <v>14004</v>
      </c>
      <c r="U3801" t="s">
        <v>14004</v>
      </c>
      <c r="V3801" t="s">
        <v>14004</v>
      </c>
      <c r="W3801" t="s">
        <v>17759</v>
      </c>
      <c r="X3801">
        <v>10</v>
      </c>
      <c r="Y3801" t="s">
        <v>24589</v>
      </c>
      <c r="Z3801" t="s">
        <v>31511</v>
      </c>
      <c r="AA3801">
        <v>0.44235175950658923</v>
      </c>
      <c r="AB3801" t="str">
        <f>HYPERLINK("Melting_Curves/meltCurve_Q16186_ADRM1.pdf", "Melting_Curves/meltCurve_Q16186_ADRM1.pdf")</f>
        <v>Melting_Curves/meltCurve_Q16186_ADRM1.pdf</v>
      </c>
    </row>
    <row r="3802" spans="1:28" x14ac:dyDescent="0.25">
      <c r="A3802" t="s">
        <v>3806</v>
      </c>
      <c r="B3802">
        <v>0.99999676499088797</v>
      </c>
      <c r="C3802">
        <v>0.982769804512308</v>
      </c>
      <c r="D3802">
        <v>0.97670882102755097</v>
      </c>
      <c r="E3802">
        <v>0.84536748245003102</v>
      </c>
      <c r="F3802">
        <v>0.658737319059298</v>
      </c>
      <c r="G3802">
        <v>0.51467613543047996</v>
      </c>
      <c r="H3802">
        <v>0.23883871057381401</v>
      </c>
      <c r="I3802">
        <v>0.220012414092359</v>
      </c>
      <c r="J3802">
        <v>0.20489068371708299</v>
      </c>
      <c r="K3802">
        <v>0.178672626736535</v>
      </c>
      <c r="L3802">
        <v>854.46736126580902</v>
      </c>
      <c r="M3802">
        <v>15.570242139025201</v>
      </c>
      <c r="N3802">
        <v>56.069848363206702</v>
      </c>
      <c r="O3802">
        <v>53.9969149960937</v>
      </c>
      <c r="P3802">
        <v>-6.1939313729788698E-2</v>
      </c>
      <c r="Q3802">
        <v>0.14086382939176401</v>
      </c>
      <c r="R3802">
        <v>0.993369056137411</v>
      </c>
      <c r="S3802" t="s">
        <v>10805</v>
      </c>
      <c r="T3802" t="s">
        <v>14004</v>
      </c>
      <c r="U3802" t="s">
        <v>14004</v>
      </c>
      <c r="V3802" t="s">
        <v>14004</v>
      </c>
      <c r="W3802" t="s">
        <v>17760</v>
      </c>
      <c r="X3802">
        <v>26</v>
      </c>
      <c r="Y3802" t="s">
        <v>24590</v>
      </c>
      <c r="Z3802" t="s">
        <v>31512</v>
      </c>
      <c r="AA3802">
        <v>0.58297165962559061</v>
      </c>
      <c r="AB3802" t="str">
        <f>HYPERLINK("Melting_Curves/meltCurve_Q16204_CCDC6.pdf", "Melting_Curves/meltCurve_Q16204_CCDC6.pdf")</f>
        <v>Melting_Curves/meltCurve_Q16204_CCDC6.pdf</v>
      </c>
    </row>
    <row r="3803" spans="1:28" x14ac:dyDescent="0.25">
      <c r="A3803" t="s">
        <v>3807</v>
      </c>
      <c r="B3803">
        <v>0.99999676499088797</v>
      </c>
      <c r="C3803">
        <v>1.04767313226687</v>
      </c>
      <c r="D3803">
        <v>1.0695789997507601</v>
      </c>
      <c r="E3803">
        <v>1.0899019563926799</v>
      </c>
      <c r="F3803">
        <v>0.916466184244079</v>
      </c>
      <c r="G3803">
        <v>0.39405354598258202</v>
      </c>
      <c r="H3803">
        <v>0.151542217141068</v>
      </c>
      <c r="I3803">
        <v>0.13291003682942901</v>
      </c>
      <c r="J3803">
        <v>0.107530988966667</v>
      </c>
      <c r="K3803">
        <v>9.4567873412256698E-2</v>
      </c>
      <c r="L3803">
        <v>2567.9717584704899</v>
      </c>
      <c r="M3803">
        <v>45.975892712144301</v>
      </c>
      <c r="N3803">
        <v>56.175019728652003</v>
      </c>
      <c r="O3803">
        <v>55.749378177850602</v>
      </c>
      <c r="P3803">
        <v>-0.18240223069031</v>
      </c>
      <c r="Q3803">
        <v>0.115292930618585</v>
      </c>
      <c r="R3803">
        <v>0.99113335262764002</v>
      </c>
      <c r="S3803" t="s">
        <v>10806</v>
      </c>
      <c r="T3803" t="s">
        <v>14004</v>
      </c>
      <c r="U3803" t="s">
        <v>14004</v>
      </c>
      <c r="V3803" t="s">
        <v>14004</v>
      </c>
      <c r="W3803" t="s">
        <v>17761</v>
      </c>
      <c r="X3803">
        <v>18</v>
      </c>
      <c r="Y3803" t="s">
        <v>24591</v>
      </c>
      <c r="Z3803" t="s">
        <v>31513</v>
      </c>
      <c r="AA3803">
        <v>0.58542824065946586</v>
      </c>
      <c r="AB3803" t="str">
        <f>HYPERLINK("Melting_Curves/meltCurve_Q16222_2_UAP1.pdf", "Melting_Curves/meltCurve_Q16222_2_UAP1.pdf")</f>
        <v>Melting_Curves/meltCurve_Q16222_2_UAP1.pdf</v>
      </c>
    </row>
    <row r="3804" spans="1:28" x14ac:dyDescent="0.25">
      <c r="A3804" t="s">
        <v>3808</v>
      </c>
      <c r="B3804">
        <v>0.99999676499088797</v>
      </c>
      <c r="C3804">
        <v>1.12666855242241</v>
      </c>
      <c r="D3804">
        <v>1.02974616608898</v>
      </c>
      <c r="E3804">
        <v>0.67833325130577604</v>
      </c>
      <c r="F3804">
        <v>0.56295080912486495</v>
      </c>
      <c r="G3804">
        <v>0.40755178751276699</v>
      </c>
      <c r="H3804">
        <v>0.15069105512551301</v>
      </c>
      <c r="I3804">
        <v>0.14431551296617801</v>
      </c>
      <c r="J3804">
        <v>0.120376029848637</v>
      </c>
      <c r="K3804">
        <v>0.13745510785172901</v>
      </c>
      <c r="L3804">
        <v>870.60230201999696</v>
      </c>
      <c r="M3804">
        <v>16.357247407040699</v>
      </c>
      <c r="N3804">
        <v>53.952419462310203</v>
      </c>
      <c r="O3804">
        <v>52.447847623273503</v>
      </c>
      <c r="P3804">
        <v>-7.0251564449633402E-2</v>
      </c>
      <c r="Q3804">
        <v>9.9047169227027804E-2</v>
      </c>
      <c r="R3804">
        <v>0.965714232610001</v>
      </c>
      <c r="S3804" t="s">
        <v>10807</v>
      </c>
      <c r="T3804" t="s">
        <v>14004</v>
      </c>
      <c r="U3804" t="s">
        <v>14004</v>
      </c>
      <c r="V3804" t="s">
        <v>14004</v>
      </c>
      <c r="W3804" t="s">
        <v>17762</v>
      </c>
      <c r="X3804">
        <v>3</v>
      </c>
      <c r="Y3804" t="s">
        <v>24592</v>
      </c>
      <c r="Z3804" t="s">
        <v>31514</v>
      </c>
      <c r="AA3804">
        <v>0.51318336691268229</v>
      </c>
      <c r="AB3804" t="str">
        <f>HYPERLINK("Melting_Curves/meltCurve_Q16254_E2F4.pdf", "Melting_Curves/meltCurve_Q16254_E2F4.pdf")</f>
        <v>Melting_Curves/meltCurve_Q16254_E2F4.pdf</v>
      </c>
    </row>
    <row r="3805" spans="1:28" x14ac:dyDescent="0.25">
      <c r="A3805" t="s">
        <v>3809</v>
      </c>
      <c r="B3805">
        <v>0.99999676499088797</v>
      </c>
      <c r="C3805">
        <v>1.0360029804831701</v>
      </c>
      <c r="D3805">
        <v>1.0008380201843901</v>
      </c>
      <c r="E3805">
        <v>0.85370919766026099</v>
      </c>
      <c r="F3805">
        <v>0.583410455552547</v>
      </c>
      <c r="G3805">
        <v>0.37747848762980502</v>
      </c>
      <c r="H3805">
        <v>0.125984813468318</v>
      </c>
      <c r="I3805">
        <v>0.111618638861716</v>
      </c>
      <c r="J3805">
        <v>0.10350806393394101</v>
      </c>
      <c r="K3805">
        <v>8.0669378495097102E-2</v>
      </c>
      <c r="L3805">
        <v>1042.1725863675299</v>
      </c>
      <c r="M3805">
        <v>19.271036764824199</v>
      </c>
      <c r="N3805">
        <v>54.491340319032801</v>
      </c>
      <c r="O3805">
        <v>53.507484007575698</v>
      </c>
      <c r="P3805">
        <v>-8.3943675349917604E-2</v>
      </c>
      <c r="Q3805">
        <v>6.7731191286005105E-2</v>
      </c>
      <c r="R3805">
        <v>0.99532772036022898</v>
      </c>
      <c r="S3805" t="s">
        <v>10808</v>
      </c>
      <c r="T3805" t="s">
        <v>14004</v>
      </c>
      <c r="U3805" t="s">
        <v>14004</v>
      </c>
      <c r="V3805" t="s">
        <v>14004</v>
      </c>
      <c r="W3805" t="s">
        <v>17763</v>
      </c>
      <c r="X3805">
        <v>16</v>
      </c>
      <c r="Y3805" t="s">
        <v>24593</v>
      </c>
      <c r="Z3805" t="s">
        <v>31515</v>
      </c>
      <c r="AA3805">
        <v>0.51868725436837282</v>
      </c>
      <c r="AB3805" t="str">
        <f>HYPERLINK("Melting_Curves/meltCurve_Q16401_2_PSMD5.pdf", "Melting_Curves/meltCurve_Q16401_2_PSMD5.pdf")</f>
        <v>Melting_Curves/meltCurve_Q16401_2_PSMD5.pdf</v>
      </c>
    </row>
    <row r="3806" spans="1:28" x14ac:dyDescent="0.25">
      <c r="A3806" t="s">
        <v>3810</v>
      </c>
      <c r="B3806">
        <v>0.99999676499088797</v>
      </c>
      <c r="C3806">
        <v>0.96449485187120898</v>
      </c>
      <c r="D3806">
        <v>0.84506489453632405</v>
      </c>
      <c r="E3806">
        <v>0.44720859105876298</v>
      </c>
      <c r="F3806">
        <v>0.18481200522412899</v>
      </c>
      <c r="G3806">
        <v>0.121064633008954</v>
      </c>
      <c r="H3806">
        <v>5.4011163000701599E-2</v>
      </c>
      <c r="I3806">
        <v>5.35960359016028E-2</v>
      </c>
      <c r="J3806">
        <v>4.6816564750246099E-2</v>
      </c>
      <c r="K3806">
        <v>3.9862600473508002E-2</v>
      </c>
      <c r="L3806">
        <v>1142.6958012618099</v>
      </c>
      <c r="M3806">
        <v>23.3119780077859</v>
      </c>
      <c r="N3806">
        <v>49.246413322031401</v>
      </c>
      <c r="O3806">
        <v>48.661114076256197</v>
      </c>
      <c r="P3806">
        <v>-0.113620153724926</v>
      </c>
      <c r="Q3806">
        <v>5.1340005216109597E-2</v>
      </c>
      <c r="R3806">
        <v>0.99884101887093601</v>
      </c>
      <c r="S3806" t="s">
        <v>10809</v>
      </c>
      <c r="T3806" t="s">
        <v>14004</v>
      </c>
      <c r="U3806" t="s">
        <v>14004</v>
      </c>
      <c r="V3806" t="s">
        <v>14004</v>
      </c>
      <c r="W3806" t="s">
        <v>17764</v>
      </c>
      <c r="X3806">
        <v>28</v>
      </c>
      <c r="Y3806" t="s">
        <v>24594</v>
      </c>
      <c r="Z3806" t="s">
        <v>31516</v>
      </c>
      <c r="AA3806">
        <v>0.34620160163861829</v>
      </c>
      <c r="AB3806" t="str">
        <f>HYPERLINK("Melting_Curves/meltCurve_Q16512_PKN1.pdf", "Melting_Curves/meltCurve_Q16512_PKN1.pdf")</f>
        <v>Melting_Curves/meltCurve_Q16512_PKN1.pdf</v>
      </c>
    </row>
    <row r="3807" spans="1:28" x14ac:dyDescent="0.25">
      <c r="A3807" t="s">
        <v>3811</v>
      </c>
      <c r="B3807">
        <v>0.99999676499088797</v>
      </c>
      <c r="C3807">
        <v>0.96222564727594295</v>
      </c>
      <c r="D3807">
        <v>0.68011535413633295</v>
      </c>
      <c r="E3807">
        <v>0.27109253565112801</v>
      </c>
      <c r="F3807">
        <v>0.21053381544371899</v>
      </c>
      <c r="G3807">
        <v>0.162968494047357</v>
      </c>
      <c r="H3807">
        <v>8.7522217369390698E-2</v>
      </c>
      <c r="I3807">
        <v>7.8939619141819101E-2</v>
      </c>
      <c r="J3807">
        <v>9.0303647424278793E-2</v>
      </c>
      <c r="K3807">
        <v>6.7693583066081503E-2</v>
      </c>
      <c r="L3807">
        <v>1197.7616274085699</v>
      </c>
      <c r="M3807">
        <v>25.4209593138253</v>
      </c>
      <c r="N3807">
        <v>47.542720647963499</v>
      </c>
      <c r="O3807">
        <v>46.828394517801101</v>
      </c>
      <c r="P3807">
        <v>-0.121903056829715</v>
      </c>
      <c r="Q3807">
        <v>0.101771819522955</v>
      </c>
      <c r="R3807">
        <v>0.991793615837126</v>
      </c>
      <c r="S3807" t="s">
        <v>10810</v>
      </c>
      <c r="T3807" t="s">
        <v>14004</v>
      </c>
      <c r="U3807" t="s">
        <v>14004</v>
      </c>
      <c r="V3807" t="s">
        <v>14004</v>
      </c>
      <c r="W3807" t="s">
        <v>17765</v>
      </c>
      <c r="X3807">
        <v>8</v>
      </c>
      <c r="Y3807" t="s">
        <v>24595</v>
      </c>
      <c r="Z3807" t="s">
        <v>31517</v>
      </c>
      <c r="AA3807">
        <v>0.32257881159413587</v>
      </c>
      <c r="AB3807" t="str">
        <f>HYPERLINK("Melting_Curves/meltCurve_Q16513_2_PKN2.pdf", "Melting_Curves/meltCurve_Q16513_2_PKN2.pdf")</f>
        <v>Melting_Curves/meltCurve_Q16513_2_PKN2.pdf</v>
      </c>
    </row>
    <row r="3808" spans="1:28" x14ac:dyDescent="0.25">
      <c r="A3808" t="s">
        <v>3812</v>
      </c>
      <c r="B3808">
        <v>0.99999676499088797</v>
      </c>
      <c r="C3808">
        <v>0.93059673624296102</v>
      </c>
      <c r="D3808">
        <v>0.73921553191393297</v>
      </c>
      <c r="E3808">
        <v>0.45132046078442301</v>
      </c>
      <c r="F3808">
        <v>0.28833978843444102</v>
      </c>
      <c r="G3808">
        <v>0.237042500181393</v>
      </c>
      <c r="H3808">
        <v>0.16351706006575001</v>
      </c>
      <c r="I3808">
        <v>0.23957603737091299</v>
      </c>
      <c r="J3808">
        <v>0.25238710827299998</v>
      </c>
      <c r="K3808">
        <v>0.25376622448629899</v>
      </c>
      <c r="L3808">
        <v>1053.06146626179</v>
      </c>
      <c r="M3808">
        <v>22.177301182744699</v>
      </c>
      <c r="N3808">
        <v>48.792259700233998</v>
      </c>
      <c r="O3808">
        <v>47.102705147734397</v>
      </c>
      <c r="P3808">
        <v>-9.1325238624781604E-2</v>
      </c>
      <c r="Q3808">
        <v>0.224148184757999</v>
      </c>
      <c r="R3808">
        <v>0.99268985305609203</v>
      </c>
      <c r="S3808" t="s">
        <v>10811</v>
      </c>
      <c r="T3808" t="s">
        <v>14004</v>
      </c>
      <c r="U3808" t="s">
        <v>14004</v>
      </c>
      <c r="V3808" t="s">
        <v>14004</v>
      </c>
      <c r="W3808" t="s">
        <v>17766</v>
      </c>
      <c r="X3808">
        <v>2</v>
      </c>
      <c r="Y3808" t="s">
        <v>24596</v>
      </c>
      <c r="Z3808" t="s">
        <v>31518</v>
      </c>
      <c r="AA3808">
        <v>0.42661311786791528</v>
      </c>
      <c r="AB3808" t="str">
        <f>HYPERLINK("Melting_Curves/meltCurve_Q16514_2_TAF12.pdf", "Melting_Curves/meltCurve_Q16514_2_TAF12.pdf")</f>
        <v>Melting_Curves/meltCurve_Q16514_2_TAF12.pdf</v>
      </c>
    </row>
    <row r="3809" spans="1:28" x14ac:dyDescent="0.25">
      <c r="A3809" t="s">
        <v>3813</v>
      </c>
      <c r="B3809">
        <v>0.99999676499088797</v>
      </c>
      <c r="C3809">
        <v>1.2785592957655401</v>
      </c>
      <c r="D3809">
        <v>1.0450265599852899</v>
      </c>
      <c r="E3809">
        <v>0.85995114612860601</v>
      </c>
      <c r="F3809">
        <v>0.37463858186659199</v>
      </c>
      <c r="G3809">
        <v>0.29068084618992601</v>
      </c>
      <c r="H3809">
        <v>0.14513689515908099</v>
      </c>
      <c r="I3809">
        <v>0</v>
      </c>
      <c r="J3809">
        <v>0</v>
      </c>
      <c r="K3809">
        <v>0</v>
      </c>
      <c r="L3809">
        <v>1216.1602561741099</v>
      </c>
      <c r="M3809">
        <v>23.0142815198592</v>
      </c>
      <c r="N3809">
        <v>52.972313700786898</v>
      </c>
      <c r="O3809">
        <v>52.4496037877988</v>
      </c>
      <c r="P3809">
        <v>-0.106718852245737</v>
      </c>
      <c r="Q3809">
        <v>2.7168265171321201E-2</v>
      </c>
      <c r="R3809">
        <v>0.94723634707246196</v>
      </c>
      <c r="S3809" t="s">
        <v>10812</v>
      </c>
      <c r="T3809" t="s">
        <v>14004</v>
      </c>
      <c r="U3809" t="s">
        <v>14004</v>
      </c>
      <c r="V3809" t="s">
        <v>14004</v>
      </c>
      <c r="W3809" t="s">
        <v>17767</v>
      </c>
      <c r="X3809">
        <v>2</v>
      </c>
      <c r="Y3809" t="s">
        <v>24597</v>
      </c>
      <c r="Z3809" t="s">
        <v>31519</v>
      </c>
      <c r="AA3809">
        <v>0.45409676209277139</v>
      </c>
      <c r="AB3809" t="str">
        <f>HYPERLINK("Melting_Curves/meltCurve_Q16526_CRY1.pdf", "Melting_Curves/meltCurve_Q16526_CRY1.pdf")</f>
        <v>Melting_Curves/meltCurve_Q16526_CRY1.pdf</v>
      </c>
    </row>
    <row r="3810" spans="1:28" x14ac:dyDescent="0.25">
      <c r="A3810" t="s">
        <v>3814</v>
      </c>
      <c r="B3810">
        <v>0.99999676499088797</v>
      </c>
      <c r="C3810">
        <v>0.96813572112220603</v>
      </c>
      <c r="D3810">
        <v>0.98607805372366297</v>
      </c>
      <c r="E3810">
        <v>1.0758339423418299</v>
      </c>
      <c r="F3810">
        <v>1.15613976670465</v>
      </c>
      <c r="G3810">
        <v>1.0600824476577999</v>
      </c>
      <c r="H3810">
        <v>0.57198098822390797</v>
      </c>
      <c r="I3810">
        <v>0.187282261952777</v>
      </c>
      <c r="J3810">
        <v>0.121695996950989</v>
      </c>
      <c r="K3810">
        <v>9.5886549007225499E-2</v>
      </c>
      <c r="L3810">
        <v>3752.4926692965701</v>
      </c>
      <c r="M3810">
        <v>61.6233672720778</v>
      </c>
      <c r="N3810">
        <v>61.162129717932601</v>
      </c>
      <c r="O3810">
        <v>60.829959641522997</v>
      </c>
      <c r="P3810">
        <v>-0.22328181788597801</v>
      </c>
      <c r="Q3810">
        <v>0.118372166817678</v>
      </c>
      <c r="R3810">
        <v>0.97782040112601698</v>
      </c>
      <c r="S3810" t="s">
        <v>10813</v>
      </c>
      <c r="T3810" t="s">
        <v>14004</v>
      </c>
      <c r="U3810" t="s">
        <v>14004</v>
      </c>
      <c r="V3810" t="s">
        <v>14004</v>
      </c>
      <c r="W3810" t="s">
        <v>17768</v>
      </c>
      <c r="X3810">
        <v>60</v>
      </c>
      <c r="Y3810" t="s">
        <v>24598</v>
      </c>
      <c r="Z3810" t="s">
        <v>31520</v>
      </c>
      <c r="AA3810">
        <v>0.73393911305876214</v>
      </c>
      <c r="AB3810" t="str">
        <f>HYPERLINK("Melting_Curves/meltCurve_Q16531_DDB1.pdf", "Melting_Curves/meltCurve_Q16531_DDB1.pdf")</f>
        <v>Melting_Curves/meltCurve_Q16531_DDB1.pdf</v>
      </c>
    </row>
    <row r="3811" spans="1:28" x14ac:dyDescent="0.25">
      <c r="A3811" t="s">
        <v>3815</v>
      </c>
      <c r="B3811">
        <v>0.99999676499088797</v>
      </c>
      <c r="C3811">
        <v>0.95147290471757595</v>
      </c>
      <c r="D3811">
        <v>0.82173179576458999</v>
      </c>
      <c r="E3811">
        <v>0.430730953596692</v>
      </c>
      <c r="F3811">
        <v>0.235101769127539</v>
      </c>
      <c r="G3811">
        <v>0.14988530937688699</v>
      </c>
      <c r="H3811">
        <v>8.1377115048487395E-2</v>
      </c>
      <c r="I3811">
        <v>9.8157182806155902E-2</v>
      </c>
      <c r="J3811">
        <v>8.63798534448562E-2</v>
      </c>
      <c r="K3811">
        <v>7.4090453081189903E-2</v>
      </c>
      <c r="L3811">
        <v>1056.8320262472901</v>
      </c>
      <c r="M3811">
        <v>21.6877771846335</v>
      </c>
      <c r="N3811">
        <v>49.1621317181054</v>
      </c>
      <c r="O3811">
        <v>48.320762523374903</v>
      </c>
      <c r="P3811">
        <v>-0.10245954073182099</v>
      </c>
      <c r="Q3811">
        <v>8.6894682713027804E-2</v>
      </c>
      <c r="R3811">
        <v>0.99797189362683203</v>
      </c>
      <c r="S3811" t="s">
        <v>10814</v>
      </c>
      <c r="T3811" t="s">
        <v>14004</v>
      </c>
      <c r="U3811" t="s">
        <v>14004</v>
      </c>
      <c r="V3811" t="s">
        <v>14004</v>
      </c>
      <c r="W3811" t="s">
        <v>17769</v>
      </c>
      <c r="X3811">
        <v>13</v>
      </c>
      <c r="Y3811" t="s">
        <v>24599</v>
      </c>
      <c r="Z3811" t="s">
        <v>31521</v>
      </c>
      <c r="AA3811">
        <v>0.36344095621439632</v>
      </c>
      <c r="AB3811" t="str">
        <f>HYPERLINK("Melting_Curves/meltCurve_Q16539_MAPK14.pdf", "Melting_Curves/meltCurve_Q16539_MAPK14.pdf")</f>
        <v>Melting_Curves/meltCurve_Q16539_MAPK14.pdf</v>
      </c>
    </row>
    <row r="3812" spans="1:28" x14ac:dyDescent="0.25">
      <c r="A3812" t="s">
        <v>3816</v>
      </c>
      <c r="B3812">
        <v>0.99999676499088797</v>
      </c>
      <c r="C3812">
        <v>1.0124649021932699</v>
      </c>
      <c r="D3812">
        <v>0.98672599114394199</v>
      </c>
      <c r="E3812">
        <v>0.88892349610904897</v>
      </c>
      <c r="F3812">
        <v>0.48220052082121201</v>
      </c>
      <c r="G3812">
        <v>0.232106984810486</v>
      </c>
      <c r="H3812">
        <v>0.110181205192363</v>
      </c>
      <c r="I3812">
        <v>9.3588143478425603E-2</v>
      </c>
      <c r="J3812">
        <v>8.1334593573699807E-2</v>
      </c>
      <c r="K3812">
        <v>7.1422422378524406E-2</v>
      </c>
      <c r="L3812">
        <v>1429.0044401816699</v>
      </c>
      <c r="M3812">
        <v>27.0209608644839</v>
      </c>
      <c r="N3812">
        <v>53.2413844792775</v>
      </c>
      <c r="O3812">
        <v>52.597924717044101</v>
      </c>
      <c r="P3812">
        <v>-0.117808798952914</v>
      </c>
      <c r="Q3812">
        <v>8.2721438664122904E-2</v>
      </c>
      <c r="R3812">
        <v>0.99879420358507498</v>
      </c>
      <c r="S3812" t="s">
        <v>10815</v>
      </c>
      <c r="T3812" t="s">
        <v>14004</v>
      </c>
      <c r="U3812" t="s">
        <v>14004</v>
      </c>
      <c r="V3812" t="s">
        <v>14004</v>
      </c>
      <c r="W3812" t="s">
        <v>17770</v>
      </c>
      <c r="X3812">
        <v>34</v>
      </c>
      <c r="Y3812" t="s">
        <v>22164</v>
      </c>
      <c r="Z3812" t="s">
        <v>31522</v>
      </c>
      <c r="AA3812">
        <v>0.48397127937897372</v>
      </c>
      <c r="AB3812" t="str">
        <f>HYPERLINK("Melting_Curves/meltCurve_Q16543_CDC37.pdf", "Melting_Curves/meltCurve_Q16543_CDC37.pdf")</f>
        <v>Melting_Curves/meltCurve_Q16543_CDC37.pdf</v>
      </c>
    </row>
    <row r="3813" spans="1:28" x14ac:dyDescent="0.25">
      <c r="A3813" t="s">
        <v>3817</v>
      </c>
      <c r="B3813">
        <v>0.99999676499088797</v>
      </c>
      <c r="C3813">
        <v>0.94280982769949395</v>
      </c>
      <c r="D3813">
        <v>0.95528448104359898</v>
      </c>
      <c r="E3813">
        <v>0.97879986449163403</v>
      </c>
      <c r="F3813">
        <v>1.0430258268327799</v>
      </c>
      <c r="G3813">
        <v>0.87067290182255197</v>
      </c>
      <c r="H3813">
        <v>0.42959686090500299</v>
      </c>
      <c r="I3813">
        <v>0.14144978202963299</v>
      </c>
      <c r="J3813">
        <v>9.0336086065309795E-2</v>
      </c>
      <c r="K3813">
        <v>7.9364720912367195E-2</v>
      </c>
      <c r="L3813">
        <v>2148.4811326244499</v>
      </c>
      <c r="M3813">
        <v>35.838954447617901</v>
      </c>
      <c r="N3813">
        <v>60.1943255366294</v>
      </c>
      <c r="O3813">
        <v>59.762479990201797</v>
      </c>
      <c r="P3813">
        <v>-0.13970595723715101</v>
      </c>
      <c r="Q3813">
        <v>6.81482915745492E-2</v>
      </c>
      <c r="R3813">
        <v>0.99415627893341396</v>
      </c>
      <c r="S3813" t="s">
        <v>10816</v>
      </c>
      <c r="T3813" t="s">
        <v>14004</v>
      </c>
      <c r="U3813" t="s">
        <v>14004</v>
      </c>
      <c r="V3813" t="s">
        <v>14004</v>
      </c>
      <c r="W3813" t="s">
        <v>17771</v>
      </c>
      <c r="X3813">
        <v>30</v>
      </c>
      <c r="Y3813" t="s">
        <v>24600</v>
      </c>
      <c r="Z3813" t="s">
        <v>31523</v>
      </c>
      <c r="AA3813">
        <v>0.6921551191676717</v>
      </c>
      <c r="AB3813" t="str">
        <f>HYPERLINK("Melting_Curves/meltCurve_Q16555_DPYSL2.pdf", "Melting_Curves/meltCurve_Q16555_DPYSL2.pdf")</f>
        <v>Melting_Curves/meltCurve_Q16555_DPYSL2.pdf</v>
      </c>
    </row>
    <row r="3814" spans="1:28" x14ac:dyDescent="0.25">
      <c r="A3814" t="s">
        <v>3818</v>
      </c>
      <c r="B3814">
        <v>0.99999676499088797</v>
      </c>
      <c r="C3814">
        <v>0.95578611695040605</v>
      </c>
      <c r="D3814">
        <v>1.00183577298704</v>
      </c>
      <c r="E3814">
        <v>1.03571806103877</v>
      </c>
      <c r="F3814">
        <v>0.77814841805153601</v>
      </c>
      <c r="G3814">
        <v>0.39590965975161102</v>
      </c>
      <c r="H3814">
        <v>0.107281701690672</v>
      </c>
      <c r="I3814">
        <v>0.113688360795313</v>
      </c>
      <c r="J3814">
        <v>0.107291336710265</v>
      </c>
      <c r="K3814">
        <v>9.6123094344354301E-2</v>
      </c>
      <c r="L3814">
        <v>1757.0651350796199</v>
      </c>
      <c r="M3814">
        <v>31.735270849740701</v>
      </c>
      <c r="N3814">
        <v>55.725458738667903</v>
      </c>
      <c r="O3814">
        <v>55.147865813566803</v>
      </c>
      <c r="P3814">
        <v>-0.130560013482104</v>
      </c>
      <c r="Q3814">
        <v>9.2483736936139399E-2</v>
      </c>
      <c r="R3814">
        <v>0.99523422590999899</v>
      </c>
      <c r="S3814" t="s">
        <v>10817</v>
      </c>
      <c r="T3814" t="s">
        <v>14004</v>
      </c>
      <c r="U3814" t="s">
        <v>14004</v>
      </c>
      <c r="V3814" t="s">
        <v>14004</v>
      </c>
      <c r="W3814" t="s">
        <v>17772</v>
      </c>
      <c r="X3814">
        <v>26</v>
      </c>
      <c r="Y3814" t="s">
        <v>24601</v>
      </c>
      <c r="Z3814" t="s">
        <v>31524</v>
      </c>
      <c r="AA3814">
        <v>0.56275104984639024</v>
      </c>
      <c r="AB3814" t="str">
        <f>HYPERLINK("Melting_Curves/meltCurve_Q16566_CAMK4.pdf", "Melting_Curves/meltCurve_Q16566_CAMK4.pdf")</f>
        <v>Melting_Curves/meltCurve_Q16566_CAMK4.pdf</v>
      </c>
    </row>
    <row r="3815" spans="1:28" x14ac:dyDescent="0.25">
      <c r="A3815" t="s">
        <v>3819</v>
      </c>
      <c r="B3815">
        <v>0.99999676499088797</v>
      </c>
      <c r="C3815">
        <v>0.97359358001168606</v>
      </c>
      <c r="D3815">
        <v>0.99723433184393995</v>
      </c>
      <c r="E3815">
        <v>1.1038750993806099</v>
      </c>
      <c r="F3815">
        <v>0.93606460169595496</v>
      </c>
      <c r="G3815">
        <v>0.63311442693990505</v>
      </c>
      <c r="H3815">
        <v>0.29121570133806701</v>
      </c>
      <c r="I3815">
        <v>0.13463637892952399</v>
      </c>
      <c r="J3815">
        <v>0.137377035211487</v>
      </c>
      <c r="K3815">
        <v>0.11996476975758</v>
      </c>
      <c r="L3815">
        <v>1743.8023922946099</v>
      </c>
      <c r="M3815">
        <v>30.286904292234901</v>
      </c>
      <c r="N3815">
        <v>58.0911879686319</v>
      </c>
      <c r="O3815">
        <v>57.326841463586099</v>
      </c>
      <c r="P3815">
        <v>-0.116527429705854</v>
      </c>
      <c r="Q3815">
        <v>0.117756029178292</v>
      </c>
      <c r="R3815">
        <v>0.99078303218069297</v>
      </c>
      <c r="S3815" t="s">
        <v>10818</v>
      </c>
      <c r="T3815" t="s">
        <v>14004</v>
      </c>
      <c r="U3815" t="s">
        <v>14004</v>
      </c>
      <c r="V3815" t="s">
        <v>14004</v>
      </c>
      <c r="W3815" t="s">
        <v>17773</v>
      </c>
      <c r="X3815">
        <v>14</v>
      </c>
      <c r="Y3815" t="s">
        <v>24602</v>
      </c>
      <c r="Z3815" t="s">
        <v>31525</v>
      </c>
      <c r="AA3815">
        <v>0.64038759839252046</v>
      </c>
      <c r="AB3815" t="str">
        <f>HYPERLINK("Melting_Curves/meltCurve_Q16576_RBBP7.pdf", "Melting_Curves/meltCurve_Q16576_RBBP7.pdf")</f>
        <v>Melting_Curves/meltCurve_Q16576_RBBP7.pdf</v>
      </c>
    </row>
    <row r="3816" spans="1:28" x14ac:dyDescent="0.25">
      <c r="A3816" t="s">
        <v>3820</v>
      </c>
      <c r="B3816">
        <v>0.99999676499088797</v>
      </c>
      <c r="C3816">
        <v>1.01618003589021</v>
      </c>
      <c r="D3816">
        <v>1.0750585648804001</v>
      </c>
      <c r="E3816">
        <v>1.0148892988020199</v>
      </c>
      <c r="F3816">
        <v>0.92949864156099204</v>
      </c>
      <c r="G3816">
        <v>0.71723073372775303</v>
      </c>
      <c r="H3816">
        <v>0.32693281790337803</v>
      </c>
      <c r="I3816">
        <v>0.32702466773349498</v>
      </c>
      <c r="J3816">
        <v>0.25773407326179598</v>
      </c>
      <c r="K3816">
        <v>0.15745629536026801</v>
      </c>
      <c r="L3816">
        <v>1661.00911913612</v>
      </c>
      <c r="M3816">
        <v>28.741035449917501</v>
      </c>
      <c r="N3816">
        <v>58.944986564655103</v>
      </c>
      <c r="O3816">
        <v>57.514639861133197</v>
      </c>
      <c r="P3816">
        <v>-9.8072166919527207E-2</v>
      </c>
      <c r="Q3816">
        <v>0.214984211354525</v>
      </c>
      <c r="R3816">
        <v>0.98595034803454495</v>
      </c>
      <c r="S3816" t="s">
        <v>10819</v>
      </c>
      <c r="T3816" t="s">
        <v>14004</v>
      </c>
      <c r="U3816" t="s">
        <v>14004</v>
      </c>
      <c r="V3816" t="s">
        <v>14004</v>
      </c>
      <c r="W3816" t="s">
        <v>17774</v>
      </c>
      <c r="X3816">
        <v>14</v>
      </c>
      <c r="Y3816" t="s">
        <v>24602</v>
      </c>
      <c r="Z3816" t="s">
        <v>31526</v>
      </c>
      <c r="AA3816">
        <v>0.68612326738762641</v>
      </c>
      <c r="AB3816" t="str">
        <f>HYPERLINK("Melting_Curves/meltCurve_Q16576_2_RBBP7.pdf", "Melting_Curves/meltCurve_Q16576_2_RBBP7.pdf")</f>
        <v>Melting_Curves/meltCurve_Q16576_2_RBBP7.pdf</v>
      </c>
    </row>
    <row r="3817" spans="1:28" x14ac:dyDescent="0.25">
      <c r="A3817" t="s">
        <v>3821</v>
      </c>
      <c r="B3817">
        <v>0.99999676499088797</v>
      </c>
      <c r="C3817">
        <v>0.71764834988734005</v>
      </c>
      <c r="D3817">
        <v>0.96780563457598301</v>
      </c>
      <c r="E3817">
        <v>0.87840066726148303</v>
      </c>
      <c r="F3817">
        <v>0.44301899957448199</v>
      </c>
      <c r="G3817">
        <v>0.39057976670712802</v>
      </c>
      <c r="H3817">
        <v>0.33604395007729798</v>
      </c>
      <c r="I3817">
        <v>0.42169551833729202</v>
      </c>
      <c r="J3817">
        <v>0.37772363133403303</v>
      </c>
      <c r="K3817">
        <v>0.35034665456300501</v>
      </c>
      <c r="L3817">
        <v>2513.4535360579598</v>
      </c>
      <c r="M3817">
        <v>49.279013018147602</v>
      </c>
      <c r="N3817">
        <v>52.471188025745398</v>
      </c>
      <c r="O3817">
        <v>50.920744632959497</v>
      </c>
      <c r="P3817">
        <v>-0.151482051386963</v>
      </c>
      <c r="Q3817">
        <v>0.37388565317308098</v>
      </c>
      <c r="R3817">
        <v>0.87251827803303506</v>
      </c>
      <c r="S3817" t="s">
        <v>10820</v>
      </c>
      <c r="T3817" t="s">
        <v>14004</v>
      </c>
      <c r="U3817" t="s">
        <v>14004</v>
      </c>
      <c r="V3817" t="s">
        <v>14004</v>
      </c>
      <c r="W3817" t="s">
        <v>17775</v>
      </c>
      <c r="X3817">
        <v>1</v>
      </c>
      <c r="Y3817" t="s">
        <v>24603</v>
      </c>
      <c r="Z3817" t="s">
        <v>31527</v>
      </c>
      <c r="AA3817">
        <v>0.60500609136146477</v>
      </c>
      <c r="AB3817" t="str">
        <f>HYPERLINK("Melting_Curves/meltCurve_Q16587_5_ZNF74.pdf", "Melting_Curves/meltCurve_Q16587_5_ZNF74.pdf")</f>
        <v>Melting_Curves/meltCurve_Q16587_5_ZNF74.pdf</v>
      </c>
    </row>
    <row r="3818" spans="1:28" x14ac:dyDescent="0.25">
      <c r="A3818" t="s">
        <v>3822</v>
      </c>
      <c r="B3818">
        <v>0.99999676499088797</v>
      </c>
      <c r="C3818">
        <v>0.83255657376914405</v>
      </c>
      <c r="D3818">
        <v>0.78919346353392394</v>
      </c>
      <c r="E3818">
        <v>0.66408608073631603</v>
      </c>
      <c r="F3818">
        <v>0.65800145119018505</v>
      </c>
      <c r="G3818">
        <v>0.48515865743619602</v>
      </c>
      <c r="H3818">
        <v>0.335193251888806</v>
      </c>
      <c r="I3818">
        <v>0.34926704447739298</v>
      </c>
      <c r="J3818">
        <v>0.29537077316016003</v>
      </c>
      <c r="K3818">
        <v>0.38500543146235</v>
      </c>
      <c r="L3818">
        <v>442.653380710806</v>
      </c>
      <c r="M3818">
        <v>8.5787574163097702</v>
      </c>
      <c r="N3818">
        <v>55.9163325442413</v>
      </c>
      <c r="O3818">
        <v>49.024494351122001</v>
      </c>
      <c r="P3818">
        <v>-3.3180796979878198E-2</v>
      </c>
      <c r="Q3818">
        <v>0.24219456960250599</v>
      </c>
      <c r="R3818">
        <v>0.95193433602689403</v>
      </c>
      <c r="S3818" t="s">
        <v>10821</v>
      </c>
      <c r="T3818" t="s">
        <v>14004</v>
      </c>
      <c r="U3818" t="s">
        <v>14004</v>
      </c>
      <c r="V3818" t="s">
        <v>14004</v>
      </c>
      <c r="W3818" t="s">
        <v>17776</v>
      </c>
      <c r="X3818">
        <v>11</v>
      </c>
      <c r="Y3818" t="s">
        <v>24604</v>
      </c>
      <c r="Z3818" t="s">
        <v>31528</v>
      </c>
      <c r="AA3818">
        <v>0.57037194284500603</v>
      </c>
      <c r="AB3818" t="str">
        <f>HYPERLINK("Melting_Curves/meltCurve_Q16594_TAF9.pdf", "Melting_Curves/meltCurve_Q16594_TAF9.pdf")</f>
        <v>Melting_Curves/meltCurve_Q16594_TAF9.pdf</v>
      </c>
    </row>
    <row r="3819" spans="1:28" x14ac:dyDescent="0.25">
      <c r="A3819" t="s">
        <v>3823</v>
      </c>
      <c r="B3819">
        <v>0.99999676499088797</v>
      </c>
      <c r="C3819">
        <v>0.84693198377508805</v>
      </c>
      <c r="D3819">
        <v>0.90746727028478402</v>
      </c>
      <c r="E3819">
        <v>0.85994698802153802</v>
      </c>
      <c r="F3819">
        <v>0.71942222491677299</v>
      </c>
      <c r="G3819">
        <v>0.457308680696772</v>
      </c>
      <c r="H3819">
        <v>0.38204372697050598</v>
      </c>
      <c r="I3819">
        <v>0.33865277546776301</v>
      </c>
      <c r="J3819">
        <v>0.34700472779937303</v>
      </c>
      <c r="K3819">
        <v>0.26304917817456003</v>
      </c>
      <c r="L3819">
        <v>662.12671749297294</v>
      </c>
      <c r="M3819">
        <v>12.1775131958182</v>
      </c>
      <c r="N3819">
        <v>57.317837690813199</v>
      </c>
      <c r="O3819">
        <v>52.968954626818203</v>
      </c>
      <c r="P3819">
        <v>-4.4119189479379699E-2</v>
      </c>
      <c r="Q3819">
        <v>0.23254766130225599</v>
      </c>
      <c r="R3819">
        <v>0.96238869769723101</v>
      </c>
      <c r="S3819" t="s">
        <v>10822</v>
      </c>
      <c r="T3819" t="s">
        <v>14004</v>
      </c>
      <c r="U3819" t="s">
        <v>14004</v>
      </c>
      <c r="V3819" t="s">
        <v>14004</v>
      </c>
      <c r="W3819" t="s">
        <v>17777</v>
      </c>
      <c r="X3819">
        <v>5</v>
      </c>
      <c r="Y3819" t="s">
        <v>24605</v>
      </c>
      <c r="Z3819" t="s">
        <v>31529</v>
      </c>
      <c r="AA3819">
        <v>0.61930378874697356</v>
      </c>
      <c r="AB3819" t="str">
        <f>HYPERLINK("Melting_Curves/meltCurve_Q16625_4_OCLN.pdf", "Melting_Curves/meltCurve_Q16625_4_OCLN.pdf")</f>
        <v>Melting_Curves/meltCurve_Q16625_4_OCLN.pdf</v>
      </c>
    </row>
    <row r="3820" spans="1:28" x14ac:dyDescent="0.25">
      <c r="A3820" t="s">
        <v>3824</v>
      </c>
      <c r="B3820">
        <v>0.99999676499088797</v>
      </c>
      <c r="C3820">
        <v>1.0105997609433</v>
      </c>
      <c r="D3820">
        <v>1.05048250170271</v>
      </c>
      <c r="E3820">
        <v>0.89370691472715402</v>
      </c>
      <c r="F3820">
        <v>0.64707391382405199</v>
      </c>
      <c r="G3820">
        <v>0.75556264634778803</v>
      </c>
      <c r="H3820">
        <v>0.460934335859499</v>
      </c>
      <c r="I3820">
        <v>0.46126064129537903</v>
      </c>
      <c r="J3820">
        <v>0.37779409485969601</v>
      </c>
      <c r="K3820">
        <v>0.50829395584013304</v>
      </c>
      <c r="L3820">
        <v>845.31244545930497</v>
      </c>
      <c r="M3820">
        <v>15.556190725024299</v>
      </c>
      <c r="N3820">
        <v>61.603319687132398</v>
      </c>
      <c r="O3820">
        <v>53.465091307022298</v>
      </c>
      <c r="P3820">
        <v>-4.2182712500729101E-2</v>
      </c>
      <c r="Q3820">
        <v>0.42013951852410197</v>
      </c>
      <c r="R3820">
        <v>0.91405433508770795</v>
      </c>
      <c r="S3820" t="s">
        <v>10823</v>
      </c>
      <c r="T3820" t="s">
        <v>14004</v>
      </c>
      <c r="U3820" t="s">
        <v>14004</v>
      </c>
      <c r="V3820" t="s">
        <v>14004</v>
      </c>
      <c r="W3820" t="s">
        <v>17778</v>
      </c>
      <c r="X3820">
        <v>3</v>
      </c>
      <c r="Y3820" t="s">
        <v>24606</v>
      </c>
      <c r="Z3820" t="s">
        <v>31530</v>
      </c>
      <c r="AA3820">
        <v>0.70846789904983209</v>
      </c>
      <c r="AB3820" t="str">
        <f>HYPERLINK("Melting_Curves/meltCurve_Q16626_MEA1.pdf", "Melting_Curves/meltCurve_Q16626_MEA1.pdf")</f>
        <v>Melting_Curves/meltCurve_Q16626_MEA1.pdf</v>
      </c>
    </row>
    <row r="3821" spans="1:28" x14ac:dyDescent="0.25">
      <c r="A3821" t="s">
        <v>3825</v>
      </c>
      <c r="B3821">
        <v>0.99999676499088797</v>
      </c>
      <c r="C3821">
        <v>0.93236846450645505</v>
      </c>
      <c r="D3821">
        <v>0.87320708746001396</v>
      </c>
      <c r="E3821">
        <v>0.55252694570788197</v>
      </c>
      <c r="F3821">
        <v>0.247369306236735</v>
      </c>
      <c r="G3821">
        <v>0.16694343211523899</v>
      </c>
      <c r="H3821">
        <v>0.10434446316040499</v>
      </c>
      <c r="I3821">
        <v>9.8211847382800796E-2</v>
      </c>
      <c r="J3821">
        <v>0.108686332720573</v>
      </c>
      <c r="K3821">
        <v>0.123035936616035</v>
      </c>
      <c r="L3821">
        <v>1110.98563536336</v>
      </c>
      <c r="M3821">
        <v>22.426636698967499</v>
      </c>
      <c r="N3821">
        <v>50.060076200187602</v>
      </c>
      <c r="O3821">
        <v>49.149846333762</v>
      </c>
      <c r="P3821">
        <v>-0.10219360550411601</v>
      </c>
      <c r="Q3821">
        <v>0.104155621988251</v>
      </c>
      <c r="R3821">
        <v>0.99781974770202297</v>
      </c>
      <c r="S3821" t="s">
        <v>10824</v>
      </c>
      <c r="T3821" t="s">
        <v>14004</v>
      </c>
      <c r="U3821" t="s">
        <v>14004</v>
      </c>
      <c r="V3821" t="s">
        <v>14004</v>
      </c>
      <c r="W3821" t="s">
        <v>17779</v>
      </c>
      <c r="X3821">
        <v>30</v>
      </c>
      <c r="Y3821" t="s">
        <v>24607</v>
      </c>
      <c r="Z3821" t="s">
        <v>31531</v>
      </c>
      <c r="AA3821">
        <v>0.39892893996331408</v>
      </c>
      <c r="AB3821" t="str">
        <f>HYPERLINK("Melting_Curves/meltCurve_Q16643_DBN1.pdf", "Melting_Curves/meltCurve_Q16643_DBN1.pdf")</f>
        <v>Melting_Curves/meltCurve_Q16643_DBN1.pdf</v>
      </c>
    </row>
    <row r="3822" spans="1:28" x14ac:dyDescent="0.25">
      <c r="A3822" t="s">
        <v>3826</v>
      </c>
      <c r="B3822">
        <v>0.99999676499088797</v>
      </c>
      <c r="C3822">
        <v>0.98440449575674305</v>
      </c>
      <c r="D3822">
        <v>0.90174231438791497</v>
      </c>
      <c r="E3822">
        <v>0.65493661012182303</v>
      </c>
      <c r="F3822">
        <v>0.24596667210696699</v>
      </c>
      <c r="G3822">
        <v>0.114257156245008</v>
      </c>
      <c r="H3822">
        <v>6.3678216900745294E-2</v>
      </c>
      <c r="I3822">
        <v>6.7669153230360102E-2</v>
      </c>
      <c r="J3822">
        <v>7.7966216693917595E-2</v>
      </c>
      <c r="K3822">
        <v>3.8914176763649902E-2</v>
      </c>
      <c r="L3822">
        <v>1281.1322007327601</v>
      </c>
      <c r="M3822">
        <v>25.361303590737101</v>
      </c>
      <c r="N3822">
        <v>50.754232420280097</v>
      </c>
      <c r="O3822">
        <v>50.204300899739899</v>
      </c>
      <c r="P3822">
        <v>-0.119183823928132</v>
      </c>
      <c r="Q3822">
        <v>5.6284386276619303E-2</v>
      </c>
      <c r="R3822">
        <v>0.998666838208771</v>
      </c>
      <c r="S3822" t="s">
        <v>10825</v>
      </c>
      <c r="T3822" t="s">
        <v>14004</v>
      </c>
      <c r="U3822" t="s">
        <v>14004</v>
      </c>
      <c r="V3822" t="s">
        <v>14004</v>
      </c>
      <c r="W3822" t="s">
        <v>17780</v>
      </c>
      <c r="X3822">
        <v>13</v>
      </c>
      <c r="Y3822" t="s">
        <v>24608</v>
      </c>
      <c r="Z3822" t="s">
        <v>31532</v>
      </c>
      <c r="AA3822">
        <v>0.39530596321815092</v>
      </c>
      <c r="AB3822" t="str">
        <f>HYPERLINK("Melting_Curves/meltCurve_Q16644_MAPKAPK3.pdf", "Melting_Curves/meltCurve_Q16644_MAPKAPK3.pdf")</f>
        <v>Melting_Curves/meltCurve_Q16644_MAPKAPK3.pdf</v>
      </c>
    </row>
    <row r="3823" spans="1:28" x14ac:dyDescent="0.25">
      <c r="A3823" t="s">
        <v>3827</v>
      </c>
      <c r="B3823">
        <v>0.99999676499088797</v>
      </c>
      <c r="C3823">
        <v>0.873660848284745</v>
      </c>
      <c r="D3823">
        <v>0.60229483906919701</v>
      </c>
      <c r="E3823">
        <v>0.368806801332628</v>
      </c>
      <c r="F3823">
        <v>0.23874299750043701</v>
      </c>
      <c r="G3823">
        <v>0.20209037858531101</v>
      </c>
      <c r="H3823">
        <v>9.2070418356594602E-2</v>
      </c>
      <c r="I3823">
        <v>7.8549012410442903E-2</v>
      </c>
      <c r="J3823">
        <v>9.1059076204346501E-2</v>
      </c>
      <c r="K3823">
        <v>7.4223576173662001E-2</v>
      </c>
      <c r="L3823">
        <v>752.044695461522</v>
      </c>
      <c r="M3823">
        <v>15.9153811142473</v>
      </c>
      <c r="N3823">
        <v>47.815367439248497</v>
      </c>
      <c r="O3823">
        <v>46.525588480313203</v>
      </c>
      <c r="P3823">
        <v>-7.8222758609534496E-2</v>
      </c>
      <c r="Q3823">
        <v>8.5396297551296393E-2</v>
      </c>
      <c r="R3823">
        <v>0.99130079155098405</v>
      </c>
      <c r="S3823" t="s">
        <v>10826</v>
      </c>
      <c r="T3823" t="s">
        <v>14004</v>
      </c>
      <c r="U3823" t="s">
        <v>14004</v>
      </c>
      <c r="V3823" t="s">
        <v>14004</v>
      </c>
      <c r="W3823" t="s">
        <v>17781</v>
      </c>
      <c r="X3823">
        <v>3</v>
      </c>
      <c r="Y3823" t="s">
        <v>24609</v>
      </c>
      <c r="Z3823" t="s">
        <v>31533</v>
      </c>
      <c r="AA3823">
        <v>0.3281662202394891</v>
      </c>
      <c r="AB3823" t="str">
        <f>HYPERLINK("Melting_Curves/meltCurve_Q16656_2_NRF1.pdf", "Melting_Curves/meltCurve_Q16656_2_NRF1.pdf")</f>
        <v>Melting_Curves/meltCurve_Q16656_2_NRF1.pdf</v>
      </c>
    </row>
    <row r="3824" spans="1:28" x14ac:dyDescent="0.25">
      <c r="A3824" t="s">
        <v>3828</v>
      </c>
      <c r="B3824">
        <v>0.99999676499088797</v>
      </c>
      <c r="C3824">
        <v>0.93979393866422201</v>
      </c>
      <c r="D3824">
        <v>0.945190012134</v>
      </c>
      <c r="E3824">
        <v>0.92093246423852504</v>
      </c>
      <c r="F3824">
        <v>0.69208590009576598</v>
      </c>
      <c r="G3824">
        <v>0.52216374032854196</v>
      </c>
      <c r="H3824">
        <v>0.27462559747747001</v>
      </c>
      <c r="I3824">
        <v>0.29059893450414198</v>
      </c>
      <c r="J3824">
        <v>0.24299647117902001</v>
      </c>
      <c r="K3824">
        <v>0.242131422674012</v>
      </c>
      <c r="L3824">
        <v>997.50593272082904</v>
      </c>
      <c r="M3824">
        <v>18.213355267612101</v>
      </c>
      <c r="N3824">
        <v>56.5421943571532</v>
      </c>
      <c r="O3824">
        <v>54.120403857121602</v>
      </c>
      <c r="P3824">
        <v>-6.5822744730167096E-2</v>
      </c>
      <c r="Q3824">
        <v>0.21767611096822001</v>
      </c>
      <c r="R3824">
        <v>0.99009093410881999</v>
      </c>
      <c r="S3824" t="s">
        <v>10827</v>
      </c>
      <c r="T3824" t="s">
        <v>14004</v>
      </c>
      <c r="U3824" t="s">
        <v>14004</v>
      </c>
      <c r="V3824" t="s">
        <v>14004</v>
      </c>
      <c r="W3824" t="s">
        <v>17782</v>
      </c>
      <c r="X3824">
        <v>12</v>
      </c>
      <c r="Y3824" t="s">
        <v>24610</v>
      </c>
      <c r="Z3824" t="s">
        <v>31534</v>
      </c>
      <c r="AA3824">
        <v>0.61479696656201444</v>
      </c>
      <c r="AB3824" t="str">
        <f>HYPERLINK("Melting_Curves/meltCurve_Q16658_FSCN1.pdf", "Melting_Curves/meltCurve_Q16658_FSCN1.pdf")</f>
        <v>Melting_Curves/meltCurve_Q16658_FSCN1.pdf</v>
      </c>
    </row>
    <row r="3825" spans="1:28" x14ac:dyDescent="0.25">
      <c r="A3825" t="s">
        <v>3829</v>
      </c>
      <c r="B3825">
        <v>0.99999676499088797</v>
      </c>
      <c r="C3825">
        <v>0.97428340642232703</v>
      </c>
      <c r="D3825">
        <v>0.70558996950891495</v>
      </c>
      <c r="E3825">
        <v>0.25923297350866897</v>
      </c>
      <c r="F3825">
        <v>0.153630020262644</v>
      </c>
      <c r="G3825">
        <v>9.8756037170427496E-2</v>
      </c>
      <c r="H3825">
        <v>5.1518922003437898E-2</v>
      </c>
      <c r="I3825">
        <v>5.4518182381494897E-2</v>
      </c>
      <c r="J3825">
        <v>5.1234810844659202E-2</v>
      </c>
      <c r="K3825">
        <v>4.2635632602061699E-2</v>
      </c>
      <c r="L3825">
        <v>1283.9728315172299</v>
      </c>
      <c r="M3825">
        <v>27.111332708312201</v>
      </c>
      <c r="N3825">
        <v>47.595761148654198</v>
      </c>
      <c r="O3825">
        <v>47.103842839174703</v>
      </c>
      <c r="P3825">
        <v>-0.134825770211837</v>
      </c>
      <c r="Q3825">
        <v>6.3011593599838503E-2</v>
      </c>
      <c r="R3825">
        <v>0.99673017241263595</v>
      </c>
      <c r="S3825" t="s">
        <v>10828</v>
      </c>
      <c r="T3825" t="s">
        <v>14004</v>
      </c>
      <c r="U3825" t="s">
        <v>14004</v>
      </c>
      <c r="V3825" t="s">
        <v>14004</v>
      </c>
      <c r="W3825" t="s">
        <v>17783</v>
      </c>
      <c r="X3825">
        <v>42</v>
      </c>
      <c r="Y3825" t="s">
        <v>24611</v>
      </c>
      <c r="Z3825" t="s">
        <v>31535</v>
      </c>
      <c r="AA3825">
        <v>0.29984233907873048</v>
      </c>
      <c r="AB3825" t="str">
        <f>HYPERLINK("Melting_Curves/meltCurve_Q16666_2_IFI16.pdf", "Melting_Curves/meltCurve_Q16666_2_IFI16.pdf")</f>
        <v>Melting_Curves/meltCurve_Q16666_2_IFI16.pdf</v>
      </c>
    </row>
    <row r="3826" spans="1:28" x14ac:dyDescent="0.25">
      <c r="A3826" t="s">
        <v>3830</v>
      </c>
      <c r="B3826">
        <v>0.99999676499088797</v>
      </c>
      <c r="C3826">
        <v>1.0431131124370101</v>
      </c>
      <c r="D3826">
        <v>1.11200967056476</v>
      </c>
      <c r="E3826">
        <v>1.0312149361922101</v>
      </c>
      <c r="F3826">
        <v>0.75662483028171901</v>
      </c>
      <c r="G3826">
        <v>0.72858188119371803</v>
      </c>
      <c r="H3826">
        <v>0.44871900245477703</v>
      </c>
      <c r="I3826">
        <v>0.65882811201909397</v>
      </c>
      <c r="J3826">
        <v>0.70139223167951903</v>
      </c>
      <c r="K3826">
        <v>0.78610287930050504</v>
      </c>
      <c r="L3826">
        <v>7910.6334042435601</v>
      </c>
      <c r="M3826">
        <v>149.66969276207701</v>
      </c>
      <c r="O3826">
        <v>52.844509277816897</v>
      </c>
      <c r="P3826">
        <v>-0.23740047480554199</v>
      </c>
      <c r="Q3826">
        <v>0.66472006660288396</v>
      </c>
      <c r="R3826">
        <v>0.795978761410433</v>
      </c>
      <c r="S3826" t="s">
        <v>10829</v>
      </c>
      <c r="T3826" t="s">
        <v>14004</v>
      </c>
      <c r="U3826" t="s">
        <v>14004</v>
      </c>
      <c r="V3826" t="s">
        <v>14004</v>
      </c>
      <c r="W3826" t="s">
        <v>17784</v>
      </c>
      <c r="X3826">
        <v>5</v>
      </c>
      <c r="Y3826" t="s">
        <v>24612</v>
      </c>
      <c r="Z3826" t="s">
        <v>31536</v>
      </c>
      <c r="AA3826">
        <v>0.80846250917625917</v>
      </c>
      <c r="AB3826" t="str">
        <f>HYPERLINK("Melting_Curves/meltCurve_Q16670_2_ZSCAN26.pdf", "Melting_Curves/meltCurve_Q16670_2_ZSCAN26.pdf")</f>
        <v>Melting_Curves/meltCurve_Q16670_2_ZSCAN26.pdf</v>
      </c>
    </row>
    <row r="3827" spans="1:28" x14ac:dyDescent="0.25">
      <c r="A3827" t="s">
        <v>3831</v>
      </c>
      <c r="B3827">
        <v>0.99999676499088797</v>
      </c>
      <c r="C3827">
        <v>1.0473923525940101</v>
      </c>
      <c r="D3827">
        <v>1.00932857567953</v>
      </c>
      <c r="E3827">
        <v>0.93514757277518501</v>
      </c>
      <c r="F3827">
        <v>0.73574878823396495</v>
      </c>
      <c r="G3827">
        <v>0.29885569293824099</v>
      </c>
      <c r="H3827">
        <v>0.11080255093715199</v>
      </c>
      <c r="I3827">
        <v>0.10298011607318799</v>
      </c>
      <c r="J3827">
        <v>0.101182754773151</v>
      </c>
      <c r="K3827">
        <v>9.2848122670786404E-2</v>
      </c>
      <c r="L3827">
        <v>1723.1103862576699</v>
      </c>
      <c r="M3827">
        <v>31.540901673830401</v>
      </c>
      <c r="N3827">
        <v>54.977775178369697</v>
      </c>
      <c r="O3827">
        <v>54.412781561749902</v>
      </c>
      <c r="P3827">
        <v>-0.13184319239391501</v>
      </c>
      <c r="Q3827">
        <v>9.0207808051606206E-2</v>
      </c>
      <c r="R3827">
        <v>0.99787072256103604</v>
      </c>
      <c r="S3827" t="s">
        <v>10830</v>
      </c>
      <c r="T3827" t="s">
        <v>14004</v>
      </c>
      <c r="U3827" t="s">
        <v>14004</v>
      </c>
      <c r="V3827" t="s">
        <v>14004</v>
      </c>
      <c r="W3827" t="s">
        <v>17785</v>
      </c>
      <c r="X3827">
        <v>13</v>
      </c>
      <c r="Y3827" t="s">
        <v>24613</v>
      </c>
      <c r="Z3827" t="s">
        <v>31537</v>
      </c>
      <c r="AA3827">
        <v>0.53937801196141066</v>
      </c>
      <c r="AB3827" t="str">
        <f>HYPERLINK("Melting_Curves/meltCurve_Q16706_MAN2A1.pdf", "Melting_Curves/meltCurve_Q16706_MAN2A1.pdf")</f>
        <v>Melting_Curves/meltCurve_Q16706_MAN2A1.pdf</v>
      </c>
    </row>
    <row r="3828" spans="1:28" x14ac:dyDescent="0.25">
      <c r="A3828" t="s">
        <v>3832</v>
      </c>
      <c r="B3828">
        <v>0.99999676499088797</v>
      </c>
      <c r="C3828">
        <v>0.97232381920355004</v>
      </c>
      <c r="D3828">
        <v>0.909646840163013</v>
      </c>
      <c r="E3828">
        <v>0.91786469525665604</v>
      </c>
      <c r="F3828">
        <v>0.62117988201914398</v>
      </c>
      <c r="G3828">
        <v>0.44379976954839401</v>
      </c>
      <c r="H3828">
        <v>0.247675234885954</v>
      </c>
      <c r="I3828">
        <v>0.154175813855008</v>
      </c>
      <c r="J3828">
        <v>0.124997778758214</v>
      </c>
      <c r="K3828">
        <v>9.2330841346171505E-2</v>
      </c>
      <c r="L3828">
        <v>842.29224918996204</v>
      </c>
      <c r="M3828">
        <v>15.263123519209101</v>
      </c>
      <c r="N3828">
        <v>55.649388378584703</v>
      </c>
      <c r="O3828">
        <v>54.263511701095702</v>
      </c>
      <c r="P3828">
        <v>-6.6119106460344204E-2</v>
      </c>
      <c r="Q3828">
        <v>5.9821187080514503E-2</v>
      </c>
      <c r="R3828">
        <v>0.99376822086439998</v>
      </c>
      <c r="S3828" t="s">
        <v>10831</v>
      </c>
      <c r="T3828" t="s">
        <v>14004</v>
      </c>
      <c r="U3828" t="s">
        <v>14004</v>
      </c>
      <c r="V3828" t="s">
        <v>14004</v>
      </c>
      <c r="W3828" t="s">
        <v>17786</v>
      </c>
      <c r="X3828">
        <v>6</v>
      </c>
      <c r="Y3828" t="s">
        <v>24614</v>
      </c>
      <c r="Z3828" t="s">
        <v>31538</v>
      </c>
      <c r="AA3828">
        <v>0.55326595997879835</v>
      </c>
      <c r="AB3828" t="str">
        <f>HYPERLINK("Melting_Curves/meltCurve_Q16718_NDUFA5.pdf", "Melting_Curves/meltCurve_Q16718_NDUFA5.pdf")</f>
        <v>Melting_Curves/meltCurve_Q16718_NDUFA5.pdf</v>
      </c>
    </row>
    <row r="3829" spans="1:28" x14ac:dyDescent="0.25">
      <c r="A3829" t="s">
        <v>3833</v>
      </c>
      <c r="B3829">
        <v>0.99999676499088797</v>
      </c>
      <c r="C3829">
        <v>1.066647492877</v>
      </c>
      <c r="D3829">
        <v>1.10382519257892</v>
      </c>
      <c r="E3829">
        <v>1.1556927650319</v>
      </c>
      <c r="F3829">
        <v>1.18745370658021</v>
      </c>
      <c r="G3829">
        <v>0.89676244758079304</v>
      </c>
      <c r="H3829">
        <v>0.369951265646496</v>
      </c>
      <c r="I3829">
        <v>0.13432131449238099</v>
      </c>
      <c r="J3829">
        <v>0.108389199483686</v>
      </c>
      <c r="K3829">
        <v>9.0971187770724105E-2</v>
      </c>
      <c r="L3829">
        <v>2707.0188610468899</v>
      </c>
      <c r="M3829">
        <v>45.379647439679999</v>
      </c>
      <c r="N3829">
        <v>59.935507184416601</v>
      </c>
      <c r="O3829">
        <v>59.537212081959296</v>
      </c>
      <c r="P3829">
        <v>-0.17218775898177499</v>
      </c>
      <c r="Q3829">
        <v>9.6373201620684995E-2</v>
      </c>
      <c r="R3829">
        <v>0.96213407772207005</v>
      </c>
      <c r="S3829" t="s">
        <v>10832</v>
      </c>
      <c r="T3829" t="s">
        <v>14004</v>
      </c>
      <c r="U3829" t="s">
        <v>14004</v>
      </c>
      <c r="V3829" t="s">
        <v>14004</v>
      </c>
      <c r="W3829" t="s">
        <v>17787</v>
      </c>
      <c r="X3829">
        <v>10</v>
      </c>
      <c r="Y3829" t="s">
        <v>24615</v>
      </c>
      <c r="Z3829" t="s">
        <v>31539</v>
      </c>
      <c r="AA3829">
        <v>0.69115008171060976</v>
      </c>
      <c r="AB3829" t="str">
        <f>HYPERLINK("Melting_Curves/meltCurve_Q16740_CLPP.pdf", "Melting_Curves/meltCurve_Q16740_CLPP.pdf")</f>
        <v>Melting_Curves/meltCurve_Q16740_CLPP.pdf</v>
      </c>
    </row>
    <row r="3830" spans="1:28" x14ac:dyDescent="0.25">
      <c r="A3830" t="s">
        <v>3834</v>
      </c>
      <c r="B3830">
        <v>0.99999676499088797</v>
      </c>
      <c r="C3830">
        <v>0.93661753591115804</v>
      </c>
      <c r="D3830">
        <v>0.66140688082446897</v>
      </c>
      <c r="E3830">
        <v>0.38539857190990301</v>
      </c>
      <c r="F3830">
        <v>0.20240862647541999</v>
      </c>
      <c r="G3830">
        <v>0.13065356194394401</v>
      </c>
      <c r="H3830">
        <v>6.20023683501124E-2</v>
      </c>
      <c r="I3830">
        <v>5.8023497610988101E-2</v>
      </c>
      <c r="J3830">
        <v>5.38539752653516E-2</v>
      </c>
      <c r="K3830">
        <v>3.9032317867895801E-2</v>
      </c>
      <c r="L3830">
        <v>856.38057781906298</v>
      </c>
      <c r="M3830">
        <v>17.868982565291699</v>
      </c>
      <c r="N3830">
        <v>48.212903930320103</v>
      </c>
      <c r="O3830">
        <v>47.337383367600403</v>
      </c>
      <c r="P3830">
        <v>-8.9607617000874704E-2</v>
      </c>
      <c r="Q3830">
        <v>5.0516529717555901E-2</v>
      </c>
      <c r="R3830">
        <v>0.99637160971536698</v>
      </c>
      <c r="S3830" t="s">
        <v>10833</v>
      </c>
      <c r="T3830" t="s">
        <v>14004</v>
      </c>
      <c r="U3830" t="s">
        <v>14004</v>
      </c>
      <c r="V3830" t="s">
        <v>14004</v>
      </c>
      <c r="W3830" t="s">
        <v>17788</v>
      </c>
      <c r="X3830">
        <v>7</v>
      </c>
      <c r="Y3830" t="s">
        <v>24616</v>
      </c>
      <c r="Z3830" t="s">
        <v>31540</v>
      </c>
      <c r="AA3830">
        <v>0.31850072288738102</v>
      </c>
      <c r="AB3830" t="str">
        <f>HYPERLINK("Melting_Curves/meltCurve_Q16762_TST.pdf", "Melting_Curves/meltCurve_Q16762_TST.pdf")</f>
        <v>Melting_Curves/meltCurve_Q16762_TST.pdf</v>
      </c>
    </row>
    <row r="3831" spans="1:28" x14ac:dyDescent="0.25">
      <c r="A3831" t="s">
        <v>3835</v>
      </c>
      <c r="B3831">
        <v>0.99999676499088797</v>
      </c>
      <c r="C3831">
        <v>0.89415600925962302</v>
      </c>
      <c r="D3831">
        <v>0.93646959339564995</v>
      </c>
      <c r="E3831">
        <v>0.83769020725051702</v>
      </c>
      <c r="F3831">
        <v>0.40896715284604401</v>
      </c>
      <c r="G3831">
        <v>0.236743421062239</v>
      </c>
      <c r="H3831">
        <v>0.113194936410729</v>
      </c>
      <c r="I3831">
        <v>9.5892755443144004E-2</v>
      </c>
      <c r="J3831">
        <v>0.10413621248914801</v>
      </c>
      <c r="K3831">
        <v>6.8464045930319004E-2</v>
      </c>
      <c r="L3831">
        <v>1233.53273514139</v>
      </c>
      <c r="M3831">
        <v>23.6169358709232</v>
      </c>
      <c r="N3831">
        <v>52.651514341974902</v>
      </c>
      <c r="O3831">
        <v>51.860694560791899</v>
      </c>
      <c r="P3831">
        <v>-0.104061449581003</v>
      </c>
      <c r="Q3831">
        <v>8.5976583474470999E-2</v>
      </c>
      <c r="R3831">
        <v>0.98917576054218603</v>
      </c>
      <c r="S3831" t="s">
        <v>10834</v>
      </c>
      <c r="T3831" t="s">
        <v>14004</v>
      </c>
      <c r="U3831" t="s">
        <v>14004</v>
      </c>
      <c r="V3831" t="s">
        <v>14004</v>
      </c>
      <c r="W3831" t="s">
        <v>17789</v>
      </c>
      <c r="X3831">
        <v>14</v>
      </c>
      <c r="Y3831" t="s">
        <v>24617</v>
      </c>
      <c r="Z3831" t="s">
        <v>31541</v>
      </c>
      <c r="AA3831">
        <v>0.46793704988732387</v>
      </c>
      <c r="AB3831" t="str">
        <f>HYPERLINK("Melting_Curves/meltCurve_Q16763_UBE2S.pdf", "Melting_Curves/meltCurve_Q16763_UBE2S.pdf")</f>
        <v>Melting_Curves/meltCurve_Q16763_UBE2S.pdf</v>
      </c>
    </row>
    <row r="3832" spans="1:28" x14ac:dyDescent="0.25">
      <c r="A3832" t="s">
        <v>3836</v>
      </c>
      <c r="B3832">
        <v>0.99999676499088797</v>
      </c>
      <c r="C3832">
        <v>0.94450474363920101</v>
      </c>
      <c r="D3832">
        <v>0.92468410934553902</v>
      </c>
      <c r="E3832">
        <v>0.86122589192777599</v>
      </c>
      <c r="F3832">
        <v>0.80752850368357898</v>
      </c>
      <c r="G3832">
        <v>0.62220441694697104</v>
      </c>
      <c r="H3832">
        <v>0.341131707459851</v>
      </c>
      <c r="I3832">
        <v>0.256831327058888</v>
      </c>
      <c r="J3832">
        <v>0.173462987295846</v>
      </c>
      <c r="K3832">
        <v>0.13185110106746301</v>
      </c>
      <c r="L3832">
        <v>709.89177359530902</v>
      </c>
      <c r="M3832">
        <v>12.140650852977901</v>
      </c>
      <c r="N3832">
        <v>58.472299583742597</v>
      </c>
      <c r="O3832">
        <v>56.953729300361097</v>
      </c>
      <c r="P3832">
        <v>-5.3304023637574097E-2</v>
      </c>
      <c r="Q3832">
        <v>0</v>
      </c>
      <c r="R3832">
        <v>0.99114933072671496</v>
      </c>
      <c r="S3832" t="s">
        <v>10835</v>
      </c>
      <c r="T3832" t="s">
        <v>14004</v>
      </c>
      <c r="U3832" t="s">
        <v>14004</v>
      </c>
      <c r="V3832" t="s">
        <v>14004</v>
      </c>
      <c r="W3832" t="s">
        <v>17790</v>
      </c>
      <c r="X3832">
        <v>16</v>
      </c>
      <c r="Y3832" t="s">
        <v>24618</v>
      </c>
      <c r="Z3832" t="s">
        <v>31542</v>
      </c>
      <c r="AA3832">
        <v>0.62642923068694223</v>
      </c>
      <c r="AB3832" t="str">
        <f>HYPERLINK("Melting_Curves/meltCurve_Q16775_HAGH.pdf", "Melting_Curves/meltCurve_Q16775_HAGH.pdf")</f>
        <v>Melting_Curves/meltCurve_Q16775_HAGH.pdf</v>
      </c>
    </row>
    <row r="3833" spans="1:28" x14ac:dyDescent="0.25">
      <c r="A3833" t="s">
        <v>3837</v>
      </c>
      <c r="B3833">
        <v>0.99999676499088797</v>
      </c>
      <c r="C3833">
        <v>0.93204814903744104</v>
      </c>
      <c r="D3833">
        <v>0.95789990477574705</v>
      </c>
      <c r="E3833">
        <v>0.62740591572406801</v>
      </c>
      <c r="F3833">
        <v>0.34485084886335898</v>
      </c>
      <c r="G3833">
        <v>0.54022372650737105</v>
      </c>
      <c r="H3833">
        <v>0.42214784606829597</v>
      </c>
      <c r="I3833">
        <v>0.420950385360707</v>
      </c>
      <c r="J3833">
        <v>0.50089185172575501</v>
      </c>
      <c r="K3833">
        <v>0.25977362025331602</v>
      </c>
      <c r="S3833" t="s">
        <v>10836</v>
      </c>
      <c r="T3833" t="s">
        <v>14004</v>
      </c>
      <c r="U3833" t="s">
        <v>14005</v>
      </c>
      <c r="V3833" t="s">
        <v>14004</v>
      </c>
      <c r="W3833" t="s">
        <v>17791</v>
      </c>
      <c r="X3833">
        <v>11</v>
      </c>
      <c r="Y3833" t="s">
        <v>24619</v>
      </c>
      <c r="Z3833" t="s">
        <v>31543</v>
      </c>
      <c r="AB3833" t="str">
        <f>HYPERLINK("Melting_Curves/meltCurve_Q16778_HIST2H2BE.pdf", "Melting_Curves/meltCurve_Q16778_HIST2H2BE.pdf")</f>
        <v>Melting_Curves/meltCurve_Q16778_HIST2H2BE.pdf</v>
      </c>
    </row>
    <row r="3834" spans="1:28" x14ac:dyDescent="0.25">
      <c r="A3834" t="s">
        <v>3838</v>
      </c>
      <c r="B3834">
        <v>0.99999676499088797</v>
      </c>
      <c r="C3834">
        <v>0.97453464212787599</v>
      </c>
      <c r="D3834">
        <v>1.0088078459227601</v>
      </c>
      <c r="E3834">
        <v>0.82461711120930403</v>
      </c>
      <c r="F3834">
        <v>0.28285030046409099</v>
      </c>
      <c r="G3834">
        <v>0.167742849763066</v>
      </c>
      <c r="H3834">
        <v>4.7133622732185701E-2</v>
      </c>
      <c r="I3834">
        <v>5.2257361471066098E-2</v>
      </c>
      <c r="J3834">
        <v>3.6420019377002899E-2</v>
      </c>
      <c r="K3834">
        <v>3.4107544566960399E-2</v>
      </c>
      <c r="L3834">
        <v>1760.4324034793401</v>
      </c>
      <c r="M3834">
        <v>34.090320826545401</v>
      </c>
      <c r="N3834">
        <v>51.814082022192203</v>
      </c>
      <c r="O3834">
        <v>51.463531788138901</v>
      </c>
      <c r="P3834">
        <v>-0.15665678782699</v>
      </c>
      <c r="Q3834">
        <v>5.4033280427014101E-2</v>
      </c>
      <c r="R3834">
        <v>0.99549638708243204</v>
      </c>
      <c r="S3834" t="s">
        <v>10837</v>
      </c>
      <c r="T3834" t="s">
        <v>14004</v>
      </c>
      <c r="U3834" t="s">
        <v>14004</v>
      </c>
      <c r="V3834" t="s">
        <v>14004</v>
      </c>
      <c r="W3834" t="s">
        <v>17792</v>
      </c>
      <c r="X3834">
        <v>6</v>
      </c>
      <c r="Y3834" t="s">
        <v>24620</v>
      </c>
      <c r="Z3834" t="s">
        <v>31544</v>
      </c>
      <c r="AA3834">
        <v>0.4257307172968654</v>
      </c>
      <c r="AB3834" t="str">
        <f>HYPERLINK("Melting_Curves/meltCurve_Q16795_NDUFA9.pdf", "Melting_Curves/meltCurve_Q16795_NDUFA9.pdf")</f>
        <v>Melting_Curves/meltCurve_Q16795_NDUFA9.pdf</v>
      </c>
    </row>
    <row r="3835" spans="1:28" x14ac:dyDescent="0.25">
      <c r="A3835" t="s">
        <v>3839</v>
      </c>
      <c r="B3835">
        <v>0.99999676499088797</v>
      </c>
      <c r="C3835">
        <v>1.0707667875200699</v>
      </c>
      <c r="D3835">
        <v>1.0520919987940001</v>
      </c>
      <c r="E3835">
        <v>1.12759329923769</v>
      </c>
      <c r="F3835">
        <v>0.48305598252177301</v>
      </c>
      <c r="G3835">
        <v>0.23832794114484501</v>
      </c>
      <c r="H3835">
        <v>9.8888548344053098E-2</v>
      </c>
      <c r="I3835">
        <v>8.0910420632123004E-2</v>
      </c>
      <c r="J3835">
        <v>7.6849485470061402E-2</v>
      </c>
      <c r="K3835">
        <v>7.5355580806997599E-2</v>
      </c>
      <c r="L3835">
        <v>4851.1787718038404</v>
      </c>
      <c r="M3835">
        <v>91.513248470600701</v>
      </c>
      <c r="N3835">
        <v>53.160112126997802</v>
      </c>
      <c r="O3835">
        <v>52.985372519506697</v>
      </c>
      <c r="P3835">
        <v>-0.38281267631433102</v>
      </c>
      <c r="Q3835">
        <v>0.113419270456423</v>
      </c>
      <c r="R3835">
        <v>0.97852400107020499</v>
      </c>
      <c r="S3835" t="s">
        <v>10838</v>
      </c>
      <c r="T3835" t="s">
        <v>14004</v>
      </c>
      <c r="U3835" t="s">
        <v>14004</v>
      </c>
      <c r="V3835" t="s">
        <v>14004</v>
      </c>
      <c r="W3835" t="s">
        <v>17793</v>
      </c>
      <c r="X3835">
        <v>25</v>
      </c>
      <c r="Y3835" t="s">
        <v>24621</v>
      </c>
      <c r="Z3835" t="s">
        <v>31545</v>
      </c>
      <c r="AA3835">
        <v>0.49853606918100202</v>
      </c>
      <c r="AB3835" t="str">
        <f>HYPERLINK("Melting_Curves/meltCurve_Q16822_PCK2.pdf", "Melting_Curves/meltCurve_Q16822_PCK2.pdf")</f>
        <v>Melting_Curves/meltCurve_Q16822_PCK2.pdf</v>
      </c>
    </row>
    <row r="3836" spans="1:28" x14ac:dyDescent="0.25">
      <c r="A3836" t="s">
        <v>3840</v>
      </c>
      <c r="B3836">
        <v>0.99999676499088797</v>
      </c>
      <c r="C3836">
        <v>1.1080364369109601</v>
      </c>
      <c r="D3836">
        <v>1.07156923899697</v>
      </c>
      <c r="E3836">
        <v>0.983723468874524</v>
      </c>
      <c r="F3836">
        <v>0.81118001785292204</v>
      </c>
      <c r="G3836">
        <v>0.72821429301723895</v>
      </c>
      <c r="H3836">
        <v>0.497391138885457</v>
      </c>
      <c r="I3836">
        <v>0.55265227884076895</v>
      </c>
      <c r="J3836">
        <v>0.54032328866621104</v>
      </c>
      <c r="K3836">
        <v>0.54359931765980996</v>
      </c>
      <c r="L3836">
        <v>1353.27282351249</v>
      </c>
      <c r="M3836">
        <v>24.642036846241002</v>
      </c>
      <c r="O3836">
        <v>54.559411523266299</v>
      </c>
      <c r="P3836">
        <v>-5.3470171213418502E-2</v>
      </c>
      <c r="Q3836">
        <v>0.52645803645048705</v>
      </c>
      <c r="R3836">
        <v>0.94754087169714196</v>
      </c>
      <c r="S3836" t="s">
        <v>10839</v>
      </c>
      <c r="T3836" t="s">
        <v>14004</v>
      </c>
      <c r="U3836" t="s">
        <v>14004</v>
      </c>
      <c r="V3836" t="s">
        <v>14004</v>
      </c>
      <c r="W3836" t="s">
        <v>17794</v>
      </c>
      <c r="X3836">
        <v>7</v>
      </c>
      <c r="Y3836" t="s">
        <v>24622</v>
      </c>
      <c r="Z3836" t="s">
        <v>31546</v>
      </c>
      <c r="AA3836">
        <v>0.76641711229696052</v>
      </c>
      <c r="AB3836" t="str">
        <f>HYPERLINK("Melting_Curves/meltCurve_Q16854_DGUOK.pdf", "Melting_Curves/meltCurve_Q16854_DGUOK.pdf")</f>
        <v>Melting_Curves/meltCurve_Q16854_DGUOK.pdf</v>
      </c>
    </row>
    <row r="3837" spans="1:28" x14ac:dyDescent="0.25">
      <c r="A3837" t="s">
        <v>3841</v>
      </c>
      <c r="B3837">
        <v>0.99999676499088797</v>
      </c>
      <c r="C3837">
        <v>0.97712481131557705</v>
      </c>
      <c r="D3837">
        <v>0.96525952653080205</v>
      </c>
      <c r="E3837">
        <v>0.90831760566917397</v>
      </c>
      <c r="F3837">
        <v>0.88868123856695902</v>
      </c>
      <c r="G3837">
        <v>0.70388258251465297</v>
      </c>
      <c r="H3837">
        <v>0.42774539722973498</v>
      </c>
      <c r="I3837">
        <v>0.35478479771528498</v>
      </c>
      <c r="J3837">
        <v>0.34151589235024798</v>
      </c>
      <c r="K3837">
        <v>0.32416313453513901</v>
      </c>
      <c r="L3837">
        <v>1208.85572168057</v>
      </c>
      <c r="M3837">
        <v>21.129677756664599</v>
      </c>
      <c r="N3837">
        <v>59.798094803972603</v>
      </c>
      <c r="O3837">
        <v>56.706224008785703</v>
      </c>
      <c r="P3837">
        <v>-6.5251411036648194E-2</v>
      </c>
      <c r="Q3837">
        <v>0.29955124541642297</v>
      </c>
      <c r="R3837">
        <v>0.99010904255416099</v>
      </c>
      <c r="S3837" t="s">
        <v>10840</v>
      </c>
      <c r="T3837" t="s">
        <v>14004</v>
      </c>
      <c r="U3837" t="s">
        <v>14004</v>
      </c>
      <c r="V3837" t="s">
        <v>14004</v>
      </c>
      <c r="W3837" t="s">
        <v>17795</v>
      </c>
      <c r="X3837">
        <v>5</v>
      </c>
      <c r="Y3837" t="s">
        <v>24623</v>
      </c>
      <c r="Z3837" t="s">
        <v>31547</v>
      </c>
      <c r="AA3837">
        <v>0.70932490629461664</v>
      </c>
      <c r="AB3837" t="str">
        <f>HYPERLINK("Melting_Curves/meltCurve_Q16864_ATP6V1F.pdf", "Melting_Curves/meltCurve_Q16864_ATP6V1F.pdf")</f>
        <v>Melting_Curves/meltCurve_Q16864_ATP6V1F.pdf</v>
      </c>
    </row>
    <row r="3838" spans="1:28" x14ac:dyDescent="0.25">
      <c r="A3838" t="s">
        <v>3842</v>
      </c>
      <c r="B3838">
        <v>0.99999676499088797</v>
      </c>
      <c r="C3838">
        <v>1.0088865255403601</v>
      </c>
      <c r="D3838">
        <v>0.979742492884497</v>
      </c>
      <c r="E3838">
        <v>0.83626318613931006</v>
      </c>
      <c r="F3838">
        <v>0.429327386806791</v>
      </c>
      <c r="G3838">
        <v>0.27735223149989202</v>
      </c>
      <c r="H3838">
        <v>0.13303147829027001</v>
      </c>
      <c r="I3838">
        <v>0.143052906944657</v>
      </c>
      <c r="J3838">
        <v>0.121438091713679</v>
      </c>
      <c r="K3838">
        <v>9.7706471132756295E-2</v>
      </c>
      <c r="L3838">
        <v>1294.24563034369</v>
      </c>
      <c r="M3838">
        <v>24.763022149584302</v>
      </c>
      <c r="N3838">
        <v>52.852287522563103</v>
      </c>
      <c r="O3838">
        <v>51.927983819623002</v>
      </c>
      <c r="P3838">
        <v>-0.104885867530533</v>
      </c>
      <c r="Q3838">
        <v>0.120230876562647</v>
      </c>
      <c r="R3838">
        <v>0.99629664704536303</v>
      </c>
      <c r="S3838" t="s">
        <v>10841</v>
      </c>
      <c r="T3838" t="s">
        <v>14004</v>
      </c>
      <c r="U3838" t="s">
        <v>14004</v>
      </c>
      <c r="V3838" t="s">
        <v>14004</v>
      </c>
      <c r="W3838" t="s">
        <v>17796</v>
      </c>
      <c r="X3838">
        <v>42</v>
      </c>
      <c r="Y3838" t="s">
        <v>24624</v>
      </c>
      <c r="Z3838" t="s">
        <v>31548</v>
      </c>
      <c r="AA3838">
        <v>0.48811674844457931</v>
      </c>
      <c r="AB3838" t="str">
        <f>HYPERLINK("Melting_Curves/meltCurve_Q16891_2_IMMT.pdf", "Melting_Curves/meltCurve_Q16891_2_IMMT.pdf")</f>
        <v>Melting_Curves/meltCurve_Q16891_2_IMMT.pdf</v>
      </c>
    </row>
    <row r="3839" spans="1:28" x14ac:dyDescent="0.25">
      <c r="A3839" t="s">
        <v>3843</v>
      </c>
      <c r="B3839">
        <v>0.99999676499088797</v>
      </c>
      <c r="C3839">
        <v>1.01700501786565</v>
      </c>
      <c r="D3839">
        <v>0.956321375467303</v>
      </c>
      <c r="E3839">
        <v>0.82944912338372401</v>
      </c>
      <c r="F3839">
        <v>0.77648410663111</v>
      </c>
      <c r="G3839">
        <v>0.69782997066663199</v>
      </c>
      <c r="H3839">
        <v>0.451044566673656</v>
      </c>
      <c r="I3839">
        <v>0.44843989674874601</v>
      </c>
      <c r="J3839">
        <v>0.38501667438930198</v>
      </c>
      <c r="K3839">
        <v>0.27821233776856502</v>
      </c>
      <c r="L3839">
        <v>548.94536128311802</v>
      </c>
      <c r="M3839">
        <v>9.2773763421077309</v>
      </c>
      <c r="N3839">
        <v>61.2815758586759</v>
      </c>
      <c r="O3839">
        <v>56.6160850094751</v>
      </c>
      <c r="P3839">
        <v>-3.53853836877389E-2</v>
      </c>
      <c r="Q3839">
        <v>0.136787856872017</v>
      </c>
      <c r="R3839">
        <v>0.98114243204242901</v>
      </c>
      <c r="S3839" t="s">
        <v>10842</v>
      </c>
      <c r="T3839" t="s">
        <v>14004</v>
      </c>
      <c r="U3839" t="s">
        <v>14004</v>
      </c>
      <c r="V3839" t="s">
        <v>14004</v>
      </c>
      <c r="W3839" t="s">
        <v>17797</v>
      </c>
      <c r="X3839">
        <v>11</v>
      </c>
      <c r="Y3839" t="s">
        <v>24625</v>
      </c>
      <c r="Z3839" t="s">
        <v>31549</v>
      </c>
      <c r="AA3839">
        <v>0.68791100289288698</v>
      </c>
      <c r="AB3839" t="str">
        <f>HYPERLINK("Melting_Curves/meltCurve_Q17R31_2_TATDN3.pdf", "Melting_Curves/meltCurve_Q17R31_2_TATDN3.pdf")</f>
        <v>Melting_Curves/meltCurve_Q17R31_2_TATDN3.pdf</v>
      </c>
    </row>
    <row r="3840" spans="1:28" x14ac:dyDescent="0.25">
      <c r="A3840" t="s">
        <v>3844</v>
      </c>
      <c r="B3840">
        <v>0.99999676499088797</v>
      </c>
      <c r="C3840">
        <v>1.05572172755604</v>
      </c>
      <c r="D3840">
        <v>0.94569635609427105</v>
      </c>
      <c r="E3840">
        <v>0.81023214638352004</v>
      </c>
      <c r="F3840">
        <v>0.380568500647327</v>
      </c>
      <c r="G3840">
        <v>0.27845466984342199</v>
      </c>
      <c r="H3840">
        <v>0.12109088073862399</v>
      </c>
      <c r="I3840">
        <v>0.11781870581991701</v>
      </c>
      <c r="J3840">
        <v>0.101801276296102</v>
      </c>
      <c r="K3840">
        <v>8.0588641222884699E-2</v>
      </c>
      <c r="L3840">
        <v>1221.1817209168701</v>
      </c>
      <c r="M3840">
        <v>23.493507077308799</v>
      </c>
      <c r="N3840">
        <v>52.491698917946898</v>
      </c>
      <c r="O3840">
        <v>51.607311149986003</v>
      </c>
      <c r="P3840">
        <v>-0.102153586012554</v>
      </c>
      <c r="Q3840">
        <v>0.102427256824087</v>
      </c>
      <c r="R3840">
        <v>0.99150217544375496</v>
      </c>
      <c r="S3840" t="s">
        <v>10843</v>
      </c>
      <c r="T3840" t="s">
        <v>14004</v>
      </c>
      <c r="U3840" t="s">
        <v>14004</v>
      </c>
      <c r="V3840" t="s">
        <v>14004</v>
      </c>
      <c r="W3840" t="s">
        <v>17798</v>
      </c>
      <c r="X3840">
        <v>7</v>
      </c>
      <c r="Y3840" t="s">
        <v>24626</v>
      </c>
      <c r="Z3840" t="s">
        <v>31550</v>
      </c>
      <c r="AA3840">
        <v>0.47006989748436911</v>
      </c>
      <c r="AB3840" t="str">
        <f>HYPERLINK("Melting_Curves/meltCurve_Q17RN3_FAM98C.pdf", "Melting_Curves/meltCurve_Q17RN3_FAM98C.pdf")</f>
        <v>Melting_Curves/meltCurve_Q17RN3_FAM98C.pdf</v>
      </c>
    </row>
    <row r="3841" spans="1:28" x14ac:dyDescent="0.25">
      <c r="A3841" t="s">
        <v>3845</v>
      </c>
      <c r="B3841">
        <v>0.99999676499088797</v>
      </c>
      <c r="C3841">
        <v>0.89287318736641796</v>
      </c>
      <c r="D3841">
        <v>0.63121989121655897</v>
      </c>
      <c r="E3841">
        <v>0.28186633263480998</v>
      </c>
      <c r="F3841">
        <v>0.17987192642299599</v>
      </c>
      <c r="G3841">
        <v>0.113879394656541</v>
      </c>
      <c r="H3841">
        <v>6.3150129234578301E-2</v>
      </c>
      <c r="I3841">
        <v>7.3912144984959696E-2</v>
      </c>
      <c r="J3841">
        <v>7.0681484623291893E-2</v>
      </c>
      <c r="K3841">
        <v>5.8603188491141697E-2</v>
      </c>
      <c r="L3841">
        <v>982.57890969941195</v>
      </c>
      <c r="M3841">
        <v>20.931498711869502</v>
      </c>
      <c r="N3841">
        <v>47.294594541623198</v>
      </c>
      <c r="O3841">
        <v>46.520431390768103</v>
      </c>
      <c r="P3841">
        <v>-0.10437490145928401</v>
      </c>
      <c r="Q3841">
        <v>7.2128849537687806E-2</v>
      </c>
      <c r="R3841">
        <v>0.99752123246908897</v>
      </c>
      <c r="S3841" t="s">
        <v>10844</v>
      </c>
      <c r="T3841" t="s">
        <v>14004</v>
      </c>
      <c r="U3841" t="s">
        <v>14004</v>
      </c>
      <c r="V3841" t="s">
        <v>14004</v>
      </c>
      <c r="W3841" t="s">
        <v>17799</v>
      </c>
      <c r="X3841">
        <v>15</v>
      </c>
      <c r="Y3841" t="s">
        <v>24627</v>
      </c>
      <c r="Z3841" t="s">
        <v>31551</v>
      </c>
      <c r="AA3841">
        <v>0.29916370243899443</v>
      </c>
      <c r="AB3841" t="str">
        <f>HYPERLINK("Melting_Curves/meltCurve_Q17RU2_REL.pdf", "Melting_Curves/meltCurve_Q17RU2_REL.pdf")</f>
        <v>Melting_Curves/meltCurve_Q17RU2_REL.pdf</v>
      </c>
    </row>
    <row r="3842" spans="1:28" x14ac:dyDescent="0.25">
      <c r="A3842" t="s">
        <v>3846</v>
      </c>
      <c r="B3842">
        <v>0.99999676499088797</v>
      </c>
      <c r="C3842">
        <v>0.86468629943545205</v>
      </c>
      <c r="D3842">
        <v>0.99866483080963697</v>
      </c>
      <c r="E3842">
        <v>0.77841105832581503</v>
      </c>
      <c r="F3842">
        <v>0.35252512516196099</v>
      </c>
      <c r="G3842">
        <v>0.69192356663644405</v>
      </c>
      <c r="H3842">
        <v>0.52355150222107005</v>
      </c>
      <c r="I3842">
        <v>0.64321477295983198</v>
      </c>
      <c r="J3842">
        <v>0.53222811215655996</v>
      </c>
      <c r="K3842">
        <v>0.78945898857216201</v>
      </c>
      <c r="L3842">
        <v>12392.265415310399</v>
      </c>
      <c r="M3842">
        <v>250</v>
      </c>
      <c r="O3842">
        <v>49.565885826865497</v>
      </c>
      <c r="P3842">
        <v>-0.51848028805395696</v>
      </c>
      <c r="Q3842">
        <v>0.58881701321400204</v>
      </c>
      <c r="R3842">
        <v>0.66198113609553999</v>
      </c>
      <c r="S3842" t="s">
        <v>10845</v>
      </c>
      <c r="T3842" t="s">
        <v>14004</v>
      </c>
      <c r="U3842" t="s">
        <v>14004</v>
      </c>
      <c r="V3842" t="s">
        <v>14004</v>
      </c>
      <c r="W3842" t="s">
        <v>17800</v>
      </c>
      <c r="X3842">
        <v>2</v>
      </c>
      <c r="Y3842" t="s">
        <v>24628</v>
      </c>
      <c r="Z3842" t="s">
        <v>31552</v>
      </c>
      <c r="AA3842">
        <v>0.72000729504779681</v>
      </c>
      <c r="AB3842" t="str">
        <f>HYPERLINK("Melting_Curves/meltCurve_Q1ED39_KNOP1.pdf", "Melting_Curves/meltCurve_Q1ED39_KNOP1.pdf")</f>
        <v>Melting_Curves/meltCurve_Q1ED39_KNOP1.pdf</v>
      </c>
    </row>
    <row r="3843" spans="1:28" x14ac:dyDescent="0.25">
      <c r="A3843" t="s">
        <v>3847</v>
      </c>
      <c r="B3843">
        <v>0.99999676499088797</v>
      </c>
      <c r="C3843">
        <v>0.99785376730368303</v>
      </c>
      <c r="D3843">
        <v>1.0171281369798599</v>
      </c>
      <c r="E3843">
        <v>1.0331173628706301</v>
      </c>
      <c r="F3843">
        <v>0.30183466739064901</v>
      </c>
      <c r="G3843">
        <v>0.185017486205867</v>
      </c>
      <c r="H3843">
        <v>0.100473088191656</v>
      </c>
      <c r="I3843">
        <v>9.1717875872257104E-2</v>
      </c>
      <c r="J3843">
        <v>8.3800567099138704E-2</v>
      </c>
      <c r="K3843">
        <v>8.0887340291634705E-2</v>
      </c>
      <c r="L3843">
        <v>10776.9815563344</v>
      </c>
      <c r="M3843">
        <v>203.85824501616301</v>
      </c>
      <c r="N3843">
        <v>52.928509177378103</v>
      </c>
      <c r="O3843">
        <v>52.859988204559002</v>
      </c>
      <c r="P3843">
        <v>-0.85964966314896096</v>
      </c>
      <c r="Q3843">
        <v>0.108379041904465</v>
      </c>
      <c r="R3843">
        <v>0.99518357522913503</v>
      </c>
      <c r="S3843" t="s">
        <v>10846</v>
      </c>
      <c r="T3843" t="s">
        <v>14004</v>
      </c>
      <c r="U3843" t="s">
        <v>14004</v>
      </c>
      <c r="V3843" t="s">
        <v>14004</v>
      </c>
      <c r="W3843" t="s">
        <v>17801</v>
      </c>
      <c r="X3843">
        <v>14</v>
      </c>
      <c r="Y3843" t="s">
        <v>24629</v>
      </c>
      <c r="Z3843" t="s">
        <v>31553</v>
      </c>
      <c r="AA3843">
        <v>0.49086250067800918</v>
      </c>
      <c r="AB3843" t="str">
        <f>HYPERLINK("Melting_Curves/meltCurve_Q1KMD3_HNRNPUL2.pdf", "Melting_Curves/meltCurve_Q1KMD3_HNRNPUL2.pdf")</f>
        <v>Melting_Curves/meltCurve_Q1KMD3_HNRNPUL2.pdf</v>
      </c>
    </row>
    <row r="3844" spans="1:28" x14ac:dyDescent="0.25">
      <c r="A3844" t="s">
        <v>3848</v>
      </c>
      <c r="B3844">
        <v>0.99999676499088797</v>
      </c>
      <c r="C3844">
        <v>0.98578405149806503</v>
      </c>
      <c r="D3844">
        <v>0.95111839504293905</v>
      </c>
      <c r="E3844">
        <v>0.65654918513497995</v>
      </c>
      <c r="F3844">
        <v>0.61469031817863495</v>
      </c>
      <c r="G3844">
        <v>0.64352118460957197</v>
      </c>
      <c r="H3844">
        <v>0.53963141653847402</v>
      </c>
      <c r="I3844">
        <v>0.66013486888478401</v>
      </c>
      <c r="J3844">
        <v>0.61756123838650501</v>
      </c>
      <c r="K3844">
        <v>0.66665320557180197</v>
      </c>
      <c r="L3844">
        <v>2688.2431858536102</v>
      </c>
      <c r="M3844">
        <v>56.546169092728597</v>
      </c>
      <c r="O3844">
        <v>47.481328384439102</v>
      </c>
      <c r="P3844">
        <v>-0.112074833688787</v>
      </c>
      <c r="Q3844">
        <v>0.62356712845547302</v>
      </c>
      <c r="R3844">
        <v>0.95961021356464504</v>
      </c>
      <c r="S3844" t="s">
        <v>10847</v>
      </c>
      <c r="T3844" t="s">
        <v>14004</v>
      </c>
      <c r="U3844" t="s">
        <v>14004</v>
      </c>
      <c r="V3844" t="s">
        <v>14004</v>
      </c>
      <c r="W3844" t="s">
        <v>17802</v>
      </c>
      <c r="X3844">
        <v>10</v>
      </c>
      <c r="Y3844" t="s">
        <v>24630</v>
      </c>
      <c r="Z3844" t="s">
        <v>31554</v>
      </c>
      <c r="AA3844">
        <v>0.71880237327032315</v>
      </c>
      <c r="AB3844" t="str">
        <f>HYPERLINK("Melting_Curves/meltCurve_Q1MSJ5_1_CSPP1.pdf", "Melting_Curves/meltCurve_Q1MSJ5_1_CSPP1.pdf")</f>
        <v>Melting_Curves/meltCurve_Q1MSJ5_1_CSPP1.pdf</v>
      </c>
    </row>
    <row r="3845" spans="1:28" x14ac:dyDescent="0.25">
      <c r="A3845" t="s">
        <v>3849</v>
      </c>
      <c r="B3845">
        <v>0.99999676499088797</v>
      </c>
      <c r="C3845">
        <v>0.64930294665564603</v>
      </c>
      <c r="D3845">
        <v>0.64259213742604604</v>
      </c>
      <c r="E3845">
        <v>0.38914300710715599</v>
      </c>
      <c r="F3845">
        <v>0.11951390564228</v>
      </c>
      <c r="G3845">
        <v>0.14522320250470599</v>
      </c>
      <c r="H3845">
        <v>6.6845808725081501E-2</v>
      </c>
      <c r="I3845">
        <v>0.13121047400083</v>
      </c>
      <c r="J3845">
        <v>0.117793470793329</v>
      </c>
      <c r="K3845">
        <v>0.112108764830239</v>
      </c>
      <c r="L3845">
        <v>670.99573462942601</v>
      </c>
      <c r="M3845">
        <v>14.468528210944701</v>
      </c>
      <c r="N3845">
        <v>46.972359526137303</v>
      </c>
      <c r="O3845">
        <v>45.517301591812398</v>
      </c>
      <c r="P3845">
        <v>-7.2810352556465702E-2</v>
      </c>
      <c r="Q3845">
        <v>8.38749717709346E-2</v>
      </c>
      <c r="R3845">
        <v>0.95231267721749902</v>
      </c>
      <c r="S3845" t="s">
        <v>10848</v>
      </c>
      <c r="T3845" t="s">
        <v>14004</v>
      </c>
      <c r="U3845" t="s">
        <v>14004</v>
      </c>
      <c r="V3845" t="s">
        <v>14004</v>
      </c>
      <c r="W3845" t="s">
        <v>17803</v>
      </c>
      <c r="X3845">
        <v>1</v>
      </c>
      <c r="Y3845" t="s">
        <v>24631</v>
      </c>
      <c r="Z3845" t="s">
        <v>31555</v>
      </c>
      <c r="AA3845">
        <v>0.30658207936266513</v>
      </c>
      <c r="AB3845" t="str">
        <f>HYPERLINK("Melting_Curves/meltCurve_Q1W6H9_FAM110C.pdf", "Melting_Curves/meltCurve_Q1W6H9_FAM110C.pdf")</f>
        <v>Melting_Curves/meltCurve_Q1W6H9_FAM110C.pdf</v>
      </c>
    </row>
    <row r="3846" spans="1:28" x14ac:dyDescent="0.25">
      <c r="A3846" t="s">
        <v>3850</v>
      </c>
      <c r="B3846">
        <v>0.99999676499088797</v>
      </c>
      <c r="C3846">
        <v>0.92207152381933499</v>
      </c>
      <c r="D3846">
        <v>0.45193475179646703</v>
      </c>
      <c r="E3846">
        <v>0.24243769447664501</v>
      </c>
      <c r="F3846">
        <v>0.15590667514675999</v>
      </c>
      <c r="G3846">
        <v>0.10788417521411101</v>
      </c>
      <c r="H3846">
        <v>5.5943864237901902E-2</v>
      </c>
      <c r="I3846">
        <v>6.19156189345937E-2</v>
      </c>
      <c r="J3846">
        <v>5.93691303675251E-2</v>
      </c>
      <c r="K3846">
        <v>4.2204197018330301E-2</v>
      </c>
      <c r="L3846">
        <v>1191.0994675116201</v>
      </c>
      <c r="M3846">
        <v>26.014473434287002</v>
      </c>
      <c r="N3846">
        <v>46.090905874411703</v>
      </c>
      <c r="O3846">
        <v>45.518044745593102</v>
      </c>
      <c r="P3846">
        <v>-0.13158788524298701</v>
      </c>
      <c r="Q3846">
        <v>7.9042758018382203E-2</v>
      </c>
      <c r="R3846">
        <v>0.98641673396833396</v>
      </c>
      <c r="S3846" t="s">
        <v>10849</v>
      </c>
      <c r="T3846" t="s">
        <v>14004</v>
      </c>
      <c r="U3846" t="s">
        <v>14004</v>
      </c>
      <c r="V3846" t="s">
        <v>14004</v>
      </c>
      <c r="W3846" t="s">
        <v>17804</v>
      </c>
      <c r="X3846">
        <v>26</v>
      </c>
      <c r="Y3846" t="s">
        <v>24632</v>
      </c>
      <c r="Z3846" t="s">
        <v>31556</v>
      </c>
      <c r="AA3846">
        <v>0.26451526797333702</v>
      </c>
      <c r="AB3846" t="str">
        <f>HYPERLINK("Melting_Curves/meltCurve_Q27J81_2_INF2.pdf", "Melting_Curves/meltCurve_Q27J81_2_INF2.pdf")</f>
        <v>Melting_Curves/meltCurve_Q27J81_2_INF2.pdf</v>
      </c>
    </row>
    <row r="3847" spans="1:28" x14ac:dyDescent="0.25">
      <c r="A3847" t="s">
        <v>3851</v>
      </c>
      <c r="B3847">
        <v>0.99999676499088797</v>
      </c>
      <c r="C3847">
        <v>1.02997664995917</v>
      </c>
      <c r="D3847">
        <v>0.97802216000789799</v>
      </c>
      <c r="E3847">
        <v>0.84118744698321302</v>
      </c>
      <c r="F3847">
        <v>0.69763020122432395</v>
      </c>
      <c r="G3847">
        <v>0.57584875060748297</v>
      </c>
      <c r="H3847">
        <v>0.383539506447654</v>
      </c>
      <c r="I3847">
        <v>0.33372702992171399</v>
      </c>
      <c r="J3847">
        <v>0.27077398973918998</v>
      </c>
      <c r="K3847">
        <v>0.26483902630202899</v>
      </c>
      <c r="L3847">
        <v>742.18361378821703</v>
      </c>
      <c r="M3847">
        <v>13.382136429789201</v>
      </c>
      <c r="N3847">
        <v>57.855452767028503</v>
      </c>
      <c r="O3847">
        <v>54.266214437878602</v>
      </c>
      <c r="P3847">
        <v>-4.85482903878241E-2</v>
      </c>
      <c r="Q3847">
        <v>0.21264702581963801</v>
      </c>
      <c r="R3847">
        <v>0.99424782977967197</v>
      </c>
      <c r="S3847" t="s">
        <v>10850</v>
      </c>
      <c r="T3847" t="s">
        <v>14004</v>
      </c>
      <c r="U3847" t="s">
        <v>14004</v>
      </c>
      <c r="V3847" t="s">
        <v>14004</v>
      </c>
      <c r="W3847" t="s">
        <v>17805</v>
      </c>
      <c r="X3847">
        <v>20</v>
      </c>
      <c r="Y3847" t="s">
        <v>22860</v>
      </c>
      <c r="Z3847" t="s">
        <v>31557</v>
      </c>
      <c r="AA3847">
        <v>0.63459845739970611</v>
      </c>
      <c r="AB3847" t="str">
        <f>HYPERLINK("Melting_Curves/meltCurve_Q29718_HLA_B.pdf", "Melting_Curves/meltCurve_Q29718_HLA_B.pdf")</f>
        <v>Melting_Curves/meltCurve_Q29718_HLA_B.pdf</v>
      </c>
    </row>
    <row r="3848" spans="1:28" x14ac:dyDescent="0.25">
      <c r="A3848" t="s">
        <v>3852</v>
      </c>
      <c r="B3848">
        <v>0.99999676499088797</v>
      </c>
      <c r="C3848">
        <v>1.0869889311346099</v>
      </c>
      <c r="D3848">
        <v>0.92555567571554098</v>
      </c>
      <c r="E3848">
        <v>0.67749271084548601</v>
      </c>
      <c r="F3848">
        <v>0.54220103309541201</v>
      </c>
      <c r="G3848">
        <v>0.53777372374054699</v>
      </c>
      <c r="H3848">
        <v>0.26083298395719101</v>
      </c>
      <c r="I3848">
        <v>0.40111482447067298</v>
      </c>
      <c r="J3848">
        <v>0.35665504313592</v>
      </c>
      <c r="K3848">
        <v>0.147209686424223</v>
      </c>
      <c r="L3848">
        <v>706.23920162104196</v>
      </c>
      <c r="M3848">
        <v>13.532255456145901</v>
      </c>
      <c r="N3848">
        <v>55.006555313430297</v>
      </c>
      <c r="O3848">
        <v>51.0891648610069</v>
      </c>
      <c r="P3848">
        <v>-4.9672842778140297E-2</v>
      </c>
      <c r="Q3848">
        <v>0.249981447768961</v>
      </c>
      <c r="R3848">
        <v>0.92444699635284799</v>
      </c>
      <c r="S3848" t="s">
        <v>10851</v>
      </c>
      <c r="T3848" t="s">
        <v>14004</v>
      </c>
      <c r="U3848" t="s">
        <v>14004</v>
      </c>
      <c r="V3848" t="s">
        <v>14004</v>
      </c>
      <c r="W3848" t="s">
        <v>17806</v>
      </c>
      <c r="X3848">
        <v>20</v>
      </c>
      <c r="Y3848" t="s">
        <v>22860</v>
      </c>
      <c r="Z3848" t="s">
        <v>31558</v>
      </c>
      <c r="AA3848">
        <v>0.57405369056769595</v>
      </c>
      <c r="AB3848" t="str">
        <f>HYPERLINK("Melting_Curves/meltCurve_Q29940_HLA_B.pdf", "Melting_Curves/meltCurve_Q29940_HLA_B.pdf")</f>
        <v>Melting_Curves/meltCurve_Q29940_HLA_B.pdf</v>
      </c>
    </row>
    <row r="3849" spans="1:28" x14ac:dyDescent="0.25">
      <c r="A3849" t="s">
        <v>3853</v>
      </c>
      <c r="B3849">
        <v>0.99999676499088797</v>
      </c>
      <c r="C3849">
        <v>0.91114350918494003</v>
      </c>
      <c r="D3849">
        <v>0.94225689766840603</v>
      </c>
      <c r="E3849">
        <v>0.91258733148599602</v>
      </c>
      <c r="F3849">
        <v>0.73126321742162004</v>
      </c>
      <c r="G3849">
        <v>0.481723430294346</v>
      </c>
      <c r="H3849">
        <v>0.31945757845838002</v>
      </c>
      <c r="I3849">
        <v>0.266325056124806</v>
      </c>
      <c r="J3849">
        <v>0.28203199532210899</v>
      </c>
      <c r="K3849">
        <v>0.26476763447712698</v>
      </c>
      <c r="L3849">
        <v>1092.4593098534301</v>
      </c>
      <c r="M3849">
        <v>20.019089674649798</v>
      </c>
      <c r="N3849">
        <v>56.492312868872702</v>
      </c>
      <c r="O3849">
        <v>54.035088754057298</v>
      </c>
      <c r="P3849">
        <v>-6.9753269387487493E-2</v>
      </c>
      <c r="Q3849">
        <v>0.24691826735644301</v>
      </c>
      <c r="R3849">
        <v>0.988954680691704</v>
      </c>
      <c r="S3849" t="s">
        <v>10852</v>
      </c>
      <c r="T3849" t="s">
        <v>14004</v>
      </c>
      <c r="U3849" t="s">
        <v>14004</v>
      </c>
      <c r="V3849" t="s">
        <v>14004</v>
      </c>
      <c r="W3849" t="s">
        <v>17807</v>
      </c>
      <c r="X3849">
        <v>16</v>
      </c>
      <c r="Y3849" t="s">
        <v>21602</v>
      </c>
      <c r="Z3849" t="s">
        <v>31559</v>
      </c>
      <c r="AA3849">
        <v>0.62280095025293647</v>
      </c>
      <c r="AB3849" t="str">
        <f>HYPERLINK("Melting_Curves/meltCurve_Q29963_HLA_C.pdf", "Melting_Curves/meltCurve_Q29963_HLA_C.pdf")</f>
        <v>Melting_Curves/meltCurve_Q29963_HLA_C.pdf</v>
      </c>
    </row>
    <row r="3850" spans="1:28" x14ac:dyDescent="0.25">
      <c r="A3850" t="s">
        <v>3854</v>
      </c>
      <c r="B3850">
        <v>0.99999676499088797</v>
      </c>
      <c r="C3850">
        <v>0.96754950249287597</v>
      </c>
      <c r="D3850">
        <v>0.72030199049942401</v>
      </c>
      <c r="E3850">
        <v>0.21566489618502399</v>
      </c>
      <c r="F3850">
        <v>0.17063430235447299</v>
      </c>
      <c r="G3850">
        <v>0.12042165190833901</v>
      </c>
      <c r="H3850">
        <v>6.3412453784239403E-2</v>
      </c>
      <c r="I3850">
        <v>5.9145463875032701E-2</v>
      </c>
      <c r="J3850">
        <v>5.9580103400649398E-2</v>
      </c>
      <c r="K3850">
        <v>4.4367189330222198E-2</v>
      </c>
      <c r="L3850">
        <v>1488.1492141266599</v>
      </c>
      <c r="M3850">
        <v>31.550205963072798</v>
      </c>
      <c r="N3850">
        <v>47.422170535671</v>
      </c>
      <c r="O3850">
        <v>46.979374852983398</v>
      </c>
      <c r="P3850">
        <v>-0.15481833546422899</v>
      </c>
      <c r="Q3850">
        <v>7.78849664321139E-2</v>
      </c>
      <c r="R3850">
        <v>0.99369260221349698</v>
      </c>
      <c r="S3850" t="s">
        <v>10853</v>
      </c>
      <c r="T3850" t="s">
        <v>14004</v>
      </c>
      <c r="U3850" t="s">
        <v>14004</v>
      </c>
      <c r="V3850" t="s">
        <v>14004</v>
      </c>
      <c r="W3850" t="s">
        <v>17808</v>
      </c>
      <c r="X3850">
        <v>61</v>
      </c>
      <c r="Y3850" t="s">
        <v>24633</v>
      </c>
      <c r="Z3850" t="s">
        <v>31560</v>
      </c>
      <c r="AA3850">
        <v>0.30316476452678132</v>
      </c>
      <c r="AB3850" t="str">
        <f>HYPERLINK("Melting_Curves/meltCurve_Q29RF7_PDS5A.pdf", "Melting_Curves/meltCurve_Q29RF7_PDS5A.pdf")</f>
        <v>Melting_Curves/meltCurve_Q29RF7_PDS5A.pdf</v>
      </c>
    </row>
    <row r="3851" spans="1:28" x14ac:dyDescent="0.25">
      <c r="A3851" t="s">
        <v>3855</v>
      </c>
      <c r="B3851">
        <v>0.99999676499088797</v>
      </c>
      <c r="C3851">
        <v>1.0414011031486301</v>
      </c>
      <c r="D3851">
        <v>1.1140038457800601</v>
      </c>
      <c r="E3851">
        <v>1.2422102278817</v>
      </c>
      <c r="F3851">
        <v>1.04616171715857</v>
      </c>
      <c r="G3851">
        <v>0.75316917844219899</v>
      </c>
      <c r="H3851">
        <v>0.49682627989969402</v>
      </c>
      <c r="I3851">
        <v>0.37622459339515801</v>
      </c>
      <c r="J3851">
        <v>0.23411226360833701</v>
      </c>
      <c r="K3851">
        <v>0.43088381971109602</v>
      </c>
      <c r="L3851">
        <v>2023.7136087270001</v>
      </c>
      <c r="M3851">
        <v>34.858860441507098</v>
      </c>
      <c r="N3851">
        <v>60.067032707715803</v>
      </c>
      <c r="O3851">
        <v>57.864435425047603</v>
      </c>
      <c r="P3851">
        <v>-9.8722953975899294E-2</v>
      </c>
      <c r="Q3851">
        <v>0.34449635940433898</v>
      </c>
      <c r="R3851">
        <v>0.91214042601934198</v>
      </c>
      <c r="S3851" t="s">
        <v>10854</v>
      </c>
      <c r="T3851" t="s">
        <v>14004</v>
      </c>
      <c r="U3851" t="s">
        <v>14004</v>
      </c>
      <c r="V3851" t="s">
        <v>14004</v>
      </c>
      <c r="W3851" t="s">
        <v>17809</v>
      </c>
      <c r="X3851">
        <v>5</v>
      </c>
      <c r="Y3851" t="s">
        <v>24634</v>
      </c>
      <c r="Z3851" t="s">
        <v>31561</v>
      </c>
      <c r="AA3851">
        <v>0.74231517718994633</v>
      </c>
      <c r="AB3851" t="str">
        <f>HYPERLINK("Melting_Curves/meltCurve_Q2KHT3_CLEC16A.pdf", "Melting_Curves/meltCurve_Q2KHT3_CLEC16A.pdf")</f>
        <v>Melting_Curves/meltCurve_Q2KHT3_CLEC16A.pdf</v>
      </c>
    </row>
    <row r="3852" spans="1:28" x14ac:dyDescent="0.25">
      <c r="A3852" t="s">
        <v>3856</v>
      </c>
      <c r="B3852">
        <v>0.99999676499088797</v>
      </c>
      <c r="C3852">
        <v>0.976267950985377</v>
      </c>
      <c r="D3852">
        <v>1.0066586954921799</v>
      </c>
      <c r="E3852">
        <v>0.90452781478015498</v>
      </c>
      <c r="F3852">
        <v>0.66358824578067299</v>
      </c>
      <c r="G3852">
        <v>0.64166603165575098</v>
      </c>
      <c r="H3852">
        <v>0.36441068539330701</v>
      </c>
      <c r="I3852">
        <v>0.25964300362271497</v>
      </c>
      <c r="J3852">
        <v>0.180103581747666</v>
      </c>
      <c r="K3852">
        <v>0.15492976023787799</v>
      </c>
      <c r="L3852">
        <v>697.42265809378796</v>
      </c>
      <c r="M3852">
        <v>12.0673374784879</v>
      </c>
      <c r="N3852">
        <v>58.184611740804897</v>
      </c>
      <c r="O3852">
        <v>56.275751233238502</v>
      </c>
      <c r="P3852">
        <v>-5.15356059478769E-2</v>
      </c>
      <c r="Q3852">
        <v>3.8886016182061202E-2</v>
      </c>
      <c r="R3852">
        <v>0.98568513402954605</v>
      </c>
      <c r="S3852" t="s">
        <v>10855</v>
      </c>
      <c r="T3852" t="s">
        <v>14004</v>
      </c>
      <c r="U3852" t="s">
        <v>14004</v>
      </c>
      <c r="V3852" t="s">
        <v>14004</v>
      </c>
      <c r="W3852" t="s">
        <v>17810</v>
      </c>
      <c r="X3852">
        <v>8</v>
      </c>
      <c r="Y3852" t="s">
        <v>24635</v>
      </c>
      <c r="Z3852" t="s">
        <v>31562</v>
      </c>
      <c r="AA3852">
        <v>0.62207777816329146</v>
      </c>
      <c r="AB3852" t="str">
        <f>HYPERLINK("Melting_Curves/meltCurve_Q2M296_2_MTHFSD.pdf", "Melting_Curves/meltCurve_Q2M296_2_MTHFSD.pdf")</f>
        <v>Melting_Curves/meltCurve_Q2M296_2_MTHFSD.pdf</v>
      </c>
    </row>
    <row r="3853" spans="1:28" x14ac:dyDescent="0.25">
      <c r="A3853" t="s">
        <v>3857</v>
      </c>
      <c r="B3853">
        <v>0.99999676499088797</v>
      </c>
      <c r="C3853">
        <v>1.0371921580769301</v>
      </c>
      <c r="D3853">
        <v>1.05476777935323</v>
      </c>
      <c r="E3853">
        <v>0.73104010948820097</v>
      </c>
      <c r="F3853">
        <v>0.42313910944873501</v>
      </c>
      <c r="G3853">
        <v>0.48743551789832201</v>
      </c>
      <c r="H3853">
        <v>0.1531493988156</v>
      </c>
      <c r="I3853">
        <v>8.0258673762669694E-2</v>
      </c>
      <c r="J3853">
        <v>5.83321604194902E-2</v>
      </c>
      <c r="K3853">
        <v>4.7197199828455903E-2</v>
      </c>
      <c r="L3853">
        <v>768.59607342260301</v>
      </c>
      <c r="M3853">
        <v>14.2613318444604</v>
      </c>
      <c r="N3853">
        <v>53.977473318818902</v>
      </c>
      <c r="O3853">
        <v>52.867266640672398</v>
      </c>
      <c r="P3853">
        <v>-6.6709499882327605E-2</v>
      </c>
      <c r="Q3853">
        <v>1.0943894809822399E-2</v>
      </c>
      <c r="R3853">
        <v>0.95917399770371303</v>
      </c>
      <c r="S3853" t="s">
        <v>10856</v>
      </c>
      <c r="T3853" t="s">
        <v>14004</v>
      </c>
      <c r="U3853" t="s">
        <v>14004</v>
      </c>
      <c r="V3853" t="s">
        <v>14004</v>
      </c>
      <c r="W3853" t="s">
        <v>17811</v>
      </c>
      <c r="X3853">
        <v>8</v>
      </c>
      <c r="Y3853" t="s">
        <v>24635</v>
      </c>
      <c r="Z3853" t="s">
        <v>31563</v>
      </c>
      <c r="AA3853">
        <v>0.49070595054158672</v>
      </c>
      <c r="AB3853" t="str">
        <f>HYPERLINK("Melting_Curves/meltCurve_Q2M296_4_MTHFSD.pdf", "Melting_Curves/meltCurve_Q2M296_4_MTHFSD.pdf")</f>
        <v>Melting_Curves/meltCurve_Q2M296_4_MTHFSD.pdf</v>
      </c>
    </row>
    <row r="3854" spans="1:28" x14ac:dyDescent="0.25">
      <c r="A3854" t="s">
        <v>3858</v>
      </c>
      <c r="B3854">
        <v>0.99999676499088797</v>
      </c>
      <c r="C3854">
        <v>0.90033786629175405</v>
      </c>
      <c r="D3854">
        <v>0.90652261744087403</v>
      </c>
      <c r="E3854">
        <v>0.83321611089602898</v>
      </c>
      <c r="F3854">
        <v>0.54700982113756302</v>
      </c>
      <c r="G3854">
        <v>0.33616433393074902</v>
      </c>
      <c r="H3854">
        <v>0.19441861504059901</v>
      </c>
      <c r="I3854">
        <v>0.16181336171752</v>
      </c>
      <c r="J3854">
        <v>0.157209649645115</v>
      </c>
      <c r="K3854">
        <v>0.17360728005581899</v>
      </c>
      <c r="L3854">
        <v>933.35681713237602</v>
      </c>
      <c r="M3854">
        <v>17.626239874272802</v>
      </c>
      <c r="N3854">
        <v>53.915051313364998</v>
      </c>
      <c r="O3854">
        <v>52.285211340320501</v>
      </c>
      <c r="P3854">
        <v>-7.2908300251596697E-2</v>
      </c>
      <c r="Q3854">
        <v>0.13496659051190699</v>
      </c>
      <c r="R3854">
        <v>0.99008485643668798</v>
      </c>
      <c r="S3854" t="s">
        <v>10857</v>
      </c>
      <c r="T3854" t="s">
        <v>14004</v>
      </c>
      <c r="U3854" t="s">
        <v>14004</v>
      </c>
      <c r="V3854" t="s">
        <v>14004</v>
      </c>
      <c r="W3854" t="s">
        <v>17812</v>
      </c>
      <c r="X3854">
        <v>9</v>
      </c>
      <c r="Y3854" t="s">
        <v>24636</v>
      </c>
      <c r="Z3854" t="s">
        <v>31564</v>
      </c>
      <c r="AA3854">
        <v>0.52310943547892053</v>
      </c>
      <c r="AB3854" t="str">
        <f>HYPERLINK("Melting_Curves/meltCurve_Q2M2I8_2_AAK1.pdf", "Melting_Curves/meltCurve_Q2M2I8_2_AAK1.pdf")</f>
        <v>Melting_Curves/meltCurve_Q2M2I8_2_AAK1.pdf</v>
      </c>
    </row>
    <row r="3855" spans="1:28" x14ac:dyDescent="0.25">
      <c r="A3855" t="s">
        <v>3859</v>
      </c>
      <c r="B3855">
        <v>0.99999676499088797</v>
      </c>
      <c r="C3855">
        <v>1.02201491649258</v>
      </c>
      <c r="D3855">
        <v>1.0076081884666499</v>
      </c>
      <c r="E3855">
        <v>0.58398982060979598</v>
      </c>
      <c r="F3855">
        <v>0.27497618190227802</v>
      </c>
      <c r="G3855">
        <v>0.197108166997394</v>
      </c>
      <c r="H3855">
        <v>7.7273914281834596E-2</v>
      </c>
      <c r="I3855">
        <v>8.0304146447439301E-2</v>
      </c>
      <c r="J3855">
        <v>5.8552979714397303E-2</v>
      </c>
      <c r="K3855">
        <v>5.63553838549848E-2</v>
      </c>
      <c r="L3855">
        <v>1310.75331888285</v>
      </c>
      <c r="M3855">
        <v>26.030623974188298</v>
      </c>
      <c r="N3855">
        <v>50.695777657955801</v>
      </c>
      <c r="O3855">
        <v>50.059922141376802</v>
      </c>
      <c r="P3855">
        <v>-0.11954466812968299</v>
      </c>
      <c r="Q3855">
        <v>8.0417322851822501E-2</v>
      </c>
      <c r="R3855">
        <v>0.99019352356884904</v>
      </c>
      <c r="S3855" t="s">
        <v>10858</v>
      </c>
      <c r="T3855" t="s">
        <v>14004</v>
      </c>
      <c r="U3855" t="s">
        <v>14004</v>
      </c>
      <c r="V3855" t="s">
        <v>14004</v>
      </c>
      <c r="W3855" t="s">
        <v>17813</v>
      </c>
      <c r="X3855">
        <v>10</v>
      </c>
      <c r="Y3855" t="s">
        <v>24637</v>
      </c>
      <c r="Z3855" t="s">
        <v>31565</v>
      </c>
      <c r="AA3855">
        <v>0.40541403538376097</v>
      </c>
      <c r="AB3855" t="str">
        <f>HYPERLINK("Melting_Curves/meltCurve_Q2M389_KIAA1033.pdf", "Melting_Curves/meltCurve_Q2M389_KIAA1033.pdf")</f>
        <v>Melting_Curves/meltCurve_Q2M389_KIAA1033.pdf</v>
      </c>
    </row>
    <row r="3856" spans="1:28" x14ac:dyDescent="0.25">
      <c r="A3856" t="s">
        <v>3860</v>
      </c>
      <c r="B3856">
        <v>0.99999676499088797</v>
      </c>
      <c r="C3856">
        <v>0.83921109829519802</v>
      </c>
      <c r="D3856">
        <v>0.38595342517926901</v>
      </c>
      <c r="E3856">
        <v>0.27586802729735399</v>
      </c>
      <c r="F3856">
        <v>0.19915205038785999</v>
      </c>
      <c r="G3856">
        <v>0.146330806833215</v>
      </c>
      <c r="H3856">
        <v>9.1252774547176493E-2</v>
      </c>
      <c r="I3856">
        <v>0.118193532734452</v>
      </c>
      <c r="J3856">
        <v>0.122787637195964</v>
      </c>
      <c r="K3856">
        <v>0.127792099979499</v>
      </c>
      <c r="L3856">
        <v>1241.52245214251</v>
      </c>
      <c r="M3856">
        <v>27.648157332781601</v>
      </c>
      <c r="N3856">
        <v>45.442423312150297</v>
      </c>
      <c r="O3856">
        <v>44.671404001972398</v>
      </c>
      <c r="P3856">
        <v>-0.133132452974739</v>
      </c>
      <c r="Q3856">
        <v>0.13959401898697299</v>
      </c>
      <c r="R3856">
        <v>0.98392192253662802</v>
      </c>
      <c r="S3856" t="s">
        <v>10859</v>
      </c>
      <c r="T3856" t="s">
        <v>14004</v>
      </c>
      <c r="U3856" t="s">
        <v>14004</v>
      </c>
      <c r="V3856" t="s">
        <v>14004</v>
      </c>
      <c r="W3856" t="s">
        <v>17814</v>
      </c>
      <c r="X3856">
        <v>9</v>
      </c>
      <c r="Y3856" t="s">
        <v>24638</v>
      </c>
      <c r="Z3856" t="s">
        <v>31566</v>
      </c>
      <c r="AA3856">
        <v>0.28704528622509262</v>
      </c>
      <c r="AB3856" t="str">
        <f>HYPERLINK("Melting_Curves/meltCurve_Q2NKX8_ERCC6L.pdf", "Melting_Curves/meltCurve_Q2NKX8_ERCC6L.pdf")</f>
        <v>Melting_Curves/meltCurve_Q2NKX8_ERCC6L.pdf</v>
      </c>
    </row>
    <row r="3857" spans="1:28" x14ac:dyDescent="0.25">
      <c r="A3857" t="s">
        <v>3861</v>
      </c>
      <c r="B3857">
        <v>0.99999676499088797</v>
      </c>
      <c r="C3857">
        <v>1.02239943752203</v>
      </c>
      <c r="D3857">
        <v>0.89018143894646395</v>
      </c>
      <c r="E3857">
        <v>0.40268233072080201</v>
      </c>
      <c r="F3857">
        <v>0.25554037398576601</v>
      </c>
      <c r="G3857">
        <v>0.18648709189156901</v>
      </c>
      <c r="H3857">
        <v>0.10127925128314</v>
      </c>
      <c r="I3857">
        <v>9.4678404579939202E-2</v>
      </c>
      <c r="J3857">
        <v>9.4219555815147502E-2</v>
      </c>
      <c r="K3857">
        <v>9.2568853050591607E-2</v>
      </c>
      <c r="L3857">
        <v>1392.79535221279</v>
      </c>
      <c r="M3857">
        <v>28.598269088882301</v>
      </c>
      <c r="N3857">
        <v>49.162473274951303</v>
      </c>
      <c r="O3857">
        <v>48.465833761469298</v>
      </c>
      <c r="P3857">
        <v>-0.130189212956969</v>
      </c>
      <c r="Q3857">
        <v>0.117474306624304</v>
      </c>
      <c r="R3857">
        <v>0.99027305312707703</v>
      </c>
      <c r="S3857" t="s">
        <v>10860</v>
      </c>
      <c r="T3857" t="s">
        <v>14004</v>
      </c>
      <c r="U3857" t="s">
        <v>14004</v>
      </c>
      <c r="V3857" t="s">
        <v>14004</v>
      </c>
      <c r="W3857" t="s">
        <v>17815</v>
      </c>
      <c r="X3857">
        <v>21</v>
      </c>
      <c r="Y3857" t="s">
        <v>24639</v>
      </c>
      <c r="Z3857" t="s">
        <v>31567</v>
      </c>
      <c r="AA3857">
        <v>0.37937675287925798</v>
      </c>
      <c r="AB3857" t="str">
        <f>HYPERLINK("Melting_Curves/meltCurve_Q2NL82_TSR1.pdf", "Melting_Curves/meltCurve_Q2NL82_TSR1.pdf")</f>
        <v>Melting_Curves/meltCurve_Q2NL82_TSR1.pdf</v>
      </c>
    </row>
    <row r="3858" spans="1:28" x14ac:dyDescent="0.25">
      <c r="A3858" t="s">
        <v>3862</v>
      </c>
      <c r="B3858">
        <v>0.99999676499088797</v>
      </c>
      <c r="C3858">
        <v>0.99663491041211305</v>
      </c>
      <c r="D3858">
        <v>0.96092931016080696</v>
      </c>
      <c r="E3858">
        <v>0.78946205749976395</v>
      </c>
      <c r="F3858">
        <v>0.72514550221405805</v>
      </c>
      <c r="G3858">
        <v>0.54823954149760601</v>
      </c>
      <c r="H3858">
        <v>0.30515952694194998</v>
      </c>
      <c r="I3858">
        <v>0.30614273906748202</v>
      </c>
      <c r="J3858">
        <v>0.234781579926543</v>
      </c>
      <c r="K3858">
        <v>0.21540221146227601</v>
      </c>
      <c r="L3858">
        <v>702.45492752082998</v>
      </c>
      <c r="M3858">
        <v>12.6342682938095</v>
      </c>
      <c r="N3858">
        <v>57.1959843644429</v>
      </c>
      <c r="O3858">
        <v>54.261456000567399</v>
      </c>
      <c r="P3858">
        <v>-4.9569018600886298E-2</v>
      </c>
      <c r="Q3858">
        <v>0.14861510985353599</v>
      </c>
      <c r="R3858">
        <v>0.989436348616753</v>
      </c>
      <c r="S3858" t="s">
        <v>10861</v>
      </c>
      <c r="T3858" t="s">
        <v>14004</v>
      </c>
      <c r="U3858" t="s">
        <v>14004</v>
      </c>
      <c r="V3858" t="s">
        <v>14004</v>
      </c>
      <c r="W3858" t="s">
        <v>17816</v>
      </c>
      <c r="X3858">
        <v>2</v>
      </c>
      <c r="Y3858" t="s">
        <v>24640</v>
      </c>
      <c r="Z3858" t="s">
        <v>31568</v>
      </c>
      <c r="AA3858">
        <v>0.60922558007185235</v>
      </c>
      <c r="AB3858" t="str">
        <f>HYPERLINK("Melting_Curves/meltCurve_Q2NL98_VMAC.pdf", "Melting_Curves/meltCurve_Q2NL98_VMAC.pdf")</f>
        <v>Melting_Curves/meltCurve_Q2NL98_VMAC.pdf</v>
      </c>
    </row>
    <row r="3859" spans="1:28" x14ac:dyDescent="0.25">
      <c r="A3859" t="s">
        <v>3863</v>
      </c>
      <c r="B3859">
        <v>0.99999676499088797</v>
      </c>
      <c r="C3859">
        <v>0.982709675872394</v>
      </c>
      <c r="D3859">
        <v>0.92844212351208399</v>
      </c>
      <c r="E3859">
        <v>0.86107417398651698</v>
      </c>
      <c r="F3859">
        <v>0.750424333642009</v>
      </c>
      <c r="G3859">
        <v>0.44115135189701299</v>
      </c>
      <c r="H3859">
        <v>0.16789136278641301</v>
      </c>
      <c r="I3859">
        <v>0.12757424334665199</v>
      </c>
      <c r="J3859">
        <v>0.10597924643198001</v>
      </c>
      <c r="K3859">
        <v>0.10274495823992701</v>
      </c>
      <c r="L3859">
        <v>1050.9994601795499</v>
      </c>
      <c r="M3859">
        <v>18.946130685131902</v>
      </c>
      <c r="N3859">
        <v>55.872249591085399</v>
      </c>
      <c r="O3859">
        <v>54.866124549685097</v>
      </c>
      <c r="P3859">
        <v>-8.0867496219327095E-2</v>
      </c>
      <c r="Q3859">
        <v>6.3300682315115805E-2</v>
      </c>
      <c r="R3859">
        <v>0.99312531840200602</v>
      </c>
      <c r="S3859" t="s">
        <v>10862</v>
      </c>
      <c r="T3859" t="s">
        <v>14004</v>
      </c>
      <c r="U3859" t="s">
        <v>14004</v>
      </c>
      <c r="V3859" t="s">
        <v>14004</v>
      </c>
      <c r="W3859" t="s">
        <v>17817</v>
      </c>
      <c r="X3859">
        <v>6</v>
      </c>
      <c r="Y3859" t="s">
        <v>24641</v>
      </c>
      <c r="Z3859" t="s">
        <v>31569</v>
      </c>
      <c r="AA3859">
        <v>0.5596863809041428</v>
      </c>
      <c r="AB3859" t="str">
        <f>HYPERLINK("Melting_Curves/meltCurve_Q2T9J0_TYSND1.pdf", "Melting_Curves/meltCurve_Q2T9J0_TYSND1.pdf")</f>
        <v>Melting_Curves/meltCurve_Q2T9J0_TYSND1.pdf</v>
      </c>
    </row>
    <row r="3860" spans="1:28" x14ac:dyDescent="0.25">
      <c r="A3860" t="s">
        <v>3864</v>
      </c>
      <c r="B3860">
        <v>0.99999676499088797</v>
      </c>
      <c r="C3860">
        <v>1.0072389732401501</v>
      </c>
      <c r="D3860">
        <v>0.99682061026285795</v>
      </c>
      <c r="E3860">
        <v>1.07891779910952</v>
      </c>
      <c r="F3860">
        <v>0.32298906947213801</v>
      </c>
      <c r="G3860">
        <v>8.8120107890720903E-2</v>
      </c>
      <c r="H3860">
        <v>2.47300634077894E-2</v>
      </c>
      <c r="I3860">
        <v>3.8054480603748497E-2</v>
      </c>
      <c r="J3860">
        <v>2.4998844559133201E-2</v>
      </c>
      <c r="K3860">
        <v>1.99415812330625E-2</v>
      </c>
      <c r="L3860">
        <v>13253.750749859701</v>
      </c>
      <c r="M3860">
        <v>250</v>
      </c>
      <c r="N3860">
        <v>53.032325788095598</v>
      </c>
      <c r="O3860">
        <v>53.011610454123002</v>
      </c>
      <c r="P3860">
        <v>-1.13280726853239</v>
      </c>
      <c r="Q3860">
        <v>3.9169000047729399E-2</v>
      </c>
      <c r="R3860">
        <v>0.99563683477531195</v>
      </c>
      <c r="S3860" t="s">
        <v>10863</v>
      </c>
      <c r="T3860" t="s">
        <v>14004</v>
      </c>
      <c r="U3860" t="s">
        <v>14004</v>
      </c>
      <c r="V3860" t="s">
        <v>14004</v>
      </c>
      <c r="W3860" t="s">
        <v>17818</v>
      </c>
      <c r="X3860">
        <v>2</v>
      </c>
      <c r="Y3860" t="s">
        <v>24642</v>
      </c>
      <c r="Z3860" t="s">
        <v>31570</v>
      </c>
      <c r="AA3860">
        <v>0.45609900779376561</v>
      </c>
      <c r="AB3860" t="str">
        <f>HYPERLINK("Melting_Curves/meltCurve_Q2TAA5_ALG11.pdf", "Melting_Curves/meltCurve_Q2TAA5_ALG11.pdf")</f>
        <v>Melting_Curves/meltCurve_Q2TAA5_ALG11.pdf</v>
      </c>
    </row>
    <row r="3861" spans="1:28" x14ac:dyDescent="0.25">
      <c r="A3861" t="s">
        <v>3865</v>
      </c>
      <c r="B3861">
        <v>0.99999676499088797</v>
      </c>
      <c r="C3861">
        <v>0.83028884904577305</v>
      </c>
      <c r="D3861">
        <v>0.49051548938881001</v>
      </c>
      <c r="E3861">
        <v>0.21745944708102399</v>
      </c>
      <c r="F3861">
        <v>0.145530978937881</v>
      </c>
      <c r="G3861">
        <v>0.106670240914352</v>
      </c>
      <c r="H3861">
        <v>7.1045447239401593E-2</v>
      </c>
      <c r="I3861">
        <v>7.1708873341675694E-2</v>
      </c>
      <c r="J3861">
        <v>6.5895812369073201E-2</v>
      </c>
      <c r="K3861">
        <v>5.7073048622773702E-2</v>
      </c>
      <c r="L3861">
        <v>1024.2667894874101</v>
      </c>
      <c r="M3861">
        <v>22.4066757549489</v>
      </c>
      <c r="N3861">
        <v>46.053815635345401</v>
      </c>
      <c r="O3861">
        <v>45.353134202372402</v>
      </c>
      <c r="P3861">
        <v>-0.114067433553721</v>
      </c>
      <c r="Q3861">
        <v>7.6488029689142201E-2</v>
      </c>
      <c r="R3861">
        <v>0.99675748331767999</v>
      </c>
      <c r="S3861" t="s">
        <v>10864</v>
      </c>
      <c r="T3861" t="s">
        <v>14004</v>
      </c>
      <c r="U3861" t="s">
        <v>14004</v>
      </c>
      <c r="V3861" t="s">
        <v>14004</v>
      </c>
      <c r="W3861" t="s">
        <v>17819</v>
      </c>
      <c r="X3861">
        <v>5</v>
      </c>
      <c r="Y3861" t="s">
        <v>24643</v>
      </c>
      <c r="Z3861" t="s">
        <v>31571</v>
      </c>
      <c r="AA3861">
        <v>0.26354749239018449</v>
      </c>
      <c r="AB3861" t="str">
        <f>HYPERLINK("Melting_Curves/meltCurve_Q2TAL8_QRICH1.pdf", "Melting_Curves/meltCurve_Q2TAL8_QRICH1.pdf")</f>
        <v>Melting_Curves/meltCurve_Q2TAL8_QRICH1.pdf</v>
      </c>
    </row>
    <row r="3862" spans="1:28" x14ac:dyDescent="0.25">
      <c r="A3862" t="s">
        <v>3866</v>
      </c>
      <c r="B3862">
        <v>0.99999676499088797</v>
      </c>
      <c r="C3862">
        <v>0.95959377472489804</v>
      </c>
      <c r="D3862">
        <v>0.73335364437471195</v>
      </c>
      <c r="E3862">
        <v>0.33296441568524199</v>
      </c>
      <c r="F3862">
        <v>0.18563499561049501</v>
      </c>
      <c r="G3862">
        <v>0.123788243086159</v>
      </c>
      <c r="H3862">
        <v>6.84150154053038E-2</v>
      </c>
      <c r="I3862">
        <v>6.1388783774650402E-2</v>
      </c>
      <c r="J3862">
        <v>5.7994559793448197E-2</v>
      </c>
      <c r="K3862">
        <v>4.4881399619270797E-2</v>
      </c>
      <c r="L3862">
        <v>1082.36747578154</v>
      </c>
      <c r="M3862">
        <v>22.615331328046398</v>
      </c>
      <c r="N3862">
        <v>48.162668651704799</v>
      </c>
      <c r="O3862">
        <v>47.490400810524598</v>
      </c>
      <c r="P3862">
        <v>-0.111165917548834</v>
      </c>
      <c r="Q3862">
        <v>6.6260272562676206E-2</v>
      </c>
      <c r="R3862">
        <v>0.99710256368726202</v>
      </c>
      <c r="S3862" t="s">
        <v>10865</v>
      </c>
      <c r="T3862" t="s">
        <v>14004</v>
      </c>
      <c r="U3862" t="s">
        <v>14004</v>
      </c>
      <c r="V3862" t="s">
        <v>14004</v>
      </c>
      <c r="W3862" t="s">
        <v>17820</v>
      </c>
      <c r="X3862">
        <v>9</v>
      </c>
      <c r="Y3862" t="s">
        <v>24644</v>
      </c>
      <c r="Z3862" t="s">
        <v>31572</v>
      </c>
      <c r="AA3862">
        <v>0.32112876881329888</v>
      </c>
      <c r="AB3862" t="str">
        <f>HYPERLINK("Melting_Curves/meltCurve_Q2TAM5_RELA.pdf", "Melting_Curves/meltCurve_Q2TAM5_RELA.pdf")</f>
        <v>Melting_Curves/meltCurve_Q2TAM5_RELA.pdf</v>
      </c>
    </row>
    <row r="3863" spans="1:28" x14ac:dyDescent="0.25">
      <c r="A3863" t="s">
        <v>3867</v>
      </c>
      <c r="B3863">
        <v>0.99999676499088797</v>
      </c>
      <c r="C3863">
        <v>1.0782804760798499</v>
      </c>
      <c r="D3863">
        <v>1.00607520480317</v>
      </c>
      <c r="E3863">
        <v>0.68123701251947699</v>
      </c>
      <c r="F3863">
        <v>0.390287458932493</v>
      </c>
      <c r="G3863">
        <v>0.19091982611049299</v>
      </c>
      <c r="H3863">
        <v>8.3852257850466197E-2</v>
      </c>
      <c r="I3863">
        <v>8.6993134536571606E-2</v>
      </c>
      <c r="J3863">
        <v>8.9958808690907693E-2</v>
      </c>
      <c r="K3863">
        <v>6.5220135404066196E-2</v>
      </c>
      <c r="L3863">
        <v>1188.78922616873</v>
      </c>
      <c r="M3863">
        <v>23.097103516786898</v>
      </c>
      <c r="N3863">
        <v>51.840948368046</v>
      </c>
      <c r="O3863">
        <v>51.088049374683401</v>
      </c>
      <c r="P3863">
        <v>-0.104402160735516</v>
      </c>
      <c r="Q3863">
        <v>7.6316651540969394E-2</v>
      </c>
      <c r="R3863">
        <v>0.99109206593161803</v>
      </c>
      <c r="S3863" t="s">
        <v>10866</v>
      </c>
      <c r="T3863" t="s">
        <v>14004</v>
      </c>
      <c r="U3863" t="s">
        <v>14004</v>
      </c>
      <c r="V3863" t="s">
        <v>14004</v>
      </c>
      <c r="W3863" t="s">
        <v>17821</v>
      </c>
      <c r="X3863">
        <v>20</v>
      </c>
      <c r="Y3863" t="s">
        <v>24645</v>
      </c>
      <c r="Z3863" t="s">
        <v>31573</v>
      </c>
      <c r="AA3863">
        <v>0.43921973322145508</v>
      </c>
      <c r="AB3863" t="str">
        <f>HYPERLINK("Melting_Curves/meltCurve_Q2TAY7_SMU1.pdf", "Melting_Curves/meltCurve_Q2TAY7_SMU1.pdf")</f>
        <v>Melting_Curves/meltCurve_Q2TAY7_SMU1.pdf</v>
      </c>
    </row>
    <row r="3864" spans="1:28" x14ac:dyDescent="0.25">
      <c r="A3864" t="s">
        <v>3868</v>
      </c>
      <c r="B3864">
        <v>0.99999676499088797</v>
      </c>
      <c r="C3864">
        <v>0.88048541710306205</v>
      </c>
      <c r="D3864">
        <v>0.640231577812024</v>
      </c>
      <c r="E3864">
        <v>0.47089926517447001</v>
      </c>
      <c r="F3864">
        <v>0.32339091152927502</v>
      </c>
      <c r="G3864">
        <v>0.216236332725882</v>
      </c>
      <c r="H3864">
        <v>0.11289042564757</v>
      </c>
      <c r="I3864">
        <v>8.9498002753135797E-2</v>
      </c>
      <c r="J3864">
        <v>0.110169725670289</v>
      </c>
      <c r="K3864">
        <v>0.112029082651568</v>
      </c>
      <c r="L3864">
        <v>642.61590236713801</v>
      </c>
      <c r="M3864">
        <v>13.2797386926241</v>
      </c>
      <c r="N3864">
        <v>49.055428056294197</v>
      </c>
      <c r="O3864">
        <v>47.3328481230797</v>
      </c>
      <c r="P3864">
        <v>-6.4375088445686304E-2</v>
      </c>
      <c r="Q3864">
        <v>8.2342641809530298E-2</v>
      </c>
      <c r="R3864">
        <v>0.99116494924028897</v>
      </c>
      <c r="S3864" t="s">
        <v>10867</v>
      </c>
      <c r="T3864" t="s">
        <v>14004</v>
      </c>
      <c r="U3864" t="s">
        <v>14004</v>
      </c>
      <c r="V3864" t="s">
        <v>14004</v>
      </c>
      <c r="W3864" t="s">
        <v>17822</v>
      </c>
      <c r="X3864">
        <v>5</v>
      </c>
      <c r="Y3864" t="s">
        <v>24646</v>
      </c>
      <c r="Z3864" t="s">
        <v>31574</v>
      </c>
      <c r="AA3864">
        <v>0.36821916903556851</v>
      </c>
      <c r="AB3864" t="str">
        <f>HYPERLINK("Melting_Curves/meltCurve_Q2TBE0_CWF19L2.pdf", "Melting_Curves/meltCurve_Q2TBE0_CWF19L2.pdf")</f>
        <v>Melting_Curves/meltCurve_Q2TBE0_CWF19L2.pdf</v>
      </c>
    </row>
    <row r="3865" spans="1:28" x14ac:dyDescent="0.25">
      <c r="A3865" t="s">
        <v>3869</v>
      </c>
      <c r="B3865">
        <v>0.99999676499088797</v>
      </c>
      <c r="C3865">
        <v>0.94715984084484595</v>
      </c>
      <c r="D3865">
        <v>0.90859641033661698</v>
      </c>
      <c r="E3865">
        <v>0.70176650024811904</v>
      </c>
      <c r="F3865">
        <v>0.41930480909060502</v>
      </c>
      <c r="G3865">
        <v>0.39406362232498299</v>
      </c>
      <c r="H3865">
        <v>0.225208583536223</v>
      </c>
      <c r="I3865">
        <v>0.24958889129137801</v>
      </c>
      <c r="J3865">
        <v>0.28406786719063698</v>
      </c>
      <c r="K3865">
        <v>0.119665296008567</v>
      </c>
      <c r="L3865">
        <v>819.72156499586697</v>
      </c>
      <c r="M3865">
        <v>16.04490565475</v>
      </c>
      <c r="N3865">
        <v>52.733295840633502</v>
      </c>
      <c r="O3865">
        <v>50.315368954577998</v>
      </c>
      <c r="P3865">
        <v>-6.4036893131661901E-2</v>
      </c>
      <c r="Q3865">
        <v>0.196806797969066</v>
      </c>
      <c r="R3865">
        <v>0.97782226457880494</v>
      </c>
      <c r="S3865" t="s">
        <v>10868</v>
      </c>
      <c r="T3865" t="s">
        <v>14004</v>
      </c>
      <c r="U3865" t="s">
        <v>14004</v>
      </c>
      <c r="V3865" t="s">
        <v>14004</v>
      </c>
      <c r="W3865" t="s">
        <v>17823</v>
      </c>
      <c r="X3865">
        <v>5</v>
      </c>
      <c r="Y3865" t="s">
        <v>24647</v>
      </c>
      <c r="Z3865" t="s">
        <v>31575</v>
      </c>
      <c r="AA3865">
        <v>0.51023263761784221</v>
      </c>
      <c r="AB3865" t="str">
        <f>HYPERLINK("Melting_Curves/meltCurve_Q2VPB7_AP5B1.pdf", "Melting_Curves/meltCurve_Q2VPB7_AP5B1.pdf")</f>
        <v>Melting_Curves/meltCurve_Q2VPB7_AP5B1.pdf</v>
      </c>
    </row>
    <row r="3866" spans="1:28" x14ac:dyDescent="0.25">
      <c r="A3866" t="s">
        <v>3870</v>
      </c>
      <c r="B3866">
        <v>0.99999676499088797</v>
      </c>
      <c r="C3866">
        <v>0.99103858522449895</v>
      </c>
      <c r="D3866">
        <v>1.0098817966679601</v>
      </c>
      <c r="E3866">
        <v>0.81351110834972895</v>
      </c>
      <c r="F3866">
        <v>0.56965856856093899</v>
      </c>
      <c r="G3866">
        <v>0.44698198340464501</v>
      </c>
      <c r="H3866">
        <v>0.230878681491199</v>
      </c>
      <c r="I3866">
        <v>0.16785573038228199</v>
      </c>
      <c r="J3866">
        <v>0.13132506292798901</v>
      </c>
      <c r="K3866">
        <v>0.11843645302015</v>
      </c>
      <c r="L3866">
        <v>827.36027436752499</v>
      </c>
      <c r="M3866">
        <v>15.236704966094701</v>
      </c>
      <c r="N3866">
        <v>55.011468671031501</v>
      </c>
      <c r="O3866">
        <v>53.390898667726503</v>
      </c>
      <c r="P3866">
        <v>-6.4974918120147496E-2</v>
      </c>
      <c r="Q3866">
        <v>8.9372746891536903E-2</v>
      </c>
      <c r="R3866">
        <v>0.99300643046207104</v>
      </c>
      <c r="S3866" t="s">
        <v>10869</v>
      </c>
      <c r="T3866" t="s">
        <v>14004</v>
      </c>
      <c r="U3866" t="s">
        <v>14004</v>
      </c>
      <c r="V3866" t="s">
        <v>14004</v>
      </c>
      <c r="W3866" t="s">
        <v>17824</v>
      </c>
      <c r="X3866">
        <v>3</v>
      </c>
      <c r="Y3866" t="s">
        <v>24648</v>
      </c>
      <c r="Z3866" t="s">
        <v>31576</v>
      </c>
      <c r="AA3866">
        <v>0.54148172463628375</v>
      </c>
      <c r="AB3866" t="str">
        <f>HYPERLINK("Melting_Curves/meltCurve_Q2VPS2_STX1B.pdf", "Melting_Curves/meltCurve_Q2VPS2_STX1B.pdf")</f>
        <v>Melting_Curves/meltCurve_Q2VPS2_STX1B.pdf</v>
      </c>
    </row>
    <row r="3867" spans="1:28" x14ac:dyDescent="0.25">
      <c r="A3867" t="s">
        <v>3871</v>
      </c>
      <c r="B3867">
        <v>0.99999676499088797</v>
      </c>
      <c r="C3867">
        <v>1.0293817847706199</v>
      </c>
      <c r="D3867">
        <v>1.0845515301923601</v>
      </c>
      <c r="E3867">
        <v>0.65698714529747904</v>
      </c>
      <c r="F3867">
        <v>1.28427409931102</v>
      </c>
      <c r="G3867">
        <v>1.2436349938723701</v>
      </c>
      <c r="H3867">
        <v>0.90558164842542499</v>
      </c>
      <c r="I3867">
        <v>0.88434191723400801</v>
      </c>
      <c r="J3867">
        <v>0.90699453948879005</v>
      </c>
      <c r="K3867">
        <v>1.0551963372156099</v>
      </c>
      <c r="S3867" t="s">
        <v>10870</v>
      </c>
      <c r="T3867" t="s">
        <v>14004</v>
      </c>
      <c r="U3867" t="s">
        <v>14005</v>
      </c>
      <c r="V3867" t="s">
        <v>14004</v>
      </c>
      <c r="W3867" t="s">
        <v>17825</v>
      </c>
      <c r="X3867">
        <v>48</v>
      </c>
      <c r="Y3867" t="s">
        <v>24649</v>
      </c>
      <c r="Z3867" t="s">
        <v>31577</v>
      </c>
      <c r="AB3867" t="str">
        <f>HYPERLINK("Melting_Curves/meltCurve_Q32MZ4_2_LRRFIP1.pdf", "Melting_Curves/meltCurve_Q32MZ4_2_LRRFIP1.pdf")</f>
        <v>Melting_Curves/meltCurve_Q32MZ4_2_LRRFIP1.pdf</v>
      </c>
    </row>
    <row r="3868" spans="1:28" x14ac:dyDescent="0.25">
      <c r="A3868" t="s">
        <v>3872</v>
      </c>
      <c r="B3868">
        <v>0.99999676499088797</v>
      </c>
      <c r="C3868">
        <v>1.01419372837642</v>
      </c>
      <c r="D3868">
        <v>0.97030329001833004</v>
      </c>
      <c r="E3868">
        <v>0.64914494175644299</v>
      </c>
      <c r="F3868">
        <v>0.84103884583506305</v>
      </c>
      <c r="G3868">
        <v>0.85474459017614501</v>
      </c>
      <c r="H3868">
        <v>0.62184545759939203</v>
      </c>
      <c r="I3868">
        <v>0.74560897640430102</v>
      </c>
      <c r="J3868">
        <v>0.72442957116795303</v>
      </c>
      <c r="K3868">
        <v>0.73935212202131395</v>
      </c>
      <c r="L3868">
        <v>11594.3337820749</v>
      </c>
      <c r="M3868">
        <v>250</v>
      </c>
      <c r="O3868">
        <v>46.374364509453301</v>
      </c>
      <c r="P3868">
        <v>-0.35114755241718199</v>
      </c>
      <c r="Q3868">
        <v>0.73945207121010004</v>
      </c>
      <c r="R3868">
        <v>0.74941341685858798</v>
      </c>
      <c r="S3868" t="s">
        <v>10871</v>
      </c>
      <c r="T3868" t="s">
        <v>14004</v>
      </c>
      <c r="U3868" t="s">
        <v>14004</v>
      </c>
      <c r="V3868" t="s">
        <v>14004</v>
      </c>
      <c r="W3868" t="s">
        <v>17826</v>
      </c>
      <c r="X3868">
        <v>48</v>
      </c>
      <c r="Y3868" t="s">
        <v>24649</v>
      </c>
      <c r="Z3868" t="s">
        <v>31578</v>
      </c>
      <c r="AA3868">
        <v>0.79485999289311815</v>
      </c>
      <c r="AB3868" t="str">
        <f>HYPERLINK("Melting_Curves/meltCurve_Q32MZ4_3_LRRFIP1.pdf", "Melting_Curves/meltCurve_Q32MZ4_3_LRRFIP1.pdf")</f>
        <v>Melting_Curves/meltCurve_Q32MZ4_3_LRRFIP1.pdf</v>
      </c>
    </row>
    <row r="3869" spans="1:28" x14ac:dyDescent="0.25">
      <c r="A3869" t="s">
        <v>3873</v>
      </c>
      <c r="B3869">
        <v>0.99999676499088797</v>
      </c>
      <c r="C3869">
        <v>1.04213234356673</v>
      </c>
      <c r="D3869">
        <v>0.83904929306098497</v>
      </c>
      <c r="E3869">
        <v>0.56821536115799298</v>
      </c>
      <c r="F3869">
        <v>0.73909721054962096</v>
      </c>
      <c r="G3869">
        <v>0.79770792466606699</v>
      </c>
      <c r="H3869">
        <v>0.558949354802035</v>
      </c>
      <c r="I3869">
        <v>0.73875175130911497</v>
      </c>
      <c r="J3869">
        <v>0.61517677825942796</v>
      </c>
      <c r="K3869">
        <v>0.63328863429674898</v>
      </c>
      <c r="L3869">
        <v>11503.742795853899</v>
      </c>
      <c r="M3869">
        <v>250</v>
      </c>
      <c r="O3869">
        <v>46.012026401500798</v>
      </c>
      <c r="P3869">
        <v>-0.45578397926417902</v>
      </c>
      <c r="Q3869">
        <v>0.664455287656189</v>
      </c>
      <c r="R3869">
        <v>0.79032894356398098</v>
      </c>
      <c r="S3869" t="s">
        <v>10872</v>
      </c>
      <c r="T3869" t="s">
        <v>14004</v>
      </c>
      <c r="U3869" t="s">
        <v>14004</v>
      </c>
      <c r="V3869" t="s">
        <v>14004</v>
      </c>
      <c r="W3869" t="s">
        <v>17827</v>
      </c>
      <c r="X3869">
        <v>14</v>
      </c>
      <c r="Y3869" t="s">
        <v>24649</v>
      </c>
      <c r="Z3869" t="s">
        <v>31579</v>
      </c>
      <c r="AA3869">
        <v>0.73175877727327743</v>
      </c>
      <c r="AB3869" t="str">
        <f>HYPERLINK("Melting_Curves/meltCurve_Q32MZ4_4_LRRFIP1.pdf", "Melting_Curves/meltCurve_Q32MZ4_4_LRRFIP1.pdf")</f>
        <v>Melting_Curves/meltCurve_Q32MZ4_4_LRRFIP1.pdf</v>
      </c>
    </row>
    <row r="3870" spans="1:28" x14ac:dyDescent="0.25">
      <c r="A3870" t="s">
        <v>3874</v>
      </c>
      <c r="B3870">
        <v>0.99999676499088797</v>
      </c>
      <c r="C3870">
        <v>0.90090422616210697</v>
      </c>
      <c r="D3870">
        <v>0.71089030312605594</v>
      </c>
      <c r="E3870">
        <v>0.23897914021947</v>
      </c>
      <c r="F3870">
        <v>0.17899024385012</v>
      </c>
      <c r="G3870">
        <v>0.12547065417061201</v>
      </c>
      <c r="H3870">
        <v>6.6989191007110205E-2</v>
      </c>
      <c r="I3870">
        <v>5.2869178123647602E-2</v>
      </c>
      <c r="J3870">
        <v>6.7776155679473399E-2</v>
      </c>
      <c r="K3870">
        <v>8.0992251981974198E-2</v>
      </c>
      <c r="L3870">
        <v>1206.7431670664901</v>
      </c>
      <c r="M3870">
        <v>25.596881981829601</v>
      </c>
      <c r="N3870">
        <v>47.4678571678376</v>
      </c>
      <c r="O3870">
        <v>46.859203105275597</v>
      </c>
      <c r="P3870">
        <v>-0.12562736277671299</v>
      </c>
      <c r="Q3870">
        <v>8.0086555687659697E-2</v>
      </c>
      <c r="R3870">
        <v>0.99305667959653698</v>
      </c>
      <c r="S3870" t="s">
        <v>10873</v>
      </c>
      <c r="T3870" t="s">
        <v>14004</v>
      </c>
      <c r="U3870" t="s">
        <v>14004</v>
      </c>
      <c r="V3870" t="s">
        <v>14004</v>
      </c>
      <c r="W3870" t="s">
        <v>17828</v>
      </c>
      <c r="X3870">
        <v>5</v>
      </c>
      <c r="Y3870" t="s">
        <v>24650</v>
      </c>
      <c r="Z3870" t="s">
        <v>31580</v>
      </c>
      <c r="AA3870">
        <v>0.30693243049207719</v>
      </c>
      <c r="AB3870" t="str">
        <f>HYPERLINK("Melting_Curves/meltCurve_Q32MZ9_POLD3.pdf", "Melting_Curves/meltCurve_Q32MZ9_POLD3.pdf")</f>
        <v>Melting_Curves/meltCurve_Q32MZ9_POLD3.pdf</v>
      </c>
    </row>
    <row r="3871" spans="1:28" x14ac:dyDescent="0.25">
      <c r="A3871" t="s">
        <v>3875</v>
      </c>
      <c r="B3871">
        <v>0.99999676499088797</v>
      </c>
      <c r="C3871">
        <v>0.98079951995621495</v>
      </c>
      <c r="D3871">
        <v>0.86177024722395301</v>
      </c>
      <c r="E3871">
        <v>0.55623995771036905</v>
      </c>
      <c r="F3871">
        <v>0.37072969972754499</v>
      </c>
      <c r="G3871">
        <v>0.27895174547065399</v>
      </c>
      <c r="H3871">
        <v>0.13293622087911799</v>
      </c>
      <c r="I3871">
        <v>0.137038350784883</v>
      </c>
      <c r="J3871">
        <v>0.145101870230047</v>
      </c>
      <c r="K3871">
        <v>0.11624227259009599</v>
      </c>
      <c r="L3871">
        <v>846.655655119637</v>
      </c>
      <c r="M3871">
        <v>16.897008832378798</v>
      </c>
      <c r="N3871">
        <v>50.949606465996403</v>
      </c>
      <c r="O3871">
        <v>49.4207957322539</v>
      </c>
      <c r="P3871">
        <v>-7.5058991837581496E-2</v>
      </c>
      <c r="Q3871">
        <v>0.121917821371877</v>
      </c>
      <c r="R3871">
        <v>0.99389532611725295</v>
      </c>
      <c r="S3871" t="s">
        <v>10874</v>
      </c>
      <c r="T3871" t="s">
        <v>14004</v>
      </c>
      <c r="U3871" t="s">
        <v>14004</v>
      </c>
      <c r="V3871" t="s">
        <v>14004</v>
      </c>
      <c r="W3871" t="s">
        <v>17829</v>
      </c>
      <c r="X3871">
        <v>11</v>
      </c>
      <c r="Y3871" t="s">
        <v>24651</v>
      </c>
      <c r="Z3871" t="s">
        <v>31581</v>
      </c>
      <c r="AA3871">
        <v>0.43456901170271223</v>
      </c>
      <c r="AB3871" t="str">
        <f>HYPERLINK("Melting_Curves/meltCurve_Q32P28_LEPRE1.pdf", "Melting_Curves/meltCurve_Q32P28_LEPRE1.pdf")</f>
        <v>Melting_Curves/meltCurve_Q32P28_LEPRE1.pdf</v>
      </c>
    </row>
    <row r="3872" spans="1:28" x14ac:dyDescent="0.25">
      <c r="A3872" t="s">
        <v>3876</v>
      </c>
      <c r="B3872">
        <v>0.99999676499088797</v>
      </c>
      <c r="C3872">
        <v>0.84738081472439997</v>
      </c>
      <c r="D3872">
        <v>0.33274927926203401</v>
      </c>
      <c r="E3872">
        <v>0.19252171567808599</v>
      </c>
      <c r="F3872">
        <v>0.14081753020476201</v>
      </c>
      <c r="G3872">
        <v>0.125484139468969</v>
      </c>
      <c r="H3872">
        <v>7.2363090697175197E-2</v>
      </c>
      <c r="I3872">
        <v>8.5082833887893103E-2</v>
      </c>
      <c r="J3872">
        <v>8.2010775247772505E-2</v>
      </c>
      <c r="K3872">
        <v>6.7122611597101298E-2</v>
      </c>
      <c r="L3872">
        <v>1558.9089302820501</v>
      </c>
      <c r="M3872">
        <v>34.8413270673502</v>
      </c>
      <c r="N3872">
        <v>45.040132306289998</v>
      </c>
      <c r="O3872">
        <v>44.596468538542197</v>
      </c>
      <c r="P3872">
        <v>-0.17526729635791299</v>
      </c>
      <c r="Q3872">
        <v>0.102643300710673</v>
      </c>
      <c r="R3872">
        <v>0.99140308888093898</v>
      </c>
      <c r="S3872" t="s">
        <v>10875</v>
      </c>
      <c r="T3872" t="s">
        <v>14004</v>
      </c>
      <c r="U3872" t="s">
        <v>14004</v>
      </c>
      <c r="V3872" t="s">
        <v>14004</v>
      </c>
      <c r="W3872" t="s">
        <v>17830</v>
      </c>
      <c r="X3872">
        <v>12</v>
      </c>
      <c r="Y3872" t="s">
        <v>24652</v>
      </c>
      <c r="Z3872" t="s">
        <v>31582</v>
      </c>
      <c r="AA3872">
        <v>0.24865318646704199</v>
      </c>
      <c r="AB3872" t="str">
        <f>HYPERLINK("Melting_Curves/meltCurve_Q32P41_TRMT5.pdf", "Melting_Curves/meltCurve_Q32P41_TRMT5.pdf")</f>
        <v>Melting_Curves/meltCurve_Q32P41_TRMT5.pdf</v>
      </c>
    </row>
    <row r="3873" spans="1:28" x14ac:dyDescent="0.25">
      <c r="A3873" t="s">
        <v>3877</v>
      </c>
      <c r="B3873">
        <v>0.99999676499088797</v>
      </c>
      <c r="C3873">
        <v>0.90984659563672898</v>
      </c>
      <c r="D3873">
        <v>0.90123472367115898</v>
      </c>
      <c r="E3873">
        <v>0.89778491868891697</v>
      </c>
      <c r="F3873">
        <v>0.90189729121114204</v>
      </c>
      <c r="G3873">
        <v>0.76582571560786095</v>
      </c>
      <c r="H3873">
        <v>0.59062749827293604</v>
      </c>
      <c r="I3873">
        <v>0.499516917245654</v>
      </c>
      <c r="J3873">
        <v>0.34396526132064398</v>
      </c>
      <c r="K3873">
        <v>0.216357673764178</v>
      </c>
      <c r="L3873">
        <v>654.710536968626</v>
      </c>
      <c r="M3873">
        <v>10.3898899713503</v>
      </c>
      <c r="N3873">
        <v>63.014206187389398</v>
      </c>
      <c r="O3873">
        <v>60.813912523958699</v>
      </c>
      <c r="P3873">
        <v>-4.2729757246237003E-2</v>
      </c>
      <c r="Q3873">
        <v>0</v>
      </c>
      <c r="R3873">
        <v>0.97088310563834901</v>
      </c>
      <c r="S3873" t="s">
        <v>10876</v>
      </c>
      <c r="T3873" t="s">
        <v>14004</v>
      </c>
      <c r="U3873" t="s">
        <v>14004</v>
      </c>
      <c r="V3873" t="s">
        <v>14004</v>
      </c>
      <c r="W3873" t="s">
        <v>14761</v>
      </c>
      <c r="X3873">
        <v>19</v>
      </c>
      <c r="Y3873" t="s">
        <v>24653</v>
      </c>
      <c r="Z3873" t="s">
        <v>31583</v>
      </c>
      <c r="AA3873">
        <v>0.73839918325179854</v>
      </c>
      <c r="AB3873" t="str">
        <f>HYPERLINK("Melting_Curves/meltCurve_Q32Q12_NME1_NME2.pdf", "Melting_Curves/meltCurve_Q32Q12_NME1_NME2.pdf")</f>
        <v>Melting_Curves/meltCurve_Q32Q12_NME1_NME2.pdf</v>
      </c>
    </row>
    <row r="3874" spans="1:28" x14ac:dyDescent="0.25">
      <c r="A3874" t="s">
        <v>3878</v>
      </c>
      <c r="B3874">
        <v>0.99999676499088797</v>
      </c>
      <c r="C3874">
        <v>0.86835142617190997</v>
      </c>
      <c r="D3874">
        <v>0.71689869591602695</v>
      </c>
      <c r="E3874">
        <v>0.50134434598043998</v>
      </c>
      <c r="F3874">
        <v>0.35542611263783902</v>
      </c>
      <c r="G3874">
        <v>0.16977910140094801</v>
      </c>
      <c r="H3874">
        <v>8.0336928438531102E-2</v>
      </c>
      <c r="I3874">
        <v>6.7032708855678899E-2</v>
      </c>
      <c r="J3874">
        <v>5.11416536106487E-2</v>
      </c>
      <c r="K3874">
        <v>4.8912699316401798E-2</v>
      </c>
      <c r="L3874">
        <v>616.05275383441494</v>
      </c>
      <c r="M3874">
        <v>12.3918836856765</v>
      </c>
      <c r="N3874">
        <v>49.795375160754602</v>
      </c>
      <c r="O3874">
        <v>48.472767156089198</v>
      </c>
      <c r="P3874">
        <v>-6.3286075013809798E-2</v>
      </c>
      <c r="Q3874">
        <v>9.9974634524703596E-3</v>
      </c>
      <c r="R3874">
        <v>0.99562037119160496</v>
      </c>
      <c r="S3874" t="s">
        <v>10877</v>
      </c>
      <c r="T3874" t="s">
        <v>14004</v>
      </c>
      <c r="U3874" t="s">
        <v>14004</v>
      </c>
      <c r="V3874" t="s">
        <v>14004</v>
      </c>
      <c r="W3874" t="s">
        <v>17831</v>
      </c>
      <c r="X3874">
        <v>8</v>
      </c>
      <c r="Y3874" t="s">
        <v>24654</v>
      </c>
      <c r="Z3874" t="s">
        <v>31584</v>
      </c>
      <c r="AA3874">
        <v>0.36366027494507541</v>
      </c>
      <c r="AB3874" t="str">
        <f>HYPERLINK("Melting_Curves/meltCurve_Q3B726_TWISTNB.pdf", "Melting_Curves/meltCurve_Q3B726_TWISTNB.pdf")</f>
        <v>Melting_Curves/meltCurve_Q3B726_TWISTNB.pdf</v>
      </c>
    </row>
    <row r="3875" spans="1:28" x14ac:dyDescent="0.25">
      <c r="A3875" t="s">
        <v>3879</v>
      </c>
      <c r="B3875">
        <v>0.99999676499088797</v>
      </c>
      <c r="C3875">
        <v>1.0059497816151599</v>
      </c>
      <c r="D3875">
        <v>0.90030588010865897</v>
      </c>
      <c r="E3875">
        <v>0.82515449896799598</v>
      </c>
      <c r="F3875">
        <v>0.64894121816894201</v>
      </c>
      <c r="G3875">
        <v>0.30843158871318599</v>
      </c>
      <c r="H3875">
        <v>0.16346585053389301</v>
      </c>
      <c r="I3875">
        <v>0.15347899952383801</v>
      </c>
      <c r="J3875">
        <v>0.115055235481145</v>
      </c>
      <c r="K3875">
        <v>8.1686936800482696E-2</v>
      </c>
      <c r="L3875">
        <v>956.51031500026204</v>
      </c>
      <c r="M3875">
        <v>17.7201868713226</v>
      </c>
      <c r="N3875">
        <v>54.471731996743799</v>
      </c>
      <c r="O3875">
        <v>53.305204412175698</v>
      </c>
      <c r="P3875">
        <v>-7.69517572078601E-2</v>
      </c>
      <c r="Q3875">
        <v>7.4114975556106202E-2</v>
      </c>
      <c r="R3875">
        <v>0.99323567705081905</v>
      </c>
      <c r="S3875" t="s">
        <v>10878</v>
      </c>
      <c r="T3875" t="s">
        <v>14004</v>
      </c>
      <c r="U3875" t="s">
        <v>14004</v>
      </c>
      <c r="V3875" t="s">
        <v>14004</v>
      </c>
      <c r="W3875" t="s">
        <v>17832</v>
      </c>
      <c r="X3875">
        <v>4</v>
      </c>
      <c r="Y3875" t="s">
        <v>24655</v>
      </c>
      <c r="Z3875" t="s">
        <v>31585</v>
      </c>
      <c r="AA3875">
        <v>0.52070305865372513</v>
      </c>
      <c r="AB3875" t="str">
        <f>HYPERLINK("Melting_Curves/meltCurve_Q3B7J2_GFOD2.pdf", "Melting_Curves/meltCurve_Q3B7J2_GFOD2.pdf")</f>
        <v>Melting_Curves/meltCurve_Q3B7J2_GFOD2.pdf</v>
      </c>
    </row>
    <row r="3876" spans="1:28" x14ac:dyDescent="0.25">
      <c r="A3876" t="s">
        <v>3880</v>
      </c>
      <c r="B3876">
        <v>0.99999676499088797</v>
      </c>
      <c r="C3876">
        <v>0.93406123327828405</v>
      </c>
      <c r="D3876">
        <v>0.72702717142770801</v>
      </c>
      <c r="E3876">
        <v>0.437613688265726</v>
      </c>
      <c r="F3876">
        <v>0.27632205529179599</v>
      </c>
      <c r="G3876">
        <v>0.23138554051862201</v>
      </c>
      <c r="H3876">
        <v>8.2347371776325201E-2</v>
      </c>
      <c r="I3876">
        <v>0.133299075842403</v>
      </c>
      <c r="J3876">
        <v>0.143973619643429</v>
      </c>
      <c r="K3876">
        <v>9.5978713361175499E-2</v>
      </c>
      <c r="L3876">
        <v>837.63217287177395</v>
      </c>
      <c r="M3876">
        <v>17.3476168984098</v>
      </c>
      <c r="N3876">
        <v>49.023415253578598</v>
      </c>
      <c r="O3876">
        <v>47.657216527008799</v>
      </c>
      <c r="P3876">
        <v>-8.0545509598722503E-2</v>
      </c>
      <c r="Q3876">
        <v>0.11495491917201101</v>
      </c>
      <c r="R3876">
        <v>0.99187456865548695</v>
      </c>
      <c r="S3876" t="s">
        <v>10879</v>
      </c>
      <c r="T3876" t="s">
        <v>14004</v>
      </c>
      <c r="U3876" t="s">
        <v>14004</v>
      </c>
      <c r="V3876" t="s">
        <v>14004</v>
      </c>
      <c r="W3876" t="s">
        <v>17833</v>
      </c>
      <c r="X3876">
        <v>6</v>
      </c>
      <c r="Y3876" t="s">
        <v>24656</v>
      </c>
      <c r="Z3876" t="s">
        <v>31586</v>
      </c>
      <c r="AA3876">
        <v>0.37618257656324328</v>
      </c>
      <c r="AB3876" t="str">
        <f>HYPERLINK("Melting_Curves/meltCurve_Q3B7T1_5_EDRF1.pdf", "Melting_Curves/meltCurve_Q3B7T1_5_EDRF1.pdf")</f>
        <v>Melting_Curves/meltCurve_Q3B7T1_5_EDRF1.pdf</v>
      </c>
    </row>
    <row r="3877" spans="1:28" x14ac:dyDescent="0.25">
      <c r="A3877" t="s">
        <v>3881</v>
      </c>
      <c r="B3877">
        <v>0.99999676499088797</v>
      </c>
      <c r="C3877">
        <v>1.0517921018909999</v>
      </c>
      <c r="D3877">
        <v>0.95235499387730504</v>
      </c>
      <c r="E3877">
        <v>0.76112099899357899</v>
      </c>
      <c r="F3877">
        <v>0.44960044447320902</v>
      </c>
      <c r="G3877">
        <v>0.35412217398922702</v>
      </c>
      <c r="H3877">
        <v>0.201899543306262</v>
      </c>
      <c r="I3877">
        <v>0.31383106956680201</v>
      </c>
      <c r="J3877">
        <v>0.37022795346499798</v>
      </c>
      <c r="K3877">
        <v>0.28547565347190701</v>
      </c>
      <c r="L3877">
        <v>1433.4331990369899</v>
      </c>
      <c r="M3877">
        <v>28.2303818490456</v>
      </c>
      <c r="N3877">
        <v>52.445572304425397</v>
      </c>
      <c r="O3877">
        <v>50.523508899928601</v>
      </c>
      <c r="P3877">
        <v>-9.8283192813346798E-2</v>
      </c>
      <c r="Q3877">
        <v>0.29642161339237999</v>
      </c>
      <c r="R3877">
        <v>0.97988315655226699</v>
      </c>
      <c r="S3877" t="s">
        <v>10880</v>
      </c>
      <c r="T3877" t="s">
        <v>14004</v>
      </c>
      <c r="U3877" t="s">
        <v>14004</v>
      </c>
      <c r="V3877" t="s">
        <v>14004</v>
      </c>
      <c r="W3877" t="s">
        <v>17834</v>
      </c>
      <c r="X3877">
        <v>9</v>
      </c>
      <c r="Y3877" t="s">
        <v>24657</v>
      </c>
      <c r="Z3877" t="s">
        <v>31587</v>
      </c>
      <c r="AA3877">
        <v>0.55413166677378856</v>
      </c>
      <c r="AB3877" t="str">
        <f>HYPERLINK("Melting_Curves/meltCurve_Q3KQU3_4_MAP7D1.pdf", "Melting_Curves/meltCurve_Q3KQU3_4_MAP7D1.pdf")</f>
        <v>Melting_Curves/meltCurve_Q3KQU3_4_MAP7D1.pdf</v>
      </c>
    </row>
    <row r="3878" spans="1:28" x14ac:dyDescent="0.25">
      <c r="A3878" t="s">
        <v>3882</v>
      </c>
      <c r="B3878">
        <v>0.99999676499088797</v>
      </c>
      <c r="C3878">
        <v>1.0767749155809001</v>
      </c>
      <c r="D3878">
        <v>1.0484837156328499</v>
      </c>
      <c r="E3878">
        <v>0.945711375015581</v>
      </c>
      <c r="F3878">
        <v>0.36378146166421899</v>
      </c>
      <c r="G3878">
        <v>0.21463363324003301</v>
      </c>
      <c r="H3878">
        <v>7.8372556713625502E-2</v>
      </c>
      <c r="I3878">
        <v>6.1099589606266998E-2</v>
      </c>
      <c r="J3878">
        <v>3.8769841664483398E-2</v>
      </c>
      <c r="K3878">
        <v>4.7628213968522903E-2</v>
      </c>
      <c r="L3878">
        <v>2111.0430864886498</v>
      </c>
      <c r="M3878">
        <v>40.317582926206697</v>
      </c>
      <c r="N3878">
        <v>52.573548010838998</v>
      </c>
      <c r="O3878">
        <v>52.232037221326998</v>
      </c>
      <c r="P3878">
        <v>-0.17842117642521299</v>
      </c>
      <c r="Q3878">
        <v>7.5412543338966506E-2</v>
      </c>
      <c r="R3878">
        <v>0.98811091667266204</v>
      </c>
      <c r="S3878" t="s">
        <v>10881</v>
      </c>
      <c r="T3878" t="s">
        <v>14004</v>
      </c>
      <c r="U3878" t="s">
        <v>14004</v>
      </c>
      <c r="V3878" t="s">
        <v>14004</v>
      </c>
      <c r="W3878" t="s">
        <v>17835</v>
      </c>
      <c r="X3878">
        <v>5</v>
      </c>
      <c r="Y3878" t="s">
        <v>24658</v>
      </c>
      <c r="Z3878" t="s">
        <v>31588</v>
      </c>
      <c r="AA3878">
        <v>0.45964506744332612</v>
      </c>
      <c r="AB3878" t="str">
        <f>HYPERLINK("Melting_Curves/meltCurve_Q3KQV9_UAP1L1.pdf", "Melting_Curves/meltCurve_Q3KQV9_UAP1L1.pdf")</f>
        <v>Melting_Curves/meltCurve_Q3KQV9_UAP1L1.pdf</v>
      </c>
    </row>
    <row r="3879" spans="1:28" x14ac:dyDescent="0.25">
      <c r="A3879" t="s">
        <v>3883</v>
      </c>
      <c r="B3879">
        <v>0.99999676499088797</v>
      </c>
      <c r="C3879">
        <v>0.96145950020018001</v>
      </c>
      <c r="D3879">
        <v>0.99275249424040002</v>
      </c>
      <c r="E3879">
        <v>0.70535634619105803</v>
      </c>
      <c r="F3879">
        <v>0.29220335746654902</v>
      </c>
      <c r="G3879">
        <v>0.197013333100652</v>
      </c>
      <c r="H3879">
        <v>9.3971499886088203E-2</v>
      </c>
      <c r="I3879">
        <v>7.2781733748326694E-2</v>
      </c>
      <c r="J3879">
        <v>5.8880690314637003E-2</v>
      </c>
      <c r="K3879">
        <v>5.92431563977791E-2</v>
      </c>
      <c r="L3879">
        <v>1328.1401727530499</v>
      </c>
      <c r="M3879">
        <v>25.999671820506499</v>
      </c>
      <c r="N3879">
        <v>51.404641949144199</v>
      </c>
      <c r="O3879">
        <v>50.7836332599664</v>
      </c>
      <c r="P3879">
        <v>-0.118384396422568</v>
      </c>
      <c r="Q3879">
        <v>7.5077469235725905E-2</v>
      </c>
      <c r="R3879">
        <v>0.995194973018244</v>
      </c>
      <c r="S3879" t="s">
        <v>10882</v>
      </c>
      <c r="T3879" t="s">
        <v>14004</v>
      </c>
      <c r="U3879" t="s">
        <v>14004</v>
      </c>
      <c r="V3879" t="s">
        <v>14004</v>
      </c>
      <c r="W3879" t="s">
        <v>17836</v>
      </c>
      <c r="X3879">
        <v>2</v>
      </c>
      <c r="Y3879" t="s">
        <v>24659</v>
      </c>
      <c r="Z3879" t="s">
        <v>31589</v>
      </c>
      <c r="AA3879">
        <v>0.42451513985109718</v>
      </c>
      <c r="AB3879" t="str">
        <f>HYPERLINK("Melting_Curves/meltCurve_Q3KRA6_C2orf76.pdf", "Melting_Curves/meltCurve_Q3KRA6_C2orf76.pdf")</f>
        <v>Melting_Curves/meltCurve_Q3KRA6_C2orf76.pdf</v>
      </c>
    </row>
    <row r="3880" spans="1:28" x14ac:dyDescent="0.25">
      <c r="A3880" t="s">
        <v>3884</v>
      </c>
      <c r="B3880">
        <v>0.99999676499088797</v>
      </c>
      <c r="C3880">
        <v>1.09165587663138</v>
      </c>
      <c r="D3880">
        <v>0.94349258622710197</v>
      </c>
      <c r="E3880">
        <v>0.76217262293087695</v>
      </c>
      <c r="F3880">
        <v>0.80312334563757204</v>
      </c>
      <c r="G3880">
        <v>0.71986419050084105</v>
      </c>
      <c r="H3880">
        <v>0.42849075492219502</v>
      </c>
      <c r="I3880">
        <v>0.38217565452754099</v>
      </c>
      <c r="J3880">
        <v>0.279947053825299</v>
      </c>
      <c r="K3880">
        <v>0.293317401690181</v>
      </c>
      <c r="L3880">
        <v>592.31789838868394</v>
      </c>
      <c r="M3880">
        <v>10.059344001716401</v>
      </c>
      <c r="N3880">
        <v>60.3556805295798</v>
      </c>
      <c r="O3880">
        <v>56.697361364074098</v>
      </c>
      <c r="P3880">
        <v>-3.9545481881184001E-2</v>
      </c>
      <c r="Q3880">
        <v>0.108864972782659</v>
      </c>
      <c r="R3880">
        <v>0.95115501049055495</v>
      </c>
      <c r="S3880" t="s">
        <v>10883</v>
      </c>
      <c r="T3880" t="s">
        <v>14004</v>
      </c>
      <c r="U3880" t="s">
        <v>14004</v>
      </c>
      <c r="V3880" t="s">
        <v>14004</v>
      </c>
      <c r="W3880" t="s">
        <v>17837</v>
      </c>
      <c r="X3880">
        <v>4</v>
      </c>
      <c r="Y3880" t="s">
        <v>24660</v>
      </c>
      <c r="Z3880" t="s">
        <v>31590</v>
      </c>
      <c r="AA3880">
        <v>0.67361331886240383</v>
      </c>
      <c r="AB3880" t="str">
        <f>HYPERLINK("Melting_Curves/meltCurve_Q3KRA9_ALKBH6.pdf", "Melting_Curves/meltCurve_Q3KRA9_ALKBH6.pdf")</f>
        <v>Melting_Curves/meltCurve_Q3KRA9_ALKBH6.pdf</v>
      </c>
    </row>
    <row r="3881" spans="1:28" x14ac:dyDescent="0.25">
      <c r="A3881" t="s">
        <v>3885</v>
      </c>
      <c r="B3881">
        <v>0.99999676499088797</v>
      </c>
      <c r="C3881">
        <v>0.95291057974003601</v>
      </c>
      <c r="D3881">
        <v>0.68336914882938204</v>
      </c>
      <c r="E3881">
        <v>0.53179646540275105</v>
      </c>
      <c r="F3881">
        <v>0.48529727605005202</v>
      </c>
      <c r="G3881">
        <v>0.36068175542872499</v>
      </c>
      <c r="H3881">
        <v>0.167889638370121</v>
      </c>
      <c r="I3881">
        <v>0.123714516958481</v>
      </c>
      <c r="J3881">
        <v>0.120365605108624</v>
      </c>
      <c r="K3881">
        <v>6.7673730371650503E-2</v>
      </c>
      <c r="L3881">
        <v>483.99048220388698</v>
      </c>
      <c r="M3881">
        <v>9.3573671364847204</v>
      </c>
      <c r="N3881">
        <v>51.722926328975397</v>
      </c>
      <c r="O3881">
        <v>49.525558137998601</v>
      </c>
      <c r="P3881">
        <v>-4.7264635461125498E-2</v>
      </c>
      <c r="Q3881">
        <v>0</v>
      </c>
      <c r="R3881">
        <v>0.97341432445574305</v>
      </c>
      <c r="S3881" t="s">
        <v>10884</v>
      </c>
      <c r="T3881" t="s">
        <v>14004</v>
      </c>
      <c r="U3881" t="s">
        <v>14004</v>
      </c>
      <c r="V3881" t="s">
        <v>14004</v>
      </c>
      <c r="W3881" t="s">
        <v>17838</v>
      </c>
      <c r="X3881">
        <v>1</v>
      </c>
      <c r="Y3881" t="s">
        <v>24661</v>
      </c>
      <c r="Z3881" t="s">
        <v>31591</v>
      </c>
      <c r="AA3881">
        <v>0.43267749661283339</v>
      </c>
      <c r="AB3881" t="str">
        <f>HYPERLINK("Melting_Curves/meltCurve_Q3LIE5_ADPRM.pdf", "Melting_Curves/meltCurve_Q3LIE5_ADPRM.pdf")</f>
        <v>Melting_Curves/meltCurve_Q3LIE5_ADPRM.pdf</v>
      </c>
    </row>
    <row r="3882" spans="1:28" x14ac:dyDescent="0.25">
      <c r="A3882" t="s">
        <v>3886</v>
      </c>
      <c r="B3882">
        <v>0.99999676499088797</v>
      </c>
      <c r="C3882">
        <v>1.1536020342583599</v>
      </c>
      <c r="D3882">
        <v>1.11515424762562</v>
      </c>
      <c r="E3882">
        <v>1.03315742670429</v>
      </c>
      <c r="F3882">
        <v>0.99659554790301896</v>
      </c>
      <c r="G3882">
        <v>0.63872440129036101</v>
      </c>
      <c r="H3882">
        <v>0.154310033754501</v>
      </c>
      <c r="I3882">
        <v>0.11929093599988599</v>
      </c>
      <c r="J3882">
        <v>0.10698708981766999</v>
      </c>
      <c r="K3882">
        <v>9.1462501984965403E-2</v>
      </c>
      <c r="L3882">
        <v>2927.24673721214</v>
      </c>
      <c r="M3882">
        <v>51.135980563419601</v>
      </c>
      <c r="N3882">
        <v>57.5120907171124</v>
      </c>
      <c r="O3882">
        <v>57.157021224069297</v>
      </c>
      <c r="P3882">
        <v>-0.19997498639097799</v>
      </c>
      <c r="Q3882">
        <v>0.105915995022794</v>
      </c>
      <c r="R3882">
        <v>0.98066894246568703</v>
      </c>
      <c r="S3882" t="s">
        <v>10885</v>
      </c>
      <c r="T3882" t="s">
        <v>14004</v>
      </c>
      <c r="U3882" t="s">
        <v>14004</v>
      </c>
      <c r="V3882" t="s">
        <v>14004</v>
      </c>
      <c r="W3882" t="s">
        <v>17839</v>
      </c>
      <c r="X3882">
        <v>26</v>
      </c>
      <c r="Y3882" t="s">
        <v>24662</v>
      </c>
      <c r="Z3882" t="s">
        <v>31592</v>
      </c>
      <c r="AA3882">
        <v>0.62199955248339511</v>
      </c>
      <c r="AB3882" t="str">
        <f>HYPERLINK("Melting_Curves/meltCurve_Q3LXA3_DAK.pdf", "Melting_Curves/meltCurve_Q3LXA3_DAK.pdf")</f>
        <v>Melting_Curves/meltCurve_Q3LXA3_DAK.pdf</v>
      </c>
    </row>
    <row r="3883" spans="1:28" x14ac:dyDescent="0.25">
      <c r="A3883" t="s">
        <v>3887</v>
      </c>
      <c r="B3883">
        <v>0.99999676499088797</v>
      </c>
      <c r="C3883">
        <v>1.04087677810487</v>
      </c>
      <c r="D3883">
        <v>0.96386877184004704</v>
      </c>
      <c r="E3883">
        <v>0.92890610112479099</v>
      </c>
      <c r="F3883">
        <v>0.52096961045446699</v>
      </c>
      <c r="G3883">
        <v>0.23147560845387699</v>
      </c>
      <c r="H3883">
        <v>9.6889703453903006E-2</v>
      </c>
      <c r="I3883">
        <v>8.2785458821181504E-2</v>
      </c>
      <c r="J3883">
        <v>7.0837629755242396E-2</v>
      </c>
      <c r="K3883">
        <v>6.22742717218202E-2</v>
      </c>
      <c r="L3883">
        <v>1509.53886728768</v>
      </c>
      <c r="M3883">
        <v>28.340288580186201</v>
      </c>
      <c r="N3883">
        <v>53.557102415139703</v>
      </c>
      <c r="O3883">
        <v>53.001676046103</v>
      </c>
      <c r="P3883">
        <v>-0.12409805311250301</v>
      </c>
      <c r="Q3883">
        <v>7.1660679348035994E-2</v>
      </c>
      <c r="R3883">
        <v>0.99734179050646898</v>
      </c>
      <c r="S3883" t="s">
        <v>10886</v>
      </c>
      <c r="T3883" t="s">
        <v>14004</v>
      </c>
      <c r="U3883" t="s">
        <v>14004</v>
      </c>
      <c r="V3883" t="s">
        <v>14004</v>
      </c>
      <c r="W3883" t="s">
        <v>17840</v>
      </c>
      <c r="X3883">
        <v>5</v>
      </c>
      <c r="Y3883" t="s">
        <v>24663</v>
      </c>
      <c r="Z3883" t="s">
        <v>31593</v>
      </c>
      <c r="AA3883">
        <v>0.48888214089157328</v>
      </c>
      <c r="AB3883" t="str">
        <f>HYPERLINK("Melting_Curves/meltCurve_Q3MHD2_LSM12.pdf", "Melting_Curves/meltCurve_Q3MHD2_LSM12.pdf")</f>
        <v>Melting_Curves/meltCurve_Q3MHD2_LSM12.pdf</v>
      </c>
    </row>
    <row r="3884" spans="1:28" x14ac:dyDescent="0.25">
      <c r="A3884" t="s">
        <v>3888</v>
      </c>
      <c r="B3884">
        <v>0.99999676499088797</v>
      </c>
      <c r="C3884">
        <v>1.04977056984772</v>
      </c>
      <c r="D3884">
        <v>0.80434702742568498</v>
      </c>
      <c r="E3884">
        <v>0.42668226277834997</v>
      </c>
      <c r="F3884">
        <v>0.24286429071663601</v>
      </c>
      <c r="G3884">
        <v>0.21345376488538101</v>
      </c>
      <c r="H3884">
        <v>0.131916574477422</v>
      </c>
      <c r="I3884">
        <v>0.19243605193706501</v>
      </c>
      <c r="J3884">
        <v>0.154770468980478</v>
      </c>
      <c r="K3884">
        <v>0.216535619235174</v>
      </c>
      <c r="L3884">
        <v>1378.46847670639</v>
      </c>
      <c r="M3884">
        <v>28.657720913519299</v>
      </c>
      <c r="N3884">
        <v>48.869609156038898</v>
      </c>
      <c r="O3884">
        <v>47.868716368330801</v>
      </c>
      <c r="P3884">
        <v>-0.122520400487115</v>
      </c>
      <c r="Q3884">
        <v>0.181393430278319</v>
      </c>
      <c r="R3884">
        <v>0.99050491894705195</v>
      </c>
      <c r="S3884" t="s">
        <v>10887</v>
      </c>
      <c r="T3884" t="s">
        <v>14004</v>
      </c>
      <c r="U3884" t="s">
        <v>14004</v>
      </c>
      <c r="V3884" t="s">
        <v>14004</v>
      </c>
      <c r="W3884" t="s">
        <v>17841</v>
      </c>
      <c r="X3884">
        <v>4</v>
      </c>
      <c r="Y3884" t="s">
        <v>24664</v>
      </c>
      <c r="Z3884" t="s">
        <v>31594</v>
      </c>
      <c r="AA3884">
        <v>0.40787402079346619</v>
      </c>
      <c r="AB3884" t="str">
        <f>HYPERLINK("Melting_Curves/meltCurve_Q3MII6_TBC1D25.pdf", "Melting_Curves/meltCurve_Q3MII6_TBC1D25.pdf")</f>
        <v>Melting_Curves/meltCurve_Q3MII6_TBC1D25.pdf</v>
      </c>
    </row>
    <row r="3885" spans="1:28" x14ac:dyDescent="0.25">
      <c r="A3885" t="s">
        <v>3889</v>
      </c>
      <c r="B3885">
        <v>0.99999676499088797</v>
      </c>
      <c r="C3885">
        <v>0.97010896834770499</v>
      </c>
      <c r="D3885">
        <v>0.75277442534903505</v>
      </c>
      <c r="E3885">
        <v>0.54046725579087995</v>
      </c>
      <c r="F3885">
        <v>0.27416115450747303</v>
      </c>
      <c r="G3885">
        <v>0.25080020652145701</v>
      </c>
      <c r="H3885">
        <v>0.10518637146616901</v>
      </c>
      <c r="I3885">
        <v>0.17729752091148601</v>
      </c>
      <c r="J3885">
        <v>0.114694652187552</v>
      </c>
      <c r="K3885">
        <v>0.121808887904546</v>
      </c>
      <c r="L3885">
        <v>847.24304499537095</v>
      </c>
      <c r="M3885">
        <v>17.274519854453501</v>
      </c>
      <c r="N3885">
        <v>49.860899419103298</v>
      </c>
      <c r="O3885">
        <v>48.4027120931353</v>
      </c>
      <c r="P3885">
        <v>-7.8252230057078806E-2</v>
      </c>
      <c r="Q3885">
        <v>0.12300881959755799</v>
      </c>
      <c r="R3885">
        <v>0.99032014713210403</v>
      </c>
      <c r="S3885" t="s">
        <v>10888</v>
      </c>
      <c r="T3885" t="s">
        <v>14004</v>
      </c>
      <c r="U3885" t="s">
        <v>14004</v>
      </c>
      <c r="V3885" t="s">
        <v>14004</v>
      </c>
      <c r="W3885" t="s">
        <v>17842</v>
      </c>
      <c r="X3885">
        <v>3</v>
      </c>
      <c r="Y3885" t="s">
        <v>24665</v>
      </c>
      <c r="Z3885" t="s">
        <v>31595</v>
      </c>
      <c r="AA3885">
        <v>0.40391061198400968</v>
      </c>
      <c r="AB3885" t="str">
        <f>HYPERLINK("Melting_Curves/meltCurve_Q3MIT2_PUS10.pdf", "Melting_Curves/meltCurve_Q3MIT2_PUS10.pdf")</f>
        <v>Melting_Curves/meltCurve_Q3MIT2_PUS10.pdf</v>
      </c>
    </row>
    <row r="3886" spans="1:28" x14ac:dyDescent="0.25">
      <c r="A3886" t="s">
        <v>3890</v>
      </c>
      <c r="B3886">
        <v>0.99999676499088797</v>
      </c>
      <c r="C3886">
        <v>1.11319341417299</v>
      </c>
      <c r="D3886">
        <v>1.0949632850679201</v>
      </c>
      <c r="E3886">
        <v>1.09628198527656</v>
      </c>
      <c r="F3886">
        <v>0.94995187796467995</v>
      </c>
      <c r="G3886">
        <v>0.78614163491623601</v>
      </c>
      <c r="H3886">
        <v>0.236310853969804</v>
      </c>
      <c r="I3886">
        <v>0.12775102859745299</v>
      </c>
      <c r="J3886">
        <v>8.5582392591279297E-2</v>
      </c>
      <c r="K3886">
        <v>5.9650794382264602E-2</v>
      </c>
      <c r="L3886">
        <v>2273.2063930815402</v>
      </c>
      <c r="M3886">
        <v>38.867398828901301</v>
      </c>
      <c r="N3886">
        <v>58.732769064585703</v>
      </c>
      <c r="O3886">
        <v>58.332021034492797</v>
      </c>
      <c r="P3886">
        <v>-0.154039131348471</v>
      </c>
      <c r="Q3886">
        <v>7.5277209913518106E-2</v>
      </c>
      <c r="R3886">
        <v>0.98302183620989403</v>
      </c>
      <c r="S3886" t="s">
        <v>10889</v>
      </c>
      <c r="T3886" t="s">
        <v>14004</v>
      </c>
      <c r="U3886" t="s">
        <v>14004</v>
      </c>
      <c r="V3886" t="s">
        <v>14004</v>
      </c>
      <c r="W3886" t="s">
        <v>17843</v>
      </c>
      <c r="X3886">
        <v>11</v>
      </c>
      <c r="Y3886" t="s">
        <v>24666</v>
      </c>
      <c r="Z3886" t="s">
        <v>31596</v>
      </c>
      <c r="AA3886">
        <v>0.64894154621579181</v>
      </c>
      <c r="AB3886" t="str">
        <f>HYPERLINK("Melting_Curves/meltCurve_Q3SXM5_HSDL1.pdf", "Melting_Curves/meltCurve_Q3SXM5_HSDL1.pdf")</f>
        <v>Melting_Curves/meltCurve_Q3SXM5_HSDL1.pdf</v>
      </c>
    </row>
    <row r="3887" spans="1:28" x14ac:dyDescent="0.25">
      <c r="A3887" t="s">
        <v>3891</v>
      </c>
      <c r="B3887">
        <v>0.99999676499088797</v>
      </c>
      <c r="C3887">
        <v>1.0087676358882001</v>
      </c>
      <c r="D3887">
        <v>0.96628658355376096</v>
      </c>
      <c r="E3887">
        <v>0.74468686900934999</v>
      </c>
      <c r="F3887">
        <v>0.226409752249916</v>
      </c>
      <c r="G3887">
        <v>0.16969223246201801</v>
      </c>
      <c r="H3887">
        <v>7.4629818969981707E-2</v>
      </c>
      <c r="I3887">
        <v>0.101940186768368</v>
      </c>
      <c r="J3887">
        <v>7.9279817891550294E-2</v>
      </c>
      <c r="K3887">
        <v>7.8585312710482705E-2</v>
      </c>
      <c r="L3887">
        <v>1840.2269300123501</v>
      </c>
      <c r="M3887">
        <v>36.205840684185702</v>
      </c>
      <c r="N3887">
        <v>51.119103105865001</v>
      </c>
      <c r="O3887">
        <v>50.672494776441901</v>
      </c>
      <c r="P3887">
        <v>-0.16192546748502701</v>
      </c>
      <c r="Q3887">
        <v>9.35008518993308E-2</v>
      </c>
      <c r="R3887">
        <v>0.99706917447528998</v>
      </c>
      <c r="S3887" t="s">
        <v>10890</v>
      </c>
      <c r="T3887" t="s">
        <v>14004</v>
      </c>
      <c r="U3887" t="s">
        <v>14004</v>
      </c>
      <c r="V3887" t="s">
        <v>14004</v>
      </c>
      <c r="W3887" t="s">
        <v>17844</v>
      </c>
      <c r="X3887">
        <v>2</v>
      </c>
      <c r="Y3887" t="s">
        <v>24667</v>
      </c>
      <c r="Z3887" t="s">
        <v>31597</v>
      </c>
      <c r="AA3887">
        <v>0.42454342914094673</v>
      </c>
      <c r="AB3887" t="str">
        <f>HYPERLINK("Melting_Curves/meltCurve_Q3SXY8_ARL13B.pdf", "Melting_Curves/meltCurve_Q3SXY8_ARL13B.pdf")</f>
        <v>Melting_Curves/meltCurve_Q3SXY8_ARL13B.pdf</v>
      </c>
    </row>
    <row r="3888" spans="1:28" x14ac:dyDescent="0.25">
      <c r="A3888" t="s">
        <v>3892</v>
      </c>
      <c r="B3888">
        <v>0.99999676499088797</v>
      </c>
      <c r="C3888">
        <v>1.06658687051514</v>
      </c>
      <c r="D3888">
        <v>1.0672929808725999</v>
      </c>
      <c r="E3888">
        <v>1.0484119482140299</v>
      </c>
      <c r="F3888">
        <v>0.75730632639715301</v>
      </c>
      <c r="G3888">
        <v>0.70194271424383603</v>
      </c>
      <c r="H3888">
        <v>0.35398356711977902</v>
      </c>
      <c r="I3888">
        <v>0.44108558859443497</v>
      </c>
      <c r="J3888">
        <v>0.45612554978659597</v>
      </c>
      <c r="K3888">
        <v>0.45755874075790798</v>
      </c>
      <c r="L3888">
        <v>1450.3476855947799</v>
      </c>
      <c r="M3888">
        <v>26.301486658579101</v>
      </c>
      <c r="N3888">
        <v>59.396533765361902</v>
      </c>
      <c r="O3888">
        <v>54.8273912808909</v>
      </c>
      <c r="P3888">
        <v>-6.9083673231582099E-2</v>
      </c>
      <c r="Q3888">
        <v>0.42396649833890998</v>
      </c>
      <c r="R3888">
        <v>0.94003526725096098</v>
      </c>
      <c r="S3888" t="s">
        <v>10891</v>
      </c>
      <c r="T3888" t="s">
        <v>14004</v>
      </c>
      <c r="U3888" t="s">
        <v>14004</v>
      </c>
      <c r="V3888" t="s">
        <v>14004</v>
      </c>
      <c r="W3888" t="s">
        <v>17845</v>
      </c>
      <c r="X3888">
        <v>5</v>
      </c>
      <c r="Y3888" t="s">
        <v>24668</v>
      </c>
      <c r="Z3888" t="s">
        <v>31598</v>
      </c>
      <c r="AA3888">
        <v>0.7196028705831885</v>
      </c>
      <c r="AB3888" t="str">
        <f>HYPERLINK("Melting_Curves/meltCurve_Q3T906_GNPTAB.pdf", "Melting_Curves/meltCurve_Q3T906_GNPTAB.pdf")</f>
        <v>Melting_Curves/meltCurve_Q3T906_GNPTAB.pdf</v>
      </c>
    </row>
    <row r="3889" spans="1:28" x14ac:dyDescent="0.25">
      <c r="A3889" t="s">
        <v>3893</v>
      </c>
      <c r="B3889">
        <v>0.99999676499088797</v>
      </c>
      <c r="C3889">
        <v>0.89874783718528295</v>
      </c>
      <c r="D3889">
        <v>0.65046967006430401</v>
      </c>
      <c r="E3889">
        <v>0.28266081045949898</v>
      </c>
      <c r="F3889">
        <v>0.16626983006805299</v>
      </c>
      <c r="G3889">
        <v>0.104307243771932</v>
      </c>
      <c r="H3889">
        <v>5.2185971986112398E-2</v>
      </c>
      <c r="I3889">
        <v>5.7583333279780803E-2</v>
      </c>
      <c r="J3889">
        <v>5.1809545777966003E-2</v>
      </c>
      <c r="K3889">
        <v>5.2480588096252903E-2</v>
      </c>
      <c r="L3889">
        <v>995.34766554342104</v>
      </c>
      <c r="M3889">
        <v>21.1185332970826</v>
      </c>
      <c r="N3889">
        <v>47.411113765488999</v>
      </c>
      <c r="O3889">
        <v>46.714977744560002</v>
      </c>
      <c r="P3889">
        <v>-0.106402766260215</v>
      </c>
      <c r="Q3889">
        <v>5.8557271646566399E-2</v>
      </c>
      <c r="R3889">
        <v>0.99798974848906696</v>
      </c>
      <c r="S3889" t="s">
        <v>10892</v>
      </c>
      <c r="T3889" t="s">
        <v>14004</v>
      </c>
      <c r="U3889" t="s">
        <v>14004</v>
      </c>
      <c r="V3889" t="s">
        <v>14004</v>
      </c>
      <c r="W3889" t="s">
        <v>17846</v>
      </c>
      <c r="X3889">
        <v>10</v>
      </c>
      <c r="Y3889" t="s">
        <v>24669</v>
      </c>
      <c r="Z3889" t="s">
        <v>31599</v>
      </c>
      <c r="AA3889">
        <v>0.29451615431169192</v>
      </c>
      <c r="AB3889" t="str">
        <f>HYPERLINK("Melting_Curves/meltCurve_Q3V6T2_2_CCDC88A.pdf", "Melting_Curves/meltCurve_Q3V6T2_2_CCDC88A.pdf")</f>
        <v>Melting_Curves/meltCurve_Q3V6T2_2_CCDC88A.pdf</v>
      </c>
    </row>
    <row r="3890" spans="1:28" x14ac:dyDescent="0.25">
      <c r="A3890" t="s">
        <v>3894</v>
      </c>
      <c r="B3890">
        <v>0.99999676499088797</v>
      </c>
      <c r="C3890">
        <v>1.00586447502985</v>
      </c>
      <c r="D3890">
        <v>1.03408427214371</v>
      </c>
      <c r="E3890">
        <v>1.1401510592449</v>
      </c>
      <c r="F3890">
        <v>0.88506445811622603</v>
      </c>
      <c r="G3890">
        <v>0.603741352361441</v>
      </c>
      <c r="H3890">
        <v>0.179152153933786</v>
      </c>
      <c r="I3890">
        <v>0.14990964630693601</v>
      </c>
      <c r="J3890">
        <v>0.142036209271168</v>
      </c>
      <c r="K3890">
        <v>0.13250903181492199</v>
      </c>
      <c r="L3890">
        <v>2062.5780800862599</v>
      </c>
      <c r="M3890">
        <v>36.223161216453903</v>
      </c>
      <c r="N3890">
        <v>57.410296394138399</v>
      </c>
      <c r="O3890">
        <v>56.768156329105601</v>
      </c>
      <c r="P3890">
        <v>-0.13907571616293499</v>
      </c>
      <c r="Q3890">
        <v>0.12817684966925899</v>
      </c>
      <c r="R3890">
        <v>0.98456060789823197</v>
      </c>
      <c r="S3890" t="s">
        <v>10893</v>
      </c>
      <c r="T3890" t="s">
        <v>14004</v>
      </c>
      <c r="U3890" t="s">
        <v>14004</v>
      </c>
      <c r="V3890" t="s">
        <v>14004</v>
      </c>
      <c r="W3890" t="s">
        <v>17847</v>
      </c>
      <c r="X3890">
        <v>21</v>
      </c>
      <c r="Y3890" t="s">
        <v>24670</v>
      </c>
      <c r="Z3890" t="s">
        <v>31600</v>
      </c>
      <c r="AA3890">
        <v>0.62459888603441971</v>
      </c>
      <c r="AB3890" t="str">
        <f>HYPERLINK("Melting_Curves/meltCurve_Q3YEC7_RABL6.pdf", "Melting_Curves/meltCurve_Q3YEC7_RABL6.pdf")</f>
        <v>Melting_Curves/meltCurve_Q3YEC7_RABL6.pdf</v>
      </c>
    </row>
    <row r="3891" spans="1:28" x14ac:dyDescent="0.25">
      <c r="A3891" t="s">
        <v>3895</v>
      </c>
      <c r="B3891">
        <v>0.99999676499088797</v>
      </c>
      <c r="C3891">
        <v>1.17378728619756</v>
      </c>
      <c r="D3891">
        <v>1.43750127486582</v>
      </c>
      <c r="E3891">
        <v>2.9503761765077798</v>
      </c>
      <c r="F3891">
        <v>3.1252182355818801</v>
      </c>
      <c r="G3891">
        <v>2.0562319246905099</v>
      </c>
      <c r="H3891">
        <v>2.12715404188961</v>
      </c>
      <c r="I3891">
        <v>1.9827923225716699</v>
      </c>
      <c r="J3891">
        <v>1.5435542810046601</v>
      </c>
      <c r="K3891">
        <v>4.9907024335898198</v>
      </c>
      <c r="L3891">
        <v>2667.63849538353</v>
      </c>
      <c r="M3891">
        <v>61.525409943985402</v>
      </c>
      <c r="O3891">
        <v>43.312585938752299</v>
      </c>
      <c r="P3891">
        <v>0.17756222723698201</v>
      </c>
      <c r="Q3891">
        <v>1.5</v>
      </c>
      <c r="R3891">
        <v>-0.39934478431671699</v>
      </c>
      <c r="S3891" t="s">
        <v>10894</v>
      </c>
      <c r="T3891" t="s">
        <v>14004</v>
      </c>
      <c r="U3891" t="s">
        <v>14004</v>
      </c>
      <c r="V3891" t="s">
        <v>14004</v>
      </c>
      <c r="W3891" t="s">
        <v>17848</v>
      </c>
      <c r="X3891">
        <v>1</v>
      </c>
      <c r="Y3891" t="s">
        <v>24671</v>
      </c>
      <c r="Z3891" t="s">
        <v>31601</v>
      </c>
      <c r="AA3891">
        <v>1.443342341688985</v>
      </c>
      <c r="AB3891" t="str">
        <f>HYPERLINK("Melting_Curves/meltCurve_Q3ZAQ7_VMA21.pdf", "Melting_Curves/meltCurve_Q3ZAQ7_VMA21.pdf")</f>
        <v>Melting_Curves/meltCurve_Q3ZAQ7_VMA21.pdf</v>
      </c>
    </row>
    <row r="3892" spans="1:28" x14ac:dyDescent="0.25">
      <c r="A3892" t="s">
        <v>3896</v>
      </c>
      <c r="B3892">
        <v>0.99999676499088797</v>
      </c>
      <c r="C3892">
        <v>0.989545583499993</v>
      </c>
      <c r="D3892">
        <v>0.96042423037707603</v>
      </c>
      <c r="E3892">
        <v>0.979330964643508</v>
      </c>
      <c r="F3892">
        <v>0.82938194811914201</v>
      </c>
      <c r="G3892">
        <v>0.56154682767311204</v>
      </c>
      <c r="H3892">
        <v>0.16688750863249999</v>
      </c>
      <c r="I3892">
        <v>5.9697322817423203E-2</v>
      </c>
      <c r="J3892">
        <v>3.9222577958594802E-2</v>
      </c>
      <c r="K3892">
        <v>3.6623559067577603E-2</v>
      </c>
      <c r="L3892">
        <v>1406.54067059516</v>
      </c>
      <c r="M3892">
        <v>24.651784869302102</v>
      </c>
      <c r="N3892">
        <v>57.103414988718001</v>
      </c>
      <c r="O3892">
        <v>56.684861101274201</v>
      </c>
      <c r="P3892">
        <v>-0.107631004402943</v>
      </c>
      <c r="Q3892">
        <v>1.0057595768518401E-2</v>
      </c>
      <c r="R3892">
        <v>0.99765246110889505</v>
      </c>
      <c r="S3892" t="s">
        <v>10895</v>
      </c>
      <c r="T3892" t="s">
        <v>14004</v>
      </c>
      <c r="U3892" t="s">
        <v>14004</v>
      </c>
      <c r="V3892" t="s">
        <v>14004</v>
      </c>
      <c r="W3892" t="s">
        <v>17849</v>
      </c>
      <c r="X3892">
        <v>12</v>
      </c>
      <c r="Y3892" t="s">
        <v>24672</v>
      </c>
      <c r="Z3892" t="s">
        <v>31602</v>
      </c>
      <c r="AA3892">
        <v>0.58198168135965067</v>
      </c>
      <c r="AB3892" t="str">
        <f>HYPERLINK("Melting_Curves/meltCurve_Q3ZCM7_TUBB8.pdf", "Melting_Curves/meltCurve_Q3ZCM7_TUBB8.pdf")</f>
        <v>Melting_Curves/meltCurve_Q3ZCM7_TUBB8.pdf</v>
      </c>
    </row>
    <row r="3893" spans="1:28" x14ac:dyDescent="0.25">
      <c r="A3893" t="s">
        <v>3897</v>
      </c>
      <c r="B3893">
        <v>0.99999676499088797</v>
      </c>
      <c r="C3893">
        <v>0.85620615566576197</v>
      </c>
      <c r="D3893">
        <v>0.91713415815930699</v>
      </c>
      <c r="E3893">
        <v>0.70077857529090004</v>
      </c>
      <c r="F3893">
        <v>0.50555601447597798</v>
      </c>
      <c r="G3893">
        <v>0.76739167093182303</v>
      </c>
      <c r="H3893">
        <v>0.50132218461856903</v>
      </c>
      <c r="I3893">
        <v>0.26334769519300799</v>
      </c>
      <c r="J3893">
        <v>0.34361758573290602</v>
      </c>
      <c r="K3893">
        <v>0.54197832374223098</v>
      </c>
      <c r="L3893">
        <v>486.232308919459</v>
      </c>
      <c r="M3893">
        <v>9.4299774654936392</v>
      </c>
      <c r="N3893">
        <v>59.380016047362297</v>
      </c>
      <c r="O3893">
        <v>49.403157702679003</v>
      </c>
      <c r="P3893">
        <v>-3.07727965821676E-2</v>
      </c>
      <c r="Q3893">
        <v>0.35552382784000602</v>
      </c>
      <c r="R3893">
        <v>0.75493903996073097</v>
      </c>
      <c r="S3893" t="s">
        <v>10896</v>
      </c>
      <c r="T3893" t="s">
        <v>14004</v>
      </c>
      <c r="U3893" t="s">
        <v>14004</v>
      </c>
      <c r="V3893" t="s">
        <v>14004</v>
      </c>
      <c r="W3893" t="s">
        <v>17850</v>
      </c>
      <c r="X3893">
        <v>1</v>
      </c>
      <c r="Y3893" t="s">
        <v>24673</v>
      </c>
      <c r="Z3893" t="s">
        <v>31603</v>
      </c>
      <c r="AA3893">
        <v>0.63114569636569984</v>
      </c>
      <c r="AB3893" t="str">
        <f>HYPERLINK("Melting_Curves/meltCurve_Q3ZCQ3_FAM174B.pdf", "Melting_Curves/meltCurve_Q3ZCQ3_FAM174B.pdf")</f>
        <v>Melting_Curves/meltCurve_Q3ZCQ3_FAM174B.pdf</v>
      </c>
    </row>
    <row r="3894" spans="1:28" x14ac:dyDescent="0.25">
      <c r="A3894" t="s">
        <v>3898</v>
      </c>
      <c r="B3894">
        <v>0.99999676499088797</v>
      </c>
      <c r="C3894">
        <v>1.0540230822263501</v>
      </c>
      <c r="D3894">
        <v>1.0348947088556399</v>
      </c>
      <c r="E3894">
        <v>0.99669169129531998</v>
      </c>
      <c r="F3894">
        <v>0.60092598272009501</v>
      </c>
      <c r="G3894">
        <v>0.43771366122705901</v>
      </c>
      <c r="H3894">
        <v>0.285130333717802</v>
      </c>
      <c r="I3894">
        <v>0.27221239784145401</v>
      </c>
      <c r="J3894">
        <v>0.157868082613427</v>
      </c>
      <c r="K3894">
        <v>0.13922328209916099</v>
      </c>
      <c r="L3894">
        <v>1191.0186597020599</v>
      </c>
      <c r="M3894">
        <v>21.9384579141235</v>
      </c>
      <c r="N3894">
        <v>55.444917546339298</v>
      </c>
      <c r="O3894">
        <v>53.844031003560502</v>
      </c>
      <c r="P3894">
        <v>-8.3169716260098905E-2</v>
      </c>
      <c r="Q3894">
        <v>0.183517385311184</v>
      </c>
      <c r="R3894">
        <v>0.97826980514421902</v>
      </c>
      <c r="S3894" t="s">
        <v>10897</v>
      </c>
      <c r="T3894" t="s">
        <v>14004</v>
      </c>
      <c r="U3894" t="s">
        <v>14004</v>
      </c>
      <c r="V3894" t="s">
        <v>14004</v>
      </c>
      <c r="W3894" t="s">
        <v>17851</v>
      </c>
      <c r="X3894">
        <v>13</v>
      </c>
      <c r="Y3894" t="s">
        <v>24674</v>
      </c>
      <c r="Z3894" t="s">
        <v>31604</v>
      </c>
      <c r="AA3894">
        <v>0.58190548476903459</v>
      </c>
      <c r="AB3894" t="str">
        <f>HYPERLINK("Melting_Curves/meltCurve_Q3ZCQ8_TIMM50.pdf", "Melting_Curves/meltCurve_Q3ZCQ8_TIMM50.pdf")</f>
        <v>Melting_Curves/meltCurve_Q3ZCQ8_TIMM50.pdf</v>
      </c>
    </row>
    <row r="3895" spans="1:28" x14ac:dyDescent="0.25">
      <c r="A3895" t="s">
        <v>3899</v>
      </c>
      <c r="B3895">
        <v>0.99999676499088797</v>
      </c>
      <c r="C3895">
        <v>0.90899808953657701</v>
      </c>
      <c r="D3895">
        <v>0.62627364646068495</v>
      </c>
      <c r="E3895">
        <v>0.30104969769273399</v>
      </c>
      <c r="F3895">
        <v>0.32874777811042399</v>
      </c>
      <c r="G3895">
        <v>0.26770294724016602</v>
      </c>
      <c r="H3895">
        <v>4.99044560262027E-2</v>
      </c>
      <c r="I3895">
        <v>0.108346351484363</v>
      </c>
      <c r="J3895">
        <v>0</v>
      </c>
      <c r="K3895">
        <v>8.8443123435632903E-2</v>
      </c>
      <c r="L3895">
        <v>702.80192626899304</v>
      </c>
      <c r="M3895">
        <v>14.752480485064799</v>
      </c>
      <c r="N3895">
        <v>48.150971628884498</v>
      </c>
      <c r="O3895">
        <v>46.789903167409697</v>
      </c>
      <c r="P3895">
        <v>-7.3115270848136099E-2</v>
      </c>
      <c r="Q3895">
        <v>7.2511910771400803E-2</v>
      </c>
      <c r="R3895">
        <v>0.95567080886300804</v>
      </c>
      <c r="S3895" t="s">
        <v>10898</v>
      </c>
      <c r="T3895" t="s">
        <v>14004</v>
      </c>
      <c r="U3895" t="s">
        <v>14004</v>
      </c>
      <c r="V3895" t="s">
        <v>14004</v>
      </c>
      <c r="W3895" t="s">
        <v>14256</v>
      </c>
      <c r="X3895">
        <v>1</v>
      </c>
      <c r="Y3895" t="s">
        <v>24675</v>
      </c>
      <c r="Z3895" t="s">
        <v>31605</v>
      </c>
      <c r="AA3895">
        <v>0.33382003117342302</v>
      </c>
      <c r="AB3895" t="str">
        <f>HYPERLINK("Melting_Curves/meltCurve_Q3ZCV1_USP38.pdf", "Melting_Curves/meltCurve_Q3ZCV1_USP38.pdf")</f>
        <v>Melting_Curves/meltCurve_Q3ZCV1_USP38.pdf</v>
      </c>
    </row>
    <row r="3896" spans="1:28" x14ac:dyDescent="0.25">
      <c r="A3896" t="s">
        <v>3900</v>
      </c>
      <c r="B3896">
        <v>0.99999676499088797</v>
      </c>
      <c r="C3896">
        <v>0.93288963915415801</v>
      </c>
      <c r="D3896">
        <v>1.0350640876570401</v>
      </c>
      <c r="E3896">
        <v>1.1133479951809799</v>
      </c>
      <c r="F3896">
        <v>0.96902972611355798</v>
      </c>
      <c r="G3896">
        <v>0.360688671707102</v>
      </c>
      <c r="H3896">
        <v>0.129277656391804</v>
      </c>
      <c r="I3896">
        <v>0.124747786218527</v>
      </c>
      <c r="J3896">
        <v>0.12005771438641299</v>
      </c>
      <c r="K3896">
        <v>0.116609145177829</v>
      </c>
      <c r="L3896">
        <v>3639.4029205798802</v>
      </c>
      <c r="M3896">
        <v>65.056569693358696</v>
      </c>
      <c r="N3896">
        <v>56.182314208207302</v>
      </c>
      <c r="O3896">
        <v>55.889339829264102</v>
      </c>
      <c r="P3896">
        <v>-0.25568146488568899</v>
      </c>
      <c r="Q3896">
        <v>0.121388410511046</v>
      </c>
      <c r="R3896">
        <v>0.98978140081086197</v>
      </c>
      <c r="S3896" t="s">
        <v>10899</v>
      </c>
      <c r="T3896" t="s">
        <v>14004</v>
      </c>
      <c r="U3896" t="s">
        <v>14004</v>
      </c>
      <c r="V3896" t="s">
        <v>14004</v>
      </c>
      <c r="W3896" t="s">
        <v>17852</v>
      </c>
      <c r="X3896">
        <v>5</v>
      </c>
      <c r="Y3896" t="s">
        <v>24676</v>
      </c>
      <c r="Z3896" t="s">
        <v>31606</v>
      </c>
      <c r="AA3896">
        <v>0.58956398181432823</v>
      </c>
      <c r="AB3896" t="str">
        <f>HYPERLINK("Melting_Curves/meltCurve_Q3ZCW2_LGALSL.pdf", "Melting_Curves/meltCurve_Q3ZCW2_LGALSL.pdf")</f>
        <v>Melting_Curves/meltCurve_Q3ZCW2_LGALSL.pdf</v>
      </c>
    </row>
    <row r="3897" spans="1:28" x14ac:dyDescent="0.25">
      <c r="A3897" t="s">
        <v>3901</v>
      </c>
      <c r="B3897">
        <v>0.99999676499088797</v>
      </c>
      <c r="C3897">
        <v>0.99287817236538001</v>
      </c>
      <c r="D3897">
        <v>0.96361261181596303</v>
      </c>
      <c r="E3897">
        <v>0.882967984847428</v>
      </c>
      <c r="F3897">
        <v>0.57570987351907199</v>
      </c>
      <c r="G3897">
        <v>0.317428899845346</v>
      </c>
      <c r="H3897">
        <v>0.114989692801063</v>
      </c>
      <c r="I3897">
        <v>9.3154095093614803E-2</v>
      </c>
      <c r="J3897">
        <v>8.6235610201321103E-2</v>
      </c>
      <c r="K3897">
        <v>8.2473935093372197E-2</v>
      </c>
      <c r="L3897">
        <v>1157.41609583135</v>
      </c>
      <c r="M3897">
        <v>21.511184355012102</v>
      </c>
      <c r="N3897">
        <v>54.170446195853401</v>
      </c>
      <c r="O3897">
        <v>53.346797875704098</v>
      </c>
      <c r="P3897">
        <v>-9.4007388147242105E-2</v>
      </c>
      <c r="Q3897">
        <v>6.7485884286708195E-2</v>
      </c>
      <c r="R3897">
        <v>0.99882726443610503</v>
      </c>
      <c r="S3897" t="s">
        <v>10900</v>
      </c>
      <c r="T3897" t="s">
        <v>14004</v>
      </c>
      <c r="U3897" t="s">
        <v>14004</v>
      </c>
      <c r="V3897" t="s">
        <v>14004</v>
      </c>
      <c r="W3897" t="s">
        <v>17853</v>
      </c>
      <c r="X3897">
        <v>7</v>
      </c>
      <c r="Y3897" t="s">
        <v>24677</v>
      </c>
      <c r="Z3897" t="s">
        <v>31607</v>
      </c>
      <c r="AA3897">
        <v>0.50786394092304643</v>
      </c>
      <c r="AB3897" t="str">
        <f>HYPERLINK("Melting_Curves/meltCurve_Q49AR2_C5orf22.pdf", "Melting_Curves/meltCurve_Q49AR2_C5orf22.pdf")</f>
        <v>Melting_Curves/meltCurve_Q49AR2_C5orf22.pdf</v>
      </c>
    </row>
    <row r="3898" spans="1:28" x14ac:dyDescent="0.25">
      <c r="A3898" t="s">
        <v>3902</v>
      </c>
      <c r="B3898">
        <v>0.99999676499088797</v>
      </c>
      <c r="C3898">
        <v>0.97734441284843998</v>
      </c>
      <c r="D3898">
        <v>1.0107593295447901</v>
      </c>
      <c r="E3898">
        <v>0.887873864700643</v>
      </c>
      <c r="F3898">
        <v>0.77206859387548799</v>
      </c>
      <c r="G3898">
        <v>0.82253204242644495</v>
      </c>
      <c r="H3898">
        <v>0.514588876877482</v>
      </c>
      <c r="I3898">
        <v>0.56337479536138602</v>
      </c>
      <c r="J3898">
        <v>0.48460646575105198</v>
      </c>
      <c r="K3898">
        <v>0.51634397100505902</v>
      </c>
      <c r="L3898">
        <v>709.32411635727499</v>
      </c>
      <c r="M3898">
        <v>12.566812876524899</v>
      </c>
      <c r="N3898">
        <v>68.037083966862099</v>
      </c>
      <c r="O3898">
        <v>55.072145812646802</v>
      </c>
      <c r="P3898">
        <v>-3.1881647924461798E-2</v>
      </c>
      <c r="Q3898">
        <v>0.44124672572551299</v>
      </c>
      <c r="R3898">
        <v>0.93471699732068203</v>
      </c>
      <c r="S3898" t="s">
        <v>10901</v>
      </c>
      <c r="T3898" t="s">
        <v>14004</v>
      </c>
      <c r="U3898" t="s">
        <v>14004</v>
      </c>
      <c r="V3898" t="s">
        <v>14004</v>
      </c>
      <c r="W3898" t="s">
        <v>17854</v>
      </c>
      <c r="X3898">
        <v>8</v>
      </c>
      <c r="Y3898" t="s">
        <v>24678</v>
      </c>
      <c r="Z3898" t="s">
        <v>31608</v>
      </c>
      <c r="AA3898">
        <v>0.75793260965300036</v>
      </c>
      <c r="AB3898" t="str">
        <f>HYPERLINK("Melting_Curves/meltCurve_Q49B96_COX19.pdf", "Melting_Curves/meltCurve_Q49B96_COX19.pdf")</f>
        <v>Melting_Curves/meltCurve_Q49B96_COX19.pdf</v>
      </c>
    </row>
    <row r="3899" spans="1:28" x14ac:dyDescent="0.25">
      <c r="A3899" t="s">
        <v>3903</v>
      </c>
      <c r="B3899">
        <v>0.99999676499088797</v>
      </c>
      <c r="C3899">
        <v>1.04387952502993</v>
      </c>
      <c r="D3899">
        <v>1.0648696161665201</v>
      </c>
      <c r="E3899">
        <v>1.2250152038366</v>
      </c>
      <c r="F3899">
        <v>0.897368783073896</v>
      </c>
      <c r="G3899">
        <v>0.47603625482404299</v>
      </c>
      <c r="H3899">
        <v>0.22481878082689799</v>
      </c>
      <c r="I3899">
        <v>0.238289654078925</v>
      </c>
      <c r="J3899">
        <v>0.293804012907177</v>
      </c>
      <c r="K3899">
        <v>0.249047990004687</v>
      </c>
      <c r="L3899">
        <v>2588.3743580904102</v>
      </c>
      <c r="M3899">
        <v>46.4812204427583</v>
      </c>
      <c r="N3899">
        <v>56.524857880857397</v>
      </c>
      <c r="O3899">
        <v>55.583672304151797</v>
      </c>
      <c r="P3899">
        <v>-0.15698951868260599</v>
      </c>
      <c r="Q3899">
        <v>0.249069284257076</v>
      </c>
      <c r="R3899">
        <v>0.95857120162100196</v>
      </c>
      <c r="S3899" t="s">
        <v>10902</v>
      </c>
      <c r="T3899" t="s">
        <v>14004</v>
      </c>
      <c r="U3899" t="s">
        <v>14004</v>
      </c>
      <c r="V3899" t="s">
        <v>14004</v>
      </c>
      <c r="W3899" t="s">
        <v>17855</v>
      </c>
      <c r="X3899">
        <v>9</v>
      </c>
      <c r="Y3899" t="s">
        <v>24679</v>
      </c>
      <c r="Z3899" t="s">
        <v>31609</v>
      </c>
      <c r="AA3899">
        <v>0.64384985207098333</v>
      </c>
      <c r="AB3899" t="str">
        <f>HYPERLINK("Melting_Curves/meltCurve_Q4G0F5_VPS26B.pdf", "Melting_Curves/meltCurve_Q4G0F5_VPS26B.pdf")</f>
        <v>Melting_Curves/meltCurve_Q4G0F5_VPS26B.pdf</v>
      </c>
    </row>
    <row r="3900" spans="1:28" x14ac:dyDescent="0.25">
      <c r="A3900" t="s">
        <v>3904</v>
      </c>
      <c r="B3900">
        <v>0.99999676499088797</v>
      </c>
      <c r="C3900">
        <v>1.0443007359167</v>
      </c>
      <c r="D3900">
        <v>0.92656712527275398</v>
      </c>
      <c r="E3900">
        <v>0.87960116395670795</v>
      </c>
      <c r="F3900">
        <v>0.90958018885964897</v>
      </c>
      <c r="G3900">
        <v>0.65782142523359899</v>
      </c>
      <c r="H3900">
        <v>0.58769049815538299</v>
      </c>
      <c r="I3900">
        <v>0.52934094540318499</v>
      </c>
      <c r="J3900">
        <v>0.47679177544913098</v>
      </c>
      <c r="K3900">
        <v>0.580894216583691</v>
      </c>
      <c r="L3900">
        <v>1026.4428829660101</v>
      </c>
      <c r="M3900">
        <v>18.599448903013698</v>
      </c>
      <c r="O3900">
        <v>54.560659631930299</v>
      </c>
      <c r="P3900">
        <v>-4.1893071279884203E-2</v>
      </c>
      <c r="Q3900">
        <v>0.50845544884004401</v>
      </c>
      <c r="R3900">
        <v>0.94251321881511196</v>
      </c>
      <c r="S3900" t="s">
        <v>10903</v>
      </c>
      <c r="T3900" t="s">
        <v>14004</v>
      </c>
      <c r="U3900" t="s">
        <v>14004</v>
      </c>
      <c r="V3900" t="s">
        <v>14004</v>
      </c>
      <c r="W3900" t="s">
        <v>17856</v>
      </c>
      <c r="X3900">
        <v>3</v>
      </c>
      <c r="Y3900" t="s">
        <v>24680</v>
      </c>
      <c r="Z3900" t="s">
        <v>31610</v>
      </c>
      <c r="AA3900">
        <v>0.76450711474296362</v>
      </c>
      <c r="AB3900" t="str">
        <f>HYPERLINK("Melting_Curves/meltCurve_Q4G0I0_CCSMST1.pdf", "Melting_Curves/meltCurve_Q4G0I0_CCSMST1.pdf")</f>
        <v>Melting_Curves/meltCurve_Q4G0I0_CCSMST1.pdf</v>
      </c>
    </row>
    <row r="3901" spans="1:28" x14ac:dyDescent="0.25">
      <c r="A3901" t="s">
        <v>3905</v>
      </c>
      <c r="B3901">
        <v>0.99999676499088797</v>
      </c>
      <c r="C3901">
        <v>0.99548465660916097</v>
      </c>
      <c r="D3901">
        <v>0.88792620512785803</v>
      </c>
      <c r="E3901">
        <v>0.43571099433931798</v>
      </c>
      <c r="F3901">
        <v>0.287454814454565</v>
      </c>
      <c r="G3901">
        <v>0.203219111915103</v>
      </c>
      <c r="H3901">
        <v>9.2848041591042901E-2</v>
      </c>
      <c r="I3901">
        <v>9.0090735128090502E-2</v>
      </c>
      <c r="J3901">
        <v>8.1946112950773198E-2</v>
      </c>
      <c r="K3901">
        <v>5.61285983326376E-2</v>
      </c>
      <c r="L3901">
        <v>1076.79996674328</v>
      </c>
      <c r="M3901">
        <v>21.882433114353201</v>
      </c>
      <c r="N3901">
        <v>49.673133373214903</v>
      </c>
      <c r="O3901">
        <v>48.803009628754602</v>
      </c>
      <c r="P3901">
        <v>-0.101722311084017</v>
      </c>
      <c r="Q3901">
        <v>9.2561647473241901E-2</v>
      </c>
      <c r="R3901">
        <v>0.98808429138841103</v>
      </c>
      <c r="S3901" t="s">
        <v>10904</v>
      </c>
      <c r="T3901" t="s">
        <v>14004</v>
      </c>
      <c r="U3901" t="s">
        <v>14004</v>
      </c>
      <c r="V3901" t="s">
        <v>14004</v>
      </c>
      <c r="W3901" t="s">
        <v>17857</v>
      </c>
      <c r="X3901">
        <v>2</v>
      </c>
      <c r="Y3901" t="s">
        <v>24681</v>
      </c>
      <c r="Z3901" t="s">
        <v>31611</v>
      </c>
      <c r="AA3901">
        <v>0.38167108593318427</v>
      </c>
      <c r="AB3901" t="str">
        <f>HYPERLINK("Melting_Curves/meltCurve_Q4G0J3_LARP7.pdf", "Melting_Curves/meltCurve_Q4G0J3_LARP7.pdf")</f>
        <v>Melting_Curves/meltCurve_Q4G0J3_LARP7.pdf</v>
      </c>
    </row>
    <row r="3902" spans="1:28" x14ac:dyDescent="0.25">
      <c r="A3902" t="s">
        <v>3906</v>
      </c>
      <c r="B3902">
        <v>0.99999676499088797</v>
      </c>
      <c r="C3902">
        <v>1.0558924598028201</v>
      </c>
      <c r="D3902">
        <v>1.04601085396051</v>
      </c>
      <c r="E3902">
        <v>1.1131467406507101</v>
      </c>
      <c r="F3902">
        <v>1.09684279065224</v>
      </c>
      <c r="G3902">
        <v>0.60593726683464</v>
      </c>
      <c r="H3902">
        <v>8.3995399279337898E-2</v>
      </c>
      <c r="I3902">
        <v>7.9427337970130699E-2</v>
      </c>
      <c r="J3902">
        <v>7.0243940096483201E-2</v>
      </c>
      <c r="K3902">
        <v>4.7429334007219298E-2</v>
      </c>
      <c r="L3902">
        <v>14217.437357775299</v>
      </c>
      <c r="M3902">
        <v>250</v>
      </c>
      <c r="N3902">
        <v>56.9042243923654</v>
      </c>
      <c r="O3902">
        <v>56.866110142921201</v>
      </c>
      <c r="P3902">
        <v>-1.021836666507</v>
      </c>
      <c r="Q3902">
        <v>7.0273978255866204E-2</v>
      </c>
      <c r="R3902">
        <v>0.98715278468586498</v>
      </c>
      <c r="S3902" t="s">
        <v>10905</v>
      </c>
      <c r="T3902" t="s">
        <v>14004</v>
      </c>
      <c r="U3902" t="s">
        <v>14004</v>
      </c>
      <c r="V3902" t="s">
        <v>14004</v>
      </c>
      <c r="W3902" t="s">
        <v>17858</v>
      </c>
      <c r="X3902">
        <v>19</v>
      </c>
      <c r="Y3902" t="s">
        <v>24682</v>
      </c>
      <c r="Z3902" t="s">
        <v>31612</v>
      </c>
      <c r="AA3902">
        <v>0.59317493759632667</v>
      </c>
      <c r="AB3902" t="str">
        <f>HYPERLINK("Melting_Curves/meltCurve_Q4G0N4_NADKD1.pdf", "Melting_Curves/meltCurve_Q4G0N4_NADKD1.pdf")</f>
        <v>Melting_Curves/meltCurve_Q4G0N4_NADKD1.pdf</v>
      </c>
    </row>
    <row r="3903" spans="1:28" x14ac:dyDescent="0.25">
      <c r="A3903" t="s">
        <v>3907</v>
      </c>
      <c r="B3903">
        <v>0.99999676499088797</v>
      </c>
      <c r="C3903">
        <v>0.97429671534016704</v>
      </c>
      <c r="D3903">
        <v>1.3901579160983799</v>
      </c>
      <c r="E3903">
        <v>1.4575949101380901</v>
      </c>
      <c r="F3903">
        <v>1.61437802409794</v>
      </c>
      <c r="G3903">
        <v>1.5097042518800099</v>
      </c>
      <c r="H3903">
        <v>1.2316486310933401</v>
      </c>
      <c r="I3903">
        <v>0.90550811927480701</v>
      </c>
      <c r="J3903">
        <v>0.78808750489721602</v>
      </c>
      <c r="K3903">
        <v>1.31885381883041</v>
      </c>
      <c r="L3903">
        <v>11067.6883312957</v>
      </c>
      <c r="M3903">
        <v>250</v>
      </c>
      <c r="O3903">
        <v>44.267920300298101</v>
      </c>
      <c r="P3903">
        <v>0.39107361615259301</v>
      </c>
      <c r="Q3903">
        <v>1.2769922503569899</v>
      </c>
      <c r="R3903">
        <v>0.18391952080427801</v>
      </c>
      <c r="S3903" t="s">
        <v>10906</v>
      </c>
      <c r="T3903" t="s">
        <v>14004</v>
      </c>
      <c r="U3903" t="s">
        <v>14004</v>
      </c>
      <c r="V3903" t="s">
        <v>14004</v>
      </c>
      <c r="W3903" t="s">
        <v>17859</v>
      </c>
      <c r="X3903">
        <v>1</v>
      </c>
      <c r="Y3903" t="s">
        <v>24683</v>
      </c>
      <c r="Z3903" t="s">
        <v>31613</v>
      </c>
      <c r="AA3903">
        <v>1.2375385437785451</v>
      </c>
      <c r="AB3903" t="str">
        <f>HYPERLINK("Melting_Curves/meltCurve_Q4G0W3_COL14A1.pdf", "Melting_Curves/meltCurve_Q4G0W3_COL14A1.pdf")</f>
        <v>Melting_Curves/meltCurve_Q4G0W3_COL14A1.pdf</v>
      </c>
    </row>
    <row r="3904" spans="1:28" x14ac:dyDescent="0.25">
      <c r="A3904" t="s">
        <v>3908</v>
      </c>
      <c r="B3904">
        <v>0.99999676499088797</v>
      </c>
      <c r="C3904">
        <v>1.04324134353208</v>
      </c>
      <c r="D3904">
        <v>1.06704677201458</v>
      </c>
      <c r="E3904">
        <v>0.91169322262487695</v>
      </c>
      <c r="F3904">
        <v>0.60876215130061295</v>
      </c>
      <c r="G3904">
        <v>0.376090441979055</v>
      </c>
      <c r="H3904">
        <v>0.16898861857115899</v>
      </c>
      <c r="I3904">
        <v>0.16237612200916901</v>
      </c>
      <c r="J3904">
        <v>0.102205772095336</v>
      </c>
      <c r="K3904">
        <v>0.10513568959073499</v>
      </c>
      <c r="L3904">
        <v>1207.77834723462</v>
      </c>
      <c r="M3904">
        <v>22.287360258469398</v>
      </c>
      <c r="N3904">
        <v>54.790175186776302</v>
      </c>
      <c r="O3904">
        <v>53.760564146194298</v>
      </c>
      <c r="P3904">
        <v>-9.24377902118277E-2</v>
      </c>
      <c r="Q3904">
        <v>0.10812190802989299</v>
      </c>
      <c r="R3904">
        <v>0.99184221013374196</v>
      </c>
      <c r="S3904" t="s">
        <v>10907</v>
      </c>
      <c r="T3904" t="s">
        <v>14004</v>
      </c>
      <c r="U3904" t="s">
        <v>14004</v>
      </c>
      <c r="V3904" t="s">
        <v>14004</v>
      </c>
      <c r="W3904" t="s">
        <v>17860</v>
      </c>
      <c r="X3904">
        <v>2</v>
      </c>
      <c r="Y3904" t="s">
        <v>24684</v>
      </c>
      <c r="Z3904" t="s">
        <v>31614</v>
      </c>
      <c r="AA3904">
        <v>0.54012167267434774</v>
      </c>
      <c r="AB3904" t="str">
        <f>HYPERLINK("Melting_Curves/meltCurve_Q4G148_2_GXYLT1.pdf", "Melting_Curves/meltCurve_Q4G148_2_GXYLT1.pdf")</f>
        <v>Melting_Curves/meltCurve_Q4G148_2_GXYLT1.pdf</v>
      </c>
    </row>
    <row r="3905" spans="1:28" x14ac:dyDescent="0.25">
      <c r="A3905" t="s">
        <v>3909</v>
      </c>
      <c r="B3905">
        <v>0.99999676499088797</v>
      </c>
      <c r="C3905">
        <v>0.91242336617061603</v>
      </c>
      <c r="D3905">
        <v>0.77306073836252098</v>
      </c>
      <c r="E3905">
        <v>0.40426909634121699</v>
      </c>
      <c r="F3905">
        <v>0.174250661484914</v>
      </c>
      <c r="G3905">
        <v>0.110568243688933</v>
      </c>
      <c r="H3905">
        <v>5.6720368762281002E-2</v>
      </c>
      <c r="I3905">
        <v>5.3690427909420899E-2</v>
      </c>
      <c r="J3905">
        <v>4.8151146623427898E-2</v>
      </c>
      <c r="K3905">
        <v>4.2381355988360001E-2</v>
      </c>
      <c r="L3905">
        <v>983.08145241073896</v>
      </c>
      <c r="M3905">
        <v>20.2953360332742</v>
      </c>
      <c r="N3905">
        <v>48.671334348730497</v>
      </c>
      <c r="O3905">
        <v>47.975865601643498</v>
      </c>
      <c r="P3905">
        <v>-0.100874261721032</v>
      </c>
      <c r="Q3905">
        <v>4.6208134501113898E-2</v>
      </c>
      <c r="R3905">
        <v>0.99895979145309299</v>
      </c>
      <c r="S3905" t="s">
        <v>10908</v>
      </c>
      <c r="T3905" t="s">
        <v>14004</v>
      </c>
      <c r="U3905" t="s">
        <v>14004</v>
      </c>
      <c r="V3905" t="s">
        <v>14004</v>
      </c>
      <c r="W3905" t="s">
        <v>17861</v>
      </c>
      <c r="X3905">
        <v>19</v>
      </c>
      <c r="Y3905" t="s">
        <v>24685</v>
      </c>
      <c r="Z3905" t="s">
        <v>31615</v>
      </c>
      <c r="AA3905">
        <v>0.32754867865693849</v>
      </c>
      <c r="AB3905" t="str">
        <f>HYPERLINK("Melting_Curves/meltCurve_Q4G176_ACSF3.pdf", "Melting_Curves/meltCurve_Q4G176_ACSF3.pdf")</f>
        <v>Melting_Curves/meltCurve_Q4G176_ACSF3.pdf</v>
      </c>
    </row>
    <row r="3906" spans="1:28" x14ac:dyDescent="0.25">
      <c r="A3906" t="s">
        <v>3910</v>
      </c>
      <c r="B3906">
        <v>0.99999676499088797</v>
      </c>
      <c r="C3906">
        <v>1.0140871121022501</v>
      </c>
      <c r="D3906">
        <v>0.94191281981977704</v>
      </c>
      <c r="E3906">
        <v>0.98015978241648705</v>
      </c>
      <c r="F3906">
        <v>0.68766112130775403</v>
      </c>
      <c r="G3906">
        <v>0.32739117474182</v>
      </c>
      <c r="H3906">
        <v>0.13955745848866299</v>
      </c>
      <c r="I3906">
        <v>0.13380149944170799</v>
      </c>
      <c r="J3906">
        <v>0.107763082533715</v>
      </c>
      <c r="K3906">
        <v>0.106946575488094</v>
      </c>
      <c r="L3906">
        <v>1565.8221699799899</v>
      </c>
      <c r="M3906">
        <v>28.751904992296701</v>
      </c>
      <c r="N3906">
        <v>54.9264977611519</v>
      </c>
      <c r="O3906">
        <v>54.198386042019699</v>
      </c>
      <c r="P3906">
        <v>-0.118250789674017</v>
      </c>
      <c r="Q3906">
        <v>0.108379101132967</v>
      </c>
      <c r="R3906">
        <v>0.997043648393105</v>
      </c>
      <c r="S3906" t="s">
        <v>10909</v>
      </c>
      <c r="T3906" t="s">
        <v>14004</v>
      </c>
      <c r="U3906" t="s">
        <v>14004</v>
      </c>
      <c r="V3906" t="s">
        <v>14004</v>
      </c>
      <c r="W3906" t="s">
        <v>17862</v>
      </c>
      <c r="X3906">
        <v>20</v>
      </c>
      <c r="Y3906" t="s">
        <v>24686</v>
      </c>
      <c r="Z3906" t="s">
        <v>31616</v>
      </c>
      <c r="AA3906">
        <v>0.54451448107796607</v>
      </c>
      <c r="AB3906" t="str">
        <f>HYPERLINK("Melting_Curves/meltCurve_Q4J6C6_4_PREPL.pdf", "Melting_Curves/meltCurve_Q4J6C6_4_PREPL.pdf")</f>
        <v>Melting_Curves/meltCurve_Q4J6C6_4_PREPL.pdf</v>
      </c>
    </row>
    <row r="3907" spans="1:28" x14ac:dyDescent="0.25">
      <c r="A3907" t="s">
        <v>3911</v>
      </c>
      <c r="B3907">
        <v>0.99999676499088797</v>
      </c>
      <c r="C3907">
        <v>1.00163271090812</v>
      </c>
      <c r="D3907">
        <v>0.95533612523661704</v>
      </c>
      <c r="E3907">
        <v>0.83518798332199595</v>
      </c>
      <c r="F3907">
        <v>0.33653725309529298</v>
      </c>
      <c r="G3907">
        <v>0.18879644461058401</v>
      </c>
      <c r="H3907">
        <v>8.2845634808599897E-2</v>
      </c>
      <c r="I3907">
        <v>8.3834069500342501E-2</v>
      </c>
      <c r="J3907">
        <v>9.0004862347653702E-2</v>
      </c>
      <c r="K3907">
        <v>6.8311374430379102E-2</v>
      </c>
      <c r="L3907">
        <v>1622.7479767974201</v>
      </c>
      <c r="M3907">
        <v>31.343885944420599</v>
      </c>
      <c r="N3907">
        <v>52.087262730997402</v>
      </c>
      <c r="O3907">
        <v>51.563027458370598</v>
      </c>
      <c r="P3907">
        <v>-0.138854155939928</v>
      </c>
      <c r="Q3907">
        <v>8.6303391776263505E-2</v>
      </c>
      <c r="R3907">
        <v>0.99714482716769903</v>
      </c>
      <c r="S3907" t="s">
        <v>10910</v>
      </c>
      <c r="T3907" t="s">
        <v>14004</v>
      </c>
      <c r="U3907" t="s">
        <v>14004</v>
      </c>
      <c r="V3907" t="s">
        <v>14004</v>
      </c>
      <c r="W3907" t="s">
        <v>17863</v>
      </c>
      <c r="X3907">
        <v>13</v>
      </c>
      <c r="Y3907" t="s">
        <v>24687</v>
      </c>
      <c r="Z3907" t="s">
        <v>31617</v>
      </c>
      <c r="AA3907">
        <v>0.45018085899719967</v>
      </c>
      <c r="AB3907" t="str">
        <f>HYPERLINK("Melting_Curves/meltCurve_Q4KMP7_TBC1D10B.pdf", "Melting_Curves/meltCurve_Q4KMP7_TBC1D10B.pdf")</f>
        <v>Melting_Curves/meltCurve_Q4KMP7_TBC1D10B.pdf</v>
      </c>
    </row>
    <row r="3908" spans="1:28" x14ac:dyDescent="0.25">
      <c r="A3908" t="s">
        <v>3912</v>
      </c>
      <c r="B3908">
        <v>0.99999676499088797</v>
      </c>
      <c r="C3908">
        <v>0.91743693697284601</v>
      </c>
      <c r="D3908">
        <v>0.91261674018463601</v>
      </c>
      <c r="E3908">
        <v>0.79529024433003204</v>
      </c>
      <c r="F3908">
        <v>0.55642432231314898</v>
      </c>
      <c r="G3908">
        <v>0.20297503246129101</v>
      </c>
      <c r="H3908">
        <v>5.8389413170311003E-2</v>
      </c>
      <c r="I3908">
        <v>5.2434156034041599E-2</v>
      </c>
      <c r="J3908">
        <v>4.9062842009785598E-2</v>
      </c>
      <c r="K3908">
        <v>4.6006935635184702E-2</v>
      </c>
      <c r="L3908">
        <v>1037.8267874570599</v>
      </c>
      <c r="M3908">
        <v>19.511090516440699</v>
      </c>
      <c r="N3908">
        <v>53.277657816022398</v>
      </c>
      <c r="O3908">
        <v>52.642325026955497</v>
      </c>
      <c r="P3908">
        <v>-9.12252769861185E-2</v>
      </c>
      <c r="Q3908">
        <v>1.55059943982631E-2</v>
      </c>
      <c r="R3908">
        <v>0.99167833390810201</v>
      </c>
      <c r="S3908" t="s">
        <v>10911</v>
      </c>
      <c r="T3908" t="s">
        <v>14004</v>
      </c>
      <c r="U3908" t="s">
        <v>14004</v>
      </c>
      <c r="V3908" t="s">
        <v>14004</v>
      </c>
      <c r="W3908" t="s">
        <v>17864</v>
      </c>
      <c r="X3908">
        <v>13</v>
      </c>
      <c r="Y3908" t="s">
        <v>24688</v>
      </c>
      <c r="Z3908" t="s">
        <v>31618</v>
      </c>
      <c r="AA3908">
        <v>0.46249855588498412</v>
      </c>
      <c r="AB3908" t="str">
        <f>HYPERLINK("Melting_Curves/meltCurve_Q4KMQ2_3_ANO6.pdf", "Melting_Curves/meltCurve_Q4KMQ2_3_ANO6.pdf")</f>
        <v>Melting_Curves/meltCurve_Q4KMQ2_3_ANO6.pdf</v>
      </c>
    </row>
    <row r="3909" spans="1:28" x14ac:dyDescent="0.25">
      <c r="A3909" t="s">
        <v>3913</v>
      </c>
      <c r="B3909">
        <v>0.99999676499088797</v>
      </c>
      <c r="C3909">
        <v>0.86230827366638596</v>
      </c>
      <c r="D3909">
        <v>0.86090400699348302</v>
      </c>
      <c r="E3909">
        <v>0.91881187298620803</v>
      </c>
      <c r="F3909">
        <v>0.69405158961374402</v>
      </c>
      <c r="G3909">
        <v>0.31232123877766199</v>
      </c>
      <c r="H3909">
        <v>0.17216440294551599</v>
      </c>
      <c r="I3909">
        <v>0.14051489656916899</v>
      </c>
      <c r="J3909">
        <v>0.13419370126166999</v>
      </c>
      <c r="K3909">
        <v>0.130975919448969</v>
      </c>
      <c r="L3909">
        <v>1359.0129016439701</v>
      </c>
      <c r="M3909">
        <v>25.053550816638602</v>
      </c>
      <c r="N3909">
        <v>54.851076635785098</v>
      </c>
      <c r="O3909">
        <v>53.9022620210322</v>
      </c>
      <c r="P3909">
        <v>-0.10213732387843701</v>
      </c>
      <c r="Q3909">
        <v>0.121025176566814</v>
      </c>
      <c r="R3909">
        <v>0.97081366332422703</v>
      </c>
      <c r="S3909" t="s">
        <v>10912</v>
      </c>
      <c r="T3909" t="s">
        <v>14004</v>
      </c>
      <c r="U3909" t="s">
        <v>14004</v>
      </c>
      <c r="V3909" t="s">
        <v>14004</v>
      </c>
      <c r="W3909" t="s">
        <v>17865</v>
      </c>
      <c r="X3909">
        <v>1</v>
      </c>
      <c r="Y3909" t="s">
        <v>24689</v>
      </c>
      <c r="Z3909" t="s">
        <v>31619</v>
      </c>
      <c r="AA3909">
        <v>0.5464784371769571</v>
      </c>
      <c r="AB3909" t="str">
        <f>HYPERLINK("Melting_Curves/meltCurve_Q4KWH8_3_PLCH1.pdf", "Melting_Curves/meltCurve_Q4KWH8_3_PLCH1.pdf")</f>
        <v>Melting_Curves/meltCurve_Q4KWH8_3_PLCH1.pdf</v>
      </c>
    </row>
    <row r="3910" spans="1:28" x14ac:dyDescent="0.25">
      <c r="A3910" t="s">
        <v>3914</v>
      </c>
      <c r="B3910">
        <v>0.99999676499088797</v>
      </c>
      <c r="C3910">
        <v>1.0025851941191399</v>
      </c>
      <c r="D3910">
        <v>1.00726700171947</v>
      </c>
      <c r="E3910">
        <v>0.92727048528153</v>
      </c>
      <c r="F3910">
        <v>0.75092348622563498</v>
      </c>
      <c r="G3910">
        <v>0.47768385041731598</v>
      </c>
      <c r="H3910">
        <v>0.27515132120001501</v>
      </c>
      <c r="I3910">
        <v>0.241221896775724</v>
      </c>
      <c r="J3910">
        <v>0.241377685948339</v>
      </c>
      <c r="K3910">
        <v>0.229187632686602</v>
      </c>
      <c r="L3910">
        <v>1280.22615524</v>
      </c>
      <c r="M3910">
        <v>23.306678474903102</v>
      </c>
      <c r="N3910">
        <v>56.324046032631799</v>
      </c>
      <c r="O3910">
        <v>54.529971735581299</v>
      </c>
      <c r="P3910">
        <v>-8.3429951979841502E-2</v>
      </c>
      <c r="Q3910">
        <v>0.219218858512156</v>
      </c>
      <c r="R3910">
        <v>0.99904137986207697</v>
      </c>
      <c r="S3910" t="s">
        <v>10913</v>
      </c>
      <c r="T3910" t="s">
        <v>14004</v>
      </c>
      <c r="U3910" t="s">
        <v>14004</v>
      </c>
      <c r="V3910" t="s">
        <v>14004</v>
      </c>
      <c r="W3910" t="s">
        <v>17866</v>
      </c>
      <c r="X3910">
        <v>5</v>
      </c>
      <c r="Y3910" t="s">
        <v>24690</v>
      </c>
      <c r="Z3910" t="s">
        <v>31620</v>
      </c>
      <c r="AA3910">
        <v>0.6159299818268934</v>
      </c>
      <c r="AB3910" t="str">
        <f>HYPERLINK("Melting_Curves/meltCurve_Q4LDG9_DNAL1.pdf", "Melting_Curves/meltCurve_Q4LDG9_DNAL1.pdf")</f>
        <v>Melting_Curves/meltCurve_Q4LDG9_DNAL1.pdf</v>
      </c>
    </row>
    <row r="3911" spans="1:28" x14ac:dyDescent="0.25">
      <c r="A3911" t="s">
        <v>3915</v>
      </c>
      <c r="B3911">
        <v>0.99999676499088797</v>
      </c>
      <c r="C3911">
        <v>0.88295886377517396</v>
      </c>
      <c r="D3911">
        <v>0.677223722713441</v>
      </c>
      <c r="E3911">
        <v>0.58377237918746105</v>
      </c>
      <c r="F3911">
        <v>0.51187587729809503</v>
      </c>
      <c r="G3911">
        <v>0.307292887584314</v>
      </c>
      <c r="H3911">
        <v>0.183631473379753</v>
      </c>
      <c r="I3911">
        <v>0.18194462737519099</v>
      </c>
      <c r="J3911">
        <v>0.21071206964501399</v>
      </c>
      <c r="K3911">
        <v>0.20826127113246501</v>
      </c>
      <c r="L3911">
        <v>534.71944600293602</v>
      </c>
      <c r="M3911">
        <v>10.7212870041957</v>
      </c>
      <c r="N3911">
        <v>51.411409927091299</v>
      </c>
      <c r="O3911">
        <v>48.2333591404511</v>
      </c>
      <c r="P3911">
        <v>-4.79688459123149E-2</v>
      </c>
      <c r="Q3911">
        <v>0.13710464210038401</v>
      </c>
      <c r="R3911">
        <v>0.97330525861174899</v>
      </c>
      <c r="S3911" t="s">
        <v>10914</v>
      </c>
      <c r="T3911" t="s">
        <v>14004</v>
      </c>
      <c r="U3911" t="s">
        <v>14004</v>
      </c>
      <c r="V3911" t="s">
        <v>14004</v>
      </c>
      <c r="W3911" t="s">
        <v>17867</v>
      </c>
      <c r="X3911">
        <v>4</v>
      </c>
      <c r="Y3911" t="s">
        <v>24691</v>
      </c>
      <c r="Z3911" t="s">
        <v>31621</v>
      </c>
      <c r="AA3911">
        <v>0.45682799809074381</v>
      </c>
      <c r="AB3911" t="str">
        <f>HYPERLINK("Melting_Curves/meltCurve_Q4LE39_3_ARID4B.pdf", "Melting_Curves/meltCurve_Q4LE39_3_ARID4B.pdf")</f>
        <v>Melting_Curves/meltCurve_Q4LE39_3_ARID4B.pdf</v>
      </c>
    </row>
    <row r="3912" spans="1:28" x14ac:dyDescent="0.25">
      <c r="A3912" t="s">
        <v>3916</v>
      </c>
      <c r="B3912">
        <v>0.99999676499088797</v>
      </c>
      <c r="C3912">
        <v>0.96959279846445301</v>
      </c>
      <c r="D3912">
        <v>0.899724536692178</v>
      </c>
      <c r="E3912">
        <v>0.89550610524542495</v>
      </c>
      <c r="F3912">
        <v>0.81680283516247398</v>
      </c>
      <c r="G3912">
        <v>0.81002159232581405</v>
      </c>
      <c r="H3912">
        <v>0.57969224548709697</v>
      </c>
      <c r="I3912">
        <v>0.58042725581161003</v>
      </c>
      <c r="J3912">
        <v>0.48260723648603399</v>
      </c>
      <c r="K3912">
        <v>0.29743668270830398</v>
      </c>
      <c r="L3912">
        <v>484.98109319064798</v>
      </c>
      <c r="M3912">
        <v>7.4595739795905702</v>
      </c>
      <c r="N3912">
        <v>65.014582749651595</v>
      </c>
      <c r="O3912">
        <v>60.833597463431303</v>
      </c>
      <c r="P3912">
        <v>-3.0700612679299698E-2</v>
      </c>
      <c r="Q3912">
        <v>0</v>
      </c>
      <c r="R3912">
        <v>0.95972383292396501</v>
      </c>
      <c r="S3912" t="s">
        <v>10915</v>
      </c>
      <c r="T3912" t="s">
        <v>14004</v>
      </c>
      <c r="U3912" t="s">
        <v>14004</v>
      </c>
      <c r="V3912" t="s">
        <v>14004</v>
      </c>
      <c r="W3912" t="s">
        <v>17868</v>
      </c>
      <c r="X3912">
        <v>6</v>
      </c>
      <c r="Y3912" t="s">
        <v>24692</v>
      </c>
      <c r="Z3912" t="s">
        <v>31622</v>
      </c>
      <c r="AA3912">
        <v>0.75077263355332924</v>
      </c>
      <c r="AB3912" t="str">
        <f>HYPERLINK("Melting_Curves/meltCurve_Q4TT34_NME4.pdf", "Melting_Curves/meltCurve_Q4TT34_NME4.pdf")</f>
        <v>Melting_Curves/meltCurve_Q4TT34_NME4.pdf</v>
      </c>
    </row>
    <row r="3913" spans="1:28" x14ac:dyDescent="0.25">
      <c r="A3913" t="s">
        <v>3917</v>
      </c>
      <c r="B3913">
        <v>0.99999676499088797</v>
      </c>
      <c r="C3913">
        <v>0.78739919080280696</v>
      </c>
      <c r="D3913">
        <v>0.36171382344977798</v>
      </c>
      <c r="E3913">
        <v>0.24055368668563701</v>
      </c>
      <c r="F3913">
        <v>0.19804509148220201</v>
      </c>
      <c r="G3913">
        <v>0.15353654942110401</v>
      </c>
      <c r="H3913">
        <v>0.102588802385883</v>
      </c>
      <c r="I3913">
        <v>0.12330779644130101</v>
      </c>
      <c r="J3913">
        <v>0.15375600998285499</v>
      </c>
      <c r="K3913">
        <v>0.18127406413181099</v>
      </c>
      <c r="L3913">
        <v>1336.7431196513301</v>
      </c>
      <c r="M3913">
        <v>30.083186677326001</v>
      </c>
      <c r="N3913">
        <v>44.996989686992201</v>
      </c>
      <c r="O3913">
        <v>44.239927747290501</v>
      </c>
      <c r="P3913">
        <v>-0.143374170629298</v>
      </c>
      <c r="Q3913">
        <v>0.156628962109716</v>
      </c>
      <c r="R3913">
        <v>0.98900426903419103</v>
      </c>
      <c r="S3913" t="s">
        <v>10916</v>
      </c>
      <c r="T3913" t="s">
        <v>14004</v>
      </c>
      <c r="U3913" t="s">
        <v>14004</v>
      </c>
      <c r="V3913" t="s">
        <v>14004</v>
      </c>
      <c r="W3913" t="s">
        <v>17869</v>
      </c>
      <c r="X3913">
        <v>31</v>
      </c>
      <c r="Y3913" t="s">
        <v>24693</v>
      </c>
      <c r="Z3913" t="s">
        <v>31623</v>
      </c>
      <c r="AA3913">
        <v>0.28702694634499781</v>
      </c>
      <c r="AB3913" t="str">
        <f>HYPERLINK("Melting_Curves/meltCurve_Q4V328_GRIPAP1.pdf", "Melting_Curves/meltCurve_Q4V328_GRIPAP1.pdf")</f>
        <v>Melting_Curves/meltCurve_Q4V328_GRIPAP1.pdf</v>
      </c>
    </row>
    <row r="3914" spans="1:28" x14ac:dyDescent="0.25">
      <c r="A3914" t="s">
        <v>3918</v>
      </c>
      <c r="B3914">
        <v>0.99999676499088797</v>
      </c>
      <c r="C3914">
        <v>0.86049852031502405</v>
      </c>
      <c r="D3914">
        <v>0.83821723499665102</v>
      </c>
      <c r="E3914">
        <v>0.85617041963130702</v>
      </c>
      <c r="F3914">
        <v>1.0243143138563</v>
      </c>
      <c r="G3914">
        <v>0.78095512370501996</v>
      </c>
      <c r="H3914">
        <v>0.78814963187274001</v>
      </c>
      <c r="I3914">
        <v>0.79231759626023102</v>
      </c>
      <c r="J3914">
        <v>0.78069467622571198</v>
      </c>
      <c r="K3914">
        <v>1.15056465670259</v>
      </c>
      <c r="L3914">
        <v>10260.7940826292</v>
      </c>
      <c r="M3914">
        <v>250</v>
      </c>
      <c r="O3914">
        <v>41.040538586961297</v>
      </c>
      <c r="P3914">
        <v>-0.19088840623446801</v>
      </c>
      <c r="Q3914">
        <v>0.87465335760199703</v>
      </c>
      <c r="R3914">
        <v>9.6579815085812801E-2</v>
      </c>
      <c r="S3914" t="s">
        <v>10917</v>
      </c>
      <c r="T3914" t="s">
        <v>14004</v>
      </c>
      <c r="U3914" t="s">
        <v>14004</v>
      </c>
      <c r="V3914" t="s">
        <v>14004</v>
      </c>
      <c r="W3914" t="s">
        <v>17870</v>
      </c>
      <c r="X3914">
        <v>7</v>
      </c>
      <c r="Y3914" t="s">
        <v>24694</v>
      </c>
      <c r="Z3914" t="s">
        <v>31624</v>
      </c>
      <c r="AA3914">
        <v>0.87902196018762468</v>
      </c>
      <c r="AB3914" t="str">
        <f>HYPERLINK("Melting_Curves/meltCurve_Q4VC05_BCL7A.pdf", "Melting_Curves/meltCurve_Q4VC05_BCL7A.pdf")</f>
        <v>Melting_Curves/meltCurve_Q4VC05_BCL7A.pdf</v>
      </c>
    </row>
    <row r="3915" spans="1:28" x14ac:dyDescent="0.25">
      <c r="A3915" t="s">
        <v>3919</v>
      </c>
      <c r="B3915">
        <v>0.99999676499088797</v>
      </c>
      <c r="C3915">
        <v>0.905198864877645</v>
      </c>
      <c r="D3915">
        <v>0.75782522419095399</v>
      </c>
      <c r="E3915">
        <v>0.53030086799791998</v>
      </c>
      <c r="F3915">
        <v>0.479054226584747</v>
      </c>
      <c r="G3915">
        <v>0.47438151449236199</v>
      </c>
      <c r="H3915">
        <v>0.39597207954305602</v>
      </c>
      <c r="I3915">
        <v>0.47564415076873201</v>
      </c>
      <c r="J3915">
        <v>0.53401798060917904</v>
      </c>
      <c r="K3915">
        <v>0.632440747031492</v>
      </c>
      <c r="L3915">
        <v>1295.60261948279</v>
      </c>
      <c r="M3915">
        <v>28.264910979765499</v>
      </c>
      <c r="N3915">
        <v>54.881860173193303</v>
      </c>
      <c r="O3915">
        <v>45.610239571307602</v>
      </c>
      <c r="P3915">
        <v>-7.8198744126654202E-2</v>
      </c>
      <c r="Q3915">
        <v>0.49525629665068999</v>
      </c>
      <c r="R3915">
        <v>0.90940598313252596</v>
      </c>
      <c r="S3915" t="s">
        <v>10918</v>
      </c>
      <c r="T3915" t="s">
        <v>14004</v>
      </c>
      <c r="U3915" t="s">
        <v>14004</v>
      </c>
      <c r="V3915" t="s">
        <v>14004</v>
      </c>
      <c r="W3915" t="s">
        <v>17871</v>
      </c>
      <c r="X3915">
        <v>8</v>
      </c>
      <c r="Y3915" t="s">
        <v>24694</v>
      </c>
      <c r="Z3915" t="s">
        <v>31625</v>
      </c>
      <c r="AA3915">
        <v>0.59701989125824639</v>
      </c>
      <c r="AB3915" t="str">
        <f>HYPERLINK("Melting_Curves/meltCurve_Q4VC05_2_BCL7A.pdf", "Melting_Curves/meltCurve_Q4VC05_2_BCL7A.pdf")</f>
        <v>Melting_Curves/meltCurve_Q4VC05_2_BCL7A.pdf</v>
      </c>
    </row>
    <row r="3916" spans="1:28" x14ac:dyDescent="0.25">
      <c r="A3916" t="s">
        <v>3920</v>
      </c>
      <c r="B3916">
        <v>0.99999676499088797</v>
      </c>
      <c r="C3916">
        <v>1.08432698730767</v>
      </c>
      <c r="D3916">
        <v>1.0444788398915801</v>
      </c>
      <c r="E3916">
        <v>1.1193448018482799</v>
      </c>
      <c r="F3916">
        <v>1.0042612831481099</v>
      </c>
      <c r="G3916">
        <v>0.819427646923236</v>
      </c>
      <c r="H3916">
        <v>0.50527091326738005</v>
      </c>
      <c r="I3916">
        <v>0.347702855908121</v>
      </c>
      <c r="J3916">
        <v>0.24052922476125799</v>
      </c>
      <c r="K3916">
        <v>0.168662018784145</v>
      </c>
      <c r="L3916">
        <v>1477.6444099299599</v>
      </c>
      <c r="M3916">
        <v>24.613915247934699</v>
      </c>
      <c r="N3916">
        <v>61.066710474851398</v>
      </c>
      <c r="O3916">
        <v>59.640823111444298</v>
      </c>
      <c r="P3916">
        <v>-8.55967056933713E-2</v>
      </c>
      <c r="Q3916">
        <v>0.170390235661107</v>
      </c>
      <c r="R3916">
        <v>0.978055901623886</v>
      </c>
      <c r="S3916" t="s">
        <v>10919</v>
      </c>
      <c r="T3916" t="s">
        <v>14004</v>
      </c>
      <c r="U3916" t="s">
        <v>14004</v>
      </c>
      <c r="V3916" t="s">
        <v>14004</v>
      </c>
      <c r="W3916" t="s">
        <v>17872</v>
      </c>
      <c r="X3916">
        <v>15</v>
      </c>
      <c r="Y3916" t="s">
        <v>24695</v>
      </c>
      <c r="Z3916" t="s">
        <v>31626</v>
      </c>
      <c r="AA3916">
        <v>0.73058410540089658</v>
      </c>
      <c r="AB3916" t="str">
        <f>HYPERLINK("Melting_Curves/meltCurve_Q4VXZ8_DECR2.pdf", "Melting_Curves/meltCurve_Q4VXZ8_DECR2.pdf")</f>
        <v>Melting_Curves/meltCurve_Q4VXZ8_DECR2.pdf</v>
      </c>
    </row>
    <row r="3917" spans="1:28" x14ac:dyDescent="0.25">
      <c r="A3917" t="s">
        <v>3921</v>
      </c>
      <c r="B3917">
        <v>0.99999676499088797</v>
      </c>
      <c r="C3917">
        <v>0.95914214945701703</v>
      </c>
      <c r="D3917">
        <v>0.952206604005845</v>
      </c>
      <c r="E3917">
        <v>0.98330170079536705</v>
      </c>
      <c r="F3917">
        <v>0.82638403390569803</v>
      </c>
      <c r="G3917">
        <v>0.575273519667716</v>
      </c>
      <c r="H3917">
        <v>0.35220662127063002</v>
      </c>
      <c r="I3917">
        <v>0.22816926454046599</v>
      </c>
      <c r="J3917">
        <v>0.13055739195448199</v>
      </c>
      <c r="K3917">
        <v>0.100661659304892</v>
      </c>
      <c r="L3917">
        <v>971.87920041582902</v>
      </c>
      <c r="M3917">
        <v>16.8154569215239</v>
      </c>
      <c r="N3917">
        <v>58.216775617761897</v>
      </c>
      <c r="O3917">
        <v>56.997933803493197</v>
      </c>
      <c r="P3917">
        <v>-6.9546162572458298E-2</v>
      </c>
      <c r="Q3917">
        <v>5.7121811355588401E-2</v>
      </c>
      <c r="R3917">
        <v>0.99595615128741299</v>
      </c>
      <c r="S3917" t="s">
        <v>10920</v>
      </c>
      <c r="T3917" t="s">
        <v>14004</v>
      </c>
      <c r="U3917" t="s">
        <v>14004</v>
      </c>
      <c r="V3917" t="s">
        <v>14004</v>
      </c>
      <c r="W3917" t="s">
        <v>17873</v>
      </c>
      <c r="X3917">
        <v>5</v>
      </c>
      <c r="Y3917" t="s">
        <v>24696</v>
      </c>
      <c r="Z3917" t="s">
        <v>31627</v>
      </c>
      <c r="AA3917">
        <v>0.62898241316510506</v>
      </c>
      <c r="AB3917" t="str">
        <f>HYPERLINK("Melting_Curves/meltCurve_Q4ZIN3_2_TMEM259.pdf", "Melting_Curves/meltCurve_Q4ZIN3_2_TMEM259.pdf")</f>
        <v>Melting_Curves/meltCurve_Q4ZIN3_2_TMEM259.pdf</v>
      </c>
    </row>
    <row r="3918" spans="1:28" x14ac:dyDescent="0.25">
      <c r="A3918" t="s">
        <v>3922</v>
      </c>
      <c r="B3918">
        <v>0.99999676499088797</v>
      </c>
      <c r="C3918">
        <v>1.25334012387847</v>
      </c>
      <c r="D3918">
        <v>0.86566431712944203</v>
      </c>
      <c r="E3918">
        <v>0.87863338008775504</v>
      </c>
      <c r="F3918">
        <v>0.73679065294171997</v>
      </c>
      <c r="G3918">
        <v>0.41904012317778</v>
      </c>
      <c r="H3918">
        <v>0.169638874581092</v>
      </c>
      <c r="I3918">
        <v>0.115219900879749</v>
      </c>
      <c r="J3918">
        <v>0</v>
      </c>
      <c r="K3918">
        <v>0.104072557500498</v>
      </c>
      <c r="L3918">
        <v>1051.6567970409701</v>
      </c>
      <c r="M3918">
        <v>18.9169375461098</v>
      </c>
      <c r="N3918">
        <v>55.753730450906801</v>
      </c>
      <c r="O3918">
        <v>54.983335197635498</v>
      </c>
      <c r="P3918">
        <v>-8.3738508355398006E-2</v>
      </c>
      <c r="Q3918">
        <v>2.6473700159144201E-2</v>
      </c>
      <c r="R3918">
        <v>0.95028052562443999</v>
      </c>
      <c r="S3918" t="s">
        <v>10921</v>
      </c>
      <c r="T3918" t="s">
        <v>14004</v>
      </c>
      <c r="U3918" t="s">
        <v>14004</v>
      </c>
      <c r="V3918" t="s">
        <v>14004</v>
      </c>
      <c r="W3918" t="s">
        <v>17874</v>
      </c>
      <c r="X3918">
        <v>1</v>
      </c>
      <c r="Y3918" t="s">
        <v>24697</v>
      </c>
      <c r="Z3918" t="s">
        <v>31628</v>
      </c>
      <c r="AA3918">
        <v>0.54624091228643756</v>
      </c>
      <c r="AB3918" t="str">
        <f>HYPERLINK("Melting_Curves/meltCurve_Q504Q3_2_PAN2.pdf", "Melting_Curves/meltCurve_Q504Q3_2_PAN2.pdf")</f>
        <v>Melting_Curves/meltCurve_Q504Q3_2_PAN2.pdf</v>
      </c>
    </row>
    <row r="3919" spans="1:28" x14ac:dyDescent="0.25">
      <c r="A3919" t="s">
        <v>3923</v>
      </c>
      <c r="B3919">
        <v>0.99999676499088797</v>
      </c>
      <c r="C3919">
        <v>0.861064864859305</v>
      </c>
      <c r="D3919">
        <v>0.83872935930161296</v>
      </c>
      <c r="E3919">
        <v>0.76412880663623595</v>
      </c>
      <c r="F3919">
        <v>0.57961008151592697</v>
      </c>
      <c r="G3919">
        <v>0.42145716892309498</v>
      </c>
      <c r="H3919">
        <v>0.22986275940765799</v>
      </c>
      <c r="I3919">
        <v>0.25545626463357202</v>
      </c>
      <c r="J3919">
        <v>0.31631732057268502</v>
      </c>
      <c r="K3919">
        <v>0.28771487494049403</v>
      </c>
      <c r="L3919">
        <v>637.05979388769799</v>
      </c>
      <c r="M3919">
        <v>12.2808647942517</v>
      </c>
      <c r="N3919">
        <v>54.410289224352397</v>
      </c>
      <c r="O3919">
        <v>50.556263357255197</v>
      </c>
      <c r="P3919">
        <v>-4.7505101575524698E-2</v>
      </c>
      <c r="Q3919">
        <v>0.21792112142164499</v>
      </c>
      <c r="R3919">
        <v>0.96531381259182503</v>
      </c>
      <c r="S3919" t="s">
        <v>10922</v>
      </c>
      <c r="T3919" t="s">
        <v>14004</v>
      </c>
      <c r="U3919" t="s">
        <v>14004</v>
      </c>
      <c r="V3919" t="s">
        <v>14004</v>
      </c>
      <c r="W3919" t="s">
        <v>17875</v>
      </c>
      <c r="X3919">
        <v>2</v>
      </c>
      <c r="Y3919" t="s">
        <v>24698</v>
      </c>
      <c r="Z3919" t="s">
        <v>31629</v>
      </c>
      <c r="AA3919">
        <v>0.55088460440523357</v>
      </c>
      <c r="AB3919" t="str">
        <f>HYPERLINK("Melting_Curves/meltCurve_Q504U0_C4orf46.pdf", "Melting_Curves/meltCurve_Q504U0_C4orf46.pdf")</f>
        <v>Melting_Curves/meltCurve_Q504U0_C4orf46.pdf</v>
      </c>
    </row>
    <row r="3920" spans="1:28" x14ac:dyDescent="0.25">
      <c r="A3920" t="s">
        <v>3924</v>
      </c>
      <c r="B3920">
        <v>0.99999676499088797</v>
      </c>
      <c r="C3920">
        <v>0.72290775794531603</v>
      </c>
      <c r="D3920">
        <v>0.66432779734887604</v>
      </c>
      <c r="E3920">
        <v>0.48973744282809201</v>
      </c>
      <c r="F3920">
        <v>1.0572623481410699</v>
      </c>
      <c r="G3920">
        <v>0.55771468797075197</v>
      </c>
      <c r="H3920">
        <v>0.17328882863744</v>
      </c>
      <c r="I3920">
        <v>0.124583570495454</v>
      </c>
      <c r="J3920">
        <v>0.13374840454949999</v>
      </c>
      <c r="K3920">
        <v>0.124121754838893</v>
      </c>
      <c r="L3920">
        <v>420.06434879633201</v>
      </c>
      <c r="M3920">
        <v>7.6493788716486399</v>
      </c>
      <c r="N3920">
        <v>54.914831076876702</v>
      </c>
      <c r="O3920">
        <v>51.539257394472799</v>
      </c>
      <c r="P3920">
        <v>-3.7154209401574503E-2</v>
      </c>
      <c r="Q3920">
        <v>0</v>
      </c>
      <c r="R3920">
        <v>0.65446990815529604</v>
      </c>
      <c r="S3920" t="s">
        <v>10923</v>
      </c>
      <c r="T3920" t="s">
        <v>14004</v>
      </c>
      <c r="U3920" t="s">
        <v>14004</v>
      </c>
      <c r="V3920" t="s">
        <v>14004</v>
      </c>
      <c r="W3920" t="s">
        <v>17876</v>
      </c>
      <c r="X3920">
        <v>1</v>
      </c>
      <c r="Y3920" t="s">
        <v>24699</v>
      </c>
      <c r="Z3920" t="s">
        <v>31630</v>
      </c>
      <c r="AA3920">
        <v>0.52500551491858116</v>
      </c>
      <c r="AB3920" t="str">
        <f>HYPERLINK("Melting_Curves/meltCurve_Q52LA3_LIN52.pdf", "Melting_Curves/meltCurve_Q52LA3_LIN52.pdf")</f>
        <v>Melting_Curves/meltCurve_Q52LA3_LIN52.pdf</v>
      </c>
    </row>
    <row r="3921" spans="1:28" x14ac:dyDescent="0.25">
      <c r="A3921" t="s">
        <v>3925</v>
      </c>
      <c r="B3921">
        <v>0.99999676499088797</v>
      </c>
      <c r="C3921">
        <v>1.08469879330265</v>
      </c>
      <c r="D3921">
        <v>1.06900900940615</v>
      </c>
      <c r="E3921">
        <v>0.94768597239171204</v>
      </c>
      <c r="F3921">
        <v>0.26197227747566898</v>
      </c>
      <c r="G3921">
        <v>0.18868719261056999</v>
      </c>
      <c r="H3921">
        <v>8.5086045577905903E-2</v>
      </c>
      <c r="I3921">
        <v>8.7670779571156696E-2</v>
      </c>
      <c r="J3921">
        <v>8.3935934122170403E-2</v>
      </c>
      <c r="K3921">
        <v>6.2537491072009899E-2</v>
      </c>
      <c r="L3921">
        <v>3036.1067271934098</v>
      </c>
      <c r="M3921">
        <v>58.538965171416798</v>
      </c>
      <c r="N3921">
        <v>52.061971247146197</v>
      </c>
      <c r="O3921">
        <v>51.804302830365401</v>
      </c>
      <c r="P3921">
        <v>-0.254403745228928</v>
      </c>
      <c r="Q3921">
        <v>9.9457944416130803E-2</v>
      </c>
      <c r="R3921">
        <v>0.98934590401712197</v>
      </c>
      <c r="S3921" t="s">
        <v>10924</v>
      </c>
      <c r="T3921" t="s">
        <v>14004</v>
      </c>
      <c r="U3921" t="s">
        <v>14004</v>
      </c>
      <c r="V3921" t="s">
        <v>14004</v>
      </c>
      <c r="W3921" t="s">
        <v>17877</v>
      </c>
      <c r="X3921">
        <v>19</v>
      </c>
      <c r="Y3921" t="s">
        <v>24700</v>
      </c>
      <c r="Z3921" t="s">
        <v>31631</v>
      </c>
      <c r="AA3921">
        <v>0.45711449546580701</v>
      </c>
      <c r="AB3921" t="str">
        <f>HYPERLINK("Melting_Curves/meltCurve_Q52LJ0_2_FAM98B.pdf", "Melting_Curves/meltCurve_Q52LJ0_2_FAM98B.pdf")</f>
        <v>Melting_Curves/meltCurve_Q52LJ0_2_FAM98B.pdf</v>
      </c>
    </row>
    <row r="3922" spans="1:28" x14ac:dyDescent="0.25">
      <c r="A3922" t="s">
        <v>3926</v>
      </c>
      <c r="B3922">
        <v>0.99999676499088797</v>
      </c>
      <c r="C3922">
        <v>0.96754160395446098</v>
      </c>
      <c r="D3922">
        <v>0.84150164469083</v>
      </c>
      <c r="E3922">
        <v>0.30429921126364001</v>
      </c>
      <c r="F3922">
        <v>0.25589365582427098</v>
      </c>
      <c r="G3922">
        <v>0.116706606891717</v>
      </c>
      <c r="H3922">
        <v>6.2734110560158096E-2</v>
      </c>
      <c r="I3922">
        <v>5.18603166383272E-2</v>
      </c>
      <c r="J3922">
        <v>5.8609088777941097E-2</v>
      </c>
      <c r="K3922">
        <v>4.8205957734198897E-2</v>
      </c>
      <c r="L3922">
        <v>1291.65504431453</v>
      </c>
      <c r="M3922">
        <v>26.7903940693683</v>
      </c>
      <c r="N3922">
        <v>48.512693658112298</v>
      </c>
      <c r="O3922">
        <v>47.947133492666701</v>
      </c>
      <c r="P3922">
        <v>-0.129047073960294</v>
      </c>
      <c r="Q3922">
        <v>7.6180210814397104E-2</v>
      </c>
      <c r="R3922">
        <v>0.98538995229044901</v>
      </c>
      <c r="S3922" t="s">
        <v>10925</v>
      </c>
      <c r="T3922" t="s">
        <v>14004</v>
      </c>
      <c r="U3922" t="s">
        <v>14004</v>
      </c>
      <c r="V3922" t="s">
        <v>14004</v>
      </c>
      <c r="W3922" t="s">
        <v>17878</v>
      </c>
      <c r="X3922">
        <v>15</v>
      </c>
      <c r="Y3922" t="s">
        <v>24701</v>
      </c>
      <c r="Z3922" t="s">
        <v>31632</v>
      </c>
      <c r="AA3922">
        <v>0.33616011750227442</v>
      </c>
      <c r="AB3922" t="str">
        <f>HYPERLINK("Melting_Curves/meltCurve_Q53EL6_2_PDCD4.pdf", "Melting_Curves/meltCurve_Q53EL6_2_PDCD4.pdf")</f>
        <v>Melting_Curves/meltCurve_Q53EL6_2_PDCD4.pdf</v>
      </c>
    </row>
    <row r="3923" spans="1:28" x14ac:dyDescent="0.25">
      <c r="A3923" t="s">
        <v>3927</v>
      </c>
      <c r="B3923">
        <v>0.99999676499088797</v>
      </c>
      <c r="C3923">
        <v>1.01052584564348</v>
      </c>
      <c r="D3923">
        <v>0.95302168915179897</v>
      </c>
      <c r="E3923">
        <v>0.69093806313835604</v>
      </c>
      <c r="F3923">
        <v>0.71437517702882303</v>
      </c>
      <c r="G3923">
        <v>0.39109921367857098</v>
      </c>
      <c r="H3923">
        <v>0.224733900615433</v>
      </c>
      <c r="I3923">
        <v>0.17995425203173501</v>
      </c>
      <c r="J3923">
        <v>0.185380219028038</v>
      </c>
      <c r="K3923">
        <v>0.28527169149388498</v>
      </c>
      <c r="L3923">
        <v>827.96704873814701</v>
      </c>
      <c r="M3923">
        <v>15.5142043665905</v>
      </c>
      <c r="N3923">
        <v>54.8576132546956</v>
      </c>
      <c r="O3923">
        <v>52.505196925092399</v>
      </c>
      <c r="P3923">
        <v>-6.1179646043726103E-2</v>
      </c>
      <c r="Q3923">
        <v>0.17186451314725401</v>
      </c>
      <c r="R3923">
        <v>0.96064552002214798</v>
      </c>
      <c r="S3923" t="s">
        <v>10926</v>
      </c>
      <c r="T3923" t="s">
        <v>14004</v>
      </c>
      <c r="U3923" t="s">
        <v>14004</v>
      </c>
      <c r="V3923" t="s">
        <v>14004</v>
      </c>
      <c r="W3923" t="s">
        <v>17879</v>
      </c>
      <c r="X3923">
        <v>3</v>
      </c>
      <c r="Y3923" t="s">
        <v>24702</v>
      </c>
      <c r="Z3923" t="s">
        <v>31633</v>
      </c>
      <c r="AA3923">
        <v>0.55763917256457418</v>
      </c>
      <c r="AB3923" t="str">
        <f>HYPERLINK("Melting_Curves/meltCurve_Q53ET0_CRTC2.pdf", "Melting_Curves/meltCurve_Q53ET0_CRTC2.pdf")</f>
        <v>Melting_Curves/meltCurve_Q53ET0_CRTC2.pdf</v>
      </c>
    </row>
    <row r="3924" spans="1:28" x14ac:dyDescent="0.25">
      <c r="A3924" t="s">
        <v>3928</v>
      </c>
      <c r="B3924">
        <v>0.99999676499088797</v>
      </c>
      <c r="C3924">
        <v>0.68906600206469104</v>
      </c>
      <c r="D3924">
        <v>0.52568310345268499</v>
      </c>
      <c r="E3924">
        <v>0.32162508197606599</v>
      </c>
      <c r="F3924">
        <v>0.33977298307086901</v>
      </c>
      <c r="G3924">
        <v>0.23426777779160601</v>
      </c>
      <c r="H3924">
        <v>0.13343827655625701</v>
      </c>
      <c r="I3924">
        <v>0.12609407597684399</v>
      </c>
      <c r="J3924">
        <v>0.10553476810017499</v>
      </c>
      <c r="K3924">
        <v>8.6174789838875998E-2</v>
      </c>
      <c r="L3924">
        <v>575.56535296191305</v>
      </c>
      <c r="M3924">
        <v>12.5068392101419</v>
      </c>
      <c r="N3924">
        <v>46.938389312935698</v>
      </c>
      <c r="O3924">
        <v>44.891054499501003</v>
      </c>
      <c r="P3924">
        <v>-6.2104679617158202E-2</v>
      </c>
      <c r="Q3924">
        <v>0.108528929269244</v>
      </c>
      <c r="R3924">
        <v>0.95967421040805501</v>
      </c>
      <c r="S3924" t="s">
        <v>10927</v>
      </c>
      <c r="T3924" t="s">
        <v>14004</v>
      </c>
      <c r="U3924" t="s">
        <v>14004</v>
      </c>
      <c r="V3924" t="s">
        <v>14004</v>
      </c>
      <c r="W3924" t="s">
        <v>17880</v>
      </c>
      <c r="X3924">
        <v>5</v>
      </c>
      <c r="Y3924" t="s">
        <v>24703</v>
      </c>
      <c r="Z3924" t="s">
        <v>31634</v>
      </c>
      <c r="AA3924">
        <v>0.32487504713096438</v>
      </c>
      <c r="AB3924" t="str">
        <f>HYPERLINK("Melting_Curves/meltCurve_Q53EZ4_CEP55.pdf", "Melting_Curves/meltCurve_Q53EZ4_CEP55.pdf")</f>
        <v>Melting_Curves/meltCurve_Q53EZ4_CEP55.pdf</v>
      </c>
    </row>
    <row r="3925" spans="1:28" x14ac:dyDescent="0.25">
      <c r="A3925" t="s">
        <v>3929</v>
      </c>
      <c r="B3925">
        <v>0.99999676499088797</v>
      </c>
      <c r="C3925">
        <v>0.91191617398640601</v>
      </c>
      <c r="D3925">
        <v>0.550510831671568</v>
      </c>
      <c r="E3925">
        <v>0.32355827623519001</v>
      </c>
      <c r="F3925">
        <v>0.25247664098907602</v>
      </c>
      <c r="G3925">
        <v>0.20742607198885199</v>
      </c>
      <c r="H3925">
        <v>0.16810066146887301</v>
      </c>
      <c r="I3925">
        <v>0.18213543615688699</v>
      </c>
      <c r="J3925">
        <v>0.20881221175881901</v>
      </c>
      <c r="K3925">
        <v>0.21872801485386101</v>
      </c>
      <c r="L3925">
        <v>1215.2048256046101</v>
      </c>
      <c r="M3925">
        <v>26.536848029697399</v>
      </c>
      <c r="N3925">
        <v>46.716985668061199</v>
      </c>
      <c r="O3925">
        <v>45.535434319814101</v>
      </c>
      <c r="P3925">
        <v>-0.115949498064901</v>
      </c>
      <c r="Q3925">
        <v>0.20416249630160099</v>
      </c>
      <c r="R3925">
        <v>0.99381686825160098</v>
      </c>
      <c r="S3925" t="s">
        <v>10928</v>
      </c>
      <c r="T3925" t="s">
        <v>14004</v>
      </c>
      <c r="U3925" t="s">
        <v>14004</v>
      </c>
      <c r="V3925" t="s">
        <v>14004</v>
      </c>
      <c r="W3925" t="s">
        <v>17881</v>
      </c>
      <c r="X3925">
        <v>5</v>
      </c>
      <c r="Y3925" t="s">
        <v>24704</v>
      </c>
      <c r="Z3925" t="s">
        <v>31635</v>
      </c>
      <c r="AA3925">
        <v>0.36431668335232759</v>
      </c>
      <c r="AB3925" t="str">
        <f>HYPERLINK("Melting_Curves/meltCurve_Q53F19_C17orf85.pdf", "Melting_Curves/meltCurve_Q53F19_C17orf85.pdf")</f>
        <v>Melting_Curves/meltCurve_Q53F19_C17orf85.pdf</v>
      </c>
    </row>
    <row r="3926" spans="1:28" x14ac:dyDescent="0.25">
      <c r="A3926" t="s">
        <v>3930</v>
      </c>
      <c r="B3926">
        <v>0.99999676499088797</v>
      </c>
      <c r="C3926">
        <v>0.97972356349534195</v>
      </c>
      <c r="D3926">
        <v>0.987481732388928</v>
      </c>
      <c r="E3926">
        <v>0.88743687929357895</v>
      </c>
      <c r="F3926">
        <v>0.710728669686014</v>
      </c>
      <c r="G3926">
        <v>0.67675527684099601</v>
      </c>
      <c r="H3926">
        <v>0.45139223870202999</v>
      </c>
      <c r="I3926">
        <v>0.35214463956193398</v>
      </c>
      <c r="J3926">
        <v>0.241811566121404</v>
      </c>
      <c r="K3926">
        <v>0.206929869676754</v>
      </c>
      <c r="L3926">
        <v>590.30901465637601</v>
      </c>
      <c r="M3926">
        <v>9.8881458705866194</v>
      </c>
      <c r="N3926">
        <v>59.823898525088097</v>
      </c>
      <c r="O3926">
        <v>57.410832467391501</v>
      </c>
      <c r="P3926">
        <v>-4.2639212436064798E-2</v>
      </c>
      <c r="Q3926">
        <v>1.0245030212292399E-2</v>
      </c>
      <c r="R3926">
        <v>0.99088468853407896</v>
      </c>
      <c r="S3926" t="s">
        <v>10929</v>
      </c>
      <c r="T3926" t="s">
        <v>14004</v>
      </c>
      <c r="U3926" t="s">
        <v>14004</v>
      </c>
      <c r="V3926" t="s">
        <v>14004</v>
      </c>
      <c r="W3926" t="s">
        <v>17882</v>
      </c>
      <c r="X3926">
        <v>11</v>
      </c>
      <c r="Y3926" t="s">
        <v>24705</v>
      </c>
      <c r="Z3926" t="s">
        <v>31636</v>
      </c>
      <c r="AA3926">
        <v>0.65802281092812465</v>
      </c>
      <c r="AB3926" t="str">
        <f>HYPERLINK("Melting_Curves/meltCurve_Q53FA7_TP53I3.pdf", "Melting_Curves/meltCurve_Q53FA7_TP53I3.pdf")</f>
        <v>Melting_Curves/meltCurve_Q53FA7_TP53I3.pdf</v>
      </c>
    </row>
    <row r="3927" spans="1:28" x14ac:dyDescent="0.25">
      <c r="A3927" t="s">
        <v>3931</v>
      </c>
      <c r="B3927">
        <v>0.99999676499088797</v>
      </c>
      <c r="C3927">
        <v>0.99310754797249301</v>
      </c>
      <c r="D3927">
        <v>1.03894464348507</v>
      </c>
      <c r="E3927">
        <v>1.2568867606616601</v>
      </c>
      <c r="F3927">
        <v>1.07585991994005</v>
      </c>
      <c r="G3927">
        <v>0.56512473340404001</v>
      </c>
      <c r="H3927">
        <v>0.26226927944493</v>
      </c>
      <c r="I3927">
        <v>0.20739171969494899</v>
      </c>
      <c r="J3927">
        <v>0.177663017386678</v>
      </c>
      <c r="K3927">
        <v>0.24629956542848599</v>
      </c>
      <c r="L3927">
        <v>14186.3071799878</v>
      </c>
      <c r="M3927">
        <v>250</v>
      </c>
      <c r="N3927">
        <v>56.8799346214672</v>
      </c>
      <c r="O3927">
        <v>56.741597428562201</v>
      </c>
      <c r="P3927">
        <v>-0.85540652125497496</v>
      </c>
      <c r="Q3927">
        <v>0.22340588180891399</v>
      </c>
      <c r="R3927">
        <v>0.95348321249300805</v>
      </c>
      <c r="S3927" t="s">
        <v>10930</v>
      </c>
      <c r="T3927" t="s">
        <v>14004</v>
      </c>
      <c r="U3927" t="s">
        <v>14004</v>
      </c>
      <c r="V3927" t="s">
        <v>14004</v>
      </c>
      <c r="W3927" t="s">
        <v>17883</v>
      </c>
      <c r="X3927">
        <v>6</v>
      </c>
      <c r="Y3927" t="s">
        <v>24706</v>
      </c>
      <c r="Z3927" t="s">
        <v>31637</v>
      </c>
      <c r="AA3927">
        <v>0.65695809153807405</v>
      </c>
      <c r="AB3927" t="str">
        <f>HYPERLINK("Melting_Curves/meltCurve_Q53GQ0_HSD17B12.pdf", "Melting_Curves/meltCurve_Q53GQ0_HSD17B12.pdf")</f>
        <v>Melting_Curves/meltCurve_Q53GQ0_HSD17B12.pdf</v>
      </c>
    </row>
    <row r="3928" spans="1:28" x14ac:dyDescent="0.25">
      <c r="A3928" t="s">
        <v>3932</v>
      </c>
      <c r="B3928">
        <v>0.99999676499088797</v>
      </c>
      <c r="C3928">
        <v>0.95404051417282398</v>
      </c>
      <c r="D3928">
        <v>0.761127236277927</v>
      </c>
      <c r="E3928">
        <v>0.32059783690451599</v>
      </c>
      <c r="F3928">
        <v>0.303585240435012</v>
      </c>
      <c r="G3928">
        <v>0.20437379160500299</v>
      </c>
      <c r="H3928">
        <v>6.7847172461828698E-2</v>
      </c>
      <c r="I3928">
        <v>4.6134165262983001E-2</v>
      </c>
      <c r="J3928">
        <v>4.9712983000729502E-2</v>
      </c>
      <c r="K3928">
        <v>3.9365236402510703E-2</v>
      </c>
      <c r="L3928">
        <v>853.950502076053</v>
      </c>
      <c r="M3928">
        <v>17.6527789425827</v>
      </c>
      <c r="N3928">
        <v>48.738436962015903</v>
      </c>
      <c r="O3928">
        <v>47.766868025907101</v>
      </c>
      <c r="P3928">
        <v>-8.6695024861721703E-2</v>
      </c>
      <c r="Q3928">
        <v>6.1693526381200903E-2</v>
      </c>
      <c r="R3928">
        <v>0.97687447117252602</v>
      </c>
      <c r="S3928" t="s">
        <v>10931</v>
      </c>
      <c r="T3928" t="s">
        <v>14004</v>
      </c>
      <c r="U3928" t="s">
        <v>14004</v>
      </c>
      <c r="V3928" t="s">
        <v>14004</v>
      </c>
      <c r="W3928" t="s">
        <v>17884</v>
      </c>
      <c r="X3928">
        <v>3</v>
      </c>
      <c r="Y3928" t="s">
        <v>24707</v>
      </c>
      <c r="Z3928" t="s">
        <v>31638</v>
      </c>
      <c r="AA3928">
        <v>0.34077941389633287</v>
      </c>
      <c r="AB3928" t="str">
        <f>HYPERLINK("Melting_Curves/meltCurve_Q53GS7_2_GLE1.pdf", "Melting_Curves/meltCurve_Q53GS7_2_GLE1.pdf")</f>
        <v>Melting_Curves/meltCurve_Q53GS7_2_GLE1.pdf</v>
      </c>
    </row>
    <row r="3929" spans="1:28" x14ac:dyDescent="0.25">
      <c r="A3929" t="s">
        <v>3933</v>
      </c>
      <c r="B3929">
        <v>0.99999676499088797</v>
      </c>
      <c r="C3929">
        <v>0.995152232685522</v>
      </c>
      <c r="D3929">
        <v>1.01235092046563</v>
      </c>
      <c r="E3929">
        <v>1.2125865768719399</v>
      </c>
      <c r="F3929">
        <v>0.93598253427044398</v>
      </c>
      <c r="G3929">
        <v>0.43983224042442498</v>
      </c>
      <c r="H3929">
        <v>0.122350174419604</v>
      </c>
      <c r="I3929">
        <v>0.121899559771578</v>
      </c>
      <c r="J3929">
        <v>0.113016238410361</v>
      </c>
      <c r="K3929">
        <v>9.0806511945303897E-2</v>
      </c>
      <c r="L3929">
        <v>2786.2521400431001</v>
      </c>
      <c r="M3929">
        <v>49.5821532786698</v>
      </c>
      <c r="N3929">
        <v>56.467506199754297</v>
      </c>
      <c r="O3929">
        <v>56.103471123359199</v>
      </c>
      <c r="P3929">
        <v>-0.197406197994591</v>
      </c>
      <c r="Q3929">
        <v>0.106520181942679</v>
      </c>
      <c r="R3929">
        <v>0.97617344394514605</v>
      </c>
      <c r="S3929" t="s">
        <v>10932</v>
      </c>
      <c r="T3929" t="s">
        <v>14004</v>
      </c>
      <c r="U3929" t="s">
        <v>14004</v>
      </c>
      <c r="V3929" t="s">
        <v>14004</v>
      </c>
      <c r="W3929" t="s">
        <v>17885</v>
      </c>
      <c r="X3929">
        <v>15</v>
      </c>
      <c r="Y3929" t="s">
        <v>24708</v>
      </c>
      <c r="Z3929" t="s">
        <v>31639</v>
      </c>
      <c r="AA3929">
        <v>0.59108948533700478</v>
      </c>
      <c r="AB3929" t="str">
        <f>HYPERLINK("Melting_Curves/meltCurve_Q53H12_AGK.pdf", "Melting_Curves/meltCurve_Q53H12_AGK.pdf")</f>
        <v>Melting_Curves/meltCurve_Q53H12_AGK.pdf</v>
      </c>
    </row>
    <row r="3930" spans="1:28" x14ac:dyDescent="0.25">
      <c r="A3930" t="s">
        <v>3934</v>
      </c>
      <c r="B3930">
        <v>0.99999676499088797</v>
      </c>
      <c r="C3930">
        <v>1.0354553512856901</v>
      </c>
      <c r="D3930">
        <v>1.0157912987146001</v>
      </c>
      <c r="E3930">
        <v>0.85990110287318999</v>
      </c>
      <c r="F3930">
        <v>0.52825976909346095</v>
      </c>
      <c r="G3930">
        <v>0.26509078906511702</v>
      </c>
      <c r="H3930">
        <v>0.103614274969931</v>
      </c>
      <c r="I3930">
        <v>9.6310662091793606E-2</v>
      </c>
      <c r="J3930">
        <v>8.6249613647395501E-2</v>
      </c>
      <c r="K3930">
        <v>7.0426912885924994E-2</v>
      </c>
      <c r="L3930">
        <v>1271.46342785416</v>
      </c>
      <c r="M3930">
        <v>23.884217083863401</v>
      </c>
      <c r="N3930">
        <v>53.5967135176734</v>
      </c>
      <c r="O3930">
        <v>52.865504797089997</v>
      </c>
      <c r="P3930">
        <v>-0.104530941998054</v>
      </c>
      <c r="Q3930">
        <v>7.4536916723665497E-2</v>
      </c>
      <c r="R3930">
        <v>0.99769495841506495</v>
      </c>
      <c r="S3930" t="s">
        <v>10933</v>
      </c>
      <c r="T3930" t="s">
        <v>14004</v>
      </c>
      <c r="U3930" t="s">
        <v>14004</v>
      </c>
      <c r="V3930" t="s">
        <v>14004</v>
      </c>
      <c r="W3930" t="s">
        <v>17886</v>
      </c>
      <c r="X3930">
        <v>14</v>
      </c>
      <c r="Y3930" t="s">
        <v>24709</v>
      </c>
      <c r="Z3930" t="s">
        <v>31640</v>
      </c>
      <c r="AA3930">
        <v>0.49209026730963651</v>
      </c>
      <c r="AB3930" t="str">
        <f>HYPERLINK("Melting_Curves/meltCurve_Q53H47_SETMAR.pdf", "Melting_Curves/meltCurve_Q53H47_SETMAR.pdf")</f>
        <v>Melting_Curves/meltCurve_Q53H47_SETMAR.pdf</v>
      </c>
    </row>
    <row r="3931" spans="1:28" x14ac:dyDescent="0.25">
      <c r="A3931" t="s">
        <v>3935</v>
      </c>
      <c r="B3931">
        <v>0.99999676499088797</v>
      </c>
      <c r="C3931">
        <v>0.80329503969211202</v>
      </c>
      <c r="D3931">
        <v>0.71304728958862496</v>
      </c>
      <c r="E3931">
        <v>0.56505020859626198</v>
      </c>
      <c r="F3931">
        <v>0.41079447930042601</v>
      </c>
      <c r="G3931">
        <v>0.232376536945788</v>
      </c>
      <c r="H3931">
        <v>0.129736490670322</v>
      </c>
      <c r="I3931">
        <v>0.18953600624084699</v>
      </c>
      <c r="J3931">
        <v>0.22839338773713599</v>
      </c>
      <c r="K3931">
        <v>0.24593202543461501</v>
      </c>
      <c r="L3931">
        <v>622.99475470188304</v>
      </c>
      <c r="M3931">
        <v>12.850643921868601</v>
      </c>
      <c r="N3931">
        <v>50.075712578092798</v>
      </c>
      <c r="O3931">
        <v>47.3506801756212</v>
      </c>
      <c r="P3931">
        <v>-5.6457595655873598E-2</v>
      </c>
      <c r="Q3931">
        <v>0.16803801392295101</v>
      </c>
      <c r="R3931">
        <v>0.96706045096918802</v>
      </c>
      <c r="S3931" t="s">
        <v>10934</v>
      </c>
      <c r="T3931" t="s">
        <v>14004</v>
      </c>
      <c r="U3931" t="s">
        <v>14004</v>
      </c>
      <c r="V3931" t="s">
        <v>14004</v>
      </c>
      <c r="W3931" t="s">
        <v>17887</v>
      </c>
      <c r="X3931">
        <v>1</v>
      </c>
      <c r="Y3931" t="s">
        <v>24710</v>
      </c>
      <c r="Z3931" t="s">
        <v>31641</v>
      </c>
      <c r="AA3931">
        <v>0.43117457329101</v>
      </c>
      <c r="AB3931" t="str">
        <f>HYPERLINK("Melting_Curves/meltCurve_Q53H80_AKIRIN2.pdf", "Melting_Curves/meltCurve_Q53H80_AKIRIN2.pdf")</f>
        <v>Melting_Curves/meltCurve_Q53H80_AKIRIN2.pdf</v>
      </c>
    </row>
    <row r="3932" spans="1:28" x14ac:dyDescent="0.25">
      <c r="A3932" t="s">
        <v>3936</v>
      </c>
      <c r="B3932">
        <v>0.99999676499088797</v>
      </c>
      <c r="C3932">
        <v>0.94391431735675702</v>
      </c>
      <c r="D3932">
        <v>0.97788843209674803</v>
      </c>
      <c r="E3932">
        <v>1.00446818674732</v>
      </c>
      <c r="F3932">
        <v>1.0385871947613301</v>
      </c>
      <c r="G3932">
        <v>0.83400216801407101</v>
      </c>
      <c r="H3932">
        <v>0.51726289404221204</v>
      </c>
      <c r="I3932">
        <v>0.32097438194878802</v>
      </c>
      <c r="J3932">
        <v>0.21280600466867</v>
      </c>
      <c r="K3932">
        <v>0.17539538942856001</v>
      </c>
      <c r="L3932">
        <v>1588.5053498550501</v>
      </c>
      <c r="M3932">
        <v>26.4162414233184</v>
      </c>
      <c r="N3932">
        <v>61.051057763348702</v>
      </c>
      <c r="O3932">
        <v>59.792224443660103</v>
      </c>
      <c r="P3932">
        <v>-9.2357699823935005E-2</v>
      </c>
      <c r="Q3932">
        <v>0.163815538438535</v>
      </c>
      <c r="R3932">
        <v>0.99248820410439098</v>
      </c>
      <c r="S3932" t="s">
        <v>10935</v>
      </c>
      <c r="T3932" t="s">
        <v>14004</v>
      </c>
      <c r="U3932" t="s">
        <v>14004</v>
      </c>
      <c r="V3932" t="s">
        <v>14004</v>
      </c>
      <c r="W3932" t="s">
        <v>17888</v>
      </c>
      <c r="X3932">
        <v>14</v>
      </c>
      <c r="Y3932" t="s">
        <v>24711</v>
      </c>
      <c r="Z3932" t="s">
        <v>31642</v>
      </c>
      <c r="AA3932">
        <v>0.73079987908782296</v>
      </c>
      <c r="AB3932" t="str">
        <f>HYPERLINK("Melting_Curves/meltCurve_Q53H82_LACTB2.pdf", "Melting_Curves/meltCurve_Q53H82_LACTB2.pdf")</f>
        <v>Melting_Curves/meltCurve_Q53H82_LACTB2.pdf</v>
      </c>
    </row>
    <row r="3933" spans="1:28" x14ac:dyDescent="0.25">
      <c r="A3933" t="s">
        <v>3937</v>
      </c>
      <c r="B3933">
        <v>0.99999676499088797</v>
      </c>
      <c r="C3933">
        <v>1.0175168652015001</v>
      </c>
      <c r="D3933">
        <v>1.0119109946982601</v>
      </c>
      <c r="E3933">
        <v>0.85846273230118797</v>
      </c>
      <c r="F3933">
        <v>0.82426567959359098</v>
      </c>
      <c r="G3933">
        <v>0.68084800538978596</v>
      </c>
      <c r="H3933">
        <v>0.46749721508629299</v>
      </c>
      <c r="I3933">
        <v>0.50774243812918396</v>
      </c>
      <c r="J3933">
        <v>0.43886051716833502</v>
      </c>
      <c r="K3933">
        <v>0.262537108001345</v>
      </c>
      <c r="L3933">
        <v>608.64290466493298</v>
      </c>
      <c r="M3933">
        <v>10.287168622866201</v>
      </c>
      <c r="N3933">
        <v>62.051831791391997</v>
      </c>
      <c r="O3933">
        <v>57.060315914826298</v>
      </c>
      <c r="P3933">
        <v>-3.6516671993597802E-2</v>
      </c>
      <c r="Q3933">
        <v>0.190158560019969</v>
      </c>
      <c r="R3933">
        <v>0.96547016712828004</v>
      </c>
      <c r="S3933" t="s">
        <v>10936</v>
      </c>
      <c r="T3933" t="s">
        <v>14004</v>
      </c>
      <c r="U3933" t="s">
        <v>14004</v>
      </c>
      <c r="V3933" t="s">
        <v>14004</v>
      </c>
      <c r="W3933" t="s">
        <v>17889</v>
      </c>
      <c r="X3933">
        <v>8</v>
      </c>
      <c r="Y3933" t="s">
        <v>21862</v>
      </c>
      <c r="Z3933" t="s">
        <v>31643</v>
      </c>
      <c r="AA3933">
        <v>0.71002531576186589</v>
      </c>
      <c r="AB3933" t="str">
        <f>HYPERLINK("Melting_Curves/meltCurve_Q53H96_PYCRL.pdf", "Melting_Curves/meltCurve_Q53H96_PYCRL.pdf")</f>
        <v>Melting_Curves/meltCurve_Q53H96_PYCRL.pdf</v>
      </c>
    </row>
    <row r="3934" spans="1:28" x14ac:dyDescent="0.25">
      <c r="A3934" t="s">
        <v>3938</v>
      </c>
      <c r="B3934">
        <v>0.99999676499088797</v>
      </c>
      <c r="C3934">
        <v>0.99728517842430497</v>
      </c>
      <c r="D3934">
        <v>0.95658972398696895</v>
      </c>
      <c r="E3934">
        <v>0.86600305596530203</v>
      </c>
      <c r="F3934">
        <v>0.373793651603191</v>
      </c>
      <c r="G3934">
        <v>0.39224036175843902</v>
      </c>
      <c r="H3934">
        <v>0.144336933054873</v>
      </c>
      <c r="I3934">
        <v>0.28936705582238997</v>
      </c>
      <c r="J3934">
        <v>0.26847845289662398</v>
      </c>
      <c r="K3934">
        <v>0.40275966547818398</v>
      </c>
      <c r="L3934">
        <v>2425.9538509631102</v>
      </c>
      <c r="M3934">
        <v>47.517470153363902</v>
      </c>
      <c r="N3934">
        <v>52.0361524702544</v>
      </c>
      <c r="O3934">
        <v>50.963757221279799</v>
      </c>
      <c r="P3934">
        <v>-0.16407705401123299</v>
      </c>
      <c r="Q3934">
        <v>0.296092627664787</v>
      </c>
      <c r="R3934">
        <v>0.95702492367131797</v>
      </c>
      <c r="S3934" t="s">
        <v>10937</v>
      </c>
      <c r="T3934" t="s">
        <v>14004</v>
      </c>
      <c r="U3934" t="s">
        <v>14004</v>
      </c>
      <c r="V3934" t="s">
        <v>14004</v>
      </c>
      <c r="W3934" t="s">
        <v>17890</v>
      </c>
      <c r="X3934">
        <v>4</v>
      </c>
      <c r="Y3934" t="s">
        <v>24712</v>
      </c>
      <c r="Z3934" t="s">
        <v>31644</v>
      </c>
      <c r="AA3934">
        <v>0.55721364773973614</v>
      </c>
      <c r="AB3934" t="str">
        <f>HYPERLINK("Melting_Curves/meltCurve_Q53HL2_CDCA8.pdf", "Melting_Curves/meltCurve_Q53HL2_CDCA8.pdf")</f>
        <v>Melting_Curves/meltCurve_Q53HL2_CDCA8.pdf</v>
      </c>
    </row>
    <row r="3935" spans="1:28" x14ac:dyDescent="0.25">
      <c r="A3935" t="s">
        <v>3939</v>
      </c>
      <c r="B3935">
        <v>0.99999676499088797</v>
      </c>
      <c r="C3935">
        <v>0.95177952835679203</v>
      </c>
      <c r="D3935">
        <v>0.651688947314913</v>
      </c>
      <c r="E3935">
        <v>0.28490252500143098</v>
      </c>
      <c r="F3935">
        <v>0.17973631910364199</v>
      </c>
      <c r="G3935">
        <v>0.13538024259600101</v>
      </c>
      <c r="H3935">
        <v>6.1442635849937498E-2</v>
      </c>
      <c r="I3935">
        <v>4.8052025629282298E-2</v>
      </c>
      <c r="J3935">
        <v>3.9114960056791201E-2</v>
      </c>
      <c r="K3935">
        <v>5.49062045264656E-2</v>
      </c>
      <c r="L3935">
        <v>1056.2660033888701</v>
      </c>
      <c r="M3935">
        <v>22.364289592057101</v>
      </c>
      <c r="N3935">
        <v>47.530551635523302</v>
      </c>
      <c r="O3935">
        <v>46.8572673709605</v>
      </c>
      <c r="P3935">
        <v>-0.111456351295706</v>
      </c>
      <c r="Q3935">
        <v>6.5933966944177899E-2</v>
      </c>
      <c r="R3935">
        <v>0.99370604913551397</v>
      </c>
      <c r="S3935" t="s">
        <v>10938</v>
      </c>
      <c r="T3935" t="s">
        <v>14004</v>
      </c>
      <c r="U3935" t="s">
        <v>14004</v>
      </c>
      <c r="V3935" t="s">
        <v>14004</v>
      </c>
      <c r="W3935" t="s">
        <v>17891</v>
      </c>
      <c r="X3935">
        <v>11</v>
      </c>
      <c r="Y3935" t="s">
        <v>24713</v>
      </c>
      <c r="Z3935" t="s">
        <v>31645</v>
      </c>
      <c r="AA3935">
        <v>0.30165110861067002</v>
      </c>
      <c r="AB3935" t="str">
        <f>HYPERLINK("Melting_Curves/meltCurve_Q53QZ3_ARHGAP15.pdf", "Melting_Curves/meltCurve_Q53QZ3_ARHGAP15.pdf")</f>
        <v>Melting_Curves/meltCurve_Q53QZ3_ARHGAP15.pdf</v>
      </c>
    </row>
    <row r="3936" spans="1:28" x14ac:dyDescent="0.25">
      <c r="A3936" t="s">
        <v>3940</v>
      </c>
      <c r="B3936">
        <v>0.99999676499088797</v>
      </c>
      <c r="C3936">
        <v>0.97713272410530305</v>
      </c>
      <c r="D3936">
        <v>1.0695665707373301</v>
      </c>
      <c r="E3936">
        <v>1.13278623635814</v>
      </c>
      <c r="F3936">
        <v>0.89185055637939104</v>
      </c>
      <c r="G3936">
        <v>0.65585011094109602</v>
      </c>
      <c r="H3936">
        <v>0.318237937691915</v>
      </c>
      <c r="I3936">
        <v>0.20787751790016401</v>
      </c>
      <c r="J3936">
        <v>0.14926632509853899</v>
      </c>
      <c r="K3936">
        <v>0.156594184245992</v>
      </c>
      <c r="L3936">
        <v>1583.4793730291201</v>
      </c>
      <c r="M3936">
        <v>27.476888354503799</v>
      </c>
      <c r="N3936">
        <v>58.369624595731203</v>
      </c>
      <c r="O3936">
        <v>57.326839776842199</v>
      </c>
      <c r="P3936">
        <v>-0.102200926386049</v>
      </c>
      <c r="Q3936">
        <v>0.14709381061941701</v>
      </c>
      <c r="R3936">
        <v>0.98191633973787096</v>
      </c>
      <c r="S3936" t="s">
        <v>10939</v>
      </c>
      <c r="T3936" t="s">
        <v>14004</v>
      </c>
      <c r="U3936" t="s">
        <v>14004</v>
      </c>
      <c r="V3936" t="s">
        <v>14004</v>
      </c>
      <c r="W3936" t="s">
        <v>17892</v>
      </c>
      <c r="X3936">
        <v>6</v>
      </c>
      <c r="Y3936" t="s">
        <v>24714</v>
      </c>
      <c r="Z3936" t="s">
        <v>31646</v>
      </c>
      <c r="AA3936">
        <v>0.65482795343055333</v>
      </c>
      <c r="AB3936" t="str">
        <f>HYPERLINK("Melting_Curves/meltCurve_Q53S33_BOLA3.pdf", "Melting_Curves/meltCurve_Q53S33_BOLA3.pdf")</f>
        <v>Melting_Curves/meltCurve_Q53S33_BOLA3.pdf</v>
      </c>
    </row>
    <row r="3937" spans="1:28" x14ac:dyDescent="0.25">
      <c r="A3937" t="s">
        <v>3941</v>
      </c>
      <c r="B3937">
        <v>0.99999676499088797</v>
      </c>
      <c r="C3937">
        <v>0.95423058797354698</v>
      </c>
      <c r="D3937">
        <v>0.77622729404072</v>
      </c>
      <c r="E3937">
        <v>0.33932724030289002</v>
      </c>
      <c r="F3937">
        <v>0.23932291853582099</v>
      </c>
      <c r="G3937">
        <v>0.169708747479073</v>
      </c>
      <c r="H3937">
        <v>8.0008130069526603E-2</v>
      </c>
      <c r="I3937">
        <v>6.7162336830366903E-2</v>
      </c>
      <c r="J3937">
        <v>6.7270286525121001E-2</v>
      </c>
      <c r="K3937">
        <v>5.4482018148980398E-2</v>
      </c>
      <c r="L3937">
        <v>1042.8059525908</v>
      </c>
      <c r="M3937">
        <v>21.6728607549163</v>
      </c>
      <c r="N3937">
        <v>48.512947822831997</v>
      </c>
      <c r="O3937">
        <v>47.711725795292601</v>
      </c>
      <c r="P3937">
        <v>-0.10433134513784</v>
      </c>
      <c r="Q3937">
        <v>8.1300671271012703E-2</v>
      </c>
      <c r="R3937">
        <v>0.99101817797823299</v>
      </c>
      <c r="S3937" t="s">
        <v>10940</v>
      </c>
      <c r="T3937" t="s">
        <v>14004</v>
      </c>
      <c r="U3937" t="s">
        <v>14004</v>
      </c>
      <c r="V3937" t="s">
        <v>14004</v>
      </c>
      <c r="W3937" t="s">
        <v>17893</v>
      </c>
      <c r="X3937">
        <v>9</v>
      </c>
      <c r="Y3937" t="s">
        <v>24715</v>
      </c>
      <c r="Z3937" t="s">
        <v>31647</v>
      </c>
      <c r="AA3937">
        <v>0.34082139356242003</v>
      </c>
      <c r="AB3937" t="str">
        <f>HYPERLINK("Melting_Curves/meltCurve_Q53T59_HS1BP3.pdf", "Melting_Curves/meltCurve_Q53T59_HS1BP3.pdf")</f>
        <v>Melting_Curves/meltCurve_Q53T59_HS1BP3.pdf</v>
      </c>
    </row>
    <row r="3938" spans="1:28" x14ac:dyDescent="0.25">
      <c r="A3938" t="s">
        <v>3942</v>
      </c>
      <c r="B3938">
        <v>0.99999676499088797</v>
      </c>
      <c r="C3938">
        <v>0.98292056581443299</v>
      </c>
      <c r="D3938">
        <v>0.93696649598470005</v>
      </c>
      <c r="E3938">
        <v>0.862146051090661</v>
      </c>
      <c r="F3938">
        <v>1.00107766633284</v>
      </c>
      <c r="G3938">
        <v>0.82267653591335399</v>
      </c>
      <c r="H3938">
        <v>0.72355607680966505</v>
      </c>
      <c r="I3938">
        <v>0.81451056437027503</v>
      </c>
      <c r="J3938">
        <v>0.74599849951624497</v>
      </c>
      <c r="K3938">
        <v>0.68396489309927899</v>
      </c>
      <c r="L3938">
        <v>354.72694722560101</v>
      </c>
      <c r="M3938">
        <v>5.3414297014633902</v>
      </c>
      <c r="O3938">
        <v>58.819662326064098</v>
      </c>
      <c r="P3938">
        <v>-1.2026827460798599E-2</v>
      </c>
      <c r="Q3938">
        <v>0.47281561181819198</v>
      </c>
      <c r="R3938">
        <v>0.78740466688982902</v>
      </c>
      <c r="S3938" t="s">
        <v>10941</v>
      </c>
      <c r="T3938" t="s">
        <v>14004</v>
      </c>
      <c r="U3938" t="s">
        <v>14004</v>
      </c>
      <c r="V3938" t="s">
        <v>14004</v>
      </c>
      <c r="W3938" t="s">
        <v>17894</v>
      </c>
      <c r="X3938">
        <v>3</v>
      </c>
      <c r="Y3938" t="s">
        <v>24716</v>
      </c>
      <c r="Z3938" t="s">
        <v>31648</v>
      </c>
      <c r="AA3938">
        <v>0.85990393329025017</v>
      </c>
      <c r="AB3938" t="str">
        <f>HYPERLINK("Melting_Curves/meltCurve_Q53TN4_3_CYBRD1.pdf", "Melting_Curves/meltCurve_Q53TN4_3_CYBRD1.pdf")</f>
        <v>Melting_Curves/meltCurve_Q53TN4_3_CYBRD1.pdf</v>
      </c>
    </row>
    <row r="3939" spans="1:28" x14ac:dyDescent="0.25">
      <c r="A3939" t="s">
        <v>3943</v>
      </c>
      <c r="B3939">
        <v>0.99999676499088797</v>
      </c>
      <c r="C3939">
        <v>0.90469317516399705</v>
      </c>
      <c r="D3939">
        <v>0.785487496418807</v>
      </c>
      <c r="E3939">
        <v>0.65341552896341804</v>
      </c>
      <c r="F3939">
        <v>0.58182569947474705</v>
      </c>
      <c r="G3939">
        <v>0.301348840254277</v>
      </c>
      <c r="H3939">
        <v>0.23289325222742099</v>
      </c>
      <c r="I3939">
        <v>0.43142201250019901</v>
      </c>
      <c r="J3939">
        <v>0.55004556788632597</v>
      </c>
      <c r="K3939">
        <v>0.41930111402569997</v>
      </c>
      <c r="L3939">
        <v>811.24896533653498</v>
      </c>
      <c r="M3939">
        <v>16.8343590858825</v>
      </c>
      <c r="N3939">
        <v>52.948039791379401</v>
      </c>
      <c r="O3939">
        <v>47.525485639578598</v>
      </c>
      <c r="P3939">
        <v>-5.4035026356280103E-2</v>
      </c>
      <c r="Q3939">
        <v>0.38984904029323603</v>
      </c>
      <c r="R3939">
        <v>0.85350595299090604</v>
      </c>
      <c r="S3939" t="s">
        <v>10942</v>
      </c>
      <c r="T3939" t="s">
        <v>14004</v>
      </c>
      <c r="U3939" t="s">
        <v>14004</v>
      </c>
      <c r="V3939" t="s">
        <v>14004</v>
      </c>
      <c r="W3939" t="s">
        <v>17895</v>
      </c>
      <c r="X3939">
        <v>3</v>
      </c>
      <c r="Y3939" t="s">
        <v>24717</v>
      </c>
      <c r="Z3939" t="s">
        <v>31649</v>
      </c>
      <c r="AA3939">
        <v>0.56877607537881658</v>
      </c>
      <c r="AB3939" t="str">
        <f>HYPERLINK("Melting_Curves/meltCurve_Q562F6_2_SGOL2.pdf", "Melting_Curves/meltCurve_Q562F6_2_SGOL2.pdf")</f>
        <v>Melting_Curves/meltCurve_Q562F6_2_SGOL2.pdf</v>
      </c>
    </row>
    <row r="3940" spans="1:28" x14ac:dyDescent="0.25">
      <c r="A3940" t="s">
        <v>3944</v>
      </c>
      <c r="B3940">
        <v>0.99999676499088797</v>
      </c>
      <c r="C3940">
        <v>1.3605779864860299</v>
      </c>
      <c r="D3940">
        <v>1.0401500021921899</v>
      </c>
      <c r="E3940">
        <v>0.74480579973864303</v>
      </c>
      <c r="F3940">
        <v>0.73002294737850204</v>
      </c>
      <c r="G3940">
        <v>0.48815024626999798</v>
      </c>
      <c r="H3940">
        <v>0.28382545809938198</v>
      </c>
      <c r="I3940">
        <v>0.20889967535621601</v>
      </c>
      <c r="J3940">
        <v>0.16376973003872999</v>
      </c>
      <c r="K3940">
        <v>0.144089031466127</v>
      </c>
      <c r="L3940">
        <v>880.912366033269</v>
      </c>
      <c r="M3940">
        <v>15.894742481658801</v>
      </c>
      <c r="N3940">
        <v>56.342056527594302</v>
      </c>
      <c r="O3940">
        <v>54.566621694105002</v>
      </c>
      <c r="P3940">
        <v>-6.4500911475560294E-2</v>
      </c>
      <c r="Q3940">
        <v>0.114345240250164</v>
      </c>
      <c r="R3940">
        <v>0.90104207554966298</v>
      </c>
      <c r="S3940" t="s">
        <v>10943</v>
      </c>
      <c r="T3940" t="s">
        <v>14004</v>
      </c>
      <c r="U3940" t="s">
        <v>14004</v>
      </c>
      <c r="V3940" t="s">
        <v>14004</v>
      </c>
      <c r="W3940" t="s">
        <v>17896</v>
      </c>
      <c r="X3940">
        <v>9</v>
      </c>
      <c r="Y3940" t="s">
        <v>24718</v>
      </c>
      <c r="Z3940" t="s">
        <v>31650</v>
      </c>
      <c r="AA3940">
        <v>0.58520199742639956</v>
      </c>
      <c r="AB3940" t="str">
        <f>HYPERLINK("Melting_Curves/meltCurve_Q562R1_ACTBL2.pdf", "Melting_Curves/meltCurve_Q562R1_ACTBL2.pdf")</f>
        <v>Melting_Curves/meltCurve_Q562R1_ACTBL2.pdf</v>
      </c>
    </row>
    <row r="3941" spans="1:28" x14ac:dyDescent="0.25">
      <c r="A3941" t="s">
        <v>3945</v>
      </c>
      <c r="B3941">
        <v>0.99999676499088797</v>
      </c>
      <c r="C3941">
        <v>1.3978502383825899</v>
      </c>
      <c r="D3941">
        <v>1.4755970017011599</v>
      </c>
      <c r="E3941">
        <v>1.20076284301076</v>
      </c>
      <c r="F3941">
        <v>0.25879055235140502</v>
      </c>
      <c r="G3941">
        <v>0.21745893521460399</v>
      </c>
      <c r="H3941">
        <v>0.14346692568828601</v>
      </c>
      <c r="I3941">
        <v>0.41314282458110302</v>
      </c>
      <c r="J3941">
        <v>0.57467421862012702</v>
      </c>
      <c r="K3941">
        <v>0.61259526691475497</v>
      </c>
      <c r="L3941">
        <v>4345.0914968142497</v>
      </c>
      <c r="M3941">
        <v>84.3769445296534</v>
      </c>
      <c r="N3941">
        <v>52.314490164874996</v>
      </c>
      <c r="O3941">
        <v>51.467267634129897</v>
      </c>
      <c r="P3941">
        <v>-0.25968271242223001</v>
      </c>
      <c r="Q3941">
        <v>0.366406844056412</v>
      </c>
      <c r="R3941">
        <v>0.71947252670085404</v>
      </c>
      <c r="S3941" t="s">
        <v>10944</v>
      </c>
      <c r="T3941" t="s">
        <v>14004</v>
      </c>
      <c r="U3941" t="s">
        <v>14004</v>
      </c>
      <c r="V3941" t="s">
        <v>14004</v>
      </c>
      <c r="W3941" t="s">
        <v>17124</v>
      </c>
      <c r="X3941">
        <v>11</v>
      </c>
      <c r="Y3941" t="s">
        <v>23989</v>
      </c>
      <c r="Z3941" t="s">
        <v>31651</v>
      </c>
      <c r="AA3941">
        <v>0.60970738487460463</v>
      </c>
      <c r="AB3941" t="str">
        <f>HYPERLINK("Melting_Curves/meltCurve_Q567Q0_PPIA.pdf", "Melting_Curves/meltCurve_Q567Q0_PPIA.pdf")</f>
        <v>Melting_Curves/meltCurve_Q567Q0_PPIA.pdf</v>
      </c>
    </row>
    <row r="3942" spans="1:28" x14ac:dyDescent="0.25">
      <c r="A3942" t="s">
        <v>3946</v>
      </c>
      <c r="B3942">
        <v>0.99999676499088797</v>
      </c>
      <c r="C3942">
        <v>1.2049168372342001</v>
      </c>
      <c r="D3942">
        <v>1.09530752948935</v>
      </c>
      <c r="E3942">
        <v>1.1187430568198999</v>
      </c>
      <c r="F3942">
        <v>1.0640787628239401</v>
      </c>
      <c r="G3942">
        <v>0.76263148230703603</v>
      </c>
      <c r="H3942">
        <v>0.40978359543785298</v>
      </c>
      <c r="I3942">
        <v>0.224554170607137</v>
      </c>
      <c r="J3942">
        <v>0.162244329692246</v>
      </c>
      <c r="K3942">
        <v>0.15524389266307201</v>
      </c>
      <c r="L3942">
        <v>1835.81588085111</v>
      </c>
      <c r="M3942">
        <v>31.127649251771899</v>
      </c>
      <c r="N3942">
        <v>59.671724533128099</v>
      </c>
      <c r="O3942">
        <v>58.735210050946598</v>
      </c>
      <c r="P3942">
        <v>-0.112353956026091</v>
      </c>
      <c r="Q3942">
        <v>0.15199563475921901</v>
      </c>
      <c r="R3942">
        <v>0.95526862165719095</v>
      </c>
      <c r="S3942" t="s">
        <v>10945</v>
      </c>
      <c r="T3942" t="s">
        <v>14004</v>
      </c>
      <c r="U3942" t="s">
        <v>14004</v>
      </c>
      <c r="V3942" t="s">
        <v>14004</v>
      </c>
      <c r="W3942" t="s">
        <v>17897</v>
      </c>
      <c r="X3942">
        <v>4</v>
      </c>
      <c r="Y3942" t="s">
        <v>24719</v>
      </c>
      <c r="Z3942" t="s">
        <v>31652</v>
      </c>
      <c r="AA3942">
        <v>0.69355196456472268</v>
      </c>
      <c r="AB3942" t="str">
        <f>HYPERLINK("Melting_Curves/meltCurve_Q567V2_2_MPV17L2.pdf", "Melting_Curves/meltCurve_Q567V2_2_MPV17L2.pdf")</f>
        <v>Melting_Curves/meltCurve_Q567V2_2_MPV17L2.pdf</v>
      </c>
    </row>
    <row r="3943" spans="1:28" x14ac:dyDescent="0.25">
      <c r="A3943" t="s">
        <v>3947</v>
      </c>
      <c r="B3943">
        <v>0.99999676499088797</v>
      </c>
      <c r="C3943">
        <v>0.98389437630537702</v>
      </c>
      <c r="D3943">
        <v>1.0159936581465401</v>
      </c>
      <c r="E3943">
        <v>1.0046883725342399</v>
      </c>
      <c r="F3943">
        <v>0.86257345579915401</v>
      </c>
      <c r="G3943">
        <v>0.88180791105531497</v>
      </c>
      <c r="H3943">
        <v>0.63556053889146102</v>
      </c>
      <c r="I3943">
        <v>0.73477485702760903</v>
      </c>
      <c r="J3943">
        <v>0.69440179085227505</v>
      </c>
      <c r="K3943">
        <v>0.755491814957439</v>
      </c>
      <c r="L3943">
        <v>1315.23945709284</v>
      </c>
      <c r="M3943">
        <v>23.8321404311789</v>
      </c>
      <c r="O3943">
        <v>54.803468227077701</v>
      </c>
      <c r="P3943">
        <v>-3.2045978273150297E-2</v>
      </c>
      <c r="Q3943">
        <v>0.70523801156625798</v>
      </c>
      <c r="R3943">
        <v>0.87830607070030298</v>
      </c>
      <c r="S3943" t="s">
        <v>10946</v>
      </c>
      <c r="T3943" t="s">
        <v>14004</v>
      </c>
      <c r="U3943" t="s">
        <v>14004</v>
      </c>
      <c r="V3943" t="s">
        <v>14004</v>
      </c>
      <c r="W3943" t="s">
        <v>17898</v>
      </c>
      <c r="X3943">
        <v>11</v>
      </c>
      <c r="Y3943" t="s">
        <v>24720</v>
      </c>
      <c r="Z3943" t="s">
        <v>31653</v>
      </c>
      <c r="AA3943">
        <v>0.85742003648967591</v>
      </c>
      <c r="AB3943" t="str">
        <f>HYPERLINK("Melting_Curves/meltCurve_Q56VL3_OCIAD2.pdf", "Melting_Curves/meltCurve_Q56VL3_OCIAD2.pdf")</f>
        <v>Melting_Curves/meltCurve_Q56VL3_OCIAD2.pdf</v>
      </c>
    </row>
    <row r="3944" spans="1:28" x14ac:dyDescent="0.25">
      <c r="A3944" t="s">
        <v>3948</v>
      </c>
      <c r="B3944">
        <v>0.99999676499088797</v>
      </c>
      <c r="C3944">
        <v>0.97272857256368295</v>
      </c>
      <c r="D3944">
        <v>0.99643656149578097</v>
      </c>
      <c r="E3944">
        <v>0.99836790165484701</v>
      </c>
      <c r="F3944">
        <v>0.96653009216312102</v>
      </c>
      <c r="G3944">
        <v>0.90942256354006101</v>
      </c>
      <c r="H3944">
        <v>0.73918941999408405</v>
      </c>
      <c r="I3944">
        <v>0.82167996950349498</v>
      </c>
      <c r="J3944">
        <v>0.77403184605339004</v>
      </c>
      <c r="K3944">
        <v>0.85514784789322396</v>
      </c>
      <c r="L3944">
        <v>14212.0127439961</v>
      </c>
      <c r="M3944">
        <v>250</v>
      </c>
      <c r="O3944">
        <v>56.844412915018303</v>
      </c>
      <c r="P3944">
        <v>-0.22263371967755799</v>
      </c>
      <c r="Q3944">
        <v>0.79751227021498805</v>
      </c>
      <c r="R3944">
        <v>0.89001585802900696</v>
      </c>
      <c r="S3944" t="s">
        <v>10947</v>
      </c>
      <c r="T3944" t="s">
        <v>14004</v>
      </c>
      <c r="U3944" t="s">
        <v>14004</v>
      </c>
      <c r="V3944" t="s">
        <v>14004</v>
      </c>
      <c r="W3944" t="s">
        <v>17899</v>
      </c>
      <c r="X3944">
        <v>4</v>
      </c>
      <c r="Y3944" t="s">
        <v>24721</v>
      </c>
      <c r="Z3944" t="s">
        <v>31654</v>
      </c>
      <c r="AA3944">
        <v>0.91124992501268198</v>
      </c>
      <c r="AB3944" t="str">
        <f>HYPERLINK("Melting_Curves/meltCurve_Q587I9_SFT2D3.pdf", "Melting_Curves/meltCurve_Q587I9_SFT2D3.pdf")</f>
        <v>Melting_Curves/meltCurve_Q587I9_SFT2D3.pdf</v>
      </c>
    </row>
    <row r="3945" spans="1:28" x14ac:dyDescent="0.25">
      <c r="A3945" t="s">
        <v>3949</v>
      </c>
      <c r="B3945">
        <v>0.99999676499088797</v>
      </c>
      <c r="C3945">
        <v>1.06478920527701</v>
      </c>
      <c r="D3945">
        <v>0.86544176703472198</v>
      </c>
      <c r="E3945">
        <v>0.63745750329435802</v>
      </c>
      <c r="F3945">
        <v>0.66049969758920901</v>
      </c>
      <c r="G3945">
        <v>0.32356672943227099</v>
      </c>
      <c r="H3945">
        <v>0.170688390467894</v>
      </c>
      <c r="I3945">
        <v>0.13702613648481701</v>
      </c>
      <c r="J3945">
        <v>0.16488111219552901</v>
      </c>
      <c r="K3945">
        <v>0.11539471420632499</v>
      </c>
      <c r="L3945">
        <v>700.99489160516305</v>
      </c>
      <c r="M3945">
        <v>13.1750472369263</v>
      </c>
      <c r="N3945">
        <v>53.809372331585401</v>
      </c>
      <c r="O3945">
        <v>52.025273977534702</v>
      </c>
      <c r="P3945">
        <v>-5.8974851953153697E-2</v>
      </c>
      <c r="Q3945">
        <v>6.8642923079491505E-2</v>
      </c>
      <c r="R3945">
        <v>0.96596721095112204</v>
      </c>
      <c r="S3945" t="s">
        <v>10948</v>
      </c>
      <c r="T3945" t="s">
        <v>14004</v>
      </c>
      <c r="U3945" t="s">
        <v>14004</v>
      </c>
      <c r="V3945" t="s">
        <v>14004</v>
      </c>
      <c r="W3945" t="s">
        <v>17900</v>
      </c>
      <c r="X3945">
        <v>1</v>
      </c>
      <c r="Y3945" t="s">
        <v>24722</v>
      </c>
      <c r="Z3945" t="s">
        <v>31655</v>
      </c>
      <c r="AA3945">
        <v>0.50208669351959823</v>
      </c>
      <c r="AB3945" t="str">
        <f>HYPERLINK("Melting_Curves/meltCurve_Q587J8_KHDC3L.pdf", "Melting_Curves/meltCurve_Q587J8_KHDC3L.pdf")</f>
        <v>Melting_Curves/meltCurve_Q587J8_KHDC3L.pdf</v>
      </c>
    </row>
    <row r="3946" spans="1:28" x14ac:dyDescent="0.25">
      <c r="A3946" t="s">
        <v>3950</v>
      </c>
      <c r="B3946">
        <v>0.99999676499088797</v>
      </c>
      <c r="C3946">
        <v>0.90275070987421202</v>
      </c>
      <c r="D3946">
        <v>0.71634410829509498</v>
      </c>
      <c r="E3946">
        <v>0.30315675711750401</v>
      </c>
      <c r="F3946">
        <v>0.110256797752029</v>
      </c>
      <c r="G3946">
        <v>6.4581810233315898E-2</v>
      </c>
      <c r="H3946">
        <v>3.2635086024508202E-2</v>
      </c>
      <c r="I3946">
        <v>1.14603088632475E-2</v>
      </c>
      <c r="J3946">
        <v>6.80058969718362E-3</v>
      </c>
      <c r="K3946">
        <v>1.17561928137913E-2</v>
      </c>
      <c r="L3946">
        <v>1045.82237900821</v>
      </c>
      <c r="M3946">
        <v>21.907644040234299</v>
      </c>
      <c r="N3946">
        <v>47.806571031366403</v>
      </c>
      <c r="O3946">
        <v>47.345357552232898</v>
      </c>
      <c r="P3946">
        <v>-0.11388772208060299</v>
      </c>
      <c r="Q3946">
        <v>1.5515655189210199E-2</v>
      </c>
      <c r="R3946">
        <v>0.99882158401297005</v>
      </c>
      <c r="S3946" t="s">
        <v>10949</v>
      </c>
      <c r="T3946" t="s">
        <v>14004</v>
      </c>
      <c r="U3946" t="s">
        <v>14004</v>
      </c>
      <c r="V3946" t="s">
        <v>14004</v>
      </c>
      <c r="W3946" t="s">
        <v>17901</v>
      </c>
      <c r="X3946">
        <v>2</v>
      </c>
      <c r="Y3946" t="s">
        <v>24723</v>
      </c>
      <c r="Z3946" t="s">
        <v>31656</v>
      </c>
      <c r="AA3946">
        <v>0.2810107047362953</v>
      </c>
      <c r="AB3946" t="str">
        <f>HYPERLINK("Melting_Curves/meltCurve_Q58A45_PAN3.pdf", "Melting_Curves/meltCurve_Q58A45_PAN3.pdf")</f>
        <v>Melting_Curves/meltCurve_Q58A45_PAN3.pdf</v>
      </c>
    </row>
    <row r="3947" spans="1:28" x14ac:dyDescent="0.25">
      <c r="A3947" t="s">
        <v>3951</v>
      </c>
      <c r="B3947">
        <v>0.99999676499088797</v>
      </c>
      <c r="C3947">
        <v>0.82255828801201902</v>
      </c>
      <c r="D3947">
        <v>0.73293909469693697</v>
      </c>
      <c r="E3947">
        <v>0.53021347302648902</v>
      </c>
      <c r="F3947">
        <v>0.26798812795904298</v>
      </c>
      <c r="G3947">
        <v>0.20430440546110501</v>
      </c>
      <c r="H3947">
        <v>9.2074849344325901E-2</v>
      </c>
      <c r="I3947">
        <v>0.12340782867602</v>
      </c>
      <c r="J3947">
        <v>9.8173479602032196E-2</v>
      </c>
      <c r="K3947">
        <v>0.113814761732714</v>
      </c>
      <c r="L3947">
        <v>677.34045405849099</v>
      </c>
      <c r="M3947">
        <v>13.865340405626901</v>
      </c>
      <c r="N3947">
        <v>49.446577262859599</v>
      </c>
      <c r="O3947">
        <v>47.868827399534503</v>
      </c>
      <c r="P3947">
        <v>-6.6856553629322801E-2</v>
      </c>
      <c r="Q3947">
        <v>7.6862475742503503E-2</v>
      </c>
      <c r="R3947">
        <v>0.99005114059393995</v>
      </c>
      <c r="S3947" t="s">
        <v>10950</v>
      </c>
      <c r="T3947" t="s">
        <v>14004</v>
      </c>
      <c r="U3947" t="s">
        <v>14004</v>
      </c>
      <c r="V3947" t="s">
        <v>14004</v>
      </c>
      <c r="W3947" t="s">
        <v>17902</v>
      </c>
      <c r="X3947">
        <v>19</v>
      </c>
      <c r="Y3947" t="s">
        <v>24724</v>
      </c>
      <c r="Z3947" t="s">
        <v>31657</v>
      </c>
      <c r="AA3947">
        <v>0.37576025109761613</v>
      </c>
      <c r="AB3947" t="str">
        <f>HYPERLINK("Melting_Curves/meltCurve_Q58FF8_HSP90AB2P.pdf", "Melting_Curves/meltCurve_Q58FF8_HSP90AB2P.pdf")</f>
        <v>Melting_Curves/meltCurve_Q58FF8_HSP90AB2P.pdf</v>
      </c>
    </row>
    <row r="3948" spans="1:28" x14ac:dyDescent="0.25">
      <c r="A3948" t="s">
        <v>3952</v>
      </c>
      <c r="B3948">
        <v>0.99999676499088797</v>
      </c>
      <c r="C3948">
        <v>1.01773919525214</v>
      </c>
      <c r="D3948">
        <v>0.81813620490513606</v>
      </c>
      <c r="E3948">
        <v>0.59821044231097698</v>
      </c>
      <c r="F3948">
        <v>0.27236055965824901</v>
      </c>
      <c r="G3948">
        <v>0.116156427509856</v>
      </c>
      <c r="H3948">
        <v>5.9530541016263101E-2</v>
      </c>
      <c r="I3948">
        <v>6.3050679287858305E-2</v>
      </c>
      <c r="J3948">
        <v>8.9900982009410504E-2</v>
      </c>
      <c r="K3948">
        <v>8.2139263347385E-2</v>
      </c>
      <c r="L3948">
        <v>1036.7183403782401</v>
      </c>
      <c r="M3948">
        <v>20.723266064981701</v>
      </c>
      <c r="N3948">
        <v>50.342975659996</v>
      </c>
      <c r="O3948">
        <v>49.567914533407098</v>
      </c>
      <c r="P3948">
        <v>-9.8144350768172794E-2</v>
      </c>
      <c r="Q3948">
        <v>6.1021573111484297E-2</v>
      </c>
      <c r="R3948">
        <v>0.99502678275783796</v>
      </c>
      <c r="S3948" t="s">
        <v>10951</v>
      </c>
      <c r="T3948" t="s">
        <v>14004</v>
      </c>
      <c r="U3948" t="s">
        <v>14004</v>
      </c>
      <c r="V3948" t="s">
        <v>14004</v>
      </c>
      <c r="W3948" t="s">
        <v>17903</v>
      </c>
      <c r="X3948">
        <v>5</v>
      </c>
      <c r="Y3948" t="s">
        <v>24725</v>
      </c>
      <c r="Z3948" t="s">
        <v>31658</v>
      </c>
      <c r="AA3948">
        <v>0.38704590480520001</v>
      </c>
      <c r="AB3948" t="str">
        <f>HYPERLINK("Melting_Curves/meltCurve_Q58FG1_HSP90AA4P.pdf", "Melting_Curves/meltCurve_Q58FG1_HSP90AA4P.pdf")</f>
        <v>Melting_Curves/meltCurve_Q58FG1_HSP90AA4P.pdf</v>
      </c>
    </row>
    <row r="3949" spans="1:28" x14ac:dyDescent="0.25">
      <c r="A3949" t="s">
        <v>3953</v>
      </c>
      <c r="B3949">
        <v>0.99999676499088797</v>
      </c>
      <c r="C3949">
        <v>0.97084709554216098</v>
      </c>
      <c r="D3949">
        <v>1.00053584848744</v>
      </c>
      <c r="E3949">
        <v>0.86008734676466503</v>
      </c>
      <c r="F3949">
        <v>0.62685131298341201</v>
      </c>
      <c r="G3949">
        <v>0.51166769905913001</v>
      </c>
      <c r="H3949">
        <v>0.249500354544928</v>
      </c>
      <c r="I3949">
        <v>0.229453730797194</v>
      </c>
      <c r="J3949">
        <v>0.180374385305587</v>
      </c>
      <c r="K3949">
        <v>0.160688734568565</v>
      </c>
      <c r="L3949">
        <v>842.57524009035001</v>
      </c>
      <c r="M3949">
        <v>15.3443947662435</v>
      </c>
      <c r="N3949">
        <v>56.0009799594893</v>
      </c>
      <c r="O3949">
        <v>54.003664505361499</v>
      </c>
      <c r="P3949">
        <v>-6.1869518521755103E-2</v>
      </c>
      <c r="Q3949">
        <v>0.12909651136474301</v>
      </c>
      <c r="R3949">
        <v>0.99232666028422201</v>
      </c>
      <c r="S3949" t="s">
        <v>10952</v>
      </c>
      <c r="T3949" t="s">
        <v>14004</v>
      </c>
      <c r="U3949" t="s">
        <v>14004</v>
      </c>
      <c r="V3949" t="s">
        <v>14004</v>
      </c>
      <c r="W3949" t="s">
        <v>17904</v>
      </c>
      <c r="X3949">
        <v>2</v>
      </c>
      <c r="Y3949" t="s">
        <v>24726</v>
      </c>
      <c r="Z3949" t="s">
        <v>31659</v>
      </c>
      <c r="AA3949">
        <v>0.57844585037528995</v>
      </c>
      <c r="AB3949" t="str">
        <f>HYPERLINK("Melting_Curves/meltCurve_Q59GN2_RPL39P5.pdf", "Melting_Curves/meltCurve_Q59GN2_RPL39P5.pdf")</f>
        <v>Melting_Curves/meltCurve_Q59GN2_RPL39P5.pdf</v>
      </c>
    </row>
    <row r="3950" spans="1:28" x14ac:dyDescent="0.25">
      <c r="A3950" t="s">
        <v>3954</v>
      </c>
      <c r="B3950">
        <v>0.99999676499088797</v>
      </c>
      <c r="C3950">
        <v>0.85881085184969197</v>
      </c>
      <c r="D3950">
        <v>0.90976684102671201</v>
      </c>
      <c r="E3950">
        <v>0.869282343896014</v>
      </c>
      <c r="F3950">
        <v>0.87903018735716498</v>
      </c>
      <c r="G3950">
        <v>1.09611911037819</v>
      </c>
      <c r="H3950">
        <v>1.0451135964946301</v>
      </c>
      <c r="I3950">
        <v>0.49990181397857902</v>
      </c>
      <c r="J3950">
        <v>0.44368140663300099</v>
      </c>
      <c r="K3950">
        <v>1.6596480604555199</v>
      </c>
      <c r="L3950">
        <v>15000</v>
      </c>
      <c r="M3950">
        <v>218.30411221701101</v>
      </c>
      <c r="O3950">
        <v>68.7057199315622</v>
      </c>
      <c r="P3950">
        <v>0.39717237749129702</v>
      </c>
      <c r="Q3950">
        <v>1.5</v>
      </c>
      <c r="R3950">
        <v>0.34537758742946401</v>
      </c>
      <c r="S3950" t="s">
        <v>10953</v>
      </c>
      <c r="T3950" t="s">
        <v>14004</v>
      </c>
      <c r="U3950" t="s">
        <v>14004</v>
      </c>
      <c r="V3950" t="s">
        <v>14004</v>
      </c>
      <c r="W3950" t="s">
        <v>17905</v>
      </c>
      <c r="X3950">
        <v>1</v>
      </c>
      <c r="Y3950" t="s">
        <v>24727</v>
      </c>
      <c r="Z3950" t="s">
        <v>31660</v>
      </c>
      <c r="AA3950">
        <v>1.021494104495325</v>
      </c>
      <c r="AB3950" t="str">
        <f>HYPERLINK("Melting_Curves/meltCurve_Q5BJF2_TMEM97.pdf", "Melting_Curves/meltCurve_Q5BJF2_TMEM97.pdf")</f>
        <v>Melting_Curves/meltCurve_Q5BJF2_TMEM97.pdf</v>
      </c>
    </row>
    <row r="3951" spans="1:28" x14ac:dyDescent="0.25">
      <c r="A3951" t="s">
        <v>3955</v>
      </c>
      <c r="B3951">
        <v>0.99999676499088797</v>
      </c>
      <c r="C3951">
        <v>1.0054296487697401</v>
      </c>
      <c r="D3951">
        <v>0.98766930602498404</v>
      </c>
      <c r="E3951">
        <v>0.86321110217160502</v>
      </c>
      <c r="F3951">
        <v>0.48762715272662199</v>
      </c>
      <c r="G3951">
        <v>0.43448271153222801</v>
      </c>
      <c r="H3951">
        <v>0.245372451156849</v>
      </c>
      <c r="I3951">
        <v>0.18661736009163299</v>
      </c>
      <c r="J3951">
        <v>0.17748538812643899</v>
      </c>
      <c r="K3951">
        <v>0.15117115753003901</v>
      </c>
      <c r="L3951">
        <v>974.02593502094101</v>
      </c>
      <c r="M3951">
        <v>18.323833746504398</v>
      </c>
      <c r="N3951">
        <v>54.306827173495002</v>
      </c>
      <c r="O3951">
        <v>52.535263817849703</v>
      </c>
      <c r="P3951">
        <v>-7.3173784992455304E-2</v>
      </c>
      <c r="Q3951">
        <v>0.160868319430266</v>
      </c>
      <c r="R3951">
        <v>0.98596724231775301</v>
      </c>
      <c r="S3951" t="s">
        <v>10954</v>
      </c>
      <c r="T3951" t="s">
        <v>14004</v>
      </c>
      <c r="U3951" t="s">
        <v>14004</v>
      </c>
      <c r="V3951" t="s">
        <v>14004</v>
      </c>
      <c r="W3951" t="s">
        <v>17906</v>
      </c>
      <c r="X3951">
        <v>2</v>
      </c>
      <c r="Y3951" t="s">
        <v>24728</v>
      </c>
      <c r="Z3951" t="s">
        <v>31661</v>
      </c>
      <c r="AA3951">
        <v>0.54217605964333637</v>
      </c>
      <c r="AB3951" t="str">
        <f>HYPERLINK("Melting_Curves/meltCurve_Q5BKU9_OXLD1.pdf", "Melting_Curves/meltCurve_Q5BKU9_OXLD1.pdf")</f>
        <v>Melting_Curves/meltCurve_Q5BKU9_OXLD1.pdf</v>
      </c>
    </row>
    <row r="3952" spans="1:28" x14ac:dyDescent="0.25">
      <c r="A3952" t="s">
        <v>3956</v>
      </c>
      <c r="B3952">
        <v>0.99999676499088797</v>
      </c>
      <c r="C3952">
        <v>0.97166974854255606</v>
      </c>
      <c r="D3952">
        <v>0.811539851279798</v>
      </c>
      <c r="E3952">
        <v>0.45114195409813102</v>
      </c>
      <c r="F3952">
        <v>0.15387393987981199</v>
      </c>
      <c r="G3952">
        <v>7.7100322125318102E-2</v>
      </c>
      <c r="H3952">
        <v>3.9629305830152103E-2</v>
      </c>
      <c r="I3952">
        <v>4.0345941759381498E-2</v>
      </c>
      <c r="J3952">
        <v>5.7096254596739698E-2</v>
      </c>
      <c r="K3952">
        <v>4.7776246138985803E-2</v>
      </c>
      <c r="L3952">
        <v>1154.83554627894</v>
      </c>
      <c r="M3952">
        <v>23.623043913371198</v>
      </c>
      <c r="N3952">
        <v>49.066177445327803</v>
      </c>
      <c r="O3952">
        <v>48.539707556658499</v>
      </c>
      <c r="P3952">
        <v>-0.116615214265399</v>
      </c>
      <c r="Q3952">
        <v>4.1550783058302898E-2</v>
      </c>
      <c r="R3952">
        <v>0.99947531179050997</v>
      </c>
      <c r="S3952" t="s">
        <v>10955</v>
      </c>
      <c r="T3952" t="s">
        <v>14004</v>
      </c>
      <c r="U3952" t="s">
        <v>14004</v>
      </c>
      <c r="V3952" t="s">
        <v>14004</v>
      </c>
      <c r="W3952" t="s">
        <v>17907</v>
      </c>
      <c r="X3952">
        <v>6</v>
      </c>
      <c r="Y3952" t="s">
        <v>24729</v>
      </c>
      <c r="Z3952" t="s">
        <v>31662</v>
      </c>
      <c r="AA3952">
        <v>0.33498444735421568</v>
      </c>
      <c r="AB3952" t="str">
        <f>HYPERLINK("Melting_Curves/meltCurve_Q5BKX5_C19orf54.pdf", "Melting_Curves/meltCurve_Q5BKX5_C19orf54.pdf")</f>
        <v>Melting_Curves/meltCurve_Q5BKX5_C19orf54.pdf</v>
      </c>
    </row>
    <row r="3953" spans="1:28" x14ac:dyDescent="0.25">
      <c r="A3953" t="s">
        <v>3957</v>
      </c>
      <c r="B3953">
        <v>0.99999676499088797</v>
      </c>
      <c r="C3953">
        <v>1.0791621351688601</v>
      </c>
      <c r="D3953">
        <v>0.95898774069735304</v>
      </c>
      <c r="E3953">
        <v>0.53068848215179898</v>
      </c>
      <c r="F3953">
        <v>0.45460123878307002</v>
      </c>
      <c r="G3953">
        <v>0.36777782397772402</v>
      </c>
      <c r="H3953">
        <v>0.433471824330667</v>
      </c>
      <c r="I3953">
        <v>0.69878891483864902</v>
      </c>
      <c r="J3953">
        <v>0.81988793405278004</v>
      </c>
      <c r="K3953">
        <v>0.81925331165513604</v>
      </c>
      <c r="L3953">
        <v>11601.155364595001</v>
      </c>
      <c r="M3953">
        <v>250</v>
      </c>
      <c r="O3953">
        <v>46.401651912497698</v>
      </c>
      <c r="P3953">
        <v>-0.55330744614861604</v>
      </c>
      <c r="Q3953">
        <v>0.589209928585673</v>
      </c>
      <c r="R3953">
        <v>0.63281998209906498</v>
      </c>
      <c r="S3953" t="s">
        <v>10956</v>
      </c>
      <c r="T3953" t="s">
        <v>14004</v>
      </c>
      <c r="U3953" t="s">
        <v>14004</v>
      </c>
      <c r="V3953" t="s">
        <v>14004</v>
      </c>
      <c r="W3953" t="s">
        <v>17908</v>
      </c>
      <c r="X3953">
        <v>4</v>
      </c>
      <c r="Y3953" t="s">
        <v>24730</v>
      </c>
      <c r="Z3953" t="s">
        <v>31663</v>
      </c>
      <c r="AA3953">
        <v>0.67694187995374355</v>
      </c>
      <c r="AB3953" t="str">
        <f>HYPERLINK("Melting_Curves/meltCurve_Q5BKZ1_ZNF326.pdf", "Melting_Curves/meltCurve_Q5BKZ1_ZNF326.pdf")</f>
        <v>Melting_Curves/meltCurve_Q5BKZ1_ZNF326.pdf</v>
      </c>
    </row>
    <row r="3954" spans="1:28" x14ac:dyDescent="0.25">
      <c r="A3954" t="s">
        <v>3958</v>
      </c>
      <c r="B3954">
        <v>0.99999676499088797</v>
      </c>
      <c r="C3954">
        <v>1.12808045936752</v>
      </c>
      <c r="D3954">
        <v>1.1703288494870301</v>
      </c>
      <c r="E3954">
        <v>1.1148472243066501</v>
      </c>
      <c r="F3954">
        <v>1.08235174682847</v>
      </c>
      <c r="G3954">
        <v>0.94612515886104198</v>
      </c>
      <c r="H3954">
        <v>0.60241352360413003</v>
      </c>
      <c r="I3954">
        <v>0.42864427693957902</v>
      </c>
      <c r="J3954">
        <v>0.39904494793209599</v>
      </c>
      <c r="K3954">
        <v>0.24734255368422001</v>
      </c>
      <c r="L3954">
        <v>2016.36348015819</v>
      </c>
      <c r="M3954">
        <v>33.313770210232001</v>
      </c>
      <c r="N3954">
        <v>62.331766736853702</v>
      </c>
      <c r="O3954">
        <v>60.309584822524897</v>
      </c>
      <c r="P3954">
        <v>-9.5356895709928099E-2</v>
      </c>
      <c r="Q3954">
        <v>0.30948561534462199</v>
      </c>
      <c r="R3954">
        <v>0.93157828391785102</v>
      </c>
      <c r="S3954" t="s">
        <v>10957</v>
      </c>
      <c r="T3954" t="s">
        <v>14004</v>
      </c>
      <c r="U3954" t="s">
        <v>14004</v>
      </c>
      <c r="V3954" t="s">
        <v>14004</v>
      </c>
      <c r="W3954" t="s">
        <v>17909</v>
      </c>
      <c r="X3954">
        <v>1</v>
      </c>
      <c r="Y3954" t="s">
        <v>24731</v>
      </c>
      <c r="Z3954" t="s">
        <v>31664</v>
      </c>
      <c r="AA3954">
        <v>0.78546755350227593</v>
      </c>
      <c r="AB3954" t="str">
        <f>HYPERLINK("Melting_Curves/meltCurve_Q5CZ79_ANKRD20A8P.pdf", "Melting_Curves/meltCurve_Q5CZ79_ANKRD20A8P.pdf")</f>
        <v>Melting_Curves/meltCurve_Q5CZ79_ANKRD20A8P.pdf</v>
      </c>
    </row>
    <row r="3955" spans="1:28" x14ac:dyDescent="0.25">
      <c r="A3955" t="s">
        <v>3959</v>
      </c>
      <c r="B3955">
        <v>0.99999676499088797</v>
      </c>
      <c r="C3955">
        <v>0.98955631959170698</v>
      </c>
      <c r="D3955">
        <v>0.72333947473897897</v>
      </c>
      <c r="E3955">
        <v>0.34464356257829099</v>
      </c>
      <c r="F3955">
        <v>0.22148439195750499</v>
      </c>
      <c r="G3955">
        <v>0.133063559606452</v>
      </c>
      <c r="H3955">
        <v>7.4295316127813593E-2</v>
      </c>
      <c r="I3955">
        <v>0.10481758648855601</v>
      </c>
      <c r="J3955">
        <v>5.4875073865676499E-2</v>
      </c>
      <c r="K3955">
        <v>3.7318178254585103E-2</v>
      </c>
      <c r="L3955">
        <v>1052.9000741791599</v>
      </c>
      <c r="M3955">
        <v>21.972466823530102</v>
      </c>
      <c r="N3955">
        <v>48.287272911280397</v>
      </c>
      <c r="O3955">
        <v>47.527443472102597</v>
      </c>
      <c r="P3955">
        <v>-0.10666589579303901</v>
      </c>
      <c r="Q3955">
        <v>7.7128000328930704E-2</v>
      </c>
      <c r="R3955">
        <v>0.99225158518730106</v>
      </c>
      <c r="S3955" t="s">
        <v>10958</v>
      </c>
      <c r="T3955" t="s">
        <v>14004</v>
      </c>
      <c r="U3955" t="s">
        <v>14004</v>
      </c>
      <c r="V3955" t="s">
        <v>14004</v>
      </c>
      <c r="W3955" t="s">
        <v>17910</v>
      </c>
      <c r="X3955">
        <v>2</v>
      </c>
      <c r="Y3955" t="s">
        <v>24732</v>
      </c>
      <c r="Z3955" t="s">
        <v>31665</v>
      </c>
      <c r="AA3955">
        <v>0.33148593376373708</v>
      </c>
      <c r="AB3955" t="str">
        <f>HYPERLINK("Melting_Curves/meltCurve_Q5D1E8_ZC3H12A.pdf", "Melting_Curves/meltCurve_Q5D1E8_ZC3H12A.pdf")</f>
        <v>Melting_Curves/meltCurve_Q5D1E8_ZC3H12A.pdf</v>
      </c>
    </row>
    <row r="3956" spans="1:28" x14ac:dyDescent="0.25">
      <c r="A3956" t="s">
        <v>3960</v>
      </c>
      <c r="B3956">
        <v>0.99999676499088797</v>
      </c>
      <c r="C3956">
        <v>0.90425182644823199</v>
      </c>
      <c r="D3956">
        <v>0.83751027022289204</v>
      </c>
      <c r="E3956">
        <v>0.49558708133613699</v>
      </c>
      <c r="F3956">
        <v>0.326400385687874</v>
      </c>
      <c r="G3956">
        <v>0.23677718108304599</v>
      </c>
      <c r="H3956">
        <v>0.13692044903591</v>
      </c>
      <c r="I3956">
        <v>0.148161485093876</v>
      </c>
      <c r="J3956">
        <v>0.151419093666878</v>
      </c>
      <c r="K3956">
        <v>0.16196384716117801</v>
      </c>
      <c r="L3956">
        <v>885.07435401590999</v>
      </c>
      <c r="M3956">
        <v>18.053071319406801</v>
      </c>
      <c r="N3956">
        <v>49.967474059079798</v>
      </c>
      <c r="O3956">
        <v>48.436572182211798</v>
      </c>
      <c r="P3956">
        <v>-7.9752342194239295E-2</v>
      </c>
      <c r="Q3956">
        <v>0.14413652891700501</v>
      </c>
      <c r="R3956">
        <v>0.99436070745865002</v>
      </c>
      <c r="S3956" t="s">
        <v>10959</v>
      </c>
      <c r="T3956" t="s">
        <v>14004</v>
      </c>
      <c r="U3956" t="s">
        <v>14004</v>
      </c>
      <c r="V3956" t="s">
        <v>14004</v>
      </c>
      <c r="W3956" t="s">
        <v>17911</v>
      </c>
      <c r="X3956">
        <v>6</v>
      </c>
      <c r="Y3956" t="s">
        <v>24733</v>
      </c>
      <c r="Z3956" t="s">
        <v>31666</v>
      </c>
      <c r="AA3956">
        <v>0.41637470088335848</v>
      </c>
      <c r="AB3956" t="str">
        <f>HYPERLINK("Melting_Curves/meltCurve_Q5EBL8_PDZD11.pdf", "Melting_Curves/meltCurve_Q5EBL8_PDZD11.pdf")</f>
        <v>Melting_Curves/meltCurve_Q5EBL8_PDZD11.pdf</v>
      </c>
    </row>
    <row r="3957" spans="1:28" x14ac:dyDescent="0.25">
      <c r="A3957" t="s">
        <v>3961</v>
      </c>
      <c r="B3957">
        <v>0.99999676499088797</v>
      </c>
      <c r="C3957">
        <v>0.96892286493704005</v>
      </c>
      <c r="D3957">
        <v>0.90418712060844197</v>
      </c>
      <c r="E3957">
        <v>0.73362969838687797</v>
      </c>
      <c r="F3957">
        <v>0.34955038533273503</v>
      </c>
      <c r="G3957">
        <v>0.146790575587153</v>
      </c>
      <c r="H3957">
        <v>6.5386979401360207E-2</v>
      </c>
      <c r="I3957">
        <v>6.1018301990286697E-2</v>
      </c>
      <c r="J3957">
        <v>6.4946258334067197E-2</v>
      </c>
      <c r="K3957">
        <v>4.6176632823364899E-2</v>
      </c>
      <c r="L3957">
        <v>1147.0365385832399</v>
      </c>
      <c r="M3957">
        <v>22.285955091907201</v>
      </c>
      <c r="N3957">
        <v>51.691815596595099</v>
      </c>
      <c r="O3957">
        <v>51.060001425890697</v>
      </c>
      <c r="P3957">
        <v>-0.10412231657488499</v>
      </c>
      <c r="Q3957">
        <v>4.5789688551229502E-2</v>
      </c>
      <c r="R3957">
        <v>0.99851194460188197</v>
      </c>
      <c r="S3957" t="s">
        <v>10960</v>
      </c>
      <c r="T3957" t="s">
        <v>14004</v>
      </c>
      <c r="U3957" t="s">
        <v>14004</v>
      </c>
      <c r="V3957" t="s">
        <v>14004</v>
      </c>
      <c r="W3957" t="s">
        <v>17912</v>
      </c>
      <c r="X3957">
        <v>19</v>
      </c>
      <c r="Y3957" t="s">
        <v>24734</v>
      </c>
      <c r="Z3957" t="s">
        <v>31667</v>
      </c>
      <c r="AA3957">
        <v>0.42139361970742978</v>
      </c>
      <c r="AB3957" t="str">
        <f>HYPERLINK("Melting_Curves/meltCurve_Q5EBM0_CMPK2.pdf", "Melting_Curves/meltCurve_Q5EBM0_CMPK2.pdf")</f>
        <v>Melting_Curves/meltCurve_Q5EBM0_CMPK2.pdf</v>
      </c>
    </row>
    <row r="3958" spans="1:28" x14ac:dyDescent="0.25">
      <c r="A3958" t="s">
        <v>3962</v>
      </c>
      <c r="B3958">
        <v>0.99999676499088797</v>
      </c>
      <c r="C3958">
        <v>0.95680186111376497</v>
      </c>
      <c r="D3958">
        <v>0.96220498138198196</v>
      </c>
      <c r="E3958">
        <v>0.497108835530025</v>
      </c>
      <c r="F3958">
        <v>0.298813271644429</v>
      </c>
      <c r="G3958">
        <v>0.21954399105042199</v>
      </c>
      <c r="H3958">
        <v>9.1522534719891302E-2</v>
      </c>
      <c r="I3958">
        <v>8.6502013320577498E-2</v>
      </c>
      <c r="J3958">
        <v>9.3602112417805305E-2</v>
      </c>
      <c r="K3958">
        <v>7.5025427319221696E-2</v>
      </c>
      <c r="L3958">
        <v>1126.07072736808</v>
      </c>
      <c r="M3958">
        <v>22.6244111890258</v>
      </c>
      <c r="N3958">
        <v>50.255735792691098</v>
      </c>
      <c r="O3958">
        <v>49.388418328619203</v>
      </c>
      <c r="P3958">
        <v>-0.10332734799179399</v>
      </c>
      <c r="Q3958">
        <v>9.7775891064275602E-2</v>
      </c>
      <c r="R3958">
        <v>0.98628173741214897</v>
      </c>
      <c r="S3958" t="s">
        <v>10961</v>
      </c>
      <c r="T3958" t="s">
        <v>14004</v>
      </c>
      <c r="U3958" t="s">
        <v>14004</v>
      </c>
      <c r="V3958" t="s">
        <v>14004</v>
      </c>
      <c r="W3958" t="s">
        <v>17913</v>
      </c>
      <c r="X3958">
        <v>5</v>
      </c>
      <c r="Y3958" t="s">
        <v>24735</v>
      </c>
      <c r="Z3958" t="s">
        <v>31668</v>
      </c>
      <c r="AA3958">
        <v>0.40150981036403921</v>
      </c>
      <c r="AB3958" t="str">
        <f>HYPERLINK("Melting_Curves/meltCurve_Q5F1R6_DNAJC21.pdf", "Melting_Curves/meltCurve_Q5F1R6_DNAJC21.pdf")</f>
        <v>Melting_Curves/meltCurve_Q5F1R6_DNAJC21.pdf</v>
      </c>
    </row>
    <row r="3959" spans="1:28" x14ac:dyDescent="0.25">
      <c r="A3959" t="s">
        <v>3963</v>
      </c>
      <c r="B3959">
        <v>0.99999676499088797</v>
      </c>
      <c r="C3959">
        <v>1.0918276348038101</v>
      </c>
      <c r="D3959">
        <v>0.93149697126939401</v>
      </c>
      <c r="E3959">
        <v>0.68003943063829697</v>
      </c>
      <c r="F3959">
        <v>0.241851537620065</v>
      </c>
      <c r="G3959">
        <v>0.226525626267538</v>
      </c>
      <c r="H3959">
        <v>0.120699910705673</v>
      </c>
      <c r="I3959">
        <v>0.19174683318849201</v>
      </c>
      <c r="J3959">
        <v>0.16331125219213799</v>
      </c>
      <c r="K3959">
        <v>0.17081948670764499</v>
      </c>
      <c r="L3959">
        <v>1811.92901910458</v>
      </c>
      <c r="M3959">
        <v>36.117813720187002</v>
      </c>
      <c r="N3959">
        <v>50.745230184643098</v>
      </c>
      <c r="O3959">
        <v>50.014159538958403</v>
      </c>
      <c r="P3959">
        <v>-0.150091993805021</v>
      </c>
      <c r="Q3959">
        <v>0.168643118520687</v>
      </c>
      <c r="R3959">
        <v>0.98879965841332595</v>
      </c>
      <c r="S3959" t="s">
        <v>10962</v>
      </c>
      <c r="T3959" t="s">
        <v>14004</v>
      </c>
      <c r="U3959" t="s">
        <v>14004</v>
      </c>
      <c r="V3959" t="s">
        <v>14004</v>
      </c>
      <c r="W3959" t="s">
        <v>17914</v>
      </c>
      <c r="X3959">
        <v>1</v>
      </c>
      <c r="Y3959" t="s">
        <v>24736</v>
      </c>
      <c r="Z3959" t="s">
        <v>31669</v>
      </c>
      <c r="AA3959">
        <v>0.45393870427365429</v>
      </c>
      <c r="AB3959" t="str">
        <f>HYPERLINK("Melting_Curves/meltCurve_Q5FBB7_5_SGOL1.pdf", "Melting_Curves/meltCurve_Q5FBB7_5_SGOL1.pdf")</f>
        <v>Melting_Curves/meltCurve_Q5FBB7_5_SGOL1.pdf</v>
      </c>
    </row>
    <row r="3960" spans="1:28" x14ac:dyDescent="0.25">
      <c r="A3960" t="s">
        <v>3964</v>
      </c>
      <c r="B3960">
        <v>0.99999676499088797</v>
      </c>
      <c r="C3960">
        <v>1.07386277637608</v>
      </c>
      <c r="D3960">
        <v>1.02069993763714</v>
      </c>
      <c r="E3960">
        <v>0.49274960935133999</v>
      </c>
      <c r="F3960">
        <v>0.26381120821146198</v>
      </c>
      <c r="G3960">
        <v>0.19854872643497601</v>
      </c>
      <c r="H3960">
        <v>5.0759844623109597E-2</v>
      </c>
      <c r="I3960">
        <v>0.27137334099402499</v>
      </c>
      <c r="J3960">
        <v>0.26031430796064198</v>
      </c>
      <c r="K3960">
        <v>0.139878961481327</v>
      </c>
      <c r="L3960">
        <v>2928.6013476727098</v>
      </c>
      <c r="M3960">
        <v>59.551466758587701</v>
      </c>
      <c r="N3960">
        <v>49.590311483198199</v>
      </c>
      <c r="O3960">
        <v>49.122289383929498</v>
      </c>
      <c r="P3960">
        <v>-0.243860363029788</v>
      </c>
      <c r="Q3960">
        <v>0.19538679855947899</v>
      </c>
      <c r="R3960">
        <v>0.96917057267461904</v>
      </c>
      <c r="S3960" t="s">
        <v>10963</v>
      </c>
      <c r="T3960" t="s">
        <v>14004</v>
      </c>
      <c r="U3960" t="s">
        <v>14004</v>
      </c>
      <c r="V3960" t="s">
        <v>14004</v>
      </c>
      <c r="W3960" t="s">
        <v>17915</v>
      </c>
      <c r="X3960">
        <v>1</v>
      </c>
      <c r="Y3960" t="s">
        <v>24737</v>
      </c>
      <c r="Z3960" t="s">
        <v>31670</v>
      </c>
      <c r="AA3960">
        <v>0.44276387270638518</v>
      </c>
      <c r="AB3960" t="str">
        <f>HYPERLINK("Melting_Curves/meltCurve_Q5FWF5_2_ESCO1.pdf", "Melting_Curves/meltCurve_Q5FWF5_2_ESCO1.pdf")</f>
        <v>Melting_Curves/meltCurve_Q5FWF5_2_ESCO1.pdf</v>
      </c>
    </row>
    <row r="3961" spans="1:28" x14ac:dyDescent="0.25">
      <c r="A3961" t="s">
        <v>3965</v>
      </c>
      <c r="B3961">
        <v>0.99999676499088797</v>
      </c>
      <c r="C3961">
        <v>0.96202994278729503</v>
      </c>
      <c r="D3961">
        <v>0.96207129639016997</v>
      </c>
      <c r="E3961">
        <v>0.91598121786003195</v>
      </c>
      <c r="F3961">
        <v>0.31888582024377299</v>
      </c>
      <c r="G3961">
        <v>0.19133770286048399</v>
      </c>
      <c r="H3961">
        <v>0.110640469862436</v>
      </c>
      <c r="I3961">
        <v>8.6865754947371296E-2</v>
      </c>
      <c r="J3961">
        <v>8.7445229248427805E-2</v>
      </c>
      <c r="K3961">
        <v>8.0957529348227295E-2</v>
      </c>
      <c r="L3961">
        <v>2313.5915765323498</v>
      </c>
      <c r="M3961">
        <v>44.560539681722503</v>
      </c>
      <c r="N3961">
        <v>52.196864268245101</v>
      </c>
      <c r="O3961">
        <v>51.815946006174897</v>
      </c>
      <c r="P3961">
        <v>-0.19238021945822401</v>
      </c>
      <c r="Q3961">
        <v>0.10518591287949899</v>
      </c>
      <c r="R3961">
        <v>0.99458818499662305</v>
      </c>
      <c r="S3961" t="s">
        <v>10964</v>
      </c>
      <c r="T3961" t="s">
        <v>14004</v>
      </c>
      <c r="U3961" t="s">
        <v>14004</v>
      </c>
      <c r="V3961" t="s">
        <v>14004</v>
      </c>
      <c r="W3961" t="s">
        <v>17916</v>
      </c>
      <c r="X3961">
        <v>13</v>
      </c>
      <c r="Y3961" t="s">
        <v>24738</v>
      </c>
      <c r="Z3961" t="s">
        <v>31671</v>
      </c>
      <c r="AA3961">
        <v>0.46331428716349371</v>
      </c>
      <c r="AB3961" t="str">
        <f>HYPERLINK("Melting_Curves/meltCurve_Q5GLZ8_3_HERC4.pdf", "Melting_Curves/meltCurve_Q5GLZ8_3_HERC4.pdf")</f>
        <v>Melting_Curves/meltCurve_Q5GLZ8_3_HERC4.pdf</v>
      </c>
    </row>
    <row r="3962" spans="1:28" x14ac:dyDescent="0.25">
      <c r="A3962" t="s">
        <v>3966</v>
      </c>
      <c r="B3962">
        <v>0.99999676499088797</v>
      </c>
      <c r="C3962">
        <v>0.88914338909869595</v>
      </c>
      <c r="D3962">
        <v>0.96190033658101204</v>
      </c>
      <c r="E3962">
        <v>0.88311883353673604</v>
      </c>
      <c r="F3962">
        <v>0.76989373625306901</v>
      </c>
      <c r="G3962">
        <v>0.63300737878663804</v>
      </c>
      <c r="H3962">
        <v>0.32401552253224303</v>
      </c>
      <c r="I3962">
        <v>0.203321536687425</v>
      </c>
      <c r="J3962">
        <v>0.14980931917681101</v>
      </c>
      <c r="K3962">
        <v>0.13616664867895401</v>
      </c>
      <c r="L3962">
        <v>781.03186300456298</v>
      </c>
      <c r="M3962">
        <v>13.4852320359052</v>
      </c>
      <c r="N3962">
        <v>58.089319692487699</v>
      </c>
      <c r="O3962">
        <v>56.688431996499503</v>
      </c>
      <c r="P3962">
        <v>-5.8317496612303101E-2</v>
      </c>
      <c r="Q3962">
        <v>1.9543405437626098E-2</v>
      </c>
      <c r="R3962">
        <v>0.98461754549940705</v>
      </c>
      <c r="S3962" t="s">
        <v>10965</v>
      </c>
      <c r="T3962" t="s">
        <v>14004</v>
      </c>
      <c r="U3962" t="s">
        <v>14004</v>
      </c>
      <c r="V3962" t="s">
        <v>14004</v>
      </c>
      <c r="W3962" t="s">
        <v>17917</v>
      </c>
      <c r="X3962">
        <v>1</v>
      </c>
      <c r="Y3962" t="s">
        <v>24739</v>
      </c>
      <c r="Z3962" t="s">
        <v>31672</v>
      </c>
      <c r="AA3962">
        <v>0.61855360196775577</v>
      </c>
      <c r="AB3962" t="str">
        <f>HYPERLINK("Melting_Curves/meltCurve_Q5H8X8_UTS2.pdf", "Melting_Curves/meltCurve_Q5H8X8_UTS2.pdf")</f>
        <v>Melting_Curves/meltCurve_Q5H8X8_UTS2.pdf</v>
      </c>
    </row>
    <row r="3963" spans="1:28" x14ac:dyDescent="0.25">
      <c r="A3963" t="s">
        <v>3967</v>
      </c>
      <c r="B3963">
        <v>0.99999676499088797</v>
      </c>
      <c r="C3963">
        <v>0.92116918204187503</v>
      </c>
      <c r="D3963">
        <v>0.93467012992796505</v>
      </c>
      <c r="E3963">
        <v>0.75696689014168805</v>
      </c>
      <c r="F3963">
        <v>0.78478480793065897</v>
      </c>
      <c r="G3963">
        <v>0.76753594469327302</v>
      </c>
      <c r="H3963">
        <v>0.45203039110238402</v>
      </c>
      <c r="I3963">
        <v>0.51940916072601295</v>
      </c>
      <c r="J3963">
        <v>0.53116659575456104</v>
      </c>
      <c r="K3963">
        <v>0.49018407718835799</v>
      </c>
      <c r="L3963">
        <v>467.89743258281601</v>
      </c>
      <c r="M3963">
        <v>8.45189216172089</v>
      </c>
      <c r="N3963">
        <v>66.977185329753397</v>
      </c>
      <c r="O3963">
        <v>52.521586591499997</v>
      </c>
      <c r="P3963">
        <v>-2.47817842963221E-2</v>
      </c>
      <c r="Q3963">
        <v>0.38457279510311099</v>
      </c>
      <c r="R3963">
        <v>0.89445340121147399</v>
      </c>
      <c r="S3963" t="s">
        <v>10966</v>
      </c>
      <c r="T3963" t="s">
        <v>14004</v>
      </c>
      <c r="U3963" t="s">
        <v>14004</v>
      </c>
      <c r="V3963" t="s">
        <v>14004</v>
      </c>
      <c r="W3963" t="s">
        <v>17918</v>
      </c>
      <c r="X3963">
        <v>2</v>
      </c>
      <c r="Y3963" t="s">
        <v>24740</v>
      </c>
      <c r="Z3963" t="s">
        <v>31673</v>
      </c>
      <c r="AA3963">
        <v>0.71485861907697867</v>
      </c>
      <c r="AB3963" t="str">
        <f>HYPERLINK("Melting_Curves/meltCurve_Q5H937_PKIG.pdf", "Melting_Curves/meltCurve_Q5H937_PKIG.pdf")</f>
        <v>Melting_Curves/meltCurve_Q5H937_PKIG.pdf</v>
      </c>
    </row>
    <row r="3964" spans="1:28" x14ac:dyDescent="0.25">
      <c r="A3964" t="s">
        <v>3968</v>
      </c>
      <c r="B3964">
        <v>0.99999676499088797</v>
      </c>
      <c r="C3964">
        <v>1.00806516059247</v>
      </c>
      <c r="D3964">
        <v>0.885336555247206</v>
      </c>
      <c r="E3964">
        <v>0.78273336208578803</v>
      </c>
      <c r="F3964">
        <v>0.87390255236617598</v>
      </c>
      <c r="G3964">
        <v>0.25869991440096302</v>
      </c>
      <c r="H3964">
        <v>0</v>
      </c>
      <c r="I3964">
        <v>0</v>
      </c>
      <c r="J3964">
        <v>0</v>
      </c>
      <c r="K3964">
        <v>0</v>
      </c>
      <c r="L3964">
        <v>2340.3661443736501</v>
      </c>
      <c r="M3964">
        <v>42.2381852910475</v>
      </c>
      <c r="N3964">
        <v>55.4087852292433</v>
      </c>
      <c r="O3964">
        <v>55.285009166520503</v>
      </c>
      <c r="P3964">
        <v>-0.191002305298034</v>
      </c>
      <c r="Q3964">
        <v>0</v>
      </c>
      <c r="R3964">
        <v>0.96976605588189801</v>
      </c>
      <c r="S3964" t="s">
        <v>10967</v>
      </c>
      <c r="T3964" t="s">
        <v>14004</v>
      </c>
      <c r="U3964" t="s">
        <v>14004</v>
      </c>
      <c r="V3964" t="s">
        <v>14004</v>
      </c>
      <c r="W3964" t="s">
        <v>17919</v>
      </c>
      <c r="X3964">
        <v>1</v>
      </c>
      <c r="Y3964" t="s">
        <v>24741</v>
      </c>
      <c r="Z3964" t="s">
        <v>31674</v>
      </c>
      <c r="AA3964">
        <v>0.517047405955673</v>
      </c>
      <c r="AB3964" t="str">
        <f>HYPERLINK("Melting_Curves/meltCurve_Q5HY62_CXorf40B.pdf", "Melting_Curves/meltCurve_Q5HY62_CXorf40B.pdf")</f>
        <v>Melting_Curves/meltCurve_Q5HY62_CXorf40B.pdf</v>
      </c>
    </row>
    <row r="3965" spans="1:28" x14ac:dyDescent="0.25">
      <c r="A3965" t="s">
        <v>3969</v>
      </c>
      <c r="B3965">
        <v>0.99999676499088797</v>
      </c>
      <c r="C3965">
        <v>1.30613103148786</v>
      </c>
      <c r="D3965">
        <v>0.98629917297668901</v>
      </c>
      <c r="E3965">
        <v>0.95884592214457598</v>
      </c>
      <c r="F3965">
        <v>0.68635673525972796</v>
      </c>
      <c r="G3965">
        <v>0.45818046548250602</v>
      </c>
      <c r="H3965">
        <v>0.132025146078186</v>
      </c>
      <c r="I3965">
        <v>2.3927653764264301E-2</v>
      </c>
      <c r="J3965">
        <v>0</v>
      </c>
      <c r="K3965">
        <v>0</v>
      </c>
      <c r="L3965">
        <v>1213.67998467865</v>
      </c>
      <c r="M3965">
        <v>21.755164343727198</v>
      </c>
      <c r="N3965">
        <v>55.788132201386901</v>
      </c>
      <c r="O3965">
        <v>55.323176285623902</v>
      </c>
      <c r="P3965">
        <v>-9.8311751407348394E-2</v>
      </c>
      <c r="Q3965">
        <v>0</v>
      </c>
      <c r="R3965">
        <v>0.95344134002150105</v>
      </c>
      <c r="S3965" t="s">
        <v>10968</v>
      </c>
      <c r="T3965" t="s">
        <v>14004</v>
      </c>
      <c r="U3965" t="s">
        <v>14004</v>
      </c>
      <c r="V3965" t="s">
        <v>14004</v>
      </c>
      <c r="W3965" t="s">
        <v>17920</v>
      </c>
      <c r="X3965">
        <v>1</v>
      </c>
      <c r="Y3965" t="s">
        <v>24742</v>
      </c>
      <c r="Z3965" t="s">
        <v>31675</v>
      </c>
      <c r="AA3965">
        <v>0.53776608477527144</v>
      </c>
      <c r="AB3965" t="str">
        <f>HYPERLINK("Melting_Curves/meltCurve_Q5HYA8_3_TMEM67.pdf", "Melting_Curves/meltCurve_Q5HYA8_3_TMEM67.pdf")</f>
        <v>Melting_Curves/meltCurve_Q5HYA8_3_TMEM67.pdf</v>
      </c>
    </row>
    <row r="3966" spans="1:28" x14ac:dyDescent="0.25">
      <c r="A3966" t="s">
        <v>3970</v>
      </c>
      <c r="B3966">
        <v>0.99999676499088797</v>
      </c>
      <c r="C3966">
        <v>0.92465650771125096</v>
      </c>
      <c r="D3966">
        <v>0.916646731131596</v>
      </c>
      <c r="E3966">
        <v>0.79803479077217698</v>
      </c>
      <c r="F3966">
        <v>0.37603706579610402</v>
      </c>
      <c r="G3966">
        <v>0.21847494425431699</v>
      </c>
      <c r="H3966">
        <v>8.7769192167436297E-2</v>
      </c>
      <c r="I3966">
        <v>0.13800173300590199</v>
      </c>
      <c r="J3966">
        <v>0.20533078014231601</v>
      </c>
      <c r="K3966">
        <v>0.15303897690886001</v>
      </c>
      <c r="L3966">
        <v>1434.3514148203899</v>
      </c>
      <c r="M3966">
        <v>27.8844726887782</v>
      </c>
      <c r="N3966">
        <v>52.076924473370703</v>
      </c>
      <c r="O3966">
        <v>51.176690473264898</v>
      </c>
      <c r="P3966">
        <v>-0.116512185662715</v>
      </c>
      <c r="Q3966">
        <v>0.14466279466419299</v>
      </c>
      <c r="R3966">
        <v>0.98663701208677301</v>
      </c>
      <c r="S3966" t="s">
        <v>10969</v>
      </c>
      <c r="T3966" t="s">
        <v>14004</v>
      </c>
      <c r="U3966" t="s">
        <v>14004</v>
      </c>
      <c r="V3966" t="s">
        <v>14004</v>
      </c>
      <c r="W3966" t="s">
        <v>17921</v>
      </c>
      <c r="X3966">
        <v>4</v>
      </c>
      <c r="Y3966" t="s">
        <v>24743</v>
      </c>
      <c r="Z3966" t="s">
        <v>31676</v>
      </c>
      <c r="AA3966">
        <v>0.47706886941951571</v>
      </c>
      <c r="AB3966" t="str">
        <f>HYPERLINK("Melting_Curves/meltCurve_Q5HYI8_RABL3.pdf", "Melting_Curves/meltCurve_Q5HYI8_RABL3.pdf")</f>
        <v>Melting_Curves/meltCurve_Q5HYI8_RABL3.pdf</v>
      </c>
    </row>
    <row r="3967" spans="1:28" x14ac:dyDescent="0.25">
      <c r="A3967" t="s">
        <v>3971</v>
      </c>
      <c r="B3967">
        <v>0.99999676499088797</v>
      </c>
      <c r="C3967">
        <v>0.97507809751373498</v>
      </c>
      <c r="D3967">
        <v>0.94464710645308303</v>
      </c>
      <c r="E3967">
        <v>0.87238585275795799</v>
      </c>
      <c r="F3967">
        <v>0.68539100766367</v>
      </c>
      <c r="G3967">
        <v>0.59016807718957198</v>
      </c>
      <c r="H3967">
        <v>0.34304294354774501</v>
      </c>
      <c r="I3967">
        <v>0.25260848312034101</v>
      </c>
      <c r="J3967">
        <v>0.183472497253685</v>
      </c>
      <c r="K3967">
        <v>0.18595441564120099</v>
      </c>
      <c r="L3967">
        <v>687.96162760934897</v>
      </c>
      <c r="M3967">
        <v>12.1048309837637</v>
      </c>
      <c r="N3967">
        <v>57.607512259542602</v>
      </c>
      <c r="O3967">
        <v>55.349233702427199</v>
      </c>
      <c r="P3967">
        <v>-5.0583851703945297E-2</v>
      </c>
      <c r="Q3967">
        <v>7.5038596482784298E-2</v>
      </c>
      <c r="R3967">
        <v>0.99482482942352202</v>
      </c>
      <c r="S3967" t="s">
        <v>10970</v>
      </c>
      <c r="T3967" t="s">
        <v>14004</v>
      </c>
      <c r="U3967" t="s">
        <v>14004</v>
      </c>
      <c r="V3967" t="s">
        <v>14004</v>
      </c>
      <c r="W3967" t="s">
        <v>17922</v>
      </c>
      <c r="X3967">
        <v>7</v>
      </c>
      <c r="Y3967" t="s">
        <v>24744</v>
      </c>
      <c r="Z3967" t="s">
        <v>31677</v>
      </c>
      <c r="AA3967">
        <v>0.61019527792587125</v>
      </c>
      <c r="AB3967" t="str">
        <f>HYPERLINK("Melting_Curves/meltCurve_Q5HYK3_COQ5.pdf", "Melting_Curves/meltCurve_Q5HYK3_COQ5.pdf")</f>
        <v>Melting_Curves/meltCurve_Q5HYK3_COQ5.pdf</v>
      </c>
    </row>
    <row r="3968" spans="1:28" x14ac:dyDescent="0.25">
      <c r="A3968" t="s">
        <v>3972</v>
      </c>
      <c r="B3968">
        <v>0.99999676499088797</v>
      </c>
      <c r="C3968">
        <v>1.00088240544233</v>
      </c>
      <c r="D3968">
        <v>0.96905329850125799</v>
      </c>
      <c r="E3968">
        <v>0.91419635094554896</v>
      </c>
      <c r="F3968">
        <v>0.76636644739233595</v>
      </c>
      <c r="G3968">
        <v>0.68732114006739597</v>
      </c>
      <c r="H3968">
        <v>0.21292649787333201</v>
      </c>
      <c r="I3968">
        <v>0.124899922765817</v>
      </c>
      <c r="J3968">
        <v>0.102447619969789</v>
      </c>
      <c r="K3968">
        <v>7.2846062798706201E-2</v>
      </c>
      <c r="L3968">
        <v>1088.4528826882399</v>
      </c>
      <c r="M3968">
        <v>18.8765386936252</v>
      </c>
      <c r="N3968">
        <v>57.7681724679327</v>
      </c>
      <c r="O3968">
        <v>57.0262376426911</v>
      </c>
      <c r="P3968">
        <v>-8.1342000940629197E-2</v>
      </c>
      <c r="Q3968">
        <v>1.7099775472008499E-2</v>
      </c>
      <c r="R3968">
        <v>0.98295301612011898</v>
      </c>
      <c r="S3968" t="s">
        <v>10971</v>
      </c>
      <c r="T3968" t="s">
        <v>14004</v>
      </c>
      <c r="U3968" t="s">
        <v>14004</v>
      </c>
      <c r="V3968" t="s">
        <v>14004</v>
      </c>
      <c r="W3968" t="s">
        <v>17923</v>
      </c>
      <c r="X3968">
        <v>36</v>
      </c>
      <c r="Y3968" t="s">
        <v>24745</v>
      </c>
      <c r="Z3968" t="s">
        <v>31678</v>
      </c>
      <c r="AA3968">
        <v>0.60789758887688095</v>
      </c>
      <c r="AB3968" t="str">
        <f>HYPERLINK("Melting_Curves/meltCurve_Q5JP53_TUBB.pdf", "Melting_Curves/meltCurve_Q5JP53_TUBB.pdf")</f>
        <v>Melting_Curves/meltCurve_Q5JP53_TUBB.pdf</v>
      </c>
    </row>
    <row r="3969" spans="1:28" x14ac:dyDescent="0.25">
      <c r="A3969" t="s">
        <v>3973</v>
      </c>
      <c r="B3969">
        <v>0.99999676499088797</v>
      </c>
      <c r="C3969">
        <v>0.93497901845865405</v>
      </c>
      <c r="D3969">
        <v>0.98364168449770395</v>
      </c>
      <c r="E3969">
        <v>0.91642597727044495</v>
      </c>
      <c r="F3969">
        <v>0.34747483403521001</v>
      </c>
      <c r="G3969">
        <v>0.22618980247421799</v>
      </c>
      <c r="H3969">
        <v>0.10293848580994699</v>
      </c>
      <c r="I3969">
        <v>9.5071488854579597E-2</v>
      </c>
      <c r="J3969">
        <v>9.5437466950943503E-2</v>
      </c>
      <c r="K3969">
        <v>9.0352174416098899E-2</v>
      </c>
      <c r="L3969">
        <v>2111.1934295482201</v>
      </c>
      <c r="M3969">
        <v>40.5700358325767</v>
      </c>
      <c r="N3969">
        <v>52.3663968149786</v>
      </c>
      <c r="O3969">
        <v>51.912296297142099</v>
      </c>
      <c r="P3969">
        <v>-0.17344843683293701</v>
      </c>
      <c r="Q3969">
        <v>0.112242570564449</v>
      </c>
      <c r="R3969">
        <v>0.99125238446350905</v>
      </c>
      <c r="S3969" t="s">
        <v>10972</v>
      </c>
      <c r="T3969" t="s">
        <v>14004</v>
      </c>
      <c r="U3969" t="s">
        <v>14004</v>
      </c>
      <c r="V3969" t="s">
        <v>14004</v>
      </c>
      <c r="W3969" t="s">
        <v>17924</v>
      </c>
      <c r="X3969">
        <v>35</v>
      </c>
      <c r="Y3969" t="s">
        <v>24746</v>
      </c>
      <c r="Z3969" t="s">
        <v>31679</v>
      </c>
      <c r="AA3969">
        <v>0.4715794556734052</v>
      </c>
      <c r="AB3969" t="str">
        <f>HYPERLINK("Melting_Curves/meltCurve_Q5JPE7_2_NOMO2.pdf", "Melting_Curves/meltCurve_Q5JPE7_2_NOMO2.pdf")</f>
        <v>Melting_Curves/meltCurve_Q5JPE7_2_NOMO2.pdf</v>
      </c>
    </row>
    <row r="3970" spans="1:28" x14ac:dyDescent="0.25">
      <c r="A3970" t="s">
        <v>3974</v>
      </c>
      <c r="B3970">
        <v>0.99999676499088797</v>
      </c>
      <c r="C3970">
        <v>1.1733300810505101</v>
      </c>
      <c r="D3970">
        <v>0.88641617683729801</v>
      </c>
      <c r="E3970">
        <v>0.46846943693202098</v>
      </c>
      <c r="F3970">
        <v>0.40645078575611698</v>
      </c>
      <c r="G3970">
        <v>0.23035948316701599</v>
      </c>
      <c r="H3970">
        <v>0.16144980320826199</v>
      </c>
      <c r="I3970">
        <v>0.177133992829688</v>
      </c>
      <c r="J3970">
        <v>0.147976895447167</v>
      </c>
      <c r="K3970">
        <v>0.13361003642587399</v>
      </c>
      <c r="L3970">
        <v>1154.90414233709</v>
      </c>
      <c r="M3970">
        <v>23.4109327522524</v>
      </c>
      <c r="N3970">
        <v>50.221902408270303</v>
      </c>
      <c r="O3970">
        <v>48.976119343417203</v>
      </c>
      <c r="P3970">
        <v>-9.9212634571636704E-2</v>
      </c>
      <c r="Q3970">
        <v>0.16979573610903601</v>
      </c>
      <c r="R3970">
        <v>0.95594743267965498</v>
      </c>
      <c r="S3970" t="s">
        <v>10973</v>
      </c>
      <c r="T3970" t="s">
        <v>14004</v>
      </c>
      <c r="U3970" t="s">
        <v>14004</v>
      </c>
      <c r="V3970" t="s">
        <v>14004</v>
      </c>
      <c r="W3970" t="s">
        <v>17925</v>
      </c>
      <c r="X3970">
        <v>1</v>
      </c>
      <c r="Y3970" t="s">
        <v>24747</v>
      </c>
      <c r="Z3970" t="s">
        <v>31680</v>
      </c>
      <c r="AA3970">
        <v>0.43647214439356308</v>
      </c>
      <c r="AB3970" t="str">
        <f>HYPERLINK("Melting_Curves/meltCurve_Q5JPI3_2_C3orf38.pdf", "Melting_Curves/meltCurve_Q5JPI3_2_C3orf38.pdf")</f>
        <v>Melting_Curves/meltCurve_Q5JPI3_2_C3orf38.pdf</v>
      </c>
    </row>
    <row r="3971" spans="1:28" x14ac:dyDescent="0.25">
      <c r="A3971" t="s">
        <v>3975</v>
      </c>
      <c r="B3971">
        <v>0.99999676499088797</v>
      </c>
      <c r="C3971">
        <v>1.03359856871469</v>
      </c>
      <c r="D3971">
        <v>0.81083951511618402</v>
      </c>
      <c r="E3971">
        <v>0.29127349942282899</v>
      </c>
      <c r="F3971">
        <v>0.129624702887359</v>
      </c>
      <c r="G3971">
        <v>9.3989068022321695E-2</v>
      </c>
      <c r="H3971">
        <v>4.4962791349878697E-2</v>
      </c>
      <c r="I3971">
        <v>6.3349347714403897E-2</v>
      </c>
      <c r="J3971">
        <v>5.0330330879690299E-2</v>
      </c>
      <c r="K3971">
        <v>5.9949775562082197E-2</v>
      </c>
      <c r="L3971">
        <v>1596.33206951425</v>
      </c>
      <c r="M3971">
        <v>33.292770727363099</v>
      </c>
      <c r="N3971">
        <v>48.153085135319103</v>
      </c>
      <c r="O3971">
        <v>47.776313280447702</v>
      </c>
      <c r="P3971">
        <v>-0.16271358629767799</v>
      </c>
      <c r="Q3971">
        <v>6.6004924163374196E-2</v>
      </c>
      <c r="R3971">
        <v>0.99684296602420797</v>
      </c>
      <c r="S3971" t="s">
        <v>10974</v>
      </c>
      <c r="T3971" t="s">
        <v>14004</v>
      </c>
      <c r="U3971" t="s">
        <v>14004</v>
      </c>
      <c r="V3971" t="s">
        <v>14004</v>
      </c>
      <c r="W3971" t="s">
        <v>17926</v>
      </c>
      <c r="X3971">
        <v>2</v>
      </c>
      <c r="Y3971" t="s">
        <v>24748</v>
      </c>
      <c r="Z3971" t="s">
        <v>31681</v>
      </c>
      <c r="AA3971">
        <v>0.31798547199570371</v>
      </c>
      <c r="AB3971" t="str">
        <f>HYPERLINK("Melting_Curves/meltCurve_Q5JPI9_METTL10.pdf", "Melting_Curves/meltCurve_Q5JPI9_METTL10.pdf")</f>
        <v>Melting_Curves/meltCurve_Q5JPI9_METTL10.pdf</v>
      </c>
    </row>
    <row r="3972" spans="1:28" x14ac:dyDescent="0.25">
      <c r="A3972" t="s">
        <v>3976</v>
      </c>
      <c r="B3972">
        <v>0.99999676499088797</v>
      </c>
      <c r="C3972">
        <v>1.1448551897291901</v>
      </c>
      <c r="D3972">
        <v>0.97299415362611097</v>
      </c>
      <c r="E3972">
        <v>0.92670694339528603</v>
      </c>
      <c r="F3972">
        <v>0.68803266431862897</v>
      </c>
      <c r="G3972">
        <v>0.54355061374933999</v>
      </c>
      <c r="H3972">
        <v>0.316711984648677</v>
      </c>
      <c r="I3972">
        <v>0.24757673419807899</v>
      </c>
      <c r="J3972">
        <v>0.15183064729968501</v>
      </c>
      <c r="K3972">
        <v>7.0324040232306401E-2</v>
      </c>
      <c r="L3972">
        <v>795.984189409289</v>
      </c>
      <c r="M3972">
        <v>13.9532888725474</v>
      </c>
      <c r="N3972">
        <v>57.3560001788072</v>
      </c>
      <c r="O3972">
        <v>55.912943599802396</v>
      </c>
      <c r="P3972">
        <v>-6.0132878647868301E-2</v>
      </c>
      <c r="Q3972">
        <v>3.6282976765495099E-2</v>
      </c>
      <c r="R3972">
        <v>0.97805457780414695</v>
      </c>
      <c r="S3972" t="s">
        <v>10975</v>
      </c>
      <c r="T3972" t="s">
        <v>14004</v>
      </c>
      <c r="U3972" t="s">
        <v>14004</v>
      </c>
      <c r="V3972" t="s">
        <v>14004</v>
      </c>
      <c r="W3972" t="s">
        <v>17927</v>
      </c>
      <c r="X3972">
        <v>14</v>
      </c>
      <c r="Y3972" t="s">
        <v>24749</v>
      </c>
      <c r="Z3972" t="s">
        <v>31682</v>
      </c>
      <c r="AA3972">
        <v>0.59954455449589639</v>
      </c>
      <c r="AB3972" t="str">
        <f>HYPERLINK("Melting_Curves/meltCurve_Q5JR08_RHOC.pdf", "Melting_Curves/meltCurve_Q5JR08_RHOC.pdf")</f>
        <v>Melting_Curves/meltCurve_Q5JR08_RHOC.pdf</v>
      </c>
    </row>
    <row r="3973" spans="1:28" x14ac:dyDescent="0.25">
      <c r="A3973" t="s">
        <v>3977</v>
      </c>
      <c r="B3973">
        <v>0.99999676499088797</v>
      </c>
      <c r="C3973">
        <v>0.951079305882783</v>
      </c>
      <c r="D3973">
        <v>0.87624855611186803</v>
      </c>
      <c r="E3973">
        <v>0.42507833082060498</v>
      </c>
      <c r="F3973">
        <v>0.30059854626585703</v>
      </c>
      <c r="G3973">
        <v>0.20017423311947</v>
      </c>
      <c r="H3973">
        <v>0.122405624478869</v>
      </c>
      <c r="I3973">
        <v>0.12343813332727201</v>
      </c>
      <c r="J3973">
        <v>0.148160456069031</v>
      </c>
      <c r="K3973">
        <v>0.14946766899505201</v>
      </c>
      <c r="L3973">
        <v>1187.86298198285</v>
      </c>
      <c r="M3973">
        <v>24.407466354941199</v>
      </c>
      <c r="N3973">
        <v>49.3726842010336</v>
      </c>
      <c r="O3973">
        <v>48.344830819879597</v>
      </c>
      <c r="P3973">
        <v>-0.107653857142958</v>
      </c>
      <c r="Q3973">
        <v>0.14707540612755601</v>
      </c>
      <c r="R3973">
        <v>0.99108122757461203</v>
      </c>
      <c r="S3973" t="s">
        <v>10976</v>
      </c>
      <c r="T3973" t="s">
        <v>14004</v>
      </c>
      <c r="U3973" t="s">
        <v>14004</v>
      </c>
      <c r="V3973" t="s">
        <v>14004</v>
      </c>
      <c r="W3973" t="s">
        <v>17928</v>
      </c>
      <c r="X3973">
        <v>29</v>
      </c>
      <c r="Y3973" t="s">
        <v>24750</v>
      </c>
      <c r="Z3973" t="s">
        <v>31683</v>
      </c>
      <c r="AA3973">
        <v>0.40144494888872051</v>
      </c>
      <c r="AB3973" t="str">
        <f>HYPERLINK("Melting_Curves/meltCurve_Q5JRA6_MIA3.pdf", "Melting_Curves/meltCurve_Q5JRA6_MIA3.pdf")</f>
        <v>Melting_Curves/meltCurve_Q5JRA6_MIA3.pdf</v>
      </c>
    </row>
    <row r="3974" spans="1:28" x14ac:dyDescent="0.25">
      <c r="A3974" t="s">
        <v>3978</v>
      </c>
      <c r="B3974">
        <v>0.99999676499088797</v>
      </c>
      <c r="C3974">
        <v>0.95237656629148704</v>
      </c>
      <c r="D3974">
        <v>0.95819200767775203</v>
      </c>
      <c r="E3974">
        <v>0.67294007350879603</v>
      </c>
      <c r="F3974">
        <v>0.467942511944966</v>
      </c>
      <c r="G3974">
        <v>0.43522358961421298</v>
      </c>
      <c r="H3974">
        <v>0.52396927730537701</v>
      </c>
      <c r="I3974">
        <v>0.83789754491814195</v>
      </c>
      <c r="J3974">
        <v>0.95026166213272401</v>
      </c>
      <c r="K3974">
        <v>1.0865883323171699</v>
      </c>
      <c r="L3974">
        <v>11581.8033941293</v>
      </c>
      <c r="M3974">
        <v>250</v>
      </c>
      <c r="O3974">
        <v>46.324248971375297</v>
      </c>
      <c r="P3974">
        <v>-0.39033417991692798</v>
      </c>
      <c r="Q3974">
        <v>0.71068899680160902</v>
      </c>
      <c r="R3974">
        <v>0.26571918068113398</v>
      </c>
      <c r="S3974" t="s">
        <v>10977</v>
      </c>
      <c r="T3974" t="s">
        <v>14004</v>
      </c>
      <c r="U3974" t="s">
        <v>14004</v>
      </c>
      <c r="V3974" t="s">
        <v>14004</v>
      </c>
      <c r="W3974" t="s">
        <v>17929</v>
      </c>
      <c r="X3974">
        <v>12</v>
      </c>
      <c r="Y3974" t="s">
        <v>24751</v>
      </c>
      <c r="Z3974" t="s">
        <v>31684</v>
      </c>
      <c r="AA3974">
        <v>0.77173026905240982</v>
      </c>
      <c r="AB3974" t="str">
        <f>HYPERLINK("Melting_Curves/meltCurve_Q5JRI1_SRSF10.pdf", "Melting_Curves/meltCurve_Q5JRI1_SRSF10.pdf")</f>
        <v>Melting_Curves/meltCurve_Q5JRI1_SRSF10.pdf</v>
      </c>
    </row>
    <row r="3975" spans="1:28" x14ac:dyDescent="0.25">
      <c r="A3975" t="s">
        <v>3979</v>
      </c>
      <c r="B3975">
        <v>0.99999676499088797</v>
      </c>
      <c r="C3975">
        <v>1.00986205263102</v>
      </c>
      <c r="D3975">
        <v>0.94590234079884095</v>
      </c>
      <c r="E3975">
        <v>0.83318439082044304</v>
      </c>
      <c r="F3975">
        <v>0.39999396925083402</v>
      </c>
      <c r="G3975">
        <v>0.26345003794766098</v>
      </c>
      <c r="H3975">
        <v>0.12398687014200201</v>
      </c>
      <c r="I3975">
        <v>0.107430520698124</v>
      </c>
      <c r="J3975">
        <v>0.10138922213202201</v>
      </c>
      <c r="K3975">
        <v>8.8009324130619196E-2</v>
      </c>
      <c r="L3975">
        <v>1264.4038029763501</v>
      </c>
      <c r="M3975">
        <v>24.2440658918194</v>
      </c>
      <c r="N3975">
        <v>52.642636456439398</v>
      </c>
      <c r="O3975">
        <v>51.802197793943698</v>
      </c>
      <c r="P3975">
        <v>-0.105197586403698</v>
      </c>
      <c r="Q3975">
        <v>0.100912935983044</v>
      </c>
      <c r="R3975">
        <v>0.99538045837122102</v>
      </c>
      <c r="S3975" t="s">
        <v>10978</v>
      </c>
      <c r="T3975" t="s">
        <v>14004</v>
      </c>
      <c r="U3975" t="s">
        <v>14004</v>
      </c>
      <c r="V3975" t="s">
        <v>14004</v>
      </c>
      <c r="W3975" t="s">
        <v>17930</v>
      </c>
      <c r="X3975">
        <v>37</v>
      </c>
      <c r="Y3975" t="s">
        <v>24752</v>
      </c>
      <c r="Z3975" t="s">
        <v>31685</v>
      </c>
      <c r="AA3975">
        <v>0.47385334562750692</v>
      </c>
      <c r="AB3975" t="str">
        <f>HYPERLINK("Melting_Curves/meltCurve_Q5JRX3_PITRM1.pdf", "Melting_Curves/meltCurve_Q5JRX3_PITRM1.pdf")</f>
        <v>Melting_Curves/meltCurve_Q5JRX3_PITRM1.pdf</v>
      </c>
    </row>
    <row r="3976" spans="1:28" x14ac:dyDescent="0.25">
      <c r="A3976" t="s">
        <v>3980</v>
      </c>
      <c r="B3976">
        <v>0.99999676499088797</v>
      </c>
      <c r="C3976">
        <v>1.0381525756173799</v>
      </c>
      <c r="D3976">
        <v>1.04083902235019</v>
      </c>
      <c r="E3976">
        <v>0.93588251318598104</v>
      </c>
      <c r="F3976">
        <v>0.82961443127218903</v>
      </c>
      <c r="G3976">
        <v>0.86295249906515503</v>
      </c>
      <c r="H3976">
        <v>0.57509389981814096</v>
      </c>
      <c r="I3976">
        <v>0.71121785414948602</v>
      </c>
      <c r="J3976">
        <v>0.70386355656423205</v>
      </c>
      <c r="K3976">
        <v>0.68870532823944197</v>
      </c>
      <c r="L3976">
        <v>1082.3525427985401</v>
      </c>
      <c r="M3976">
        <v>19.963155618879998</v>
      </c>
      <c r="O3976">
        <v>53.682260471376402</v>
      </c>
      <c r="P3976">
        <v>-3.0580457720363299E-2</v>
      </c>
      <c r="Q3976">
        <v>0.67107920024813295</v>
      </c>
      <c r="R3976">
        <v>0.86146155339730801</v>
      </c>
      <c r="S3976" t="s">
        <v>10979</v>
      </c>
      <c r="T3976" t="s">
        <v>14004</v>
      </c>
      <c r="U3976" t="s">
        <v>14004</v>
      </c>
      <c r="V3976" t="s">
        <v>14004</v>
      </c>
      <c r="W3976" t="s">
        <v>17931</v>
      </c>
      <c r="X3976">
        <v>2</v>
      </c>
      <c r="Y3976" t="s">
        <v>24753</v>
      </c>
      <c r="Z3976" t="s">
        <v>31686</v>
      </c>
      <c r="AA3976">
        <v>0.83142771070281118</v>
      </c>
      <c r="AB3976" t="str">
        <f>HYPERLINK("Melting_Curves/meltCurve_Q5JS37_2_NHLRC3.pdf", "Melting_Curves/meltCurve_Q5JS37_2_NHLRC3.pdf")</f>
        <v>Melting_Curves/meltCurve_Q5JS37_2_NHLRC3.pdf</v>
      </c>
    </row>
    <row r="3977" spans="1:28" x14ac:dyDescent="0.25">
      <c r="A3977" t="s">
        <v>3981</v>
      </c>
      <c r="B3977">
        <v>0.99999676499088797</v>
      </c>
      <c r="C3977">
        <v>1.0147671165057</v>
      </c>
      <c r="D3977">
        <v>1.1076120898977999</v>
      </c>
      <c r="E3977">
        <v>1.1279808131998801</v>
      </c>
      <c r="F3977">
        <v>1.11542292265402</v>
      </c>
      <c r="G3977">
        <v>0.97117261922945997</v>
      </c>
      <c r="H3977">
        <v>0.64578426003744505</v>
      </c>
      <c r="I3977">
        <v>0.62929308985197396</v>
      </c>
      <c r="J3977">
        <v>0.55636453243349104</v>
      </c>
      <c r="K3977">
        <v>0.38567069544621402</v>
      </c>
      <c r="L3977">
        <v>1818.6578753957399</v>
      </c>
      <c r="M3977">
        <v>30.044796695395299</v>
      </c>
      <c r="N3977">
        <v>66.615800194154403</v>
      </c>
      <c r="O3977">
        <v>60.265278875171397</v>
      </c>
      <c r="P3977">
        <v>-6.6325678019004006E-2</v>
      </c>
      <c r="Q3977">
        <v>0.467846677362459</v>
      </c>
      <c r="R3977">
        <v>0.89917646302089804</v>
      </c>
      <c r="S3977" t="s">
        <v>10980</v>
      </c>
      <c r="T3977" t="s">
        <v>14004</v>
      </c>
      <c r="U3977" t="s">
        <v>14004</v>
      </c>
      <c r="V3977" t="s">
        <v>14004</v>
      </c>
      <c r="W3977" t="s">
        <v>17932</v>
      </c>
      <c r="X3977">
        <v>4</v>
      </c>
      <c r="Y3977" t="s">
        <v>24754</v>
      </c>
      <c r="Z3977" t="s">
        <v>31687</v>
      </c>
      <c r="AA3977">
        <v>0.8351338886333658</v>
      </c>
      <c r="AB3977" t="str">
        <f>HYPERLINK("Melting_Curves/meltCurve_Q5JS54_PSMG4.pdf", "Melting_Curves/meltCurve_Q5JS54_PSMG4.pdf")</f>
        <v>Melting_Curves/meltCurve_Q5JS54_PSMG4.pdf</v>
      </c>
    </row>
    <row r="3978" spans="1:28" x14ac:dyDescent="0.25">
      <c r="A3978" t="s">
        <v>3982</v>
      </c>
      <c r="B3978">
        <v>0.99999676499088797</v>
      </c>
      <c r="C3978">
        <v>0.94685761572222804</v>
      </c>
      <c r="D3978">
        <v>1.05141281976406</v>
      </c>
      <c r="E3978">
        <v>1.29442745427342</v>
      </c>
      <c r="F3978">
        <v>1.2528985650856399</v>
      </c>
      <c r="G3978">
        <v>0.73270647852623805</v>
      </c>
      <c r="H3978">
        <v>0.208007940132791</v>
      </c>
      <c r="I3978">
        <v>0.14640997960355601</v>
      </c>
      <c r="J3978">
        <v>0.143416294340378</v>
      </c>
      <c r="K3978">
        <v>0.18037666293232801</v>
      </c>
      <c r="L3978">
        <v>12724.4794228305</v>
      </c>
      <c r="M3978">
        <v>223.27731788613499</v>
      </c>
      <c r="N3978">
        <v>57.0954668044497</v>
      </c>
      <c r="O3978">
        <v>56.9849820611011</v>
      </c>
      <c r="P3978">
        <v>-0.81346001874468499</v>
      </c>
      <c r="Q3978">
        <v>0.169552520661131</v>
      </c>
      <c r="R3978">
        <v>0.92295037477297703</v>
      </c>
      <c r="S3978" t="s">
        <v>10981</v>
      </c>
      <c r="T3978" t="s">
        <v>14004</v>
      </c>
      <c r="U3978" t="s">
        <v>14004</v>
      </c>
      <c r="V3978" t="s">
        <v>14004</v>
      </c>
      <c r="W3978" t="s">
        <v>17933</v>
      </c>
      <c r="X3978">
        <v>32</v>
      </c>
      <c r="Y3978" t="s">
        <v>24755</v>
      </c>
      <c r="Z3978" t="s">
        <v>31688</v>
      </c>
      <c r="AA3978">
        <v>0.63995497615895447</v>
      </c>
      <c r="AB3978" t="str">
        <f>HYPERLINK("Melting_Curves/meltCurve_Q5JSH3_2_WDR44.pdf", "Melting_Curves/meltCurve_Q5JSH3_2_WDR44.pdf")</f>
        <v>Melting_Curves/meltCurve_Q5JSH3_2_WDR44.pdf</v>
      </c>
    </row>
    <row r="3979" spans="1:28" x14ac:dyDescent="0.25">
      <c r="A3979" t="s">
        <v>3983</v>
      </c>
      <c r="B3979">
        <v>0.99999676499088797</v>
      </c>
      <c r="C3979">
        <v>0.93118668086512402</v>
      </c>
      <c r="D3979">
        <v>1.03798158071517</v>
      </c>
      <c r="E3979">
        <v>1.37967254717355</v>
      </c>
      <c r="F3979">
        <v>1.56958816397995</v>
      </c>
      <c r="G3979">
        <v>1.1711037010680201</v>
      </c>
      <c r="H3979">
        <v>1.12978380507668</v>
      </c>
      <c r="I3979">
        <v>0.86008983475561596</v>
      </c>
      <c r="J3979">
        <v>0.783721052014968</v>
      </c>
      <c r="K3979">
        <v>1.4342036943851999</v>
      </c>
      <c r="L3979">
        <v>11563.7178530194</v>
      </c>
      <c r="M3979">
        <v>250</v>
      </c>
      <c r="O3979">
        <v>46.251911430550102</v>
      </c>
      <c r="P3979">
        <v>0.25639148727671202</v>
      </c>
      <c r="Q3979">
        <v>1.18973754145855</v>
      </c>
      <c r="R3979">
        <v>0.140156079798856</v>
      </c>
      <c r="S3979" t="s">
        <v>10982</v>
      </c>
      <c r="T3979" t="s">
        <v>14004</v>
      </c>
      <c r="U3979" t="s">
        <v>14004</v>
      </c>
      <c r="V3979" t="s">
        <v>14004</v>
      </c>
      <c r="W3979" t="s">
        <v>17934</v>
      </c>
      <c r="X3979">
        <v>8</v>
      </c>
      <c r="Y3979" t="s">
        <v>24756</v>
      </c>
      <c r="Z3979" t="s">
        <v>31689</v>
      </c>
      <c r="AA3979">
        <v>1.150162675085044</v>
      </c>
      <c r="AB3979" t="str">
        <f>HYPERLINK("Melting_Curves/meltCurve_Q5JSL0_HMGN5.pdf", "Melting_Curves/meltCurve_Q5JSL0_HMGN5.pdf")</f>
        <v>Melting_Curves/meltCurve_Q5JSL0_HMGN5.pdf</v>
      </c>
    </row>
    <row r="3980" spans="1:28" x14ac:dyDescent="0.25">
      <c r="A3980" t="s">
        <v>3984</v>
      </c>
      <c r="B3980">
        <v>0.99999676499088797</v>
      </c>
      <c r="C3980">
        <v>0.87440159757140401</v>
      </c>
      <c r="D3980">
        <v>0.66786394633091095</v>
      </c>
      <c r="E3980">
        <v>0.232723224921878</v>
      </c>
      <c r="F3980">
        <v>0.15324321971694499</v>
      </c>
      <c r="G3980">
        <v>0.10152043552541901</v>
      </c>
      <c r="H3980">
        <v>5.5903283981592902E-2</v>
      </c>
      <c r="I3980">
        <v>6.8548214429623597E-2</v>
      </c>
      <c r="J3980">
        <v>6.9033987854560996E-2</v>
      </c>
      <c r="K3980">
        <v>5.8608797507903897E-2</v>
      </c>
      <c r="L3980">
        <v>1110.68016135588</v>
      </c>
      <c r="M3980">
        <v>23.6874224323678</v>
      </c>
      <c r="N3980">
        <v>47.181938737843701</v>
      </c>
      <c r="O3980">
        <v>46.558677217065899</v>
      </c>
      <c r="P3980">
        <v>-0.11849628365047001</v>
      </c>
      <c r="Q3980">
        <v>6.8376795050513098E-2</v>
      </c>
      <c r="R3980">
        <v>0.99580331949089596</v>
      </c>
      <c r="S3980" t="s">
        <v>10983</v>
      </c>
      <c r="T3980" t="s">
        <v>14004</v>
      </c>
      <c r="U3980" t="s">
        <v>14004</v>
      </c>
      <c r="V3980" t="s">
        <v>14004</v>
      </c>
      <c r="W3980" t="s">
        <v>17935</v>
      </c>
      <c r="X3980">
        <v>12</v>
      </c>
      <c r="Y3980" t="s">
        <v>24757</v>
      </c>
      <c r="Z3980" t="s">
        <v>31690</v>
      </c>
      <c r="AA3980">
        <v>0.2917077641722608</v>
      </c>
      <c r="AB3980" t="str">
        <f>HYPERLINK("Melting_Curves/meltCurve_Q5JSP0_FGD3.pdf", "Melting_Curves/meltCurve_Q5JSP0_FGD3.pdf")</f>
        <v>Melting_Curves/meltCurve_Q5JSP0_FGD3.pdf</v>
      </c>
    </row>
    <row r="3981" spans="1:28" x14ac:dyDescent="0.25">
      <c r="A3981" t="s">
        <v>3985</v>
      </c>
      <c r="B3981">
        <v>0.99999676499088797</v>
      </c>
      <c r="C3981">
        <v>0.96203492161216198</v>
      </c>
      <c r="D3981">
        <v>0.87293822610272498</v>
      </c>
      <c r="E3981">
        <v>0.76416267636549096</v>
      </c>
      <c r="F3981">
        <v>0.72419541864873405</v>
      </c>
      <c r="G3981">
        <v>0.59852966614346204</v>
      </c>
      <c r="H3981">
        <v>0.46427669319780102</v>
      </c>
      <c r="I3981">
        <v>0.58394189937791796</v>
      </c>
      <c r="J3981">
        <v>0.55569002537035395</v>
      </c>
      <c r="K3981">
        <v>0.63166350306720298</v>
      </c>
      <c r="L3981">
        <v>753.02883365049104</v>
      </c>
      <c r="M3981">
        <v>15.227332036909401</v>
      </c>
      <c r="O3981">
        <v>48.623094334030696</v>
      </c>
      <c r="P3981">
        <v>-3.4942124493234299E-2</v>
      </c>
      <c r="Q3981">
        <v>0.55374132318853198</v>
      </c>
      <c r="R3981">
        <v>0.92384539742336202</v>
      </c>
      <c r="S3981" t="s">
        <v>10984</v>
      </c>
      <c r="T3981" t="s">
        <v>14004</v>
      </c>
      <c r="U3981" t="s">
        <v>14004</v>
      </c>
      <c r="V3981" t="s">
        <v>14004</v>
      </c>
      <c r="W3981" t="s">
        <v>17936</v>
      </c>
      <c r="X3981">
        <v>26</v>
      </c>
      <c r="Y3981" t="s">
        <v>21854</v>
      </c>
      <c r="Z3981" t="s">
        <v>31691</v>
      </c>
      <c r="AA3981">
        <v>0.70489071752401455</v>
      </c>
      <c r="AB3981" t="str">
        <f>HYPERLINK("Melting_Curves/meltCurve_Q5JSZ5_PRRC2B.pdf", "Melting_Curves/meltCurve_Q5JSZ5_PRRC2B.pdf")</f>
        <v>Melting_Curves/meltCurve_Q5JSZ5_PRRC2B.pdf</v>
      </c>
    </row>
    <row r="3982" spans="1:28" x14ac:dyDescent="0.25">
      <c r="A3982" t="s">
        <v>3986</v>
      </c>
      <c r="B3982">
        <v>0.99999676499088797</v>
      </c>
      <c r="C3982">
        <v>0.92357062479454799</v>
      </c>
      <c r="D3982">
        <v>0.83620988588130196</v>
      </c>
      <c r="E3982">
        <v>0.558418586829587</v>
      </c>
      <c r="F3982">
        <v>0.36447299438890002</v>
      </c>
      <c r="G3982">
        <v>0.198038435373386</v>
      </c>
      <c r="H3982">
        <v>0.122495146864301</v>
      </c>
      <c r="I3982">
        <v>0.14901351372176899</v>
      </c>
      <c r="J3982">
        <v>0.14980903950506499</v>
      </c>
      <c r="K3982">
        <v>0.18472245491922401</v>
      </c>
      <c r="L3982">
        <v>885.85661515321101</v>
      </c>
      <c r="M3982">
        <v>17.866690990515998</v>
      </c>
      <c r="N3982">
        <v>50.489083341565603</v>
      </c>
      <c r="O3982">
        <v>48.972845714073401</v>
      </c>
      <c r="P3982">
        <v>-7.8683453253473701E-2</v>
      </c>
      <c r="Q3982">
        <v>0.137354132208656</v>
      </c>
      <c r="R3982">
        <v>0.99445599903280402</v>
      </c>
      <c r="S3982" t="s">
        <v>10985</v>
      </c>
      <c r="T3982" t="s">
        <v>14004</v>
      </c>
      <c r="U3982" t="s">
        <v>14004</v>
      </c>
      <c r="V3982" t="s">
        <v>14004</v>
      </c>
      <c r="W3982" t="s">
        <v>17937</v>
      </c>
      <c r="X3982">
        <v>12</v>
      </c>
      <c r="Y3982" t="s">
        <v>24758</v>
      </c>
      <c r="Z3982" t="s">
        <v>31692</v>
      </c>
      <c r="AA3982">
        <v>0.42787934644329562</v>
      </c>
      <c r="AB3982" t="str">
        <f>HYPERLINK("Melting_Curves/meltCurve_Q5JTD0_2_TJAP1.pdf", "Melting_Curves/meltCurve_Q5JTD0_2_TJAP1.pdf")</f>
        <v>Melting_Curves/meltCurve_Q5JTD0_2_TJAP1.pdf</v>
      </c>
    </row>
    <row r="3983" spans="1:28" x14ac:dyDescent="0.25">
      <c r="A3983" t="s">
        <v>3987</v>
      </c>
      <c r="B3983">
        <v>0.99999676499088797</v>
      </c>
      <c r="C3983">
        <v>0.915547917124514</v>
      </c>
      <c r="D3983">
        <v>0.55716439338242496</v>
      </c>
      <c r="E3983">
        <v>0.29735392688835599</v>
      </c>
      <c r="F3983">
        <v>0.22314794054707701</v>
      </c>
      <c r="G3983">
        <v>0.18886462887268399</v>
      </c>
      <c r="H3983">
        <v>8.8167706416432304E-2</v>
      </c>
      <c r="I3983">
        <v>9.43528160042887E-2</v>
      </c>
      <c r="J3983">
        <v>0.10958121557357101</v>
      </c>
      <c r="K3983">
        <v>9.08166379512311E-2</v>
      </c>
      <c r="L3983">
        <v>990.39469305283603</v>
      </c>
      <c r="M3983">
        <v>21.337087960622199</v>
      </c>
      <c r="N3983">
        <v>47.0002883193687</v>
      </c>
      <c r="O3983">
        <v>46.014642811208901</v>
      </c>
      <c r="P3983">
        <v>-0.102435491493774</v>
      </c>
      <c r="Q3983">
        <v>0.116390481912268</v>
      </c>
      <c r="R3983">
        <v>0.98797808674722598</v>
      </c>
      <c r="S3983" t="s">
        <v>10986</v>
      </c>
      <c r="T3983" t="s">
        <v>14004</v>
      </c>
      <c r="U3983" t="s">
        <v>14004</v>
      </c>
      <c r="V3983" t="s">
        <v>14004</v>
      </c>
      <c r="W3983" t="s">
        <v>17938</v>
      </c>
      <c r="X3983">
        <v>10</v>
      </c>
      <c r="Y3983" t="s">
        <v>24759</v>
      </c>
      <c r="Z3983" t="s">
        <v>31693</v>
      </c>
      <c r="AA3983">
        <v>0.31687086450661472</v>
      </c>
      <c r="AB3983" t="str">
        <f>HYPERLINK("Melting_Curves/meltCurve_Q5JTH9_2_RRP12.pdf", "Melting_Curves/meltCurve_Q5JTH9_2_RRP12.pdf")</f>
        <v>Melting_Curves/meltCurve_Q5JTH9_2_RRP12.pdf</v>
      </c>
    </row>
    <row r="3984" spans="1:28" x14ac:dyDescent="0.25">
      <c r="A3984" t="s">
        <v>3988</v>
      </c>
      <c r="B3984">
        <v>0.99999676499088797</v>
      </c>
      <c r="C3984">
        <v>0.930571583925906</v>
      </c>
      <c r="D3984">
        <v>1.0168128896453801</v>
      </c>
      <c r="E3984">
        <v>0.97579134146502899</v>
      </c>
      <c r="F3984">
        <v>0.94894280350868498</v>
      </c>
      <c r="G3984">
        <v>0.89007457883686902</v>
      </c>
      <c r="H3984">
        <v>0.68268551744293604</v>
      </c>
      <c r="I3984">
        <v>0.69081129074255798</v>
      </c>
      <c r="J3984">
        <v>0.70020146968045704</v>
      </c>
      <c r="K3984">
        <v>0.80621343054737304</v>
      </c>
      <c r="L3984">
        <v>14224.7968558172</v>
      </c>
      <c r="M3984">
        <v>250</v>
      </c>
      <c r="O3984">
        <v>56.895546026392502</v>
      </c>
      <c r="P3984">
        <v>-0.307605445706439</v>
      </c>
      <c r="Q3984">
        <v>0.71997792250788895</v>
      </c>
      <c r="R3984">
        <v>0.88500999991349305</v>
      </c>
      <c r="S3984" t="s">
        <v>10987</v>
      </c>
      <c r="T3984" t="s">
        <v>14004</v>
      </c>
      <c r="U3984" t="s">
        <v>14004</v>
      </c>
      <c r="V3984" t="s">
        <v>14004</v>
      </c>
      <c r="W3984" t="s">
        <v>17939</v>
      </c>
      <c r="X3984">
        <v>8</v>
      </c>
      <c r="Y3984" t="s">
        <v>24760</v>
      </c>
      <c r="Z3984" t="s">
        <v>31694</v>
      </c>
      <c r="AA3984">
        <v>0.87774407039830793</v>
      </c>
      <c r="AB3984" t="str">
        <f>HYPERLINK("Melting_Curves/meltCurve_Q5JTJ3_3_COA6.pdf", "Melting_Curves/meltCurve_Q5JTJ3_3_COA6.pdf")</f>
        <v>Melting_Curves/meltCurve_Q5JTJ3_3_COA6.pdf</v>
      </c>
    </row>
    <row r="3985" spans="1:28" x14ac:dyDescent="0.25">
      <c r="A3985" t="s">
        <v>3989</v>
      </c>
      <c r="B3985">
        <v>0.99999676499088797</v>
      </c>
      <c r="C3985">
        <v>0.913640206127173</v>
      </c>
      <c r="D3985">
        <v>0.63532541893329797</v>
      </c>
      <c r="E3985">
        <v>0.38315495336515798</v>
      </c>
      <c r="F3985">
        <v>0.26638790725123701</v>
      </c>
      <c r="G3985">
        <v>0.21072897247202599</v>
      </c>
      <c r="H3985">
        <v>0.12635133210094099</v>
      </c>
      <c r="I3985">
        <v>0.10970429777009399</v>
      </c>
      <c r="J3985">
        <v>0.105634626356902</v>
      </c>
      <c r="K3985">
        <v>9.6227946306180201E-2</v>
      </c>
      <c r="L3985">
        <v>802.37650711803201</v>
      </c>
      <c r="M3985">
        <v>16.911309888295399</v>
      </c>
      <c r="N3985">
        <v>48.1713395584759</v>
      </c>
      <c r="O3985">
        <v>46.797589531249798</v>
      </c>
      <c r="P3985">
        <v>-8.0194653726058704E-2</v>
      </c>
      <c r="Q3985">
        <v>0.112385347701139</v>
      </c>
      <c r="R3985">
        <v>0.99202229348403603</v>
      </c>
      <c r="S3985" t="s">
        <v>10988</v>
      </c>
      <c r="T3985" t="s">
        <v>14004</v>
      </c>
      <c r="U3985" t="s">
        <v>14004</v>
      </c>
      <c r="V3985" t="s">
        <v>14004</v>
      </c>
      <c r="W3985" t="s">
        <v>17940</v>
      </c>
      <c r="X3985">
        <v>7</v>
      </c>
      <c r="Y3985" t="s">
        <v>24761</v>
      </c>
      <c r="Z3985" t="s">
        <v>31695</v>
      </c>
      <c r="AA3985">
        <v>0.3510261806010071</v>
      </c>
      <c r="AB3985" t="str">
        <f>HYPERLINK("Melting_Curves/meltCurve_Q5JTV1_GMEB2.pdf", "Melting_Curves/meltCurve_Q5JTV1_GMEB2.pdf")</f>
        <v>Melting_Curves/meltCurve_Q5JTV1_GMEB2.pdf</v>
      </c>
    </row>
    <row r="3986" spans="1:28" x14ac:dyDescent="0.25">
      <c r="A3986" t="s">
        <v>3990</v>
      </c>
      <c r="B3986">
        <v>0.99999676499088797</v>
      </c>
      <c r="C3986">
        <v>0.98962733540291103</v>
      </c>
      <c r="D3986">
        <v>1.05200469477464</v>
      </c>
      <c r="E3986">
        <v>0.99057869986347902</v>
      </c>
      <c r="F3986">
        <v>0.77046515867549403</v>
      </c>
      <c r="G3986">
        <v>0.53240812061606402</v>
      </c>
      <c r="H3986">
        <v>0.19908268484605601</v>
      </c>
      <c r="I3986">
        <v>0.14791639973555001</v>
      </c>
      <c r="J3986">
        <v>0.133518126495416</v>
      </c>
      <c r="K3986">
        <v>0.121883874515582</v>
      </c>
      <c r="L3986">
        <v>1332.02145737858</v>
      </c>
      <c r="M3986">
        <v>23.714323184471802</v>
      </c>
      <c r="N3986">
        <v>56.736274321138197</v>
      </c>
      <c r="O3986">
        <v>55.774641285651597</v>
      </c>
      <c r="P3986">
        <v>-9.5086322916545604E-2</v>
      </c>
      <c r="Q3986">
        <v>0.105465887886841</v>
      </c>
      <c r="R3986">
        <v>0.99438275742365101</v>
      </c>
      <c r="S3986" t="s">
        <v>10989</v>
      </c>
      <c r="T3986" t="s">
        <v>14004</v>
      </c>
      <c r="U3986" t="s">
        <v>14004</v>
      </c>
      <c r="V3986" t="s">
        <v>14004</v>
      </c>
      <c r="W3986" t="s">
        <v>15113</v>
      </c>
      <c r="X3986">
        <v>23</v>
      </c>
      <c r="Y3986" t="s">
        <v>22045</v>
      </c>
      <c r="Z3986" t="s">
        <v>31696</v>
      </c>
      <c r="AA3986">
        <v>0.59652507980475156</v>
      </c>
      <c r="AB3986" t="str">
        <f>HYPERLINK("Melting_Curves/meltCurve_Q5JTV8_TOR1AIP1.pdf", "Melting_Curves/meltCurve_Q5JTV8_TOR1AIP1.pdf")</f>
        <v>Melting_Curves/meltCurve_Q5JTV8_TOR1AIP1.pdf</v>
      </c>
    </row>
    <row r="3987" spans="1:28" x14ac:dyDescent="0.25">
      <c r="A3987" t="s">
        <v>3991</v>
      </c>
      <c r="B3987">
        <v>0.99999676499088797</v>
      </c>
      <c r="C3987">
        <v>1.0322266197530101</v>
      </c>
      <c r="D3987">
        <v>0.89484366177065899</v>
      </c>
      <c r="E3987">
        <v>0.55130412083953395</v>
      </c>
      <c r="F3987">
        <v>0.28104317848103499</v>
      </c>
      <c r="G3987">
        <v>0.194174955062072</v>
      </c>
      <c r="H3987">
        <v>8.8805661384871601E-2</v>
      </c>
      <c r="I3987">
        <v>8.2778190142943298E-2</v>
      </c>
      <c r="J3987">
        <v>7.2616843890318195E-2</v>
      </c>
      <c r="K3987">
        <v>6.4585337855396496E-2</v>
      </c>
      <c r="L3987">
        <v>1078.55277362163</v>
      </c>
      <c r="M3987">
        <v>21.568491389105201</v>
      </c>
      <c r="N3987">
        <v>50.4081458653501</v>
      </c>
      <c r="O3987">
        <v>49.582008005521203</v>
      </c>
      <c r="P3987">
        <v>-0.10015723592395299</v>
      </c>
      <c r="Q3987">
        <v>7.9049287619251604E-2</v>
      </c>
      <c r="R3987">
        <v>0.99501115271486296</v>
      </c>
      <c r="S3987" t="s">
        <v>10990</v>
      </c>
      <c r="T3987" t="s">
        <v>14004</v>
      </c>
      <c r="U3987" t="s">
        <v>14004</v>
      </c>
      <c r="V3987" t="s">
        <v>14004</v>
      </c>
      <c r="W3987" t="s">
        <v>17941</v>
      </c>
      <c r="X3987">
        <v>26</v>
      </c>
      <c r="Y3987" t="s">
        <v>24762</v>
      </c>
      <c r="Z3987" t="s">
        <v>31697</v>
      </c>
      <c r="AA3987">
        <v>0.39726852628883208</v>
      </c>
      <c r="AB3987" t="str">
        <f>HYPERLINK("Melting_Curves/meltCurve_Q5JTZ9_AARS2.pdf", "Melting_Curves/meltCurve_Q5JTZ9_AARS2.pdf")</f>
        <v>Melting_Curves/meltCurve_Q5JTZ9_AARS2.pdf</v>
      </c>
    </row>
    <row r="3988" spans="1:28" x14ac:dyDescent="0.25">
      <c r="A3988" t="s">
        <v>3992</v>
      </c>
      <c r="B3988">
        <v>0.99999676499088797</v>
      </c>
      <c r="C3988">
        <v>1.189805785913</v>
      </c>
      <c r="D3988">
        <v>0.90091419239841897</v>
      </c>
      <c r="E3988">
        <v>0.56848730095247701</v>
      </c>
      <c r="F3988">
        <v>0.55453610636516404</v>
      </c>
      <c r="G3988">
        <v>0.42697797871264898</v>
      </c>
      <c r="H3988">
        <v>0.16244063125261099</v>
      </c>
      <c r="I3988">
        <v>0.11342044809851801</v>
      </c>
      <c r="J3988">
        <v>0.11807254670900701</v>
      </c>
      <c r="K3988">
        <v>7.1321919604248205E-2</v>
      </c>
      <c r="L3988">
        <v>679.67238706340697</v>
      </c>
      <c r="M3988">
        <v>12.7662957603631</v>
      </c>
      <c r="N3988">
        <v>53.5635996572829</v>
      </c>
      <c r="O3988">
        <v>51.9839772717865</v>
      </c>
      <c r="P3988">
        <v>-5.9125293171536399E-2</v>
      </c>
      <c r="Q3988">
        <v>3.71567881217887E-2</v>
      </c>
      <c r="R3988">
        <v>0.938331299538816</v>
      </c>
      <c r="S3988" t="s">
        <v>10991</v>
      </c>
      <c r="T3988" t="s">
        <v>14004</v>
      </c>
      <c r="U3988" t="s">
        <v>14004</v>
      </c>
      <c r="V3988" t="s">
        <v>14004</v>
      </c>
      <c r="W3988" t="s">
        <v>17942</v>
      </c>
      <c r="X3988">
        <v>2</v>
      </c>
      <c r="Y3988" t="s">
        <v>24763</v>
      </c>
      <c r="Z3988" t="s">
        <v>31698</v>
      </c>
      <c r="AA3988">
        <v>0.48718183100391133</v>
      </c>
      <c r="AB3988" t="str">
        <f>HYPERLINK("Melting_Curves/meltCurve_Q5JU69_TOR2A.pdf", "Melting_Curves/meltCurve_Q5JU69_TOR2A.pdf")</f>
        <v>Melting_Curves/meltCurve_Q5JU69_TOR2A.pdf</v>
      </c>
    </row>
    <row r="3989" spans="1:28" x14ac:dyDescent="0.25">
      <c r="A3989" t="s">
        <v>3993</v>
      </c>
      <c r="B3989">
        <v>0.99999676499088797</v>
      </c>
      <c r="C3989">
        <v>0.93873275339172202</v>
      </c>
      <c r="D3989">
        <v>0.96628277640135896</v>
      </c>
      <c r="E3989">
        <v>0.75568046275460299</v>
      </c>
      <c r="F3989">
        <v>0.87547402768461802</v>
      </c>
      <c r="G3989">
        <v>0.68801855818373203</v>
      </c>
      <c r="H3989">
        <v>0.432824193358811</v>
      </c>
      <c r="I3989">
        <v>0.47281384211133198</v>
      </c>
      <c r="J3989">
        <v>0.38285204760441999</v>
      </c>
      <c r="K3989">
        <v>0.569473054800545</v>
      </c>
      <c r="L3989">
        <v>693.35088379306501</v>
      </c>
      <c r="M3989">
        <v>12.660092993003</v>
      </c>
      <c r="N3989">
        <v>63.2722261736183</v>
      </c>
      <c r="O3989">
        <v>53.454119776870598</v>
      </c>
      <c r="P3989">
        <v>-3.5010129965640603E-2</v>
      </c>
      <c r="Q3989">
        <v>0.40882924842590401</v>
      </c>
      <c r="R3989">
        <v>0.86548835961814696</v>
      </c>
      <c r="S3989" t="s">
        <v>10992</v>
      </c>
      <c r="T3989" t="s">
        <v>14004</v>
      </c>
      <c r="U3989" t="s">
        <v>14004</v>
      </c>
      <c r="V3989" t="s">
        <v>14004</v>
      </c>
      <c r="W3989" t="s">
        <v>17943</v>
      </c>
      <c r="X3989">
        <v>3</v>
      </c>
      <c r="Y3989" t="s">
        <v>24764</v>
      </c>
      <c r="Z3989" t="s">
        <v>31699</v>
      </c>
      <c r="AA3989">
        <v>0.71347536983976967</v>
      </c>
      <c r="AB3989" t="str">
        <f>HYPERLINK("Melting_Curves/meltCurve_Q5JUL1_PAGE5.pdf", "Melting_Curves/meltCurve_Q5JUL1_PAGE5.pdf")</f>
        <v>Melting_Curves/meltCurve_Q5JUL1_PAGE5.pdf</v>
      </c>
    </row>
    <row r="3990" spans="1:28" x14ac:dyDescent="0.25">
      <c r="A3990" t="s">
        <v>3994</v>
      </c>
      <c r="B3990">
        <v>0.99999676499088797</v>
      </c>
      <c r="C3990">
        <v>0.863072057994549</v>
      </c>
      <c r="D3990">
        <v>0.72704339751539004</v>
      </c>
      <c r="E3990">
        <v>0.45331024685364202</v>
      </c>
      <c r="F3990">
        <v>0.33491621645831798</v>
      </c>
      <c r="G3990">
        <v>0.23005259467365799</v>
      </c>
      <c r="H3990">
        <v>9.6078735135809806E-2</v>
      </c>
      <c r="I3990">
        <v>5.7693755337083798E-2</v>
      </c>
      <c r="J3990">
        <v>9.4939603354085397E-2</v>
      </c>
      <c r="K3990">
        <v>5.6955493631660699E-2</v>
      </c>
      <c r="L3990">
        <v>623.76632922604597</v>
      </c>
      <c r="M3990">
        <v>12.673012040172599</v>
      </c>
      <c r="N3990">
        <v>49.548726224491098</v>
      </c>
      <c r="O3990">
        <v>48.042737197825197</v>
      </c>
      <c r="P3990">
        <v>-6.3300309289409301E-2</v>
      </c>
      <c r="Q3990">
        <v>4.0313888554664501E-2</v>
      </c>
      <c r="R3990">
        <v>0.99222862947147195</v>
      </c>
      <c r="S3990" t="s">
        <v>10993</v>
      </c>
      <c r="T3990" t="s">
        <v>14004</v>
      </c>
      <c r="U3990" t="s">
        <v>14004</v>
      </c>
      <c r="V3990" t="s">
        <v>14004</v>
      </c>
      <c r="W3990" t="s">
        <v>17944</v>
      </c>
      <c r="X3990">
        <v>2</v>
      </c>
      <c r="Y3990" t="s">
        <v>24765</v>
      </c>
      <c r="Z3990" t="s">
        <v>31700</v>
      </c>
      <c r="AA3990">
        <v>0.36700516108168107</v>
      </c>
      <c r="AB3990" t="str">
        <f>HYPERLINK("Melting_Curves/meltCurve_Q5JUR7_TEX30.pdf", "Melting_Curves/meltCurve_Q5JUR7_TEX30.pdf")</f>
        <v>Melting_Curves/meltCurve_Q5JUR7_TEX30.pdf</v>
      </c>
    </row>
    <row r="3991" spans="1:28" x14ac:dyDescent="0.25">
      <c r="A3991" t="s">
        <v>3995</v>
      </c>
      <c r="B3991">
        <v>0.99999676499088797</v>
      </c>
      <c r="C3991">
        <v>0.99110066022800303</v>
      </c>
      <c r="D3991">
        <v>0.98775536382436202</v>
      </c>
      <c r="E3991">
        <v>0.91058522788110396</v>
      </c>
      <c r="F3991">
        <v>0.44438048941236002</v>
      </c>
      <c r="G3991">
        <v>0.24911426162821301</v>
      </c>
      <c r="H3991">
        <v>0.10710751057574899</v>
      </c>
      <c r="I3991">
        <v>0.10694953251639901</v>
      </c>
      <c r="J3991">
        <v>7.9907727963359404E-2</v>
      </c>
      <c r="K3991">
        <v>7.5833034085068807E-2</v>
      </c>
      <c r="L3991">
        <v>1530.36929309671</v>
      </c>
      <c r="M3991">
        <v>29.042538720502499</v>
      </c>
      <c r="N3991">
        <v>53.074678106533703</v>
      </c>
      <c r="O3991">
        <v>52.4461308936894</v>
      </c>
      <c r="P3991">
        <v>-0.125426391324863</v>
      </c>
      <c r="Q3991">
        <v>9.4007642184026893E-2</v>
      </c>
      <c r="R3991">
        <v>0.995713251995611</v>
      </c>
      <c r="S3991" t="s">
        <v>10994</v>
      </c>
      <c r="T3991" t="s">
        <v>14004</v>
      </c>
      <c r="U3991" t="s">
        <v>14004</v>
      </c>
      <c r="V3991" t="s">
        <v>14004</v>
      </c>
      <c r="W3991" t="s">
        <v>17945</v>
      </c>
      <c r="X3991">
        <v>6</v>
      </c>
      <c r="Y3991" t="s">
        <v>24766</v>
      </c>
      <c r="Z3991" t="s">
        <v>31701</v>
      </c>
      <c r="AA3991">
        <v>0.48359914637270418</v>
      </c>
      <c r="AB3991" t="str">
        <f>HYPERLINK("Melting_Curves/meltCurve_Q5JUW8_DLG3.pdf", "Melting_Curves/meltCurve_Q5JUW8_DLG3.pdf")</f>
        <v>Melting_Curves/meltCurve_Q5JUW8_DLG3.pdf</v>
      </c>
    </row>
    <row r="3992" spans="1:28" x14ac:dyDescent="0.25">
      <c r="A3992" t="s">
        <v>3996</v>
      </c>
      <c r="B3992">
        <v>0.99999676499088797</v>
      </c>
      <c r="C3992">
        <v>1.0765342719967701</v>
      </c>
      <c r="D3992">
        <v>0.86788665089550998</v>
      </c>
      <c r="E3992">
        <v>0.31572989219498898</v>
      </c>
      <c r="F3992">
        <v>0.18605766815938199</v>
      </c>
      <c r="G3992">
        <v>0.117946882932518</v>
      </c>
      <c r="H3992">
        <v>6.4200570692143993E-2</v>
      </c>
      <c r="I3992">
        <v>6.2732426140545E-2</v>
      </c>
      <c r="J3992">
        <v>6.0241188193224299E-2</v>
      </c>
      <c r="K3992">
        <v>5.3632537358401997E-2</v>
      </c>
      <c r="L3992">
        <v>1727.0767271673201</v>
      </c>
      <c r="M3992">
        <v>35.7863955853338</v>
      </c>
      <c r="N3992">
        <v>48.503823191177801</v>
      </c>
      <c r="O3992">
        <v>48.110766728630097</v>
      </c>
      <c r="P3992">
        <v>-0.17069122830970501</v>
      </c>
      <c r="Q3992">
        <v>8.2102974542143395E-2</v>
      </c>
      <c r="R3992">
        <v>0.99008461855331598</v>
      </c>
      <c r="S3992" t="s">
        <v>10995</v>
      </c>
      <c r="T3992" t="s">
        <v>14004</v>
      </c>
      <c r="U3992" t="s">
        <v>14004</v>
      </c>
      <c r="V3992" t="s">
        <v>14004</v>
      </c>
      <c r="W3992" t="s">
        <v>17946</v>
      </c>
      <c r="X3992">
        <v>10</v>
      </c>
      <c r="Y3992" t="s">
        <v>24767</v>
      </c>
      <c r="Z3992" t="s">
        <v>31702</v>
      </c>
      <c r="AA3992">
        <v>0.33870274553262009</v>
      </c>
      <c r="AB3992" t="str">
        <f>HYPERLINK("Melting_Curves/meltCurve_Q5JVF3_3_PCID2.pdf", "Melting_Curves/meltCurve_Q5JVF3_3_PCID2.pdf")</f>
        <v>Melting_Curves/meltCurve_Q5JVF3_3_PCID2.pdf</v>
      </c>
    </row>
    <row r="3993" spans="1:28" x14ac:dyDescent="0.25">
      <c r="A3993" t="s">
        <v>3997</v>
      </c>
      <c r="B3993">
        <v>0.99999676499088797</v>
      </c>
      <c r="C3993">
        <v>0.90903846769458796</v>
      </c>
      <c r="D3993">
        <v>1.0004824832994801</v>
      </c>
      <c r="E3993">
        <v>0.90835890166133604</v>
      </c>
      <c r="F3993">
        <v>0.600008693667061</v>
      </c>
      <c r="G3993">
        <v>0.457045168994476</v>
      </c>
      <c r="H3993">
        <v>0.18421734399373699</v>
      </c>
      <c r="I3993">
        <v>0.17039830629448399</v>
      </c>
      <c r="J3993">
        <v>0.16640231396206001</v>
      </c>
      <c r="K3993">
        <v>0.15296983244171</v>
      </c>
      <c r="L3993">
        <v>1036.6906680480899</v>
      </c>
      <c r="M3993">
        <v>19.087338528421601</v>
      </c>
      <c r="N3993">
        <v>55.197343462925097</v>
      </c>
      <c r="O3993">
        <v>53.727390425560003</v>
      </c>
      <c r="P3993">
        <v>-7.71186013411366E-2</v>
      </c>
      <c r="Q3993">
        <v>0.13173477897675601</v>
      </c>
      <c r="R3993">
        <v>0.98557922934430198</v>
      </c>
      <c r="S3993" t="s">
        <v>10996</v>
      </c>
      <c r="T3993" t="s">
        <v>14004</v>
      </c>
      <c r="U3993" t="s">
        <v>14004</v>
      </c>
      <c r="V3993" t="s">
        <v>14004</v>
      </c>
      <c r="W3993" t="s">
        <v>17947</v>
      </c>
      <c r="X3993">
        <v>1</v>
      </c>
      <c r="Y3993" t="s">
        <v>24768</v>
      </c>
      <c r="Z3993" t="s">
        <v>31703</v>
      </c>
      <c r="AA3993">
        <v>0.55860269318644196</v>
      </c>
      <c r="AB3993" t="str">
        <f>HYPERLINK("Melting_Curves/meltCurve_Q5JVP3_PTGR1.pdf", "Melting_Curves/meltCurve_Q5JVP3_PTGR1.pdf")</f>
        <v>Melting_Curves/meltCurve_Q5JVP3_PTGR1.pdf</v>
      </c>
    </row>
    <row r="3994" spans="1:28" x14ac:dyDescent="0.25">
      <c r="A3994" t="s">
        <v>3998</v>
      </c>
      <c r="B3994">
        <v>0.99999676499088797</v>
      </c>
      <c r="C3994">
        <v>0.89446690117307703</v>
      </c>
      <c r="D3994">
        <v>1.0520084349929999</v>
      </c>
      <c r="E3994">
        <v>0.93050984536529902</v>
      </c>
      <c r="F3994">
        <v>0.73280806865557002</v>
      </c>
      <c r="G3994">
        <v>0.49755740604121901</v>
      </c>
      <c r="H3994">
        <v>0.32522337848530403</v>
      </c>
      <c r="I3994">
        <v>0.43770392417696602</v>
      </c>
      <c r="J3994">
        <v>0.466413599949002</v>
      </c>
      <c r="K3994">
        <v>0.55231663225996397</v>
      </c>
      <c r="L3994">
        <v>1973.97648837324</v>
      </c>
      <c r="M3994">
        <v>37.113117528487699</v>
      </c>
      <c r="N3994">
        <v>56.575996060682101</v>
      </c>
      <c r="O3994">
        <v>53.0343929279367</v>
      </c>
      <c r="P3994">
        <v>-9.6952081970623799E-2</v>
      </c>
      <c r="Q3994">
        <v>0.44582611298811498</v>
      </c>
      <c r="R3994">
        <v>0.93193932453366302</v>
      </c>
      <c r="S3994" t="s">
        <v>10997</v>
      </c>
      <c r="T3994" t="s">
        <v>14004</v>
      </c>
      <c r="U3994" t="s">
        <v>14004</v>
      </c>
      <c r="V3994" t="s">
        <v>14004</v>
      </c>
      <c r="W3994" t="s">
        <v>17948</v>
      </c>
      <c r="X3994">
        <v>5</v>
      </c>
      <c r="Y3994" t="s">
        <v>24769</v>
      </c>
      <c r="Z3994" t="s">
        <v>31704</v>
      </c>
      <c r="AA3994">
        <v>0.69180717669132974</v>
      </c>
      <c r="AB3994" t="str">
        <f>HYPERLINK("Melting_Curves/meltCurve_Q5JVS0_HABP4.pdf", "Melting_Curves/meltCurve_Q5JVS0_HABP4.pdf")</f>
        <v>Melting_Curves/meltCurve_Q5JVS0_HABP4.pdf</v>
      </c>
    </row>
    <row r="3995" spans="1:28" x14ac:dyDescent="0.25">
      <c r="A3995" t="s">
        <v>3999</v>
      </c>
      <c r="B3995">
        <v>0.99999676499088797</v>
      </c>
      <c r="C3995">
        <v>0.97812249173577104</v>
      </c>
      <c r="D3995">
        <v>0.76303573454621398</v>
      </c>
      <c r="E3995">
        <v>0.285706582565255</v>
      </c>
      <c r="F3995">
        <v>0.21183941374015899</v>
      </c>
      <c r="G3995">
        <v>0.187213447851379</v>
      </c>
      <c r="H3995">
        <v>9.3833204737153203E-2</v>
      </c>
      <c r="I3995">
        <v>0.13367619019549801</v>
      </c>
      <c r="J3995">
        <v>0.12693393976064599</v>
      </c>
      <c r="K3995">
        <v>0.107718249530558</v>
      </c>
      <c r="L3995">
        <v>1498.1564105060299</v>
      </c>
      <c r="M3995">
        <v>31.621945759594499</v>
      </c>
      <c r="N3995">
        <v>47.856268490672598</v>
      </c>
      <c r="O3995">
        <v>47.188851357510103</v>
      </c>
      <c r="P3995">
        <v>-0.14479727441342299</v>
      </c>
      <c r="Q3995">
        <v>0.135691370789153</v>
      </c>
      <c r="R3995">
        <v>0.99369944094222495</v>
      </c>
      <c r="S3995" t="s">
        <v>10998</v>
      </c>
      <c r="T3995" t="s">
        <v>14004</v>
      </c>
      <c r="U3995" t="s">
        <v>14004</v>
      </c>
      <c r="V3995" t="s">
        <v>14004</v>
      </c>
      <c r="W3995" t="s">
        <v>17949</v>
      </c>
      <c r="X3995">
        <v>11</v>
      </c>
      <c r="Y3995" t="s">
        <v>24770</v>
      </c>
      <c r="Z3995" t="s">
        <v>31705</v>
      </c>
      <c r="AA3995">
        <v>0.35286470223994371</v>
      </c>
      <c r="AB3995" t="str">
        <f>HYPERLINK("Melting_Curves/meltCurve_Q5JVZ5_ELMO2.pdf", "Melting_Curves/meltCurve_Q5JVZ5_ELMO2.pdf")</f>
        <v>Melting_Curves/meltCurve_Q5JVZ5_ELMO2.pdf</v>
      </c>
    </row>
    <row r="3996" spans="1:28" x14ac:dyDescent="0.25">
      <c r="A3996" t="s">
        <v>4000</v>
      </c>
      <c r="B3996">
        <v>0.99999676499088797</v>
      </c>
      <c r="C3996">
        <v>0.87609272885032896</v>
      </c>
      <c r="D3996">
        <v>0.892178914649293</v>
      </c>
      <c r="E3996">
        <v>0.87673323402009395</v>
      </c>
      <c r="F3996">
        <v>0.822490657534237</v>
      </c>
      <c r="G3996">
        <v>0.88298906543062405</v>
      </c>
      <c r="H3996">
        <v>1.05510784018276</v>
      </c>
      <c r="I3996">
        <v>0.79571336797983405</v>
      </c>
      <c r="J3996">
        <v>0.484246880839516</v>
      </c>
      <c r="K3996">
        <v>0.41592079263431903</v>
      </c>
      <c r="L3996">
        <v>4376.9188214020696</v>
      </c>
      <c r="M3996">
        <v>67.729946350327396</v>
      </c>
      <c r="N3996">
        <v>66.487650296031603</v>
      </c>
      <c r="O3996">
        <v>64.566828959812298</v>
      </c>
      <c r="P3996">
        <v>-0.15074744629776199</v>
      </c>
      <c r="Q3996">
        <v>0.42517113310433402</v>
      </c>
      <c r="R3996">
        <v>0.75766463792779204</v>
      </c>
      <c r="S3996" t="s">
        <v>10999</v>
      </c>
      <c r="T3996" t="s">
        <v>14004</v>
      </c>
      <c r="U3996" t="s">
        <v>14004</v>
      </c>
      <c r="V3996" t="s">
        <v>14004</v>
      </c>
      <c r="W3996" t="s">
        <v>17950</v>
      </c>
      <c r="X3996">
        <v>1</v>
      </c>
      <c r="Y3996" t="s">
        <v>24771</v>
      </c>
      <c r="Z3996" t="s">
        <v>31706</v>
      </c>
      <c r="AA3996">
        <v>0.8977423804854644</v>
      </c>
      <c r="AB3996" t="str">
        <f>HYPERLINK("Melting_Curves/meltCurve_Q5JW02_SLC35C2.pdf", "Melting_Curves/meltCurve_Q5JW02_SLC35C2.pdf")</f>
        <v>Melting_Curves/meltCurve_Q5JW02_SLC35C2.pdf</v>
      </c>
    </row>
    <row r="3997" spans="1:28" x14ac:dyDescent="0.25">
      <c r="A3997" t="s">
        <v>4001</v>
      </c>
      <c r="B3997">
        <v>0.99999676499088797</v>
      </c>
      <c r="C3997">
        <v>1.02990470219536</v>
      </c>
      <c r="D3997">
        <v>0.96245851633657198</v>
      </c>
      <c r="E3997">
        <v>0.91552318926614995</v>
      </c>
      <c r="F3997">
        <v>0.62977401614886896</v>
      </c>
      <c r="G3997">
        <v>0.41512472749345403</v>
      </c>
      <c r="H3997">
        <v>0.249496631934152</v>
      </c>
      <c r="I3997">
        <v>0.32149753718681801</v>
      </c>
      <c r="J3997">
        <v>0.45468327623372001</v>
      </c>
      <c r="K3997">
        <v>0.50358036726737199</v>
      </c>
      <c r="L3997">
        <v>1884.7701362427799</v>
      </c>
      <c r="M3997">
        <v>35.916311053343698</v>
      </c>
      <c r="N3997">
        <v>54.670067555451197</v>
      </c>
      <c r="O3997">
        <v>52.314836344123101</v>
      </c>
      <c r="P3997">
        <v>-0.10613127175220601</v>
      </c>
      <c r="Q3997">
        <v>0.381648953117175</v>
      </c>
      <c r="R3997">
        <v>0.94497443837085104</v>
      </c>
      <c r="S3997" t="s">
        <v>11000</v>
      </c>
      <c r="T3997" t="s">
        <v>14004</v>
      </c>
      <c r="U3997" t="s">
        <v>14004</v>
      </c>
      <c r="V3997" t="s">
        <v>14004</v>
      </c>
      <c r="W3997" t="s">
        <v>17951</v>
      </c>
      <c r="X3997">
        <v>1</v>
      </c>
      <c r="Y3997" t="s">
        <v>24772</v>
      </c>
      <c r="Z3997" t="s">
        <v>31707</v>
      </c>
      <c r="AA3997">
        <v>0.64159715489071945</v>
      </c>
      <c r="AB3997" t="str">
        <f>HYPERLINK("Melting_Curves/meltCurve_Q5JW30_STAU1.pdf", "Melting_Curves/meltCurve_Q5JW30_STAU1.pdf")</f>
        <v>Melting_Curves/meltCurve_Q5JW30_STAU1.pdf</v>
      </c>
    </row>
    <row r="3998" spans="1:28" x14ac:dyDescent="0.25">
      <c r="A3998" t="s">
        <v>4002</v>
      </c>
      <c r="B3998">
        <v>0.99999676499088797</v>
      </c>
      <c r="C3998">
        <v>1.0576969200005799</v>
      </c>
      <c r="D3998">
        <v>1.13618003866392</v>
      </c>
      <c r="E3998">
        <v>1.4173894138823899</v>
      </c>
      <c r="F3998">
        <v>1.15467771987948</v>
      </c>
      <c r="G3998">
        <v>1.2198047643571299</v>
      </c>
      <c r="H3998">
        <v>0.95890574052706801</v>
      </c>
      <c r="I3998">
        <v>1.0544923821965899</v>
      </c>
      <c r="J3998">
        <v>0.99234252659386901</v>
      </c>
      <c r="K3998">
        <v>1.27603145225194</v>
      </c>
      <c r="L3998">
        <v>2520.0123954189999</v>
      </c>
      <c r="M3998">
        <v>58.229760603368398</v>
      </c>
      <c r="O3998">
        <v>43.226098996441401</v>
      </c>
      <c r="P3998">
        <v>5.1150409419549903E-2</v>
      </c>
      <c r="Q3998">
        <v>1.15188327074356</v>
      </c>
      <c r="R3998">
        <v>0.13628090197474199</v>
      </c>
      <c r="S3998" t="s">
        <v>11001</v>
      </c>
      <c r="T3998" t="s">
        <v>14004</v>
      </c>
      <c r="U3998" t="s">
        <v>14004</v>
      </c>
      <c r="V3998" t="s">
        <v>14004</v>
      </c>
      <c r="W3998" t="s">
        <v>17952</v>
      </c>
      <c r="X3998">
        <v>3</v>
      </c>
      <c r="Y3998" t="s">
        <v>24773</v>
      </c>
      <c r="Z3998" t="s">
        <v>31708</v>
      </c>
      <c r="AA3998">
        <v>1.1350525239088809</v>
      </c>
      <c r="AB3998" t="str">
        <f>HYPERLINK("Melting_Curves/meltCurve_Q5JWB9_TMEM230.pdf", "Melting_Curves/meltCurve_Q5JWB9_TMEM230.pdf")</f>
        <v>Melting_Curves/meltCurve_Q5JWB9_TMEM230.pdf</v>
      </c>
    </row>
    <row r="3999" spans="1:28" x14ac:dyDescent="0.25">
      <c r="A3999" t="s">
        <v>4003</v>
      </c>
      <c r="B3999">
        <v>0.99999676499088797</v>
      </c>
      <c r="C3999">
        <v>1.13543041570713</v>
      </c>
      <c r="D3999">
        <v>1.10590899342303</v>
      </c>
      <c r="E3999">
        <v>1.07279390197908</v>
      </c>
      <c r="F3999">
        <v>0.75190607695499501</v>
      </c>
      <c r="G3999">
        <v>0.341391485998843</v>
      </c>
      <c r="H3999">
        <v>0.110047594216981</v>
      </c>
      <c r="I3999">
        <v>9.8230390469589104E-2</v>
      </c>
      <c r="J3999">
        <v>0.104074479339818</v>
      </c>
      <c r="K3999">
        <v>8.2050962341390199E-2</v>
      </c>
      <c r="L3999">
        <v>1877.14961973599</v>
      </c>
      <c r="M3999">
        <v>34.1249619058663</v>
      </c>
      <c r="N3999">
        <v>55.330700256112898</v>
      </c>
      <c r="O3999">
        <v>54.820235774261498</v>
      </c>
      <c r="P3999">
        <v>-0.14158439860383301</v>
      </c>
      <c r="Q3999">
        <v>9.0207360259078301E-2</v>
      </c>
      <c r="R3999">
        <v>0.97994168250221603</v>
      </c>
      <c r="S3999" t="s">
        <v>11002</v>
      </c>
      <c r="T3999" t="s">
        <v>14004</v>
      </c>
      <c r="U3999" t="s">
        <v>14004</v>
      </c>
      <c r="V3999" t="s">
        <v>14004</v>
      </c>
      <c r="W3999" t="s">
        <v>17953</v>
      </c>
      <c r="X3999">
        <v>8</v>
      </c>
      <c r="Y3999" t="s">
        <v>24774</v>
      </c>
      <c r="Z3999" t="s">
        <v>31709</v>
      </c>
      <c r="AA3999">
        <v>0.55006250929452138</v>
      </c>
      <c r="AB3999" t="str">
        <f>HYPERLINK("Melting_Curves/meltCurve_Q5JWT2_MED23.pdf", "Melting_Curves/meltCurve_Q5JWT2_MED23.pdf")</f>
        <v>Melting_Curves/meltCurve_Q5JWT2_MED23.pdf</v>
      </c>
    </row>
    <row r="4000" spans="1:28" x14ac:dyDescent="0.25">
      <c r="A4000" t="s">
        <v>4004</v>
      </c>
      <c r="B4000">
        <v>0.99999676499088797</v>
      </c>
      <c r="C4000">
        <v>0.99103447121224997</v>
      </c>
      <c r="D4000">
        <v>0.55137649799505395</v>
      </c>
      <c r="E4000">
        <v>0.395879603532027</v>
      </c>
      <c r="F4000">
        <v>0.33563260295721498</v>
      </c>
      <c r="G4000">
        <v>0.198362317349845</v>
      </c>
      <c r="H4000">
        <v>9.3826394024701207E-2</v>
      </c>
      <c r="I4000">
        <v>9.6122224288692201E-2</v>
      </c>
      <c r="J4000">
        <v>8.7280943601497504E-2</v>
      </c>
      <c r="K4000">
        <v>7.7706606096372505E-2</v>
      </c>
      <c r="L4000">
        <v>735.955405596525</v>
      </c>
      <c r="M4000">
        <v>15.4272147526243</v>
      </c>
      <c r="N4000">
        <v>48.335851130610997</v>
      </c>
      <c r="O4000">
        <v>46.924997969246398</v>
      </c>
      <c r="P4000">
        <v>-7.4703011299603703E-2</v>
      </c>
      <c r="Q4000">
        <v>9.1184897980153501E-2</v>
      </c>
      <c r="R4000">
        <v>0.96167252693138805</v>
      </c>
      <c r="S4000" t="s">
        <v>11003</v>
      </c>
      <c r="T4000" t="s">
        <v>14004</v>
      </c>
      <c r="U4000" t="s">
        <v>14004</v>
      </c>
      <c r="V4000" t="s">
        <v>14004</v>
      </c>
      <c r="W4000" t="s">
        <v>17954</v>
      </c>
      <c r="X4000">
        <v>20</v>
      </c>
      <c r="Y4000" t="s">
        <v>24775</v>
      </c>
      <c r="Z4000" t="s">
        <v>31710</v>
      </c>
      <c r="AA4000">
        <v>0.34702119992364699</v>
      </c>
      <c r="AB4000" t="str">
        <f>HYPERLINK("Melting_Curves/meltCurve_Q5JY65_CRNKL1.pdf", "Melting_Curves/meltCurve_Q5JY65_CRNKL1.pdf")</f>
        <v>Melting_Curves/meltCurve_Q5JY65_CRNKL1.pdf</v>
      </c>
    </row>
    <row r="4001" spans="1:28" x14ac:dyDescent="0.25">
      <c r="A4001" t="s">
        <v>4005</v>
      </c>
      <c r="B4001">
        <v>0.99999676499088797</v>
      </c>
      <c r="C4001">
        <v>0.60492805215933299</v>
      </c>
      <c r="D4001">
        <v>0.21716721388575899</v>
      </c>
      <c r="E4001">
        <v>0.13701391560638501</v>
      </c>
      <c r="F4001">
        <v>0.12339264698213399</v>
      </c>
      <c r="G4001">
        <v>5.9989230434600103E-2</v>
      </c>
      <c r="H4001">
        <v>3.8528269969916998E-2</v>
      </c>
      <c r="I4001">
        <v>3.2011410705868902E-2</v>
      </c>
      <c r="J4001">
        <v>2.4448170002402101E-2</v>
      </c>
      <c r="K4001">
        <v>2.97170027293455E-2</v>
      </c>
      <c r="L4001">
        <v>1323.8398687475101</v>
      </c>
      <c r="M4001">
        <v>30.425851295939498</v>
      </c>
      <c r="N4001">
        <v>43.692040102190099</v>
      </c>
      <c r="O4001">
        <v>43.323712353314399</v>
      </c>
      <c r="P4001">
        <v>-0.16514143841482801</v>
      </c>
      <c r="Q4001">
        <v>5.94189832220944E-2</v>
      </c>
      <c r="R4001">
        <v>0.984681480152795</v>
      </c>
      <c r="S4001" t="s">
        <v>11004</v>
      </c>
      <c r="T4001" t="s">
        <v>14004</v>
      </c>
      <c r="U4001" t="s">
        <v>14004</v>
      </c>
      <c r="V4001" t="s">
        <v>14004</v>
      </c>
      <c r="W4001" t="s">
        <v>17955</v>
      </c>
      <c r="X4001">
        <v>6</v>
      </c>
      <c r="Y4001" t="s">
        <v>24776</v>
      </c>
      <c r="Z4001" t="s">
        <v>31711</v>
      </c>
      <c r="AA4001">
        <v>0.17679381156727281</v>
      </c>
      <c r="AB4001" t="str">
        <f>HYPERLINK("Melting_Curves/meltCurve_Q5K651_SAMD9.pdf", "Melting_Curves/meltCurve_Q5K651_SAMD9.pdf")</f>
        <v>Melting_Curves/meltCurve_Q5K651_SAMD9.pdf</v>
      </c>
    </row>
    <row r="4002" spans="1:28" x14ac:dyDescent="0.25">
      <c r="A4002" t="s">
        <v>4006</v>
      </c>
      <c r="B4002">
        <v>0.99999676499088797</v>
      </c>
      <c r="C4002">
        <v>0.94386196256308097</v>
      </c>
      <c r="D4002">
        <v>0.95082074936581396</v>
      </c>
      <c r="E4002">
        <v>0.69065396765780096</v>
      </c>
      <c r="F4002">
        <v>0.32083640590621898</v>
      </c>
      <c r="G4002">
        <v>0.24252757191941601</v>
      </c>
      <c r="H4002">
        <v>0.141715454409755</v>
      </c>
      <c r="I4002">
        <v>0.17876132343145701</v>
      </c>
      <c r="J4002">
        <v>0.15762337828973</v>
      </c>
      <c r="K4002">
        <v>0.20181475934498799</v>
      </c>
      <c r="L4002">
        <v>1388.19848526795</v>
      </c>
      <c r="M4002">
        <v>27.502037142652998</v>
      </c>
      <c r="N4002">
        <v>51.265923783112498</v>
      </c>
      <c r="O4002">
        <v>50.211593048209203</v>
      </c>
      <c r="P4002">
        <v>-0.11328742967783299</v>
      </c>
      <c r="Q4002">
        <v>0.17267365908840701</v>
      </c>
      <c r="R4002">
        <v>0.99475097665226897</v>
      </c>
      <c r="S4002" t="s">
        <v>11005</v>
      </c>
      <c r="T4002" t="s">
        <v>14004</v>
      </c>
      <c r="U4002" t="s">
        <v>14004</v>
      </c>
      <c r="V4002" t="s">
        <v>14004</v>
      </c>
      <c r="W4002" t="s">
        <v>17956</v>
      </c>
      <c r="X4002">
        <v>3</v>
      </c>
      <c r="Y4002" t="s">
        <v>24777</v>
      </c>
      <c r="Z4002" t="s">
        <v>31712</v>
      </c>
      <c r="AA4002">
        <v>0.46772348631173682</v>
      </c>
      <c r="AB4002" t="str">
        <f>HYPERLINK("Melting_Curves/meltCurve_Q5M775_5_SPECC1.pdf", "Melting_Curves/meltCurve_Q5M775_5_SPECC1.pdf")</f>
        <v>Melting_Curves/meltCurve_Q5M775_5_SPECC1.pdf</v>
      </c>
    </row>
    <row r="4003" spans="1:28" x14ac:dyDescent="0.25">
      <c r="A4003" t="s">
        <v>4007</v>
      </c>
      <c r="B4003">
        <v>0.99999676499088797</v>
      </c>
      <c r="C4003">
        <v>0.72677057475206297</v>
      </c>
      <c r="D4003">
        <v>0.80259743013445795</v>
      </c>
      <c r="E4003">
        <v>0.302315867621891</v>
      </c>
      <c r="F4003">
        <v>0.25259006959318198</v>
      </c>
      <c r="G4003">
        <v>0.15393814799525099</v>
      </c>
      <c r="H4003">
        <v>0.10484840868057101</v>
      </c>
      <c r="I4003">
        <v>7.2822819075134701E-2</v>
      </c>
      <c r="J4003">
        <v>0.14733213492674599</v>
      </c>
      <c r="K4003">
        <v>0.107876550576697</v>
      </c>
      <c r="L4003">
        <v>790.95255134704803</v>
      </c>
      <c r="M4003">
        <v>16.672776048870102</v>
      </c>
      <c r="N4003">
        <v>48.060471559063899</v>
      </c>
      <c r="O4003">
        <v>46.773038954421303</v>
      </c>
      <c r="P4003">
        <v>-8.0488807899999001E-2</v>
      </c>
      <c r="Q4003">
        <v>9.6861384115530802E-2</v>
      </c>
      <c r="R4003">
        <v>0.94974617919166204</v>
      </c>
      <c r="S4003" t="s">
        <v>11006</v>
      </c>
      <c r="T4003" t="s">
        <v>14004</v>
      </c>
      <c r="U4003" t="s">
        <v>14004</v>
      </c>
      <c r="V4003" t="s">
        <v>14004</v>
      </c>
      <c r="W4003" t="s">
        <v>17957</v>
      </c>
      <c r="X4003">
        <v>8</v>
      </c>
      <c r="Y4003" t="s">
        <v>24778</v>
      </c>
      <c r="Z4003" t="s">
        <v>31713</v>
      </c>
      <c r="AA4003">
        <v>0.34005529250719291</v>
      </c>
      <c r="AB4003" t="str">
        <f>HYPERLINK("Melting_Curves/meltCurve_Q5MIZ7_3_SMEK2.pdf", "Melting_Curves/meltCurve_Q5MIZ7_3_SMEK2.pdf")</f>
        <v>Melting_Curves/meltCurve_Q5MIZ7_3_SMEK2.pdf</v>
      </c>
    </row>
    <row r="4004" spans="1:28" x14ac:dyDescent="0.25">
      <c r="A4004" t="s">
        <v>4008</v>
      </c>
      <c r="B4004">
        <v>0.99999676499088797</v>
      </c>
      <c r="C4004">
        <v>0.94309921457812795</v>
      </c>
      <c r="D4004">
        <v>1.0169118864667901</v>
      </c>
      <c r="E4004">
        <v>1.12156179853909</v>
      </c>
      <c r="F4004">
        <v>1.09021060055262</v>
      </c>
      <c r="G4004">
        <v>0.87327631977091902</v>
      </c>
      <c r="H4004">
        <v>0.66343511902816599</v>
      </c>
      <c r="I4004">
        <v>0.45750413279934699</v>
      </c>
      <c r="J4004">
        <v>0.30588061724118198</v>
      </c>
      <c r="K4004">
        <v>0.25601483079628501</v>
      </c>
      <c r="L4004">
        <v>1517.8820400694001</v>
      </c>
      <c r="M4004">
        <v>24.6635563191541</v>
      </c>
      <c r="N4004">
        <v>63.045398009587103</v>
      </c>
      <c r="O4004">
        <v>61.143206643932402</v>
      </c>
      <c r="P4004">
        <v>-7.8441799270516199E-2</v>
      </c>
      <c r="Q4004">
        <v>0.22215359713288499</v>
      </c>
      <c r="R4004">
        <v>0.96700807289410895</v>
      </c>
      <c r="S4004" t="s">
        <v>11007</v>
      </c>
      <c r="T4004" t="s">
        <v>14004</v>
      </c>
      <c r="U4004" t="s">
        <v>14004</v>
      </c>
      <c r="V4004" t="s">
        <v>14004</v>
      </c>
      <c r="W4004" t="s">
        <v>17958</v>
      </c>
      <c r="X4004">
        <v>8</v>
      </c>
      <c r="Y4004" t="s">
        <v>24779</v>
      </c>
      <c r="Z4004" t="s">
        <v>31714</v>
      </c>
      <c r="AA4004">
        <v>0.78497251708570626</v>
      </c>
      <c r="AB4004" t="str">
        <f>HYPERLINK("Melting_Curves/meltCurve_Q5MNZ6_WDR45B.pdf", "Melting_Curves/meltCurve_Q5MNZ6_WDR45B.pdf")</f>
        <v>Melting_Curves/meltCurve_Q5MNZ6_WDR45B.pdf</v>
      </c>
    </row>
    <row r="4005" spans="1:28" x14ac:dyDescent="0.25">
      <c r="A4005" t="s">
        <v>4009</v>
      </c>
      <c r="B4005">
        <v>0.99999676499088797</v>
      </c>
      <c r="C4005">
        <v>0.97035761958113897</v>
      </c>
      <c r="D4005">
        <v>0.84253474041935195</v>
      </c>
      <c r="E4005">
        <v>0.58060112339074599</v>
      </c>
      <c r="F4005">
        <v>0.40328058279372497</v>
      </c>
      <c r="G4005">
        <v>0.26505986761865002</v>
      </c>
      <c r="H4005">
        <v>0.140973718274296</v>
      </c>
      <c r="I4005">
        <v>0.13707946894009501</v>
      </c>
      <c r="J4005">
        <v>0.13073560906808501</v>
      </c>
      <c r="K4005">
        <v>9.6575945503573707E-2</v>
      </c>
      <c r="L4005">
        <v>764.47881623654098</v>
      </c>
      <c r="M4005">
        <v>15.118775792859999</v>
      </c>
      <c r="N4005">
        <v>51.300071157189002</v>
      </c>
      <c r="O4005">
        <v>49.704971045446896</v>
      </c>
      <c r="P4005">
        <v>-6.8642429950060105E-2</v>
      </c>
      <c r="Q4005">
        <v>9.7404218149911098E-2</v>
      </c>
      <c r="R4005">
        <v>0.99678150203990101</v>
      </c>
      <c r="S4005" t="s">
        <v>11008</v>
      </c>
      <c r="T4005" t="s">
        <v>14004</v>
      </c>
      <c r="U4005" t="s">
        <v>14004</v>
      </c>
      <c r="V4005" t="s">
        <v>14004</v>
      </c>
      <c r="W4005" t="s">
        <v>17959</v>
      </c>
      <c r="X4005">
        <v>2</v>
      </c>
      <c r="Y4005" t="s">
        <v>24780</v>
      </c>
      <c r="Z4005" t="s">
        <v>31715</v>
      </c>
      <c r="AA4005">
        <v>0.43612257761172929</v>
      </c>
      <c r="AB4005" t="str">
        <f>HYPERLINK("Melting_Curves/meltCurve_Q5QJ74_TBCEL.pdf", "Melting_Curves/meltCurve_Q5QJ74_TBCEL.pdf")</f>
        <v>Melting_Curves/meltCurve_Q5QJ74_TBCEL.pdf</v>
      </c>
    </row>
    <row r="4006" spans="1:28" x14ac:dyDescent="0.25">
      <c r="A4006" t="s">
        <v>4010</v>
      </c>
      <c r="B4006">
        <v>0.99999676499088797</v>
      </c>
      <c r="C4006">
        <v>0.93324676935020401</v>
      </c>
      <c r="D4006">
        <v>0.68878583267498406</v>
      </c>
      <c r="E4006">
        <v>0.37391045343262203</v>
      </c>
      <c r="F4006">
        <v>0.277558295486794</v>
      </c>
      <c r="G4006">
        <v>0.26760368144004598</v>
      </c>
      <c r="H4006">
        <v>0.185263363702696</v>
      </c>
      <c r="I4006">
        <v>0.25992919744942999</v>
      </c>
      <c r="J4006">
        <v>0.26564636238543998</v>
      </c>
      <c r="K4006">
        <v>0.26956636803787598</v>
      </c>
      <c r="L4006">
        <v>1251.05349044435</v>
      </c>
      <c r="M4006">
        <v>26.841532256326801</v>
      </c>
      <c r="N4006">
        <v>47.834047335194597</v>
      </c>
      <c r="O4006">
        <v>46.352451839508497</v>
      </c>
      <c r="P4006">
        <v>-0.108782738659694</v>
      </c>
      <c r="Q4006">
        <v>0.248582773691266</v>
      </c>
      <c r="R4006">
        <v>0.99366356540200296</v>
      </c>
      <c r="S4006" t="s">
        <v>11009</v>
      </c>
      <c r="T4006" t="s">
        <v>14004</v>
      </c>
      <c r="U4006" t="s">
        <v>14004</v>
      </c>
      <c r="V4006" t="s">
        <v>14004</v>
      </c>
      <c r="W4006" t="s">
        <v>17960</v>
      </c>
      <c r="X4006">
        <v>7</v>
      </c>
      <c r="Y4006" t="s">
        <v>24781</v>
      </c>
      <c r="Z4006" t="s">
        <v>31716</v>
      </c>
      <c r="AA4006">
        <v>0.41989586407790819</v>
      </c>
      <c r="AB4006" t="str">
        <f>HYPERLINK("Melting_Curves/meltCurve_Q5QJE6_DNTTIP2.pdf", "Melting_Curves/meltCurve_Q5QJE6_DNTTIP2.pdf")</f>
        <v>Melting_Curves/meltCurve_Q5QJE6_DNTTIP2.pdf</v>
      </c>
    </row>
    <row r="4007" spans="1:28" x14ac:dyDescent="0.25">
      <c r="A4007" t="s">
        <v>4011</v>
      </c>
      <c r="B4007">
        <v>0.99999676499088797</v>
      </c>
      <c r="C4007">
        <v>0.96098004207713394</v>
      </c>
      <c r="D4007">
        <v>1.0089642076401599</v>
      </c>
      <c r="E4007">
        <v>0.92959763306875198</v>
      </c>
      <c r="F4007">
        <v>0.69977106645647502</v>
      </c>
      <c r="G4007">
        <v>0.45740138669466301</v>
      </c>
      <c r="H4007">
        <v>0.25295285647400401</v>
      </c>
      <c r="I4007">
        <v>0.34240752087358101</v>
      </c>
      <c r="J4007">
        <v>0.42640440981021299</v>
      </c>
      <c r="K4007">
        <v>0.49723186623899401</v>
      </c>
      <c r="L4007">
        <v>1878.5049923112399</v>
      </c>
      <c r="M4007">
        <v>35.305034066386298</v>
      </c>
      <c r="N4007">
        <v>55.474816159197402</v>
      </c>
      <c r="O4007">
        <v>53.037995604731599</v>
      </c>
      <c r="P4007">
        <v>-0.102867565392948</v>
      </c>
      <c r="Q4007">
        <v>0.381859010764806</v>
      </c>
      <c r="R4007">
        <v>0.951757852662097</v>
      </c>
      <c r="S4007" t="s">
        <v>11010</v>
      </c>
      <c r="T4007" t="s">
        <v>14004</v>
      </c>
      <c r="U4007" t="s">
        <v>14004</v>
      </c>
      <c r="V4007" t="s">
        <v>14004</v>
      </c>
      <c r="W4007" t="s">
        <v>17961</v>
      </c>
      <c r="X4007">
        <v>18</v>
      </c>
      <c r="Y4007" t="s">
        <v>24782</v>
      </c>
      <c r="Z4007" t="s">
        <v>31717</v>
      </c>
      <c r="AA4007">
        <v>0.65691731025263367</v>
      </c>
      <c r="AB4007" t="str">
        <f>HYPERLINK("Melting_Curves/meltCurve_Q5QNY5_PEX19.pdf", "Melting_Curves/meltCurve_Q5QNY5_PEX19.pdf")</f>
        <v>Melting_Curves/meltCurve_Q5QNY5_PEX19.pdf</v>
      </c>
    </row>
    <row r="4008" spans="1:28" x14ac:dyDescent="0.25">
      <c r="A4008" t="s">
        <v>4012</v>
      </c>
      <c r="B4008">
        <v>0.99999676499088797</v>
      </c>
      <c r="C4008">
        <v>0.93904809320497695</v>
      </c>
      <c r="D4008">
        <v>1.0055459214761799</v>
      </c>
      <c r="E4008">
        <v>0.88062297726881</v>
      </c>
      <c r="F4008">
        <v>0.78385505370021102</v>
      </c>
      <c r="G4008">
        <v>0.758010847633103</v>
      </c>
      <c r="H4008">
        <v>0.46011076577110799</v>
      </c>
      <c r="I4008">
        <v>0.23741636629743401</v>
      </c>
      <c r="J4008">
        <v>0.18260286854103899</v>
      </c>
      <c r="K4008">
        <v>0.159272552338667</v>
      </c>
      <c r="L4008">
        <v>785.34890888650102</v>
      </c>
      <c r="M4008">
        <v>13.1203522884866</v>
      </c>
      <c r="N4008">
        <v>59.857303613055898</v>
      </c>
      <c r="O4008">
        <v>58.518005993675203</v>
      </c>
      <c r="P4008">
        <v>-5.6062183020332598E-2</v>
      </c>
      <c r="Q4008">
        <v>0</v>
      </c>
      <c r="R4008">
        <v>0.97901144676560203</v>
      </c>
      <c r="S4008" t="s">
        <v>11011</v>
      </c>
      <c r="T4008" t="s">
        <v>14004</v>
      </c>
      <c r="U4008" t="s">
        <v>14004</v>
      </c>
      <c r="V4008" t="s">
        <v>14004</v>
      </c>
      <c r="W4008" t="s">
        <v>17962</v>
      </c>
      <c r="X4008">
        <v>17</v>
      </c>
      <c r="Y4008" t="s">
        <v>24783</v>
      </c>
      <c r="Z4008" t="s">
        <v>31718</v>
      </c>
      <c r="AA4008">
        <v>0.66721770795304924</v>
      </c>
      <c r="AB4008" t="str">
        <f>HYPERLINK("Melting_Curves/meltCurve_Q5QNZ2_ATP5F1.pdf", "Melting_Curves/meltCurve_Q5QNZ2_ATP5F1.pdf")</f>
        <v>Melting_Curves/meltCurve_Q5QNZ2_ATP5F1.pdf</v>
      </c>
    </row>
    <row r="4009" spans="1:28" x14ac:dyDescent="0.25">
      <c r="A4009" t="s">
        <v>4013</v>
      </c>
      <c r="B4009">
        <v>0.99999676499088797</v>
      </c>
      <c r="C4009">
        <v>1.0175082770984401</v>
      </c>
      <c r="D4009">
        <v>0.93581501100865006</v>
      </c>
      <c r="E4009">
        <v>0.76934020844804196</v>
      </c>
      <c r="F4009">
        <v>0.67494017513292903</v>
      </c>
      <c r="G4009">
        <v>0.68810974109514</v>
      </c>
      <c r="H4009">
        <v>0.44452312481997402</v>
      </c>
      <c r="I4009">
        <v>0.43953295644535301</v>
      </c>
      <c r="J4009">
        <v>0.348273564109639</v>
      </c>
      <c r="K4009">
        <v>0.30177822157872303</v>
      </c>
      <c r="L4009">
        <v>487.61127937730402</v>
      </c>
      <c r="M4009">
        <v>8.4587317214280109</v>
      </c>
      <c r="N4009">
        <v>60.327325198428099</v>
      </c>
      <c r="O4009">
        <v>54.694594368983303</v>
      </c>
      <c r="P4009">
        <v>-3.2635259985797603E-2</v>
      </c>
      <c r="Q4009">
        <v>0.156689191642296</v>
      </c>
      <c r="R4009">
        <v>0.96907373697169497</v>
      </c>
      <c r="S4009" t="s">
        <v>11012</v>
      </c>
      <c r="T4009" t="s">
        <v>14004</v>
      </c>
      <c r="U4009" t="s">
        <v>14004</v>
      </c>
      <c r="V4009" t="s">
        <v>14004</v>
      </c>
      <c r="W4009" t="s">
        <v>17963</v>
      </c>
      <c r="X4009">
        <v>3</v>
      </c>
      <c r="Y4009" t="s">
        <v>24784</v>
      </c>
      <c r="Z4009" t="s">
        <v>31719</v>
      </c>
      <c r="AA4009">
        <v>0.65969605219777072</v>
      </c>
      <c r="AB4009" t="str">
        <f>HYPERLINK("Melting_Curves/meltCurve_Q5QP56_BCL2L1.pdf", "Melting_Curves/meltCurve_Q5QP56_BCL2L1.pdf")</f>
        <v>Melting_Curves/meltCurve_Q5QP56_BCL2L1.pdf</v>
      </c>
    </row>
    <row r="4010" spans="1:28" x14ac:dyDescent="0.25">
      <c r="A4010" t="s">
        <v>4014</v>
      </c>
      <c r="B4010">
        <v>0.99999676499088797</v>
      </c>
      <c r="C4010">
        <v>0.94554298052088803</v>
      </c>
      <c r="D4010">
        <v>0.91906575097486298</v>
      </c>
      <c r="E4010">
        <v>0.89949578182460499</v>
      </c>
      <c r="F4010">
        <v>0.70354328084395101</v>
      </c>
      <c r="G4010">
        <v>0.54546240492074405</v>
      </c>
      <c r="H4010">
        <v>0.22093004015199</v>
      </c>
      <c r="I4010">
        <v>9.7272050304014299E-2</v>
      </c>
      <c r="J4010">
        <v>0.11051780529669</v>
      </c>
      <c r="K4010">
        <v>0.10495354441106799</v>
      </c>
      <c r="L4010">
        <v>889.38583090468705</v>
      </c>
      <c r="M4010">
        <v>15.788947332809901</v>
      </c>
      <c r="N4010">
        <v>56.512182693113502</v>
      </c>
      <c r="O4010">
        <v>55.449258760190297</v>
      </c>
      <c r="P4010">
        <v>-6.9422386761014199E-2</v>
      </c>
      <c r="Q4010">
        <v>2.4861692609614901E-2</v>
      </c>
      <c r="R4010">
        <v>0.98829486201623795</v>
      </c>
      <c r="S4010" t="s">
        <v>11013</v>
      </c>
      <c r="T4010" t="s">
        <v>14004</v>
      </c>
      <c r="U4010" t="s">
        <v>14004</v>
      </c>
      <c r="V4010" t="s">
        <v>14004</v>
      </c>
      <c r="W4010" t="s">
        <v>17964</v>
      </c>
      <c r="X4010">
        <v>4</v>
      </c>
      <c r="Y4010" t="s">
        <v>24785</v>
      </c>
      <c r="Z4010" t="s">
        <v>31720</v>
      </c>
      <c r="AA4010">
        <v>0.57169163096410713</v>
      </c>
      <c r="AB4010" t="str">
        <f>HYPERLINK("Melting_Curves/meltCurve_Q5QP82_2_DCAF10.pdf", "Melting_Curves/meltCurve_Q5QP82_2_DCAF10.pdf")</f>
        <v>Melting_Curves/meltCurve_Q5QP82_2_DCAF10.pdf</v>
      </c>
    </row>
    <row r="4011" spans="1:28" x14ac:dyDescent="0.25">
      <c r="A4011" t="s">
        <v>4015</v>
      </c>
      <c r="B4011">
        <v>0.99999676499088797</v>
      </c>
      <c r="C4011">
        <v>1.0496938377837299</v>
      </c>
      <c r="D4011">
        <v>1.024565951944</v>
      </c>
      <c r="E4011">
        <v>1.17975169956076</v>
      </c>
      <c r="F4011">
        <v>0.80040919781640296</v>
      </c>
      <c r="G4011">
        <v>0.63127351495821005</v>
      </c>
      <c r="H4011">
        <v>0.14850939661743101</v>
      </c>
      <c r="I4011">
        <v>0.12471958273069</v>
      </c>
      <c r="J4011">
        <v>0.111078952690796</v>
      </c>
      <c r="K4011">
        <v>8.4483306541228403E-2</v>
      </c>
      <c r="L4011">
        <v>1721.94874033411</v>
      </c>
      <c r="M4011">
        <v>30.161241693148501</v>
      </c>
      <c r="N4011">
        <v>57.422340746592397</v>
      </c>
      <c r="O4011">
        <v>56.8422310006315</v>
      </c>
      <c r="P4011">
        <v>-0.122072057014462</v>
      </c>
      <c r="Q4011">
        <v>7.9772129311030393E-2</v>
      </c>
      <c r="R4011">
        <v>0.96886110361191402</v>
      </c>
      <c r="S4011" t="s">
        <v>11014</v>
      </c>
      <c r="T4011" t="s">
        <v>14004</v>
      </c>
      <c r="U4011" t="s">
        <v>14004</v>
      </c>
      <c r="V4011" t="s">
        <v>14004</v>
      </c>
      <c r="W4011" t="s">
        <v>17965</v>
      </c>
      <c r="X4011">
        <v>11</v>
      </c>
      <c r="Y4011" t="s">
        <v>24786</v>
      </c>
      <c r="Z4011" t="s">
        <v>31721</v>
      </c>
      <c r="AA4011">
        <v>0.61010659935171108</v>
      </c>
      <c r="AB4011" t="str">
        <f>HYPERLINK("Melting_Curves/meltCurve_Q5QPK2_DPM1.pdf", "Melting_Curves/meltCurve_Q5QPK2_DPM1.pdf")</f>
        <v>Melting_Curves/meltCurve_Q5QPK2_DPM1.pdf</v>
      </c>
    </row>
    <row r="4012" spans="1:28" x14ac:dyDescent="0.25">
      <c r="A4012" t="s">
        <v>4016</v>
      </c>
      <c r="B4012">
        <v>0.99999676499088797</v>
      </c>
      <c r="C4012">
        <v>1.05498850754624</v>
      </c>
      <c r="D4012">
        <v>0.97034544880881701</v>
      </c>
      <c r="E4012">
        <v>0.74531384811623003</v>
      </c>
      <c r="F4012">
        <v>0.43109981902129302</v>
      </c>
      <c r="G4012">
        <v>0.27111073710234701</v>
      </c>
      <c r="H4012">
        <v>0.13598283978703801</v>
      </c>
      <c r="I4012">
        <v>0.113330568221992</v>
      </c>
      <c r="J4012">
        <v>8.5463197246787095E-2</v>
      </c>
      <c r="K4012">
        <v>8.1400303968537702E-2</v>
      </c>
      <c r="L4012">
        <v>1048.2210272314401</v>
      </c>
      <c r="M4012">
        <v>20.1105625100219</v>
      </c>
      <c r="N4012">
        <v>52.624345318507203</v>
      </c>
      <c r="O4012">
        <v>51.6157350896504</v>
      </c>
      <c r="P4012">
        <v>-8.89151393280362E-2</v>
      </c>
      <c r="Q4012">
        <v>8.7191296542177693E-2</v>
      </c>
      <c r="R4012">
        <v>0.99498716657233</v>
      </c>
      <c r="S4012" t="s">
        <v>11015</v>
      </c>
      <c r="T4012" t="s">
        <v>14004</v>
      </c>
      <c r="U4012" t="s">
        <v>14004</v>
      </c>
      <c r="V4012" t="s">
        <v>14004</v>
      </c>
      <c r="W4012" t="s">
        <v>17966</v>
      </c>
      <c r="X4012">
        <v>9</v>
      </c>
      <c r="Y4012" t="s">
        <v>24787</v>
      </c>
      <c r="Z4012" t="s">
        <v>31722</v>
      </c>
      <c r="AA4012">
        <v>0.46855630359797079</v>
      </c>
      <c r="AB4012" t="str">
        <f>HYPERLINK("Melting_Curves/meltCurve_Q5QPM7_PSMF1.pdf", "Melting_Curves/meltCurve_Q5QPM7_PSMF1.pdf")</f>
        <v>Melting_Curves/meltCurve_Q5QPM7_PSMF1.pdf</v>
      </c>
    </row>
    <row r="4013" spans="1:28" x14ac:dyDescent="0.25">
      <c r="A4013" t="s">
        <v>4017</v>
      </c>
      <c r="B4013">
        <v>0.99999676499088797</v>
      </c>
      <c r="C4013">
        <v>1.00516944977566</v>
      </c>
      <c r="D4013">
        <v>0.98505138412993998</v>
      </c>
      <c r="E4013">
        <v>0.75965790371026698</v>
      </c>
      <c r="F4013">
        <v>0.27365778505150801</v>
      </c>
      <c r="G4013">
        <v>0.162830524689517</v>
      </c>
      <c r="H4013">
        <v>7.8198410474399196E-2</v>
      </c>
      <c r="I4013">
        <v>7.3875912027494203E-2</v>
      </c>
      <c r="J4013">
        <v>7.1985313353893507E-2</v>
      </c>
      <c r="K4013">
        <v>6.0358441073541998E-2</v>
      </c>
      <c r="L4013">
        <v>1626.5008645448499</v>
      </c>
      <c r="M4013">
        <v>31.7754056119661</v>
      </c>
      <c r="N4013">
        <v>51.459965826471098</v>
      </c>
      <c r="O4013">
        <v>50.985956747861501</v>
      </c>
      <c r="P4013">
        <v>-0.14373875444378101</v>
      </c>
      <c r="Q4013">
        <v>7.7447514890610705E-2</v>
      </c>
      <c r="R4013">
        <v>0.99817408900560101</v>
      </c>
      <c r="S4013" t="s">
        <v>11016</v>
      </c>
      <c r="T4013" t="s">
        <v>14004</v>
      </c>
      <c r="U4013" t="s">
        <v>14004</v>
      </c>
      <c r="V4013" t="s">
        <v>14004</v>
      </c>
      <c r="W4013" t="s">
        <v>17967</v>
      </c>
      <c r="X4013">
        <v>18</v>
      </c>
      <c r="Y4013" t="s">
        <v>21691</v>
      </c>
      <c r="Z4013" t="s">
        <v>31723</v>
      </c>
      <c r="AA4013">
        <v>0.42666561107542611</v>
      </c>
      <c r="AB4013" t="str">
        <f>HYPERLINK("Melting_Curves/meltCurve_Q5R372_4_RABGAP1L.pdf", "Melting_Curves/meltCurve_Q5R372_4_RABGAP1L.pdf")</f>
        <v>Melting_Curves/meltCurve_Q5R372_4_RABGAP1L.pdf</v>
      </c>
    </row>
    <row r="4014" spans="1:28" x14ac:dyDescent="0.25">
      <c r="A4014" t="s">
        <v>4018</v>
      </c>
      <c r="B4014">
        <v>0.99999676499088797</v>
      </c>
      <c r="C4014">
        <v>0.71655253937084096</v>
      </c>
      <c r="D4014">
        <v>0.65021873042030098</v>
      </c>
      <c r="E4014">
        <v>0.58078178134163605</v>
      </c>
      <c r="F4014">
        <v>0.52572403895504805</v>
      </c>
      <c r="G4014">
        <v>0.45199565053242802</v>
      </c>
      <c r="H4014">
        <v>0.281656292759289</v>
      </c>
      <c r="I4014">
        <v>0.190284626355298</v>
      </c>
      <c r="J4014">
        <v>0.115447009586227</v>
      </c>
      <c r="K4014">
        <v>6.7802313206526396E-2</v>
      </c>
      <c r="L4014">
        <v>367.737207828159</v>
      </c>
      <c r="M4014">
        <v>7.0620378638902999</v>
      </c>
      <c r="N4014">
        <v>52.072391599788197</v>
      </c>
      <c r="O4014">
        <v>48.380346283356197</v>
      </c>
      <c r="P4014">
        <v>-3.6557787366536698E-2</v>
      </c>
      <c r="Q4014">
        <v>0</v>
      </c>
      <c r="R4014">
        <v>0.93875745041446501</v>
      </c>
      <c r="S4014" t="s">
        <v>11017</v>
      </c>
      <c r="T4014" t="s">
        <v>14004</v>
      </c>
      <c r="U4014" t="s">
        <v>14004</v>
      </c>
      <c r="V4014" t="s">
        <v>14004</v>
      </c>
      <c r="W4014" t="s">
        <v>17968</v>
      </c>
      <c r="X4014">
        <v>2</v>
      </c>
      <c r="Y4014" t="s">
        <v>24788</v>
      </c>
      <c r="Z4014" t="s">
        <v>31724</v>
      </c>
      <c r="AA4014">
        <v>0.45388785200546761</v>
      </c>
      <c r="AB4014" t="str">
        <f>HYPERLINK("Melting_Curves/meltCurve_Q5R3B4_MPC2.pdf", "Melting_Curves/meltCurve_Q5R3B4_MPC2.pdf")</f>
        <v>Melting_Curves/meltCurve_Q5R3B4_MPC2.pdf</v>
      </c>
    </row>
    <row r="4015" spans="1:28" x14ac:dyDescent="0.25">
      <c r="A4015" t="s">
        <v>4019</v>
      </c>
      <c r="B4015">
        <v>0.99999676499088797</v>
      </c>
      <c r="C4015">
        <v>1.0576977680242201</v>
      </c>
      <c r="D4015">
        <v>1.0539807806669801</v>
      </c>
      <c r="E4015">
        <v>0.97793812810390202</v>
      </c>
      <c r="F4015">
        <v>0.86890760402812195</v>
      </c>
      <c r="G4015">
        <v>0.81712712004145804</v>
      </c>
      <c r="H4015">
        <v>0.53341064804176297</v>
      </c>
      <c r="I4015">
        <v>0.54965598117508296</v>
      </c>
      <c r="J4015">
        <v>0.51017483120186902</v>
      </c>
      <c r="K4015">
        <v>0.53805968600559095</v>
      </c>
      <c r="L4015">
        <v>1375.5345792868</v>
      </c>
      <c r="M4015">
        <v>24.1817432758541</v>
      </c>
      <c r="O4015">
        <v>56.498457102109199</v>
      </c>
      <c r="P4015">
        <v>-5.2780171081937402E-2</v>
      </c>
      <c r="Q4015">
        <v>0.50674317580400496</v>
      </c>
      <c r="R4015">
        <v>0.96500848275631002</v>
      </c>
      <c r="S4015" t="s">
        <v>11018</v>
      </c>
      <c r="T4015" t="s">
        <v>14004</v>
      </c>
      <c r="U4015" t="s">
        <v>14004</v>
      </c>
      <c r="V4015" t="s">
        <v>14004</v>
      </c>
      <c r="W4015" t="s">
        <v>17969</v>
      </c>
      <c r="X4015">
        <v>6</v>
      </c>
      <c r="Y4015" t="s">
        <v>24789</v>
      </c>
      <c r="Z4015" t="s">
        <v>31725</v>
      </c>
      <c r="AA4015">
        <v>0.78902516982115334</v>
      </c>
      <c r="AB4015" t="str">
        <f>HYPERLINK("Melting_Curves/meltCurve_Q5RI15_COX20.pdf", "Melting_Curves/meltCurve_Q5RI15_COX20.pdf")</f>
        <v>Melting_Curves/meltCurve_Q5RI15_COX20.pdf</v>
      </c>
    </row>
    <row r="4016" spans="1:28" x14ac:dyDescent="0.25">
      <c r="A4016" t="s">
        <v>4020</v>
      </c>
      <c r="B4016">
        <v>0.99999676499088797</v>
      </c>
      <c r="C4016">
        <v>0.969485585787358</v>
      </c>
      <c r="D4016">
        <v>0.92882489388832301</v>
      </c>
      <c r="E4016">
        <v>0.88073472360457605</v>
      </c>
      <c r="F4016">
        <v>1.3187199034521999</v>
      </c>
      <c r="G4016">
        <v>0.83328857801117495</v>
      </c>
      <c r="H4016">
        <v>0.66515771603085705</v>
      </c>
      <c r="I4016">
        <v>0.56788888099950396</v>
      </c>
      <c r="J4016">
        <v>0.41066113671667998</v>
      </c>
      <c r="K4016">
        <v>0.62417877571392599</v>
      </c>
      <c r="L4016">
        <v>2319.11162677535</v>
      </c>
      <c r="M4016">
        <v>39.533741795732602</v>
      </c>
      <c r="O4016">
        <v>58.512080493904897</v>
      </c>
      <c r="P4016">
        <v>-7.8618000019539697E-2</v>
      </c>
      <c r="Q4016">
        <v>0.53456540715476297</v>
      </c>
      <c r="R4016">
        <v>0.74367359072626604</v>
      </c>
      <c r="S4016" t="s">
        <v>11019</v>
      </c>
      <c r="T4016" t="s">
        <v>14004</v>
      </c>
      <c r="U4016" t="s">
        <v>14004</v>
      </c>
      <c r="V4016" t="s">
        <v>14004</v>
      </c>
      <c r="W4016" t="s">
        <v>17970</v>
      </c>
      <c r="X4016">
        <v>2</v>
      </c>
      <c r="Y4016" t="s">
        <v>24790</v>
      </c>
      <c r="Z4016" t="s">
        <v>31726</v>
      </c>
      <c r="AA4016">
        <v>0.82596536048217883</v>
      </c>
      <c r="AB4016" t="str">
        <f>HYPERLINK("Melting_Curves/meltCurve_Q5RJ85_HLA_G.pdf", "Melting_Curves/meltCurve_Q5RJ85_HLA_G.pdf")</f>
        <v>Melting_Curves/meltCurve_Q5RJ85_HLA_G.pdf</v>
      </c>
    </row>
    <row r="4017" spans="1:28" x14ac:dyDescent="0.25">
      <c r="A4017" t="s">
        <v>4021</v>
      </c>
      <c r="B4017">
        <v>0.99999676499088797</v>
      </c>
      <c r="C4017">
        <v>1.07204819077904</v>
      </c>
      <c r="D4017">
        <v>1.1497815844714001</v>
      </c>
      <c r="E4017">
        <v>1.10444888964717</v>
      </c>
      <c r="F4017">
        <v>1.15609283054949</v>
      </c>
      <c r="G4017">
        <v>1.0118721658107499</v>
      </c>
      <c r="H4017">
        <v>0.51402282123453802</v>
      </c>
      <c r="I4017">
        <v>0.33894252401182101</v>
      </c>
      <c r="J4017">
        <v>0.324257347612875</v>
      </c>
      <c r="K4017">
        <v>0.23512171585133901</v>
      </c>
      <c r="L4017">
        <v>4341.9789138010001</v>
      </c>
      <c r="M4017">
        <v>72.189827236225895</v>
      </c>
      <c r="N4017">
        <v>60.900696467474503</v>
      </c>
      <c r="O4017">
        <v>60.1005795473354</v>
      </c>
      <c r="P4017">
        <v>-0.21156937265721801</v>
      </c>
      <c r="Q4017">
        <v>0.29544424936855701</v>
      </c>
      <c r="R4017">
        <v>0.94846212696102195</v>
      </c>
      <c r="S4017" t="s">
        <v>11020</v>
      </c>
      <c r="T4017" t="s">
        <v>14004</v>
      </c>
      <c r="U4017" t="s">
        <v>14004</v>
      </c>
      <c r="V4017" t="s">
        <v>14004</v>
      </c>
      <c r="W4017" t="s">
        <v>17971</v>
      </c>
      <c r="X4017">
        <v>12</v>
      </c>
      <c r="Y4017" t="s">
        <v>24791</v>
      </c>
      <c r="Z4017" t="s">
        <v>31727</v>
      </c>
      <c r="AA4017">
        <v>0.76948609381382305</v>
      </c>
      <c r="AB4017" t="str">
        <f>HYPERLINK("Melting_Curves/meltCurve_Q5RKV6_EXOSC6.pdf", "Melting_Curves/meltCurve_Q5RKV6_EXOSC6.pdf")</f>
        <v>Melting_Curves/meltCurve_Q5RKV6_EXOSC6.pdf</v>
      </c>
    </row>
    <row r="4018" spans="1:28" x14ac:dyDescent="0.25">
      <c r="A4018" t="s">
        <v>4022</v>
      </c>
      <c r="B4018">
        <v>0.99999676499088797</v>
      </c>
      <c r="C4018">
        <v>1.3167966258018899</v>
      </c>
      <c r="D4018">
        <v>1.5415850994718401</v>
      </c>
      <c r="E4018">
        <v>0.82391155116191805</v>
      </c>
      <c r="F4018">
        <v>1.0002096105239999</v>
      </c>
      <c r="G4018">
        <v>0.58419394317241602</v>
      </c>
      <c r="H4018">
        <v>0.240940759295076</v>
      </c>
      <c r="I4018">
        <v>0.34765807656701703</v>
      </c>
      <c r="J4018">
        <v>0</v>
      </c>
      <c r="K4018">
        <v>0.12154863244082401</v>
      </c>
      <c r="L4018">
        <v>1617.3766183975199</v>
      </c>
      <c r="M4018">
        <v>28.201311469353399</v>
      </c>
      <c r="N4018">
        <v>57.925392906489698</v>
      </c>
      <c r="O4018">
        <v>57.065063138613802</v>
      </c>
      <c r="P4018">
        <v>-0.108482554445112</v>
      </c>
      <c r="Q4018">
        <v>0.121953989680291</v>
      </c>
      <c r="R4018">
        <v>0.80329807831746802</v>
      </c>
      <c r="S4018" t="s">
        <v>11021</v>
      </c>
      <c r="T4018" t="s">
        <v>14004</v>
      </c>
      <c r="U4018" t="s">
        <v>14004</v>
      </c>
      <c r="V4018" t="s">
        <v>14004</v>
      </c>
      <c r="W4018" t="s">
        <v>17972</v>
      </c>
      <c r="X4018">
        <v>1</v>
      </c>
      <c r="Y4018" t="s">
        <v>24792</v>
      </c>
      <c r="Z4018" t="s">
        <v>31728</v>
      </c>
      <c r="AA4018">
        <v>0.63626370018419587</v>
      </c>
      <c r="AB4018" t="str">
        <f>HYPERLINK("Melting_Curves/meltCurve_Q5RL73_RBM48.pdf", "Melting_Curves/meltCurve_Q5RL73_RBM48.pdf")</f>
        <v>Melting_Curves/meltCurve_Q5RL73_RBM48.pdf</v>
      </c>
    </row>
    <row r="4019" spans="1:28" x14ac:dyDescent="0.25">
      <c r="A4019" t="s">
        <v>4023</v>
      </c>
      <c r="B4019">
        <v>0.99999676499088797</v>
      </c>
      <c r="C4019">
        <v>0.91375479330204301</v>
      </c>
      <c r="D4019">
        <v>0.84797093475530105</v>
      </c>
      <c r="E4019">
        <v>0.72562534154486702</v>
      </c>
      <c r="F4019">
        <v>0.55507619745477899</v>
      </c>
      <c r="G4019">
        <v>0.25201431267928398</v>
      </c>
      <c r="H4019">
        <v>9.5306105734348806E-2</v>
      </c>
      <c r="I4019">
        <v>6.4700298079722801E-2</v>
      </c>
      <c r="J4019">
        <v>8.5176008526909694E-2</v>
      </c>
      <c r="K4019">
        <v>5.0872475477088598E-2</v>
      </c>
      <c r="L4019">
        <v>733.34831201037196</v>
      </c>
      <c r="M4019">
        <v>13.8358532349706</v>
      </c>
      <c r="N4019">
        <v>53.003482911366902</v>
      </c>
      <c r="O4019">
        <v>51.933039830766397</v>
      </c>
      <c r="P4019">
        <v>-6.66135206463081E-2</v>
      </c>
      <c r="Q4019">
        <v>0</v>
      </c>
      <c r="R4019">
        <v>0.98948798417405204</v>
      </c>
      <c r="S4019" t="s">
        <v>11022</v>
      </c>
      <c r="T4019" t="s">
        <v>14004</v>
      </c>
      <c r="U4019" t="s">
        <v>14004</v>
      </c>
      <c r="V4019" t="s">
        <v>14004</v>
      </c>
      <c r="W4019" t="s">
        <v>17973</v>
      </c>
      <c r="X4019">
        <v>3</v>
      </c>
      <c r="Y4019" t="s">
        <v>24793</v>
      </c>
      <c r="Z4019" t="s">
        <v>31729</v>
      </c>
      <c r="AA4019">
        <v>0.45742858106505752</v>
      </c>
      <c r="AB4019" t="str">
        <f>HYPERLINK("Melting_Curves/meltCurve_Q5SGD2_PPM1L.pdf", "Melting_Curves/meltCurve_Q5SGD2_PPM1L.pdf")</f>
        <v>Melting_Curves/meltCurve_Q5SGD2_PPM1L.pdf</v>
      </c>
    </row>
    <row r="4020" spans="1:28" x14ac:dyDescent="0.25">
      <c r="A4020" t="s">
        <v>4024</v>
      </c>
      <c r="B4020">
        <v>0.99999676499088797</v>
      </c>
      <c r="C4020">
        <v>0.951374336344187</v>
      </c>
      <c r="D4020">
        <v>0.84891978458669104</v>
      </c>
      <c r="E4020">
        <v>0.48881816148823498</v>
      </c>
      <c r="F4020">
        <v>0.287163824849825</v>
      </c>
      <c r="G4020">
        <v>0.16639370457411101</v>
      </c>
      <c r="H4020">
        <v>9.6440003412665606E-2</v>
      </c>
      <c r="I4020">
        <v>8.0006179007235695E-2</v>
      </c>
      <c r="J4020">
        <v>5.7569165005523899E-2</v>
      </c>
      <c r="K4020">
        <v>5.6900554974599303E-2</v>
      </c>
      <c r="L4020">
        <v>918.16130493802996</v>
      </c>
      <c r="M4020">
        <v>18.531463264635001</v>
      </c>
      <c r="N4020">
        <v>49.916416713566498</v>
      </c>
      <c r="O4020">
        <v>48.979941305130403</v>
      </c>
      <c r="P4020">
        <v>-8.8515789493248995E-2</v>
      </c>
      <c r="Q4020">
        <v>6.4227790975824497E-2</v>
      </c>
      <c r="R4020">
        <v>0.99733381387317399</v>
      </c>
      <c r="S4020" t="s">
        <v>11023</v>
      </c>
      <c r="T4020" t="s">
        <v>14004</v>
      </c>
      <c r="U4020" t="s">
        <v>14004</v>
      </c>
      <c r="V4020" t="s">
        <v>14004</v>
      </c>
      <c r="W4020" t="s">
        <v>17974</v>
      </c>
      <c r="X4020">
        <v>3</v>
      </c>
      <c r="Y4020" t="s">
        <v>24794</v>
      </c>
      <c r="Z4020" t="s">
        <v>31730</v>
      </c>
      <c r="AA4020">
        <v>0.37716732780793422</v>
      </c>
      <c r="AB4020" t="str">
        <f>HYPERLINK("Melting_Curves/meltCurve_Q5SQI0_5_ATAT1.pdf", "Melting_Curves/meltCurve_Q5SQI0_5_ATAT1.pdf")</f>
        <v>Melting_Curves/meltCurve_Q5SQI0_5_ATAT1.pdf</v>
      </c>
    </row>
    <row r="4021" spans="1:28" x14ac:dyDescent="0.25">
      <c r="A4021" t="s">
        <v>4025</v>
      </c>
      <c r="B4021">
        <v>0.99999676499088797</v>
      </c>
      <c r="C4021">
        <v>0.94889080668945303</v>
      </c>
      <c r="D4021">
        <v>0.90043080136587705</v>
      </c>
      <c r="E4021">
        <v>0.66862605982165801</v>
      </c>
      <c r="F4021">
        <v>0.53965636083857504</v>
      </c>
      <c r="G4021">
        <v>0.42600780141566902</v>
      </c>
      <c r="H4021">
        <v>0.28232302229112599</v>
      </c>
      <c r="I4021">
        <v>0.282934762835096</v>
      </c>
      <c r="J4021">
        <v>0.269927907711979</v>
      </c>
      <c r="K4021">
        <v>0.189831139071059</v>
      </c>
      <c r="L4021">
        <v>654.60686423524203</v>
      </c>
      <c r="M4021">
        <v>12.619581286708</v>
      </c>
      <c r="N4021">
        <v>54.027147614486502</v>
      </c>
      <c r="O4021">
        <v>50.621468266862003</v>
      </c>
      <c r="P4021">
        <v>-5.0009313902817702E-2</v>
      </c>
      <c r="Q4021">
        <v>0.19774105128137501</v>
      </c>
      <c r="R4021">
        <v>0.99163285339239304</v>
      </c>
      <c r="S4021" t="s">
        <v>11024</v>
      </c>
      <c r="T4021" t="s">
        <v>14004</v>
      </c>
      <c r="U4021" t="s">
        <v>14004</v>
      </c>
      <c r="V4021" t="s">
        <v>14004</v>
      </c>
      <c r="W4021" t="s">
        <v>17975</v>
      </c>
      <c r="X4021">
        <v>2</v>
      </c>
      <c r="Y4021" t="s">
        <v>24795</v>
      </c>
      <c r="Z4021" t="s">
        <v>31731</v>
      </c>
      <c r="AA4021">
        <v>0.53838642971606276</v>
      </c>
      <c r="AB4021" t="str">
        <f>HYPERLINK("Melting_Curves/meltCurve_Q5SR47_CR2.pdf", "Melting_Curves/meltCurve_Q5SR47_CR2.pdf")</f>
        <v>Melting_Curves/meltCurve_Q5SR47_CR2.pdf</v>
      </c>
    </row>
    <row r="4022" spans="1:28" x14ac:dyDescent="0.25">
      <c r="A4022" t="s">
        <v>4026</v>
      </c>
      <c r="B4022">
        <v>0.99999676499088797</v>
      </c>
      <c r="C4022">
        <v>1.0324688976381999</v>
      </c>
      <c r="D4022">
        <v>1.0299820791166201</v>
      </c>
      <c r="E4022">
        <v>0.89290333877082095</v>
      </c>
      <c r="F4022">
        <v>0.79126586772165697</v>
      </c>
      <c r="G4022">
        <v>0.709580497367717</v>
      </c>
      <c r="H4022">
        <v>0.47987140093284703</v>
      </c>
      <c r="I4022">
        <v>0.44689392532733502</v>
      </c>
      <c r="J4022">
        <v>0.53698181977141202</v>
      </c>
      <c r="K4022">
        <v>0.49157853501396898</v>
      </c>
      <c r="L4022">
        <v>1027.3515291423</v>
      </c>
      <c r="M4022">
        <v>18.767157164525301</v>
      </c>
      <c r="N4022">
        <v>64.037046621135005</v>
      </c>
      <c r="O4022">
        <v>54.131810419058098</v>
      </c>
      <c r="P4022">
        <v>-4.6181836210062298E-2</v>
      </c>
      <c r="Q4022">
        <v>0.46719656615716099</v>
      </c>
      <c r="R4022">
        <v>0.96460246542207595</v>
      </c>
      <c r="S4022" t="s">
        <v>11025</v>
      </c>
      <c r="T4022" t="s">
        <v>14004</v>
      </c>
      <c r="U4022" t="s">
        <v>14004</v>
      </c>
      <c r="V4022" t="s">
        <v>14004</v>
      </c>
      <c r="W4022" t="s">
        <v>17976</v>
      </c>
      <c r="X4022">
        <v>3</v>
      </c>
      <c r="Y4022" t="s">
        <v>24796</v>
      </c>
      <c r="Z4022" t="s">
        <v>31732</v>
      </c>
      <c r="AA4022">
        <v>0.73686333677700477</v>
      </c>
      <c r="AB4022" t="str">
        <f>HYPERLINK("Melting_Curves/meltCurve_Q5SR56_HIATL1.pdf", "Melting_Curves/meltCurve_Q5SR56_HIATL1.pdf")</f>
        <v>Melting_Curves/meltCurve_Q5SR56_HIATL1.pdf</v>
      </c>
    </row>
    <row r="4023" spans="1:28" x14ac:dyDescent="0.25">
      <c r="A4023" t="s">
        <v>4027</v>
      </c>
      <c r="B4023">
        <v>0.99999676499088797</v>
      </c>
      <c r="C4023">
        <v>1.0691494785062099</v>
      </c>
      <c r="D4023">
        <v>0.98265667400962897</v>
      </c>
      <c r="E4023">
        <v>0.84315239253257901</v>
      </c>
      <c r="F4023">
        <v>0.33780115916199799</v>
      </c>
      <c r="G4023">
        <v>0.23320773943629799</v>
      </c>
      <c r="H4023">
        <v>0.106637308776348</v>
      </c>
      <c r="I4023">
        <v>0.104788409976225</v>
      </c>
      <c r="J4023">
        <v>0.10762755804308501</v>
      </c>
      <c r="K4023">
        <v>8.4767229333821706E-2</v>
      </c>
      <c r="L4023">
        <v>1689.2197527661599</v>
      </c>
      <c r="M4023">
        <v>32.649609620176101</v>
      </c>
      <c r="N4023">
        <v>52.142431244304802</v>
      </c>
      <c r="O4023">
        <v>51.544902766331198</v>
      </c>
      <c r="P4023">
        <v>-0.14063561185897799</v>
      </c>
      <c r="Q4023">
        <v>0.111901967985293</v>
      </c>
      <c r="R4023">
        <v>0.99221111622666303</v>
      </c>
      <c r="S4023" t="s">
        <v>11026</v>
      </c>
      <c r="T4023" t="s">
        <v>14004</v>
      </c>
      <c r="U4023" t="s">
        <v>14004</v>
      </c>
      <c r="V4023" t="s">
        <v>14004</v>
      </c>
      <c r="W4023" t="s">
        <v>17977</v>
      </c>
      <c r="X4023">
        <v>15</v>
      </c>
      <c r="Y4023" t="s">
        <v>24797</v>
      </c>
      <c r="Z4023" t="s">
        <v>31733</v>
      </c>
      <c r="AA4023">
        <v>0.46415296592770178</v>
      </c>
      <c r="AB4023" t="str">
        <f>HYPERLINK("Melting_Curves/meltCurve_Q5SRE5_NUP188.pdf", "Melting_Curves/meltCurve_Q5SRE5_NUP188.pdf")</f>
        <v>Melting_Curves/meltCurve_Q5SRE5_NUP188.pdf</v>
      </c>
    </row>
    <row r="4024" spans="1:28" x14ac:dyDescent="0.25">
      <c r="A4024" t="s">
        <v>4028</v>
      </c>
      <c r="B4024">
        <v>0.99999676499088797</v>
      </c>
      <c r="C4024">
        <v>0.94322977309216305</v>
      </c>
      <c r="D4024">
        <v>1.13031419477411</v>
      </c>
      <c r="E4024">
        <v>1.21190358428536</v>
      </c>
      <c r="F4024">
        <v>0.72320100231904505</v>
      </c>
      <c r="G4024">
        <v>0.32667806345129902</v>
      </c>
      <c r="H4024">
        <v>0.19119334923063799</v>
      </c>
      <c r="I4024">
        <v>0.21134014991084299</v>
      </c>
      <c r="J4024">
        <v>0.20350563204692601</v>
      </c>
      <c r="K4024">
        <v>0.23702589428550999</v>
      </c>
      <c r="L4024">
        <v>2675.3523451402202</v>
      </c>
      <c r="M4024">
        <v>49.533787087031101</v>
      </c>
      <c r="N4024">
        <v>54.645409606404101</v>
      </c>
      <c r="O4024">
        <v>53.922843436193197</v>
      </c>
      <c r="P4024">
        <v>-0.179414489864897</v>
      </c>
      <c r="Q4024">
        <v>0.21875298041086599</v>
      </c>
      <c r="R4024">
        <v>0.95481094961963098</v>
      </c>
      <c r="S4024" t="s">
        <v>11027</v>
      </c>
      <c r="T4024" t="s">
        <v>14004</v>
      </c>
      <c r="U4024" t="s">
        <v>14004</v>
      </c>
      <c r="V4024" t="s">
        <v>14004</v>
      </c>
      <c r="W4024" t="s">
        <v>17978</v>
      </c>
      <c r="X4024">
        <v>1</v>
      </c>
      <c r="Y4024" t="s">
        <v>24798</v>
      </c>
      <c r="Z4024" t="s">
        <v>31734</v>
      </c>
      <c r="AA4024">
        <v>0.58550848637310893</v>
      </c>
      <c r="AB4024" t="str">
        <f>HYPERLINK("Melting_Curves/meltCurve_Q5SRI9_MANEA.pdf", "Melting_Curves/meltCurve_Q5SRI9_MANEA.pdf")</f>
        <v>Melting_Curves/meltCurve_Q5SRI9_MANEA.pdf</v>
      </c>
    </row>
    <row r="4025" spans="1:28" x14ac:dyDescent="0.25">
      <c r="A4025" t="s">
        <v>4029</v>
      </c>
      <c r="B4025">
        <v>0.99999676499088797</v>
      </c>
      <c r="C4025">
        <v>1.01204292993501</v>
      </c>
      <c r="D4025">
        <v>0.99486820868367398</v>
      </c>
      <c r="E4025">
        <v>0.86161379761003598</v>
      </c>
      <c r="F4025">
        <v>0.76834059848642999</v>
      </c>
      <c r="G4025">
        <v>0.64006423891006503</v>
      </c>
      <c r="H4025">
        <v>0.41163488742847198</v>
      </c>
      <c r="I4025">
        <v>0.36245828505800498</v>
      </c>
      <c r="J4025">
        <v>0.29840349791093601</v>
      </c>
      <c r="K4025">
        <v>0.27982230772176903</v>
      </c>
      <c r="L4025">
        <v>756.17534168821703</v>
      </c>
      <c r="M4025">
        <v>13.322352042448999</v>
      </c>
      <c r="N4025">
        <v>59.232817184040897</v>
      </c>
      <c r="O4025">
        <v>55.526739599324202</v>
      </c>
      <c r="P4025">
        <v>-4.71947300131303E-2</v>
      </c>
      <c r="Q4025">
        <v>0.21330724091529199</v>
      </c>
      <c r="R4025">
        <v>0.99381904153686096</v>
      </c>
      <c r="S4025" t="s">
        <v>11028</v>
      </c>
      <c r="T4025" t="s">
        <v>14004</v>
      </c>
      <c r="U4025" t="s">
        <v>14004</v>
      </c>
      <c r="V4025" t="s">
        <v>14004</v>
      </c>
      <c r="W4025" t="s">
        <v>17979</v>
      </c>
      <c r="X4025">
        <v>27</v>
      </c>
      <c r="Y4025" t="s">
        <v>23015</v>
      </c>
      <c r="Z4025" t="s">
        <v>31735</v>
      </c>
      <c r="AA4025">
        <v>0.66643360157402531</v>
      </c>
      <c r="AB4025" t="str">
        <f>HYPERLINK("Melting_Curves/meltCurve_Q5SRN5_HLA_A.pdf", "Melting_Curves/meltCurve_Q5SRN5_HLA_A.pdf")</f>
        <v>Melting_Curves/meltCurve_Q5SRN5_HLA_A.pdf</v>
      </c>
    </row>
    <row r="4026" spans="1:28" x14ac:dyDescent="0.25">
      <c r="A4026" t="s">
        <v>4030</v>
      </c>
      <c r="B4026">
        <v>0.99999676499088797</v>
      </c>
      <c r="C4026">
        <v>1.0756375269598999</v>
      </c>
      <c r="D4026">
        <v>0.97700498085780596</v>
      </c>
      <c r="E4026">
        <v>1.041463315333</v>
      </c>
      <c r="F4026">
        <v>0.68994939818090295</v>
      </c>
      <c r="G4026">
        <v>0.475345107725543</v>
      </c>
      <c r="H4026">
        <v>0.134959023799889</v>
      </c>
      <c r="I4026">
        <v>0.138989438798926</v>
      </c>
      <c r="J4026">
        <v>0.13105925854359199</v>
      </c>
      <c r="K4026">
        <v>0.114801222451687</v>
      </c>
      <c r="L4026">
        <v>1373.5335634420701</v>
      </c>
      <c r="M4026">
        <v>24.816906981019802</v>
      </c>
      <c r="N4026">
        <v>55.872974162923001</v>
      </c>
      <c r="O4026">
        <v>54.991070351055903</v>
      </c>
      <c r="P4026">
        <v>-0.10106511867120201</v>
      </c>
      <c r="Q4026">
        <v>0.10422333678828299</v>
      </c>
      <c r="R4026">
        <v>0.98395198496122305</v>
      </c>
      <c r="S4026" t="s">
        <v>11029</v>
      </c>
      <c r="T4026" t="s">
        <v>14004</v>
      </c>
      <c r="U4026" t="s">
        <v>14004</v>
      </c>
      <c r="V4026" t="s">
        <v>14004</v>
      </c>
      <c r="W4026" t="s">
        <v>17980</v>
      </c>
      <c r="X4026">
        <v>8</v>
      </c>
      <c r="Y4026" t="s">
        <v>24799</v>
      </c>
      <c r="Z4026" t="s">
        <v>31736</v>
      </c>
      <c r="AA4026">
        <v>0.57084202385476202</v>
      </c>
      <c r="AB4026" t="str">
        <f>HYPERLINK("Melting_Curves/meltCurve_Q5SRQ6_CSNK2B.pdf", "Melting_Curves/meltCurve_Q5SRQ6_CSNK2B.pdf")</f>
        <v>Melting_Curves/meltCurve_Q5SRQ6_CSNK2B.pdf</v>
      </c>
    </row>
    <row r="4027" spans="1:28" x14ac:dyDescent="0.25">
      <c r="A4027" t="s">
        <v>4031</v>
      </c>
      <c r="B4027">
        <v>0.99999676499088797</v>
      </c>
      <c r="C4027">
        <v>1.18958489230459</v>
      </c>
      <c r="D4027">
        <v>0.78315196187463199</v>
      </c>
      <c r="E4027">
        <v>0.36229275284738299</v>
      </c>
      <c r="F4027">
        <v>0.339698721230484</v>
      </c>
      <c r="G4027">
        <v>0.35631157112192702</v>
      </c>
      <c r="H4027">
        <v>0.172315159593107</v>
      </c>
      <c r="I4027">
        <v>0.28029838973305898</v>
      </c>
      <c r="J4027">
        <v>0.27831187097821403</v>
      </c>
      <c r="K4027">
        <v>0.25833272382987399</v>
      </c>
      <c r="L4027">
        <v>2228.6826689772502</v>
      </c>
      <c r="M4027">
        <v>47.472210970959999</v>
      </c>
      <c r="N4027">
        <v>47.791142031234898</v>
      </c>
      <c r="O4027">
        <v>46.864011804114703</v>
      </c>
      <c r="P4027">
        <v>-0.18137374587820901</v>
      </c>
      <c r="Q4027">
        <v>0.28380047739965902</v>
      </c>
      <c r="R4027">
        <v>0.94589581028768499</v>
      </c>
      <c r="S4027" t="s">
        <v>11030</v>
      </c>
      <c r="T4027" t="s">
        <v>14004</v>
      </c>
      <c r="U4027" t="s">
        <v>14004</v>
      </c>
      <c r="V4027" t="s">
        <v>14004</v>
      </c>
      <c r="W4027" t="s">
        <v>17981</v>
      </c>
      <c r="X4027">
        <v>4</v>
      </c>
      <c r="Y4027" t="s">
        <v>24800</v>
      </c>
      <c r="Z4027" t="s">
        <v>31737</v>
      </c>
      <c r="AA4027">
        <v>0.45130147195534792</v>
      </c>
      <c r="AB4027" t="str">
        <f>HYPERLINK("Melting_Curves/meltCurve_Q5SSJ5_HP1BP3.pdf", "Melting_Curves/meltCurve_Q5SSJ5_HP1BP3.pdf")</f>
        <v>Melting_Curves/meltCurve_Q5SSJ5_HP1BP3.pdf</v>
      </c>
    </row>
    <row r="4028" spans="1:28" x14ac:dyDescent="0.25">
      <c r="A4028" t="s">
        <v>4032</v>
      </c>
      <c r="B4028">
        <v>0.99999676499088797</v>
      </c>
      <c r="C4028">
        <v>1.0338426101065901</v>
      </c>
      <c r="D4028">
        <v>0.99892935931515103</v>
      </c>
      <c r="E4028">
        <v>0.81776079615405595</v>
      </c>
      <c r="F4028">
        <v>0.278571062659286</v>
      </c>
      <c r="G4028">
        <v>0.14648651990373299</v>
      </c>
      <c r="H4028">
        <v>7.1453364111130596E-2</v>
      </c>
      <c r="I4028">
        <v>8.0798419401421198E-2</v>
      </c>
      <c r="J4028">
        <v>7.1925272200323201E-2</v>
      </c>
      <c r="K4028">
        <v>5.6087731457953899E-2</v>
      </c>
      <c r="L4028">
        <v>1891.4601799243701</v>
      </c>
      <c r="M4028">
        <v>36.759437159072199</v>
      </c>
      <c r="N4028">
        <v>51.690623379939801</v>
      </c>
      <c r="O4028">
        <v>51.303520468118101</v>
      </c>
      <c r="P4028">
        <v>-0.16531513117465799</v>
      </c>
      <c r="Q4028">
        <v>7.7110614181671699E-2</v>
      </c>
      <c r="R4028">
        <v>0.99791890181920695</v>
      </c>
      <c r="S4028" t="s">
        <v>11031</v>
      </c>
      <c r="T4028" t="s">
        <v>14004</v>
      </c>
      <c r="U4028" t="s">
        <v>14004</v>
      </c>
      <c r="V4028" t="s">
        <v>14004</v>
      </c>
      <c r="W4028" t="s">
        <v>17982</v>
      </c>
      <c r="X4028">
        <v>12</v>
      </c>
      <c r="Y4028" t="s">
        <v>24801</v>
      </c>
      <c r="Z4028" t="s">
        <v>31738</v>
      </c>
      <c r="AA4028">
        <v>0.4333931516800591</v>
      </c>
      <c r="AB4028" t="str">
        <f>HYPERLINK("Melting_Curves/meltCurve_Q5ST30_VARS2.pdf", "Melting_Curves/meltCurve_Q5ST30_VARS2.pdf")</f>
        <v>Melting_Curves/meltCurve_Q5ST30_VARS2.pdf</v>
      </c>
    </row>
    <row r="4029" spans="1:28" x14ac:dyDescent="0.25">
      <c r="A4029" t="s">
        <v>4033</v>
      </c>
      <c r="B4029">
        <v>0.99999676499088797</v>
      </c>
      <c r="C4029">
        <v>0.81549247581133999</v>
      </c>
      <c r="D4029">
        <v>0.83576860828537503</v>
      </c>
      <c r="E4029">
        <v>0.63244837814528598</v>
      </c>
      <c r="F4029">
        <v>0.66962124252833799</v>
      </c>
      <c r="G4029">
        <v>0.48121714294929802</v>
      </c>
      <c r="H4029">
        <v>0.34094688606559798</v>
      </c>
      <c r="I4029">
        <v>0.338382203473305</v>
      </c>
      <c r="J4029">
        <v>0.30595085205153899</v>
      </c>
      <c r="K4029">
        <v>0.29187160332325102</v>
      </c>
      <c r="L4029">
        <v>406.15675865800802</v>
      </c>
      <c r="M4029">
        <v>7.6186221659967401</v>
      </c>
      <c r="N4029">
        <v>56.078410858300103</v>
      </c>
      <c r="O4029">
        <v>50.0102194593006</v>
      </c>
      <c r="P4029">
        <v>-3.2161452480532801E-2</v>
      </c>
      <c r="Q4029">
        <v>0.156686466589325</v>
      </c>
      <c r="R4029">
        <v>0.95873550564153498</v>
      </c>
      <c r="S4029" t="s">
        <v>11032</v>
      </c>
      <c r="T4029" t="s">
        <v>14004</v>
      </c>
      <c r="U4029" t="s">
        <v>14004</v>
      </c>
      <c r="V4029" t="s">
        <v>14004</v>
      </c>
      <c r="W4029" t="s">
        <v>17983</v>
      </c>
      <c r="X4029">
        <v>2</v>
      </c>
      <c r="Y4029" t="s">
        <v>24802</v>
      </c>
      <c r="Z4029" t="s">
        <v>31739</v>
      </c>
      <c r="AA4029">
        <v>0.56442615143384056</v>
      </c>
      <c r="AB4029" t="str">
        <f>HYPERLINK("Melting_Curves/meltCurve_Q5STX8_AIF1.pdf", "Melting_Curves/meltCurve_Q5STX8_AIF1.pdf")</f>
        <v>Melting_Curves/meltCurve_Q5STX8_AIF1.pdf</v>
      </c>
    </row>
    <row r="4030" spans="1:28" x14ac:dyDescent="0.25">
      <c r="A4030" t="s">
        <v>4034</v>
      </c>
      <c r="B4030">
        <v>0.99999676499088797</v>
      </c>
      <c r="C4030">
        <v>0.88074445054047201</v>
      </c>
      <c r="D4030">
        <v>0.54705017094629704</v>
      </c>
      <c r="E4030">
        <v>0.29052478833853401</v>
      </c>
      <c r="F4030">
        <v>0.206200620788143</v>
      </c>
      <c r="G4030">
        <v>0.15265059248038501</v>
      </c>
      <c r="H4030">
        <v>8.3645358638420098E-2</v>
      </c>
      <c r="I4030">
        <v>7.8983283140103694E-2</v>
      </c>
      <c r="J4030">
        <v>7.2921849235067795E-2</v>
      </c>
      <c r="K4030">
        <v>5.8387743625272298E-2</v>
      </c>
      <c r="L4030">
        <v>900.08642971841596</v>
      </c>
      <c r="M4030">
        <v>19.374077148786402</v>
      </c>
      <c r="N4030">
        <v>46.918277506283502</v>
      </c>
      <c r="O4030">
        <v>45.971801004806302</v>
      </c>
      <c r="P4030">
        <v>-9.6248723271585096E-2</v>
      </c>
      <c r="Q4030">
        <v>8.6497823532306506E-2</v>
      </c>
      <c r="R4030">
        <v>0.99146926415622105</v>
      </c>
      <c r="S4030" t="s">
        <v>11033</v>
      </c>
      <c r="T4030" t="s">
        <v>14004</v>
      </c>
      <c r="U4030" t="s">
        <v>14004</v>
      </c>
      <c r="V4030" t="s">
        <v>14004</v>
      </c>
      <c r="W4030" t="s">
        <v>17984</v>
      </c>
      <c r="X4030">
        <v>5</v>
      </c>
      <c r="Y4030" t="s">
        <v>24803</v>
      </c>
      <c r="Z4030" t="s">
        <v>31740</v>
      </c>
      <c r="AA4030">
        <v>0.29789311894456899</v>
      </c>
      <c r="AB4030" t="str">
        <f>HYPERLINK("Melting_Curves/meltCurve_Q5SVK8_DNMBP.pdf", "Melting_Curves/meltCurve_Q5SVK8_DNMBP.pdf")</f>
        <v>Melting_Curves/meltCurve_Q5SVK8_DNMBP.pdf</v>
      </c>
    </row>
    <row r="4031" spans="1:28" x14ac:dyDescent="0.25">
      <c r="A4031" t="s">
        <v>4035</v>
      </c>
      <c r="B4031">
        <v>0.99999676499088797</v>
      </c>
      <c r="C4031">
        <v>0.88345247859458498</v>
      </c>
      <c r="D4031">
        <v>0.837643834735189</v>
      </c>
      <c r="E4031">
        <v>0.63434918472954804</v>
      </c>
      <c r="F4031">
        <v>0.396447899762367</v>
      </c>
      <c r="G4031">
        <v>0.250486173157421</v>
      </c>
      <c r="H4031">
        <v>0.158777681627331</v>
      </c>
      <c r="I4031">
        <v>0.19287324359834701</v>
      </c>
      <c r="J4031">
        <v>0.22726781512021099</v>
      </c>
      <c r="K4031">
        <v>0.23868602793346</v>
      </c>
      <c r="L4031">
        <v>845.25530890638902</v>
      </c>
      <c r="M4031">
        <v>16.978305788017099</v>
      </c>
      <c r="N4031">
        <v>51.182886719005602</v>
      </c>
      <c r="O4031">
        <v>49.109183089005697</v>
      </c>
      <c r="P4031">
        <v>-7.0395636817874405E-2</v>
      </c>
      <c r="Q4031">
        <v>0.18558259780276401</v>
      </c>
      <c r="R4031">
        <v>0.98604174317001603</v>
      </c>
      <c r="S4031" t="s">
        <v>11034</v>
      </c>
      <c r="T4031" t="s">
        <v>14004</v>
      </c>
      <c r="U4031" t="s">
        <v>14004</v>
      </c>
      <c r="V4031" t="s">
        <v>14004</v>
      </c>
      <c r="W4031" t="s">
        <v>17985</v>
      </c>
      <c r="X4031">
        <v>18</v>
      </c>
      <c r="Y4031" t="s">
        <v>24804</v>
      </c>
      <c r="Z4031" t="s">
        <v>31741</v>
      </c>
      <c r="AA4031">
        <v>0.46677006414743027</v>
      </c>
      <c r="AB4031" t="str">
        <f>HYPERLINK("Melting_Curves/meltCurve_Q5SW79_CEP170.pdf", "Melting_Curves/meltCurve_Q5SW79_CEP170.pdf")</f>
        <v>Melting_Curves/meltCurve_Q5SW79_CEP170.pdf</v>
      </c>
    </row>
    <row r="4032" spans="1:28" x14ac:dyDescent="0.25">
      <c r="A4032" t="s">
        <v>4036</v>
      </c>
      <c r="B4032">
        <v>0.99999676499088797</v>
      </c>
      <c r="C4032">
        <v>0.99290154469960701</v>
      </c>
      <c r="D4032">
        <v>0.80609101696805996</v>
      </c>
      <c r="E4032">
        <v>0.36232309270932</v>
      </c>
      <c r="F4032">
        <v>0.353752239324155</v>
      </c>
      <c r="G4032">
        <v>0.24942017012190801</v>
      </c>
      <c r="H4032">
        <v>0.193039212901394</v>
      </c>
      <c r="I4032">
        <v>0.15796255461551301</v>
      </c>
      <c r="J4032">
        <v>0.135874755883586</v>
      </c>
      <c r="K4032">
        <v>0.137876139908679</v>
      </c>
      <c r="L4032">
        <v>1149.8517852565301</v>
      </c>
      <c r="M4032">
        <v>23.972043798531299</v>
      </c>
      <c r="N4032">
        <v>48.873008187506997</v>
      </c>
      <c r="O4032">
        <v>47.636309139725697</v>
      </c>
      <c r="P4032">
        <v>-0.103227435567902</v>
      </c>
      <c r="Q4032">
        <v>0.179494915603366</v>
      </c>
      <c r="R4032">
        <v>0.97776841933203995</v>
      </c>
      <c r="S4032" t="s">
        <v>11035</v>
      </c>
      <c r="T4032" t="s">
        <v>14004</v>
      </c>
      <c r="U4032" t="s">
        <v>14004</v>
      </c>
      <c r="V4032" t="s">
        <v>14004</v>
      </c>
      <c r="W4032" t="s">
        <v>17986</v>
      </c>
      <c r="X4032">
        <v>1</v>
      </c>
      <c r="Y4032" t="s">
        <v>24805</v>
      </c>
      <c r="Z4032" t="s">
        <v>31742</v>
      </c>
      <c r="AA4032">
        <v>0.40530715095384778</v>
      </c>
      <c r="AB4032" t="str">
        <f>HYPERLINK("Melting_Curves/meltCurve_Q5SW96_LDLRAP1.pdf", "Melting_Curves/meltCurve_Q5SW96_LDLRAP1.pdf")</f>
        <v>Melting_Curves/meltCurve_Q5SW96_LDLRAP1.pdf</v>
      </c>
    </row>
    <row r="4033" spans="1:28" x14ac:dyDescent="0.25">
      <c r="A4033" t="s">
        <v>4037</v>
      </c>
      <c r="B4033">
        <v>0.99999676499088797</v>
      </c>
      <c r="C4033">
        <v>1.11350147499318</v>
      </c>
      <c r="D4033">
        <v>1.01524060920715</v>
      </c>
      <c r="E4033">
        <v>0.85505050902212898</v>
      </c>
      <c r="F4033">
        <v>0.273053206426287</v>
      </c>
      <c r="G4033">
        <v>0.19130977088217099</v>
      </c>
      <c r="H4033">
        <v>7.2499434886334799E-2</v>
      </c>
      <c r="I4033">
        <v>8.0278967784984195E-2</v>
      </c>
      <c r="J4033">
        <v>6.2354446861531701E-2</v>
      </c>
      <c r="K4033">
        <v>4.9916232209216503E-2</v>
      </c>
      <c r="L4033">
        <v>2063.90809465762</v>
      </c>
      <c r="M4033">
        <v>40.010474282126502</v>
      </c>
      <c r="N4033">
        <v>51.819544024926302</v>
      </c>
      <c r="O4033">
        <v>51.4558532829776</v>
      </c>
      <c r="P4033">
        <v>-0.17824235742518699</v>
      </c>
      <c r="Q4033">
        <v>8.3081049299516693E-2</v>
      </c>
      <c r="R4033">
        <v>0.98798633285290705</v>
      </c>
      <c r="S4033" t="s">
        <v>11036</v>
      </c>
      <c r="T4033" t="s">
        <v>14004</v>
      </c>
      <c r="U4033" t="s">
        <v>14004</v>
      </c>
      <c r="V4033" t="s">
        <v>14004</v>
      </c>
      <c r="W4033" t="s">
        <v>17987</v>
      </c>
      <c r="X4033">
        <v>5</v>
      </c>
      <c r="Y4033" t="s">
        <v>24806</v>
      </c>
      <c r="Z4033" t="s">
        <v>31743</v>
      </c>
      <c r="AA4033">
        <v>0.44040671299382239</v>
      </c>
      <c r="AB4033" t="str">
        <f>HYPERLINK("Melting_Curves/meltCurve_Q5SWX3_CAMK2G.pdf", "Melting_Curves/meltCurve_Q5SWX3_CAMK2G.pdf")</f>
        <v>Melting_Curves/meltCurve_Q5SWX3_CAMK2G.pdf</v>
      </c>
    </row>
    <row r="4034" spans="1:28" x14ac:dyDescent="0.25">
      <c r="A4034" t="s">
        <v>4038</v>
      </c>
      <c r="B4034">
        <v>0.99999676499088797</v>
      </c>
      <c r="C4034">
        <v>0.99284354305091505</v>
      </c>
      <c r="D4034">
        <v>0.92564521163509395</v>
      </c>
      <c r="E4034">
        <v>0.63390299416468898</v>
      </c>
      <c r="F4034">
        <v>0.25016236835171402</v>
      </c>
      <c r="G4034">
        <v>0.17450363702600599</v>
      </c>
      <c r="H4034">
        <v>0.113671971559778</v>
      </c>
      <c r="I4034">
        <v>9.6518786234681506E-2</v>
      </c>
      <c r="J4034">
        <v>8.9209586775501906E-2</v>
      </c>
      <c r="K4034">
        <v>6.2795554915021395E-2</v>
      </c>
      <c r="L4034">
        <v>1292.26114132109</v>
      </c>
      <c r="M4034">
        <v>25.687541658472899</v>
      </c>
      <c r="N4034">
        <v>50.706100345023302</v>
      </c>
      <c r="O4034">
        <v>50.0050109949659</v>
      </c>
      <c r="P4034">
        <v>-0.116669914332277</v>
      </c>
      <c r="Q4034">
        <v>9.1542575380276506E-2</v>
      </c>
      <c r="R4034">
        <v>0.99804629657627697</v>
      </c>
      <c r="S4034" t="s">
        <v>11037</v>
      </c>
      <c r="T4034" t="s">
        <v>14004</v>
      </c>
      <c r="U4034" t="s">
        <v>14004</v>
      </c>
      <c r="V4034" t="s">
        <v>14004</v>
      </c>
      <c r="W4034" t="s">
        <v>17988</v>
      </c>
      <c r="X4034">
        <v>3</v>
      </c>
      <c r="Y4034" t="s">
        <v>24807</v>
      </c>
      <c r="Z4034" t="s">
        <v>31744</v>
      </c>
      <c r="AA4034">
        <v>0.41137127997125139</v>
      </c>
      <c r="AB4034" t="str">
        <f>HYPERLINK("Melting_Curves/meltCurve_Q5SWX8_3_ODR4.pdf", "Melting_Curves/meltCurve_Q5SWX8_3_ODR4.pdf")</f>
        <v>Melting_Curves/meltCurve_Q5SWX8_3_ODR4.pdf</v>
      </c>
    </row>
    <row r="4035" spans="1:28" x14ac:dyDescent="0.25">
      <c r="A4035" t="s">
        <v>4039</v>
      </c>
      <c r="B4035">
        <v>0.99999676499088797</v>
      </c>
      <c r="C4035">
        <v>1.04101801305219</v>
      </c>
      <c r="D4035">
        <v>1.0052285345391601</v>
      </c>
      <c r="E4035">
        <v>0.54153073812092101</v>
      </c>
      <c r="F4035">
        <v>0.29898892972598401</v>
      </c>
      <c r="G4035">
        <v>0.39790982584708101</v>
      </c>
      <c r="H4035">
        <v>0.13629833192434801</v>
      </c>
      <c r="I4035">
        <v>0.28322065881620301</v>
      </c>
      <c r="J4035">
        <v>0.28340665995028302</v>
      </c>
      <c r="K4035">
        <v>0.20039997130726001</v>
      </c>
      <c r="L4035">
        <v>2818.6098909622701</v>
      </c>
      <c r="M4035">
        <v>57.313459320571198</v>
      </c>
      <c r="N4035">
        <v>49.834363254947</v>
      </c>
      <c r="O4035">
        <v>49.1190836560042</v>
      </c>
      <c r="P4035">
        <v>-0.214482373487553</v>
      </c>
      <c r="Q4035">
        <v>0.26473310460722999</v>
      </c>
      <c r="R4035">
        <v>0.96418354811370999</v>
      </c>
      <c r="S4035" t="s">
        <v>11038</v>
      </c>
      <c r="T4035" t="s">
        <v>14004</v>
      </c>
      <c r="U4035" t="s">
        <v>14004</v>
      </c>
      <c r="V4035" t="s">
        <v>14004</v>
      </c>
      <c r="W4035" t="s">
        <v>17989</v>
      </c>
      <c r="X4035">
        <v>1</v>
      </c>
      <c r="Y4035" t="s">
        <v>24808</v>
      </c>
      <c r="Z4035" t="s">
        <v>31745</v>
      </c>
      <c r="AA4035">
        <v>0.49090885315028732</v>
      </c>
      <c r="AB4035" t="str">
        <f>HYPERLINK("Melting_Curves/meltCurve_Q5SXM2_SNAPC4.pdf", "Melting_Curves/meltCurve_Q5SXM2_SNAPC4.pdf")</f>
        <v>Melting_Curves/meltCurve_Q5SXM2_SNAPC4.pdf</v>
      </c>
    </row>
    <row r="4036" spans="1:28" x14ac:dyDescent="0.25">
      <c r="A4036" t="s">
        <v>4040</v>
      </c>
      <c r="B4036">
        <v>0.99999676499088797</v>
      </c>
      <c r="C4036">
        <v>0.85607368974134201</v>
      </c>
      <c r="D4036">
        <v>0.88275594712899996</v>
      </c>
      <c r="E4036">
        <v>0.80349672692316798</v>
      </c>
      <c r="F4036">
        <v>0.73405860950468804</v>
      </c>
      <c r="G4036">
        <v>0.97662000126124404</v>
      </c>
      <c r="H4036">
        <v>0.49464864235242001</v>
      </c>
      <c r="I4036">
        <v>0.37553121688521801</v>
      </c>
      <c r="J4036">
        <v>0.32557189730505498</v>
      </c>
      <c r="K4036">
        <v>0.68716957748419605</v>
      </c>
      <c r="L4036">
        <v>400.60032121606002</v>
      </c>
      <c r="M4036">
        <v>6.8663807005683699</v>
      </c>
      <c r="N4036">
        <v>66.700488596983604</v>
      </c>
      <c r="O4036">
        <v>53.995175510604099</v>
      </c>
      <c r="P4036">
        <v>-2.2664479479647701E-2</v>
      </c>
      <c r="Q4036">
        <v>0.28850825347487302</v>
      </c>
      <c r="R4036">
        <v>0.58371377794238599</v>
      </c>
      <c r="S4036" t="s">
        <v>11039</v>
      </c>
      <c r="T4036" t="s">
        <v>14004</v>
      </c>
      <c r="U4036" t="s">
        <v>14004</v>
      </c>
      <c r="V4036" t="s">
        <v>14004</v>
      </c>
      <c r="W4036" t="s">
        <v>17990</v>
      </c>
      <c r="X4036">
        <v>3</v>
      </c>
      <c r="Y4036" t="s">
        <v>24809</v>
      </c>
      <c r="Z4036" t="s">
        <v>31746</v>
      </c>
      <c r="AA4036">
        <v>0.71922825706609506</v>
      </c>
      <c r="AB4036" t="str">
        <f>HYPERLINK("Melting_Curves/meltCurve_Q5SXM8_DNLZ.pdf", "Melting_Curves/meltCurve_Q5SXM8_DNLZ.pdf")</f>
        <v>Melting_Curves/meltCurve_Q5SXM8_DNLZ.pdf</v>
      </c>
    </row>
    <row r="4037" spans="1:28" x14ac:dyDescent="0.25">
      <c r="A4037" t="s">
        <v>4041</v>
      </c>
      <c r="B4037">
        <v>0.99999676499088797</v>
      </c>
      <c r="C4037">
        <v>0.91283558459833702</v>
      </c>
      <c r="D4037">
        <v>0.91720518137201401</v>
      </c>
      <c r="E4037">
        <v>0.886705438112394</v>
      </c>
      <c r="F4037">
        <v>0.41221876548383302</v>
      </c>
      <c r="G4037">
        <v>0.30342839103195701</v>
      </c>
      <c r="H4037">
        <v>0.140313027108247</v>
      </c>
      <c r="I4037">
        <v>0.12976646026140401</v>
      </c>
      <c r="J4037">
        <v>0.12404367031437701</v>
      </c>
      <c r="K4037">
        <v>0.10303570213527601</v>
      </c>
      <c r="L4037">
        <v>1263.7670240989801</v>
      </c>
      <c r="M4037">
        <v>24.126613757781801</v>
      </c>
      <c r="N4037">
        <v>52.983289322326598</v>
      </c>
      <c r="O4037">
        <v>52.024744038258802</v>
      </c>
      <c r="P4037">
        <v>-0.102027293202445</v>
      </c>
      <c r="Q4037">
        <v>0.11999890898382</v>
      </c>
      <c r="R4037">
        <v>0.98257779739083395</v>
      </c>
      <c r="S4037" t="s">
        <v>11040</v>
      </c>
      <c r="T4037" t="s">
        <v>14004</v>
      </c>
      <c r="U4037" t="s">
        <v>14004</v>
      </c>
      <c r="V4037" t="s">
        <v>14004</v>
      </c>
      <c r="W4037" t="s">
        <v>17991</v>
      </c>
      <c r="X4037">
        <v>3</v>
      </c>
      <c r="Y4037" t="s">
        <v>24810</v>
      </c>
      <c r="Z4037" t="s">
        <v>31747</v>
      </c>
      <c r="AA4037">
        <v>0.49178949490808532</v>
      </c>
      <c r="AB4037" t="str">
        <f>HYPERLINK("Melting_Curves/meltCurve_Q5SZE3_CERS2.pdf", "Melting_Curves/meltCurve_Q5SZE3_CERS2.pdf")</f>
        <v>Melting_Curves/meltCurve_Q5SZE3_CERS2.pdf</v>
      </c>
    </row>
    <row r="4038" spans="1:28" x14ac:dyDescent="0.25">
      <c r="A4038" t="s">
        <v>4042</v>
      </c>
      <c r="B4038">
        <v>0.99999676499088797</v>
      </c>
      <c r="C4038">
        <v>0.91720557153878302</v>
      </c>
      <c r="D4038">
        <v>0.82748763909161605</v>
      </c>
      <c r="E4038">
        <v>0.58943392257431804</v>
      </c>
      <c r="F4038">
        <v>0.32010198320723798</v>
      </c>
      <c r="G4038">
        <v>0.21716281852326499</v>
      </c>
      <c r="H4038">
        <v>0.126236727025412</v>
      </c>
      <c r="I4038">
        <v>0.14443344653658</v>
      </c>
      <c r="J4038">
        <v>0.15661727539017301</v>
      </c>
      <c r="K4038">
        <v>0.111819116908178</v>
      </c>
      <c r="L4038">
        <v>859.22799335407205</v>
      </c>
      <c r="M4038">
        <v>17.264631481455901</v>
      </c>
      <c r="N4038">
        <v>50.5518086977252</v>
      </c>
      <c r="O4038">
        <v>49.1148121522643</v>
      </c>
      <c r="P4038">
        <v>-7.7565347110489097E-2</v>
      </c>
      <c r="Q4038">
        <v>0.117413118186123</v>
      </c>
      <c r="R4038">
        <v>0.99693304893393897</v>
      </c>
      <c r="S4038" t="s">
        <v>11041</v>
      </c>
      <c r="T4038" t="s">
        <v>14004</v>
      </c>
      <c r="U4038" t="s">
        <v>14004</v>
      </c>
      <c r="V4038" t="s">
        <v>14004</v>
      </c>
      <c r="W4038" t="s">
        <v>17992</v>
      </c>
      <c r="X4038">
        <v>9</v>
      </c>
      <c r="Y4038" t="s">
        <v>24811</v>
      </c>
      <c r="Z4038" t="s">
        <v>31748</v>
      </c>
      <c r="AA4038">
        <v>0.42113645993320048</v>
      </c>
      <c r="AB4038" t="str">
        <f>HYPERLINK("Melting_Curves/meltCurve_Q5SZR4_TDRKH.pdf", "Melting_Curves/meltCurve_Q5SZR4_TDRKH.pdf")</f>
        <v>Melting_Curves/meltCurve_Q5SZR4_TDRKH.pdf</v>
      </c>
    </row>
    <row r="4039" spans="1:28" x14ac:dyDescent="0.25">
      <c r="A4039" t="s">
        <v>4043</v>
      </c>
      <c r="B4039">
        <v>0.99999676499088797</v>
      </c>
      <c r="C4039">
        <v>0.88443017968391502</v>
      </c>
      <c r="D4039">
        <v>0.69979030120099694</v>
      </c>
      <c r="E4039">
        <v>0.30234910489759398</v>
      </c>
      <c r="F4039">
        <v>9.0079632438508195E-2</v>
      </c>
      <c r="G4039">
        <v>4.1447890575992102E-2</v>
      </c>
      <c r="H4039">
        <v>6.9878064003672496E-2</v>
      </c>
      <c r="I4039">
        <v>3.7416651346940701E-2</v>
      </c>
      <c r="J4039">
        <v>5.6347594384102598E-2</v>
      </c>
      <c r="K4039">
        <v>0</v>
      </c>
      <c r="L4039">
        <v>1068.24219708232</v>
      </c>
      <c r="M4039">
        <v>22.497130324378698</v>
      </c>
      <c r="N4039">
        <v>47.619478708289599</v>
      </c>
      <c r="O4039">
        <v>47.113058591760698</v>
      </c>
      <c r="P4039">
        <v>-0.115666701895834</v>
      </c>
      <c r="Q4039">
        <v>3.1111355122217101E-2</v>
      </c>
      <c r="R4039">
        <v>0.99642562175391303</v>
      </c>
      <c r="S4039" t="s">
        <v>11042</v>
      </c>
      <c r="T4039" t="s">
        <v>14004</v>
      </c>
      <c r="U4039" t="s">
        <v>14004</v>
      </c>
      <c r="V4039" t="s">
        <v>14004</v>
      </c>
      <c r="W4039" t="s">
        <v>17993</v>
      </c>
      <c r="X4039">
        <v>1</v>
      </c>
      <c r="Y4039" t="s">
        <v>24812</v>
      </c>
      <c r="Z4039" t="s">
        <v>31749</v>
      </c>
      <c r="AA4039">
        <v>0.28360056953876628</v>
      </c>
      <c r="AB4039" t="str">
        <f>HYPERLINK("Melting_Curves/meltCurve_Q5T0D9_TPRG1L.pdf", "Melting_Curves/meltCurve_Q5T0D9_TPRG1L.pdf")</f>
        <v>Melting_Curves/meltCurve_Q5T0D9_TPRG1L.pdf</v>
      </c>
    </row>
    <row r="4040" spans="1:28" x14ac:dyDescent="0.25">
      <c r="A4040" t="s">
        <v>4044</v>
      </c>
      <c r="B4040">
        <v>0.99999676499088797</v>
      </c>
      <c r="C4040">
        <v>0.92309497599766899</v>
      </c>
      <c r="D4040">
        <v>0.85453686921828698</v>
      </c>
      <c r="E4040">
        <v>0.78708120004775195</v>
      </c>
      <c r="F4040">
        <v>0.25297641617472399</v>
      </c>
      <c r="G4040">
        <v>0.18961201412880899</v>
      </c>
      <c r="H4040">
        <v>0.112474410401649</v>
      </c>
      <c r="I4040">
        <v>0.119174862629608</v>
      </c>
      <c r="J4040">
        <v>0.13297185255261501</v>
      </c>
      <c r="K4040">
        <v>0.13071037667170499</v>
      </c>
      <c r="L4040">
        <v>1749.25492005559</v>
      </c>
      <c r="M4040">
        <v>34.355488163744504</v>
      </c>
      <c r="N4040">
        <v>51.3530275596504</v>
      </c>
      <c r="O4040">
        <v>50.744736686284803</v>
      </c>
      <c r="P4040">
        <v>-0.14781597437983501</v>
      </c>
      <c r="Q4040">
        <v>0.12667770816797</v>
      </c>
      <c r="R4040">
        <v>0.98078375149434405</v>
      </c>
      <c r="S4040" t="s">
        <v>11043</v>
      </c>
      <c r="T4040" t="s">
        <v>14004</v>
      </c>
      <c r="U4040" t="s">
        <v>14004</v>
      </c>
      <c r="V4040" t="s">
        <v>14004</v>
      </c>
      <c r="W4040" t="s">
        <v>17994</v>
      </c>
      <c r="X4040">
        <v>18</v>
      </c>
      <c r="Y4040" t="s">
        <v>24813</v>
      </c>
      <c r="Z4040" t="s">
        <v>31750</v>
      </c>
      <c r="AA4040">
        <v>0.44863544931313831</v>
      </c>
      <c r="AB4040" t="str">
        <f>HYPERLINK("Melting_Curves/meltCurve_Q5T0N5_3_FNBP1L.pdf", "Melting_Curves/meltCurve_Q5T0N5_3_FNBP1L.pdf")</f>
        <v>Melting_Curves/meltCurve_Q5T0N5_3_FNBP1L.pdf</v>
      </c>
    </row>
    <row r="4041" spans="1:28" x14ac:dyDescent="0.25">
      <c r="A4041" t="s">
        <v>4045</v>
      </c>
      <c r="B4041">
        <v>0.99999676499088797</v>
      </c>
      <c r="C4041">
        <v>0.85251694983323201</v>
      </c>
      <c r="D4041">
        <v>0.97849701649307297</v>
      </c>
      <c r="E4041">
        <v>1.16834215104648</v>
      </c>
      <c r="F4041">
        <v>1.6265223024492901</v>
      </c>
      <c r="G4041">
        <v>1.1474114922560801</v>
      </c>
      <c r="H4041">
        <v>0.526921346520415</v>
      </c>
      <c r="I4041">
        <v>9.4298312161380807E-2</v>
      </c>
      <c r="J4041">
        <v>2.79168160193548E-2</v>
      </c>
      <c r="K4041">
        <v>2.9300918334519099E-2</v>
      </c>
      <c r="L4041">
        <v>5263.7249830482297</v>
      </c>
      <c r="M4041">
        <v>86.543713590581802</v>
      </c>
      <c r="N4041">
        <v>60.888807387047798</v>
      </c>
      <c r="O4041">
        <v>60.7891231004307</v>
      </c>
      <c r="P4041">
        <v>-0.33970046054382202</v>
      </c>
      <c r="Q4041">
        <v>4.5564843573430602E-2</v>
      </c>
      <c r="R4041">
        <v>0.82986293473379003</v>
      </c>
      <c r="S4041" t="s">
        <v>11044</v>
      </c>
      <c r="T4041" t="s">
        <v>14004</v>
      </c>
      <c r="U4041" t="s">
        <v>14004</v>
      </c>
      <c r="V4041" t="s">
        <v>14004</v>
      </c>
      <c r="W4041" t="s">
        <v>17995</v>
      </c>
      <c r="X4041">
        <v>1</v>
      </c>
      <c r="Y4041" t="s">
        <v>24814</v>
      </c>
      <c r="Z4041" t="s">
        <v>31751</v>
      </c>
      <c r="AA4041">
        <v>0.70884411534728997</v>
      </c>
      <c r="AB4041" t="str">
        <f>HYPERLINK("Melting_Curves/meltCurve_Q5T0Q6_DPYSL4.pdf", "Melting_Curves/meltCurve_Q5T0Q6_DPYSL4.pdf")</f>
        <v>Melting_Curves/meltCurve_Q5T0Q6_DPYSL4.pdf</v>
      </c>
    </row>
    <row r="4042" spans="1:28" x14ac:dyDescent="0.25">
      <c r="A4042" t="s">
        <v>4046</v>
      </c>
      <c r="B4042">
        <v>0.99999676499088797</v>
      </c>
      <c r="C4042">
        <v>0.94377699540774895</v>
      </c>
      <c r="D4042">
        <v>0.97835766935040902</v>
      </c>
      <c r="E4042">
        <v>0.80452856557741903</v>
      </c>
      <c r="F4042">
        <v>0.62280261723566999</v>
      </c>
      <c r="G4042">
        <v>0.47989421468299798</v>
      </c>
      <c r="H4042">
        <v>0.272009682115049</v>
      </c>
      <c r="I4042">
        <v>0.225962880443004</v>
      </c>
      <c r="J4042">
        <v>0.17578937684984899</v>
      </c>
      <c r="K4042">
        <v>0.134740780695318</v>
      </c>
      <c r="L4042">
        <v>707.468117179253</v>
      </c>
      <c r="M4042">
        <v>12.865793137647</v>
      </c>
      <c r="N4042">
        <v>55.826564173507599</v>
      </c>
      <c r="O4042">
        <v>53.710661366627903</v>
      </c>
      <c r="P4042">
        <v>-5.4634755754327899E-2</v>
      </c>
      <c r="Q4042">
        <v>8.7835748590957996E-2</v>
      </c>
      <c r="R4042">
        <v>0.99519587209208804</v>
      </c>
      <c r="S4042" t="s">
        <v>11045</v>
      </c>
      <c r="T4042" t="s">
        <v>14004</v>
      </c>
      <c r="U4042" t="s">
        <v>14004</v>
      </c>
      <c r="V4042" t="s">
        <v>14004</v>
      </c>
      <c r="W4042" t="s">
        <v>17996</v>
      </c>
      <c r="X4042">
        <v>4</v>
      </c>
      <c r="Y4042" t="s">
        <v>24815</v>
      </c>
      <c r="Z4042" t="s">
        <v>31752</v>
      </c>
      <c r="AA4042">
        <v>0.56389163955723354</v>
      </c>
      <c r="AB4042" t="str">
        <f>HYPERLINK("Melting_Curves/meltCurve_Q5T0V0_SLIT1.pdf", "Melting_Curves/meltCurve_Q5T0V0_SLIT1.pdf")</f>
        <v>Melting_Curves/meltCurve_Q5T0V0_SLIT1.pdf</v>
      </c>
    </row>
    <row r="4043" spans="1:28" x14ac:dyDescent="0.25">
      <c r="A4043" t="s">
        <v>4047</v>
      </c>
      <c r="B4043">
        <v>0.99999676499088797</v>
      </c>
      <c r="C4043">
        <v>1.0737680063233499</v>
      </c>
      <c r="D4043">
        <v>1.0168150067559001</v>
      </c>
      <c r="E4043">
        <v>0.93189606598691899</v>
      </c>
      <c r="F4043">
        <v>0.89382167367100496</v>
      </c>
      <c r="G4043">
        <v>0.88191273199569298</v>
      </c>
      <c r="H4043">
        <v>0.51358705328374799</v>
      </c>
      <c r="I4043">
        <v>0.351363388384764</v>
      </c>
      <c r="J4043">
        <v>0.19390280234802099</v>
      </c>
      <c r="K4043">
        <v>0.14996293014123999</v>
      </c>
      <c r="L4043">
        <v>1216.9596496714801</v>
      </c>
      <c r="M4043">
        <v>19.987993190059399</v>
      </c>
      <c r="N4043">
        <v>61.426013164529003</v>
      </c>
      <c r="O4043">
        <v>60.284920197970003</v>
      </c>
      <c r="P4043">
        <v>-7.6196916438680498E-2</v>
      </c>
      <c r="Q4043">
        <v>8.0772862137953705E-2</v>
      </c>
      <c r="R4043">
        <v>0.98498070972123397</v>
      </c>
      <c r="S4043" t="s">
        <v>11046</v>
      </c>
      <c r="T4043" t="s">
        <v>14004</v>
      </c>
      <c r="U4043" t="s">
        <v>14004</v>
      </c>
      <c r="V4043" t="s">
        <v>14004</v>
      </c>
      <c r="W4043" t="s">
        <v>17997</v>
      </c>
      <c r="X4043">
        <v>1</v>
      </c>
      <c r="Y4043" t="s">
        <v>24816</v>
      </c>
      <c r="Z4043" t="s">
        <v>31753</v>
      </c>
      <c r="AA4043">
        <v>0.72654992558012865</v>
      </c>
      <c r="AB4043" t="str">
        <f>HYPERLINK("Melting_Curves/meltCurve_Q5T114_C9orf156.pdf", "Melting_Curves/meltCurve_Q5T114_C9orf156.pdf")</f>
        <v>Melting_Curves/meltCurve_Q5T114_C9orf156.pdf</v>
      </c>
    </row>
    <row r="4044" spans="1:28" x14ac:dyDescent="0.25">
      <c r="A4044" t="s">
        <v>4048</v>
      </c>
      <c r="B4044">
        <v>0.99999676499088797</v>
      </c>
      <c r="C4044">
        <v>0.94324992660590501</v>
      </c>
      <c r="D4044">
        <v>0.92525316156625204</v>
      </c>
      <c r="E4044">
        <v>0.80662378439612403</v>
      </c>
      <c r="F4044">
        <v>0.675959984037384</v>
      </c>
      <c r="G4044">
        <v>0.422406152070531</v>
      </c>
      <c r="H4044">
        <v>0.190580054051745</v>
      </c>
      <c r="I4044">
        <v>0.16768740146820599</v>
      </c>
      <c r="J4044">
        <v>0.177535612084497</v>
      </c>
      <c r="K4044">
        <v>0.16013138950547301</v>
      </c>
      <c r="L4044">
        <v>848.32750045318596</v>
      </c>
      <c r="M4044">
        <v>15.609158060979899</v>
      </c>
      <c r="N4044">
        <v>55.217330205100701</v>
      </c>
      <c r="O4044">
        <v>53.479484758172198</v>
      </c>
      <c r="P4044">
        <v>-6.5024887940463502E-2</v>
      </c>
      <c r="Q4044">
        <v>0.108934134679956</v>
      </c>
      <c r="R4044">
        <v>0.99043397736365801</v>
      </c>
      <c r="S4044" t="s">
        <v>11047</v>
      </c>
      <c r="T4044" t="s">
        <v>14004</v>
      </c>
      <c r="U4044" t="s">
        <v>14004</v>
      </c>
      <c r="V4044" t="s">
        <v>14004</v>
      </c>
      <c r="W4044" t="s">
        <v>17998</v>
      </c>
      <c r="X4044">
        <v>6</v>
      </c>
      <c r="Y4044" t="s">
        <v>24817</v>
      </c>
      <c r="Z4044" t="s">
        <v>31754</v>
      </c>
      <c r="AA4044">
        <v>0.55218592038473457</v>
      </c>
      <c r="AB4044" t="str">
        <f>HYPERLINK("Melting_Curves/meltCurve_Q5T123_SH3BGRL3.pdf", "Melting_Curves/meltCurve_Q5T123_SH3BGRL3.pdf")</f>
        <v>Melting_Curves/meltCurve_Q5T123_SH3BGRL3.pdf</v>
      </c>
    </row>
    <row r="4045" spans="1:28" x14ac:dyDescent="0.25">
      <c r="A4045" t="s">
        <v>4049</v>
      </c>
      <c r="B4045">
        <v>0.99999676499088797</v>
      </c>
      <c r="C4045">
        <v>1.02038434375332</v>
      </c>
      <c r="D4045">
        <v>0.96016339925641803</v>
      </c>
      <c r="E4045">
        <v>0.77858792349594197</v>
      </c>
      <c r="F4045">
        <v>0.35975455743023899</v>
      </c>
      <c r="G4045">
        <v>0.27907976108449001</v>
      </c>
      <c r="H4045">
        <v>0.14203024108010101</v>
      </c>
      <c r="I4045">
        <v>0.15281217532010699</v>
      </c>
      <c r="J4045">
        <v>0.20541767360687299</v>
      </c>
      <c r="K4045">
        <v>0.13829681312914599</v>
      </c>
      <c r="L4045">
        <v>1432.22304639617</v>
      </c>
      <c r="M4045">
        <v>27.9351769697675</v>
      </c>
      <c r="N4045">
        <v>52.021091776087502</v>
      </c>
      <c r="O4045">
        <v>51.008946451948198</v>
      </c>
      <c r="P4045">
        <v>-0.114180573546667</v>
      </c>
      <c r="Q4045">
        <v>0.166043537137848</v>
      </c>
      <c r="R4045">
        <v>0.99324722844662505</v>
      </c>
      <c r="S4045" t="s">
        <v>11048</v>
      </c>
      <c r="T4045" t="s">
        <v>14004</v>
      </c>
      <c r="U4045" t="s">
        <v>14004</v>
      </c>
      <c r="V4045" t="s">
        <v>14004</v>
      </c>
      <c r="W4045" t="s">
        <v>17999</v>
      </c>
      <c r="X4045">
        <v>6</v>
      </c>
      <c r="Y4045" t="s">
        <v>24818</v>
      </c>
      <c r="Z4045" t="s">
        <v>31755</v>
      </c>
      <c r="AA4045">
        <v>0.48539020743025019</v>
      </c>
      <c r="AB4045" t="str">
        <f>HYPERLINK("Melting_Curves/meltCurve_Q5T160_RARS2.pdf", "Melting_Curves/meltCurve_Q5T160_RARS2.pdf")</f>
        <v>Melting_Curves/meltCurve_Q5T160_RARS2.pdf</v>
      </c>
    </row>
    <row r="4046" spans="1:28" x14ac:dyDescent="0.25">
      <c r="A4046" t="s">
        <v>4050</v>
      </c>
      <c r="B4046">
        <v>0.99999676499088797</v>
      </c>
      <c r="C4046">
        <v>0.88481932506447702</v>
      </c>
      <c r="D4046">
        <v>0.87245678835431595</v>
      </c>
      <c r="E4046">
        <v>0.58890271568160302</v>
      </c>
      <c r="F4046">
        <v>0.257694001787314</v>
      </c>
      <c r="G4046">
        <v>0.127042736745619</v>
      </c>
      <c r="H4046">
        <v>0.119254074671213</v>
      </c>
      <c r="I4046">
        <v>0.101914530286908</v>
      </c>
      <c r="J4046">
        <v>0.104541653417189</v>
      </c>
      <c r="K4046">
        <v>0.153425885163603</v>
      </c>
      <c r="L4046">
        <v>1105.64212965038</v>
      </c>
      <c r="M4046">
        <v>22.2467222021839</v>
      </c>
      <c r="N4046">
        <v>50.234533375808397</v>
      </c>
      <c r="O4046">
        <v>49.302754196277903</v>
      </c>
      <c r="P4046">
        <v>-0.100902066289808</v>
      </c>
      <c r="Q4046">
        <v>0.10555029704097001</v>
      </c>
      <c r="R4046">
        <v>0.99031860979957997</v>
      </c>
      <c r="S4046" t="s">
        <v>11049</v>
      </c>
      <c r="T4046" t="s">
        <v>14004</v>
      </c>
      <c r="U4046" t="s">
        <v>14004</v>
      </c>
      <c r="V4046" t="s">
        <v>14004</v>
      </c>
      <c r="W4046" t="s">
        <v>18000</v>
      </c>
      <c r="X4046">
        <v>5</v>
      </c>
      <c r="Y4046" t="s">
        <v>24819</v>
      </c>
      <c r="Z4046" t="s">
        <v>31756</v>
      </c>
      <c r="AA4046">
        <v>0.40481469763277128</v>
      </c>
      <c r="AB4046" t="str">
        <f>HYPERLINK("Melting_Curves/meltCurve_Q5T171_PYGO2.pdf", "Melting_Curves/meltCurve_Q5T171_PYGO2.pdf")</f>
        <v>Melting_Curves/meltCurve_Q5T171_PYGO2.pdf</v>
      </c>
    </row>
    <row r="4047" spans="1:28" x14ac:dyDescent="0.25">
      <c r="A4047" t="s">
        <v>4051</v>
      </c>
      <c r="B4047">
        <v>0.99999676499088797</v>
      </c>
      <c r="C4047">
        <v>0.85975924848833796</v>
      </c>
      <c r="D4047">
        <v>0.69754497687352501</v>
      </c>
      <c r="E4047">
        <v>0.230153316491327</v>
      </c>
      <c r="F4047">
        <v>0.16346384066309999</v>
      </c>
      <c r="G4047">
        <v>0.107655378549776</v>
      </c>
      <c r="H4047">
        <v>5.3507541086001198E-2</v>
      </c>
      <c r="I4047">
        <v>5.0376520175346197E-2</v>
      </c>
      <c r="J4047">
        <v>4.2460919065481502E-2</v>
      </c>
      <c r="K4047">
        <v>4.6266962878163398E-2</v>
      </c>
      <c r="L4047">
        <v>1065.4048723681601</v>
      </c>
      <c r="M4047">
        <v>22.6228520018777</v>
      </c>
      <c r="N4047">
        <v>47.3435214164179</v>
      </c>
      <c r="O4047">
        <v>46.730841125204897</v>
      </c>
      <c r="P4047">
        <v>-0.114233215129435</v>
      </c>
      <c r="Q4047">
        <v>5.6156574366726601E-2</v>
      </c>
      <c r="R4047">
        <v>0.99152909944221301</v>
      </c>
      <c r="S4047" t="s">
        <v>11050</v>
      </c>
      <c r="T4047" t="s">
        <v>14004</v>
      </c>
      <c r="U4047" t="s">
        <v>14004</v>
      </c>
      <c r="V4047" t="s">
        <v>14004</v>
      </c>
      <c r="W4047" t="s">
        <v>18001</v>
      </c>
      <c r="X4047">
        <v>24</v>
      </c>
      <c r="Y4047" t="s">
        <v>24820</v>
      </c>
      <c r="Z4047" t="s">
        <v>31757</v>
      </c>
      <c r="AA4047">
        <v>0.28983583250698558</v>
      </c>
      <c r="AB4047" t="str">
        <f>HYPERLINK("Melting_Curves/meltCurve_Q5T1M5_FKBP15.pdf", "Melting_Curves/meltCurve_Q5T1M5_FKBP15.pdf")</f>
        <v>Melting_Curves/meltCurve_Q5T1M5_FKBP15.pdf</v>
      </c>
    </row>
    <row r="4048" spans="1:28" x14ac:dyDescent="0.25">
      <c r="A4048" t="s">
        <v>4052</v>
      </c>
      <c r="B4048">
        <v>0.99999676499088797</v>
      </c>
      <c r="C4048">
        <v>0.94887488252147101</v>
      </c>
      <c r="D4048">
        <v>0.98620099660692895</v>
      </c>
      <c r="E4048">
        <v>0.89485778834686802</v>
      </c>
      <c r="F4048">
        <v>0.269985124819142</v>
      </c>
      <c r="G4048">
        <v>0.16298863694233501</v>
      </c>
      <c r="H4048">
        <v>7.7985031612623296E-2</v>
      </c>
      <c r="I4048">
        <v>7.0535647621691705E-2</v>
      </c>
      <c r="J4048">
        <v>6.19537205725402E-2</v>
      </c>
      <c r="K4048">
        <v>5.4813514789302298E-2</v>
      </c>
      <c r="L4048">
        <v>2358.4040355821999</v>
      </c>
      <c r="M4048">
        <v>45.599968562328399</v>
      </c>
      <c r="N4048">
        <v>51.919167734051797</v>
      </c>
      <c r="O4048">
        <v>51.620251063404197</v>
      </c>
      <c r="P4048">
        <v>-0.20307610466228099</v>
      </c>
      <c r="Q4048">
        <v>8.0453206059677804E-2</v>
      </c>
      <c r="R4048">
        <v>0.99506292806114205</v>
      </c>
      <c r="S4048" t="s">
        <v>11051</v>
      </c>
      <c r="T4048" t="s">
        <v>14004</v>
      </c>
      <c r="U4048" t="s">
        <v>14004</v>
      </c>
      <c r="V4048" t="s">
        <v>14004</v>
      </c>
      <c r="W4048" t="s">
        <v>18002</v>
      </c>
      <c r="X4048">
        <v>11</v>
      </c>
      <c r="Y4048" t="s">
        <v>24821</v>
      </c>
      <c r="Z4048" t="s">
        <v>31758</v>
      </c>
      <c r="AA4048">
        <v>0.44219644414551212</v>
      </c>
      <c r="AB4048" t="str">
        <f>HYPERLINK("Melting_Curves/meltCurve_Q5T1V6_DDX59.pdf", "Melting_Curves/meltCurve_Q5T1V6_DDX59.pdf")</f>
        <v>Melting_Curves/meltCurve_Q5T1V6_DDX59.pdf</v>
      </c>
    </row>
    <row r="4049" spans="1:28" x14ac:dyDescent="0.25">
      <c r="A4049" t="s">
        <v>4053</v>
      </c>
      <c r="B4049">
        <v>0.99999676499088797</v>
      </c>
      <c r="C4049">
        <v>0.94212170907600101</v>
      </c>
      <c r="D4049">
        <v>0.90700905735975201</v>
      </c>
      <c r="E4049">
        <v>0.63589410313016204</v>
      </c>
      <c r="F4049">
        <v>0.27730358078269901</v>
      </c>
      <c r="G4049">
        <v>0.20929384284667499</v>
      </c>
      <c r="H4049">
        <v>0.119974710463154</v>
      </c>
      <c r="I4049">
        <v>0.16497085756115701</v>
      </c>
      <c r="J4049">
        <v>0.16028666042220499</v>
      </c>
      <c r="K4049">
        <v>0.13569468961529799</v>
      </c>
      <c r="L4049">
        <v>1252.2096955300899</v>
      </c>
      <c r="M4049">
        <v>25.024819044190998</v>
      </c>
      <c r="N4049">
        <v>50.7253629954822</v>
      </c>
      <c r="O4049">
        <v>49.722459496362703</v>
      </c>
      <c r="P4049">
        <v>-0.10774696843911399</v>
      </c>
      <c r="Q4049">
        <v>0.14367052428501001</v>
      </c>
      <c r="R4049">
        <v>0.99577371033655004</v>
      </c>
      <c r="S4049" t="s">
        <v>11052</v>
      </c>
      <c r="T4049" t="s">
        <v>14004</v>
      </c>
      <c r="U4049" t="s">
        <v>14004</v>
      </c>
      <c r="V4049" t="s">
        <v>14004</v>
      </c>
      <c r="W4049" t="s">
        <v>17588</v>
      </c>
      <c r="X4049">
        <v>18</v>
      </c>
      <c r="Y4049" t="s">
        <v>24427</v>
      </c>
      <c r="Z4049" t="s">
        <v>31759</v>
      </c>
      <c r="AA4049">
        <v>0.43786008775601148</v>
      </c>
      <c r="AB4049" t="str">
        <f>HYPERLINK("Melting_Curves/meltCurve_Q5T1Z4_PUM1.pdf", "Melting_Curves/meltCurve_Q5T1Z4_PUM1.pdf")</f>
        <v>Melting_Curves/meltCurve_Q5T1Z4_PUM1.pdf</v>
      </c>
    </row>
    <row r="4050" spans="1:28" x14ac:dyDescent="0.25">
      <c r="A4050" t="s">
        <v>4054</v>
      </c>
      <c r="B4050">
        <v>0.99999676499088797</v>
      </c>
      <c r="C4050">
        <v>0.94588369353528801</v>
      </c>
      <c r="D4050">
        <v>0.93604145891641899</v>
      </c>
      <c r="E4050">
        <v>0.52482556375370004</v>
      </c>
      <c r="F4050">
        <v>0.37047242027303501</v>
      </c>
      <c r="G4050">
        <v>0.30796395250489</v>
      </c>
      <c r="H4050">
        <v>0.19020595182847599</v>
      </c>
      <c r="I4050">
        <v>0.22937654096274401</v>
      </c>
      <c r="J4050">
        <v>0.243431998327932</v>
      </c>
      <c r="K4050">
        <v>0.24775596654170401</v>
      </c>
      <c r="L4050">
        <v>1278.8543718497299</v>
      </c>
      <c r="M4050">
        <v>26.064360592406199</v>
      </c>
      <c r="N4050">
        <v>50.338711158438002</v>
      </c>
      <c r="O4050">
        <v>48.779158595705702</v>
      </c>
      <c r="P4050">
        <v>-0.10133595722190999</v>
      </c>
      <c r="Q4050">
        <v>0.24141221354796699</v>
      </c>
      <c r="R4050">
        <v>0.98715653861671504</v>
      </c>
      <c r="S4050" t="s">
        <v>11053</v>
      </c>
      <c r="T4050" t="s">
        <v>14004</v>
      </c>
      <c r="U4050" t="s">
        <v>14004</v>
      </c>
      <c r="V4050" t="s">
        <v>14004</v>
      </c>
      <c r="W4050" t="s">
        <v>18003</v>
      </c>
      <c r="X4050">
        <v>20</v>
      </c>
      <c r="Y4050" t="s">
        <v>24822</v>
      </c>
      <c r="Z4050" t="s">
        <v>31760</v>
      </c>
      <c r="AA4050">
        <v>0.47681084391373779</v>
      </c>
      <c r="AB4050" t="str">
        <f>HYPERLINK("Melting_Curves/meltCurve_Q5T200_ZC3H13.pdf", "Melting_Curves/meltCurve_Q5T200_ZC3H13.pdf")</f>
        <v>Melting_Curves/meltCurve_Q5T200_ZC3H13.pdf</v>
      </c>
    </row>
    <row r="4051" spans="1:28" x14ac:dyDescent="0.25">
      <c r="A4051" t="s">
        <v>4055</v>
      </c>
      <c r="B4051">
        <v>0.99999676499088797</v>
      </c>
      <c r="C4051">
        <v>0.97180900002481896</v>
      </c>
      <c r="D4051">
        <v>0.916786511938813</v>
      </c>
      <c r="E4051">
        <v>0.93485174722981002</v>
      </c>
      <c r="F4051">
        <v>1.15935729076334</v>
      </c>
      <c r="G4051">
        <v>1.1126089005176001</v>
      </c>
      <c r="H4051">
        <v>0.56499388736625999</v>
      </c>
      <c r="I4051">
        <v>0.33944903152601402</v>
      </c>
      <c r="J4051">
        <v>0.36384968607236601</v>
      </c>
      <c r="K4051">
        <v>0.322504573964009</v>
      </c>
      <c r="L4051">
        <v>15000</v>
      </c>
      <c r="M4051">
        <v>247.378445809108</v>
      </c>
      <c r="N4051">
        <v>60.919433216141798</v>
      </c>
      <c r="O4051">
        <v>60.631877599546002</v>
      </c>
      <c r="P4051">
        <v>-0.67122842990568499</v>
      </c>
      <c r="Q4051">
        <v>0.34193393727662602</v>
      </c>
      <c r="R4051">
        <v>0.94929577660671804</v>
      </c>
      <c r="S4051" t="s">
        <v>11054</v>
      </c>
      <c r="T4051" t="s">
        <v>14004</v>
      </c>
      <c r="U4051" t="s">
        <v>14004</v>
      </c>
      <c r="V4051" t="s">
        <v>14004</v>
      </c>
      <c r="W4051" t="s">
        <v>18004</v>
      </c>
      <c r="X4051">
        <v>1</v>
      </c>
      <c r="Y4051" t="s">
        <v>24823</v>
      </c>
      <c r="Z4051" t="s">
        <v>31761</v>
      </c>
      <c r="AA4051">
        <v>0.7946636695546837</v>
      </c>
      <c r="AB4051" t="str">
        <f>HYPERLINK("Melting_Curves/meltCurve_Q5T266_ZDHHC12.pdf", "Melting_Curves/meltCurve_Q5T266_ZDHHC12.pdf")</f>
        <v>Melting_Curves/meltCurve_Q5T266_ZDHHC12.pdf</v>
      </c>
    </row>
    <row r="4052" spans="1:28" x14ac:dyDescent="0.25">
      <c r="A4052" t="s">
        <v>4056</v>
      </c>
      <c r="B4052">
        <v>0.99999676499088797</v>
      </c>
      <c r="C4052">
        <v>1.10253488997845</v>
      </c>
      <c r="D4052">
        <v>1.22595807846739</v>
      </c>
      <c r="E4052">
        <v>0.35546012458692</v>
      </c>
      <c r="F4052">
        <v>0.16656269743465699</v>
      </c>
      <c r="G4052">
        <v>0.28044971454080497</v>
      </c>
      <c r="H4052">
        <v>0.13120244195728001</v>
      </c>
      <c r="I4052">
        <v>0.145640400959265</v>
      </c>
      <c r="J4052">
        <v>9.9446600627906306E-2</v>
      </c>
      <c r="K4052">
        <v>0.15982906268193101</v>
      </c>
      <c r="L4052">
        <v>12339.8302025949</v>
      </c>
      <c r="M4052">
        <v>250</v>
      </c>
      <c r="N4052">
        <v>49.437843721912998</v>
      </c>
      <c r="O4052">
        <v>49.356161930167197</v>
      </c>
      <c r="P4052">
        <v>-1.0588151687863201</v>
      </c>
      <c r="Q4052">
        <v>0.16385515060824599</v>
      </c>
      <c r="R4052">
        <v>0.95628855250095002</v>
      </c>
      <c r="S4052" t="s">
        <v>11055</v>
      </c>
      <c r="T4052" t="s">
        <v>14004</v>
      </c>
      <c r="U4052" t="s">
        <v>14004</v>
      </c>
      <c r="V4052" t="s">
        <v>14004</v>
      </c>
      <c r="W4052" t="s">
        <v>18005</v>
      </c>
      <c r="X4052">
        <v>1</v>
      </c>
      <c r="Y4052" t="s">
        <v>24824</v>
      </c>
      <c r="Z4052" t="s">
        <v>31762</v>
      </c>
      <c r="AA4052">
        <v>0.424785844502024</v>
      </c>
      <c r="AB4052" t="str">
        <f>HYPERLINK("Melting_Curves/meltCurve_Q5T280_C9orf114.pdf", "Melting_Curves/meltCurve_Q5T280_C9orf114.pdf")</f>
        <v>Melting_Curves/meltCurve_Q5T280_C9orf114.pdf</v>
      </c>
    </row>
    <row r="4053" spans="1:28" x14ac:dyDescent="0.25">
      <c r="A4053" t="s">
        <v>4057</v>
      </c>
      <c r="B4053">
        <v>0.99999676499088797</v>
      </c>
      <c r="C4053">
        <v>1.12512387736874</v>
      </c>
      <c r="D4053">
        <v>1.19519526049643</v>
      </c>
      <c r="E4053">
        <v>2.2084530519706802</v>
      </c>
      <c r="F4053">
        <v>1.8098899689974499</v>
      </c>
      <c r="G4053">
        <v>1.4800353815160201</v>
      </c>
      <c r="H4053">
        <v>0.82536614357709803</v>
      </c>
      <c r="I4053">
        <v>0.17177517311461499</v>
      </c>
      <c r="J4053">
        <v>0.119180355266837</v>
      </c>
      <c r="K4053">
        <v>0.112073641230594</v>
      </c>
      <c r="L4053">
        <v>5262.7922201401998</v>
      </c>
      <c r="M4053">
        <v>85.131676207052493</v>
      </c>
      <c r="N4053">
        <v>62.016192236560201</v>
      </c>
      <c r="O4053">
        <v>61.785363722374001</v>
      </c>
      <c r="P4053">
        <v>-0.30369953831840202</v>
      </c>
      <c r="Q4053">
        <v>0.118345575080783</v>
      </c>
      <c r="R4053">
        <v>0.487061901392281</v>
      </c>
      <c r="S4053" t="s">
        <v>11056</v>
      </c>
      <c r="T4053" t="s">
        <v>14004</v>
      </c>
      <c r="U4053" t="s">
        <v>14004</v>
      </c>
      <c r="V4053" t="s">
        <v>14004</v>
      </c>
      <c r="W4053" t="s">
        <v>18006</v>
      </c>
      <c r="X4053">
        <v>2</v>
      </c>
      <c r="Y4053" t="s">
        <v>24825</v>
      </c>
      <c r="Z4053" t="s">
        <v>31763</v>
      </c>
      <c r="AA4053">
        <v>0.76041059556667701</v>
      </c>
      <c r="AB4053" t="str">
        <f>HYPERLINK("Melting_Curves/meltCurve_Q5T2E6_C10orf76.pdf", "Melting_Curves/meltCurve_Q5T2E6_C10orf76.pdf")</f>
        <v>Melting_Curves/meltCurve_Q5T2E6_C10orf76.pdf</v>
      </c>
    </row>
    <row r="4054" spans="1:28" x14ac:dyDescent="0.25">
      <c r="A4054" t="s">
        <v>4058</v>
      </c>
      <c r="B4054">
        <v>0.99999676499088797</v>
      </c>
      <c r="C4054">
        <v>0.95587434009424999</v>
      </c>
      <c r="D4054">
        <v>0.79749537066550402</v>
      </c>
      <c r="E4054">
        <v>0.69944090926559999</v>
      </c>
      <c r="F4054">
        <v>0.58116195582959695</v>
      </c>
      <c r="G4054">
        <v>0.42485405970872497</v>
      </c>
      <c r="H4054">
        <v>0.13734264302347801</v>
      </c>
      <c r="I4054">
        <v>0.10994141420385101</v>
      </c>
      <c r="J4054">
        <v>6.7356925442537005E-2</v>
      </c>
      <c r="K4054">
        <v>5.7035007302260701E-2</v>
      </c>
      <c r="L4054">
        <v>618.11560956908397</v>
      </c>
      <c r="M4054">
        <v>11.500873443713401</v>
      </c>
      <c r="N4054">
        <v>53.745100896995403</v>
      </c>
      <c r="O4054">
        <v>52.197227469462703</v>
      </c>
      <c r="P4054">
        <v>-5.5099388399724697E-2</v>
      </c>
      <c r="Q4054">
        <v>0</v>
      </c>
      <c r="R4054">
        <v>0.98294503821228296</v>
      </c>
      <c r="S4054" t="s">
        <v>11057</v>
      </c>
      <c r="T4054" t="s">
        <v>14004</v>
      </c>
      <c r="U4054" t="s">
        <v>14004</v>
      </c>
      <c r="V4054" t="s">
        <v>14004</v>
      </c>
      <c r="W4054" t="s">
        <v>18007</v>
      </c>
      <c r="X4054">
        <v>9</v>
      </c>
      <c r="Y4054" t="s">
        <v>24826</v>
      </c>
      <c r="Z4054" t="s">
        <v>31764</v>
      </c>
      <c r="AA4054">
        <v>0.4860117963438772</v>
      </c>
      <c r="AB4054" t="str">
        <f>HYPERLINK("Melting_Curves/meltCurve_Q5T2R2_3_PDSS1.pdf", "Melting_Curves/meltCurve_Q5T2R2_3_PDSS1.pdf")</f>
        <v>Melting_Curves/meltCurve_Q5T2R2_3_PDSS1.pdf</v>
      </c>
    </row>
    <row r="4055" spans="1:28" x14ac:dyDescent="0.25">
      <c r="A4055" t="s">
        <v>4059</v>
      </c>
      <c r="B4055">
        <v>0.99999676499088797</v>
      </c>
      <c r="C4055">
        <v>1.08491975120103</v>
      </c>
      <c r="D4055">
        <v>0.74848109232409799</v>
      </c>
      <c r="E4055">
        <v>0.42388362156215198</v>
      </c>
      <c r="F4055">
        <v>0.39461818158475898</v>
      </c>
      <c r="G4055">
        <v>0.20211610243697001</v>
      </c>
      <c r="H4055">
        <v>6.4753242172860506E-2</v>
      </c>
      <c r="I4055">
        <v>0.103683249252359</v>
      </c>
      <c r="J4055">
        <v>9.6062391396135205E-2</v>
      </c>
      <c r="K4055">
        <v>7.3481206071718305E-2</v>
      </c>
      <c r="L4055">
        <v>833.268076975138</v>
      </c>
      <c r="M4055">
        <v>16.911954649872001</v>
      </c>
      <c r="N4055">
        <v>49.809909240882803</v>
      </c>
      <c r="O4055">
        <v>48.597524038569901</v>
      </c>
      <c r="P4055">
        <v>-7.9730792879458598E-2</v>
      </c>
      <c r="Q4055">
        <v>8.3612817287609498E-2</v>
      </c>
      <c r="R4055">
        <v>0.964203553856676</v>
      </c>
      <c r="S4055" t="s">
        <v>11058</v>
      </c>
      <c r="T4055" t="s">
        <v>14004</v>
      </c>
      <c r="U4055" t="s">
        <v>14004</v>
      </c>
      <c r="V4055" t="s">
        <v>14004</v>
      </c>
      <c r="W4055" t="s">
        <v>18008</v>
      </c>
      <c r="X4055">
        <v>7</v>
      </c>
      <c r="Y4055" t="s">
        <v>24827</v>
      </c>
      <c r="Z4055" t="s">
        <v>31765</v>
      </c>
      <c r="AA4055">
        <v>0.38464606120963257</v>
      </c>
      <c r="AB4055" t="str">
        <f>HYPERLINK("Melting_Curves/meltCurve_Q5T321_NBEA.pdf", "Melting_Curves/meltCurve_Q5T321_NBEA.pdf")</f>
        <v>Melting_Curves/meltCurve_Q5T321_NBEA.pdf</v>
      </c>
    </row>
    <row r="4056" spans="1:28" x14ac:dyDescent="0.25">
      <c r="A4056" t="s">
        <v>4060</v>
      </c>
      <c r="B4056">
        <v>0.99999676499088797</v>
      </c>
      <c r="C4056">
        <v>0.91540761793937098</v>
      </c>
      <c r="D4056">
        <v>0.73438054379969897</v>
      </c>
      <c r="E4056">
        <v>0.28653650617120902</v>
      </c>
      <c r="F4056">
        <v>9.6621600960146298E-2</v>
      </c>
      <c r="G4056">
        <v>0</v>
      </c>
      <c r="H4056">
        <v>0</v>
      </c>
      <c r="I4056">
        <v>7.4745978483269304E-2</v>
      </c>
      <c r="J4056">
        <v>0</v>
      </c>
      <c r="K4056">
        <v>0</v>
      </c>
      <c r="L4056">
        <v>1174.59268918934</v>
      </c>
      <c r="M4056">
        <v>24.5980854410729</v>
      </c>
      <c r="N4056">
        <v>47.795294574696896</v>
      </c>
      <c r="O4056">
        <v>47.439144181688299</v>
      </c>
      <c r="P4056">
        <v>-0.12818321266195301</v>
      </c>
      <c r="Q4056">
        <v>1.1172687551048799E-2</v>
      </c>
      <c r="R4056">
        <v>0.99574738662608697</v>
      </c>
      <c r="S4056" t="s">
        <v>11059</v>
      </c>
      <c r="T4056" t="s">
        <v>14004</v>
      </c>
      <c r="U4056" t="s">
        <v>14004</v>
      </c>
      <c r="V4056" t="s">
        <v>14004</v>
      </c>
      <c r="W4056" t="s">
        <v>18009</v>
      </c>
      <c r="X4056">
        <v>3</v>
      </c>
      <c r="Y4056" t="s">
        <v>24828</v>
      </c>
      <c r="Z4056" t="s">
        <v>31766</v>
      </c>
      <c r="AA4056">
        <v>0.27572313333396592</v>
      </c>
      <c r="AB4056" t="str">
        <f>HYPERLINK("Melting_Curves/meltCurve_Q5T3I0_GPATCH4.pdf", "Melting_Curves/meltCurve_Q5T3I0_GPATCH4.pdf")</f>
        <v>Melting_Curves/meltCurve_Q5T3I0_GPATCH4.pdf</v>
      </c>
    </row>
    <row r="4057" spans="1:28" x14ac:dyDescent="0.25">
      <c r="A4057" t="s">
        <v>4061</v>
      </c>
      <c r="B4057">
        <v>0.99999676499088797</v>
      </c>
      <c r="C4057">
        <v>1.00427368904772</v>
      </c>
      <c r="D4057">
        <v>0.99763608437154605</v>
      </c>
      <c r="E4057">
        <v>0.98513352282191402</v>
      </c>
      <c r="F4057">
        <v>0.73442660009590399</v>
      </c>
      <c r="G4057">
        <v>0.56908466335853802</v>
      </c>
      <c r="H4057">
        <v>0.40790755931411798</v>
      </c>
      <c r="I4057">
        <v>0.406628151048742</v>
      </c>
      <c r="J4057">
        <v>0.38880713408025702</v>
      </c>
      <c r="K4057">
        <v>0.57042094740499905</v>
      </c>
      <c r="L4057">
        <v>1677.37774610254</v>
      </c>
      <c r="M4057">
        <v>31.286325601858099</v>
      </c>
      <c r="N4057">
        <v>57.724278457602402</v>
      </c>
      <c r="O4057">
        <v>53.396157729971002</v>
      </c>
      <c r="P4057">
        <v>-8.1133703857916101E-2</v>
      </c>
      <c r="Q4057">
        <v>0.44612173932514498</v>
      </c>
      <c r="R4057">
        <v>0.96008444181192398</v>
      </c>
      <c r="S4057" t="s">
        <v>11060</v>
      </c>
      <c r="T4057" t="s">
        <v>14004</v>
      </c>
      <c r="U4057" t="s">
        <v>14004</v>
      </c>
      <c r="V4057" t="s">
        <v>14004</v>
      </c>
      <c r="W4057" t="s">
        <v>18010</v>
      </c>
      <c r="X4057">
        <v>5</v>
      </c>
      <c r="Y4057" t="s">
        <v>24829</v>
      </c>
      <c r="Z4057" t="s">
        <v>31767</v>
      </c>
      <c r="AA4057">
        <v>0.70080424000137242</v>
      </c>
      <c r="AB4057" t="str">
        <f>HYPERLINK("Melting_Curves/meltCurve_Q5T3J3_2_LRIF1.pdf", "Melting_Curves/meltCurve_Q5T3J3_2_LRIF1.pdf")</f>
        <v>Melting_Curves/meltCurve_Q5T3J3_2_LRIF1.pdf</v>
      </c>
    </row>
    <row r="4058" spans="1:28" x14ac:dyDescent="0.25">
      <c r="A4058" t="s">
        <v>4062</v>
      </c>
      <c r="B4058">
        <v>0.99999676499088797</v>
      </c>
      <c r="C4058">
        <v>0.76655597425063804</v>
      </c>
      <c r="D4058">
        <v>0.52496152653953898</v>
      </c>
      <c r="E4058">
        <v>0.15611289511984899</v>
      </c>
      <c r="F4058">
        <v>7.6989702018541606E-2</v>
      </c>
      <c r="G4058">
        <v>8.2777126101123893E-2</v>
      </c>
      <c r="H4058">
        <v>3.5996535229677697E-2</v>
      </c>
      <c r="I4058">
        <v>7.1607673040344502E-2</v>
      </c>
      <c r="J4058">
        <v>9.79402946765143E-2</v>
      </c>
      <c r="K4058">
        <v>8.2392509490229707E-2</v>
      </c>
      <c r="L4058">
        <v>1046.4384142378401</v>
      </c>
      <c r="M4058">
        <v>22.973652385318299</v>
      </c>
      <c r="N4058">
        <v>45.826097990234402</v>
      </c>
      <c r="O4058">
        <v>45.208589349819</v>
      </c>
      <c r="P4058">
        <v>-0.11882005035948801</v>
      </c>
      <c r="Q4058">
        <v>6.4739768788838997E-2</v>
      </c>
      <c r="R4058">
        <v>0.99077714648812198</v>
      </c>
      <c r="S4058" t="s">
        <v>11061</v>
      </c>
      <c r="T4058" t="s">
        <v>14004</v>
      </c>
      <c r="U4058" t="s">
        <v>14004</v>
      </c>
      <c r="V4058" t="s">
        <v>14004</v>
      </c>
      <c r="W4058" t="s">
        <v>18011</v>
      </c>
      <c r="X4058">
        <v>1</v>
      </c>
      <c r="Y4058" t="s">
        <v>24830</v>
      </c>
      <c r="Z4058" t="s">
        <v>31768</v>
      </c>
      <c r="AA4058">
        <v>0.2485843748986109</v>
      </c>
      <c r="AB4058" t="str">
        <f>HYPERLINK("Melting_Curves/meltCurve_Q5T427_ZNF438.pdf", "Melting_Curves/meltCurve_Q5T427_ZNF438.pdf")</f>
        <v>Melting_Curves/meltCurve_Q5T427_ZNF438.pdf</v>
      </c>
    </row>
    <row r="4059" spans="1:28" x14ac:dyDescent="0.25">
      <c r="A4059" t="s">
        <v>4063</v>
      </c>
      <c r="B4059">
        <v>0.99999676499088797</v>
      </c>
      <c r="C4059">
        <v>1.0077997284515301</v>
      </c>
      <c r="D4059">
        <v>0.99066234616526805</v>
      </c>
      <c r="E4059">
        <v>0.97769776730848901</v>
      </c>
      <c r="F4059">
        <v>0.74638244606175996</v>
      </c>
      <c r="G4059">
        <v>0.29133297569942301</v>
      </c>
      <c r="H4059">
        <v>0.133193931236019</v>
      </c>
      <c r="I4059">
        <v>8.9451807872853006E-2</v>
      </c>
      <c r="J4059">
        <v>8.2399947803000598E-2</v>
      </c>
      <c r="K4059">
        <v>7.4031419695989698E-2</v>
      </c>
      <c r="L4059">
        <v>1804.78580679264</v>
      </c>
      <c r="M4059">
        <v>32.966455916289803</v>
      </c>
      <c r="N4059">
        <v>55.048475353618699</v>
      </c>
      <c r="O4059">
        <v>54.545857712978702</v>
      </c>
      <c r="P4059">
        <v>-0.13858367596253299</v>
      </c>
      <c r="Q4059">
        <v>8.2809302658501893E-2</v>
      </c>
      <c r="R4059">
        <v>0.99966064382845299</v>
      </c>
      <c r="S4059" t="s">
        <v>11062</v>
      </c>
      <c r="T4059" t="s">
        <v>14004</v>
      </c>
      <c r="U4059" t="s">
        <v>14004</v>
      </c>
      <c r="V4059" t="s">
        <v>14004</v>
      </c>
      <c r="W4059" t="s">
        <v>18012</v>
      </c>
      <c r="X4059">
        <v>8</v>
      </c>
      <c r="Y4059" t="s">
        <v>24831</v>
      </c>
      <c r="Z4059" t="s">
        <v>31769</v>
      </c>
      <c r="AA4059">
        <v>0.53870770366567067</v>
      </c>
      <c r="AB4059" t="str">
        <f>HYPERLINK("Melting_Curves/meltCurve_Q5T440_IBA57.pdf", "Melting_Curves/meltCurve_Q5T440_IBA57.pdf")</f>
        <v>Melting_Curves/meltCurve_Q5T440_IBA57.pdf</v>
      </c>
    </row>
    <row r="4060" spans="1:28" x14ac:dyDescent="0.25">
      <c r="A4060" t="s">
        <v>4064</v>
      </c>
      <c r="B4060">
        <v>0.99999676499088797</v>
      </c>
      <c r="C4060">
        <v>1.0007783784890401</v>
      </c>
      <c r="D4060">
        <v>0.86577237767436299</v>
      </c>
      <c r="E4060">
        <v>0.70331076358219902</v>
      </c>
      <c r="F4060">
        <v>0.52565100957772004</v>
      </c>
      <c r="G4060">
        <v>0.25727949991836202</v>
      </c>
      <c r="H4060">
        <v>0.16330920323482201</v>
      </c>
      <c r="I4060">
        <v>0.193476227068899</v>
      </c>
      <c r="J4060">
        <v>0.15582147535747901</v>
      </c>
      <c r="K4060">
        <v>0.118357543659142</v>
      </c>
      <c r="L4060">
        <v>820.60846843639195</v>
      </c>
      <c r="M4060">
        <v>15.800060294967601</v>
      </c>
      <c r="N4060">
        <v>52.813719235922299</v>
      </c>
      <c r="O4060">
        <v>51.126424175628003</v>
      </c>
      <c r="P4060">
        <v>-6.8353655468805993E-2</v>
      </c>
      <c r="Q4060">
        <v>0.115347684260623</v>
      </c>
      <c r="R4060">
        <v>0.99253127742998803</v>
      </c>
      <c r="S4060" t="s">
        <v>11063</v>
      </c>
      <c r="T4060" t="s">
        <v>14004</v>
      </c>
      <c r="U4060" t="s">
        <v>14004</v>
      </c>
      <c r="V4060" t="s">
        <v>14004</v>
      </c>
      <c r="W4060" t="s">
        <v>18013</v>
      </c>
      <c r="X4060">
        <v>6</v>
      </c>
      <c r="Y4060" t="s">
        <v>24832</v>
      </c>
      <c r="Z4060" t="s">
        <v>31770</v>
      </c>
      <c r="AA4060">
        <v>0.48562711306498579</v>
      </c>
      <c r="AB4060" t="str">
        <f>HYPERLINK("Melting_Curves/meltCurve_Q5T447_HECTD3.pdf", "Melting_Curves/meltCurve_Q5T447_HECTD3.pdf")</f>
        <v>Melting_Curves/meltCurve_Q5T447_HECTD3.pdf</v>
      </c>
    </row>
    <row r="4061" spans="1:28" x14ac:dyDescent="0.25">
      <c r="A4061" t="s">
        <v>4065</v>
      </c>
      <c r="B4061">
        <v>0.99999676499088797</v>
      </c>
      <c r="C4061">
        <v>1.0527210793789501</v>
      </c>
      <c r="D4061">
        <v>1.17066802877779</v>
      </c>
      <c r="E4061">
        <v>1.05477796178081</v>
      </c>
      <c r="F4061">
        <v>0.52345862042722802</v>
      </c>
      <c r="G4061">
        <v>0.32922235132467798</v>
      </c>
      <c r="H4061">
        <v>0.19564535215062601</v>
      </c>
      <c r="I4061">
        <v>8.8942248318381906E-2</v>
      </c>
      <c r="J4061">
        <v>5.5010027161088597E-2</v>
      </c>
      <c r="K4061">
        <v>0.15463301093565701</v>
      </c>
      <c r="L4061">
        <v>1782.3036502725199</v>
      </c>
      <c r="M4061">
        <v>33.350962760483299</v>
      </c>
      <c r="N4061">
        <v>53.936566697585697</v>
      </c>
      <c r="O4061">
        <v>53.249817779862802</v>
      </c>
      <c r="P4061">
        <v>-0.135910336218204</v>
      </c>
      <c r="Q4061">
        <v>0.13199890067959</v>
      </c>
      <c r="R4061">
        <v>0.96187337199266698</v>
      </c>
      <c r="S4061" t="s">
        <v>11064</v>
      </c>
      <c r="T4061" t="s">
        <v>14004</v>
      </c>
      <c r="U4061" t="s">
        <v>14004</v>
      </c>
      <c r="V4061" t="s">
        <v>14004</v>
      </c>
      <c r="W4061" t="s">
        <v>18014</v>
      </c>
      <c r="X4061">
        <v>3</v>
      </c>
      <c r="Y4061" t="s">
        <v>24833</v>
      </c>
      <c r="Z4061" t="s">
        <v>31771</v>
      </c>
      <c r="AA4061">
        <v>0.52548757002104085</v>
      </c>
      <c r="AB4061" t="str">
        <f>HYPERLINK("Melting_Curves/meltCurve_Q5T4F4_7_ZFYVE27.pdf", "Melting_Curves/meltCurve_Q5T4F4_7_ZFYVE27.pdf")</f>
        <v>Melting_Curves/meltCurve_Q5T4F4_7_ZFYVE27.pdf</v>
      </c>
    </row>
    <row r="4062" spans="1:28" x14ac:dyDescent="0.25">
      <c r="A4062" t="s">
        <v>4066</v>
      </c>
      <c r="B4062">
        <v>0.99999676499088797</v>
      </c>
      <c r="C4062">
        <v>1.23614286014746</v>
      </c>
      <c r="D4062">
        <v>1.3117561146004</v>
      </c>
      <c r="E4062">
        <v>0.98495358249061005</v>
      </c>
      <c r="F4062">
        <v>0.410851779293325</v>
      </c>
      <c r="G4062">
        <v>0.30089926198304801</v>
      </c>
      <c r="H4062">
        <v>0.17507233864234101</v>
      </c>
      <c r="I4062">
        <v>0.208335348609197</v>
      </c>
      <c r="J4062">
        <v>0.20588522292804301</v>
      </c>
      <c r="K4062">
        <v>0.184651850370632</v>
      </c>
      <c r="L4062">
        <v>3237.8337569056098</v>
      </c>
      <c r="M4062">
        <v>61.916869401302797</v>
      </c>
      <c r="N4062">
        <v>52.766236491284602</v>
      </c>
      <c r="O4062">
        <v>52.238778480713002</v>
      </c>
      <c r="P4062">
        <v>-0.23321014288581099</v>
      </c>
      <c r="Q4062">
        <v>0.21297006121151099</v>
      </c>
      <c r="R4062">
        <v>0.91911673881066303</v>
      </c>
      <c r="S4062" t="s">
        <v>11065</v>
      </c>
      <c r="T4062" t="s">
        <v>14004</v>
      </c>
      <c r="U4062" t="s">
        <v>14004</v>
      </c>
      <c r="V4062" t="s">
        <v>14004</v>
      </c>
      <c r="W4062" t="s">
        <v>18015</v>
      </c>
      <c r="X4062">
        <v>13</v>
      </c>
      <c r="Y4062" t="s">
        <v>24834</v>
      </c>
      <c r="Z4062" t="s">
        <v>31772</v>
      </c>
      <c r="AA4062">
        <v>0.53665655289866376</v>
      </c>
      <c r="AB4062" t="str">
        <f>HYPERLINK("Melting_Curves/meltCurve_Q5T4S7_3_UBR4.pdf", "Melting_Curves/meltCurve_Q5T4S7_3_UBR4.pdf")</f>
        <v>Melting_Curves/meltCurve_Q5T4S7_3_UBR4.pdf</v>
      </c>
    </row>
    <row r="4063" spans="1:28" x14ac:dyDescent="0.25">
      <c r="A4063" t="s">
        <v>4067</v>
      </c>
      <c r="B4063">
        <v>0.99999676499088797</v>
      </c>
      <c r="C4063">
        <v>1.16280687032781</v>
      </c>
      <c r="D4063">
        <v>1.1416173512232299</v>
      </c>
      <c r="E4063">
        <v>1.0836676143828201</v>
      </c>
      <c r="F4063">
        <v>0.77398547446034105</v>
      </c>
      <c r="G4063">
        <v>0.47893524912874502</v>
      </c>
      <c r="H4063">
        <v>0.13340919141510901</v>
      </c>
      <c r="I4063">
        <v>0.131685399426342</v>
      </c>
      <c r="J4063">
        <v>0.13318644033927601</v>
      </c>
      <c r="K4063">
        <v>0.115582220358591</v>
      </c>
      <c r="L4063">
        <v>1669.8309925378401</v>
      </c>
      <c r="M4063">
        <v>29.930829920099999</v>
      </c>
      <c r="N4063">
        <v>56.25431659633</v>
      </c>
      <c r="O4063">
        <v>55.542402019282399</v>
      </c>
      <c r="P4063">
        <v>-0.119967250620848</v>
      </c>
      <c r="Q4063">
        <v>0.10951677758011499</v>
      </c>
      <c r="R4063">
        <v>0.96626368280137298</v>
      </c>
      <c r="S4063" t="s">
        <v>11066</v>
      </c>
      <c r="T4063" t="s">
        <v>14004</v>
      </c>
      <c r="U4063" t="s">
        <v>14004</v>
      </c>
      <c r="V4063" t="s">
        <v>14004</v>
      </c>
      <c r="W4063" t="s">
        <v>18016</v>
      </c>
      <c r="X4063">
        <v>28</v>
      </c>
      <c r="Y4063" t="s">
        <v>24835</v>
      </c>
      <c r="Z4063" t="s">
        <v>31773</v>
      </c>
      <c r="AA4063">
        <v>0.58415750825542223</v>
      </c>
      <c r="AB4063" t="str">
        <f>HYPERLINK("Melting_Curves/meltCurve_Q5T4U5_ACADM.pdf", "Melting_Curves/meltCurve_Q5T4U5_ACADM.pdf")</f>
        <v>Melting_Curves/meltCurve_Q5T4U5_ACADM.pdf</v>
      </c>
    </row>
    <row r="4064" spans="1:28" x14ac:dyDescent="0.25">
      <c r="A4064" t="s">
        <v>4068</v>
      </c>
      <c r="B4064">
        <v>0.99999676499088797</v>
      </c>
      <c r="C4064">
        <v>0.79176181517034805</v>
      </c>
      <c r="D4064">
        <v>1.0236960294632</v>
      </c>
      <c r="E4064">
        <v>1.5861673520933199</v>
      </c>
      <c r="F4064">
        <v>1.2985243386301699</v>
      </c>
      <c r="G4064">
        <v>1.1495650622346001</v>
      </c>
      <c r="H4064">
        <v>1.0591099333792899</v>
      </c>
      <c r="I4064">
        <v>0.85433218926058296</v>
      </c>
      <c r="J4064">
        <v>0.72939275706360496</v>
      </c>
      <c r="K4064">
        <v>1.4589830885136701</v>
      </c>
      <c r="L4064">
        <v>15000</v>
      </c>
      <c r="M4064">
        <v>216.61670013727399</v>
      </c>
      <c r="O4064">
        <v>69.240839382913194</v>
      </c>
      <c r="P4064">
        <v>0.39105662219713799</v>
      </c>
      <c r="Q4064">
        <v>1.5</v>
      </c>
      <c r="R4064">
        <v>0.167137746703066</v>
      </c>
      <c r="S4064" t="s">
        <v>11067</v>
      </c>
      <c r="T4064" t="s">
        <v>14004</v>
      </c>
      <c r="U4064" t="s">
        <v>14004</v>
      </c>
      <c r="V4064" t="s">
        <v>14004</v>
      </c>
      <c r="W4064" t="s">
        <v>18017</v>
      </c>
      <c r="X4064">
        <v>2</v>
      </c>
      <c r="Y4064" t="s">
        <v>24836</v>
      </c>
      <c r="Z4064" t="s">
        <v>31774</v>
      </c>
      <c r="AA4064">
        <v>1.012983343950643</v>
      </c>
      <c r="AB4064" t="str">
        <f>HYPERLINK("Melting_Curves/meltCurve_Q5T593_FAM219A.pdf", "Melting_Curves/meltCurve_Q5T593_FAM219A.pdf")</f>
        <v>Melting_Curves/meltCurve_Q5T593_FAM219A.pdf</v>
      </c>
    </row>
    <row r="4065" spans="1:28" x14ac:dyDescent="0.25">
      <c r="A4065" t="s">
        <v>4069</v>
      </c>
      <c r="B4065">
        <v>0.99999676499088797</v>
      </c>
      <c r="C4065">
        <v>0.97366325799384601</v>
      </c>
      <c r="D4065">
        <v>0.98168798489715103</v>
      </c>
      <c r="E4065">
        <v>0.90820461049888901</v>
      </c>
      <c r="F4065">
        <v>0.512862004361337</v>
      </c>
      <c r="G4065">
        <v>0.28664309478564898</v>
      </c>
      <c r="H4065">
        <v>8.6340558336572407E-2</v>
      </c>
      <c r="I4065">
        <v>8.1420496488732105E-2</v>
      </c>
      <c r="J4065">
        <v>7.8388457065584505E-2</v>
      </c>
      <c r="K4065">
        <v>4.5891668233357698E-2</v>
      </c>
      <c r="L4065">
        <v>1269.8564973205901</v>
      </c>
      <c r="M4065">
        <v>23.765016646821799</v>
      </c>
      <c r="N4065">
        <v>53.715513339130801</v>
      </c>
      <c r="O4065">
        <v>53.0598103867502</v>
      </c>
      <c r="P4065">
        <v>-0.10541510867846</v>
      </c>
      <c r="Q4065">
        <v>5.8580104049459202E-2</v>
      </c>
      <c r="R4065">
        <v>0.996094797018796</v>
      </c>
      <c r="S4065" t="s">
        <v>11068</v>
      </c>
      <c r="T4065" t="s">
        <v>14004</v>
      </c>
      <c r="U4065" t="s">
        <v>14004</v>
      </c>
      <c r="V4065" t="s">
        <v>14004</v>
      </c>
      <c r="W4065" t="s">
        <v>18018</v>
      </c>
      <c r="X4065">
        <v>7</v>
      </c>
      <c r="Y4065" t="s">
        <v>24837</v>
      </c>
      <c r="Z4065" t="s">
        <v>31775</v>
      </c>
      <c r="AA4065">
        <v>0.48968249956525911</v>
      </c>
      <c r="AB4065" t="str">
        <f>HYPERLINK("Melting_Curves/meltCurve_Q5T5C0_3_STXBP5.pdf", "Melting_Curves/meltCurve_Q5T5C0_3_STXBP5.pdf")</f>
        <v>Melting_Curves/meltCurve_Q5T5C0_3_STXBP5.pdf</v>
      </c>
    </row>
    <row r="4066" spans="1:28" x14ac:dyDescent="0.25">
      <c r="A4066" t="s">
        <v>4070</v>
      </c>
      <c r="B4066">
        <v>0.99999676499088797</v>
      </c>
      <c r="C4066">
        <v>0.92258335748294296</v>
      </c>
      <c r="D4066">
        <v>0.84080240914132598</v>
      </c>
      <c r="E4066">
        <v>0.55396263476059104</v>
      </c>
      <c r="F4066">
        <v>0.31285381662217199</v>
      </c>
      <c r="G4066">
        <v>0.219289073094346</v>
      </c>
      <c r="H4066">
        <v>0.12078589270822999</v>
      </c>
      <c r="I4066">
        <v>0.105500602200228</v>
      </c>
      <c r="J4066">
        <v>0.102030571640539</v>
      </c>
      <c r="K4066">
        <v>9.4248368734630703E-2</v>
      </c>
      <c r="L4066">
        <v>838.75024911618198</v>
      </c>
      <c r="M4066">
        <v>16.826771225437302</v>
      </c>
      <c r="N4066">
        <v>50.432947502732603</v>
      </c>
      <c r="O4066">
        <v>49.158155209107797</v>
      </c>
      <c r="P4066">
        <v>-7.7972086386949399E-2</v>
      </c>
      <c r="Q4066">
        <v>8.8900553704913995E-2</v>
      </c>
      <c r="R4066">
        <v>0.99826335326351501</v>
      </c>
      <c r="S4066" t="s">
        <v>11069</v>
      </c>
      <c r="T4066" t="s">
        <v>14004</v>
      </c>
      <c r="U4066" t="s">
        <v>14004</v>
      </c>
      <c r="V4066" t="s">
        <v>14004</v>
      </c>
      <c r="W4066" t="s">
        <v>18019</v>
      </c>
      <c r="X4066">
        <v>15</v>
      </c>
      <c r="Y4066" t="s">
        <v>24838</v>
      </c>
      <c r="Z4066" t="s">
        <v>31776</v>
      </c>
      <c r="AA4066">
        <v>0.40561792989581558</v>
      </c>
      <c r="AB4066" t="str">
        <f>HYPERLINK("Melting_Curves/meltCurve_Q5T5Y3_CAMSAP1.pdf", "Melting_Curves/meltCurve_Q5T5Y3_CAMSAP1.pdf")</f>
        <v>Melting_Curves/meltCurve_Q5T5Y3_CAMSAP1.pdf</v>
      </c>
    </row>
    <row r="4067" spans="1:28" x14ac:dyDescent="0.25">
      <c r="A4067" t="s">
        <v>4071</v>
      </c>
      <c r="B4067">
        <v>0.99999676499088797</v>
      </c>
      <c r="C4067">
        <v>0.91575623608360002</v>
      </c>
      <c r="D4067">
        <v>0.81943072235610503</v>
      </c>
      <c r="E4067">
        <v>0.61353758770781797</v>
      </c>
      <c r="F4067">
        <v>0.69921829591497997</v>
      </c>
      <c r="G4067">
        <v>0.47233385842022202</v>
      </c>
      <c r="H4067">
        <v>0.29849651927718301</v>
      </c>
      <c r="I4067">
        <v>0.27643096693406399</v>
      </c>
      <c r="J4067">
        <v>0.27793564661026099</v>
      </c>
      <c r="K4067">
        <v>0.41115491681883798</v>
      </c>
      <c r="L4067">
        <v>540.62804966641704</v>
      </c>
      <c r="M4067">
        <v>10.514845892841</v>
      </c>
      <c r="N4067">
        <v>55.203773714893202</v>
      </c>
      <c r="O4067">
        <v>49.660442379558802</v>
      </c>
      <c r="P4067">
        <v>-3.9345757427944501E-2</v>
      </c>
      <c r="Q4067">
        <v>0.25699570984357401</v>
      </c>
      <c r="R4067">
        <v>0.92205762506290501</v>
      </c>
      <c r="S4067" t="s">
        <v>11070</v>
      </c>
      <c r="T4067" t="s">
        <v>14004</v>
      </c>
      <c r="U4067" t="s">
        <v>14004</v>
      </c>
      <c r="V4067" t="s">
        <v>14004</v>
      </c>
      <c r="W4067" t="s">
        <v>18020</v>
      </c>
      <c r="X4067">
        <v>2</v>
      </c>
      <c r="Y4067" t="s">
        <v>24839</v>
      </c>
      <c r="Z4067" t="s">
        <v>31777</v>
      </c>
      <c r="AA4067">
        <v>0.56777065574298569</v>
      </c>
      <c r="AB4067" t="str">
        <f>HYPERLINK("Melting_Curves/meltCurve_Q5T670_MCM10.pdf", "Melting_Curves/meltCurve_Q5T670_MCM10.pdf")</f>
        <v>Melting_Curves/meltCurve_Q5T670_MCM10.pdf</v>
      </c>
    </row>
    <row r="4068" spans="1:28" x14ac:dyDescent="0.25">
      <c r="A4068" t="s">
        <v>4072</v>
      </c>
      <c r="B4068">
        <v>0.99999676499088797</v>
      </c>
      <c r="C4068">
        <v>0.99822125445379095</v>
      </c>
      <c r="D4068">
        <v>1.07425978410345</v>
      </c>
      <c r="E4068">
        <v>1.1140480393363099</v>
      </c>
      <c r="F4068">
        <v>0.95670558500382596</v>
      </c>
      <c r="G4068">
        <v>0.75591840553552603</v>
      </c>
      <c r="H4068">
        <v>0.53485389016373197</v>
      </c>
      <c r="I4068">
        <v>0.61830649076614996</v>
      </c>
      <c r="J4068">
        <v>0.54704834623763499</v>
      </c>
      <c r="K4068">
        <v>0.84366829624719797</v>
      </c>
      <c r="L4068">
        <v>3250.49092103151</v>
      </c>
      <c r="M4068">
        <v>58.0748459143594</v>
      </c>
      <c r="O4068">
        <v>55.904487847214597</v>
      </c>
      <c r="P4068">
        <v>-9.4332722484323797E-2</v>
      </c>
      <c r="Q4068">
        <v>0.63677091148065701</v>
      </c>
      <c r="R4068">
        <v>0.80961768334742901</v>
      </c>
      <c r="S4068" t="s">
        <v>11071</v>
      </c>
      <c r="T4068" t="s">
        <v>14004</v>
      </c>
      <c r="U4068" t="s">
        <v>14004</v>
      </c>
      <c r="V4068" t="s">
        <v>14004</v>
      </c>
      <c r="W4068" t="s">
        <v>18021</v>
      </c>
      <c r="X4068">
        <v>19</v>
      </c>
      <c r="Y4068" t="s">
        <v>24840</v>
      </c>
      <c r="Z4068" t="s">
        <v>31778</v>
      </c>
      <c r="AA4068">
        <v>0.83080217412539192</v>
      </c>
      <c r="AB4068" t="str">
        <f>HYPERLINK("Melting_Curves/meltCurve_Q5T6F2_UBAP2.pdf", "Melting_Curves/meltCurve_Q5T6F2_UBAP2.pdf")</f>
        <v>Melting_Curves/meltCurve_Q5T6F2_UBAP2.pdf</v>
      </c>
    </row>
    <row r="4069" spans="1:28" x14ac:dyDescent="0.25">
      <c r="A4069" t="s">
        <v>4073</v>
      </c>
      <c r="B4069">
        <v>0.99999676499088797</v>
      </c>
      <c r="C4069">
        <v>1.01765985953628</v>
      </c>
      <c r="D4069">
        <v>0.94494329934624399</v>
      </c>
      <c r="E4069">
        <v>0.57356732009702605</v>
      </c>
      <c r="F4069">
        <v>0.364385570850631</v>
      </c>
      <c r="G4069">
        <v>0.17423328234324501</v>
      </c>
      <c r="H4069">
        <v>3.1707112906066197E-2</v>
      </c>
      <c r="I4069">
        <v>3.2426565048523301E-2</v>
      </c>
      <c r="J4069">
        <v>0</v>
      </c>
      <c r="K4069">
        <v>3.1447434390933997E-2</v>
      </c>
      <c r="L4069">
        <v>945.507938625615</v>
      </c>
      <c r="M4069">
        <v>18.490753505188898</v>
      </c>
      <c r="N4069">
        <v>51.182434326260797</v>
      </c>
      <c r="O4069">
        <v>50.547284314117697</v>
      </c>
      <c r="P4069">
        <v>-9.0665162201833294E-2</v>
      </c>
      <c r="Q4069">
        <v>8.6560375523817394E-3</v>
      </c>
      <c r="R4069">
        <v>0.99211256929978797</v>
      </c>
      <c r="S4069" t="s">
        <v>11072</v>
      </c>
      <c r="T4069" t="s">
        <v>14004</v>
      </c>
      <c r="U4069" t="s">
        <v>14004</v>
      </c>
      <c r="V4069" t="s">
        <v>14004</v>
      </c>
      <c r="W4069" t="s">
        <v>18022</v>
      </c>
      <c r="X4069">
        <v>2</v>
      </c>
      <c r="Y4069" t="s">
        <v>24841</v>
      </c>
      <c r="Z4069" t="s">
        <v>31779</v>
      </c>
      <c r="AA4069">
        <v>0.39246881117638571</v>
      </c>
      <c r="AB4069" t="str">
        <f>HYPERLINK("Melting_Curves/meltCurve_Q5T6J7_IDNK.pdf", "Melting_Curves/meltCurve_Q5T6J7_IDNK.pdf")</f>
        <v>Melting_Curves/meltCurve_Q5T6J7_IDNK.pdf</v>
      </c>
    </row>
    <row r="4070" spans="1:28" x14ac:dyDescent="0.25">
      <c r="A4070" t="s">
        <v>4074</v>
      </c>
      <c r="B4070">
        <v>0.99999676499088797</v>
      </c>
      <c r="C4070">
        <v>0.986595431842197</v>
      </c>
      <c r="D4070">
        <v>0.93602469622431606</v>
      </c>
      <c r="E4070">
        <v>0.71369801905796404</v>
      </c>
      <c r="F4070">
        <v>0.53827974558008196</v>
      </c>
      <c r="G4070">
        <v>0.50557109413962198</v>
      </c>
      <c r="H4070">
        <v>0.36606026571274303</v>
      </c>
      <c r="I4070">
        <v>0.406047665047991</v>
      </c>
      <c r="J4070">
        <v>0.361709264316038</v>
      </c>
      <c r="K4070">
        <v>0.40252603895454098</v>
      </c>
      <c r="L4070">
        <v>951.36165669769696</v>
      </c>
      <c r="M4070">
        <v>18.893433545173</v>
      </c>
      <c r="N4070">
        <v>54.561168845660802</v>
      </c>
      <c r="O4070">
        <v>49.8001548189849</v>
      </c>
      <c r="P4070">
        <v>-5.8473889155411699E-2</v>
      </c>
      <c r="Q4070">
        <v>0.38351278687154</v>
      </c>
      <c r="R4070">
        <v>0.98836142915837799</v>
      </c>
      <c r="S4070" t="s">
        <v>11073</v>
      </c>
      <c r="T4070" t="s">
        <v>14004</v>
      </c>
      <c r="U4070" t="s">
        <v>14004</v>
      </c>
      <c r="V4070" t="s">
        <v>14004</v>
      </c>
      <c r="W4070" t="s">
        <v>18023</v>
      </c>
      <c r="X4070">
        <v>14</v>
      </c>
      <c r="Y4070" t="s">
        <v>24842</v>
      </c>
      <c r="Z4070" t="s">
        <v>31780</v>
      </c>
      <c r="AA4070">
        <v>0.60584064454790609</v>
      </c>
      <c r="AB4070" t="str">
        <f>HYPERLINK("Melting_Curves/meltCurve_Q5T6N4_ABLIM1.pdf", "Melting_Curves/meltCurve_Q5T6N4_ABLIM1.pdf")</f>
        <v>Melting_Curves/meltCurve_Q5T6N4_ABLIM1.pdf</v>
      </c>
    </row>
    <row r="4071" spans="1:28" x14ac:dyDescent="0.25">
      <c r="A4071" t="s">
        <v>4075</v>
      </c>
      <c r="B4071">
        <v>0.99999676499088797</v>
      </c>
      <c r="C4071">
        <v>0.90920449741693898</v>
      </c>
      <c r="D4071">
        <v>0.77939867914719796</v>
      </c>
      <c r="E4071">
        <v>0.41805086824948801</v>
      </c>
      <c r="F4071">
        <v>0.22607818305576599</v>
      </c>
      <c r="G4071">
        <v>0.15591066580728299</v>
      </c>
      <c r="H4071">
        <v>7.3884375061597396E-2</v>
      </c>
      <c r="I4071">
        <v>8.7715254634081405E-2</v>
      </c>
      <c r="J4071">
        <v>0.10045112804485901</v>
      </c>
      <c r="K4071">
        <v>7.7443791923822905E-2</v>
      </c>
      <c r="L4071">
        <v>944.34527935843801</v>
      </c>
      <c r="M4071">
        <v>19.50125974685</v>
      </c>
      <c r="N4071">
        <v>48.877813655881802</v>
      </c>
      <c r="O4071">
        <v>47.924252664286598</v>
      </c>
      <c r="P4071">
        <v>-9.3323027285785301E-2</v>
      </c>
      <c r="Q4071">
        <v>8.2669418575853207E-2</v>
      </c>
      <c r="R4071">
        <v>0.99753185263538602</v>
      </c>
      <c r="S4071" t="s">
        <v>11074</v>
      </c>
      <c r="T4071" t="s">
        <v>14004</v>
      </c>
      <c r="U4071" t="s">
        <v>14004</v>
      </c>
      <c r="V4071" t="s">
        <v>14004</v>
      </c>
      <c r="W4071" t="s">
        <v>18024</v>
      </c>
      <c r="X4071">
        <v>13</v>
      </c>
      <c r="Y4071" t="s">
        <v>24843</v>
      </c>
      <c r="Z4071" t="s">
        <v>31781</v>
      </c>
      <c r="AA4071">
        <v>0.3539177002582744</v>
      </c>
      <c r="AB4071" t="str">
        <f>HYPERLINK("Melting_Curves/meltCurve_Q5T6V5_C9orf64.pdf", "Melting_Curves/meltCurve_Q5T6V5_C9orf64.pdf")</f>
        <v>Melting_Curves/meltCurve_Q5T6V5_C9orf64.pdf</v>
      </c>
    </row>
    <row r="4072" spans="1:28" x14ac:dyDescent="0.25">
      <c r="A4072" t="s">
        <v>4076</v>
      </c>
      <c r="B4072">
        <v>0.99999676499088797</v>
      </c>
      <c r="C4072">
        <v>1.11899451693521</v>
      </c>
      <c r="D4072">
        <v>1.00553812319306</v>
      </c>
      <c r="E4072">
        <v>0.772438051287891</v>
      </c>
      <c r="F4072">
        <v>0.35199645091328302</v>
      </c>
      <c r="G4072">
        <v>0.213942513929087</v>
      </c>
      <c r="H4072">
        <v>0.10272154109679101</v>
      </c>
      <c r="I4072">
        <v>7.1611911560870295E-2</v>
      </c>
      <c r="J4072">
        <v>6.5716363804982594E-2</v>
      </c>
      <c r="K4072">
        <v>4.8149075533171999E-2</v>
      </c>
      <c r="L4072">
        <v>1355.90731349937</v>
      </c>
      <c r="M4072">
        <v>26.1954872793556</v>
      </c>
      <c r="N4072">
        <v>52.0787845413033</v>
      </c>
      <c r="O4072">
        <v>51.462276585538902</v>
      </c>
      <c r="P4072">
        <v>-0.117861028273841</v>
      </c>
      <c r="Q4072">
        <v>7.3836021594935894E-2</v>
      </c>
      <c r="R4072">
        <v>0.98787612401874203</v>
      </c>
      <c r="S4072" t="s">
        <v>11075</v>
      </c>
      <c r="T4072" t="s">
        <v>14004</v>
      </c>
      <c r="U4072" t="s">
        <v>14004</v>
      </c>
      <c r="V4072" t="s">
        <v>14004</v>
      </c>
      <c r="W4072" t="s">
        <v>18025</v>
      </c>
      <c r="X4072">
        <v>5</v>
      </c>
      <c r="Y4072" t="s">
        <v>24844</v>
      </c>
      <c r="Z4072" t="s">
        <v>31782</v>
      </c>
      <c r="AA4072">
        <v>0.44462897633680409</v>
      </c>
      <c r="AB4072" t="str">
        <f>HYPERLINK("Melting_Curves/meltCurve_Q5T7A4_ADCK3.pdf", "Melting_Curves/meltCurve_Q5T7A4_ADCK3.pdf")</f>
        <v>Melting_Curves/meltCurve_Q5T7A4_ADCK3.pdf</v>
      </c>
    </row>
    <row r="4073" spans="1:28" x14ac:dyDescent="0.25">
      <c r="A4073" t="s">
        <v>4077</v>
      </c>
      <c r="B4073">
        <v>0.99999676499088797</v>
      </c>
      <c r="C4073">
        <v>1.00663680029349</v>
      </c>
      <c r="D4073">
        <v>0.95693961746275502</v>
      </c>
      <c r="E4073">
        <v>0.82493672769994497</v>
      </c>
      <c r="F4073">
        <v>0.55052970729268702</v>
      </c>
      <c r="G4073">
        <v>0.288723300295056</v>
      </c>
      <c r="H4073">
        <v>5.62239874156122E-2</v>
      </c>
      <c r="I4073">
        <v>7.6029371141508303E-2</v>
      </c>
      <c r="J4073">
        <v>6.9170660884971397E-2</v>
      </c>
      <c r="K4073">
        <v>4.8282704756247498E-2</v>
      </c>
      <c r="L4073">
        <v>1073.7212296529899</v>
      </c>
      <c r="M4073">
        <v>20.058746957968001</v>
      </c>
      <c r="N4073">
        <v>53.710948170339499</v>
      </c>
      <c r="O4073">
        <v>53.005308559680799</v>
      </c>
      <c r="P4073">
        <v>-9.1499845448261993E-2</v>
      </c>
      <c r="Q4073">
        <v>3.2876202547661999E-2</v>
      </c>
      <c r="R4073">
        <v>0.99709446562723203</v>
      </c>
      <c r="S4073" t="s">
        <v>11076</v>
      </c>
      <c r="T4073" t="s">
        <v>14004</v>
      </c>
      <c r="U4073" t="s">
        <v>14004</v>
      </c>
      <c r="V4073" t="s">
        <v>14004</v>
      </c>
      <c r="W4073" t="s">
        <v>18026</v>
      </c>
      <c r="X4073">
        <v>2</v>
      </c>
      <c r="Y4073" t="s">
        <v>24845</v>
      </c>
      <c r="Z4073" t="s">
        <v>31783</v>
      </c>
      <c r="AA4073">
        <v>0.48217715156269209</v>
      </c>
      <c r="AB4073" t="str">
        <f>HYPERLINK("Melting_Curves/meltCurve_Q5T7M9_FAM69A.pdf", "Melting_Curves/meltCurve_Q5T7M9_FAM69A.pdf")</f>
        <v>Melting_Curves/meltCurve_Q5T7M9_FAM69A.pdf</v>
      </c>
    </row>
    <row r="4074" spans="1:28" x14ac:dyDescent="0.25">
      <c r="A4074" t="s">
        <v>4078</v>
      </c>
      <c r="B4074">
        <v>0.99999676499088797</v>
      </c>
      <c r="C4074">
        <v>0.73022184366307397</v>
      </c>
      <c r="D4074">
        <v>0.67001431410166301</v>
      </c>
      <c r="E4074">
        <v>0.547451952401666</v>
      </c>
      <c r="F4074">
        <v>0.58173493509617402</v>
      </c>
      <c r="G4074">
        <v>0.42165945852505698</v>
      </c>
      <c r="H4074">
        <v>0.30629875697889197</v>
      </c>
      <c r="I4074">
        <v>0.18707009586850101</v>
      </c>
      <c r="J4074">
        <v>0.187459409597619</v>
      </c>
      <c r="K4074">
        <v>0.13740783551812999</v>
      </c>
      <c r="L4074">
        <v>344.14794899364</v>
      </c>
      <c r="M4074">
        <v>6.5432092449260297</v>
      </c>
      <c r="N4074">
        <v>52.5962007024198</v>
      </c>
      <c r="O4074">
        <v>48.332106085356003</v>
      </c>
      <c r="P4074">
        <v>-3.3925293908125001E-2</v>
      </c>
      <c r="Q4074">
        <v>0</v>
      </c>
      <c r="R4074">
        <v>0.94342113191253696</v>
      </c>
      <c r="S4074" t="s">
        <v>11077</v>
      </c>
      <c r="T4074" t="s">
        <v>14004</v>
      </c>
      <c r="U4074" t="s">
        <v>14004</v>
      </c>
      <c r="V4074" t="s">
        <v>14004</v>
      </c>
      <c r="W4074" t="s">
        <v>18027</v>
      </c>
      <c r="X4074">
        <v>4</v>
      </c>
      <c r="Y4074" t="s">
        <v>24846</v>
      </c>
      <c r="Z4074" t="s">
        <v>31784</v>
      </c>
      <c r="AA4074">
        <v>0.46937617717195368</v>
      </c>
      <c r="AB4074" t="str">
        <f>HYPERLINK("Melting_Curves/meltCurve_Q5T7V8_GORAB.pdf", "Melting_Curves/meltCurve_Q5T7V8_GORAB.pdf")</f>
        <v>Melting_Curves/meltCurve_Q5T7V8_GORAB.pdf</v>
      </c>
    </row>
    <row r="4075" spans="1:28" x14ac:dyDescent="0.25">
      <c r="A4075" t="s">
        <v>4079</v>
      </c>
      <c r="B4075">
        <v>0.99999676499088797</v>
      </c>
      <c r="C4075">
        <v>0.987169788070691</v>
      </c>
      <c r="D4075">
        <v>0.94487418905842002</v>
      </c>
      <c r="E4075">
        <v>0.85083753954043595</v>
      </c>
      <c r="F4075">
        <v>0.85205551188399298</v>
      </c>
      <c r="G4075">
        <v>0.55190843041816495</v>
      </c>
      <c r="H4075">
        <v>0.31352449332385102</v>
      </c>
      <c r="I4075">
        <v>0.30836939584429701</v>
      </c>
      <c r="J4075">
        <v>0.226792068514033</v>
      </c>
      <c r="K4075">
        <v>0.21705400213502099</v>
      </c>
      <c r="L4075">
        <v>981.664542056806</v>
      </c>
      <c r="M4075">
        <v>17.447056291430201</v>
      </c>
      <c r="N4075">
        <v>57.810296860068803</v>
      </c>
      <c r="O4075">
        <v>55.541773239116701</v>
      </c>
      <c r="P4075">
        <v>-6.3902153555737196E-2</v>
      </c>
      <c r="Q4075">
        <v>0.186329009482017</v>
      </c>
      <c r="R4075">
        <v>0.98401634314873199</v>
      </c>
      <c r="S4075" t="s">
        <v>11078</v>
      </c>
      <c r="T4075" t="s">
        <v>14004</v>
      </c>
      <c r="U4075" t="s">
        <v>14004</v>
      </c>
      <c r="V4075" t="s">
        <v>14004</v>
      </c>
      <c r="W4075" t="s">
        <v>18028</v>
      </c>
      <c r="X4075">
        <v>3</v>
      </c>
      <c r="Y4075" t="s">
        <v>24847</v>
      </c>
      <c r="Z4075" t="s">
        <v>31785</v>
      </c>
      <c r="AA4075">
        <v>0.63969012134591108</v>
      </c>
      <c r="AB4075" t="str">
        <f>HYPERLINK("Melting_Curves/meltCurve_Q5T7W0_2_ZNF618.pdf", "Melting_Curves/meltCurve_Q5T7W0_2_ZNF618.pdf")</f>
        <v>Melting_Curves/meltCurve_Q5T7W0_2_ZNF618.pdf</v>
      </c>
    </row>
    <row r="4076" spans="1:28" x14ac:dyDescent="0.25">
      <c r="A4076" t="s">
        <v>4080</v>
      </c>
      <c r="B4076">
        <v>0.99999676499088797</v>
      </c>
      <c r="C4076">
        <v>0.82271970031135799</v>
      </c>
      <c r="D4076">
        <v>0.45333515432290999</v>
      </c>
      <c r="E4076">
        <v>0.20781929793251699</v>
      </c>
      <c r="F4076">
        <v>0.148572200884104</v>
      </c>
      <c r="G4076">
        <v>9.8379669534867306E-2</v>
      </c>
      <c r="H4076">
        <v>4.1220450715546503E-2</v>
      </c>
      <c r="I4076">
        <v>7.3571328920847001E-2</v>
      </c>
      <c r="J4076">
        <v>8.9513433954608701E-2</v>
      </c>
      <c r="K4076">
        <v>9.5433059399081394E-2</v>
      </c>
      <c r="L4076">
        <v>1087.84360880188</v>
      </c>
      <c r="M4076">
        <v>23.961720906354</v>
      </c>
      <c r="N4076">
        <v>45.757980777096201</v>
      </c>
      <c r="O4076">
        <v>45.086573954022697</v>
      </c>
      <c r="P4076">
        <v>-0.121488133876257</v>
      </c>
      <c r="Q4076">
        <v>8.5642274323342094E-2</v>
      </c>
      <c r="R4076">
        <v>0.99472133852170297</v>
      </c>
      <c r="S4076" t="s">
        <v>11079</v>
      </c>
      <c r="T4076" t="s">
        <v>14004</v>
      </c>
      <c r="U4076" t="s">
        <v>14004</v>
      </c>
      <c r="V4076" t="s">
        <v>14004</v>
      </c>
      <c r="W4076" t="s">
        <v>18029</v>
      </c>
      <c r="X4076">
        <v>2</v>
      </c>
      <c r="Y4076" t="s">
        <v>24848</v>
      </c>
      <c r="Z4076" t="s">
        <v>31786</v>
      </c>
      <c r="AA4076">
        <v>0.25991431556078032</v>
      </c>
      <c r="AB4076" t="str">
        <f>HYPERLINK("Melting_Curves/meltCurve_Q5T8D3_2_ACBD5.pdf", "Melting_Curves/meltCurve_Q5T8D3_2_ACBD5.pdf")</f>
        <v>Melting_Curves/meltCurve_Q5T8D3_2_ACBD5.pdf</v>
      </c>
    </row>
    <row r="4077" spans="1:28" x14ac:dyDescent="0.25">
      <c r="A4077" t="s">
        <v>4081</v>
      </c>
      <c r="B4077">
        <v>0.99999676499088797</v>
      </c>
      <c r="C4077">
        <v>0.86975429206313903</v>
      </c>
      <c r="D4077">
        <v>0.77938256902869296</v>
      </c>
      <c r="E4077">
        <v>0.73099397618745798</v>
      </c>
      <c r="F4077">
        <v>0.79073074037129498</v>
      </c>
      <c r="G4077">
        <v>0.63277437629926703</v>
      </c>
      <c r="H4077">
        <v>0.42718836073182498</v>
      </c>
      <c r="I4077">
        <v>0.32141518554075199</v>
      </c>
      <c r="J4077">
        <v>0.34469555197463603</v>
      </c>
      <c r="K4077">
        <v>0.22066134617897801</v>
      </c>
      <c r="L4077">
        <v>389.681581730267</v>
      </c>
      <c r="M4077">
        <v>6.5937712086201303</v>
      </c>
      <c r="N4077">
        <v>59.098444412872297</v>
      </c>
      <c r="O4077">
        <v>54.371031529568</v>
      </c>
      <c r="P4077">
        <v>-3.0388314534585799E-2</v>
      </c>
      <c r="Q4077">
        <v>0</v>
      </c>
      <c r="R4077">
        <v>0.93846329724202504</v>
      </c>
      <c r="S4077" t="s">
        <v>11080</v>
      </c>
      <c r="T4077" t="s">
        <v>14004</v>
      </c>
      <c r="U4077" t="s">
        <v>14004</v>
      </c>
      <c r="V4077" t="s">
        <v>14004</v>
      </c>
      <c r="W4077" t="s">
        <v>18030</v>
      </c>
      <c r="X4077">
        <v>3</v>
      </c>
      <c r="Y4077" t="s">
        <v>24849</v>
      </c>
      <c r="Z4077" t="s">
        <v>31787</v>
      </c>
      <c r="AA4077">
        <v>0.620011511148165</v>
      </c>
      <c r="AB4077" t="str">
        <f>HYPERLINK("Melting_Curves/meltCurve_Q5T8I0_COX6A1P2.pdf", "Melting_Curves/meltCurve_Q5T8I0_COX6A1P2.pdf")</f>
        <v>Melting_Curves/meltCurve_Q5T8I0_COX6A1P2.pdf</v>
      </c>
    </row>
    <row r="4078" spans="1:28" x14ac:dyDescent="0.25">
      <c r="A4078" t="s">
        <v>4082</v>
      </c>
      <c r="B4078">
        <v>0.99999676499088797</v>
      </c>
      <c r="C4078">
        <v>0.89651018169658803</v>
      </c>
      <c r="D4078">
        <v>0.63940859459534205</v>
      </c>
      <c r="E4078">
        <v>0.27021349723921401</v>
      </c>
      <c r="F4078">
        <v>0.19709135661677199</v>
      </c>
      <c r="G4078">
        <v>0.13426593845696699</v>
      </c>
      <c r="H4078">
        <v>6.4084280961735796E-2</v>
      </c>
      <c r="I4078">
        <v>6.6523010764590995E-2</v>
      </c>
      <c r="J4078">
        <v>7.1170129952528E-2</v>
      </c>
      <c r="K4078">
        <v>5.9222866731176903E-2</v>
      </c>
      <c r="L4078">
        <v>989.53482006334798</v>
      </c>
      <c r="M4078">
        <v>21.0752528388808</v>
      </c>
      <c r="N4078">
        <v>47.323793844954899</v>
      </c>
      <c r="O4078">
        <v>46.535854999753496</v>
      </c>
      <c r="P4078">
        <v>-0.10459457621009099</v>
      </c>
      <c r="Q4078">
        <v>7.6211461780438403E-2</v>
      </c>
      <c r="R4078">
        <v>0.994860631467546</v>
      </c>
      <c r="S4078" t="s">
        <v>11081</v>
      </c>
      <c r="T4078" t="s">
        <v>14004</v>
      </c>
      <c r="U4078" t="s">
        <v>14004</v>
      </c>
      <c r="V4078" t="s">
        <v>14004</v>
      </c>
      <c r="W4078" t="s">
        <v>18031</v>
      </c>
      <c r="X4078">
        <v>27</v>
      </c>
      <c r="Y4078" t="s">
        <v>24850</v>
      </c>
      <c r="Z4078" t="s">
        <v>31788</v>
      </c>
      <c r="AA4078">
        <v>0.30236145197921599</v>
      </c>
      <c r="AB4078" t="str">
        <f>HYPERLINK("Melting_Curves/meltCurve_Q5T8P6_3_RBM26.pdf", "Melting_Curves/meltCurve_Q5T8P6_3_RBM26.pdf")</f>
        <v>Melting_Curves/meltCurve_Q5T8P6_3_RBM26.pdf</v>
      </c>
    </row>
    <row r="4079" spans="1:28" x14ac:dyDescent="0.25">
      <c r="A4079" t="s">
        <v>4083</v>
      </c>
      <c r="B4079">
        <v>0.99999676499088797</v>
      </c>
      <c r="C4079">
        <v>1.0671856959915</v>
      </c>
      <c r="D4079">
        <v>0.92899794258299995</v>
      </c>
      <c r="E4079">
        <v>0.76317113779437895</v>
      </c>
      <c r="F4079">
        <v>0.55856238671590996</v>
      </c>
      <c r="G4079">
        <v>0.378302542645157</v>
      </c>
      <c r="H4079">
        <v>0.18851219916185899</v>
      </c>
      <c r="I4079">
        <v>0.20860627976437501</v>
      </c>
      <c r="J4079">
        <v>0.22000140606023499</v>
      </c>
      <c r="K4079">
        <v>0.16440729637808099</v>
      </c>
      <c r="L4079">
        <v>913.79418315760802</v>
      </c>
      <c r="M4079">
        <v>17.343686234809802</v>
      </c>
      <c r="N4079">
        <v>53.9416229080541</v>
      </c>
      <c r="O4079">
        <v>52.001923841879801</v>
      </c>
      <c r="P4079">
        <v>-6.9548666611670196E-2</v>
      </c>
      <c r="Q4079">
        <v>0.16593062485144</v>
      </c>
      <c r="R4079">
        <v>0.98945231976612202</v>
      </c>
      <c r="S4079" t="s">
        <v>11082</v>
      </c>
      <c r="T4079" t="s">
        <v>14004</v>
      </c>
      <c r="U4079" t="s">
        <v>14004</v>
      </c>
      <c r="V4079" t="s">
        <v>14004</v>
      </c>
      <c r="W4079" t="s">
        <v>18032</v>
      </c>
      <c r="X4079">
        <v>7</v>
      </c>
      <c r="Y4079" t="s">
        <v>24851</v>
      </c>
      <c r="Z4079" t="s">
        <v>31789</v>
      </c>
      <c r="AA4079">
        <v>0.53325424973296154</v>
      </c>
      <c r="AB4079" t="str">
        <f>HYPERLINK("Melting_Curves/meltCurve_Q5T8T7_MED22.pdf", "Melting_Curves/meltCurve_Q5T8T7_MED22.pdf")</f>
        <v>Melting_Curves/meltCurve_Q5T8T7_MED22.pdf</v>
      </c>
    </row>
    <row r="4080" spans="1:28" x14ac:dyDescent="0.25">
      <c r="A4080" t="s">
        <v>4084</v>
      </c>
      <c r="B4080">
        <v>0.99999676499088797</v>
      </c>
      <c r="C4080">
        <v>1.2777725388205099</v>
      </c>
      <c r="D4080">
        <v>1.13152671556802</v>
      </c>
      <c r="E4080">
        <v>1.16503636109765</v>
      </c>
      <c r="F4080">
        <v>1.1470863676273499</v>
      </c>
      <c r="G4080">
        <v>0.89731049409859598</v>
      </c>
      <c r="H4080">
        <v>0.43556929030732999</v>
      </c>
      <c r="I4080">
        <v>0.209873252377966</v>
      </c>
      <c r="J4080">
        <v>0.157900339642388</v>
      </c>
      <c r="K4080">
        <v>0.15969953966973999</v>
      </c>
      <c r="L4080">
        <v>2521.1013293547499</v>
      </c>
      <c r="M4080">
        <v>42.184946641505498</v>
      </c>
      <c r="N4080">
        <v>60.299595267011703</v>
      </c>
      <c r="O4080">
        <v>59.629225669878501</v>
      </c>
      <c r="P4080">
        <v>-0.14918852907229399</v>
      </c>
      <c r="Q4080">
        <v>0.15647810255376199</v>
      </c>
      <c r="R4080">
        <v>0.92466809434679997</v>
      </c>
      <c r="S4080" t="s">
        <v>11083</v>
      </c>
      <c r="T4080" t="s">
        <v>14004</v>
      </c>
      <c r="U4080" t="s">
        <v>14004</v>
      </c>
      <c r="V4080" t="s">
        <v>14004</v>
      </c>
      <c r="W4080" t="s">
        <v>18033</v>
      </c>
      <c r="X4080">
        <v>1</v>
      </c>
      <c r="Y4080" t="s">
        <v>24852</v>
      </c>
      <c r="Z4080" t="s">
        <v>31790</v>
      </c>
      <c r="AA4080">
        <v>0.71517364477495593</v>
      </c>
      <c r="AB4080" t="str">
        <f>HYPERLINK("Melting_Curves/meltCurve_Q5T8U5_SURF4.pdf", "Melting_Curves/meltCurve_Q5T8U5_SURF4.pdf")</f>
        <v>Melting_Curves/meltCurve_Q5T8U5_SURF4.pdf</v>
      </c>
    </row>
    <row r="4081" spans="1:28" x14ac:dyDescent="0.25">
      <c r="A4081" t="s">
        <v>4085</v>
      </c>
      <c r="B4081">
        <v>0.99999676499088797</v>
      </c>
      <c r="C4081">
        <v>0.96686072443079496</v>
      </c>
      <c r="D4081">
        <v>0.92681115811883596</v>
      </c>
      <c r="E4081">
        <v>0.80184517280202505</v>
      </c>
      <c r="F4081">
        <v>0.49942892260870703</v>
      </c>
      <c r="G4081">
        <v>0.31264887731895202</v>
      </c>
      <c r="H4081">
        <v>0.18603980637189399</v>
      </c>
      <c r="I4081">
        <v>0.214490388629654</v>
      </c>
      <c r="J4081">
        <v>0.227921160932158</v>
      </c>
      <c r="K4081">
        <v>0.206628280490053</v>
      </c>
      <c r="L4081">
        <v>1127.05296792338</v>
      </c>
      <c r="M4081">
        <v>21.689619589373699</v>
      </c>
      <c r="N4081">
        <v>53.191642152752401</v>
      </c>
      <c r="O4081">
        <v>51.527128286342702</v>
      </c>
      <c r="P4081">
        <v>-8.4498202095399502E-2</v>
      </c>
      <c r="Q4081">
        <v>0.19706362917034601</v>
      </c>
      <c r="R4081">
        <v>0.99620009870739901</v>
      </c>
      <c r="S4081" t="s">
        <v>11084</v>
      </c>
      <c r="T4081" t="s">
        <v>14004</v>
      </c>
      <c r="U4081" t="s">
        <v>14004</v>
      </c>
      <c r="V4081" t="s">
        <v>14004</v>
      </c>
      <c r="W4081" t="s">
        <v>18034</v>
      </c>
      <c r="X4081">
        <v>7</v>
      </c>
      <c r="Y4081" t="s">
        <v>24853</v>
      </c>
      <c r="Z4081" t="s">
        <v>31791</v>
      </c>
      <c r="AA4081">
        <v>0.5268273391705568</v>
      </c>
      <c r="AB4081" t="str">
        <f>HYPERLINK("Melting_Curves/meltCurve_Q5T911_MED4.pdf", "Melting_Curves/meltCurve_Q5T911_MED4.pdf")</f>
        <v>Melting_Curves/meltCurve_Q5T911_MED4.pdf</v>
      </c>
    </row>
    <row r="4082" spans="1:28" x14ac:dyDescent="0.25">
      <c r="A4082" t="s">
        <v>4086</v>
      </c>
      <c r="B4082">
        <v>0.99999676499088797</v>
      </c>
      <c r="C4082">
        <v>1.0324730541134699</v>
      </c>
      <c r="D4082">
        <v>0.87826283493631596</v>
      </c>
      <c r="E4082">
        <v>0.637465355959832</v>
      </c>
      <c r="F4082">
        <v>0.25849157671642298</v>
      </c>
      <c r="G4082">
        <v>0.116825231156514</v>
      </c>
      <c r="H4082">
        <v>9.7269187631114307E-2</v>
      </c>
      <c r="I4082">
        <v>3.1295424397643802E-2</v>
      </c>
      <c r="J4082">
        <v>9.7908848822734595E-2</v>
      </c>
      <c r="K4082">
        <v>6.6196396884235897E-2</v>
      </c>
      <c r="L4082">
        <v>1217.96173742781</v>
      </c>
      <c r="M4082">
        <v>24.177055510115402</v>
      </c>
      <c r="N4082">
        <v>50.669840849736701</v>
      </c>
      <c r="O4082">
        <v>50.035909829498401</v>
      </c>
      <c r="P4082">
        <v>-0.112917843190805</v>
      </c>
      <c r="Q4082">
        <v>6.5252583420279606E-2</v>
      </c>
      <c r="R4082">
        <v>0.99575407146184303</v>
      </c>
      <c r="S4082" t="s">
        <v>11085</v>
      </c>
      <c r="T4082" t="s">
        <v>14004</v>
      </c>
      <c r="U4082" t="s">
        <v>14004</v>
      </c>
      <c r="V4082" t="s">
        <v>14004</v>
      </c>
      <c r="W4082" t="s">
        <v>18035</v>
      </c>
      <c r="X4082">
        <v>1</v>
      </c>
      <c r="Y4082" t="s">
        <v>24854</v>
      </c>
      <c r="Z4082" t="s">
        <v>31792</v>
      </c>
      <c r="AA4082">
        <v>0.39753960867917848</v>
      </c>
      <c r="AB4082" t="str">
        <f>HYPERLINK("Melting_Curves/meltCurve_Q5T9C2_2_FAM102A.pdf", "Melting_Curves/meltCurve_Q5T9C2_2_FAM102A.pdf")</f>
        <v>Melting_Curves/meltCurve_Q5T9C2_2_FAM102A.pdf</v>
      </c>
    </row>
    <row r="4083" spans="1:28" x14ac:dyDescent="0.25">
      <c r="A4083" t="s">
        <v>4087</v>
      </c>
      <c r="B4083">
        <v>0.99999676499088797</v>
      </c>
      <c r="C4083">
        <v>1.17658565513278</v>
      </c>
      <c r="D4083">
        <v>2.2695215242786899</v>
      </c>
      <c r="E4083">
        <v>3.4847902722528001</v>
      </c>
      <c r="F4083">
        <v>1.1095740193908501</v>
      </c>
      <c r="G4083">
        <v>3.5275985132509202</v>
      </c>
      <c r="H4083">
        <v>1.40696909854098</v>
      </c>
      <c r="I4083">
        <v>1.4770779647133501</v>
      </c>
      <c r="J4083">
        <v>0.76283544010932902</v>
      </c>
      <c r="K4083">
        <v>0.624861458640111</v>
      </c>
      <c r="L4083">
        <v>15000</v>
      </c>
      <c r="M4083">
        <v>224.08748077251099</v>
      </c>
      <c r="O4083">
        <v>66.932812412437698</v>
      </c>
      <c r="P4083">
        <v>-0.31402668453002602</v>
      </c>
      <c r="Q4083">
        <v>0.62481279127878697</v>
      </c>
      <c r="R4083">
        <v>-0.44239529104926001</v>
      </c>
      <c r="S4083" t="s">
        <v>11086</v>
      </c>
      <c r="T4083" t="s">
        <v>14004</v>
      </c>
      <c r="U4083" t="s">
        <v>14004</v>
      </c>
      <c r="V4083" t="s">
        <v>14004</v>
      </c>
      <c r="W4083" t="s">
        <v>18036</v>
      </c>
      <c r="X4083">
        <v>18</v>
      </c>
      <c r="Y4083" t="s">
        <v>24032</v>
      </c>
      <c r="Z4083" t="s">
        <v>31793</v>
      </c>
      <c r="AA4083">
        <v>0.9617623226440325</v>
      </c>
      <c r="AB4083" t="str">
        <f>HYPERLINK("Melting_Curves/meltCurve_Q5TA02_GSTO1.pdf", "Melting_Curves/meltCurve_Q5TA02_GSTO1.pdf")</f>
        <v>Melting_Curves/meltCurve_Q5TA02_GSTO1.pdf</v>
      </c>
    </row>
    <row r="4084" spans="1:28" x14ac:dyDescent="0.25">
      <c r="A4084" t="s">
        <v>4088</v>
      </c>
      <c r="B4084">
        <v>0.99999676499088797</v>
      </c>
      <c r="C4084">
        <v>0.96153719341254495</v>
      </c>
      <c r="D4084">
        <v>0.94696121588739002</v>
      </c>
      <c r="E4084">
        <v>0.89833369471294</v>
      </c>
      <c r="F4084">
        <v>0.67494288280135095</v>
      </c>
      <c r="G4084">
        <v>0.26445100152344198</v>
      </c>
      <c r="H4084">
        <v>7.4974890243780096E-2</v>
      </c>
      <c r="I4084">
        <v>0.110750779113526</v>
      </c>
      <c r="J4084">
        <v>0.100882902859457</v>
      </c>
      <c r="K4084">
        <v>8.2278357999476207E-2</v>
      </c>
      <c r="L4084">
        <v>1537.9102919601801</v>
      </c>
      <c r="M4084">
        <v>28.407085287537001</v>
      </c>
      <c r="N4084">
        <v>54.466486753620899</v>
      </c>
      <c r="O4084">
        <v>53.872104752067997</v>
      </c>
      <c r="P4084">
        <v>-0.12145705479991099</v>
      </c>
      <c r="Q4084">
        <v>7.8667291348766794E-2</v>
      </c>
      <c r="R4084">
        <v>0.99474857423517804</v>
      </c>
      <c r="S4084" t="s">
        <v>11087</v>
      </c>
      <c r="T4084" t="s">
        <v>14004</v>
      </c>
      <c r="U4084" t="s">
        <v>14004</v>
      </c>
      <c r="V4084" t="s">
        <v>14004</v>
      </c>
      <c r="W4084" t="s">
        <v>18037</v>
      </c>
      <c r="X4084">
        <v>7</v>
      </c>
      <c r="Y4084" t="s">
        <v>24855</v>
      </c>
      <c r="Z4084" t="s">
        <v>31794</v>
      </c>
      <c r="AA4084">
        <v>0.51959616667117403</v>
      </c>
      <c r="AB4084" t="str">
        <f>HYPERLINK("Melting_Curves/meltCurve_Q5TA45_3_CPSF3L.pdf", "Melting_Curves/meltCurve_Q5TA45_3_CPSF3L.pdf")</f>
        <v>Melting_Curves/meltCurve_Q5TA45_3_CPSF3L.pdf</v>
      </c>
    </row>
    <row r="4085" spans="1:28" x14ac:dyDescent="0.25">
      <c r="A4085" t="s">
        <v>4089</v>
      </c>
      <c r="B4085">
        <v>0.99999676499088797</v>
      </c>
      <c r="C4085">
        <v>0.92571763278062602</v>
      </c>
      <c r="D4085">
        <v>0.82916534204722303</v>
      </c>
      <c r="E4085">
        <v>0.474768684672013</v>
      </c>
      <c r="F4085">
        <v>0.38088660123867601</v>
      </c>
      <c r="G4085">
        <v>0.27750697350134501</v>
      </c>
      <c r="H4085">
        <v>0.154984714049027</v>
      </c>
      <c r="I4085">
        <v>0.133766986690667</v>
      </c>
      <c r="J4085">
        <v>5.85290671650378E-2</v>
      </c>
      <c r="K4085">
        <v>5.5786403984739198E-2</v>
      </c>
      <c r="L4085">
        <v>656.04192312231498</v>
      </c>
      <c r="M4085">
        <v>13.065446700953601</v>
      </c>
      <c r="N4085">
        <v>50.685153061671997</v>
      </c>
      <c r="O4085">
        <v>49.0793820435497</v>
      </c>
      <c r="P4085">
        <v>-6.2742436486923403E-2</v>
      </c>
      <c r="Q4085">
        <v>5.7414052646431901E-2</v>
      </c>
      <c r="R4085">
        <v>0.98562278225999</v>
      </c>
      <c r="S4085" t="s">
        <v>11088</v>
      </c>
      <c r="T4085" t="s">
        <v>14004</v>
      </c>
      <c r="U4085" t="s">
        <v>14004</v>
      </c>
      <c r="V4085" t="s">
        <v>14004</v>
      </c>
      <c r="W4085" t="s">
        <v>18038</v>
      </c>
      <c r="X4085">
        <v>2</v>
      </c>
      <c r="Y4085" t="s">
        <v>24856</v>
      </c>
      <c r="Z4085" t="s">
        <v>31795</v>
      </c>
      <c r="AA4085">
        <v>0.40644493465535381</v>
      </c>
      <c r="AB4085" t="str">
        <f>HYPERLINK("Melting_Curves/meltCurve_Q5TA50_GLTPD1.pdf", "Melting_Curves/meltCurve_Q5TA50_GLTPD1.pdf")</f>
        <v>Melting_Curves/meltCurve_Q5TA50_GLTPD1.pdf</v>
      </c>
    </row>
    <row r="4086" spans="1:28" x14ac:dyDescent="0.25">
      <c r="A4086" t="s">
        <v>4090</v>
      </c>
      <c r="B4086">
        <v>0.99999676499088797</v>
      </c>
      <c r="C4086">
        <v>0.86930355482176203</v>
      </c>
      <c r="D4086">
        <v>0.85824379798875206</v>
      </c>
      <c r="E4086">
        <v>0.76266520300269902</v>
      </c>
      <c r="F4086">
        <v>0.96088527273214297</v>
      </c>
      <c r="G4086">
        <v>0.80570547826597505</v>
      </c>
      <c r="H4086">
        <v>0.88238188962126596</v>
      </c>
      <c r="I4086">
        <v>1.05548536863235</v>
      </c>
      <c r="J4086">
        <v>1.2705889364096099</v>
      </c>
      <c r="K4086">
        <v>2.0253546233231399</v>
      </c>
      <c r="L4086">
        <v>15000</v>
      </c>
      <c r="M4086">
        <v>223.71344377243301</v>
      </c>
      <c r="O4086">
        <v>67.044697565592301</v>
      </c>
      <c r="P4086">
        <v>0.41709754012039002</v>
      </c>
      <c r="Q4086">
        <v>1.5</v>
      </c>
      <c r="R4086">
        <v>0.65946535704393605</v>
      </c>
      <c r="S4086" t="s">
        <v>11089</v>
      </c>
      <c r="T4086" t="s">
        <v>14004</v>
      </c>
      <c r="U4086" t="s">
        <v>14004</v>
      </c>
      <c r="V4086" t="s">
        <v>14004</v>
      </c>
      <c r="W4086" t="s">
        <v>16073</v>
      </c>
      <c r="X4086">
        <v>2</v>
      </c>
      <c r="Y4086" t="s">
        <v>22981</v>
      </c>
      <c r="Z4086" t="s">
        <v>31796</v>
      </c>
      <c r="AA4086">
        <v>1.0490926172060759</v>
      </c>
      <c r="AB4086" t="str">
        <f>HYPERLINK("Melting_Curves/meltCurve_Q5TAL2_SNRPC.pdf", "Melting_Curves/meltCurve_Q5TAL2_SNRPC.pdf")</f>
        <v>Melting_Curves/meltCurve_Q5TAL2_SNRPC.pdf</v>
      </c>
    </row>
    <row r="4087" spans="1:28" x14ac:dyDescent="0.25">
      <c r="A4087" t="s">
        <v>4091</v>
      </c>
      <c r="B4087">
        <v>0.99999676499088797</v>
      </c>
      <c r="C4087">
        <v>1.01061513689009</v>
      </c>
      <c r="D4087">
        <v>0.83408347577133701</v>
      </c>
      <c r="E4087">
        <v>0.32758959701275098</v>
      </c>
      <c r="F4087">
        <v>0.49041524835239098</v>
      </c>
      <c r="G4087">
        <v>0.22258540667436999</v>
      </c>
      <c r="H4087">
        <v>0.15722411838815201</v>
      </c>
      <c r="I4087">
        <v>0.17072697336220499</v>
      </c>
      <c r="J4087">
        <v>0.243299558105114</v>
      </c>
      <c r="K4087">
        <v>0.18705622059956301</v>
      </c>
      <c r="L4087">
        <v>1391.29071215668</v>
      </c>
      <c r="M4087">
        <v>29.158560825086301</v>
      </c>
      <c r="N4087">
        <v>48.719387214280999</v>
      </c>
      <c r="O4087">
        <v>47.491928609080297</v>
      </c>
      <c r="P4087">
        <v>-0.118810093938884</v>
      </c>
      <c r="Q4087">
        <v>0.225959288122345</v>
      </c>
      <c r="R4087">
        <v>0.93446682573851703</v>
      </c>
      <c r="S4087" t="s">
        <v>11090</v>
      </c>
      <c r="T4087" t="s">
        <v>14004</v>
      </c>
      <c r="U4087" t="s">
        <v>14004</v>
      </c>
      <c r="V4087" t="s">
        <v>14004</v>
      </c>
      <c r="W4087" t="s">
        <v>18039</v>
      </c>
      <c r="X4087">
        <v>10</v>
      </c>
      <c r="Y4087" t="s">
        <v>24857</v>
      </c>
      <c r="Z4087" t="s">
        <v>31797</v>
      </c>
      <c r="AA4087">
        <v>0.42994384248505468</v>
      </c>
      <c r="AB4087" t="str">
        <f>HYPERLINK("Melting_Curves/meltCurve_Q5TAX3_ZCCHC11.pdf", "Melting_Curves/meltCurve_Q5TAX3_ZCCHC11.pdf")</f>
        <v>Melting_Curves/meltCurve_Q5TAX3_ZCCHC11.pdf</v>
      </c>
    </row>
    <row r="4088" spans="1:28" x14ac:dyDescent="0.25">
      <c r="A4088" t="s">
        <v>4092</v>
      </c>
      <c r="B4088">
        <v>0.99999676499088797</v>
      </c>
      <c r="C4088">
        <v>0.87788692917800604</v>
      </c>
      <c r="D4088">
        <v>0.84742765633960204</v>
      </c>
      <c r="E4088">
        <v>0.52778659188761201</v>
      </c>
      <c r="F4088">
        <v>0.204458734934132</v>
      </c>
      <c r="G4088">
        <v>0.15573462423398399</v>
      </c>
      <c r="H4088">
        <v>8.1647750644418302E-2</v>
      </c>
      <c r="I4088">
        <v>7.9806904566990994E-2</v>
      </c>
      <c r="J4088">
        <v>8.0829362205542099E-2</v>
      </c>
      <c r="K4088">
        <v>7.3994431144482301E-2</v>
      </c>
      <c r="L4088">
        <v>993.06245217257504</v>
      </c>
      <c r="M4088">
        <v>20.132730387128699</v>
      </c>
      <c r="N4088">
        <v>49.699060044608899</v>
      </c>
      <c r="O4088">
        <v>48.846835977274303</v>
      </c>
      <c r="P4088">
        <v>-9.5812861625383494E-2</v>
      </c>
      <c r="Q4088">
        <v>7.0169158786749994E-2</v>
      </c>
      <c r="R4088">
        <v>0.99280546993097296</v>
      </c>
      <c r="S4088" t="s">
        <v>11091</v>
      </c>
      <c r="T4088" t="s">
        <v>14004</v>
      </c>
      <c r="U4088" t="s">
        <v>14004</v>
      </c>
      <c r="V4088" t="s">
        <v>14004</v>
      </c>
      <c r="W4088" t="s">
        <v>18040</v>
      </c>
      <c r="X4088">
        <v>18</v>
      </c>
      <c r="Y4088" t="s">
        <v>24858</v>
      </c>
      <c r="Z4088" t="s">
        <v>31798</v>
      </c>
      <c r="AA4088">
        <v>0.37203457700285819</v>
      </c>
      <c r="AB4088" t="str">
        <f>HYPERLINK("Melting_Curves/meltCurve_Q5TBB1_RNASEH2B.pdf", "Melting_Curves/meltCurve_Q5TBB1_RNASEH2B.pdf")</f>
        <v>Melting_Curves/meltCurve_Q5TBB1_RNASEH2B.pdf</v>
      </c>
    </row>
    <row r="4089" spans="1:28" x14ac:dyDescent="0.25">
      <c r="A4089" t="s">
        <v>4093</v>
      </c>
      <c r="B4089">
        <v>0.99999676499088797</v>
      </c>
      <c r="C4089">
        <v>0.99334093924543398</v>
      </c>
      <c r="D4089">
        <v>0.85502409555719205</v>
      </c>
      <c r="E4089">
        <v>0.45520116803527999</v>
      </c>
      <c r="F4089">
        <v>0.245125713108722</v>
      </c>
      <c r="G4089">
        <v>0.16659533427381101</v>
      </c>
      <c r="H4089">
        <v>9.6710625565971098E-2</v>
      </c>
      <c r="I4089">
        <v>0.10741412181561701</v>
      </c>
      <c r="J4089">
        <v>0.10787108211308501</v>
      </c>
      <c r="K4089">
        <v>9.6690856091708202E-2</v>
      </c>
      <c r="L4089">
        <v>1183.3365293892</v>
      </c>
      <c r="M4089">
        <v>24.191480698225</v>
      </c>
      <c r="N4089">
        <v>49.415109046753898</v>
      </c>
      <c r="O4089">
        <v>48.5848488249936</v>
      </c>
      <c r="P4089">
        <v>-0.110976120111152</v>
      </c>
      <c r="Q4089">
        <v>0.108500140821193</v>
      </c>
      <c r="R4089">
        <v>0.99754179120012398</v>
      </c>
      <c r="S4089" t="s">
        <v>11092</v>
      </c>
      <c r="T4089" t="s">
        <v>14004</v>
      </c>
      <c r="U4089" t="s">
        <v>14004</v>
      </c>
      <c r="V4089" t="s">
        <v>14004</v>
      </c>
      <c r="W4089" t="s">
        <v>18041</v>
      </c>
      <c r="X4089">
        <v>12</v>
      </c>
      <c r="Y4089" t="s">
        <v>24859</v>
      </c>
      <c r="Z4089" t="s">
        <v>31799</v>
      </c>
      <c r="AA4089">
        <v>0.38188737115267801</v>
      </c>
      <c r="AB4089" t="str">
        <f>HYPERLINK("Melting_Curves/meltCurve_Q5TBP5_TAF4.pdf", "Melting_Curves/meltCurve_Q5TBP5_TAF4.pdf")</f>
        <v>Melting_Curves/meltCurve_Q5TBP5_TAF4.pdf</v>
      </c>
    </row>
    <row r="4090" spans="1:28" x14ac:dyDescent="0.25">
      <c r="A4090" t="s">
        <v>4094</v>
      </c>
      <c r="B4090">
        <v>0.99999676499088797</v>
      </c>
      <c r="C4090">
        <v>0.91010602316316203</v>
      </c>
      <c r="D4090">
        <v>0.85303572737887501</v>
      </c>
      <c r="E4090">
        <v>0.76100481376885998</v>
      </c>
      <c r="F4090">
        <v>0.61621134438830805</v>
      </c>
      <c r="G4090">
        <v>0.393889056387281</v>
      </c>
      <c r="H4090">
        <v>0.21244088282475401</v>
      </c>
      <c r="I4090">
        <v>0.24780759746995201</v>
      </c>
      <c r="J4090">
        <v>0.196523604370304</v>
      </c>
      <c r="K4090">
        <v>0.17647462104483899</v>
      </c>
      <c r="L4090">
        <v>631.11153851759298</v>
      </c>
      <c r="M4090">
        <v>11.810153974958901</v>
      </c>
      <c r="N4090">
        <v>54.611984026192502</v>
      </c>
      <c r="O4090">
        <v>51.974987476375198</v>
      </c>
      <c r="P4090">
        <v>-5.0451558315115802E-2</v>
      </c>
      <c r="Q4090">
        <v>0.112104080385291</v>
      </c>
      <c r="R4090">
        <v>0.98762480896858895</v>
      </c>
      <c r="S4090" t="s">
        <v>11093</v>
      </c>
      <c r="T4090" t="s">
        <v>14004</v>
      </c>
      <c r="U4090" t="s">
        <v>14004</v>
      </c>
      <c r="V4090" t="s">
        <v>14004</v>
      </c>
      <c r="W4090" t="s">
        <v>18042</v>
      </c>
      <c r="X4090">
        <v>1</v>
      </c>
      <c r="Y4090" t="s">
        <v>24860</v>
      </c>
      <c r="Z4090" t="s">
        <v>31800</v>
      </c>
      <c r="AA4090">
        <v>0.53461880630914071</v>
      </c>
      <c r="AB4090" t="str">
        <f>HYPERLINK("Melting_Curves/meltCurve_Q5TCJ5_SEMA4A.pdf", "Melting_Curves/meltCurve_Q5TCJ5_SEMA4A.pdf")</f>
        <v>Melting_Curves/meltCurve_Q5TCJ5_SEMA4A.pdf</v>
      </c>
    </row>
    <row r="4091" spans="1:28" x14ac:dyDescent="0.25">
      <c r="A4091" t="s">
        <v>4095</v>
      </c>
      <c r="B4091">
        <v>0.99999676499088797</v>
      </c>
      <c r="C4091">
        <v>1.0429261517159001</v>
      </c>
      <c r="D4091">
        <v>1.04613249226265</v>
      </c>
      <c r="E4091">
        <v>1.12598599391823</v>
      </c>
      <c r="F4091">
        <v>1.1119942935296101</v>
      </c>
      <c r="G4091">
        <v>1.1006092849514699</v>
      </c>
      <c r="H4091">
        <v>0.74192516086807303</v>
      </c>
      <c r="I4091">
        <v>0.70429114821709204</v>
      </c>
      <c r="J4091">
        <v>0.498018957068048</v>
      </c>
      <c r="K4091">
        <v>0.30505979295157798</v>
      </c>
      <c r="L4091">
        <v>1360.2050435082001</v>
      </c>
      <c r="M4091">
        <v>20.7499940320664</v>
      </c>
      <c r="N4091">
        <v>66.628474500889396</v>
      </c>
      <c r="O4091">
        <v>64.952342824257201</v>
      </c>
      <c r="P4091">
        <v>-6.8494362505285594E-2</v>
      </c>
      <c r="Q4091">
        <v>0.14241052136195301</v>
      </c>
      <c r="R4091">
        <v>0.91045090841265497</v>
      </c>
      <c r="S4091" t="s">
        <v>11094</v>
      </c>
      <c r="T4091" t="s">
        <v>14004</v>
      </c>
      <c r="U4091" t="s">
        <v>14004</v>
      </c>
      <c r="V4091" t="s">
        <v>14004</v>
      </c>
      <c r="W4091" t="s">
        <v>18043</v>
      </c>
      <c r="X4091">
        <v>11</v>
      </c>
      <c r="Y4091" t="s">
        <v>24861</v>
      </c>
      <c r="Z4091" t="s">
        <v>31801</v>
      </c>
      <c r="AA4091">
        <v>0.8600394086896872</v>
      </c>
      <c r="AB4091" t="str">
        <f>HYPERLINK("Melting_Curves/meltCurve_Q5TD07_NQO2.pdf", "Melting_Curves/meltCurve_Q5TD07_NQO2.pdf")</f>
        <v>Melting_Curves/meltCurve_Q5TD07_NQO2.pdf</v>
      </c>
    </row>
    <row r="4092" spans="1:28" x14ac:dyDescent="0.25">
      <c r="A4092" t="s">
        <v>4096</v>
      </c>
      <c r="B4092">
        <v>0.99999676499088797</v>
      </c>
      <c r="C4092">
        <v>1.04597720578648</v>
      </c>
      <c r="D4092">
        <v>0.91303497710914205</v>
      </c>
      <c r="E4092">
        <v>0.89338633053410099</v>
      </c>
      <c r="F4092">
        <v>0.45522930361986302</v>
      </c>
      <c r="G4092">
        <v>0.32937709466328302</v>
      </c>
      <c r="H4092">
        <v>0.148101488531624</v>
      </c>
      <c r="I4092">
        <v>9.7842794780589007E-2</v>
      </c>
      <c r="J4092">
        <v>0.100598927841667</v>
      </c>
      <c r="K4092">
        <v>0.11588832991822</v>
      </c>
      <c r="L4092">
        <v>1155.6882690468899</v>
      </c>
      <c r="M4092">
        <v>21.8466011043366</v>
      </c>
      <c r="N4092">
        <v>53.456933584037898</v>
      </c>
      <c r="O4092">
        <v>52.462882271329399</v>
      </c>
      <c r="P4092">
        <v>-9.3513672262963005E-2</v>
      </c>
      <c r="Q4092">
        <v>0.101757892519468</v>
      </c>
      <c r="R4092">
        <v>0.987233364593184</v>
      </c>
      <c r="S4092" t="s">
        <v>11095</v>
      </c>
      <c r="T4092" t="s">
        <v>14004</v>
      </c>
      <c r="U4092" t="s">
        <v>14004</v>
      </c>
      <c r="V4092" t="s">
        <v>14004</v>
      </c>
      <c r="W4092" t="s">
        <v>18044</v>
      </c>
      <c r="X4092">
        <v>1</v>
      </c>
      <c r="Y4092" t="s">
        <v>24862</v>
      </c>
      <c r="Z4092" t="s">
        <v>31802</v>
      </c>
      <c r="AA4092">
        <v>0.49859623523843921</v>
      </c>
      <c r="AB4092" t="str">
        <f>HYPERLINK("Melting_Curves/meltCurve_Q5TDG9_DNAJC16.pdf", "Melting_Curves/meltCurve_Q5TDG9_DNAJC16.pdf")</f>
        <v>Melting_Curves/meltCurve_Q5TDG9_DNAJC16.pdf</v>
      </c>
    </row>
    <row r="4093" spans="1:28" x14ac:dyDescent="0.25">
      <c r="A4093" t="s">
        <v>4097</v>
      </c>
      <c r="B4093">
        <v>0.99999676499088797</v>
      </c>
      <c r="C4093">
        <v>0.95375555485516295</v>
      </c>
      <c r="D4093">
        <v>0.90695579840697604</v>
      </c>
      <c r="E4093">
        <v>0.69051612426661602</v>
      </c>
      <c r="F4093">
        <v>0.366630637610322</v>
      </c>
      <c r="G4093">
        <v>0.20108737524846701</v>
      </c>
      <c r="H4093">
        <v>0.116304561753101</v>
      </c>
      <c r="I4093">
        <v>8.6710492888912E-2</v>
      </c>
      <c r="J4093">
        <v>7.7839161327774298E-2</v>
      </c>
      <c r="K4093">
        <v>5.7129270681872603E-2</v>
      </c>
      <c r="L4093">
        <v>965.10380572402903</v>
      </c>
      <c r="M4093">
        <v>18.803385429279299</v>
      </c>
      <c r="N4093">
        <v>51.693696213490597</v>
      </c>
      <c r="O4093">
        <v>50.756116811814898</v>
      </c>
      <c r="P4093">
        <v>-8.6823693092131907E-2</v>
      </c>
      <c r="Q4093">
        <v>6.2583589975482301E-2</v>
      </c>
      <c r="R4093">
        <v>0.99918409813422504</v>
      </c>
      <c r="S4093" t="s">
        <v>11096</v>
      </c>
      <c r="T4093" t="s">
        <v>14004</v>
      </c>
      <c r="U4093" t="s">
        <v>14004</v>
      </c>
      <c r="V4093" t="s">
        <v>14004</v>
      </c>
      <c r="W4093" t="s">
        <v>18045</v>
      </c>
      <c r="X4093">
        <v>22</v>
      </c>
      <c r="Y4093" t="s">
        <v>24863</v>
      </c>
      <c r="Z4093" t="s">
        <v>31803</v>
      </c>
      <c r="AA4093">
        <v>0.43104377017108059</v>
      </c>
      <c r="AB4093" t="str">
        <f>HYPERLINK("Melting_Curves/meltCurve_Q5TDH0_DDI2.pdf", "Melting_Curves/meltCurve_Q5TDH0_DDI2.pdf")</f>
        <v>Melting_Curves/meltCurve_Q5TDH0_DDI2.pdf</v>
      </c>
    </row>
    <row r="4094" spans="1:28" x14ac:dyDescent="0.25">
      <c r="A4094" t="s">
        <v>4098</v>
      </c>
      <c r="B4094">
        <v>0.99999676499088797</v>
      </c>
      <c r="C4094">
        <v>1.0507362694097899</v>
      </c>
      <c r="D4094">
        <v>1.0745400773851601</v>
      </c>
      <c r="E4094">
        <v>0.95368528013184695</v>
      </c>
      <c r="F4094">
        <v>0.63963178591659897</v>
      </c>
      <c r="G4094">
        <v>0.27932349588798699</v>
      </c>
      <c r="H4094">
        <v>8.62945528521806E-2</v>
      </c>
      <c r="I4094">
        <v>0.134267918565974</v>
      </c>
      <c r="J4094">
        <v>0.19874160927706</v>
      </c>
      <c r="K4094">
        <v>4.7566250243936001E-2</v>
      </c>
      <c r="L4094">
        <v>1732.0410187017401</v>
      </c>
      <c r="M4094">
        <v>32.128378129253399</v>
      </c>
      <c r="N4094">
        <v>54.343369279287302</v>
      </c>
      <c r="O4094">
        <v>53.702438080456801</v>
      </c>
      <c r="P4094">
        <v>-0.132664715278413</v>
      </c>
      <c r="Q4094">
        <v>0.11301053059633399</v>
      </c>
      <c r="R4094">
        <v>0.986516304957195</v>
      </c>
      <c r="S4094" t="s">
        <v>11097</v>
      </c>
      <c r="T4094" t="s">
        <v>14004</v>
      </c>
      <c r="U4094" t="s">
        <v>14004</v>
      </c>
      <c r="V4094" t="s">
        <v>14004</v>
      </c>
      <c r="W4094" t="s">
        <v>18046</v>
      </c>
      <c r="X4094">
        <v>4</v>
      </c>
      <c r="Y4094" t="s">
        <v>24864</v>
      </c>
      <c r="Z4094" t="s">
        <v>31804</v>
      </c>
      <c r="AA4094">
        <v>0.52937202057958277</v>
      </c>
      <c r="AB4094" t="str">
        <f>HYPERLINK("Melting_Curves/meltCurve_Q5TEU4_NDUFAF5.pdf", "Melting_Curves/meltCurve_Q5TEU4_NDUFAF5.pdf")</f>
        <v>Melting_Curves/meltCurve_Q5TEU4_NDUFAF5.pdf</v>
      </c>
    </row>
    <row r="4095" spans="1:28" x14ac:dyDescent="0.25">
      <c r="A4095" t="s">
        <v>4099</v>
      </c>
      <c r="B4095">
        <v>0.99999676499088797</v>
      </c>
      <c r="C4095">
        <v>1.4183798631997999</v>
      </c>
      <c r="D4095">
        <v>1.04236509366077</v>
      </c>
      <c r="E4095">
        <v>0.62887498191376001</v>
      </c>
      <c r="F4095">
        <v>0.41498434251511401</v>
      </c>
      <c r="G4095">
        <v>0.44769227212943502</v>
      </c>
      <c r="H4095">
        <v>0.17358455009210999</v>
      </c>
      <c r="I4095">
        <v>0.30782048589547401</v>
      </c>
      <c r="J4095">
        <v>0.234590873027304</v>
      </c>
      <c r="K4095">
        <v>0.105549422827468</v>
      </c>
      <c r="L4095">
        <v>1323.3176459702099</v>
      </c>
      <c r="M4095">
        <v>26.172233152934702</v>
      </c>
      <c r="N4095">
        <v>51.849598134641703</v>
      </c>
      <c r="O4095">
        <v>50.269496893344403</v>
      </c>
      <c r="P4095">
        <v>-9.9055902535236495E-2</v>
      </c>
      <c r="Q4095">
        <v>0.23897475353426001</v>
      </c>
      <c r="R4095">
        <v>0.85290876240189695</v>
      </c>
      <c r="S4095" t="s">
        <v>11098</v>
      </c>
      <c r="T4095" t="s">
        <v>14004</v>
      </c>
      <c r="U4095" t="s">
        <v>14004</v>
      </c>
      <c r="V4095" t="s">
        <v>14004</v>
      </c>
      <c r="W4095" t="s">
        <v>18047</v>
      </c>
      <c r="X4095">
        <v>1</v>
      </c>
      <c r="Y4095" t="s">
        <v>24865</v>
      </c>
      <c r="Z4095" t="s">
        <v>31805</v>
      </c>
      <c r="AA4095">
        <v>0.51314936777319298</v>
      </c>
      <c r="AB4095" t="str">
        <f>HYPERLINK("Melting_Curves/meltCurve_Q5TF39_NAGLT1.pdf", "Melting_Curves/meltCurve_Q5TF39_NAGLT1.pdf")</f>
        <v>Melting_Curves/meltCurve_Q5TF39_NAGLT1.pdf</v>
      </c>
    </row>
    <row r="4096" spans="1:28" x14ac:dyDescent="0.25">
      <c r="A4096" t="s">
        <v>4100</v>
      </c>
      <c r="B4096">
        <v>0.99999676499088797</v>
      </c>
      <c r="C4096">
        <v>1.06025153214344</v>
      </c>
      <c r="D4096">
        <v>0.977145907863605</v>
      </c>
      <c r="E4096">
        <v>0.98659537376625905</v>
      </c>
      <c r="F4096">
        <v>0.76049512734882996</v>
      </c>
      <c r="G4096">
        <v>0.55490921436966001</v>
      </c>
      <c r="H4096">
        <v>0.17084593846457199</v>
      </c>
      <c r="I4096">
        <v>0.12002012675384401</v>
      </c>
      <c r="J4096">
        <v>0.110583699416508</v>
      </c>
      <c r="K4096">
        <v>0.104383632984268</v>
      </c>
      <c r="L4096">
        <v>1292.8257754164399</v>
      </c>
      <c r="M4096">
        <v>22.933810641073801</v>
      </c>
      <c r="N4096">
        <v>56.772995046001498</v>
      </c>
      <c r="O4096">
        <v>55.948692599725803</v>
      </c>
      <c r="P4096">
        <v>-9.4817064703745194E-2</v>
      </c>
      <c r="Q4096">
        <v>7.4765297289767094E-2</v>
      </c>
      <c r="R4096">
        <v>0.99129623789434695</v>
      </c>
      <c r="S4096" t="s">
        <v>11099</v>
      </c>
      <c r="T4096" t="s">
        <v>14004</v>
      </c>
      <c r="U4096" t="s">
        <v>14004</v>
      </c>
      <c r="V4096" t="s">
        <v>14004</v>
      </c>
      <c r="W4096" t="s">
        <v>18048</v>
      </c>
      <c r="X4096">
        <v>19</v>
      </c>
      <c r="Y4096" t="s">
        <v>24866</v>
      </c>
      <c r="Z4096" t="s">
        <v>31806</v>
      </c>
      <c r="AA4096">
        <v>0.58936732218539167</v>
      </c>
      <c r="AB4096" t="str">
        <f>HYPERLINK("Melting_Curves/meltCurve_Q5TFE4_NT5DC1.pdf", "Melting_Curves/meltCurve_Q5TFE4_NT5DC1.pdf")</f>
        <v>Melting_Curves/meltCurve_Q5TFE4_NT5DC1.pdf</v>
      </c>
    </row>
    <row r="4097" spans="1:28" x14ac:dyDescent="0.25">
      <c r="A4097" t="s">
        <v>4101</v>
      </c>
      <c r="B4097">
        <v>0.99999676499088797</v>
      </c>
      <c r="C4097">
        <v>0.86520466061603396</v>
      </c>
      <c r="D4097">
        <v>1.0722062942016199</v>
      </c>
      <c r="E4097">
        <v>0.63983246463817101</v>
      </c>
      <c r="F4097">
        <v>0.46294527624446502</v>
      </c>
      <c r="G4097">
        <v>0.42439018520402999</v>
      </c>
      <c r="H4097">
        <v>0.37189985213432702</v>
      </c>
      <c r="I4097">
        <v>0.69630503801227495</v>
      </c>
      <c r="J4097">
        <v>1.0275527004978999</v>
      </c>
      <c r="K4097">
        <v>1.13594417343307</v>
      </c>
      <c r="L4097">
        <v>11948.469204668299</v>
      </c>
      <c r="M4097">
        <v>250</v>
      </c>
      <c r="O4097">
        <v>47.790818758061498</v>
      </c>
      <c r="P4097">
        <v>-0.41870663568609401</v>
      </c>
      <c r="Q4097">
        <v>0.67983467623695804</v>
      </c>
      <c r="R4097">
        <v>0.24969650135280699</v>
      </c>
      <c r="S4097" t="s">
        <v>11100</v>
      </c>
      <c r="T4097" t="s">
        <v>14004</v>
      </c>
      <c r="U4097" t="s">
        <v>14004</v>
      </c>
      <c r="V4097" t="s">
        <v>14004</v>
      </c>
      <c r="W4097" t="s">
        <v>18049</v>
      </c>
      <c r="X4097">
        <v>3</v>
      </c>
      <c r="Y4097" t="s">
        <v>24867</v>
      </c>
      <c r="Z4097" t="s">
        <v>31807</v>
      </c>
      <c r="AA4097">
        <v>0.76303916740776101</v>
      </c>
      <c r="AB4097" t="str">
        <f>HYPERLINK("Melting_Curves/meltCurve_Q5THK1_3_PRR14L.pdf", "Melting_Curves/meltCurve_Q5THK1_3_PRR14L.pdf")</f>
        <v>Melting_Curves/meltCurve_Q5THK1_3_PRR14L.pdf</v>
      </c>
    </row>
    <row r="4098" spans="1:28" x14ac:dyDescent="0.25">
      <c r="A4098" t="s">
        <v>4102</v>
      </c>
      <c r="B4098">
        <v>0.99999676499088797</v>
      </c>
      <c r="C4098">
        <v>1.1050702190775099</v>
      </c>
      <c r="D4098">
        <v>0.91098526564582605</v>
      </c>
      <c r="E4098">
        <v>0.77071582409904404</v>
      </c>
      <c r="F4098">
        <v>0.24440069263790301</v>
      </c>
      <c r="G4098">
        <v>0.138889060273194</v>
      </c>
      <c r="H4098">
        <v>6.0800222491967003E-2</v>
      </c>
      <c r="I4098">
        <v>5.1673578999569203E-2</v>
      </c>
      <c r="J4098">
        <v>4.3458201461346199E-2</v>
      </c>
      <c r="K4098">
        <v>2.7976583393436401E-2</v>
      </c>
      <c r="L4098">
        <v>1614.42549661471</v>
      </c>
      <c r="M4098">
        <v>31.5343721001022</v>
      </c>
      <c r="N4098">
        <v>51.370589100551904</v>
      </c>
      <c r="O4098">
        <v>50.991177138607597</v>
      </c>
      <c r="P4098">
        <v>-0.146740319074807</v>
      </c>
      <c r="Q4098">
        <v>5.0886880908337297E-2</v>
      </c>
      <c r="R4098">
        <v>0.98930883818307902</v>
      </c>
      <c r="S4098" t="s">
        <v>11101</v>
      </c>
      <c r="T4098" t="s">
        <v>14004</v>
      </c>
      <c r="U4098" t="s">
        <v>14004</v>
      </c>
      <c r="V4098" t="s">
        <v>14004</v>
      </c>
      <c r="W4098" t="s">
        <v>18050</v>
      </c>
      <c r="X4098">
        <v>5</v>
      </c>
      <c r="Y4098" t="s">
        <v>24868</v>
      </c>
      <c r="Z4098" t="s">
        <v>31808</v>
      </c>
      <c r="AA4098">
        <v>0.41050532323445882</v>
      </c>
      <c r="AB4098" t="str">
        <f>HYPERLINK("Melting_Curves/meltCurve_Q5THR1_DHX35.pdf", "Melting_Curves/meltCurve_Q5THR1_DHX35.pdf")</f>
        <v>Melting_Curves/meltCurve_Q5THR1_DHX35.pdf</v>
      </c>
    </row>
    <row r="4099" spans="1:28" x14ac:dyDescent="0.25">
      <c r="A4099" t="s">
        <v>4103</v>
      </c>
      <c r="B4099">
        <v>0.99999676499088797</v>
      </c>
      <c r="C4099">
        <v>1.1394437580172601</v>
      </c>
      <c r="D4099">
        <v>1.10560112931868</v>
      </c>
      <c r="E4099">
        <v>1.1683545754435201</v>
      </c>
      <c r="F4099">
        <v>0.97334903466971701</v>
      </c>
      <c r="G4099">
        <v>0.84298783034901603</v>
      </c>
      <c r="H4099">
        <v>0.51985179227089096</v>
      </c>
      <c r="I4099">
        <v>0.28937775958005202</v>
      </c>
      <c r="J4099">
        <v>9.6447176936853299E-2</v>
      </c>
      <c r="K4099">
        <v>9.2086656390151497E-2</v>
      </c>
      <c r="L4099">
        <v>1484.4184792666199</v>
      </c>
      <c r="M4099">
        <v>24.3900332593916</v>
      </c>
      <c r="N4099">
        <v>61.067994991201303</v>
      </c>
      <c r="O4099">
        <v>60.4569704434183</v>
      </c>
      <c r="P4099">
        <v>-9.6869363440332701E-2</v>
      </c>
      <c r="Q4099">
        <v>3.9551723080297099E-2</v>
      </c>
      <c r="R4099">
        <v>0.96301576230344099</v>
      </c>
      <c r="S4099" t="s">
        <v>11102</v>
      </c>
      <c r="T4099" t="s">
        <v>14004</v>
      </c>
      <c r="U4099" t="s">
        <v>14004</v>
      </c>
      <c r="V4099" t="s">
        <v>14004</v>
      </c>
      <c r="W4099" t="s">
        <v>18051</v>
      </c>
      <c r="X4099">
        <v>1</v>
      </c>
      <c r="Y4099" t="s">
        <v>24869</v>
      </c>
      <c r="Z4099" t="s">
        <v>31809</v>
      </c>
      <c r="AA4099">
        <v>0.71370795931005782</v>
      </c>
      <c r="AB4099" t="str">
        <f>HYPERLINK("Melting_Curves/meltCurve_Q5TIE1_SLC19A2.pdf", "Melting_Curves/meltCurve_Q5TIE1_SLC19A2.pdf")</f>
        <v>Melting_Curves/meltCurve_Q5TIE1_SLC19A2.pdf</v>
      </c>
    </row>
    <row r="4100" spans="1:28" x14ac:dyDescent="0.25">
      <c r="A4100" t="s">
        <v>4104</v>
      </c>
      <c r="B4100">
        <v>0.99999676499088797</v>
      </c>
      <c r="C4100">
        <v>1.1598074683334501</v>
      </c>
      <c r="D4100">
        <v>0.95302700327995704</v>
      </c>
      <c r="E4100">
        <v>0.75093732017287695</v>
      </c>
      <c r="F4100">
        <v>0.83750192812742197</v>
      </c>
      <c r="G4100">
        <v>0.788215192075579</v>
      </c>
      <c r="H4100">
        <v>0.72629431859904903</v>
      </c>
      <c r="I4100">
        <v>0.63225311110178894</v>
      </c>
      <c r="J4100">
        <v>0.65899637187406002</v>
      </c>
      <c r="K4100">
        <v>0.69125286056732804</v>
      </c>
      <c r="L4100">
        <v>773.48388417034198</v>
      </c>
      <c r="M4100">
        <v>15.178741226630599</v>
      </c>
      <c r="O4100">
        <v>50.098433521093</v>
      </c>
      <c r="P4100">
        <v>-2.46265219957666E-2</v>
      </c>
      <c r="Q4100">
        <v>0.67490556900832799</v>
      </c>
      <c r="R4100">
        <v>0.78189338191108204</v>
      </c>
      <c r="S4100" t="s">
        <v>11103</v>
      </c>
      <c r="T4100" t="s">
        <v>14004</v>
      </c>
      <c r="U4100" t="s">
        <v>14004</v>
      </c>
      <c r="V4100" t="s">
        <v>14004</v>
      </c>
      <c r="W4100" t="s">
        <v>18052</v>
      </c>
      <c r="X4100">
        <v>3</v>
      </c>
      <c r="Y4100" t="s">
        <v>24870</v>
      </c>
      <c r="Z4100" t="s">
        <v>31810</v>
      </c>
      <c r="AA4100">
        <v>0.80103004128534672</v>
      </c>
      <c r="AB4100" t="str">
        <f>HYPERLINK("Melting_Curves/meltCurve_Q5TIH2_SFT2D2.pdf", "Melting_Curves/meltCurve_Q5TIH2_SFT2D2.pdf")</f>
        <v>Melting_Curves/meltCurve_Q5TIH2_SFT2D2.pdf</v>
      </c>
    </row>
    <row r="4101" spans="1:28" x14ac:dyDescent="0.25">
      <c r="A4101" t="s">
        <v>4105</v>
      </c>
      <c r="B4101">
        <v>0.99999676499088797</v>
      </c>
      <c r="C4101">
        <v>0.96690231800042903</v>
      </c>
      <c r="D4101">
        <v>0.87822381786959103</v>
      </c>
      <c r="E4101">
        <v>0.764337536565588</v>
      </c>
      <c r="F4101">
        <v>0.35497293840886601</v>
      </c>
      <c r="G4101">
        <v>0.25390642067014202</v>
      </c>
      <c r="H4101">
        <v>0.13259352368251501</v>
      </c>
      <c r="I4101">
        <v>0.13958504737198099</v>
      </c>
      <c r="J4101">
        <v>0.16024880882536699</v>
      </c>
      <c r="K4101">
        <v>0.174630496782815</v>
      </c>
      <c r="L4101">
        <v>1181.22705882778</v>
      </c>
      <c r="M4101">
        <v>23.109607919417201</v>
      </c>
      <c r="N4101">
        <v>51.892575398448102</v>
      </c>
      <c r="O4101">
        <v>50.735971322422301</v>
      </c>
      <c r="P4101">
        <v>-9.7193022267202001E-2</v>
      </c>
      <c r="Q4101">
        <v>0.146486081672385</v>
      </c>
      <c r="R4101">
        <v>0.99118225363059198</v>
      </c>
      <c r="S4101" t="s">
        <v>11104</v>
      </c>
      <c r="T4101" t="s">
        <v>14004</v>
      </c>
      <c r="U4101" t="s">
        <v>14004</v>
      </c>
      <c r="V4101" t="s">
        <v>14004</v>
      </c>
      <c r="W4101" t="s">
        <v>18053</v>
      </c>
      <c r="X4101">
        <v>10</v>
      </c>
      <c r="Y4101" t="s">
        <v>24871</v>
      </c>
      <c r="Z4101" t="s">
        <v>31811</v>
      </c>
      <c r="AA4101">
        <v>0.47168676779174118</v>
      </c>
      <c r="AB4101" t="str">
        <f>HYPERLINK("Melting_Curves/meltCurve_Q5TZA2_CROCC.pdf", "Melting_Curves/meltCurve_Q5TZA2_CROCC.pdf")</f>
        <v>Melting_Curves/meltCurve_Q5TZA2_CROCC.pdf</v>
      </c>
    </row>
    <row r="4102" spans="1:28" x14ac:dyDescent="0.25">
      <c r="A4102" t="s">
        <v>4106</v>
      </c>
      <c r="B4102">
        <v>0.99999676499088797</v>
      </c>
      <c r="C4102">
        <v>0.80243743302684101</v>
      </c>
      <c r="D4102">
        <v>1.0327521232565999</v>
      </c>
      <c r="E4102">
        <v>0.76555146007303199</v>
      </c>
      <c r="F4102">
        <v>0.75416603385775804</v>
      </c>
      <c r="G4102">
        <v>0.50270152447596095</v>
      </c>
      <c r="H4102">
        <v>0.40097992339135302</v>
      </c>
      <c r="I4102">
        <v>0.29197644588816202</v>
      </c>
      <c r="J4102">
        <v>0.34641625134996601</v>
      </c>
      <c r="K4102">
        <v>0.40065722927827901</v>
      </c>
      <c r="L4102">
        <v>776.153360598718</v>
      </c>
      <c r="M4102">
        <v>14.4725579852776</v>
      </c>
      <c r="N4102">
        <v>57.4258980604586</v>
      </c>
      <c r="O4102">
        <v>52.636582195209797</v>
      </c>
      <c r="P4102">
        <v>-4.7576152593199597E-2</v>
      </c>
      <c r="Q4102">
        <v>0.30794388834255898</v>
      </c>
      <c r="R4102">
        <v>0.90692113587622003</v>
      </c>
      <c r="S4102" t="s">
        <v>11105</v>
      </c>
      <c r="T4102" t="s">
        <v>14004</v>
      </c>
      <c r="U4102" t="s">
        <v>14004</v>
      </c>
      <c r="V4102" t="s">
        <v>14004</v>
      </c>
      <c r="W4102" t="s">
        <v>18054</v>
      </c>
      <c r="X4102">
        <v>4</v>
      </c>
      <c r="Y4102" t="s">
        <v>24872</v>
      </c>
      <c r="Z4102" t="s">
        <v>31812</v>
      </c>
      <c r="AA4102">
        <v>0.63750020365670368</v>
      </c>
      <c r="AB4102" t="str">
        <f>HYPERLINK("Melting_Curves/meltCurve_Q5U5Q3_MEX3C.pdf", "Melting_Curves/meltCurve_Q5U5Q3_MEX3C.pdf")</f>
        <v>Melting_Curves/meltCurve_Q5U5Q3_MEX3C.pdf</v>
      </c>
    </row>
    <row r="4103" spans="1:28" x14ac:dyDescent="0.25">
      <c r="A4103" t="s">
        <v>4107</v>
      </c>
      <c r="B4103">
        <v>0.99999676499088797</v>
      </c>
      <c r="C4103">
        <v>1.04577218716986</v>
      </c>
      <c r="D4103">
        <v>1.0258747672507</v>
      </c>
      <c r="E4103">
        <v>0.94254288264091102</v>
      </c>
      <c r="F4103">
        <v>0.48684632030849101</v>
      </c>
      <c r="G4103">
        <v>0.26695056763980202</v>
      </c>
      <c r="H4103">
        <v>0.1232256357104</v>
      </c>
      <c r="I4103">
        <v>0.23141484699068199</v>
      </c>
      <c r="J4103">
        <v>0.27236533713791999</v>
      </c>
      <c r="K4103">
        <v>0.26839674898259702</v>
      </c>
      <c r="L4103">
        <v>2353.8938877796299</v>
      </c>
      <c r="M4103">
        <v>44.920553840674103</v>
      </c>
      <c r="N4103">
        <v>53.1179578992299</v>
      </c>
      <c r="O4103">
        <v>52.297733014150303</v>
      </c>
      <c r="P4103">
        <v>-0.16593434531151899</v>
      </c>
      <c r="Q4103">
        <v>0.22725986382076299</v>
      </c>
      <c r="R4103">
        <v>0.98666133020302704</v>
      </c>
      <c r="S4103" t="s">
        <v>11106</v>
      </c>
      <c r="T4103" t="s">
        <v>14004</v>
      </c>
      <c r="U4103" t="s">
        <v>14004</v>
      </c>
      <c r="V4103" t="s">
        <v>14004</v>
      </c>
      <c r="W4103" t="s">
        <v>18055</v>
      </c>
      <c r="X4103">
        <v>6</v>
      </c>
      <c r="Y4103" t="s">
        <v>24873</v>
      </c>
      <c r="Z4103" t="s">
        <v>31813</v>
      </c>
      <c r="AA4103">
        <v>0.54890694651133765</v>
      </c>
      <c r="AB4103" t="str">
        <f>HYPERLINK("Melting_Curves/meltCurve_Q5U5X0_LYRM7.pdf", "Melting_Curves/meltCurve_Q5U5X0_LYRM7.pdf")</f>
        <v>Melting_Curves/meltCurve_Q5U5X0_LYRM7.pdf</v>
      </c>
    </row>
    <row r="4104" spans="1:28" x14ac:dyDescent="0.25">
      <c r="A4104" t="s">
        <v>4108</v>
      </c>
      <c r="B4104">
        <v>0.99999676499088797</v>
      </c>
      <c r="C4104">
        <v>0.81727428845330896</v>
      </c>
      <c r="D4104">
        <v>0.373816721528753</v>
      </c>
      <c r="E4104">
        <v>0.19194935341793401</v>
      </c>
      <c r="F4104">
        <v>0.155234127055597</v>
      </c>
      <c r="G4104">
        <v>0.12381553760993599</v>
      </c>
      <c r="H4104">
        <v>7.1973008597111796E-2</v>
      </c>
      <c r="I4104">
        <v>8.10866579147414E-2</v>
      </c>
      <c r="J4104">
        <v>8.4623142031259799E-2</v>
      </c>
      <c r="K4104">
        <v>9.7947733533323506E-2</v>
      </c>
      <c r="L4104">
        <v>1303.5933356281</v>
      </c>
      <c r="M4104">
        <v>29.0768959741077</v>
      </c>
      <c r="N4104">
        <v>45.195908780646697</v>
      </c>
      <c r="O4104">
        <v>44.622144050288398</v>
      </c>
      <c r="P4104">
        <v>-0.14593072966241799</v>
      </c>
      <c r="Q4104">
        <v>0.104210134923706</v>
      </c>
      <c r="R4104">
        <v>0.99354804572521704</v>
      </c>
      <c r="S4104" t="s">
        <v>11107</v>
      </c>
      <c r="T4104" t="s">
        <v>14004</v>
      </c>
      <c r="U4104" t="s">
        <v>14004</v>
      </c>
      <c r="V4104" t="s">
        <v>14004</v>
      </c>
      <c r="W4104" t="s">
        <v>18056</v>
      </c>
      <c r="X4104">
        <v>22</v>
      </c>
      <c r="Y4104" t="s">
        <v>24874</v>
      </c>
      <c r="Z4104" t="s">
        <v>31814</v>
      </c>
      <c r="AA4104">
        <v>0.25481983545478959</v>
      </c>
      <c r="AB4104" t="str">
        <f>HYPERLINK("Melting_Curves/meltCurve_Q5UIP0_2_RIF1.pdf", "Melting_Curves/meltCurve_Q5UIP0_2_RIF1.pdf")</f>
        <v>Melting_Curves/meltCurve_Q5UIP0_2_RIF1.pdf</v>
      </c>
    </row>
    <row r="4105" spans="1:28" x14ac:dyDescent="0.25">
      <c r="A4105" t="s">
        <v>4109</v>
      </c>
      <c r="B4105">
        <v>0.99999676499088797</v>
      </c>
      <c r="C4105">
        <v>0.97144511011749402</v>
      </c>
      <c r="D4105">
        <v>0.93275834088751097</v>
      </c>
      <c r="E4105">
        <v>0.48646317665921901</v>
      </c>
      <c r="F4105">
        <v>0.251887304399037</v>
      </c>
      <c r="G4105">
        <v>0.14389286341263899</v>
      </c>
      <c r="H4105">
        <v>6.4329447725965702E-2</v>
      </c>
      <c r="I4105">
        <v>5.2630706967758401E-2</v>
      </c>
      <c r="J4105">
        <v>4.9620298382778198E-2</v>
      </c>
      <c r="K4105">
        <v>4.7603483846266399E-2</v>
      </c>
      <c r="L4105">
        <v>1179.5624979883301</v>
      </c>
      <c r="M4105">
        <v>23.7567500148356</v>
      </c>
      <c r="N4105">
        <v>49.921524876457703</v>
      </c>
      <c r="O4105">
        <v>49.303878770711002</v>
      </c>
      <c r="P4105">
        <v>-0.113204257425172</v>
      </c>
      <c r="Q4105">
        <v>6.0255793284748699E-2</v>
      </c>
      <c r="R4105">
        <v>0.99433870814268199</v>
      </c>
      <c r="S4105" t="s">
        <v>11108</v>
      </c>
      <c r="T4105" t="s">
        <v>14004</v>
      </c>
      <c r="U4105" t="s">
        <v>14004</v>
      </c>
      <c r="V4105" t="s">
        <v>14004</v>
      </c>
      <c r="W4105" t="s">
        <v>18057</v>
      </c>
      <c r="X4105">
        <v>11</v>
      </c>
      <c r="Y4105" t="s">
        <v>24875</v>
      </c>
      <c r="Z4105" t="s">
        <v>31815</v>
      </c>
      <c r="AA4105">
        <v>0.37187413841283712</v>
      </c>
      <c r="AB4105" t="str">
        <f>HYPERLINK("Melting_Curves/meltCurve_Q5VIR6_4_VPS53.pdf", "Melting_Curves/meltCurve_Q5VIR6_4_VPS53.pdf")</f>
        <v>Melting_Curves/meltCurve_Q5VIR6_4_VPS53.pdf</v>
      </c>
    </row>
    <row r="4106" spans="1:28" x14ac:dyDescent="0.25">
      <c r="A4106" t="s">
        <v>4110</v>
      </c>
      <c r="B4106">
        <v>0.99999676499088797</v>
      </c>
      <c r="C4106">
        <v>1.03712844193132</v>
      </c>
      <c r="D4106">
        <v>1.0734151187669301</v>
      </c>
      <c r="E4106">
        <v>0.94302406058843202</v>
      </c>
      <c r="F4106">
        <v>0.73895496431799301</v>
      </c>
      <c r="G4106">
        <v>0.45047637891756498</v>
      </c>
      <c r="H4106">
        <v>0.166465695561585</v>
      </c>
      <c r="I4106">
        <v>0.16365123228339201</v>
      </c>
      <c r="J4106">
        <v>0.12893660187349601</v>
      </c>
      <c r="K4106">
        <v>0.102386140451128</v>
      </c>
      <c r="L4106">
        <v>1318.59599511787</v>
      </c>
      <c r="M4106">
        <v>23.8011331544547</v>
      </c>
      <c r="N4106">
        <v>55.961252933189797</v>
      </c>
      <c r="O4106">
        <v>55.013896817606202</v>
      </c>
      <c r="P4106">
        <v>-9.6687132292625294E-2</v>
      </c>
      <c r="Q4106">
        <v>0.106084444080876</v>
      </c>
      <c r="R4106">
        <v>0.993142031843113</v>
      </c>
      <c r="S4106" t="s">
        <v>11109</v>
      </c>
      <c r="T4106" t="s">
        <v>14004</v>
      </c>
      <c r="U4106" t="s">
        <v>14004</v>
      </c>
      <c r="V4106" t="s">
        <v>14004</v>
      </c>
      <c r="W4106" t="s">
        <v>18058</v>
      </c>
      <c r="X4106">
        <v>11</v>
      </c>
      <c r="Y4106" t="s">
        <v>24876</v>
      </c>
      <c r="Z4106" t="s">
        <v>31816</v>
      </c>
      <c r="AA4106">
        <v>0.57394662731382473</v>
      </c>
      <c r="AB4106" t="str">
        <f>HYPERLINK("Melting_Curves/meltCurve_Q5VSL9_STRIP1.pdf", "Melting_Curves/meltCurve_Q5VSL9_STRIP1.pdf")</f>
        <v>Melting_Curves/meltCurve_Q5VSL9_STRIP1.pdf</v>
      </c>
    </row>
    <row r="4107" spans="1:28" x14ac:dyDescent="0.25">
      <c r="A4107" t="s">
        <v>4111</v>
      </c>
      <c r="B4107">
        <v>0.99999676499088797</v>
      </c>
      <c r="C4107">
        <v>0.95652617480664703</v>
      </c>
      <c r="D4107">
        <v>0.98640716525138294</v>
      </c>
      <c r="E4107">
        <v>0.92967006839891297</v>
      </c>
      <c r="F4107">
        <v>0.76030431300096801</v>
      </c>
      <c r="G4107">
        <v>0.48640521262255498</v>
      </c>
      <c r="H4107">
        <v>0.12851031940389401</v>
      </c>
      <c r="I4107">
        <v>0.122770479806615</v>
      </c>
      <c r="J4107">
        <v>0.118173716380023</v>
      </c>
      <c r="K4107">
        <v>8.5833336987796299E-2</v>
      </c>
      <c r="L4107">
        <v>1296.80996276735</v>
      </c>
      <c r="M4107">
        <v>23.239211558373999</v>
      </c>
      <c r="N4107">
        <v>56.185619416447302</v>
      </c>
      <c r="O4107">
        <v>55.394391501400897</v>
      </c>
      <c r="P4107">
        <v>-9.7200576294449503E-2</v>
      </c>
      <c r="Q4107">
        <v>7.3243961000497806E-2</v>
      </c>
      <c r="R4107">
        <v>0.99384098259378795</v>
      </c>
      <c r="S4107" t="s">
        <v>11110</v>
      </c>
      <c r="T4107" t="s">
        <v>14004</v>
      </c>
      <c r="U4107" t="s">
        <v>14004</v>
      </c>
      <c r="V4107" t="s">
        <v>14004</v>
      </c>
      <c r="W4107" t="s">
        <v>18059</v>
      </c>
      <c r="X4107">
        <v>11</v>
      </c>
      <c r="Y4107" t="s">
        <v>24877</v>
      </c>
      <c r="Z4107" t="s">
        <v>31817</v>
      </c>
      <c r="AA4107">
        <v>0.57102920771350485</v>
      </c>
      <c r="AB4107" t="str">
        <f>HYPERLINK("Melting_Curves/meltCurve_Q5VST6_ABHD17B.pdf", "Melting_Curves/meltCurve_Q5VST6_ABHD17B.pdf")</f>
        <v>Melting_Curves/meltCurve_Q5VST6_ABHD17B.pdf</v>
      </c>
    </row>
    <row r="4108" spans="1:28" x14ac:dyDescent="0.25">
      <c r="A4108" t="s">
        <v>4112</v>
      </c>
      <c r="B4108">
        <v>0.99999676499088797</v>
      </c>
      <c r="C4108">
        <v>1.0442824677555</v>
      </c>
      <c r="D4108">
        <v>1.03260840241832</v>
      </c>
      <c r="E4108">
        <v>0.84683789684473798</v>
      </c>
      <c r="F4108">
        <v>0.56952033469234398</v>
      </c>
      <c r="G4108">
        <v>0.37297816394429401</v>
      </c>
      <c r="H4108">
        <v>0.13507203642633001</v>
      </c>
      <c r="I4108">
        <v>0.13651472177294799</v>
      </c>
      <c r="J4108">
        <v>0.149166518787967</v>
      </c>
      <c r="K4108">
        <v>9.0431009069510404E-2</v>
      </c>
      <c r="L4108">
        <v>1095.1574310799599</v>
      </c>
      <c r="M4108">
        <v>20.386491261061501</v>
      </c>
      <c r="N4108">
        <v>54.325472393044102</v>
      </c>
      <c r="O4108">
        <v>53.210881721914497</v>
      </c>
      <c r="P4108">
        <v>-8.6047025405106503E-2</v>
      </c>
      <c r="Q4108">
        <v>0.1016600438684</v>
      </c>
      <c r="R4108">
        <v>0.99167499971374196</v>
      </c>
      <c r="S4108" t="s">
        <v>11111</v>
      </c>
      <c r="T4108" t="s">
        <v>14004</v>
      </c>
      <c r="U4108" t="s">
        <v>14004</v>
      </c>
      <c r="V4108" t="s">
        <v>14004</v>
      </c>
      <c r="W4108" t="s">
        <v>18060</v>
      </c>
      <c r="X4108">
        <v>6</v>
      </c>
      <c r="Y4108" t="s">
        <v>24878</v>
      </c>
      <c r="Z4108" t="s">
        <v>31818</v>
      </c>
      <c r="AA4108">
        <v>0.52437226777794588</v>
      </c>
      <c r="AB4108" t="str">
        <f>HYPERLINK("Melting_Curves/meltCurve_Q5VSY0_2_GKAP1.pdf", "Melting_Curves/meltCurve_Q5VSY0_2_GKAP1.pdf")</f>
        <v>Melting_Curves/meltCurve_Q5VSY0_2_GKAP1.pdf</v>
      </c>
    </row>
    <row r="4109" spans="1:28" x14ac:dyDescent="0.25">
      <c r="A4109" t="s">
        <v>4113</v>
      </c>
      <c r="B4109">
        <v>0.99999676499088797</v>
      </c>
      <c r="C4109">
        <v>1.0363749463760501</v>
      </c>
      <c r="D4109">
        <v>1.1750572544900499</v>
      </c>
      <c r="E4109">
        <v>1.35845372806029</v>
      </c>
      <c r="F4109">
        <v>1.6362934925322099</v>
      </c>
      <c r="G4109">
        <v>1.84177817760051</v>
      </c>
      <c r="H4109">
        <v>1.9005154102861299</v>
      </c>
      <c r="I4109">
        <v>3.1180790978868802</v>
      </c>
      <c r="J4109">
        <v>2.94173939988457</v>
      </c>
      <c r="K4109">
        <v>2.2036658540070699</v>
      </c>
      <c r="L4109">
        <v>1607.48198084656</v>
      </c>
      <c r="M4109">
        <v>34.167260199643898</v>
      </c>
      <c r="O4109">
        <v>46.887146687470697</v>
      </c>
      <c r="P4109">
        <v>9.1089444053276195E-2</v>
      </c>
      <c r="Q4109">
        <v>1.5</v>
      </c>
      <c r="R4109">
        <v>-8.9255031306624696E-2</v>
      </c>
      <c r="S4109" t="s">
        <v>11112</v>
      </c>
      <c r="T4109" t="s">
        <v>14004</v>
      </c>
      <c r="U4109" t="s">
        <v>14004</v>
      </c>
      <c r="V4109" t="s">
        <v>14004</v>
      </c>
      <c r="W4109" t="s">
        <v>18061</v>
      </c>
      <c r="X4109">
        <v>1</v>
      </c>
      <c r="Y4109" t="s">
        <v>24879</v>
      </c>
      <c r="Z4109" t="s">
        <v>31819</v>
      </c>
      <c r="AA4109">
        <v>1.3802684623111221</v>
      </c>
      <c r="AB4109" t="str">
        <f>HYPERLINK("Melting_Curves/meltCurve_Q5VT06_CEP350.pdf", "Melting_Curves/meltCurve_Q5VT06_CEP350.pdf")</f>
        <v>Melting_Curves/meltCurve_Q5VT06_CEP350.pdf</v>
      </c>
    </row>
    <row r="4110" spans="1:28" x14ac:dyDescent="0.25">
      <c r="A4110" t="s">
        <v>4114</v>
      </c>
      <c r="B4110">
        <v>0.99999676499088797</v>
      </c>
      <c r="C4110">
        <v>0.88783721370600899</v>
      </c>
      <c r="D4110">
        <v>0.66218917229037499</v>
      </c>
      <c r="E4110">
        <v>0.20555981434506901</v>
      </c>
      <c r="F4110">
        <v>0.15015668492440601</v>
      </c>
      <c r="G4110">
        <v>0.121708363705433</v>
      </c>
      <c r="H4110">
        <v>0.100974466276209</v>
      </c>
      <c r="I4110">
        <v>0.136699164932023</v>
      </c>
      <c r="J4110">
        <v>0.15819996751887699</v>
      </c>
      <c r="K4110">
        <v>0.18013794788613799</v>
      </c>
      <c r="L4110">
        <v>1482.39412998229</v>
      </c>
      <c r="M4110">
        <v>31.9103599793836</v>
      </c>
      <c r="N4110">
        <v>46.918081693312999</v>
      </c>
      <c r="O4110">
        <v>46.273648190465401</v>
      </c>
      <c r="P4110">
        <v>-0.149109429425728</v>
      </c>
      <c r="Q4110">
        <v>0.135101928547809</v>
      </c>
      <c r="R4110">
        <v>0.99205179773985896</v>
      </c>
      <c r="S4110" t="s">
        <v>11113</v>
      </c>
      <c r="T4110" t="s">
        <v>14004</v>
      </c>
      <c r="U4110" t="s">
        <v>14004</v>
      </c>
      <c r="V4110" t="s">
        <v>14004</v>
      </c>
      <c r="W4110" t="s">
        <v>18062</v>
      </c>
      <c r="X4110">
        <v>19</v>
      </c>
      <c r="Y4110" t="s">
        <v>24880</v>
      </c>
      <c r="Z4110" t="s">
        <v>31820</v>
      </c>
      <c r="AA4110">
        <v>0.32575404885074649</v>
      </c>
      <c r="AB4110" t="str">
        <f>HYPERLINK("Melting_Curves/meltCurve_Q5VT52_RPRD2.pdf", "Melting_Curves/meltCurve_Q5VT52_RPRD2.pdf")</f>
        <v>Melting_Curves/meltCurve_Q5VT52_RPRD2.pdf</v>
      </c>
    </row>
    <row r="4111" spans="1:28" x14ac:dyDescent="0.25">
      <c r="A4111" t="s">
        <v>4115</v>
      </c>
      <c r="B4111">
        <v>0.99999676499088797</v>
      </c>
      <c r="C4111">
        <v>0.92423785135376502</v>
      </c>
      <c r="D4111">
        <v>1.0586982516991801</v>
      </c>
      <c r="E4111">
        <v>1.1414682382874699</v>
      </c>
      <c r="F4111">
        <v>1.12562976734467</v>
      </c>
      <c r="G4111">
        <v>0.99863235049005705</v>
      </c>
      <c r="H4111">
        <v>0.66549521247957999</v>
      </c>
      <c r="I4111">
        <v>0.55981413221334497</v>
      </c>
      <c r="J4111">
        <v>0.41030264129763799</v>
      </c>
      <c r="K4111">
        <v>0.408057669582918</v>
      </c>
      <c r="L4111">
        <v>2247.87932273259</v>
      </c>
      <c r="M4111">
        <v>37.000783888413103</v>
      </c>
      <c r="N4111">
        <v>63.883864336524297</v>
      </c>
      <c r="O4111">
        <v>60.575570513340502</v>
      </c>
      <c r="P4111">
        <v>-8.8800587657301103E-2</v>
      </c>
      <c r="Q4111">
        <v>0.41848467292480501</v>
      </c>
      <c r="R4111">
        <v>0.92879728142062501</v>
      </c>
      <c r="S4111" t="s">
        <v>11114</v>
      </c>
      <c r="T4111" t="s">
        <v>14004</v>
      </c>
      <c r="U4111" t="s">
        <v>14004</v>
      </c>
      <c r="V4111" t="s">
        <v>14004</v>
      </c>
      <c r="W4111" t="s">
        <v>18063</v>
      </c>
      <c r="X4111">
        <v>5</v>
      </c>
      <c r="Y4111" t="s">
        <v>24881</v>
      </c>
      <c r="Z4111" t="s">
        <v>31821</v>
      </c>
      <c r="AA4111">
        <v>0.82326220583297993</v>
      </c>
      <c r="AB4111" t="str">
        <f>HYPERLINK("Melting_Curves/meltCurve_Q5VT94_GHITM.pdf", "Melting_Curves/meltCurve_Q5VT94_GHITM.pdf")</f>
        <v>Melting_Curves/meltCurve_Q5VT94_GHITM.pdf</v>
      </c>
    </row>
    <row r="4112" spans="1:28" x14ac:dyDescent="0.25">
      <c r="A4112" t="s">
        <v>4116</v>
      </c>
      <c r="B4112">
        <v>0.99999676499088797</v>
      </c>
      <c r="C4112">
        <v>1.1034490990880801</v>
      </c>
      <c r="D4112">
        <v>1.05504465538661</v>
      </c>
      <c r="E4112">
        <v>0.84747595332251002</v>
      </c>
      <c r="F4112">
        <v>0.38135103352456501</v>
      </c>
      <c r="G4112">
        <v>0.17477360007662801</v>
      </c>
      <c r="H4112">
        <v>8.9464489652293602E-2</v>
      </c>
      <c r="I4112">
        <v>8.4965373720759796E-2</v>
      </c>
      <c r="J4112">
        <v>7.1563368210759398E-2</v>
      </c>
      <c r="K4112">
        <v>6.1357290472828098E-2</v>
      </c>
      <c r="L4112">
        <v>1686.18132184418</v>
      </c>
      <c r="M4112">
        <v>32.356122670869397</v>
      </c>
      <c r="N4112">
        <v>52.396142486044901</v>
      </c>
      <c r="O4112">
        <v>51.915354954709798</v>
      </c>
      <c r="P4112">
        <v>-0.143324379758207</v>
      </c>
      <c r="Q4112">
        <v>8.0149342906362303E-2</v>
      </c>
      <c r="R4112">
        <v>0.99080978671691999</v>
      </c>
      <c r="S4112" t="s">
        <v>11115</v>
      </c>
      <c r="T4112" t="s">
        <v>14004</v>
      </c>
      <c r="U4112" t="s">
        <v>14004</v>
      </c>
      <c r="V4112" t="s">
        <v>14004</v>
      </c>
      <c r="W4112" t="s">
        <v>18064</v>
      </c>
      <c r="X4112">
        <v>11</v>
      </c>
      <c r="Y4112" t="s">
        <v>24882</v>
      </c>
      <c r="Z4112" t="s">
        <v>31822</v>
      </c>
      <c r="AA4112">
        <v>0.45662680770319619</v>
      </c>
      <c r="AB4112" t="str">
        <f>HYPERLINK("Melting_Curves/meltCurve_Q5VTL8_PRPF38B.pdf", "Melting_Curves/meltCurve_Q5VTL8_PRPF38B.pdf")</f>
        <v>Melting_Curves/meltCurve_Q5VTL8_PRPF38B.pdf</v>
      </c>
    </row>
    <row r="4113" spans="1:28" x14ac:dyDescent="0.25">
      <c r="A4113" t="s">
        <v>4117</v>
      </c>
      <c r="B4113">
        <v>0.99999676499088797</v>
      </c>
      <c r="C4113">
        <v>0.91105543788882704</v>
      </c>
      <c r="D4113">
        <v>0.580561697830833</v>
      </c>
      <c r="E4113">
        <v>0.23507447828783701</v>
      </c>
      <c r="F4113">
        <v>0.17450581591912001</v>
      </c>
      <c r="G4113">
        <v>0.13132887713236599</v>
      </c>
      <c r="H4113">
        <v>7.3556341946776793E-2</v>
      </c>
      <c r="I4113">
        <v>7.1136278382598297E-2</v>
      </c>
      <c r="J4113">
        <v>6.8683341987801794E-2</v>
      </c>
      <c r="K4113">
        <v>6.7730563455176002E-2</v>
      </c>
      <c r="L4113">
        <v>1124.9354192891101</v>
      </c>
      <c r="M4113">
        <v>24.231109238795302</v>
      </c>
      <c r="N4113">
        <v>46.790285103249097</v>
      </c>
      <c r="O4113">
        <v>46.1125225246684</v>
      </c>
      <c r="P4113">
        <v>-0.120057858977148</v>
      </c>
      <c r="Q4113">
        <v>8.6119186780132098E-2</v>
      </c>
      <c r="R4113">
        <v>0.99515659616964802</v>
      </c>
      <c r="S4113" t="s">
        <v>11116</v>
      </c>
      <c r="T4113" t="s">
        <v>14004</v>
      </c>
      <c r="U4113" t="s">
        <v>14004</v>
      </c>
      <c r="V4113" t="s">
        <v>14004</v>
      </c>
      <c r="W4113" t="s">
        <v>18065</v>
      </c>
      <c r="X4113">
        <v>38</v>
      </c>
      <c r="Y4113" t="s">
        <v>24883</v>
      </c>
      <c r="Z4113" t="s">
        <v>31823</v>
      </c>
      <c r="AA4113">
        <v>0.2907459225563585</v>
      </c>
      <c r="AB4113" t="str">
        <f>HYPERLINK("Melting_Curves/meltCurve_Q5VTR2_RNF20.pdf", "Melting_Curves/meltCurve_Q5VTR2_RNF20.pdf")</f>
        <v>Melting_Curves/meltCurve_Q5VTR2_RNF20.pdf</v>
      </c>
    </row>
    <row r="4114" spans="1:28" x14ac:dyDescent="0.25">
      <c r="A4114" t="s">
        <v>4118</v>
      </c>
      <c r="B4114">
        <v>0.99999676499088797</v>
      </c>
      <c r="C4114">
        <v>0.92718000765809805</v>
      </c>
      <c r="D4114">
        <v>1.0059768632388399</v>
      </c>
      <c r="E4114">
        <v>0.868613054995099</v>
      </c>
      <c r="F4114">
        <v>0.900969901537097</v>
      </c>
      <c r="G4114">
        <v>0.63522854984378796</v>
      </c>
      <c r="H4114">
        <v>0.43271879157611198</v>
      </c>
      <c r="I4114">
        <v>0.35015384455632498</v>
      </c>
      <c r="J4114">
        <v>0.43648452223091</v>
      </c>
      <c r="K4114">
        <v>0.44486022141366199</v>
      </c>
      <c r="L4114">
        <v>1587.51565276725</v>
      </c>
      <c r="M4114">
        <v>28.4615697157646</v>
      </c>
      <c r="N4114">
        <v>59.124970401354297</v>
      </c>
      <c r="O4114">
        <v>55.504337346481698</v>
      </c>
      <c r="P4114">
        <v>-7.6892682085865499E-2</v>
      </c>
      <c r="Q4114">
        <v>0.40019568439960301</v>
      </c>
      <c r="R4114">
        <v>0.95839433744181701</v>
      </c>
      <c r="S4114" t="s">
        <v>11117</v>
      </c>
      <c r="T4114" t="s">
        <v>14004</v>
      </c>
      <c r="U4114" t="s">
        <v>14004</v>
      </c>
      <c r="V4114" t="s">
        <v>14004</v>
      </c>
      <c r="W4114" t="s">
        <v>18066</v>
      </c>
      <c r="X4114">
        <v>51</v>
      </c>
      <c r="Y4114" t="s">
        <v>22046</v>
      </c>
      <c r="Z4114" t="s">
        <v>31824</v>
      </c>
      <c r="AA4114">
        <v>0.72004360347761209</v>
      </c>
      <c r="AB4114" t="str">
        <f>HYPERLINK("Melting_Curves/meltCurve_Q5VU58_TPM3.pdf", "Melting_Curves/meltCurve_Q5VU58_TPM3.pdf")</f>
        <v>Melting_Curves/meltCurve_Q5VU58_TPM3.pdf</v>
      </c>
    </row>
    <row r="4115" spans="1:28" x14ac:dyDescent="0.25">
      <c r="A4115" t="s">
        <v>4119</v>
      </c>
      <c r="B4115">
        <v>0.99999676499088797</v>
      </c>
      <c r="C4115">
        <v>0.98086392808491696</v>
      </c>
      <c r="D4115">
        <v>0.91437868175773895</v>
      </c>
      <c r="E4115">
        <v>0.810662408038896</v>
      </c>
      <c r="F4115">
        <v>0.56205961419494699</v>
      </c>
      <c r="G4115">
        <v>0.48450495599047899</v>
      </c>
      <c r="H4115">
        <v>0.26073210015249598</v>
      </c>
      <c r="I4115">
        <v>0.31623733765093598</v>
      </c>
      <c r="J4115">
        <v>0.17255710711894601</v>
      </c>
      <c r="K4115">
        <v>0.25770450773804199</v>
      </c>
      <c r="L4115">
        <v>759.67783832604096</v>
      </c>
      <c r="M4115">
        <v>14.265061475705</v>
      </c>
      <c r="N4115">
        <v>55.185501032753798</v>
      </c>
      <c r="O4115">
        <v>52.240677649884198</v>
      </c>
      <c r="P4115">
        <v>-5.48596575677128E-2</v>
      </c>
      <c r="Q4115">
        <v>0.19648343960114401</v>
      </c>
      <c r="R4115">
        <v>0.98330659324556802</v>
      </c>
      <c r="S4115" t="s">
        <v>11118</v>
      </c>
      <c r="T4115" t="s">
        <v>14004</v>
      </c>
      <c r="U4115" t="s">
        <v>14004</v>
      </c>
      <c r="V4115" t="s">
        <v>14004</v>
      </c>
      <c r="W4115" t="s">
        <v>18067</v>
      </c>
      <c r="X4115">
        <v>1</v>
      </c>
      <c r="Y4115" t="s">
        <v>24884</v>
      </c>
      <c r="Z4115" t="s">
        <v>31825</v>
      </c>
      <c r="AA4115">
        <v>0.56976483444220005</v>
      </c>
      <c r="AB4115" t="str">
        <f>HYPERLINK("Melting_Curves/meltCurve_Q5VU97_CACHD1.pdf", "Melting_Curves/meltCurve_Q5VU97_CACHD1.pdf")</f>
        <v>Melting_Curves/meltCurve_Q5VU97_CACHD1.pdf</v>
      </c>
    </row>
    <row r="4116" spans="1:28" x14ac:dyDescent="0.25">
      <c r="A4116" t="s">
        <v>4120</v>
      </c>
      <c r="B4116">
        <v>0.99999676499088797</v>
      </c>
      <c r="C4116">
        <v>1.1431211327236801</v>
      </c>
      <c r="D4116">
        <v>0.882330428055071</v>
      </c>
      <c r="E4116">
        <v>0.77261842368729705</v>
      </c>
      <c r="F4116">
        <v>0.56417139459392995</v>
      </c>
      <c r="G4116">
        <v>0.43831072534642201</v>
      </c>
      <c r="H4116">
        <v>0.15794342141253701</v>
      </c>
      <c r="I4116">
        <v>0.110191089010254</v>
      </c>
      <c r="J4116">
        <v>9.7744046333232096E-2</v>
      </c>
      <c r="K4116">
        <v>5.19783751447363E-2</v>
      </c>
      <c r="L4116">
        <v>746.89802327462098</v>
      </c>
      <c r="M4116">
        <v>13.698244163095101</v>
      </c>
      <c r="N4116">
        <v>54.583301358837303</v>
      </c>
      <c r="O4116">
        <v>53.402446230535503</v>
      </c>
      <c r="P4116">
        <v>-6.3671602795721094E-2</v>
      </c>
      <c r="Q4116">
        <v>7.2510171504285197E-3</v>
      </c>
      <c r="R4116">
        <v>0.97494810749389804</v>
      </c>
      <c r="S4116" t="s">
        <v>11119</v>
      </c>
      <c r="T4116" t="s">
        <v>14004</v>
      </c>
      <c r="U4116" t="s">
        <v>14004</v>
      </c>
      <c r="V4116" t="s">
        <v>14004</v>
      </c>
      <c r="W4116" t="s">
        <v>18068</v>
      </c>
      <c r="X4116">
        <v>1</v>
      </c>
      <c r="Y4116" t="s">
        <v>24885</v>
      </c>
      <c r="Z4116" t="s">
        <v>31826</v>
      </c>
      <c r="AA4116">
        <v>0.50970598553080249</v>
      </c>
      <c r="AB4116" t="str">
        <f>HYPERLINK("Melting_Curves/meltCurve_Q5VUE5_C1orf53.pdf", "Melting_Curves/meltCurve_Q5VUE5_C1orf53.pdf")</f>
        <v>Melting_Curves/meltCurve_Q5VUE5_C1orf53.pdf</v>
      </c>
    </row>
    <row r="4117" spans="1:28" x14ac:dyDescent="0.25">
      <c r="A4117" t="s">
        <v>4121</v>
      </c>
      <c r="B4117">
        <v>0.99999676499088797</v>
      </c>
      <c r="C4117">
        <v>1.00250796749025</v>
      </c>
      <c r="D4117">
        <v>0.845514825265686</v>
      </c>
      <c r="E4117">
        <v>0.475971389832752</v>
      </c>
      <c r="F4117">
        <v>0.31110571389570901</v>
      </c>
      <c r="G4117">
        <v>0.44968199091230998</v>
      </c>
      <c r="H4117">
        <v>0.247393976530601</v>
      </c>
      <c r="I4117">
        <v>0.47727081612366101</v>
      </c>
      <c r="J4117">
        <v>0.48234995932022701</v>
      </c>
      <c r="K4117">
        <v>0.19789654516791999</v>
      </c>
      <c r="L4117">
        <v>1801.7433710543401</v>
      </c>
      <c r="M4117">
        <v>37.972655916477102</v>
      </c>
      <c r="N4117">
        <v>49.100192784186802</v>
      </c>
      <c r="O4117">
        <v>47.317419244912301</v>
      </c>
      <c r="P4117">
        <v>-0.12827750871465399</v>
      </c>
      <c r="Q4117">
        <v>0.36061932865417701</v>
      </c>
      <c r="R4117">
        <v>0.89979747843371405</v>
      </c>
      <c r="S4117" t="s">
        <v>11120</v>
      </c>
      <c r="T4117" t="s">
        <v>14004</v>
      </c>
      <c r="U4117" t="s">
        <v>14004</v>
      </c>
      <c r="V4117" t="s">
        <v>14004</v>
      </c>
      <c r="W4117" t="s">
        <v>18069</v>
      </c>
      <c r="X4117">
        <v>2</v>
      </c>
      <c r="Y4117" t="s">
        <v>24886</v>
      </c>
      <c r="Z4117" t="s">
        <v>31827</v>
      </c>
      <c r="AA4117">
        <v>0.52171062477038455</v>
      </c>
      <c r="AB4117" t="str">
        <f>HYPERLINK("Melting_Curves/meltCurve_Q5VUM1_C6orf57.pdf", "Melting_Curves/meltCurve_Q5VUM1_C6orf57.pdf")</f>
        <v>Melting_Curves/meltCurve_Q5VUM1_C6orf57.pdf</v>
      </c>
    </row>
    <row r="4118" spans="1:28" x14ac:dyDescent="0.25">
      <c r="A4118" t="s">
        <v>4122</v>
      </c>
      <c r="B4118">
        <v>0.99999676499088797</v>
      </c>
      <c r="C4118">
        <v>0.95364052806252197</v>
      </c>
      <c r="D4118">
        <v>0.800035996131506</v>
      </c>
      <c r="E4118">
        <v>0.67740080660221202</v>
      </c>
      <c r="F4118">
        <v>0.40860681353425798</v>
      </c>
      <c r="G4118">
        <v>0.244514776027937</v>
      </c>
      <c r="H4118">
        <v>0.102807391948934</v>
      </c>
      <c r="I4118">
        <v>7.3302518283822504E-2</v>
      </c>
      <c r="J4118">
        <v>6.5734458925294698E-2</v>
      </c>
      <c r="K4118">
        <v>5.1097231767580999E-2</v>
      </c>
      <c r="L4118">
        <v>702.74964623155404</v>
      </c>
      <c r="M4118">
        <v>13.5905455290135</v>
      </c>
      <c r="N4118">
        <v>51.808107668644702</v>
      </c>
      <c r="O4118">
        <v>50.62769967162</v>
      </c>
      <c r="P4118">
        <v>-6.6256489234775506E-2</v>
      </c>
      <c r="Q4118">
        <v>1.28680784272905E-2</v>
      </c>
      <c r="R4118">
        <v>0.99662885963435999</v>
      </c>
      <c r="S4118" t="s">
        <v>11121</v>
      </c>
      <c r="T4118" t="s">
        <v>14004</v>
      </c>
      <c r="U4118" t="s">
        <v>14004</v>
      </c>
      <c r="V4118" t="s">
        <v>14004</v>
      </c>
      <c r="W4118" t="s">
        <v>18070</v>
      </c>
      <c r="X4118">
        <v>7</v>
      </c>
      <c r="Y4118" t="s">
        <v>24887</v>
      </c>
      <c r="Z4118" t="s">
        <v>31828</v>
      </c>
      <c r="AA4118">
        <v>0.42401981336522743</v>
      </c>
      <c r="AB4118" t="str">
        <f>HYPERLINK("Melting_Curves/meltCurve_Q5VV42_CDKAL1.pdf", "Melting_Curves/meltCurve_Q5VV42_CDKAL1.pdf")</f>
        <v>Melting_Curves/meltCurve_Q5VV42_CDKAL1.pdf</v>
      </c>
    </row>
    <row r="4119" spans="1:28" x14ac:dyDescent="0.25">
      <c r="A4119" t="s">
        <v>4123</v>
      </c>
      <c r="B4119">
        <v>0.99999676499088797</v>
      </c>
      <c r="C4119">
        <v>1.14097781431106</v>
      </c>
      <c r="D4119">
        <v>0.999871119285484</v>
      </c>
      <c r="E4119">
        <v>0.73136112260617103</v>
      </c>
      <c r="F4119">
        <v>0.511599219654432</v>
      </c>
      <c r="G4119">
        <v>0.51512932775548903</v>
      </c>
      <c r="H4119">
        <v>0.31799535014547903</v>
      </c>
      <c r="I4119">
        <v>0.48192685979549199</v>
      </c>
      <c r="J4119">
        <v>0.53695908602960496</v>
      </c>
      <c r="K4119">
        <v>0.39971695718640998</v>
      </c>
      <c r="L4119">
        <v>1887.7957439987299</v>
      </c>
      <c r="M4119">
        <v>37.933793431326698</v>
      </c>
      <c r="N4119">
        <v>53.0225929456562</v>
      </c>
      <c r="O4119">
        <v>49.627845077913499</v>
      </c>
      <c r="P4119">
        <v>-0.104840305977007</v>
      </c>
      <c r="Q4119">
        <v>0.45136150593026902</v>
      </c>
      <c r="R4119">
        <v>0.92789030940427497</v>
      </c>
      <c r="S4119" t="s">
        <v>11122</v>
      </c>
      <c r="T4119" t="s">
        <v>14004</v>
      </c>
      <c r="U4119" t="s">
        <v>14004</v>
      </c>
      <c r="V4119" t="s">
        <v>14004</v>
      </c>
      <c r="W4119" t="s">
        <v>18071</v>
      </c>
      <c r="X4119">
        <v>5</v>
      </c>
      <c r="Y4119" t="s">
        <v>24888</v>
      </c>
      <c r="Z4119" t="s">
        <v>31829</v>
      </c>
      <c r="AA4119">
        <v>0.63205493095144816</v>
      </c>
      <c r="AB4119" t="str">
        <f>HYPERLINK("Melting_Curves/meltCurve_Q5VV50_ZNF691.pdf", "Melting_Curves/meltCurve_Q5VV50_ZNF691.pdf")</f>
        <v>Melting_Curves/meltCurve_Q5VV50_ZNF691.pdf</v>
      </c>
    </row>
    <row r="4120" spans="1:28" x14ac:dyDescent="0.25">
      <c r="A4120" t="s">
        <v>4124</v>
      </c>
      <c r="B4120">
        <v>0.99999676499088797</v>
      </c>
      <c r="C4120">
        <v>1.8982696058442701</v>
      </c>
      <c r="D4120">
        <v>1.51612713159783</v>
      </c>
      <c r="E4120">
        <v>0.52094004854356302</v>
      </c>
      <c r="F4120">
        <v>0.28213473181402499</v>
      </c>
      <c r="G4120">
        <v>0.27587770205671502</v>
      </c>
      <c r="H4120">
        <v>0.14321373622852801</v>
      </c>
      <c r="I4120">
        <v>6.2780123118079498E-2</v>
      </c>
      <c r="J4120">
        <v>3.9354328254865199E-2</v>
      </c>
      <c r="K4120">
        <v>1.2405598088058E-2</v>
      </c>
      <c r="L4120">
        <v>11407.651901642899</v>
      </c>
      <c r="M4120">
        <v>230.211622013046</v>
      </c>
      <c r="N4120">
        <v>49.621295923681203</v>
      </c>
      <c r="O4120">
        <v>49.549152766328199</v>
      </c>
      <c r="P4120">
        <v>-1.00360926994704</v>
      </c>
      <c r="Q4120">
        <v>0.13596039484616801</v>
      </c>
      <c r="R4120">
        <v>0.71732079167327001</v>
      </c>
      <c r="S4120" t="s">
        <v>11123</v>
      </c>
      <c r="T4120" t="s">
        <v>14004</v>
      </c>
      <c r="U4120" t="s">
        <v>14004</v>
      </c>
      <c r="V4120" t="s">
        <v>14004</v>
      </c>
      <c r="W4120" t="s">
        <v>18072</v>
      </c>
      <c r="X4120">
        <v>1</v>
      </c>
      <c r="Y4120" t="s">
        <v>24889</v>
      </c>
      <c r="Z4120" t="s">
        <v>31830</v>
      </c>
      <c r="AA4120">
        <v>0.41118494562993457</v>
      </c>
      <c r="AB4120" t="str">
        <f>HYPERLINK("Melting_Curves/meltCurve_Q5VV89_MGST3.pdf", "Melting_Curves/meltCurve_Q5VV89_MGST3.pdf")</f>
        <v>Melting_Curves/meltCurve_Q5VV89_MGST3.pdf</v>
      </c>
    </row>
    <row r="4121" spans="1:28" x14ac:dyDescent="0.25">
      <c r="A4121" t="s">
        <v>4125</v>
      </c>
      <c r="B4121">
        <v>0.99999676499088797</v>
      </c>
      <c r="C4121">
        <v>0.96744538862829998</v>
      </c>
      <c r="D4121">
        <v>1.01296262782404</v>
      </c>
      <c r="E4121">
        <v>0.81964001358606298</v>
      </c>
      <c r="F4121">
        <v>0.39468391567572397</v>
      </c>
      <c r="G4121">
        <v>0.30600107908652502</v>
      </c>
      <c r="H4121">
        <v>0.157334711853442</v>
      </c>
      <c r="I4121">
        <v>9.9787133430901301E-2</v>
      </c>
      <c r="J4121">
        <v>0.105555449989269</v>
      </c>
      <c r="K4121">
        <v>8.5362704196918396E-2</v>
      </c>
      <c r="L4121">
        <v>1208.6431129098</v>
      </c>
      <c r="M4121">
        <v>23.1515586401066</v>
      </c>
      <c r="N4121">
        <v>52.760439619729198</v>
      </c>
      <c r="O4121">
        <v>51.820869999532498</v>
      </c>
      <c r="P4121">
        <v>-9.9625623559123105E-2</v>
      </c>
      <c r="Q4121">
        <v>0.10803546606254701</v>
      </c>
      <c r="R4121">
        <v>0.98949973929875301</v>
      </c>
      <c r="S4121" t="s">
        <v>11124</v>
      </c>
      <c r="T4121" t="s">
        <v>14004</v>
      </c>
      <c r="U4121" t="s">
        <v>14004</v>
      </c>
      <c r="V4121" t="s">
        <v>14004</v>
      </c>
      <c r="W4121" t="s">
        <v>18073</v>
      </c>
      <c r="X4121">
        <v>4</v>
      </c>
      <c r="Y4121" t="s">
        <v>24890</v>
      </c>
      <c r="Z4121" t="s">
        <v>31831</v>
      </c>
      <c r="AA4121">
        <v>0.48037492522478847</v>
      </c>
      <c r="AB4121" t="str">
        <f>HYPERLINK("Melting_Curves/meltCurve_Q5VVD7_PLEKHM2.pdf", "Melting_Curves/meltCurve_Q5VVD7_PLEKHM2.pdf")</f>
        <v>Melting_Curves/meltCurve_Q5VVD7_PLEKHM2.pdf</v>
      </c>
    </row>
    <row r="4122" spans="1:28" x14ac:dyDescent="0.25">
      <c r="A4122" t="s">
        <v>4126</v>
      </c>
      <c r="B4122">
        <v>0.99999676499088797</v>
      </c>
      <c r="C4122">
        <v>0.86075763134910299</v>
      </c>
      <c r="D4122">
        <v>0.59046157288211598</v>
      </c>
      <c r="E4122">
        <v>0.35015489708113801</v>
      </c>
      <c r="F4122">
        <v>0.237248963201837</v>
      </c>
      <c r="G4122">
        <v>0.13961159387656899</v>
      </c>
      <c r="H4122">
        <v>8.1827622318567494E-2</v>
      </c>
      <c r="I4122">
        <v>8.7305436361746896E-2</v>
      </c>
      <c r="J4122">
        <v>0.102786818806405</v>
      </c>
      <c r="K4122">
        <v>8.0192934071102798E-2</v>
      </c>
      <c r="L4122">
        <v>791.87446110352801</v>
      </c>
      <c r="M4122">
        <v>16.860041429277601</v>
      </c>
      <c r="N4122">
        <v>47.501297809271399</v>
      </c>
      <c r="O4122">
        <v>46.321690034805897</v>
      </c>
      <c r="P4122">
        <v>-8.3146926514775399E-2</v>
      </c>
      <c r="Q4122">
        <v>8.6298275719763298E-2</v>
      </c>
      <c r="R4122">
        <v>0.99452303704608502</v>
      </c>
      <c r="S4122" t="s">
        <v>11125</v>
      </c>
      <c r="T4122" t="s">
        <v>14004</v>
      </c>
      <c r="U4122" t="s">
        <v>14004</v>
      </c>
      <c r="V4122" t="s">
        <v>14004</v>
      </c>
      <c r="W4122" t="s">
        <v>18074</v>
      </c>
      <c r="X4122">
        <v>2</v>
      </c>
      <c r="Y4122" t="s">
        <v>24891</v>
      </c>
      <c r="Z4122" t="s">
        <v>31832</v>
      </c>
      <c r="AA4122">
        <v>0.31795685176133021</v>
      </c>
      <c r="AB4122" t="str">
        <f>HYPERLINK("Melting_Curves/meltCurve_Q5VVJ2_MYSM1.pdf", "Melting_Curves/meltCurve_Q5VVJ2_MYSM1.pdf")</f>
        <v>Melting_Curves/meltCurve_Q5VVJ2_MYSM1.pdf</v>
      </c>
    </row>
    <row r="4123" spans="1:28" x14ac:dyDescent="0.25">
      <c r="A4123" t="s">
        <v>4127</v>
      </c>
      <c r="B4123">
        <v>0.99999676499088797</v>
      </c>
      <c r="C4123">
        <v>0.89124320734852602</v>
      </c>
      <c r="D4123">
        <v>0.78541546521899397</v>
      </c>
      <c r="E4123">
        <v>0.34002098822076099</v>
      </c>
      <c r="F4123">
        <v>0.248283331412499</v>
      </c>
      <c r="G4123">
        <v>0.172076784540902</v>
      </c>
      <c r="H4123">
        <v>6.8091576367599202E-2</v>
      </c>
      <c r="I4123">
        <v>6.2292664150627099E-2</v>
      </c>
      <c r="J4123">
        <v>6.6303811295791507E-2</v>
      </c>
      <c r="K4123">
        <v>4.6771239165839598E-2</v>
      </c>
      <c r="L4123">
        <v>907.652684508878</v>
      </c>
      <c r="M4123">
        <v>18.823967089387398</v>
      </c>
      <c r="N4123">
        <v>48.586563565291101</v>
      </c>
      <c r="O4123">
        <v>47.6836416927191</v>
      </c>
      <c r="P4123">
        <v>-9.2128426059585294E-2</v>
      </c>
      <c r="Q4123">
        <v>6.6543801425173299E-2</v>
      </c>
      <c r="R4123">
        <v>0.98801853633613801</v>
      </c>
      <c r="S4123" t="s">
        <v>11126</v>
      </c>
      <c r="T4123" t="s">
        <v>14004</v>
      </c>
      <c r="U4123" t="s">
        <v>14004</v>
      </c>
      <c r="V4123" t="s">
        <v>14004</v>
      </c>
      <c r="W4123" t="s">
        <v>18075</v>
      </c>
      <c r="X4123">
        <v>8</v>
      </c>
      <c r="Y4123" t="s">
        <v>24892</v>
      </c>
      <c r="Z4123" t="s">
        <v>31833</v>
      </c>
      <c r="AA4123">
        <v>0.33724376534264328</v>
      </c>
      <c r="AB4123" t="str">
        <f>HYPERLINK("Melting_Curves/meltCurve_Q5VVQ6_2_YOD1.pdf", "Melting_Curves/meltCurve_Q5VVQ6_2_YOD1.pdf")</f>
        <v>Melting_Curves/meltCurve_Q5VVQ6_2_YOD1.pdf</v>
      </c>
    </row>
    <row r="4124" spans="1:28" x14ac:dyDescent="0.25">
      <c r="A4124" t="s">
        <v>4128</v>
      </c>
      <c r="B4124">
        <v>0.99999676499088797</v>
      </c>
      <c r="C4124">
        <v>0.88533253429992598</v>
      </c>
      <c r="D4124">
        <v>0.88940805687626801</v>
      </c>
      <c r="E4124">
        <v>0.59548314353038301</v>
      </c>
      <c r="F4124">
        <v>0.49233661108972998</v>
      </c>
      <c r="G4124">
        <v>0.41279412049831998</v>
      </c>
      <c r="H4124">
        <v>0.27798208627549098</v>
      </c>
      <c r="I4124">
        <v>0.28292157501204601</v>
      </c>
      <c r="J4124">
        <v>0.42171822834398898</v>
      </c>
      <c r="K4124">
        <v>0.118638752806788</v>
      </c>
      <c r="L4124">
        <v>644.63439746722599</v>
      </c>
      <c r="M4124">
        <v>12.8167165113205</v>
      </c>
      <c r="N4124">
        <v>52.943351096610797</v>
      </c>
      <c r="O4124">
        <v>49.119129916734799</v>
      </c>
      <c r="P4124">
        <v>-4.98105186597722E-2</v>
      </c>
      <c r="Q4124">
        <v>0.23656183508774101</v>
      </c>
      <c r="R4124">
        <v>0.93073664165938297</v>
      </c>
      <c r="S4124" t="s">
        <v>11127</v>
      </c>
      <c r="T4124" t="s">
        <v>14004</v>
      </c>
      <c r="U4124" t="s">
        <v>14004</v>
      </c>
      <c r="V4124" t="s">
        <v>14004</v>
      </c>
      <c r="W4124" t="s">
        <v>18076</v>
      </c>
      <c r="X4124">
        <v>1</v>
      </c>
      <c r="Y4124" t="s">
        <v>24893</v>
      </c>
      <c r="Z4124" t="s">
        <v>31834</v>
      </c>
      <c r="AA4124">
        <v>0.52202096998268843</v>
      </c>
      <c r="AB4124" t="str">
        <f>HYPERLINK("Melting_Curves/meltCurve_Q5VVW5_SLC2A8.pdf", "Melting_Curves/meltCurve_Q5VVW5_SLC2A8.pdf")</f>
        <v>Melting_Curves/meltCurve_Q5VVW5_SLC2A8.pdf</v>
      </c>
    </row>
    <row r="4125" spans="1:28" x14ac:dyDescent="0.25">
      <c r="A4125" t="s">
        <v>4129</v>
      </c>
      <c r="B4125">
        <v>0.99999676499088797</v>
      </c>
      <c r="C4125">
        <v>0.968738689221467</v>
      </c>
      <c r="D4125">
        <v>0.96933422239826394</v>
      </c>
      <c r="E4125">
        <v>0.484113203100282</v>
      </c>
      <c r="F4125">
        <v>0.18159381363612301</v>
      </c>
      <c r="G4125">
        <v>0.102445995459438</v>
      </c>
      <c r="H4125">
        <v>4.6423565087094103E-2</v>
      </c>
      <c r="I4125">
        <v>5.7288636777341903E-2</v>
      </c>
      <c r="J4125">
        <v>4.9497017867737803E-2</v>
      </c>
      <c r="K4125">
        <v>4.0999890076574799E-2</v>
      </c>
      <c r="L4125">
        <v>1594.3252234481599</v>
      </c>
      <c r="M4125">
        <v>32.229013680122101</v>
      </c>
      <c r="N4125">
        <v>49.664681939436001</v>
      </c>
      <c r="O4125">
        <v>49.2793452555605</v>
      </c>
      <c r="P4125">
        <v>-0.15373659006507001</v>
      </c>
      <c r="Q4125">
        <v>5.9729037123822201E-2</v>
      </c>
      <c r="R4125">
        <v>0.99639229101313997</v>
      </c>
      <c r="S4125" t="s">
        <v>11128</v>
      </c>
      <c r="T4125" t="s">
        <v>14004</v>
      </c>
      <c r="U4125" t="s">
        <v>14004</v>
      </c>
      <c r="V4125" t="s">
        <v>14004</v>
      </c>
      <c r="W4125" t="s">
        <v>18077</v>
      </c>
      <c r="X4125">
        <v>9</v>
      </c>
      <c r="Y4125" t="s">
        <v>24894</v>
      </c>
      <c r="Z4125" t="s">
        <v>31835</v>
      </c>
      <c r="AA4125">
        <v>0.36148274700942912</v>
      </c>
      <c r="AB4125" t="str">
        <f>HYPERLINK("Melting_Curves/meltCurve_Q5VW32_BROX.pdf", "Melting_Curves/meltCurve_Q5VW32_BROX.pdf")</f>
        <v>Melting_Curves/meltCurve_Q5VW32_BROX.pdf</v>
      </c>
    </row>
    <row r="4126" spans="1:28" x14ac:dyDescent="0.25">
      <c r="A4126" t="s">
        <v>4130</v>
      </c>
      <c r="B4126">
        <v>0.99999676499088797</v>
      </c>
      <c r="C4126">
        <v>1.0527946980879499</v>
      </c>
      <c r="D4126">
        <v>1.0405076119919301</v>
      </c>
      <c r="E4126">
        <v>1.3609312477587201</v>
      </c>
      <c r="F4126">
        <v>0.67545290281497095</v>
      </c>
      <c r="G4126">
        <v>0.27381629913182498</v>
      </c>
      <c r="H4126">
        <v>0.11917600901845</v>
      </c>
      <c r="I4126">
        <v>0.127259315105201</v>
      </c>
      <c r="J4126">
        <v>0.12400867030615401</v>
      </c>
      <c r="K4126">
        <v>9.2679066625140194E-2</v>
      </c>
      <c r="L4126">
        <v>2623.73739021662</v>
      </c>
      <c r="M4126">
        <v>48.556687581997799</v>
      </c>
      <c r="N4126">
        <v>54.36644018394</v>
      </c>
      <c r="O4126">
        <v>53.943108993210302</v>
      </c>
      <c r="P4126">
        <v>-0.19617061662726001</v>
      </c>
      <c r="Q4126">
        <v>0.12827308960091999</v>
      </c>
      <c r="R4126">
        <v>0.930685906221554</v>
      </c>
      <c r="S4126" t="s">
        <v>11129</v>
      </c>
      <c r="T4126" t="s">
        <v>14004</v>
      </c>
      <c r="U4126" t="s">
        <v>14004</v>
      </c>
      <c r="V4126" t="s">
        <v>14004</v>
      </c>
      <c r="W4126" t="s">
        <v>18078</v>
      </c>
      <c r="X4126">
        <v>11</v>
      </c>
      <c r="Y4126" t="s">
        <v>24895</v>
      </c>
      <c r="Z4126" t="s">
        <v>31836</v>
      </c>
      <c r="AA4126">
        <v>0.53828506384828301</v>
      </c>
      <c r="AB4126" t="str">
        <f>HYPERLINK("Melting_Curves/meltCurve_Q5VW36_FOCAD.pdf", "Melting_Curves/meltCurve_Q5VW36_FOCAD.pdf")</f>
        <v>Melting_Curves/meltCurve_Q5VW36_FOCAD.pdf</v>
      </c>
    </row>
    <row r="4127" spans="1:28" x14ac:dyDescent="0.25">
      <c r="A4127" t="s">
        <v>4131</v>
      </c>
      <c r="B4127">
        <v>0.99999676499088797</v>
      </c>
      <c r="C4127">
        <v>0.95945565815804501</v>
      </c>
      <c r="D4127">
        <v>0.92518374934351799</v>
      </c>
      <c r="E4127">
        <v>0.85909662575179502</v>
      </c>
      <c r="F4127">
        <v>0.70598321265210295</v>
      </c>
      <c r="G4127">
        <v>0.334313190919728</v>
      </c>
      <c r="H4127">
        <v>0.123949241908966</v>
      </c>
      <c r="I4127">
        <v>0.111384250951756</v>
      </c>
      <c r="J4127">
        <v>0.118561365002368</v>
      </c>
      <c r="K4127">
        <v>0.121695219209811</v>
      </c>
      <c r="L4127">
        <v>1232.0768572239399</v>
      </c>
      <c r="M4127">
        <v>22.639030995968</v>
      </c>
      <c r="N4127">
        <v>54.900337716717402</v>
      </c>
      <c r="O4127">
        <v>54.003387367990499</v>
      </c>
      <c r="P4127">
        <v>-9.5437190894363103E-2</v>
      </c>
      <c r="Q4127">
        <v>8.9390551724081002E-2</v>
      </c>
      <c r="R4127">
        <v>0.99101789310062105</v>
      </c>
      <c r="S4127" t="s">
        <v>11130</v>
      </c>
      <c r="T4127" t="s">
        <v>14004</v>
      </c>
      <c r="U4127" t="s">
        <v>14004</v>
      </c>
      <c r="V4127" t="s">
        <v>14004</v>
      </c>
      <c r="W4127" t="s">
        <v>16940</v>
      </c>
      <c r="X4127">
        <v>16</v>
      </c>
      <c r="Y4127" t="s">
        <v>23814</v>
      </c>
      <c r="Z4127" t="s">
        <v>31837</v>
      </c>
      <c r="AA4127">
        <v>0.53720192416441903</v>
      </c>
      <c r="AB4127" t="str">
        <f>HYPERLINK("Melting_Curves/meltCurve_Q5VWC4_PSMD4.pdf", "Melting_Curves/meltCurve_Q5VWC4_PSMD4.pdf")</f>
        <v>Melting_Curves/meltCurve_Q5VWC4_PSMD4.pdf</v>
      </c>
    </row>
    <row r="4128" spans="1:28" x14ac:dyDescent="0.25">
      <c r="A4128" t="s">
        <v>4132</v>
      </c>
      <c r="B4128">
        <v>0.99999676499088797</v>
      </c>
      <c r="C4128">
        <v>0.74738550147608496</v>
      </c>
      <c r="D4128">
        <v>0.67593120480197599</v>
      </c>
      <c r="E4128">
        <v>0.30868955194980202</v>
      </c>
      <c r="F4128">
        <v>0.25280502788431902</v>
      </c>
      <c r="G4128">
        <v>9.2721083735121806E-2</v>
      </c>
      <c r="H4128">
        <v>8.7262424547598499E-2</v>
      </c>
      <c r="I4128">
        <v>0.11380126085720101</v>
      </c>
      <c r="J4128">
        <v>0.13549424716365699</v>
      </c>
      <c r="K4128">
        <v>8.5759530232158501E-2</v>
      </c>
      <c r="L4128">
        <v>753.28411412069602</v>
      </c>
      <c r="M4128">
        <v>16.0846399157397</v>
      </c>
      <c r="N4128">
        <v>47.413167558764599</v>
      </c>
      <c r="O4128">
        <v>46.126560387748299</v>
      </c>
      <c r="P4128">
        <v>-7.9389204153606396E-2</v>
      </c>
      <c r="Q4128">
        <v>8.9399719318013104E-2</v>
      </c>
      <c r="R4128">
        <v>0.97708822539674001</v>
      </c>
      <c r="S4128" t="s">
        <v>11131</v>
      </c>
      <c r="T4128" t="s">
        <v>14004</v>
      </c>
      <c r="U4128" t="s">
        <v>14004</v>
      </c>
      <c r="V4128" t="s">
        <v>14004</v>
      </c>
      <c r="W4128" t="s">
        <v>18079</v>
      </c>
      <c r="X4128">
        <v>4</v>
      </c>
      <c r="Y4128" t="s">
        <v>24896</v>
      </c>
      <c r="Z4128" t="s">
        <v>31838</v>
      </c>
      <c r="AA4128">
        <v>0.31839155758631432</v>
      </c>
      <c r="AB4128" t="str">
        <f>HYPERLINK("Melting_Curves/meltCurve_Q5VWG9_TAF3.pdf", "Melting_Curves/meltCurve_Q5VWG9_TAF3.pdf")</f>
        <v>Melting_Curves/meltCurve_Q5VWG9_TAF3.pdf</v>
      </c>
    </row>
    <row r="4129" spans="1:28" x14ac:dyDescent="0.25">
      <c r="A4129" t="s">
        <v>4133</v>
      </c>
      <c r="B4129">
        <v>0.99999676499088797</v>
      </c>
      <c r="C4129">
        <v>1.00782262427243</v>
      </c>
      <c r="D4129">
        <v>0.83017172297957398</v>
      </c>
      <c r="E4129">
        <v>0.456478752617827</v>
      </c>
      <c r="F4129">
        <v>0.44614422141018001</v>
      </c>
      <c r="G4129">
        <v>0.21787322313219101</v>
      </c>
      <c r="H4129">
        <v>0.13235608865493201</v>
      </c>
      <c r="I4129">
        <v>0.117176328074028</v>
      </c>
      <c r="J4129">
        <v>0.12942882453086499</v>
      </c>
      <c r="K4129">
        <v>0.105472347335407</v>
      </c>
      <c r="L4129">
        <v>790.80385302549803</v>
      </c>
      <c r="M4129">
        <v>15.8821773164677</v>
      </c>
      <c r="N4129">
        <v>50.547555271829701</v>
      </c>
      <c r="O4129">
        <v>49.022569553463903</v>
      </c>
      <c r="P4129">
        <v>-7.2441166106394006E-2</v>
      </c>
      <c r="Q4129">
        <v>0.10567284410699899</v>
      </c>
      <c r="R4129">
        <v>0.97627576307925301</v>
      </c>
      <c r="S4129" t="s">
        <v>11132</v>
      </c>
      <c r="T4129" t="s">
        <v>14004</v>
      </c>
      <c r="U4129" t="s">
        <v>14004</v>
      </c>
      <c r="V4129" t="s">
        <v>14004</v>
      </c>
      <c r="W4129" t="s">
        <v>18080</v>
      </c>
      <c r="X4129">
        <v>1</v>
      </c>
      <c r="Y4129" t="s">
        <v>24897</v>
      </c>
      <c r="Z4129" t="s">
        <v>31839</v>
      </c>
      <c r="AA4129">
        <v>0.41693201626751508</v>
      </c>
      <c r="AB4129" t="str">
        <f>HYPERLINK("Melting_Curves/meltCurve_Q5VWJ9_SNX30.pdf", "Melting_Curves/meltCurve_Q5VWJ9_SNX30.pdf")</f>
        <v>Melting_Curves/meltCurve_Q5VWJ9_SNX30.pdf</v>
      </c>
    </row>
    <row r="4130" spans="1:28" x14ac:dyDescent="0.25">
      <c r="A4130" t="s">
        <v>4134</v>
      </c>
      <c r="B4130">
        <v>0.99999676499088797</v>
      </c>
      <c r="C4130">
        <v>0.98050236963708604</v>
      </c>
      <c r="D4130">
        <v>1.1776937881610099</v>
      </c>
      <c r="E4130">
        <v>1.6273538434861401</v>
      </c>
      <c r="F4130">
        <v>1.7539814560115701</v>
      </c>
      <c r="G4130">
        <v>1.3872747057042201</v>
      </c>
      <c r="H4130">
        <v>0.84741583245349394</v>
      </c>
      <c r="I4130">
        <v>0.65704234013129703</v>
      </c>
      <c r="J4130">
        <v>0.50555580810303802</v>
      </c>
      <c r="K4130">
        <v>0.73435912410650706</v>
      </c>
      <c r="L4130">
        <v>7368.0736198192699</v>
      </c>
      <c r="M4130">
        <v>120.83372108899999</v>
      </c>
      <c r="O4130">
        <v>60.9602599585047</v>
      </c>
      <c r="P4130">
        <v>-0.182444864656991</v>
      </c>
      <c r="Q4130">
        <v>0.63182835272041804</v>
      </c>
      <c r="R4130">
        <v>0.246846676240774</v>
      </c>
      <c r="S4130" t="s">
        <v>11133</v>
      </c>
      <c r="T4130" t="s">
        <v>14004</v>
      </c>
      <c r="U4130" t="s">
        <v>14004</v>
      </c>
      <c r="V4130" t="s">
        <v>14004</v>
      </c>
      <c r="W4130" t="s">
        <v>18081</v>
      </c>
      <c r="X4130">
        <v>2</v>
      </c>
      <c r="Y4130" t="s">
        <v>24898</v>
      </c>
      <c r="Z4130" t="s">
        <v>31840</v>
      </c>
      <c r="AA4130">
        <v>0.88943458904854988</v>
      </c>
      <c r="AB4130" t="str">
        <f>HYPERLINK("Melting_Curves/meltCurve_Q5VWP2_FAM46C.pdf", "Melting_Curves/meltCurve_Q5VWP2_FAM46C.pdf")</f>
        <v>Melting_Curves/meltCurve_Q5VWP2_FAM46C.pdf</v>
      </c>
    </row>
    <row r="4131" spans="1:28" x14ac:dyDescent="0.25">
      <c r="A4131" t="s">
        <v>4135</v>
      </c>
      <c r="B4131">
        <v>0.99999676499088797</v>
      </c>
      <c r="C4131">
        <v>0.98623429773833005</v>
      </c>
      <c r="D4131">
        <v>0.98531136580663803</v>
      </c>
      <c r="E4131">
        <v>0.93951500325410098</v>
      </c>
      <c r="F4131">
        <v>0.61858789253874502</v>
      </c>
      <c r="G4131">
        <v>0.49332697734950698</v>
      </c>
      <c r="H4131">
        <v>0.21747032150135201</v>
      </c>
      <c r="I4131">
        <v>0.20140828111859899</v>
      </c>
      <c r="J4131">
        <v>0.217291786812919</v>
      </c>
      <c r="K4131">
        <v>0.184503754378021</v>
      </c>
      <c r="L4131">
        <v>1085.3234803365201</v>
      </c>
      <c r="M4131">
        <v>19.939916938239602</v>
      </c>
      <c r="N4131">
        <v>55.623389298400497</v>
      </c>
      <c r="O4131">
        <v>53.891116245028201</v>
      </c>
      <c r="P4131">
        <v>-7.6402046193715004E-2</v>
      </c>
      <c r="Q4131">
        <v>0.174067608556737</v>
      </c>
      <c r="R4131">
        <v>0.98872932269263403</v>
      </c>
      <c r="S4131" t="s">
        <v>11134</v>
      </c>
      <c r="T4131" t="s">
        <v>14004</v>
      </c>
      <c r="U4131" t="s">
        <v>14004</v>
      </c>
      <c r="V4131" t="s">
        <v>14004</v>
      </c>
      <c r="W4131" t="s">
        <v>18082</v>
      </c>
      <c r="X4131">
        <v>13</v>
      </c>
      <c r="Y4131" t="s">
        <v>24899</v>
      </c>
      <c r="Z4131" t="s">
        <v>31841</v>
      </c>
      <c r="AA4131">
        <v>0.58252582302237277</v>
      </c>
      <c r="AB4131" t="str">
        <f>HYPERLINK("Melting_Curves/meltCurve_Q5VWQ0_RSBN1.pdf", "Melting_Curves/meltCurve_Q5VWQ0_RSBN1.pdf")</f>
        <v>Melting_Curves/meltCurve_Q5VWQ0_RSBN1.pdf</v>
      </c>
    </row>
    <row r="4132" spans="1:28" x14ac:dyDescent="0.25">
      <c r="A4132" t="s">
        <v>4136</v>
      </c>
      <c r="B4132">
        <v>0.99999676499088797</v>
      </c>
      <c r="C4132">
        <v>0.84582081313379698</v>
      </c>
      <c r="D4132">
        <v>0.70950703974415497</v>
      </c>
      <c r="E4132">
        <v>0.34494221922284801</v>
      </c>
      <c r="F4132">
        <v>0.21458198433793399</v>
      </c>
      <c r="G4132">
        <v>0.16015742370354499</v>
      </c>
      <c r="H4132">
        <v>4.8994323133675098E-2</v>
      </c>
      <c r="I4132">
        <v>5.4883325092067198E-2</v>
      </c>
      <c r="J4132">
        <v>2.1602202634290399E-2</v>
      </c>
      <c r="K4132">
        <v>2.1853323626924499E-2</v>
      </c>
      <c r="L4132">
        <v>759.41043193113603</v>
      </c>
      <c r="M4132">
        <v>15.8205742041278</v>
      </c>
      <c r="N4132">
        <v>48.1882193996532</v>
      </c>
      <c r="O4132">
        <v>47.254139935504099</v>
      </c>
      <c r="P4132">
        <v>-8.1216998037615798E-2</v>
      </c>
      <c r="Q4132">
        <v>2.97381781327378E-2</v>
      </c>
      <c r="R4132">
        <v>0.99226396330839695</v>
      </c>
      <c r="S4132" t="s">
        <v>11135</v>
      </c>
      <c r="T4132" t="s">
        <v>14004</v>
      </c>
      <c r="U4132" t="s">
        <v>14004</v>
      </c>
      <c r="V4132" t="s">
        <v>14004</v>
      </c>
      <c r="W4132" t="s">
        <v>18083</v>
      </c>
      <c r="X4132">
        <v>4</v>
      </c>
      <c r="Y4132" t="s">
        <v>24900</v>
      </c>
      <c r="Z4132" t="s">
        <v>31842</v>
      </c>
      <c r="AA4132">
        <v>0.31096649336153892</v>
      </c>
      <c r="AB4132" t="str">
        <f>HYPERLINK("Melting_Curves/meltCurve_Q5VWZ2_LYPLAL1.pdf", "Melting_Curves/meltCurve_Q5VWZ2_LYPLAL1.pdf")</f>
        <v>Melting_Curves/meltCurve_Q5VWZ2_LYPLAL1.pdf</v>
      </c>
    </row>
    <row r="4133" spans="1:28" x14ac:dyDescent="0.25">
      <c r="A4133" t="s">
        <v>4137</v>
      </c>
      <c r="B4133">
        <v>0.99999676499088797</v>
      </c>
      <c r="C4133">
        <v>0.95466133158378497</v>
      </c>
      <c r="D4133">
        <v>0.42143198510764701</v>
      </c>
      <c r="E4133">
        <v>0.236030988481047</v>
      </c>
      <c r="F4133">
        <v>0.18810374247471601</v>
      </c>
      <c r="G4133">
        <v>0.141878622914795</v>
      </c>
      <c r="H4133">
        <v>8.3165427371401507E-2</v>
      </c>
      <c r="I4133">
        <v>8.5639786432834306E-2</v>
      </c>
      <c r="J4133">
        <v>8.6291600455723594E-2</v>
      </c>
      <c r="K4133">
        <v>7.2251528166390105E-2</v>
      </c>
      <c r="L4133">
        <v>1766.1065680592401</v>
      </c>
      <c r="M4133">
        <v>38.911370741760798</v>
      </c>
      <c r="N4133">
        <v>45.7112895060108</v>
      </c>
      <c r="O4133">
        <v>45.2685475301274</v>
      </c>
      <c r="P4133">
        <v>-0.18903835717782499</v>
      </c>
      <c r="Q4133">
        <v>0.120311426178923</v>
      </c>
      <c r="R4133">
        <v>0.98266131571869497</v>
      </c>
      <c r="S4133" t="s">
        <v>11136</v>
      </c>
      <c r="T4133" t="s">
        <v>14004</v>
      </c>
      <c r="U4133" t="s">
        <v>14004</v>
      </c>
      <c r="V4133" t="s">
        <v>14004</v>
      </c>
      <c r="W4133" t="s">
        <v>18084</v>
      </c>
      <c r="X4133">
        <v>33</v>
      </c>
      <c r="Y4133" t="s">
        <v>24901</v>
      </c>
      <c r="Z4133" t="s">
        <v>31843</v>
      </c>
      <c r="AA4133">
        <v>0.28135441344755768</v>
      </c>
      <c r="AB4133" t="str">
        <f>HYPERLINK("Melting_Curves/meltCurve_Q5VY93_ARHGEF2.pdf", "Melting_Curves/meltCurve_Q5VY93_ARHGEF2.pdf")</f>
        <v>Melting_Curves/meltCurve_Q5VY93_ARHGEF2.pdf</v>
      </c>
    </row>
    <row r="4134" spans="1:28" x14ac:dyDescent="0.25">
      <c r="A4134" t="s">
        <v>4138</v>
      </c>
      <c r="B4134">
        <v>0.99999676499088797</v>
      </c>
      <c r="C4134">
        <v>1.0608085237487299</v>
      </c>
      <c r="D4134">
        <v>1.1544016160914199</v>
      </c>
      <c r="E4134">
        <v>0.95714394010782999</v>
      </c>
      <c r="F4134">
        <v>0.76331175045433297</v>
      </c>
      <c r="G4134">
        <v>0.63451411621859199</v>
      </c>
      <c r="H4134">
        <v>0.38084797996192199</v>
      </c>
      <c r="I4134">
        <v>0.47265366261040298</v>
      </c>
      <c r="J4134">
        <v>0.594728112612814</v>
      </c>
      <c r="K4134">
        <v>0.47882729674581498</v>
      </c>
      <c r="L4134">
        <v>1625.82688391482</v>
      </c>
      <c r="M4134">
        <v>30.224901139342499</v>
      </c>
      <c r="N4134">
        <v>61.3151462965848</v>
      </c>
      <c r="O4134">
        <v>53.557146429732803</v>
      </c>
      <c r="P4134">
        <v>-7.2272500309137594E-2</v>
      </c>
      <c r="Q4134">
        <v>0.487748883500981</v>
      </c>
      <c r="R4134">
        <v>0.91399619828293299</v>
      </c>
      <c r="S4134" t="s">
        <v>11137</v>
      </c>
      <c r="T4134" t="s">
        <v>14004</v>
      </c>
      <c r="U4134" t="s">
        <v>14004</v>
      </c>
      <c r="V4134" t="s">
        <v>14004</v>
      </c>
      <c r="W4134" t="s">
        <v>18085</v>
      </c>
      <c r="X4134">
        <v>1</v>
      </c>
      <c r="Y4134" t="s">
        <v>24902</v>
      </c>
      <c r="Z4134" t="s">
        <v>31844</v>
      </c>
      <c r="AA4134">
        <v>0.72653862538639524</v>
      </c>
      <c r="AB4134" t="str">
        <f>HYPERLINK("Melting_Curves/meltCurve_Q5VYB9_LRP11.pdf", "Melting_Curves/meltCurve_Q5VYB9_LRP11.pdf")</f>
        <v>Melting_Curves/meltCurve_Q5VYB9_LRP11.pdf</v>
      </c>
    </row>
    <row r="4135" spans="1:28" x14ac:dyDescent="0.25">
      <c r="A4135" t="s">
        <v>4139</v>
      </c>
      <c r="B4135">
        <v>0.99999676499088797</v>
      </c>
      <c r="C4135">
        <v>1.0313772724764301</v>
      </c>
      <c r="D4135">
        <v>1.0562305153109799</v>
      </c>
      <c r="E4135">
        <v>1.02558422471106</v>
      </c>
      <c r="F4135">
        <v>0.95698826896413702</v>
      </c>
      <c r="G4135">
        <v>0.83012867649413802</v>
      </c>
      <c r="H4135">
        <v>0.54329560368310703</v>
      </c>
      <c r="I4135">
        <v>0.41542829402754999</v>
      </c>
      <c r="J4135">
        <v>0.35733813380671298</v>
      </c>
      <c r="K4135">
        <v>0.36462351373141599</v>
      </c>
      <c r="L4135">
        <v>1626.81242594677</v>
      </c>
      <c r="M4135">
        <v>27.607558301842499</v>
      </c>
      <c r="N4135">
        <v>61.572688661760203</v>
      </c>
      <c r="O4135">
        <v>58.619768388375299</v>
      </c>
      <c r="P4135">
        <v>-7.6842226452035103E-2</v>
      </c>
      <c r="Q4135">
        <v>0.34736240596712498</v>
      </c>
      <c r="R4135">
        <v>0.99340763502854401</v>
      </c>
      <c r="S4135" t="s">
        <v>11138</v>
      </c>
      <c r="T4135" t="s">
        <v>14004</v>
      </c>
      <c r="U4135" t="s">
        <v>14004</v>
      </c>
      <c r="V4135" t="s">
        <v>14004</v>
      </c>
      <c r="W4135" t="s">
        <v>18086</v>
      </c>
      <c r="X4135">
        <v>3</v>
      </c>
      <c r="Y4135" t="s">
        <v>24903</v>
      </c>
      <c r="Z4135" t="s">
        <v>31845</v>
      </c>
      <c r="AA4135">
        <v>0.76382674445565002</v>
      </c>
      <c r="AB4135" t="str">
        <f>HYPERLINK("Melting_Curves/meltCurve_Q5VYH8_LY9.pdf", "Melting_Curves/meltCurve_Q5VYH8_LY9.pdf")</f>
        <v>Melting_Curves/meltCurve_Q5VYH8_LY9.pdf</v>
      </c>
    </row>
    <row r="4136" spans="1:28" x14ac:dyDescent="0.25">
      <c r="A4136" t="s">
        <v>4140</v>
      </c>
      <c r="B4136">
        <v>0.99999676499088797</v>
      </c>
      <c r="C4136">
        <v>0.98921538985608004</v>
      </c>
      <c r="D4136">
        <v>0.83285932272103302</v>
      </c>
      <c r="E4136">
        <v>0.31957936387159902</v>
      </c>
      <c r="F4136">
        <v>0.25893653406386602</v>
      </c>
      <c r="G4136">
        <v>0.104733105275528</v>
      </c>
      <c r="H4136">
        <v>5.7671895661266598E-2</v>
      </c>
      <c r="I4136">
        <v>4.9433185966125302E-2</v>
      </c>
      <c r="J4136">
        <v>6.7396837941287799E-2</v>
      </c>
      <c r="K4136">
        <v>6.43056878204398E-2</v>
      </c>
      <c r="L4136">
        <v>1266.1821804097699</v>
      </c>
      <c r="M4136">
        <v>26.227980402814602</v>
      </c>
      <c r="N4136">
        <v>48.584182568759999</v>
      </c>
      <c r="O4136">
        <v>47.997985630230602</v>
      </c>
      <c r="P4136">
        <v>-0.12614247378094201</v>
      </c>
      <c r="Q4136">
        <v>7.6632322069189504E-2</v>
      </c>
      <c r="R4136">
        <v>0.98719330115921</v>
      </c>
      <c r="S4136" t="s">
        <v>11139</v>
      </c>
      <c r="T4136" t="s">
        <v>14004</v>
      </c>
      <c r="U4136" t="s">
        <v>14004</v>
      </c>
      <c r="V4136" t="s">
        <v>14004</v>
      </c>
      <c r="W4136" t="s">
        <v>18087</v>
      </c>
      <c r="X4136">
        <v>5</v>
      </c>
      <c r="Y4136" t="s">
        <v>24904</v>
      </c>
      <c r="Z4136" t="s">
        <v>31846</v>
      </c>
      <c r="AA4136">
        <v>0.3387362644012773</v>
      </c>
      <c r="AB4136" t="str">
        <f>HYPERLINK("Melting_Curves/meltCurve_Q5VYS8_6_ZCCHC6.pdf", "Melting_Curves/meltCurve_Q5VYS8_6_ZCCHC6.pdf")</f>
        <v>Melting_Curves/meltCurve_Q5VYS8_6_ZCCHC6.pdf</v>
      </c>
    </row>
    <row r="4137" spans="1:28" x14ac:dyDescent="0.25">
      <c r="A4137" t="s">
        <v>4141</v>
      </c>
      <c r="B4137">
        <v>0.99999676499088797</v>
      </c>
      <c r="C4137">
        <v>1.04533731633131</v>
      </c>
      <c r="D4137">
        <v>1.06653196682242</v>
      </c>
      <c r="E4137">
        <v>1.1297255296277999</v>
      </c>
      <c r="F4137">
        <v>0.37714728820684601</v>
      </c>
      <c r="G4137">
        <v>0.19137414555806601</v>
      </c>
      <c r="H4137">
        <v>9.4824699707463406E-2</v>
      </c>
      <c r="I4137">
        <v>9.1172041783972702E-2</v>
      </c>
      <c r="J4137">
        <v>8.0510230355347295E-2</v>
      </c>
      <c r="K4137">
        <v>7.5392311371122595E-2</v>
      </c>
      <c r="L4137">
        <v>12928.232955298599</v>
      </c>
      <c r="M4137">
        <v>243.84596297357501</v>
      </c>
      <c r="N4137">
        <v>53.070248289295598</v>
      </c>
      <c r="O4137">
        <v>53.014465357300701</v>
      </c>
      <c r="P4137">
        <v>-1.02726045323674</v>
      </c>
      <c r="Q4137">
        <v>0.106654660818115</v>
      </c>
      <c r="R4137">
        <v>0.98421328540333297</v>
      </c>
      <c r="S4137" t="s">
        <v>11140</v>
      </c>
      <c r="T4137" t="s">
        <v>14004</v>
      </c>
      <c r="U4137" t="s">
        <v>14004</v>
      </c>
      <c r="V4137" t="s">
        <v>14004</v>
      </c>
      <c r="W4137" t="s">
        <v>18088</v>
      </c>
      <c r="X4137">
        <v>17</v>
      </c>
      <c r="Y4137" t="s">
        <v>24905</v>
      </c>
      <c r="Z4137" t="s">
        <v>31847</v>
      </c>
      <c r="AA4137">
        <v>0.49439529235395602</v>
      </c>
      <c r="AB4137" t="str">
        <f>HYPERLINK("Melting_Curves/meltCurve_Q5VZE5_NAA35.pdf", "Melting_Curves/meltCurve_Q5VZE5_NAA35.pdf")</f>
        <v>Melting_Curves/meltCurve_Q5VZE5_NAA35.pdf</v>
      </c>
    </row>
    <row r="4138" spans="1:28" x14ac:dyDescent="0.25">
      <c r="A4138" t="s">
        <v>4142</v>
      </c>
      <c r="B4138">
        <v>0.99999676499088797</v>
      </c>
      <c r="C4138">
        <v>1.15073974516319</v>
      </c>
      <c r="D4138">
        <v>1.0092511564175299</v>
      </c>
      <c r="E4138">
        <v>0.96224745181523297</v>
      </c>
      <c r="F4138">
        <v>0.86971975951853997</v>
      </c>
      <c r="G4138">
        <v>0.707567641695665</v>
      </c>
      <c r="H4138">
        <v>0.453798153730882</v>
      </c>
      <c r="I4138">
        <v>0.478613790270423</v>
      </c>
      <c r="J4138">
        <v>0.40590069419972702</v>
      </c>
      <c r="K4138">
        <v>0.32398476572941798</v>
      </c>
      <c r="L4138">
        <v>1112.68582039953</v>
      </c>
      <c r="M4138">
        <v>19.481065183011602</v>
      </c>
      <c r="N4138">
        <v>60.867797554438802</v>
      </c>
      <c r="O4138">
        <v>56.524643280105799</v>
      </c>
      <c r="P4138">
        <v>-5.6049636941903597E-2</v>
      </c>
      <c r="Q4138">
        <v>0.34950761040702599</v>
      </c>
      <c r="R4138">
        <v>0.96101912203266804</v>
      </c>
      <c r="S4138" t="s">
        <v>11141</v>
      </c>
      <c r="T4138" t="s">
        <v>14004</v>
      </c>
      <c r="U4138" t="s">
        <v>14004</v>
      </c>
      <c r="V4138" t="s">
        <v>14004</v>
      </c>
      <c r="W4138" t="s">
        <v>18089</v>
      </c>
      <c r="X4138">
        <v>2</v>
      </c>
      <c r="Y4138" t="s">
        <v>24906</v>
      </c>
      <c r="Z4138" t="s">
        <v>31848</v>
      </c>
      <c r="AA4138">
        <v>0.72878461783748705</v>
      </c>
      <c r="AB4138" t="str">
        <f>HYPERLINK("Melting_Curves/meltCurve_Q5VZI3_2_C9orf91.pdf", "Melting_Curves/meltCurve_Q5VZI3_2_C9orf91.pdf")</f>
        <v>Melting_Curves/meltCurve_Q5VZI3_2_C9orf91.pdf</v>
      </c>
    </row>
    <row r="4139" spans="1:28" x14ac:dyDescent="0.25">
      <c r="A4139" t="s">
        <v>4143</v>
      </c>
      <c r="B4139">
        <v>0.99999676499088797</v>
      </c>
      <c r="C4139">
        <v>0.988360801359629</v>
      </c>
      <c r="D4139">
        <v>0.98380426940710197</v>
      </c>
      <c r="E4139">
        <v>1.09599994325336</v>
      </c>
      <c r="F4139">
        <v>0.77276765485551102</v>
      </c>
      <c r="G4139">
        <v>0.39562989766649198</v>
      </c>
      <c r="H4139">
        <v>0.20027743495933101</v>
      </c>
      <c r="I4139">
        <v>0.139446440006257</v>
      </c>
      <c r="J4139">
        <v>0.123290088310487</v>
      </c>
      <c r="K4139">
        <v>0.13857099385234301</v>
      </c>
      <c r="L4139">
        <v>1777.11089588153</v>
      </c>
      <c r="M4139">
        <v>32.179619112330499</v>
      </c>
      <c r="N4139">
        <v>55.776571785265702</v>
      </c>
      <c r="O4139">
        <v>55.012776900652497</v>
      </c>
      <c r="P4139">
        <v>-0.12630024439851101</v>
      </c>
      <c r="Q4139">
        <v>0.136336214283825</v>
      </c>
      <c r="R4139">
        <v>0.98988236387010098</v>
      </c>
      <c r="S4139" t="s">
        <v>11142</v>
      </c>
      <c r="T4139" t="s">
        <v>14004</v>
      </c>
      <c r="U4139" t="s">
        <v>14004</v>
      </c>
      <c r="V4139" t="s">
        <v>14004</v>
      </c>
      <c r="W4139" t="s">
        <v>18090</v>
      </c>
      <c r="X4139">
        <v>9</v>
      </c>
      <c r="Y4139" t="s">
        <v>24907</v>
      </c>
      <c r="Z4139" t="s">
        <v>31849</v>
      </c>
      <c r="AA4139">
        <v>0.57966149453171667</v>
      </c>
      <c r="AB4139" t="str">
        <f>HYPERLINK("Melting_Curves/meltCurve_Q5W015_PFKFB3.pdf", "Melting_Curves/meltCurve_Q5W015_PFKFB3.pdf")</f>
        <v>Melting_Curves/meltCurve_Q5W015_PFKFB3.pdf</v>
      </c>
    </row>
    <row r="4140" spans="1:28" x14ac:dyDescent="0.25">
      <c r="A4140" t="s">
        <v>4144</v>
      </c>
      <c r="B4140">
        <v>0.99999676499088797</v>
      </c>
      <c r="C4140">
        <v>1.07066605927101</v>
      </c>
      <c r="D4140">
        <v>0.96470350753540401</v>
      </c>
      <c r="E4140">
        <v>0.68126616463105105</v>
      </c>
      <c r="F4140">
        <v>0.87421116046071201</v>
      </c>
      <c r="G4140">
        <v>0.49664665212983899</v>
      </c>
      <c r="H4140">
        <v>0.23721445229966701</v>
      </c>
      <c r="I4140">
        <v>0.51721003466157001</v>
      </c>
      <c r="J4140">
        <v>0.58198613650801101</v>
      </c>
      <c r="K4140">
        <v>0.56761261277108299</v>
      </c>
      <c r="L4140">
        <v>957.23606752560897</v>
      </c>
      <c r="M4140">
        <v>18.569363965132101</v>
      </c>
      <c r="N4140">
        <v>61.548242746144297</v>
      </c>
      <c r="O4140">
        <v>50.962538870910599</v>
      </c>
      <c r="P4140">
        <v>-4.7778662184033503E-2</v>
      </c>
      <c r="Q4140">
        <v>0.47551985091653598</v>
      </c>
      <c r="R4140">
        <v>0.74300028063405998</v>
      </c>
      <c r="S4140" t="s">
        <v>11143</v>
      </c>
      <c r="T4140" t="s">
        <v>14004</v>
      </c>
      <c r="U4140" t="s">
        <v>14004</v>
      </c>
      <c r="V4140" t="s">
        <v>14004</v>
      </c>
      <c r="W4140" t="s">
        <v>18091</v>
      </c>
      <c r="X4140">
        <v>1</v>
      </c>
      <c r="Y4140" t="s">
        <v>24908</v>
      </c>
      <c r="Z4140" t="s">
        <v>31850</v>
      </c>
      <c r="AA4140">
        <v>0.68574126699364857</v>
      </c>
      <c r="AB4140" t="str">
        <f>HYPERLINK("Melting_Curves/meltCurve_Q5W0B1_RNF219.pdf", "Melting_Curves/meltCurve_Q5W0B1_RNF219.pdf")</f>
        <v>Melting_Curves/meltCurve_Q5W0B1_RNF219.pdf</v>
      </c>
    </row>
    <row r="4141" spans="1:28" x14ac:dyDescent="0.25">
      <c r="A4141" t="s">
        <v>4145</v>
      </c>
      <c r="B4141">
        <v>0.99999676499088797</v>
      </c>
      <c r="C4141">
        <v>0.99039911934818603</v>
      </c>
      <c r="D4141">
        <v>0.94187347352658901</v>
      </c>
      <c r="E4141">
        <v>0.85166737542077997</v>
      </c>
      <c r="F4141">
        <v>0.352509712938125</v>
      </c>
      <c r="G4141">
        <v>0.18941754207379399</v>
      </c>
      <c r="H4141">
        <v>9.4920681270280194E-2</v>
      </c>
      <c r="I4141">
        <v>9.2179359636275604E-2</v>
      </c>
      <c r="J4141">
        <v>9.6727029848845195E-2</v>
      </c>
      <c r="K4141">
        <v>8.4048529975142394E-2</v>
      </c>
      <c r="L4141">
        <v>1663.0164884256301</v>
      </c>
      <c r="M4141">
        <v>32.066720031078098</v>
      </c>
      <c r="N4141">
        <v>52.2079111874341</v>
      </c>
      <c r="O4141">
        <v>51.660693230700602</v>
      </c>
      <c r="P4141">
        <v>-0.14029543760431601</v>
      </c>
      <c r="Q4141">
        <v>9.59196017818639E-2</v>
      </c>
      <c r="R4141">
        <v>0.99693139659894103</v>
      </c>
      <c r="S4141" t="s">
        <v>11144</v>
      </c>
      <c r="T4141" t="s">
        <v>14004</v>
      </c>
      <c r="U4141" t="s">
        <v>14004</v>
      </c>
      <c r="V4141" t="s">
        <v>14004</v>
      </c>
      <c r="W4141" t="s">
        <v>18092</v>
      </c>
      <c r="X4141">
        <v>16</v>
      </c>
      <c r="Y4141" t="s">
        <v>24909</v>
      </c>
      <c r="Z4141" t="s">
        <v>31851</v>
      </c>
      <c r="AA4141">
        <v>0.45841465749119842</v>
      </c>
      <c r="AB4141" t="str">
        <f>HYPERLINK("Melting_Curves/meltCurve_Q5W0V3_FAM160B1.pdf", "Melting_Curves/meltCurve_Q5W0V3_FAM160B1.pdf")</f>
        <v>Melting_Curves/meltCurve_Q5W0V3_FAM160B1.pdf</v>
      </c>
    </row>
    <row r="4142" spans="1:28" x14ac:dyDescent="0.25">
      <c r="A4142" t="s">
        <v>4146</v>
      </c>
      <c r="B4142">
        <v>0.99999676499088797</v>
      </c>
      <c r="C4142">
        <v>1.05562697540786</v>
      </c>
      <c r="D4142">
        <v>1.12001585329826</v>
      </c>
      <c r="E4142">
        <v>1.0319958917552301</v>
      </c>
      <c r="F4142">
        <v>0.90061809105950896</v>
      </c>
      <c r="G4142">
        <v>0.66387579998489799</v>
      </c>
      <c r="H4142">
        <v>0.34496869711175099</v>
      </c>
      <c r="I4142">
        <v>0.28358150958744699</v>
      </c>
      <c r="J4142">
        <v>0.19248329760976499</v>
      </c>
      <c r="K4142">
        <v>0.178060303021084</v>
      </c>
      <c r="L4142">
        <v>1448.2618697704399</v>
      </c>
      <c r="M4142">
        <v>25.1307144284185</v>
      </c>
      <c r="N4142">
        <v>58.690537292187997</v>
      </c>
      <c r="O4142">
        <v>57.267962892481201</v>
      </c>
      <c r="P4142">
        <v>-8.9674685193515305E-2</v>
      </c>
      <c r="Q4142">
        <v>0.182606774026907</v>
      </c>
      <c r="R4142">
        <v>0.98388169605058295</v>
      </c>
      <c r="S4142" t="s">
        <v>11145</v>
      </c>
      <c r="T4142" t="s">
        <v>14004</v>
      </c>
      <c r="U4142" t="s">
        <v>14004</v>
      </c>
      <c r="V4142" t="s">
        <v>14004</v>
      </c>
      <c r="W4142" t="s">
        <v>18093</v>
      </c>
      <c r="X4142">
        <v>5</v>
      </c>
      <c r="Y4142" t="s">
        <v>21123</v>
      </c>
      <c r="Z4142" t="s">
        <v>31852</v>
      </c>
      <c r="AA4142">
        <v>0.6701035640707097</v>
      </c>
      <c r="AB4142" t="str">
        <f>HYPERLINK("Melting_Curves/meltCurve_Q5W0Z9_3_ZDHHC20.pdf", "Melting_Curves/meltCurve_Q5W0Z9_3_ZDHHC20.pdf")</f>
        <v>Melting_Curves/meltCurve_Q5W0Z9_3_ZDHHC20.pdf</v>
      </c>
    </row>
    <row r="4143" spans="1:28" x14ac:dyDescent="0.25">
      <c r="A4143" t="s">
        <v>4147</v>
      </c>
      <c r="B4143">
        <v>0.99999676499088797</v>
      </c>
      <c r="C4143">
        <v>0.99768673524351903</v>
      </c>
      <c r="D4143">
        <v>1.16570710251038</v>
      </c>
      <c r="E4143">
        <v>1.1053670207711199</v>
      </c>
      <c r="F4143">
        <v>1.23603835232694</v>
      </c>
      <c r="G4143">
        <v>0.61648494497572803</v>
      </c>
      <c r="H4143">
        <v>0.21203189528726701</v>
      </c>
      <c r="I4143">
        <v>0.20163774777555399</v>
      </c>
      <c r="J4143">
        <v>0.12881428956767299</v>
      </c>
      <c r="K4143">
        <v>4.5583899780458299E-2</v>
      </c>
      <c r="L4143">
        <v>14211.486184966399</v>
      </c>
      <c r="M4143">
        <v>250</v>
      </c>
      <c r="N4143">
        <v>56.925227441238398</v>
      </c>
      <c r="O4143">
        <v>56.842306995326297</v>
      </c>
      <c r="P4143">
        <v>-0.93788314856408805</v>
      </c>
      <c r="Q4143">
        <v>0.147016931580254</v>
      </c>
      <c r="R4143">
        <v>0.94627298790871806</v>
      </c>
      <c r="S4143" t="s">
        <v>11146</v>
      </c>
      <c r="T4143" t="s">
        <v>14004</v>
      </c>
      <c r="U4143" t="s">
        <v>14004</v>
      </c>
      <c r="V4143" t="s">
        <v>14004</v>
      </c>
      <c r="W4143" t="s">
        <v>18094</v>
      </c>
      <c r="X4143">
        <v>1</v>
      </c>
      <c r="Y4143" t="s">
        <v>24910</v>
      </c>
      <c r="Z4143" t="s">
        <v>31853</v>
      </c>
      <c r="AA4143">
        <v>0.62607888285639735</v>
      </c>
      <c r="AB4143" t="str">
        <f>HYPERLINK("Melting_Curves/meltCurve_Q5W111_2_SPRYD7.pdf", "Melting_Curves/meltCurve_Q5W111_2_SPRYD7.pdf")</f>
        <v>Melting_Curves/meltCurve_Q5W111_2_SPRYD7.pdf</v>
      </c>
    </row>
    <row r="4144" spans="1:28" x14ac:dyDescent="0.25">
      <c r="A4144" t="s">
        <v>4148</v>
      </c>
      <c r="B4144">
        <v>0.99999676499088797</v>
      </c>
      <c r="C4144">
        <v>1.01836653436097</v>
      </c>
      <c r="D4144">
        <v>1.0159419379337</v>
      </c>
      <c r="E4144">
        <v>0.95317448809410499</v>
      </c>
      <c r="F4144">
        <v>0.79472638858761302</v>
      </c>
      <c r="G4144">
        <v>0.75775112109189102</v>
      </c>
      <c r="H4144">
        <v>0.51645639528530396</v>
      </c>
      <c r="I4144">
        <v>0.53531025165789403</v>
      </c>
      <c r="J4144">
        <v>0.47609353304360602</v>
      </c>
      <c r="K4144">
        <v>0.33690478907920701</v>
      </c>
      <c r="L4144">
        <v>708.56650145127298</v>
      </c>
      <c r="M4144">
        <v>12.0690744857277</v>
      </c>
      <c r="N4144">
        <v>63.543614851337999</v>
      </c>
      <c r="O4144">
        <v>57.167153204379403</v>
      </c>
      <c r="P4144">
        <v>-3.6934330108504297E-2</v>
      </c>
      <c r="Q4144">
        <v>0.30038265882473097</v>
      </c>
      <c r="R4144">
        <v>0.97026752699767005</v>
      </c>
      <c r="S4144" t="s">
        <v>11147</v>
      </c>
      <c r="T4144" t="s">
        <v>14004</v>
      </c>
      <c r="U4144" t="s">
        <v>14004</v>
      </c>
      <c r="V4144" t="s">
        <v>14004</v>
      </c>
      <c r="W4144" t="s">
        <v>18095</v>
      </c>
      <c r="X4144">
        <v>6</v>
      </c>
      <c r="Y4144" t="s">
        <v>24911</v>
      </c>
      <c r="Z4144" t="s">
        <v>31854</v>
      </c>
      <c r="AA4144">
        <v>0.74331923867224714</v>
      </c>
      <c r="AB4144" t="str">
        <f>HYPERLINK("Melting_Curves/meltCurve_Q5W145_NDUFB8.pdf", "Melting_Curves/meltCurve_Q5W145_NDUFB8.pdf")</f>
        <v>Melting_Curves/meltCurve_Q5W145_NDUFB8.pdf</v>
      </c>
    </row>
    <row r="4145" spans="1:28" x14ac:dyDescent="0.25">
      <c r="A4145" t="s">
        <v>4149</v>
      </c>
      <c r="B4145">
        <v>0.99999676499088797</v>
      </c>
      <c r="C4145">
        <v>1.08865874293679</v>
      </c>
      <c r="D4145">
        <v>1.0137649419961801</v>
      </c>
      <c r="E4145">
        <v>0.98340720324865205</v>
      </c>
      <c r="F4145">
        <v>0.78297805688462896</v>
      </c>
      <c r="G4145">
        <v>0.49879748990598299</v>
      </c>
      <c r="H4145">
        <v>0.34175087025504902</v>
      </c>
      <c r="I4145">
        <v>0.33809312598536601</v>
      </c>
      <c r="J4145">
        <v>0.32974432804673198</v>
      </c>
      <c r="K4145">
        <v>0.31733868482796201</v>
      </c>
      <c r="L4145">
        <v>1625.1418399158299</v>
      </c>
      <c r="M4145">
        <v>29.7281010344397</v>
      </c>
      <c r="N4145">
        <v>56.633737266378802</v>
      </c>
      <c r="O4145">
        <v>54.421279211988903</v>
      </c>
      <c r="P4145">
        <v>-9.2600542244653E-2</v>
      </c>
      <c r="Q4145">
        <v>0.32193370014158201</v>
      </c>
      <c r="R4145">
        <v>0.99118751740625799</v>
      </c>
      <c r="S4145" t="s">
        <v>11148</v>
      </c>
      <c r="T4145" t="s">
        <v>14004</v>
      </c>
      <c r="U4145" t="s">
        <v>14004</v>
      </c>
      <c r="V4145" t="s">
        <v>14004</v>
      </c>
      <c r="W4145" t="s">
        <v>18096</v>
      </c>
      <c r="X4145">
        <v>3</v>
      </c>
      <c r="Y4145" t="s">
        <v>24912</v>
      </c>
      <c r="Z4145" t="s">
        <v>31855</v>
      </c>
      <c r="AA4145">
        <v>0.65800041517035956</v>
      </c>
      <c r="AB4145" t="str">
        <f>HYPERLINK("Melting_Curves/meltCurve_Q5XKP0_QIL1.pdf", "Melting_Curves/meltCurve_Q5XKP0_QIL1.pdf")</f>
        <v>Melting_Curves/meltCurve_Q5XKP0_QIL1.pdf</v>
      </c>
    </row>
    <row r="4146" spans="1:28" x14ac:dyDescent="0.25">
      <c r="A4146" t="s">
        <v>4150</v>
      </c>
      <c r="B4146">
        <v>0.99999676499088797</v>
      </c>
      <c r="C4146">
        <v>0.93222249191050299</v>
      </c>
      <c r="D4146">
        <v>0.71723391869074904</v>
      </c>
      <c r="E4146">
        <v>0.47676211994627199</v>
      </c>
      <c r="F4146">
        <v>0.371224727338334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790.31508347879105</v>
      </c>
      <c r="M4146">
        <v>15.992116135713401</v>
      </c>
      <c r="N4146">
        <v>49.419041341792699</v>
      </c>
      <c r="O4146">
        <v>48.665673107815998</v>
      </c>
      <c r="P4146">
        <v>-8.2159417316905098E-2</v>
      </c>
      <c r="Q4146">
        <v>0</v>
      </c>
      <c r="R4146">
        <v>0.97690020214486795</v>
      </c>
      <c r="S4146" t="s">
        <v>11149</v>
      </c>
      <c r="T4146" t="s">
        <v>14004</v>
      </c>
      <c r="U4146" t="s">
        <v>14004</v>
      </c>
      <c r="V4146" t="s">
        <v>14004</v>
      </c>
      <c r="W4146" t="s">
        <v>18097</v>
      </c>
      <c r="X4146">
        <v>3</v>
      </c>
      <c r="Y4146" t="s">
        <v>24913</v>
      </c>
      <c r="Z4146" t="s">
        <v>31856</v>
      </c>
      <c r="AA4146">
        <v>0.33554967651638151</v>
      </c>
      <c r="AB4146" t="str">
        <f>HYPERLINK("Melting_Curves/meltCurve_Q5XPI4_RNF123.pdf", "Melting_Curves/meltCurve_Q5XPI4_RNF123.pdf")</f>
        <v>Melting_Curves/meltCurve_Q5XPI4_RNF123.pdf</v>
      </c>
    </row>
    <row r="4147" spans="1:28" x14ac:dyDescent="0.25">
      <c r="A4147" t="s">
        <v>4151</v>
      </c>
      <c r="B4147">
        <v>0.99999676499088797</v>
      </c>
      <c r="C4147">
        <v>1.0064349587446</v>
      </c>
      <c r="D4147">
        <v>0.87875187964752599</v>
      </c>
      <c r="E4147">
        <v>0.97053297742797295</v>
      </c>
      <c r="F4147">
        <v>0.85282385546096096</v>
      </c>
      <c r="G4147">
        <v>0.58032841466122098</v>
      </c>
      <c r="H4147">
        <v>0.209300443844782</v>
      </c>
      <c r="I4147">
        <v>0.10379343496629</v>
      </c>
      <c r="J4147">
        <v>6.5596719300509199E-2</v>
      </c>
      <c r="K4147">
        <v>5.38728939504904E-2</v>
      </c>
      <c r="L4147">
        <v>1352.9014778266501</v>
      </c>
      <c r="M4147">
        <v>23.63170826871</v>
      </c>
      <c r="N4147">
        <v>57.416054448533302</v>
      </c>
      <c r="O4147">
        <v>56.844190150536299</v>
      </c>
      <c r="P4147">
        <v>-0.100488928158337</v>
      </c>
      <c r="Q4147">
        <v>3.3143834847530099E-2</v>
      </c>
      <c r="R4147">
        <v>0.990555467525711</v>
      </c>
      <c r="S4147" t="s">
        <v>11150</v>
      </c>
      <c r="T4147" t="s">
        <v>14004</v>
      </c>
      <c r="U4147" t="s">
        <v>14004</v>
      </c>
      <c r="V4147" t="s">
        <v>14004</v>
      </c>
      <c r="W4147" t="s">
        <v>18098</v>
      </c>
      <c r="X4147">
        <v>2</v>
      </c>
      <c r="Y4147" t="s">
        <v>24914</v>
      </c>
      <c r="Z4147" t="s">
        <v>31857</v>
      </c>
      <c r="AA4147">
        <v>0.59846245381401464</v>
      </c>
      <c r="AB4147" t="str">
        <f>HYPERLINK("Melting_Curves/meltCurve_Q5XUX1_3_FBXW9.pdf", "Melting_Curves/meltCurve_Q5XUX1_3_FBXW9.pdf")</f>
        <v>Melting_Curves/meltCurve_Q5XUX1_3_FBXW9.pdf</v>
      </c>
    </row>
    <row r="4148" spans="1:28" x14ac:dyDescent="0.25">
      <c r="A4148" t="s">
        <v>4152</v>
      </c>
      <c r="B4148">
        <v>0.99999676499088797</v>
      </c>
      <c r="C4148">
        <v>1.1144725061535301</v>
      </c>
      <c r="D4148">
        <v>0.78524838316669299</v>
      </c>
      <c r="E4148">
        <v>0.37278219312633798</v>
      </c>
      <c r="F4148">
        <v>0.27659176654142498</v>
      </c>
      <c r="G4148">
        <v>0.20562913974658401</v>
      </c>
      <c r="H4148">
        <v>0.121118737606769</v>
      </c>
      <c r="I4148">
        <v>0.118472324454426</v>
      </c>
      <c r="J4148">
        <v>0.12874626511516099</v>
      </c>
      <c r="K4148">
        <v>0.123879252539028</v>
      </c>
      <c r="L4148">
        <v>1358.70728565422</v>
      </c>
      <c r="M4148">
        <v>28.279511551247602</v>
      </c>
      <c r="N4148">
        <v>48.647404051437903</v>
      </c>
      <c r="O4148">
        <v>47.807318831629303</v>
      </c>
      <c r="P4148">
        <v>-0.12605766875552599</v>
      </c>
      <c r="Q4148">
        <v>0.147590754138852</v>
      </c>
      <c r="R4148">
        <v>0.97646082445496096</v>
      </c>
      <c r="S4148" t="s">
        <v>11151</v>
      </c>
      <c r="T4148" t="s">
        <v>14004</v>
      </c>
      <c r="U4148" t="s">
        <v>14004</v>
      </c>
      <c r="V4148" t="s">
        <v>14004</v>
      </c>
      <c r="W4148" t="s">
        <v>18099</v>
      </c>
      <c r="X4148">
        <v>23</v>
      </c>
      <c r="Y4148" t="s">
        <v>24915</v>
      </c>
      <c r="Z4148" t="s">
        <v>31858</v>
      </c>
      <c r="AA4148">
        <v>0.38200448230439049</v>
      </c>
      <c r="AB4148" t="str">
        <f>HYPERLINK("Melting_Curves/meltCurve_Q63HN8_RNF213.pdf", "Melting_Curves/meltCurve_Q63HN8_RNF213.pdf")</f>
        <v>Melting_Curves/meltCurve_Q63HN8_RNF213.pdf</v>
      </c>
    </row>
    <row r="4149" spans="1:28" x14ac:dyDescent="0.25">
      <c r="A4149" t="s">
        <v>4153</v>
      </c>
      <c r="B4149">
        <v>0.99999676499088797</v>
      </c>
      <c r="C4149">
        <v>1.0459798926143</v>
      </c>
      <c r="D4149">
        <v>1.1262652353234299</v>
      </c>
      <c r="E4149">
        <v>1.1831359182700201</v>
      </c>
      <c r="F4149">
        <v>0.98557571299278701</v>
      </c>
      <c r="G4149">
        <v>0.89686128321260605</v>
      </c>
      <c r="H4149">
        <v>0.63542360291850697</v>
      </c>
      <c r="I4149">
        <v>0.80298329530351997</v>
      </c>
      <c r="J4149">
        <v>0.64157480092506702</v>
      </c>
      <c r="K4149">
        <v>0.69880520748763697</v>
      </c>
      <c r="L4149">
        <v>14238.2267789012</v>
      </c>
      <c r="M4149">
        <v>250</v>
      </c>
      <c r="O4149">
        <v>56.949262536000603</v>
      </c>
      <c r="P4149">
        <v>-0.33506061538371301</v>
      </c>
      <c r="Q4149">
        <v>0.69469672129629301</v>
      </c>
      <c r="R4149">
        <v>0.80406151800583903</v>
      </c>
      <c r="S4149" t="s">
        <v>11152</v>
      </c>
      <c r="T4149" t="s">
        <v>14004</v>
      </c>
      <c r="U4149" t="s">
        <v>14004</v>
      </c>
      <c r="V4149" t="s">
        <v>14004</v>
      </c>
      <c r="W4149" t="s">
        <v>18100</v>
      </c>
      <c r="X4149">
        <v>5</v>
      </c>
      <c r="Y4149" t="s">
        <v>24916</v>
      </c>
      <c r="Z4149" t="s">
        <v>31859</v>
      </c>
      <c r="AA4149">
        <v>0.86725317433823834</v>
      </c>
      <c r="AB4149" t="str">
        <f>HYPERLINK("Melting_Curves/meltCurve_Q63HQ0_AP1AR.pdf", "Melting_Curves/meltCurve_Q63HQ0_AP1AR.pdf")</f>
        <v>Melting_Curves/meltCurve_Q63HQ0_AP1AR.pdf</v>
      </c>
    </row>
    <row r="4150" spans="1:28" x14ac:dyDescent="0.25">
      <c r="A4150" t="s">
        <v>4154</v>
      </c>
      <c r="B4150">
        <v>0.99999676499088797</v>
      </c>
      <c r="C4150">
        <v>0.93333994528209496</v>
      </c>
      <c r="D4150">
        <v>0.89553853998149502</v>
      </c>
      <c r="E4150">
        <v>0.59762731755936205</v>
      </c>
      <c r="F4150">
        <v>0.379804465159302</v>
      </c>
      <c r="G4150">
        <v>0.34538602630565102</v>
      </c>
      <c r="H4150">
        <v>0.375856332113849</v>
      </c>
      <c r="I4150">
        <v>0.51807441407485599</v>
      </c>
      <c r="J4150">
        <v>0.499897088580117</v>
      </c>
      <c r="K4150">
        <v>0.63568679446324605</v>
      </c>
      <c r="L4150">
        <v>1783.17116673288</v>
      </c>
      <c r="M4150">
        <v>37.273763372593699</v>
      </c>
      <c r="N4150">
        <v>51.3187689185701</v>
      </c>
      <c r="O4150">
        <v>47.702770766892499</v>
      </c>
      <c r="P4150">
        <v>-0.10547750539423</v>
      </c>
      <c r="Q4150">
        <v>0.46004320885636402</v>
      </c>
      <c r="R4150">
        <v>0.87123750776250097</v>
      </c>
      <c r="S4150" t="s">
        <v>11153</v>
      </c>
      <c r="T4150" t="s">
        <v>14004</v>
      </c>
      <c r="U4150" t="s">
        <v>14004</v>
      </c>
      <c r="V4150" t="s">
        <v>14004</v>
      </c>
      <c r="W4150" t="s">
        <v>18101</v>
      </c>
      <c r="X4150">
        <v>22</v>
      </c>
      <c r="Y4150" t="s">
        <v>24917</v>
      </c>
      <c r="Z4150" t="s">
        <v>31860</v>
      </c>
      <c r="AA4150">
        <v>0.60321883302259549</v>
      </c>
      <c r="AB4150" t="str">
        <f>HYPERLINK("Melting_Curves/meltCurve_Q641Q2_FAM21A.pdf", "Melting_Curves/meltCurve_Q641Q2_FAM21A.pdf")</f>
        <v>Melting_Curves/meltCurve_Q641Q2_FAM21A.pdf</v>
      </c>
    </row>
    <row r="4151" spans="1:28" x14ac:dyDescent="0.25">
      <c r="A4151" t="s">
        <v>4155</v>
      </c>
      <c r="B4151">
        <v>0.99999676499088797</v>
      </c>
      <c r="C4151">
        <v>0.92099492996017396</v>
      </c>
      <c r="D4151">
        <v>0.46423342321757599</v>
      </c>
      <c r="E4151">
        <v>0.220844511982594</v>
      </c>
      <c r="F4151">
        <v>0.13340922988259299</v>
      </c>
      <c r="G4151">
        <v>0.111136568655089</v>
      </c>
      <c r="H4151">
        <v>3.8045487699964603E-2</v>
      </c>
      <c r="I4151">
        <v>5.5769690478026601E-2</v>
      </c>
      <c r="J4151">
        <v>3.7092651545626402E-2</v>
      </c>
      <c r="K4151">
        <v>3.3782438904394002E-2</v>
      </c>
      <c r="L4151">
        <v>1209.8354490266599</v>
      </c>
      <c r="M4151">
        <v>26.383165774857101</v>
      </c>
      <c r="N4151">
        <v>46.103363408401499</v>
      </c>
      <c r="O4151">
        <v>45.595311384017201</v>
      </c>
      <c r="P4151">
        <v>-0.135126037959025</v>
      </c>
      <c r="Q4151">
        <v>6.5912194914118205E-2</v>
      </c>
      <c r="R4151">
        <v>0.98902981604635598</v>
      </c>
      <c r="S4151" t="s">
        <v>11154</v>
      </c>
      <c r="T4151" t="s">
        <v>14004</v>
      </c>
      <c r="U4151" t="s">
        <v>14004</v>
      </c>
      <c r="V4151" t="s">
        <v>14004</v>
      </c>
      <c r="W4151" t="s">
        <v>18102</v>
      </c>
      <c r="X4151">
        <v>2</v>
      </c>
      <c r="Y4151" t="s">
        <v>24918</v>
      </c>
      <c r="Z4151" t="s">
        <v>31861</v>
      </c>
      <c r="AA4151">
        <v>0.25593374616498088</v>
      </c>
      <c r="AB4151" t="str">
        <f>HYPERLINK("Melting_Curves/meltCurve_Q643R3_LPCAT4.pdf", "Melting_Curves/meltCurve_Q643R3_LPCAT4.pdf")</f>
        <v>Melting_Curves/meltCurve_Q643R3_LPCAT4.pdf</v>
      </c>
    </row>
    <row r="4152" spans="1:28" x14ac:dyDescent="0.25">
      <c r="A4152" t="s">
        <v>4156</v>
      </c>
      <c r="B4152">
        <v>0.99999676499088797</v>
      </c>
      <c r="C4152">
        <v>1.1414323871477301</v>
      </c>
      <c r="D4152">
        <v>1.0893183541882501</v>
      </c>
      <c r="E4152">
        <v>1.1058088857008199</v>
      </c>
      <c r="F4152">
        <v>0.69185766693691897</v>
      </c>
      <c r="G4152">
        <v>0.269687770109869</v>
      </c>
      <c r="H4152">
        <v>0.113452107789848</v>
      </c>
      <c r="I4152">
        <v>9.2807093088440304E-2</v>
      </c>
      <c r="J4152">
        <v>9.2534762145257896E-2</v>
      </c>
      <c r="K4152">
        <v>7.1333177167525796E-2</v>
      </c>
      <c r="L4152">
        <v>2055.5443707673298</v>
      </c>
      <c r="M4152">
        <v>37.799256586503198</v>
      </c>
      <c r="N4152">
        <v>54.6721922584317</v>
      </c>
      <c r="O4152">
        <v>54.2290131821076</v>
      </c>
      <c r="P4152">
        <v>-0.158347069730738</v>
      </c>
      <c r="Q4152">
        <v>9.1306662440144196E-2</v>
      </c>
      <c r="R4152">
        <v>0.97741283058756601</v>
      </c>
      <c r="S4152" t="s">
        <v>11155</v>
      </c>
      <c r="T4152" t="s">
        <v>14004</v>
      </c>
      <c r="U4152" t="s">
        <v>14004</v>
      </c>
      <c r="V4152" t="s">
        <v>14004</v>
      </c>
      <c r="W4152" t="s">
        <v>18103</v>
      </c>
      <c r="X4152">
        <v>9</v>
      </c>
      <c r="Y4152" t="s">
        <v>24919</v>
      </c>
      <c r="Z4152" t="s">
        <v>31862</v>
      </c>
      <c r="AA4152">
        <v>0.53070372246499908</v>
      </c>
      <c r="AB4152" t="str">
        <f>HYPERLINK("Melting_Curves/meltCurve_Q658Y4_FAM91A1.pdf", "Melting_Curves/meltCurve_Q658Y4_FAM91A1.pdf")</f>
        <v>Melting_Curves/meltCurve_Q658Y4_FAM91A1.pdf</v>
      </c>
    </row>
    <row r="4153" spans="1:28" x14ac:dyDescent="0.25">
      <c r="A4153" t="s">
        <v>4157</v>
      </c>
      <c r="B4153">
        <v>0.99999676499088797</v>
      </c>
      <c r="C4153">
        <v>0.77625134796995499</v>
      </c>
      <c r="D4153">
        <v>0.818845783802711</v>
      </c>
      <c r="E4153">
        <v>0.63065450752065899</v>
      </c>
      <c r="F4153">
        <v>0.61409746322139103</v>
      </c>
      <c r="G4153">
        <v>0.42627097913221301</v>
      </c>
      <c r="H4153">
        <v>0.417814404968676</v>
      </c>
      <c r="I4153">
        <v>0.23285192859762299</v>
      </c>
      <c r="J4153">
        <v>0.298552320168611</v>
      </c>
      <c r="K4153">
        <v>0.348278299850935</v>
      </c>
      <c r="L4153">
        <v>429.09081283450797</v>
      </c>
      <c r="M4153">
        <v>8.3615073518316496</v>
      </c>
      <c r="N4153">
        <v>54.885237617724798</v>
      </c>
      <c r="O4153">
        <v>48.633829549119199</v>
      </c>
      <c r="P4153">
        <v>-3.4003075335278701E-2</v>
      </c>
      <c r="Q4153">
        <v>0.20965623401985301</v>
      </c>
      <c r="R4153">
        <v>0.93472427696227001</v>
      </c>
      <c r="S4153" t="s">
        <v>11156</v>
      </c>
      <c r="T4153" t="s">
        <v>14004</v>
      </c>
      <c r="U4153" t="s">
        <v>14004</v>
      </c>
      <c r="V4153" t="s">
        <v>14004</v>
      </c>
      <c r="W4153" t="s">
        <v>18104</v>
      </c>
      <c r="X4153">
        <v>3</v>
      </c>
      <c r="Y4153" t="s">
        <v>24920</v>
      </c>
      <c r="Z4153" t="s">
        <v>31863</v>
      </c>
      <c r="AA4153">
        <v>0.54670677578261706</v>
      </c>
      <c r="AB4153" t="str">
        <f>HYPERLINK("Melting_Curves/meltCurve_Q659C4_LARP1B.pdf", "Melting_Curves/meltCurve_Q659C4_LARP1B.pdf")</f>
        <v>Melting_Curves/meltCurve_Q659C4_LARP1B.pdf</v>
      </c>
    </row>
    <row r="4154" spans="1:28" x14ac:dyDescent="0.25">
      <c r="A4154" t="s">
        <v>4158</v>
      </c>
      <c r="B4154">
        <v>0.99999676499088797</v>
      </c>
      <c r="C4154">
        <v>0.88631872392274802</v>
      </c>
      <c r="D4154">
        <v>0.75042397403056504</v>
      </c>
      <c r="E4154">
        <v>0.47238358019077498</v>
      </c>
      <c r="F4154">
        <v>0.31439574802265002</v>
      </c>
      <c r="G4154">
        <v>0.24407739960682501</v>
      </c>
      <c r="H4154">
        <v>0.113193117889218</v>
      </c>
      <c r="I4154">
        <v>0.107940364069777</v>
      </c>
      <c r="J4154">
        <v>0.125643420281048</v>
      </c>
      <c r="K4154">
        <v>0.10029872022669099</v>
      </c>
      <c r="L4154">
        <v>710.92598833238196</v>
      </c>
      <c r="M4154">
        <v>14.544663250457001</v>
      </c>
      <c r="N4154">
        <v>49.590251159593599</v>
      </c>
      <c r="O4154">
        <v>47.982699663344697</v>
      </c>
      <c r="P4154">
        <v>-6.8652714626598096E-2</v>
      </c>
      <c r="Q4154">
        <v>9.41645129659575E-2</v>
      </c>
      <c r="R4154">
        <v>0.99493653180508801</v>
      </c>
      <c r="S4154" t="s">
        <v>11157</v>
      </c>
      <c r="T4154" t="s">
        <v>14004</v>
      </c>
      <c r="U4154" t="s">
        <v>14004</v>
      </c>
      <c r="V4154" t="s">
        <v>14004</v>
      </c>
      <c r="W4154" t="s">
        <v>18105</v>
      </c>
      <c r="X4154">
        <v>6</v>
      </c>
      <c r="Y4154" t="s">
        <v>24921</v>
      </c>
      <c r="Z4154" t="s">
        <v>31864</v>
      </c>
      <c r="AA4154">
        <v>0.38605614880722938</v>
      </c>
      <c r="AB4154" t="str">
        <f>HYPERLINK("Melting_Curves/meltCurve_Q66GS9_CEP135.pdf", "Melting_Curves/meltCurve_Q66GS9_CEP135.pdf")</f>
        <v>Melting_Curves/meltCurve_Q66GS9_CEP135.pdf</v>
      </c>
    </row>
    <row r="4155" spans="1:28" x14ac:dyDescent="0.25">
      <c r="A4155" t="s">
        <v>4159</v>
      </c>
      <c r="B4155">
        <v>0.99999676499088797</v>
      </c>
      <c r="C4155">
        <v>1.0045122503236901</v>
      </c>
      <c r="D4155">
        <v>0.87990603646461296</v>
      </c>
      <c r="E4155">
        <v>0.43482492119264798</v>
      </c>
      <c r="F4155">
        <v>0.18160094822004499</v>
      </c>
      <c r="G4155">
        <v>0.11571981939352199</v>
      </c>
      <c r="H4155">
        <v>5.3769553796004801E-2</v>
      </c>
      <c r="I4155">
        <v>6.9850451975955394E-2</v>
      </c>
      <c r="J4155">
        <v>5.4450582902878401E-2</v>
      </c>
      <c r="K4155">
        <v>5.3205989128711301E-2</v>
      </c>
      <c r="L4155">
        <v>1353.8903215831499</v>
      </c>
      <c r="M4155">
        <v>27.6398536069029</v>
      </c>
      <c r="N4155">
        <v>49.235735507273397</v>
      </c>
      <c r="O4155">
        <v>48.729012781801799</v>
      </c>
      <c r="P4155">
        <v>-0.13243584943874201</v>
      </c>
      <c r="Q4155">
        <v>6.6071760791610298E-2</v>
      </c>
      <c r="R4155">
        <v>0.99808572489774505</v>
      </c>
      <c r="S4155" t="s">
        <v>11158</v>
      </c>
      <c r="T4155" t="s">
        <v>14004</v>
      </c>
      <c r="U4155" t="s">
        <v>14004</v>
      </c>
      <c r="V4155" t="s">
        <v>14004</v>
      </c>
      <c r="W4155" t="s">
        <v>18106</v>
      </c>
      <c r="X4155">
        <v>13</v>
      </c>
      <c r="Y4155" t="s">
        <v>24922</v>
      </c>
      <c r="Z4155" t="s">
        <v>31865</v>
      </c>
      <c r="AA4155">
        <v>0.35245853513162018</v>
      </c>
      <c r="AB4155" t="str">
        <f>HYPERLINK("Melting_Curves/meltCurve_Q66K14_2_TBC1D9B.pdf", "Melting_Curves/meltCurve_Q66K14_2_TBC1D9B.pdf")</f>
        <v>Melting_Curves/meltCurve_Q66K14_2_TBC1D9B.pdf</v>
      </c>
    </row>
    <row r="4156" spans="1:28" x14ac:dyDescent="0.25">
      <c r="A4156" t="s">
        <v>4160</v>
      </c>
      <c r="B4156">
        <v>0.99999676499088797</v>
      </c>
      <c r="C4156">
        <v>0.99150188768751102</v>
      </c>
      <c r="D4156">
        <v>0.85742293132863301</v>
      </c>
      <c r="E4156">
        <v>0.69094225419974697</v>
      </c>
      <c r="F4156">
        <v>0.36198114434566597</v>
      </c>
      <c r="G4156">
        <v>0.153864217911752</v>
      </c>
      <c r="H4156">
        <v>7.8200263293908501E-2</v>
      </c>
      <c r="I4156">
        <v>9.0741548732668306E-2</v>
      </c>
      <c r="J4156">
        <v>6.9700009082289502E-2</v>
      </c>
      <c r="K4156">
        <v>7.5737652180027704E-2</v>
      </c>
      <c r="L4156">
        <v>999.56567623283502</v>
      </c>
      <c r="M4156">
        <v>19.552906163612999</v>
      </c>
      <c r="N4156">
        <v>51.445700985716996</v>
      </c>
      <c r="O4156">
        <v>50.595366276472802</v>
      </c>
      <c r="P4156">
        <v>-9.1010411060239604E-2</v>
      </c>
      <c r="Q4156">
        <v>5.8034409635267799E-2</v>
      </c>
      <c r="R4156">
        <v>0.99711392173991797</v>
      </c>
      <c r="S4156" t="s">
        <v>11159</v>
      </c>
      <c r="T4156" t="s">
        <v>14004</v>
      </c>
      <c r="U4156" t="s">
        <v>14004</v>
      </c>
      <c r="V4156" t="s">
        <v>14004</v>
      </c>
      <c r="W4156" t="s">
        <v>18107</v>
      </c>
      <c r="X4156">
        <v>5</v>
      </c>
      <c r="Y4156" t="s">
        <v>24923</v>
      </c>
      <c r="Z4156" t="s">
        <v>31866</v>
      </c>
      <c r="AA4156">
        <v>0.4208555827081305</v>
      </c>
      <c r="AB4156" t="str">
        <f>HYPERLINK("Melting_Curves/meltCurve_Q66K64_DCAF15.pdf", "Melting_Curves/meltCurve_Q66K64_DCAF15.pdf")</f>
        <v>Melting_Curves/meltCurve_Q66K64_DCAF15.pdf</v>
      </c>
    </row>
    <row r="4157" spans="1:28" x14ac:dyDescent="0.25">
      <c r="A4157" t="s">
        <v>4161</v>
      </c>
      <c r="B4157">
        <v>0.99999676499088797</v>
      </c>
      <c r="C4157">
        <v>0.96252927359319296</v>
      </c>
      <c r="D4157">
        <v>0.97141040430030701</v>
      </c>
      <c r="E4157">
        <v>1.1377922306427399</v>
      </c>
      <c r="F4157">
        <v>0.60188821113518998</v>
      </c>
      <c r="G4157">
        <v>0.20646554347075699</v>
      </c>
      <c r="H4157">
        <v>0.11207533042326</v>
      </c>
      <c r="I4157">
        <v>0.115775083065828</v>
      </c>
      <c r="J4157">
        <v>0.12998729385719399</v>
      </c>
      <c r="K4157">
        <v>8.1162816776123595E-2</v>
      </c>
      <c r="L4157">
        <v>3291.7711296060302</v>
      </c>
      <c r="M4157">
        <v>61.641171803608302</v>
      </c>
      <c r="N4157">
        <v>53.649524328725903</v>
      </c>
      <c r="O4157">
        <v>53.346031794911902</v>
      </c>
      <c r="P4157">
        <v>-0.253143269186269</v>
      </c>
      <c r="Q4157">
        <v>0.123690661250506</v>
      </c>
      <c r="R4157">
        <v>0.98360988625455203</v>
      </c>
      <c r="S4157" t="s">
        <v>11160</v>
      </c>
      <c r="T4157" t="s">
        <v>14004</v>
      </c>
      <c r="U4157" t="s">
        <v>14004</v>
      </c>
      <c r="V4157" t="s">
        <v>14004</v>
      </c>
      <c r="W4157" t="s">
        <v>18108</v>
      </c>
      <c r="X4157">
        <v>8</v>
      </c>
      <c r="Y4157" t="s">
        <v>24924</v>
      </c>
      <c r="Z4157" t="s">
        <v>31867</v>
      </c>
      <c r="AA4157">
        <v>0.51652719477470133</v>
      </c>
      <c r="AB4157" t="str">
        <f>HYPERLINK("Melting_Curves/meltCurve_Q66LE6_PPP2R2D.pdf", "Melting_Curves/meltCurve_Q66LE6_PPP2R2D.pdf")</f>
        <v>Melting_Curves/meltCurve_Q66LE6_PPP2R2D.pdf</v>
      </c>
    </row>
    <row r="4158" spans="1:28" x14ac:dyDescent="0.25">
      <c r="A4158" t="s">
        <v>4162</v>
      </c>
      <c r="B4158">
        <v>0.99999676499088797</v>
      </c>
      <c r="C4158">
        <v>1.1838533404011</v>
      </c>
      <c r="D4158">
        <v>1.0740697121707601</v>
      </c>
      <c r="E4158">
        <v>1.0611694889780501</v>
      </c>
      <c r="F4158">
        <v>0.983219097494481</v>
      </c>
      <c r="G4158">
        <v>0.92878672121996697</v>
      </c>
      <c r="H4158">
        <v>0.60898416222021201</v>
      </c>
      <c r="I4158">
        <v>0.70807325596161497</v>
      </c>
      <c r="J4158">
        <v>0.62842114484183698</v>
      </c>
      <c r="K4158">
        <v>0.82471202621529005</v>
      </c>
      <c r="L4158">
        <v>14268.1124727939</v>
      </c>
      <c r="M4158">
        <v>250</v>
      </c>
      <c r="O4158">
        <v>57.068819337582703</v>
      </c>
      <c r="P4158">
        <v>-0.33671241084444298</v>
      </c>
      <c r="Q4158">
        <v>0.69254764070644703</v>
      </c>
      <c r="R4158">
        <v>0.79717352142970799</v>
      </c>
      <c r="S4158" t="s">
        <v>11161</v>
      </c>
      <c r="T4158" t="s">
        <v>14004</v>
      </c>
      <c r="U4158" t="s">
        <v>14004</v>
      </c>
      <c r="V4158" t="s">
        <v>14004</v>
      </c>
      <c r="W4158" t="s">
        <v>18109</v>
      </c>
      <c r="X4158">
        <v>10</v>
      </c>
      <c r="Y4158" t="s">
        <v>24925</v>
      </c>
      <c r="Z4158" t="s">
        <v>31868</v>
      </c>
      <c r="AA4158">
        <v>0.86754393545464492</v>
      </c>
      <c r="AB4158" t="str">
        <f>HYPERLINK("Melting_Curves/meltCurve_Q66PJ3_ARL6IP4.pdf", "Melting_Curves/meltCurve_Q66PJ3_ARL6IP4.pdf")</f>
        <v>Melting_Curves/meltCurve_Q66PJ3_ARL6IP4.pdf</v>
      </c>
    </row>
    <row r="4159" spans="1:28" x14ac:dyDescent="0.25">
      <c r="A4159" t="s">
        <v>4163</v>
      </c>
      <c r="B4159">
        <v>0.99999676499088797</v>
      </c>
      <c r="C4159">
        <v>1.01208954819571</v>
      </c>
      <c r="D4159">
        <v>1.0341572870438001</v>
      </c>
      <c r="E4159">
        <v>1.00489508508063</v>
      </c>
      <c r="F4159">
        <v>0.431427266156101</v>
      </c>
      <c r="G4159">
        <v>0.28407136117868698</v>
      </c>
      <c r="H4159">
        <v>0.140150118177501</v>
      </c>
      <c r="I4159">
        <v>0.106869274453501</v>
      </c>
      <c r="J4159">
        <v>0.110799501942973</v>
      </c>
      <c r="K4159">
        <v>8.7994008616282093E-2</v>
      </c>
      <c r="L4159">
        <v>2349.36870094394</v>
      </c>
      <c r="M4159">
        <v>44.652223519439197</v>
      </c>
      <c r="N4159">
        <v>52.988894797911698</v>
      </c>
      <c r="O4159">
        <v>52.509615586180203</v>
      </c>
      <c r="P4159">
        <v>-0.18385193502699201</v>
      </c>
      <c r="Q4159">
        <v>0.13518469452547699</v>
      </c>
      <c r="R4159">
        <v>0.986263361287959</v>
      </c>
      <c r="S4159" t="s">
        <v>11162</v>
      </c>
      <c r="T4159" t="s">
        <v>14004</v>
      </c>
      <c r="U4159" t="s">
        <v>14004</v>
      </c>
      <c r="V4159" t="s">
        <v>14004</v>
      </c>
      <c r="W4159" t="s">
        <v>18110</v>
      </c>
      <c r="X4159">
        <v>9</v>
      </c>
      <c r="Y4159" t="s">
        <v>24926</v>
      </c>
      <c r="Z4159" t="s">
        <v>31869</v>
      </c>
      <c r="AA4159">
        <v>0.50135366383224267</v>
      </c>
      <c r="AB4159" t="str">
        <f>HYPERLINK("Melting_Curves/meltCurve_Q66S35_PFKFB4.pdf", "Melting_Curves/meltCurve_Q66S35_PFKFB4.pdf")</f>
        <v>Melting_Curves/meltCurve_Q66S35_PFKFB4.pdf</v>
      </c>
    </row>
    <row r="4160" spans="1:28" x14ac:dyDescent="0.25">
      <c r="A4160" t="s">
        <v>4164</v>
      </c>
      <c r="B4160">
        <v>0.99999676499088797</v>
      </c>
      <c r="C4160">
        <v>0.94898804443407803</v>
      </c>
      <c r="D4160">
        <v>1.0806453540312999</v>
      </c>
      <c r="E4160">
        <v>0.81703134197197103</v>
      </c>
      <c r="F4160">
        <v>0.63436663127540205</v>
      </c>
      <c r="G4160">
        <v>0.59422680303242903</v>
      </c>
      <c r="H4160">
        <v>0.32810595561366301</v>
      </c>
      <c r="I4160">
        <v>0.41204432318662598</v>
      </c>
      <c r="J4160">
        <v>0.31372755949775899</v>
      </c>
      <c r="K4160">
        <v>0.34971833717082501</v>
      </c>
      <c r="L4160">
        <v>907.22486479157806</v>
      </c>
      <c r="M4160">
        <v>16.966697336399299</v>
      </c>
      <c r="N4160">
        <v>57.006427534054197</v>
      </c>
      <c r="O4160">
        <v>52.744686681056599</v>
      </c>
      <c r="P4160">
        <v>-5.4251843360476497E-2</v>
      </c>
      <c r="Q4160">
        <v>0.32542715698343799</v>
      </c>
      <c r="R4160">
        <v>0.95405233193261596</v>
      </c>
      <c r="S4160" t="s">
        <v>11163</v>
      </c>
      <c r="T4160" t="s">
        <v>14004</v>
      </c>
      <c r="U4160" t="s">
        <v>14004</v>
      </c>
      <c r="V4160" t="s">
        <v>14004</v>
      </c>
      <c r="W4160" t="s">
        <v>18111</v>
      </c>
      <c r="X4160">
        <v>4</v>
      </c>
      <c r="Y4160" t="s">
        <v>24927</v>
      </c>
      <c r="Z4160" t="s">
        <v>31870</v>
      </c>
      <c r="AA4160">
        <v>0.64029206472573663</v>
      </c>
      <c r="AB4160" t="str">
        <f>HYPERLINK("Melting_Curves/meltCurve_Q674X7_3_KAZN.pdf", "Melting_Curves/meltCurve_Q674X7_3_KAZN.pdf")</f>
        <v>Melting_Curves/meltCurve_Q674X7_3_KAZN.pdf</v>
      </c>
    </row>
    <row r="4161" spans="1:28" x14ac:dyDescent="0.25">
      <c r="A4161" t="s">
        <v>4165</v>
      </c>
      <c r="B4161">
        <v>0.99999676499088797</v>
      </c>
      <c r="C4161">
        <v>1.01050159228164</v>
      </c>
      <c r="D4161">
        <v>0.92903282158631895</v>
      </c>
      <c r="E4161">
        <v>0.600692054327578</v>
      </c>
      <c r="F4161">
        <v>0.22751538611257099</v>
      </c>
      <c r="G4161">
        <v>0.175990366974031</v>
      </c>
      <c r="H4161">
        <v>8.4186779939678297E-2</v>
      </c>
      <c r="I4161">
        <v>9.7017596408692897E-2</v>
      </c>
      <c r="J4161">
        <v>9.6698761113693701E-2</v>
      </c>
      <c r="K4161">
        <v>6.9866438599241701E-2</v>
      </c>
      <c r="L4161">
        <v>1367.3335824773201</v>
      </c>
      <c r="M4161">
        <v>27.325011896196099</v>
      </c>
      <c r="N4161">
        <v>50.419744595298603</v>
      </c>
      <c r="O4161">
        <v>49.7739290761399</v>
      </c>
      <c r="P4161">
        <v>-0.124471763416669</v>
      </c>
      <c r="Q4161">
        <v>9.3081416775214795E-2</v>
      </c>
      <c r="R4161">
        <v>0.997439557054005</v>
      </c>
      <c r="S4161" t="s">
        <v>11164</v>
      </c>
      <c r="T4161" t="s">
        <v>14004</v>
      </c>
      <c r="U4161" t="s">
        <v>14004</v>
      </c>
      <c r="V4161" t="s">
        <v>14004</v>
      </c>
      <c r="W4161" t="s">
        <v>18112</v>
      </c>
      <c r="X4161">
        <v>12</v>
      </c>
      <c r="Y4161" t="s">
        <v>24928</v>
      </c>
      <c r="Z4161" t="s">
        <v>31871</v>
      </c>
      <c r="AA4161">
        <v>0.4033649086672631</v>
      </c>
      <c r="AB4161" t="str">
        <f>HYPERLINK("Melting_Curves/meltCurve_Q684P5_3_RAP1GAP2.pdf", "Melting_Curves/meltCurve_Q684P5_3_RAP1GAP2.pdf")</f>
        <v>Melting_Curves/meltCurve_Q684P5_3_RAP1GAP2.pdf</v>
      </c>
    </row>
    <row r="4162" spans="1:28" x14ac:dyDescent="0.25">
      <c r="A4162" t="s">
        <v>4166</v>
      </c>
      <c r="B4162">
        <v>0.99999676499088797</v>
      </c>
      <c r="C4162">
        <v>0.90628480866328098</v>
      </c>
      <c r="D4162">
        <v>0.79545513030838899</v>
      </c>
      <c r="E4162">
        <v>0.60023698260839498</v>
      </c>
      <c r="F4162">
        <v>0.51945630582346702</v>
      </c>
      <c r="G4162">
        <v>0.40597859806741099</v>
      </c>
      <c r="H4162">
        <v>0.29867247674458097</v>
      </c>
      <c r="I4162">
        <v>0.30556468104814499</v>
      </c>
      <c r="J4162">
        <v>0.32541617155167202</v>
      </c>
      <c r="K4162">
        <v>0.42697594348444901</v>
      </c>
      <c r="L4162">
        <v>723.37133981556894</v>
      </c>
      <c r="M4162">
        <v>14.883951131462901</v>
      </c>
      <c r="N4162">
        <v>52.407650332803897</v>
      </c>
      <c r="O4162">
        <v>47.7487516416274</v>
      </c>
      <c r="P4162">
        <v>-5.2186273513118497E-2</v>
      </c>
      <c r="Q4162">
        <v>0.33040101673967698</v>
      </c>
      <c r="R4162">
        <v>0.97130897920438797</v>
      </c>
      <c r="S4162" t="s">
        <v>11165</v>
      </c>
      <c r="T4162" t="s">
        <v>14004</v>
      </c>
      <c r="U4162" t="s">
        <v>14004</v>
      </c>
      <c r="V4162" t="s">
        <v>14004</v>
      </c>
      <c r="W4162" t="s">
        <v>18113</v>
      </c>
      <c r="X4162">
        <v>3</v>
      </c>
      <c r="Y4162" t="s">
        <v>24929</v>
      </c>
      <c r="Z4162" t="s">
        <v>31872</v>
      </c>
      <c r="AA4162">
        <v>0.53940616089975879</v>
      </c>
      <c r="AB4162" t="str">
        <f>HYPERLINK("Melting_Curves/meltCurve_Q68CP9_3_ARID2.pdf", "Melting_Curves/meltCurve_Q68CP9_3_ARID2.pdf")</f>
        <v>Melting_Curves/meltCurve_Q68CP9_3_ARID2.pdf</v>
      </c>
    </row>
    <row r="4163" spans="1:28" x14ac:dyDescent="0.25">
      <c r="A4163" t="s">
        <v>4167</v>
      </c>
      <c r="B4163">
        <v>0.99999676499088797</v>
      </c>
      <c r="C4163">
        <v>1.0610748032969799</v>
      </c>
      <c r="D4163">
        <v>0.63722010989701205</v>
      </c>
      <c r="E4163">
        <v>0.18054252107861399</v>
      </c>
      <c r="F4163">
        <v>0.17974181958149599</v>
      </c>
      <c r="G4163">
        <v>0.11654089050552</v>
      </c>
      <c r="H4163">
        <v>7.0620176562068704E-2</v>
      </c>
      <c r="I4163">
        <v>5.2006707056368402E-2</v>
      </c>
      <c r="J4163">
        <v>5.3208290340306698E-2</v>
      </c>
      <c r="K4163">
        <v>4.3965567956771201E-2</v>
      </c>
      <c r="L4163">
        <v>1875.0184788823201</v>
      </c>
      <c r="M4163">
        <v>40.2513016840863</v>
      </c>
      <c r="N4163">
        <v>46.805494635350101</v>
      </c>
      <c r="O4163">
        <v>46.468267207069204</v>
      </c>
      <c r="P4163">
        <v>-0.197680077041851</v>
      </c>
      <c r="Q4163">
        <v>8.7151799479230199E-2</v>
      </c>
      <c r="R4163">
        <v>0.98530309534830995</v>
      </c>
      <c r="S4163" t="s">
        <v>11166</v>
      </c>
      <c r="T4163" t="s">
        <v>14004</v>
      </c>
      <c r="U4163" t="s">
        <v>14004</v>
      </c>
      <c r="V4163" t="s">
        <v>14004</v>
      </c>
      <c r="W4163" t="s">
        <v>18114</v>
      </c>
      <c r="X4163">
        <v>9</v>
      </c>
      <c r="Y4163" t="s">
        <v>24930</v>
      </c>
      <c r="Z4163" t="s">
        <v>31873</v>
      </c>
      <c r="AA4163">
        <v>0.29039133624856289</v>
      </c>
      <c r="AB4163" t="str">
        <f>HYPERLINK("Melting_Curves/meltCurve_Q68CQ4_DIEXF.pdf", "Melting_Curves/meltCurve_Q68CQ4_DIEXF.pdf")</f>
        <v>Melting_Curves/meltCurve_Q68CQ4_DIEXF.pdf</v>
      </c>
    </row>
    <row r="4164" spans="1:28" x14ac:dyDescent="0.25">
      <c r="A4164" t="s">
        <v>4168</v>
      </c>
      <c r="B4164">
        <v>0.99999676499088797</v>
      </c>
      <c r="C4164">
        <v>0.98448635543563301</v>
      </c>
      <c r="D4164">
        <v>0.86000381868336095</v>
      </c>
      <c r="E4164">
        <v>0.614057232438876</v>
      </c>
      <c r="F4164">
        <v>0.41307881678207697</v>
      </c>
      <c r="G4164">
        <v>0.43910016853622102</v>
      </c>
      <c r="H4164">
        <v>0.38793786339742098</v>
      </c>
      <c r="I4164">
        <v>0.61842412179777595</v>
      </c>
      <c r="J4164">
        <v>0.72588452498846701</v>
      </c>
      <c r="K4164">
        <v>0.51291924861682903</v>
      </c>
      <c r="L4164">
        <v>1762.7464889806499</v>
      </c>
      <c r="M4164">
        <v>37.353933856606098</v>
      </c>
      <c r="O4164">
        <v>47.055757866667797</v>
      </c>
      <c r="P4164">
        <v>-9.5492148204038604E-2</v>
      </c>
      <c r="Q4164">
        <v>0.51882530566722496</v>
      </c>
      <c r="R4164">
        <v>0.81018128074011997</v>
      </c>
      <c r="S4164" t="s">
        <v>11167</v>
      </c>
      <c r="T4164" t="s">
        <v>14004</v>
      </c>
      <c r="U4164" t="s">
        <v>14004</v>
      </c>
      <c r="V4164" t="s">
        <v>14004</v>
      </c>
      <c r="W4164" t="s">
        <v>18115</v>
      </c>
      <c r="X4164">
        <v>8</v>
      </c>
      <c r="Y4164" t="s">
        <v>24931</v>
      </c>
      <c r="Z4164" t="s">
        <v>31874</v>
      </c>
      <c r="AA4164">
        <v>0.63597233197718361</v>
      </c>
      <c r="AB4164" t="str">
        <f>HYPERLINK("Melting_Curves/meltCurve_Q68D10_2_SPTY2D1.pdf", "Melting_Curves/meltCurve_Q68D10_2_SPTY2D1.pdf")</f>
        <v>Melting_Curves/meltCurve_Q68D10_2_SPTY2D1.pdf</v>
      </c>
    </row>
    <row r="4165" spans="1:28" x14ac:dyDescent="0.25">
      <c r="A4165" t="s">
        <v>4169</v>
      </c>
      <c r="B4165">
        <v>0.99999676499088797</v>
      </c>
      <c r="C4165">
        <v>0.93893323539211204</v>
      </c>
      <c r="D4165">
        <v>1.1295611455801999</v>
      </c>
      <c r="E4165">
        <v>2.3504707419589899</v>
      </c>
      <c r="F4165">
        <v>2.17282777494639</v>
      </c>
      <c r="G4165">
        <v>2.56423664352686</v>
      </c>
      <c r="H4165">
        <v>1.6254545757921499</v>
      </c>
      <c r="I4165">
        <v>1.2665422168856999</v>
      </c>
      <c r="J4165">
        <v>1.37845359090826</v>
      </c>
      <c r="K4165">
        <v>2.58071762988481</v>
      </c>
      <c r="L4165">
        <v>11548.3245630893</v>
      </c>
      <c r="M4165">
        <v>250</v>
      </c>
      <c r="O4165">
        <v>46.190350731212398</v>
      </c>
      <c r="P4165">
        <v>0.67654835491355103</v>
      </c>
      <c r="Q4165">
        <v>1.5</v>
      </c>
      <c r="R4165">
        <v>7.6517652782343001E-2</v>
      </c>
      <c r="S4165" t="s">
        <v>11168</v>
      </c>
      <c r="T4165" t="s">
        <v>14004</v>
      </c>
      <c r="U4165" t="s">
        <v>14004</v>
      </c>
      <c r="V4165" t="s">
        <v>14004</v>
      </c>
      <c r="W4165" t="s">
        <v>18116</v>
      </c>
      <c r="X4165">
        <v>2</v>
      </c>
      <c r="Y4165" t="s">
        <v>24932</v>
      </c>
      <c r="Z4165" t="s">
        <v>31875</v>
      </c>
      <c r="AA4165">
        <v>1.3967378282009599</v>
      </c>
      <c r="AB4165" t="str">
        <f>HYPERLINK("Melting_Curves/meltCurve_Q68D20_PMS2CL.pdf", "Melting_Curves/meltCurve_Q68D20_PMS2CL.pdf")</f>
        <v>Melting_Curves/meltCurve_Q68D20_PMS2CL.pdf</v>
      </c>
    </row>
    <row r="4166" spans="1:28" x14ac:dyDescent="0.25">
      <c r="A4166" t="s">
        <v>4170</v>
      </c>
      <c r="B4166">
        <v>0.99999676499088797</v>
      </c>
      <c r="C4166">
        <v>1.01552088944201</v>
      </c>
      <c r="D4166">
        <v>1.0620360625413801</v>
      </c>
      <c r="E4166">
        <v>0.92204113915294394</v>
      </c>
      <c r="F4166">
        <v>0.55937245584821105</v>
      </c>
      <c r="G4166">
        <v>0.41951368078567303</v>
      </c>
      <c r="H4166">
        <v>0.18468476188205299</v>
      </c>
      <c r="I4166">
        <v>0.13482103777591201</v>
      </c>
      <c r="J4166">
        <v>6.2369715369237903E-2</v>
      </c>
      <c r="K4166">
        <v>6.5206007965399104E-2</v>
      </c>
      <c r="L4166">
        <v>1025.4105865000299</v>
      </c>
      <c r="M4166">
        <v>18.777118135839601</v>
      </c>
      <c r="N4166">
        <v>54.981210647848698</v>
      </c>
      <c r="O4166">
        <v>54.001507041282501</v>
      </c>
      <c r="P4166">
        <v>-8.1751425839133404E-2</v>
      </c>
      <c r="Q4166">
        <v>5.9596754942766797E-2</v>
      </c>
      <c r="R4166">
        <v>0.98667374002557495</v>
      </c>
      <c r="S4166" t="s">
        <v>11169</v>
      </c>
      <c r="T4166" t="s">
        <v>14004</v>
      </c>
      <c r="U4166" t="s">
        <v>14004</v>
      </c>
      <c r="V4166" t="s">
        <v>14004</v>
      </c>
      <c r="W4166" t="s">
        <v>18117</v>
      </c>
      <c r="X4166">
        <v>2</v>
      </c>
      <c r="Y4166" t="s">
        <v>24933</v>
      </c>
      <c r="Z4166" t="s">
        <v>31876</v>
      </c>
      <c r="AA4166">
        <v>0.53145531563719772</v>
      </c>
      <c r="AB4166" t="str">
        <f>HYPERLINK("Melting_Curves/meltCurve_Q68D85_NCR3LG1.pdf", "Melting_Curves/meltCurve_Q68D85_NCR3LG1.pdf")</f>
        <v>Melting_Curves/meltCurve_Q68D85_NCR3LG1.pdf</v>
      </c>
    </row>
    <row r="4167" spans="1:28" x14ac:dyDescent="0.25">
      <c r="A4167" t="s">
        <v>4171</v>
      </c>
      <c r="B4167">
        <v>0.99999676499088797</v>
      </c>
      <c r="C4167">
        <v>1.05229405463929</v>
      </c>
      <c r="D4167">
        <v>1.0727436582811301</v>
      </c>
      <c r="E4167">
        <v>1.13459849666477</v>
      </c>
      <c r="F4167">
        <v>1.14985150656433</v>
      </c>
      <c r="G4167">
        <v>0.94102518032181903</v>
      </c>
      <c r="H4167">
        <v>0.68583305287850105</v>
      </c>
      <c r="I4167">
        <v>0.70462411382407997</v>
      </c>
      <c r="J4167">
        <v>0.62001769500986403</v>
      </c>
      <c r="K4167">
        <v>0.74341449449812502</v>
      </c>
      <c r="L4167">
        <v>14282.6161753748</v>
      </c>
      <c r="M4167">
        <v>250</v>
      </c>
      <c r="O4167">
        <v>57.1267913038212</v>
      </c>
      <c r="P4167">
        <v>-0.34082912389734599</v>
      </c>
      <c r="Q4167">
        <v>0.68847231717979396</v>
      </c>
      <c r="R4167">
        <v>0.84628970352101096</v>
      </c>
      <c r="S4167" t="s">
        <v>11170</v>
      </c>
      <c r="T4167" t="s">
        <v>14004</v>
      </c>
      <c r="U4167" t="s">
        <v>14004</v>
      </c>
      <c r="V4167" t="s">
        <v>14004</v>
      </c>
      <c r="W4167" t="s">
        <v>18118</v>
      </c>
      <c r="X4167">
        <v>14</v>
      </c>
      <c r="Y4167" t="s">
        <v>24934</v>
      </c>
      <c r="Z4167" t="s">
        <v>31877</v>
      </c>
      <c r="AA4167">
        <v>0.86639068437337152</v>
      </c>
      <c r="AB4167" t="str">
        <f>HYPERLINK("Melting_Curves/meltCurve_Q68D91_MBLAC2.pdf", "Melting_Curves/meltCurve_Q68D91_MBLAC2.pdf")</f>
        <v>Melting_Curves/meltCurve_Q68D91_MBLAC2.pdf</v>
      </c>
    </row>
    <row r="4168" spans="1:28" x14ac:dyDescent="0.25">
      <c r="A4168" t="s">
        <v>4172</v>
      </c>
      <c r="B4168">
        <v>0.99999676499088797</v>
      </c>
      <c r="C4168">
        <v>0.96382977082918098</v>
      </c>
      <c r="D4168">
        <v>0.99189886250313697</v>
      </c>
      <c r="E4168">
        <v>1.0905283605909899</v>
      </c>
      <c r="F4168">
        <v>1.0707131530019101</v>
      </c>
      <c r="G4168">
        <v>0.81298791846956198</v>
      </c>
      <c r="H4168">
        <v>0.218784997568788</v>
      </c>
      <c r="I4168">
        <v>0.19629737598073399</v>
      </c>
      <c r="J4168">
        <v>0.13551171531475001</v>
      </c>
      <c r="K4168">
        <v>0.13889493961243801</v>
      </c>
      <c r="L4168">
        <v>3312.0102616270401</v>
      </c>
      <c r="M4168">
        <v>57.024204224979997</v>
      </c>
      <c r="N4168">
        <v>58.463288306733602</v>
      </c>
      <c r="O4168">
        <v>58.009484596548099</v>
      </c>
      <c r="P4168">
        <v>-0.20749037398747699</v>
      </c>
      <c r="Q4168">
        <v>0.15569867374823099</v>
      </c>
      <c r="R4168">
        <v>0.98953880129638905</v>
      </c>
      <c r="S4168" t="s">
        <v>11171</v>
      </c>
      <c r="T4168" t="s">
        <v>14004</v>
      </c>
      <c r="U4168" t="s">
        <v>14004</v>
      </c>
      <c r="V4168" t="s">
        <v>14004</v>
      </c>
      <c r="W4168" t="s">
        <v>18119</v>
      </c>
      <c r="X4168">
        <v>5</v>
      </c>
      <c r="Y4168" t="s">
        <v>24935</v>
      </c>
      <c r="Z4168" t="s">
        <v>31878</v>
      </c>
      <c r="AA4168">
        <v>0.66621109253394561</v>
      </c>
      <c r="AB4168" t="str">
        <f>HYPERLINK("Melting_Curves/meltCurve_Q68DH5_LMBRD2.pdf", "Melting_Curves/meltCurve_Q68DH5_LMBRD2.pdf")</f>
        <v>Melting_Curves/meltCurve_Q68DH5_LMBRD2.pdf</v>
      </c>
    </row>
    <row r="4169" spans="1:28" x14ac:dyDescent="0.25">
      <c r="A4169" t="s">
        <v>4173</v>
      </c>
      <c r="B4169">
        <v>0.99999676499088797</v>
      </c>
      <c r="C4169">
        <v>0.96233502761438805</v>
      </c>
      <c r="D4169">
        <v>0.81786790711217106</v>
      </c>
      <c r="E4169">
        <v>0.52959398234478805</v>
      </c>
      <c r="F4169">
        <v>0.317120999566887</v>
      </c>
      <c r="G4169">
        <v>0.16711138243961399</v>
      </c>
      <c r="H4169">
        <v>7.8602899399602397E-2</v>
      </c>
      <c r="I4169">
        <v>8.1812639006528104E-2</v>
      </c>
      <c r="J4169">
        <v>0.103019020233435</v>
      </c>
      <c r="K4169">
        <v>7.3810494647140998E-2</v>
      </c>
      <c r="L4169">
        <v>873.71454887264599</v>
      </c>
      <c r="M4169">
        <v>17.5675139204263</v>
      </c>
      <c r="N4169">
        <v>50.1660346012983</v>
      </c>
      <c r="O4169">
        <v>49.103626487728498</v>
      </c>
      <c r="P4169">
        <v>-8.3175609457857402E-2</v>
      </c>
      <c r="Q4169">
        <v>7.0100864516821598E-2</v>
      </c>
      <c r="R4169">
        <v>0.99806529845251601</v>
      </c>
      <c r="S4169" t="s">
        <v>11172</v>
      </c>
      <c r="T4169" t="s">
        <v>14004</v>
      </c>
      <c r="U4169" t="s">
        <v>14004</v>
      </c>
      <c r="V4169" t="s">
        <v>14004</v>
      </c>
      <c r="W4169" t="s">
        <v>18120</v>
      </c>
      <c r="X4169">
        <v>14</v>
      </c>
      <c r="Y4169" t="s">
        <v>24936</v>
      </c>
      <c r="Z4169" t="s">
        <v>31879</v>
      </c>
      <c r="AA4169">
        <v>0.38851799763767481</v>
      </c>
      <c r="AB4169" t="str">
        <f>HYPERLINK("Melting_Curves/meltCurve_Q68E01_2_INTS3.pdf", "Melting_Curves/meltCurve_Q68E01_2_INTS3.pdf")</f>
        <v>Melting_Curves/meltCurve_Q68E01_2_INTS3.pdf</v>
      </c>
    </row>
    <row r="4170" spans="1:28" x14ac:dyDescent="0.25">
      <c r="A4170" t="s">
        <v>4174</v>
      </c>
      <c r="B4170">
        <v>0.99999676499088797</v>
      </c>
      <c r="C4170">
        <v>0.97178721314127303</v>
      </c>
      <c r="D4170">
        <v>0.80774245406022305</v>
      </c>
      <c r="E4170">
        <v>0.38133471901431598</v>
      </c>
      <c r="F4170">
        <v>0.304066473218083</v>
      </c>
      <c r="G4170">
        <v>0.20091421168027401</v>
      </c>
      <c r="H4170">
        <v>9.5615984546612007E-2</v>
      </c>
      <c r="I4170">
        <v>0.114074650655381</v>
      </c>
      <c r="J4170">
        <v>0.111805672671881</v>
      </c>
      <c r="K4170">
        <v>7.2169606377866596E-2</v>
      </c>
      <c r="L4170">
        <v>992.07418033094098</v>
      </c>
      <c r="M4170">
        <v>20.460173613211399</v>
      </c>
      <c r="N4170">
        <v>49.083391071320698</v>
      </c>
      <c r="O4170">
        <v>48.031988903154698</v>
      </c>
      <c r="P4170">
        <v>-9.4793607475487304E-2</v>
      </c>
      <c r="Q4170">
        <v>0.109882335719813</v>
      </c>
      <c r="R4170">
        <v>0.98680065693364005</v>
      </c>
      <c r="S4170" t="s">
        <v>11173</v>
      </c>
      <c r="T4170" t="s">
        <v>14004</v>
      </c>
      <c r="U4170" t="s">
        <v>14004</v>
      </c>
      <c r="V4170" t="s">
        <v>14004</v>
      </c>
      <c r="W4170" t="s">
        <v>18121</v>
      </c>
      <c r="X4170">
        <v>7</v>
      </c>
      <c r="Y4170" t="s">
        <v>24937</v>
      </c>
      <c r="Z4170" t="s">
        <v>31880</v>
      </c>
      <c r="AA4170">
        <v>0.37369184558742219</v>
      </c>
      <c r="AB4170" t="str">
        <f>HYPERLINK("Melting_Curves/meltCurve_Q68EM7_ARHGAP17.pdf", "Melting_Curves/meltCurve_Q68EM7_ARHGAP17.pdf")</f>
        <v>Melting_Curves/meltCurve_Q68EM7_ARHGAP17.pdf</v>
      </c>
    </row>
    <row r="4171" spans="1:28" x14ac:dyDescent="0.25">
      <c r="A4171" t="s">
        <v>4175</v>
      </c>
      <c r="B4171">
        <v>0.99999676499088797</v>
      </c>
      <c r="C4171">
        <v>0.91654698110393595</v>
      </c>
      <c r="D4171">
        <v>0.69312882144810795</v>
      </c>
      <c r="E4171">
        <v>0.47022774551370899</v>
      </c>
      <c r="F4171">
        <v>0.27863224380665802</v>
      </c>
      <c r="G4171">
        <v>0.20442754232104099</v>
      </c>
      <c r="H4171">
        <v>0.13283134444509001</v>
      </c>
      <c r="I4171">
        <v>0.32082240690821201</v>
      </c>
      <c r="J4171">
        <v>0.41794056224007697</v>
      </c>
      <c r="K4171">
        <v>0.44145380633592801</v>
      </c>
      <c r="L4171">
        <v>1173.60019914535</v>
      </c>
      <c r="M4171">
        <v>25.198839445079901</v>
      </c>
      <c r="N4171">
        <v>48.319918576302499</v>
      </c>
      <c r="O4171">
        <v>46.283240735559801</v>
      </c>
      <c r="P4171">
        <v>-9.5431653306562503E-2</v>
      </c>
      <c r="Q4171">
        <v>0.29888382145601899</v>
      </c>
      <c r="R4171">
        <v>0.89857529503321198</v>
      </c>
      <c r="S4171" t="s">
        <v>11174</v>
      </c>
      <c r="T4171" t="s">
        <v>14004</v>
      </c>
      <c r="U4171" t="s">
        <v>14004</v>
      </c>
      <c r="V4171" t="s">
        <v>14004</v>
      </c>
      <c r="W4171" t="s">
        <v>18122</v>
      </c>
      <c r="X4171">
        <v>5</v>
      </c>
      <c r="Y4171" t="s">
        <v>24938</v>
      </c>
      <c r="Z4171" t="s">
        <v>31881</v>
      </c>
      <c r="AA4171">
        <v>0.45872774016165668</v>
      </c>
      <c r="AB4171" t="str">
        <f>HYPERLINK("Melting_Curves/meltCurve_Q69YH5_CDCA2.pdf", "Melting_Curves/meltCurve_Q69YH5_CDCA2.pdf")</f>
        <v>Melting_Curves/meltCurve_Q69YH5_CDCA2.pdf</v>
      </c>
    </row>
    <row r="4172" spans="1:28" x14ac:dyDescent="0.25">
      <c r="A4172" t="s">
        <v>4176</v>
      </c>
      <c r="B4172">
        <v>0.99999676499088797</v>
      </c>
      <c r="C4172">
        <v>1.1459929596326699</v>
      </c>
      <c r="D4172">
        <v>1.0500712873936799</v>
      </c>
      <c r="E4172">
        <v>0.70596630987359899</v>
      </c>
      <c r="F4172">
        <v>0.696543209690339</v>
      </c>
      <c r="G4172">
        <v>0.40130962227144801</v>
      </c>
      <c r="H4172">
        <v>0.223376469479317</v>
      </c>
      <c r="I4172">
        <v>0.26352243611567</v>
      </c>
      <c r="J4172">
        <v>0.24200721271175599</v>
      </c>
      <c r="K4172">
        <v>0.130690056070556</v>
      </c>
      <c r="L4172">
        <v>909.97486220227495</v>
      </c>
      <c r="M4172">
        <v>16.9084220766172</v>
      </c>
      <c r="N4172">
        <v>55.1436901819499</v>
      </c>
      <c r="O4172">
        <v>53.081971467855602</v>
      </c>
      <c r="P4172">
        <v>-6.6337082812381501E-2</v>
      </c>
      <c r="Q4172">
        <v>0.167023185263867</v>
      </c>
      <c r="R4172">
        <v>0.949992114509004</v>
      </c>
      <c r="S4172" t="s">
        <v>11175</v>
      </c>
      <c r="T4172" t="s">
        <v>14004</v>
      </c>
      <c r="U4172" t="s">
        <v>14004</v>
      </c>
      <c r="V4172" t="s">
        <v>14004</v>
      </c>
      <c r="W4172" t="s">
        <v>18123</v>
      </c>
      <c r="X4172">
        <v>3</v>
      </c>
      <c r="Z4172" t="s">
        <v>31882</v>
      </c>
      <c r="AA4172">
        <v>0.56536873843990731</v>
      </c>
      <c r="AB4172" t="str">
        <f>HYPERLINK("Melting_Curves/meltCurve_Q69YL0_.pdf", "Melting_Curves/meltCurve_Q69YL0_.pdf")</f>
        <v>Melting_Curves/meltCurve_Q69YL0_.pdf</v>
      </c>
    </row>
    <row r="4173" spans="1:28" x14ac:dyDescent="0.25">
      <c r="A4173" t="s">
        <v>4177</v>
      </c>
      <c r="B4173">
        <v>0.99999676499088797</v>
      </c>
      <c r="C4173">
        <v>1.04568750598659</v>
      </c>
      <c r="D4173">
        <v>0.99886427103198105</v>
      </c>
      <c r="E4173">
        <v>0.83436350484639399</v>
      </c>
      <c r="F4173">
        <v>0.28270508204963701</v>
      </c>
      <c r="G4173">
        <v>0.19164305422345701</v>
      </c>
      <c r="H4173">
        <v>9.0737309254073806E-2</v>
      </c>
      <c r="I4173">
        <v>8.3874588747410397E-2</v>
      </c>
      <c r="J4173">
        <v>7.6135814669896995E-2</v>
      </c>
      <c r="K4173">
        <v>5.16289455247049E-2</v>
      </c>
      <c r="L4173">
        <v>1906.7710465616101</v>
      </c>
      <c r="M4173">
        <v>37.012585955424001</v>
      </c>
      <c r="N4173">
        <v>51.790994365039303</v>
      </c>
      <c r="O4173">
        <v>51.367135430347503</v>
      </c>
      <c r="P4173">
        <v>-0.16411171909136299</v>
      </c>
      <c r="Q4173">
        <v>8.8966651934192301E-2</v>
      </c>
      <c r="R4173">
        <v>0.994344858364275</v>
      </c>
      <c r="S4173" t="s">
        <v>11176</v>
      </c>
      <c r="T4173" t="s">
        <v>14004</v>
      </c>
      <c r="U4173" t="s">
        <v>14004</v>
      </c>
      <c r="V4173" t="s">
        <v>14004</v>
      </c>
      <c r="W4173" t="s">
        <v>18124</v>
      </c>
      <c r="X4173">
        <v>26</v>
      </c>
      <c r="Y4173" t="s">
        <v>24939</v>
      </c>
      <c r="Z4173" t="s">
        <v>31883</v>
      </c>
      <c r="AA4173">
        <v>0.44249871161626531</v>
      </c>
      <c r="AB4173" t="str">
        <f>HYPERLINK("Melting_Curves/meltCurve_Q69YN2_CWF19L1.pdf", "Melting_Curves/meltCurve_Q69YN2_CWF19L1.pdf")</f>
        <v>Melting_Curves/meltCurve_Q69YN2_CWF19L1.pdf</v>
      </c>
    </row>
    <row r="4174" spans="1:28" x14ac:dyDescent="0.25">
      <c r="A4174" t="s">
        <v>4178</v>
      </c>
      <c r="B4174">
        <v>0.99999676499088797</v>
      </c>
      <c r="C4174">
        <v>0.93136722499935098</v>
      </c>
      <c r="D4174">
        <v>0.94753294822018896</v>
      </c>
      <c r="E4174">
        <v>0.42207049122186902</v>
      </c>
      <c r="F4174">
        <v>0.243540317874855</v>
      </c>
      <c r="G4174">
        <v>0.181061795108728</v>
      </c>
      <c r="H4174">
        <v>9.2541629766290198E-2</v>
      </c>
      <c r="I4174">
        <v>7.4276905170007498E-2</v>
      </c>
      <c r="J4174">
        <v>8.8189867418848794E-2</v>
      </c>
      <c r="K4174">
        <v>6.3067995914287994E-2</v>
      </c>
      <c r="L4174">
        <v>1406.3960934010099</v>
      </c>
      <c r="M4174">
        <v>28.694793793501098</v>
      </c>
      <c r="N4174">
        <v>49.400648585857503</v>
      </c>
      <c r="O4174">
        <v>48.776057057073899</v>
      </c>
      <c r="P4174">
        <v>-0.13222313288943899</v>
      </c>
      <c r="Q4174">
        <v>0.100983684720879</v>
      </c>
      <c r="R4174">
        <v>0.98603815482463897</v>
      </c>
      <c r="S4174" t="s">
        <v>11177</v>
      </c>
      <c r="T4174" t="s">
        <v>14004</v>
      </c>
      <c r="U4174" t="s">
        <v>14004</v>
      </c>
      <c r="V4174" t="s">
        <v>14004</v>
      </c>
      <c r="W4174" t="s">
        <v>18125</v>
      </c>
      <c r="X4174">
        <v>12</v>
      </c>
      <c r="Y4174" t="s">
        <v>24940</v>
      </c>
      <c r="Z4174" t="s">
        <v>31884</v>
      </c>
      <c r="AA4174">
        <v>0.37705512498820581</v>
      </c>
      <c r="AB4174" t="str">
        <f>HYPERLINK("Melting_Curves/meltCurve_Q69YN4_KIAA1429.pdf", "Melting_Curves/meltCurve_Q69YN4_KIAA1429.pdf")</f>
        <v>Melting_Curves/meltCurve_Q69YN4_KIAA1429.pdf</v>
      </c>
    </row>
    <row r="4175" spans="1:28" x14ac:dyDescent="0.25">
      <c r="A4175" t="s">
        <v>4179</v>
      </c>
      <c r="B4175">
        <v>0.99999676499088797</v>
      </c>
      <c r="C4175">
        <v>0.94699445229631996</v>
      </c>
      <c r="D4175">
        <v>0.80685482547576504</v>
      </c>
      <c r="E4175">
        <v>0.383174933649785</v>
      </c>
      <c r="F4175">
        <v>0.32377891425038602</v>
      </c>
      <c r="G4175">
        <v>0.200892150092464</v>
      </c>
      <c r="H4175">
        <v>0.14935366253472801</v>
      </c>
      <c r="I4175">
        <v>0.15289434127235399</v>
      </c>
      <c r="J4175">
        <v>0.16105614628158199</v>
      </c>
      <c r="K4175">
        <v>0.17963734516669599</v>
      </c>
      <c r="L4175">
        <v>1115.40414027779</v>
      </c>
      <c r="M4175">
        <v>23.235220553637902</v>
      </c>
      <c r="N4175">
        <v>48.880214916646501</v>
      </c>
      <c r="O4175">
        <v>47.653543579282299</v>
      </c>
      <c r="P4175">
        <v>-0.101152998287388</v>
      </c>
      <c r="Q4175">
        <v>0.17018869342014201</v>
      </c>
      <c r="R4175">
        <v>0.99003092378975799</v>
      </c>
      <c r="S4175" t="s">
        <v>11178</v>
      </c>
      <c r="T4175" t="s">
        <v>14004</v>
      </c>
      <c r="U4175" t="s">
        <v>14004</v>
      </c>
      <c r="V4175" t="s">
        <v>14004</v>
      </c>
      <c r="W4175" t="s">
        <v>18126</v>
      </c>
      <c r="X4175">
        <v>3</v>
      </c>
      <c r="Y4175" t="s">
        <v>24941</v>
      </c>
      <c r="Z4175" t="s">
        <v>31885</v>
      </c>
      <c r="AA4175">
        <v>0.40017706411046478</v>
      </c>
      <c r="AB4175" t="str">
        <f>HYPERLINK("Melting_Curves/meltCurve_Q69YQ0_2_SPECC1L.pdf", "Melting_Curves/meltCurve_Q69YQ0_2_SPECC1L.pdf")</f>
        <v>Melting_Curves/meltCurve_Q69YQ0_2_SPECC1L.pdf</v>
      </c>
    </row>
    <row r="4176" spans="1:28" x14ac:dyDescent="0.25">
      <c r="A4176" t="s">
        <v>4180</v>
      </c>
      <c r="B4176">
        <v>0.99999676499088797</v>
      </c>
      <c r="C4176">
        <v>1.11121713667043</v>
      </c>
      <c r="D4176">
        <v>1.1226608504787401</v>
      </c>
      <c r="E4176">
        <v>0.93287727422812705</v>
      </c>
      <c r="F4176">
        <v>0.61549879019718701</v>
      </c>
      <c r="G4176">
        <v>0.607601654986481</v>
      </c>
      <c r="H4176">
        <v>0.36830508126130601</v>
      </c>
      <c r="I4176">
        <v>0.33647398710594201</v>
      </c>
      <c r="J4176">
        <v>0.34467422647476997</v>
      </c>
      <c r="K4176">
        <v>0.377538847664389</v>
      </c>
      <c r="L4176">
        <v>1184.62891068979</v>
      </c>
      <c r="M4176">
        <v>22.0659934974869</v>
      </c>
      <c r="N4176">
        <v>56.798286061218</v>
      </c>
      <c r="O4176">
        <v>53.250638520525499</v>
      </c>
      <c r="P4176">
        <v>-6.72568879037201E-2</v>
      </c>
      <c r="Q4176">
        <v>0.35078505033551399</v>
      </c>
      <c r="R4176">
        <v>0.94329248592424597</v>
      </c>
      <c r="S4176" t="s">
        <v>11179</v>
      </c>
      <c r="T4176" t="s">
        <v>14004</v>
      </c>
      <c r="U4176" t="s">
        <v>14004</v>
      </c>
      <c r="V4176" t="s">
        <v>14004</v>
      </c>
      <c r="W4176" t="s">
        <v>18127</v>
      </c>
      <c r="X4176">
        <v>3</v>
      </c>
      <c r="Y4176" t="s">
        <v>24942</v>
      </c>
      <c r="Z4176" t="s">
        <v>31886</v>
      </c>
      <c r="AA4176">
        <v>0.65445647413743424</v>
      </c>
      <c r="AB4176" t="str">
        <f>HYPERLINK("Melting_Curves/meltCurve_Q69YU5_C12orf73.pdf", "Melting_Curves/meltCurve_Q69YU5_C12orf73.pdf")</f>
        <v>Melting_Curves/meltCurve_Q69YU5_C12orf73.pdf</v>
      </c>
    </row>
    <row r="4177" spans="1:28" x14ac:dyDescent="0.25">
      <c r="A4177" t="s">
        <v>4181</v>
      </c>
      <c r="B4177">
        <v>0.99999676499088797</v>
      </c>
      <c r="C4177">
        <v>1.1364241663652701</v>
      </c>
      <c r="D4177">
        <v>1.1920805180009599</v>
      </c>
      <c r="E4177">
        <v>1.17609198126885</v>
      </c>
      <c r="F4177">
        <v>1.0314653192685701</v>
      </c>
      <c r="G4177">
        <v>0.76760395819534499</v>
      </c>
      <c r="H4177">
        <v>0.31341131518704202</v>
      </c>
      <c r="I4177">
        <v>0.34419734675968899</v>
      </c>
      <c r="J4177">
        <v>0.35398484499434102</v>
      </c>
      <c r="K4177">
        <v>0.239833086524253</v>
      </c>
      <c r="L4177">
        <v>14238.1297822504</v>
      </c>
      <c r="M4177">
        <v>250</v>
      </c>
      <c r="N4177">
        <v>57.177282713168701</v>
      </c>
      <c r="O4177">
        <v>56.948874575413299</v>
      </c>
      <c r="P4177">
        <v>-0.75412308539658701</v>
      </c>
      <c r="Q4177">
        <v>0.31285662509115397</v>
      </c>
      <c r="R4177">
        <v>0.93369215168005004</v>
      </c>
      <c r="S4177" t="s">
        <v>11180</v>
      </c>
      <c r="T4177" t="s">
        <v>14004</v>
      </c>
      <c r="U4177" t="s">
        <v>14004</v>
      </c>
      <c r="V4177" t="s">
        <v>14004</v>
      </c>
      <c r="W4177" t="s">
        <v>18128</v>
      </c>
      <c r="X4177">
        <v>3</v>
      </c>
      <c r="Y4177" t="s">
        <v>24943</v>
      </c>
      <c r="Z4177" t="s">
        <v>31887</v>
      </c>
      <c r="AA4177">
        <v>0.70121901252763807</v>
      </c>
      <c r="AB4177" t="str">
        <f>HYPERLINK("Melting_Curves/meltCurve_Q6BDS2_UHRF1BP1.pdf", "Melting_Curves/meltCurve_Q6BDS2_UHRF1BP1.pdf")</f>
        <v>Melting_Curves/meltCurve_Q6BDS2_UHRF1BP1.pdf</v>
      </c>
    </row>
    <row r="4178" spans="1:28" x14ac:dyDescent="0.25">
      <c r="A4178" t="s">
        <v>4182</v>
      </c>
      <c r="B4178">
        <v>0.99999676499088797</v>
      </c>
      <c r="C4178">
        <v>1.0467872379918599</v>
      </c>
      <c r="D4178">
        <v>0.95114331246972295</v>
      </c>
      <c r="E4178">
        <v>0.69499211425514895</v>
      </c>
      <c r="F4178">
        <v>0.44237661657822802</v>
      </c>
      <c r="G4178">
        <v>0.50314774239827798</v>
      </c>
      <c r="H4178">
        <v>0.31326191472561199</v>
      </c>
      <c r="I4178">
        <v>0.38442696039687801</v>
      </c>
      <c r="J4178">
        <v>0.36091601212283903</v>
      </c>
      <c r="K4178">
        <v>0.37808416046215598</v>
      </c>
      <c r="L4178">
        <v>1417.41313251064</v>
      </c>
      <c r="M4178">
        <v>28.5077463570242</v>
      </c>
      <c r="N4178">
        <v>52.328153000526797</v>
      </c>
      <c r="O4178">
        <v>49.477549802308999</v>
      </c>
      <c r="P4178">
        <v>-8.94184980480206E-2</v>
      </c>
      <c r="Q4178">
        <v>0.379232182421611</v>
      </c>
      <c r="R4178">
        <v>0.97384521191585605</v>
      </c>
      <c r="S4178" t="s">
        <v>11181</v>
      </c>
      <c r="T4178" t="s">
        <v>14004</v>
      </c>
      <c r="U4178" t="s">
        <v>14004</v>
      </c>
      <c r="V4178" t="s">
        <v>14004</v>
      </c>
      <c r="W4178" t="s">
        <v>18129</v>
      </c>
      <c r="X4178">
        <v>10</v>
      </c>
      <c r="Y4178" t="s">
        <v>24944</v>
      </c>
      <c r="Z4178" t="s">
        <v>31888</v>
      </c>
      <c r="AA4178">
        <v>0.58460629848759871</v>
      </c>
      <c r="AB4178" t="str">
        <f>HYPERLINK("Melting_Curves/meltCurve_Q6DD87_ZNF787.pdf", "Melting_Curves/meltCurve_Q6DD87_ZNF787.pdf")</f>
        <v>Melting_Curves/meltCurve_Q6DD87_ZNF787.pdf</v>
      </c>
    </row>
    <row r="4179" spans="1:28" x14ac:dyDescent="0.25">
      <c r="A4179" t="s">
        <v>4183</v>
      </c>
      <c r="B4179">
        <v>0.99999676499088797</v>
      </c>
      <c r="C4179">
        <v>0.90628099424059305</v>
      </c>
      <c r="D4179">
        <v>0.97335221570842101</v>
      </c>
      <c r="E4179">
        <v>1.15630028708065</v>
      </c>
      <c r="F4179">
        <v>0.30367624024239298</v>
      </c>
      <c r="G4179">
        <v>0.14732633889694699</v>
      </c>
      <c r="H4179">
        <v>6.3767384128438395E-2</v>
      </c>
      <c r="I4179">
        <v>5.5628647007294002E-2</v>
      </c>
      <c r="J4179">
        <v>4.85356847943492E-2</v>
      </c>
      <c r="K4179">
        <v>3.7575324812529898E-2</v>
      </c>
      <c r="L4179">
        <v>13241.7829340429</v>
      </c>
      <c r="M4179">
        <v>250</v>
      </c>
      <c r="N4179">
        <v>52.999385031424097</v>
      </c>
      <c r="O4179">
        <v>52.963751455553499</v>
      </c>
      <c r="P4179">
        <v>-1.09678020287411</v>
      </c>
      <c r="Q4179">
        <v>7.0566658161407794E-2</v>
      </c>
      <c r="R4179">
        <v>0.97946586850274597</v>
      </c>
      <c r="S4179" t="s">
        <v>11182</v>
      </c>
      <c r="T4179" t="s">
        <v>14004</v>
      </c>
      <c r="U4179" t="s">
        <v>14004</v>
      </c>
      <c r="V4179" t="s">
        <v>14004</v>
      </c>
      <c r="W4179" t="s">
        <v>18130</v>
      </c>
      <c r="X4179">
        <v>26</v>
      </c>
      <c r="Y4179" t="s">
        <v>24945</v>
      </c>
      <c r="Z4179" t="s">
        <v>31889</v>
      </c>
      <c r="AA4179">
        <v>0.47238920781131222</v>
      </c>
      <c r="AB4179" t="str">
        <f>HYPERLINK("Melting_Curves/meltCurve_Q6DD88_ATL3.pdf", "Melting_Curves/meltCurve_Q6DD88_ATL3.pdf")</f>
        <v>Melting_Curves/meltCurve_Q6DD88_ATL3.pdf</v>
      </c>
    </row>
    <row r="4180" spans="1:28" x14ac:dyDescent="0.25">
      <c r="A4180" t="s">
        <v>4184</v>
      </c>
      <c r="B4180">
        <v>0.99999676499088797</v>
      </c>
      <c r="C4180">
        <v>1.0595603680394501</v>
      </c>
      <c r="D4180">
        <v>0.78006022928701502</v>
      </c>
      <c r="E4180">
        <v>0.78708393045623903</v>
      </c>
      <c r="F4180">
        <v>0.64271436250193603</v>
      </c>
      <c r="G4180">
        <v>0.52833944514450903</v>
      </c>
      <c r="H4180">
        <v>0.31375075010540798</v>
      </c>
      <c r="I4180">
        <v>0.23501944200876601</v>
      </c>
      <c r="J4180">
        <v>0.13543174207105901</v>
      </c>
      <c r="K4180">
        <v>0.136994088917752</v>
      </c>
      <c r="L4180">
        <v>548.30792134609396</v>
      </c>
      <c r="M4180">
        <v>9.7403273582474998</v>
      </c>
      <c r="N4180">
        <v>56.292531276900498</v>
      </c>
      <c r="O4180">
        <v>54.073557305272203</v>
      </c>
      <c r="P4180">
        <v>-4.5056998798042099E-2</v>
      </c>
      <c r="Q4180">
        <v>0</v>
      </c>
      <c r="R4180">
        <v>0.97255556440131796</v>
      </c>
      <c r="S4180" t="s">
        <v>11183</v>
      </c>
      <c r="T4180" t="s">
        <v>14004</v>
      </c>
      <c r="U4180" t="s">
        <v>14004</v>
      </c>
      <c r="V4180" t="s">
        <v>14004</v>
      </c>
      <c r="W4180" t="s">
        <v>18131</v>
      </c>
      <c r="X4180">
        <v>2</v>
      </c>
      <c r="Y4180" t="s">
        <v>24946</v>
      </c>
      <c r="Z4180" t="s">
        <v>31890</v>
      </c>
      <c r="AA4180">
        <v>0.56258644189003537</v>
      </c>
      <c r="AB4180" t="str">
        <f>HYPERLINK("Melting_Curves/meltCurve_Q6DHV7_ADAL.pdf", "Melting_Curves/meltCurve_Q6DHV7_ADAL.pdf")</f>
        <v>Melting_Curves/meltCurve_Q6DHV7_ADAL.pdf</v>
      </c>
    </row>
    <row r="4181" spans="1:28" x14ac:dyDescent="0.25">
      <c r="A4181" t="s">
        <v>4185</v>
      </c>
      <c r="B4181">
        <v>0.99999676499088797</v>
      </c>
      <c r="C4181">
        <v>0.95311037836058299</v>
      </c>
      <c r="D4181">
        <v>0.90923508890743299</v>
      </c>
      <c r="E4181">
        <v>0.60826289134746003</v>
      </c>
      <c r="F4181">
        <v>0.28150119932693102</v>
      </c>
      <c r="G4181">
        <v>0.16964526484032899</v>
      </c>
      <c r="H4181">
        <v>7.7592203771721199E-2</v>
      </c>
      <c r="I4181">
        <v>7.4461512316834594E-2</v>
      </c>
      <c r="J4181">
        <v>7.3805921120072407E-2</v>
      </c>
      <c r="K4181">
        <v>5.48841376841313E-2</v>
      </c>
      <c r="L4181">
        <v>1070.6470288165201</v>
      </c>
      <c r="M4181">
        <v>21.243471423035</v>
      </c>
      <c r="N4181">
        <v>50.7250753392155</v>
      </c>
      <c r="O4181">
        <v>49.958625292692098</v>
      </c>
      <c r="P4181">
        <v>-9.9520690248165303E-2</v>
      </c>
      <c r="Q4181">
        <v>6.3845723850726802E-2</v>
      </c>
      <c r="R4181">
        <v>0.99854714463322203</v>
      </c>
      <c r="S4181" t="s">
        <v>11184</v>
      </c>
      <c r="T4181" t="s">
        <v>14004</v>
      </c>
      <c r="U4181" t="s">
        <v>14004</v>
      </c>
      <c r="V4181" t="s">
        <v>14004</v>
      </c>
      <c r="W4181" t="s">
        <v>18132</v>
      </c>
      <c r="X4181">
        <v>7</v>
      </c>
      <c r="Y4181" t="s">
        <v>24947</v>
      </c>
      <c r="Z4181" t="s">
        <v>31891</v>
      </c>
      <c r="AA4181">
        <v>0.39992727514102278</v>
      </c>
      <c r="AB4181" t="str">
        <f>HYPERLINK("Melting_Curves/meltCurve_Q6DKJ4_NXN.pdf", "Melting_Curves/meltCurve_Q6DKJ4_NXN.pdf")</f>
        <v>Melting_Curves/meltCurve_Q6DKJ4_NXN.pdf</v>
      </c>
    </row>
    <row r="4182" spans="1:28" x14ac:dyDescent="0.25">
      <c r="A4182" t="s">
        <v>4186</v>
      </c>
      <c r="B4182">
        <v>0.99999676499088797</v>
      </c>
      <c r="C4182">
        <v>1.11104283794929</v>
      </c>
      <c r="D4182">
        <v>1.04134756805905</v>
      </c>
      <c r="E4182">
        <v>0.71162443603210002</v>
      </c>
      <c r="F4182">
        <v>0.49552980375675898</v>
      </c>
      <c r="G4182">
        <v>0.46801246724289802</v>
      </c>
      <c r="H4182">
        <v>0.25653207061572197</v>
      </c>
      <c r="I4182">
        <v>0.17779027203547801</v>
      </c>
      <c r="J4182">
        <v>0.13273728019147801</v>
      </c>
      <c r="K4182">
        <v>0.112440723620559</v>
      </c>
      <c r="L4182">
        <v>790.26667566158699</v>
      </c>
      <c r="M4182">
        <v>14.776580830305299</v>
      </c>
      <c r="N4182">
        <v>54.3814397120439</v>
      </c>
      <c r="O4182">
        <v>52.530202506277597</v>
      </c>
      <c r="P4182">
        <v>-6.26996989539228E-2</v>
      </c>
      <c r="Q4182">
        <v>0.108515356342533</v>
      </c>
      <c r="R4182">
        <v>0.96180918427434603</v>
      </c>
      <c r="S4182" t="s">
        <v>11185</v>
      </c>
      <c r="T4182" t="s">
        <v>14004</v>
      </c>
      <c r="U4182" t="s">
        <v>14004</v>
      </c>
      <c r="V4182" t="s">
        <v>14004</v>
      </c>
      <c r="W4182" t="s">
        <v>18133</v>
      </c>
      <c r="X4182">
        <v>7</v>
      </c>
      <c r="Y4182" t="s">
        <v>24948</v>
      </c>
      <c r="Z4182" t="s">
        <v>31892</v>
      </c>
      <c r="AA4182">
        <v>0.52826903439793171</v>
      </c>
      <c r="AB4182" t="str">
        <f>HYPERLINK("Melting_Curves/meltCurve_Q6DKK2_TTC19.pdf", "Melting_Curves/meltCurve_Q6DKK2_TTC19.pdf")</f>
        <v>Melting_Curves/meltCurve_Q6DKK2_TTC19.pdf</v>
      </c>
    </row>
    <row r="4183" spans="1:28" x14ac:dyDescent="0.25">
      <c r="A4183" t="s">
        <v>4187</v>
      </c>
      <c r="B4183">
        <v>0.99999676499088797</v>
      </c>
      <c r="C4183">
        <v>1.0230554986232301</v>
      </c>
      <c r="D4183">
        <v>0.92490328226699403</v>
      </c>
      <c r="E4183">
        <v>0.67577963133678698</v>
      </c>
      <c r="F4183">
        <v>0.49159562358502901</v>
      </c>
      <c r="G4183">
        <v>0.35040588182108301</v>
      </c>
      <c r="H4183">
        <v>0.18288628168242299</v>
      </c>
      <c r="I4183">
        <v>0.147321110480644</v>
      </c>
      <c r="J4183">
        <v>0.14633389380614201</v>
      </c>
      <c r="K4183">
        <v>0.12009018945044</v>
      </c>
      <c r="L4183">
        <v>792.67145120599002</v>
      </c>
      <c r="M4183">
        <v>15.184079313830701</v>
      </c>
      <c r="N4183">
        <v>53.047694953798697</v>
      </c>
      <c r="O4183">
        <v>51.323758242088701</v>
      </c>
      <c r="P4183">
        <v>-6.6035405742874406E-2</v>
      </c>
      <c r="Q4183">
        <v>0.107260016229592</v>
      </c>
      <c r="R4183">
        <v>0.993391407282183</v>
      </c>
      <c r="S4183" t="s">
        <v>11186</v>
      </c>
      <c r="T4183" t="s">
        <v>14004</v>
      </c>
      <c r="U4183" t="s">
        <v>14004</v>
      </c>
      <c r="V4183" t="s">
        <v>14004</v>
      </c>
      <c r="W4183" t="s">
        <v>18134</v>
      </c>
      <c r="X4183">
        <v>6</v>
      </c>
      <c r="Y4183" t="s">
        <v>24949</v>
      </c>
      <c r="Z4183" t="s">
        <v>31893</v>
      </c>
      <c r="AA4183">
        <v>0.48988368512541908</v>
      </c>
      <c r="AB4183" t="str">
        <f>HYPERLINK("Melting_Curves/meltCurve_Q6DU44_HLA_E.pdf", "Melting_Curves/meltCurve_Q6DU44_HLA_E.pdf")</f>
        <v>Melting_Curves/meltCurve_Q6DU44_HLA_E.pdf</v>
      </c>
    </row>
    <row r="4184" spans="1:28" x14ac:dyDescent="0.25">
      <c r="A4184" t="s">
        <v>4188</v>
      </c>
      <c r="B4184">
        <v>0.99999676499088797</v>
      </c>
      <c r="C4184">
        <v>1.05790827386122</v>
      </c>
      <c r="D4184">
        <v>1.1083376831806799</v>
      </c>
      <c r="E4184">
        <v>1.14503821203167</v>
      </c>
      <c r="F4184">
        <v>1.1152401482413601</v>
      </c>
      <c r="G4184">
        <v>0.91356485158590495</v>
      </c>
      <c r="H4184">
        <v>0.57072120656532199</v>
      </c>
      <c r="I4184">
        <v>0.68393813715524499</v>
      </c>
      <c r="J4184">
        <v>0.66125670122487501</v>
      </c>
      <c r="K4184">
        <v>0.73270687211849495</v>
      </c>
      <c r="L4184">
        <v>14260.6445640742</v>
      </c>
      <c r="M4184">
        <v>250</v>
      </c>
      <c r="O4184">
        <v>57.038917463841997</v>
      </c>
      <c r="P4184">
        <v>-0.370190466329957</v>
      </c>
      <c r="Q4184">
        <v>0.66215572306925297</v>
      </c>
      <c r="R4184">
        <v>0.85123867161035904</v>
      </c>
      <c r="S4184" t="s">
        <v>11187</v>
      </c>
      <c r="T4184" t="s">
        <v>14004</v>
      </c>
      <c r="U4184" t="s">
        <v>14004</v>
      </c>
      <c r="V4184" t="s">
        <v>14004</v>
      </c>
      <c r="W4184" t="s">
        <v>18135</v>
      </c>
      <c r="X4184">
        <v>2</v>
      </c>
      <c r="Y4184" t="s">
        <v>23005</v>
      </c>
      <c r="Z4184" t="s">
        <v>31894</v>
      </c>
      <c r="AA4184">
        <v>0.8541141285347329</v>
      </c>
      <c r="AB4184" t="str">
        <f>HYPERLINK("Melting_Curves/meltCurve_Q6EEV4_2_POLR2M.pdf", "Melting_Curves/meltCurve_Q6EEV4_2_POLR2M.pdf")</f>
        <v>Melting_Curves/meltCurve_Q6EEV4_2_POLR2M.pdf</v>
      </c>
    </row>
    <row r="4185" spans="1:28" x14ac:dyDescent="0.25">
      <c r="A4185" t="s">
        <v>4189</v>
      </c>
      <c r="B4185">
        <v>0.99999676499088797</v>
      </c>
      <c r="C4185">
        <v>0.947289931459251</v>
      </c>
      <c r="D4185">
        <v>1.02401399263118</v>
      </c>
      <c r="E4185">
        <v>0.806707957802003</v>
      </c>
      <c r="F4185">
        <v>0.314487019353274</v>
      </c>
      <c r="G4185">
        <v>0.17520891981028999</v>
      </c>
      <c r="H4185">
        <v>9.7258608430602994E-2</v>
      </c>
      <c r="I4185">
        <v>9.4952436637119206E-2</v>
      </c>
      <c r="J4185">
        <v>9.8678257803041194E-2</v>
      </c>
      <c r="K4185">
        <v>0.103196840247416</v>
      </c>
      <c r="L4185">
        <v>1774.30963200873</v>
      </c>
      <c r="M4185">
        <v>34.477144502111202</v>
      </c>
      <c r="N4185">
        <v>51.815104098493897</v>
      </c>
      <c r="O4185">
        <v>51.291144036130603</v>
      </c>
      <c r="P4185">
        <v>-0.15051317407661299</v>
      </c>
      <c r="Q4185">
        <v>0.104338356818404</v>
      </c>
      <c r="R4185">
        <v>0.99628056332779802</v>
      </c>
      <c r="S4185" t="s">
        <v>11188</v>
      </c>
      <c r="T4185" t="s">
        <v>14004</v>
      </c>
      <c r="U4185" t="s">
        <v>14004</v>
      </c>
      <c r="V4185" t="s">
        <v>14004</v>
      </c>
      <c r="W4185" t="s">
        <v>18136</v>
      </c>
      <c r="X4185">
        <v>19</v>
      </c>
      <c r="Y4185" t="s">
        <v>24950</v>
      </c>
      <c r="Z4185" t="s">
        <v>31895</v>
      </c>
      <c r="AA4185">
        <v>0.45087616141626341</v>
      </c>
      <c r="AB4185" t="str">
        <f>HYPERLINK("Melting_Curves/meltCurve_Q6FI81_CIAPIN1.pdf", "Melting_Curves/meltCurve_Q6FI81_CIAPIN1.pdf")</f>
        <v>Melting_Curves/meltCurve_Q6FI81_CIAPIN1.pdf</v>
      </c>
    </row>
    <row r="4186" spans="1:28" x14ac:dyDescent="0.25">
      <c r="A4186" t="s">
        <v>4190</v>
      </c>
      <c r="B4186">
        <v>0.99999676499088797</v>
      </c>
      <c r="C4186">
        <v>0.94759681634959803</v>
      </c>
      <c r="D4186">
        <v>1.0441386662715799</v>
      </c>
      <c r="E4186">
        <v>0.919520531018437</v>
      </c>
      <c r="F4186">
        <v>0.93050265154332901</v>
      </c>
      <c r="G4186">
        <v>0.88403377052808496</v>
      </c>
      <c r="H4186">
        <v>0.60646022702768798</v>
      </c>
      <c r="I4186">
        <v>0.70790701378867604</v>
      </c>
      <c r="J4186">
        <v>0.63604759821010104</v>
      </c>
      <c r="K4186">
        <v>0.69079731685023404</v>
      </c>
      <c r="L4186">
        <v>14237.3257654483</v>
      </c>
      <c r="M4186">
        <v>250</v>
      </c>
      <c r="O4186">
        <v>56.945658748914703</v>
      </c>
      <c r="P4186">
        <v>-0.37283018579583799</v>
      </c>
      <c r="Q4186">
        <v>0.66030303227861697</v>
      </c>
      <c r="R4186">
        <v>0.90181559949678403</v>
      </c>
      <c r="S4186" t="s">
        <v>11189</v>
      </c>
      <c r="T4186" t="s">
        <v>14004</v>
      </c>
      <c r="U4186" t="s">
        <v>14004</v>
      </c>
      <c r="V4186" t="s">
        <v>14004</v>
      </c>
      <c r="W4186" t="s">
        <v>18137</v>
      </c>
      <c r="X4186">
        <v>8</v>
      </c>
      <c r="Y4186" t="s">
        <v>24951</v>
      </c>
      <c r="Z4186" t="s">
        <v>31896</v>
      </c>
      <c r="AA4186">
        <v>0.85225787850919588</v>
      </c>
      <c r="AB4186" t="str">
        <f>HYPERLINK("Melting_Curves/meltCurve_Q6FIF0_2_ZFAND6.pdf", "Melting_Curves/meltCurve_Q6FIF0_2_ZFAND6.pdf")</f>
        <v>Melting_Curves/meltCurve_Q6FIF0_2_ZFAND6.pdf</v>
      </c>
    </row>
    <row r="4187" spans="1:28" x14ac:dyDescent="0.25">
      <c r="A4187" t="s">
        <v>4191</v>
      </c>
      <c r="B4187">
        <v>0.99999676499088797</v>
      </c>
      <c r="C4187">
        <v>1.0657470466748999</v>
      </c>
      <c r="D4187">
        <v>1.07614234155941</v>
      </c>
      <c r="E4187">
        <v>1.16497779384381</v>
      </c>
      <c r="F4187">
        <v>0.89062873200781001</v>
      </c>
      <c r="G4187">
        <v>0.350003970739937</v>
      </c>
      <c r="H4187">
        <v>0.15001732267221701</v>
      </c>
      <c r="I4187">
        <v>0.14579846299433499</v>
      </c>
      <c r="J4187">
        <v>0.148229918667141</v>
      </c>
      <c r="K4187">
        <v>0.117831443409997</v>
      </c>
      <c r="L4187">
        <v>2681.65314758351</v>
      </c>
      <c r="M4187">
        <v>48.350188401733703</v>
      </c>
      <c r="N4187">
        <v>55.834298727744503</v>
      </c>
      <c r="O4187">
        <v>55.368514826985297</v>
      </c>
      <c r="P4187">
        <v>-0.18830703627489001</v>
      </c>
      <c r="Q4187">
        <v>0.13743713210365799</v>
      </c>
      <c r="R4187">
        <v>0.97963438060517505</v>
      </c>
      <c r="S4187" t="s">
        <v>11190</v>
      </c>
      <c r="T4187" t="s">
        <v>14004</v>
      </c>
      <c r="U4187" t="s">
        <v>14004</v>
      </c>
      <c r="V4187" t="s">
        <v>14004</v>
      </c>
      <c r="W4187" t="s">
        <v>18138</v>
      </c>
      <c r="X4187">
        <v>11</v>
      </c>
      <c r="Y4187" t="s">
        <v>24952</v>
      </c>
      <c r="Z4187" t="s">
        <v>31897</v>
      </c>
      <c r="AA4187">
        <v>0.58428993800005402</v>
      </c>
      <c r="AB4187" t="str">
        <f>HYPERLINK("Melting_Curves/meltCurve_Q6GMV2_SMYD5.pdf", "Melting_Curves/meltCurve_Q6GMV2_SMYD5.pdf")</f>
        <v>Melting_Curves/meltCurve_Q6GMV2_SMYD5.pdf</v>
      </c>
    </row>
    <row r="4188" spans="1:28" x14ac:dyDescent="0.25">
      <c r="A4188" t="s">
        <v>4192</v>
      </c>
      <c r="B4188">
        <v>0.99999676499088797</v>
      </c>
      <c r="C4188">
        <v>1.01653613768267</v>
      </c>
      <c r="D4188">
        <v>0.99914949513372597</v>
      </c>
      <c r="E4188">
        <v>0.97143099321597504</v>
      </c>
      <c r="F4188">
        <v>0.95528660340678795</v>
      </c>
      <c r="G4188">
        <v>0.90633818741692995</v>
      </c>
      <c r="H4188">
        <v>0.59031549304825803</v>
      </c>
      <c r="I4188">
        <v>0.41745304170271003</v>
      </c>
      <c r="J4188">
        <v>0.311593711535949</v>
      </c>
      <c r="K4188">
        <v>0.35105096326222102</v>
      </c>
      <c r="L4188">
        <v>1831.5546350959301</v>
      </c>
      <c r="M4188">
        <v>30.5145998036995</v>
      </c>
      <c r="N4188">
        <v>62.080758251726898</v>
      </c>
      <c r="O4188">
        <v>59.766238760274902</v>
      </c>
      <c r="P4188">
        <v>-8.7023875887214303E-2</v>
      </c>
      <c r="Q4188">
        <v>0.318220510496942</v>
      </c>
      <c r="R4188">
        <v>0.99515739431348205</v>
      </c>
      <c r="S4188" t="s">
        <v>11191</v>
      </c>
      <c r="T4188" t="s">
        <v>14004</v>
      </c>
      <c r="U4188" t="s">
        <v>14004</v>
      </c>
      <c r="V4188" t="s">
        <v>14004</v>
      </c>
      <c r="W4188" t="s">
        <v>18139</v>
      </c>
      <c r="X4188">
        <v>10</v>
      </c>
      <c r="Y4188" t="s">
        <v>24953</v>
      </c>
      <c r="Z4188" t="s">
        <v>31898</v>
      </c>
      <c r="AA4188">
        <v>0.77729106539152071</v>
      </c>
      <c r="AB4188" t="str">
        <f>HYPERLINK("Melting_Curves/meltCurve_Q6GMV3_PTRHD1.pdf", "Melting_Curves/meltCurve_Q6GMV3_PTRHD1.pdf")</f>
        <v>Melting_Curves/meltCurve_Q6GMV3_PTRHD1.pdf</v>
      </c>
    </row>
    <row r="4189" spans="1:28" x14ac:dyDescent="0.25">
      <c r="A4189" t="s">
        <v>4193</v>
      </c>
      <c r="B4189">
        <v>0.99999676499088797</v>
      </c>
      <c r="C4189">
        <v>1.0051651732959399</v>
      </c>
      <c r="D4189">
        <v>0.94926664397785299</v>
      </c>
      <c r="E4189">
        <v>0.35004768535115199</v>
      </c>
      <c r="F4189">
        <v>0.22494469545874701</v>
      </c>
      <c r="G4189">
        <v>0.15783515156338401</v>
      </c>
      <c r="H4189">
        <v>0.111751590942816</v>
      </c>
      <c r="I4189">
        <v>0.11048627044435499</v>
      </c>
      <c r="J4189">
        <v>9.9394644542499799E-2</v>
      </c>
      <c r="K4189">
        <v>7.6284661063131198E-2</v>
      </c>
      <c r="L4189">
        <v>2168.7848401517499</v>
      </c>
      <c r="M4189">
        <v>44.698548804314797</v>
      </c>
      <c r="N4189">
        <v>48.835224130523798</v>
      </c>
      <c r="O4189">
        <v>48.423435065897998</v>
      </c>
      <c r="P4189">
        <v>-0.201870524719341</v>
      </c>
      <c r="Q4189">
        <v>0.125228759689863</v>
      </c>
      <c r="R4189">
        <v>0.99192524725556297</v>
      </c>
      <c r="S4189" t="s">
        <v>11192</v>
      </c>
      <c r="T4189" t="s">
        <v>14004</v>
      </c>
      <c r="U4189" t="s">
        <v>14004</v>
      </c>
      <c r="V4189" t="s">
        <v>14004</v>
      </c>
      <c r="W4189" t="s">
        <v>18140</v>
      </c>
      <c r="X4189">
        <v>3</v>
      </c>
      <c r="Y4189" t="s">
        <v>24954</v>
      </c>
      <c r="Z4189" t="s">
        <v>31899</v>
      </c>
      <c r="AA4189">
        <v>0.3760185814091675</v>
      </c>
      <c r="AB4189" t="str">
        <f>HYPERLINK("Melting_Curves/meltCurve_Q6GQQ9_2_OTUD7B.pdf", "Melting_Curves/meltCurve_Q6GQQ9_2_OTUD7B.pdf")</f>
        <v>Melting_Curves/meltCurve_Q6GQQ9_2_OTUD7B.pdf</v>
      </c>
    </row>
    <row r="4190" spans="1:28" x14ac:dyDescent="0.25">
      <c r="A4190" t="s">
        <v>4194</v>
      </c>
      <c r="B4190">
        <v>0.99999676499088797</v>
      </c>
      <c r="C4190">
        <v>1.0103682631542701</v>
      </c>
      <c r="D4190">
        <v>1.04484282205158</v>
      </c>
      <c r="E4190">
        <v>0.99471978699890395</v>
      </c>
      <c r="F4190">
        <v>0.836306644018177</v>
      </c>
      <c r="G4190">
        <v>0.81419840051817405</v>
      </c>
      <c r="H4190">
        <v>0.58874234349490595</v>
      </c>
      <c r="I4190">
        <v>0.61595276396961196</v>
      </c>
      <c r="J4190">
        <v>0.56707445862073902</v>
      </c>
      <c r="K4190">
        <v>0.65362615921116096</v>
      </c>
      <c r="L4190">
        <v>1236.04061011148</v>
      </c>
      <c r="M4190">
        <v>22.2416191848293</v>
      </c>
      <c r="O4190">
        <v>55.1299277120875</v>
      </c>
      <c r="P4190">
        <v>-4.0983005474146399E-2</v>
      </c>
      <c r="Q4190">
        <v>0.593673168019763</v>
      </c>
      <c r="R4190">
        <v>0.94727693764347398</v>
      </c>
      <c r="S4190" t="s">
        <v>11193</v>
      </c>
      <c r="T4190" t="s">
        <v>14004</v>
      </c>
      <c r="U4190" t="s">
        <v>14004</v>
      </c>
      <c r="V4190" t="s">
        <v>14004</v>
      </c>
      <c r="W4190" t="s">
        <v>18141</v>
      </c>
      <c r="X4190">
        <v>9</v>
      </c>
      <c r="Y4190" t="s">
        <v>24955</v>
      </c>
      <c r="Z4190" t="s">
        <v>31900</v>
      </c>
      <c r="AA4190">
        <v>0.80913856965627318</v>
      </c>
      <c r="AB4190" t="str">
        <f>HYPERLINK("Melting_Curves/meltCurve_Q6GYA4_SELS.pdf", "Melting_Curves/meltCurve_Q6GYA4_SELS.pdf")</f>
        <v>Melting_Curves/meltCurve_Q6GYA4_SELS.pdf</v>
      </c>
    </row>
    <row r="4191" spans="1:28" x14ac:dyDescent="0.25">
      <c r="A4191" t="s">
        <v>4195</v>
      </c>
      <c r="B4191">
        <v>0.99999676499088797</v>
      </c>
      <c r="C4191">
        <v>1.07715856159206</v>
      </c>
      <c r="D4191">
        <v>1.00584730192615</v>
      </c>
      <c r="E4191">
        <v>0.72850443136652698</v>
      </c>
      <c r="F4191">
        <v>0.41733790298301199</v>
      </c>
      <c r="G4191">
        <v>0.21733753608112999</v>
      </c>
      <c r="H4191">
        <v>0.13204806761657301</v>
      </c>
      <c r="I4191">
        <v>0.14650125441904299</v>
      </c>
      <c r="J4191">
        <v>0.118223821759977</v>
      </c>
      <c r="K4191">
        <v>9.8471019981945102E-2</v>
      </c>
      <c r="L4191">
        <v>1247.67493236885</v>
      </c>
      <c r="M4191">
        <v>24.171506646961401</v>
      </c>
      <c r="N4191">
        <v>52.199024397556101</v>
      </c>
      <c r="O4191">
        <v>51.268184199881503</v>
      </c>
      <c r="P4191">
        <v>-0.103958723051045</v>
      </c>
      <c r="Q4191">
        <v>0.118020556297323</v>
      </c>
      <c r="R4191">
        <v>0.99247773610747803</v>
      </c>
      <c r="S4191" t="s">
        <v>11194</v>
      </c>
      <c r="T4191" t="s">
        <v>14004</v>
      </c>
      <c r="U4191" t="s">
        <v>14004</v>
      </c>
      <c r="V4191" t="s">
        <v>14004</v>
      </c>
      <c r="W4191" t="s">
        <v>18142</v>
      </c>
      <c r="X4191">
        <v>7</v>
      </c>
      <c r="Y4191" t="s">
        <v>24956</v>
      </c>
      <c r="Z4191" t="s">
        <v>31901</v>
      </c>
      <c r="AA4191">
        <v>0.46813075151904471</v>
      </c>
      <c r="AB4191" t="str">
        <f>HYPERLINK("Melting_Curves/meltCurve_Q6GYQ0_4_RALGAPA1.pdf", "Melting_Curves/meltCurve_Q6GYQ0_4_RALGAPA1.pdf")</f>
        <v>Melting_Curves/meltCurve_Q6GYQ0_4_RALGAPA1.pdf</v>
      </c>
    </row>
    <row r="4192" spans="1:28" x14ac:dyDescent="0.25">
      <c r="A4192" t="s">
        <v>4196</v>
      </c>
      <c r="B4192">
        <v>0.99999676499088797</v>
      </c>
      <c r="C4192">
        <v>0.993159493641529</v>
      </c>
      <c r="D4192">
        <v>0.95874097293993799</v>
      </c>
      <c r="E4192">
        <v>0.70786816145473797</v>
      </c>
      <c r="F4192">
        <v>0.35087714163600398</v>
      </c>
      <c r="G4192">
        <v>0.19166386439375599</v>
      </c>
      <c r="H4192">
        <v>0.102550525682367</v>
      </c>
      <c r="I4192">
        <v>9.0063658279498804E-2</v>
      </c>
      <c r="J4192">
        <v>8.8771719817678896E-2</v>
      </c>
      <c r="K4192">
        <v>7.7562873294164794E-2</v>
      </c>
      <c r="L4192">
        <v>1194.94262201487</v>
      </c>
      <c r="M4192">
        <v>23.306436171811502</v>
      </c>
      <c r="N4192">
        <v>51.677850220348397</v>
      </c>
      <c r="O4192">
        <v>50.897936648843299</v>
      </c>
      <c r="P4192">
        <v>-0.10488137751806401</v>
      </c>
      <c r="Q4192">
        <v>8.3832197174236095E-2</v>
      </c>
      <c r="R4192">
        <v>0.99933910280968297</v>
      </c>
      <c r="S4192" t="s">
        <v>11195</v>
      </c>
      <c r="T4192" t="s">
        <v>14004</v>
      </c>
      <c r="U4192" t="s">
        <v>14004</v>
      </c>
      <c r="V4192" t="s">
        <v>14004</v>
      </c>
      <c r="W4192" t="s">
        <v>18143</v>
      </c>
      <c r="X4192">
        <v>12</v>
      </c>
      <c r="Y4192" t="s">
        <v>24957</v>
      </c>
      <c r="Z4192" t="s">
        <v>31902</v>
      </c>
      <c r="AA4192">
        <v>0.43754772207994819</v>
      </c>
      <c r="AB4192" t="str">
        <f>HYPERLINK("Melting_Curves/meltCurve_Q6I9Y2_THOC7.pdf", "Melting_Curves/meltCurve_Q6I9Y2_THOC7.pdf")</f>
        <v>Melting_Curves/meltCurve_Q6I9Y2_THOC7.pdf</v>
      </c>
    </row>
    <row r="4193" spans="1:28" x14ac:dyDescent="0.25">
      <c r="A4193" t="s">
        <v>4197</v>
      </c>
      <c r="B4193">
        <v>0.99999676499088797</v>
      </c>
      <c r="C4193">
        <v>0.99537995387568401</v>
      </c>
      <c r="D4193">
        <v>0.89065040373453896</v>
      </c>
      <c r="E4193">
        <v>0.72279241958972595</v>
      </c>
      <c r="F4193">
        <v>0.24890994829044599</v>
      </c>
      <c r="G4193">
        <v>0.15660550872581699</v>
      </c>
      <c r="H4193">
        <v>8.5721502677573502E-2</v>
      </c>
      <c r="I4193">
        <v>8.3173509219153605E-2</v>
      </c>
      <c r="J4193">
        <v>8.7861560341703795E-2</v>
      </c>
      <c r="K4193">
        <v>6.7641798166057795E-2</v>
      </c>
      <c r="L4193">
        <v>1409.1251505535699</v>
      </c>
      <c r="M4193">
        <v>27.741194707471699</v>
      </c>
      <c r="N4193">
        <v>51.116644639916899</v>
      </c>
      <c r="O4193">
        <v>50.533636954727797</v>
      </c>
      <c r="P4193">
        <v>-0.12626386469694001</v>
      </c>
      <c r="Q4193">
        <v>7.9993907858015897E-2</v>
      </c>
      <c r="R4193">
        <v>0.99525567958179795</v>
      </c>
      <c r="S4193" t="s">
        <v>11196</v>
      </c>
      <c r="T4193" t="s">
        <v>14004</v>
      </c>
      <c r="U4193" t="s">
        <v>14004</v>
      </c>
      <c r="V4193" t="s">
        <v>14004</v>
      </c>
      <c r="W4193" t="s">
        <v>18144</v>
      </c>
      <c r="X4193">
        <v>3</v>
      </c>
      <c r="Y4193" t="s">
        <v>24958</v>
      </c>
      <c r="Z4193" t="s">
        <v>31903</v>
      </c>
      <c r="AA4193">
        <v>0.41779859774527739</v>
      </c>
      <c r="AB4193" t="str">
        <f>HYPERLINK("Melting_Curves/meltCurve_Q6IA17_SIGIRR.pdf", "Melting_Curves/meltCurve_Q6IA17_SIGIRR.pdf")</f>
        <v>Melting_Curves/meltCurve_Q6IA17_SIGIRR.pdf</v>
      </c>
    </row>
    <row r="4194" spans="1:28" x14ac:dyDescent="0.25">
      <c r="A4194" t="s">
        <v>4198</v>
      </c>
      <c r="B4194">
        <v>0.99999676499088797</v>
      </c>
      <c r="C4194">
        <v>1.02096689338141</v>
      </c>
      <c r="D4194">
        <v>0.97885287435716395</v>
      </c>
      <c r="E4194">
        <v>0.86504337388471997</v>
      </c>
      <c r="F4194">
        <v>0.83686748696910995</v>
      </c>
      <c r="G4194">
        <v>0.66087690475681005</v>
      </c>
      <c r="H4194">
        <v>0.33723828306855502</v>
      </c>
      <c r="I4194">
        <v>0.18120828884823201</v>
      </c>
      <c r="J4194">
        <v>0.114961464799005</v>
      </c>
      <c r="K4194">
        <v>9.6895629382455203E-2</v>
      </c>
      <c r="L4194">
        <v>925.64762698669699</v>
      </c>
      <c r="M4194">
        <v>15.827133017194299</v>
      </c>
      <c r="N4194">
        <v>58.514159260171802</v>
      </c>
      <c r="O4194">
        <v>57.575054160916203</v>
      </c>
      <c r="P4194">
        <v>-6.8458236919500301E-2</v>
      </c>
      <c r="Q4194">
        <v>3.9470280403311898E-3</v>
      </c>
      <c r="R4194">
        <v>0.99208059948939598</v>
      </c>
      <c r="S4194" t="s">
        <v>11197</v>
      </c>
      <c r="T4194" t="s">
        <v>14004</v>
      </c>
      <c r="U4194" t="s">
        <v>14004</v>
      </c>
      <c r="V4194" t="s">
        <v>14004</v>
      </c>
      <c r="W4194" t="s">
        <v>18145</v>
      </c>
      <c r="X4194">
        <v>9</v>
      </c>
      <c r="Y4194" t="s">
        <v>24959</v>
      </c>
      <c r="Z4194" t="s">
        <v>31904</v>
      </c>
      <c r="AA4194">
        <v>0.62969792474566799</v>
      </c>
      <c r="AB4194" t="str">
        <f>HYPERLINK("Melting_Curves/meltCurve_Q6IA69_NADSYN1.pdf", "Melting_Curves/meltCurve_Q6IA69_NADSYN1.pdf")</f>
        <v>Melting_Curves/meltCurve_Q6IA69_NADSYN1.pdf</v>
      </c>
    </row>
    <row r="4195" spans="1:28" x14ac:dyDescent="0.25">
      <c r="A4195" t="s">
        <v>4199</v>
      </c>
      <c r="B4195">
        <v>0.99999676499088797</v>
      </c>
      <c r="C4195">
        <v>0.88339355495358096</v>
      </c>
      <c r="D4195">
        <v>0.91988257750556901</v>
      </c>
      <c r="E4195">
        <v>0.92075675050459704</v>
      </c>
      <c r="F4195">
        <v>0.75148911545457098</v>
      </c>
      <c r="G4195">
        <v>0.405879671308571</v>
      </c>
      <c r="H4195">
        <v>0.18754992566245199</v>
      </c>
      <c r="I4195">
        <v>9.0705692318443498E-2</v>
      </c>
      <c r="J4195">
        <v>8.0631790772164702E-2</v>
      </c>
      <c r="K4195">
        <v>6.7507754316410498E-2</v>
      </c>
      <c r="L4195">
        <v>1145.4529985634599</v>
      </c>
      <c r="M4195">
        <v>20.613244223164799</v>
      </c>
      <c r="N4195">
        <v>55.833649590862798</v>
      </c>
      <c r="O4195">
        <v>55.053736680425502</v>
      </c>
      <c r="P4195">
        <v>-8.9247771798155698E-2</v>
      </c>
      <c r="Q4195">
        <v>4.6577804521654102E-2</v>
      </c>
      <c r="R4195">
        <v>0.98702027901942802</v>
      </c>
      <c r="S4195" t="s">
        <v>11198</v>
      </c>
      <c r="T4195" t="s">
        <v>14004</v>
      </c>
      <c r="U4195" t="s">
        <v>14004</v>
      </c>
      <c r="V4195" t="s">
        <v>14004</v>
      </c>
      <c r="W4195" t="s">
        <v>18146</v>
      </c>
      <c r="X4195">
        <v>18</v>
      </c>
      <c r="Y4195" t="s">
        <v>24960</v>
      </c>
      <c r="Z4195" t="s">
        <v>31905</v>
      </c>
      <c r="AA4195">
        <v>0.55331358957056997</v>
      </c>
      <c r="AB4195" t="str">
        <f>HYPERLINK("Melting_Curves/meltCurve_Q6IA86_3_ELP2.pdf", "Melting_Curves/meltCurve_Q6IA86_3_ELP2.pdf")</f>
        <v>Melting_Curves/meltCurve_Q6IA86_3_ELP2.pdf</v>
      </c>
    </row>
    <row r="4196" spans="1:28" x14ac:dyDescent="0.25">
      <c r="A4196" t="s">
        <v>4200</v>
      </c>
      <c r="B4196">
        <v>0.99999676499088797</v>
      </c>
      <c r="C4196">
        <v>1.00006815367561</v>
      </c>
      <c r="D4196">
        <v>0.97325342522671898</v>
      </c>
      <c r="E4196">
        <v>0.90392572272718497</v>
      </c>
      <c r="F4196">
        <v>0.79245682771859305</v>
      </c>
      <c r="G4196">
        <v>0.73451270885958697</v>
      </c>
      <c r="H4196">
        <v>0.423934308077549</v>
      </c>
      <c r="I4196">
        <v>0.30358649033296597</v>
      </c>
      <c r="J4196">
        <v>0.23379369335331199</v>
      </c>
      <c r="K4196">
        <v>0.18454043225149699</v>
      </c>
      <c r="L4196">
        <v>760.26727484994501</v>
      </c>
      <c r="M4196">
        <v>12.798205476777399</v>
      </c>
      <c r="N4196">
        <v>59.921565798319698</v>
      </c>
      <c r="O4196">
        <v>58.009913668762003</v>
      </c>
      <c r="P4196">
        <v>-5.2280108947023701E-2</v>
      </c>
      <c r="Q4196">
        <v>5.2306104692769202E-2</v>
      </c>
      <c r="R4196">
        <v>0.991140881156783</v>
      </c>
      <c r="S4196" t="s">
        <v>11199</v>
      </c>
      <c r="T4196" t="s">
        <v>14004</v>
      </c>
      <c r="U4196" t="s">
        <v>14004</v>
      </c>
      <c r="V4196" t="s">
        <v>14004</v>
      </c>
      <c r="W4196" t="s">
        <v>18147</v>
      </c>
      <c r="X4196">
        <v>6</v>
      </c>
      <c r="Y4196" t="s">
        <v>24961</v>
      </c>
      <c r="Z4196" t="s">
        <v>31906</v>
      </c>
      <c r="AA4196">
        <v>0.67198130383565957</v>
      </c>
      <c r="AB4196" t="str">
        <f>HYPERLINK("Melting_Curves/meltCurve_Q6IAA8_LAMTOR1.pdf", "Melting_Curves/meltCurve_Q6IAA8_LAMTOR1.pdf")</f>
        <v>Melting_Curves/meltCurve_Q6IAA8_LAMTOR1.pdf</v>
      </c>
    </row>
    <row r="4197" spans="1:28" x14ac:dyDescent="0.25">
      <c r="A4197" t="s">
        <v>4201</v>
      </c>
      <c r="B4197">
        <v>0.99999676499088797</v>
      </c>
      <c r="C4197">
        <v>1.0258226194331901</v>
      </c>
      <c r="D4197">
        <v>0.92507593450784797</v>
      </c>
      <c r="E4197">
        <v>0.54926219093048101</v>
      </c>
      <c r="F4197">
        <v>0.18102427222780601</v>
      </c>
      <c r="G4197">
        <v>9.6432432216449301E-2</v>
      </c>
      <c r="H4197">
        <v>5.7677565894061499E-2</v>
      </c>
      <c r="I4197">
        <v>4.19097556305403E-2</v>
      </c>
      <c r="J4197">
        <v>5.3884878757985498E-2</v>
      </c>
      <c r="K4197">
        <v>3.1417237322779699E-2</v>
      </c>
      <c r="L4197">
        <v>1437.2895854564399</v>
      </c>
      <c r="M4197">
        <v>28.850700019645799</v>
      </c>
      <c r="N4197">
        <v>49.997323532428901</v>
      </c>
      <c r="O4197">
        <v>49.580681461803302</v>
      </c>
      <c r="P4197">
        <v>-0.138331349050273</v>
      </c>
      <c r="Q4197">
        <v>4.9103092394593303E-2</v>
      </c>
      <c r="R4197">
        <v>0.99874702085203004</v>
      </c>
      <c r="S4197" t="s">
        <v>11200</v>
      </c>
      <c r="T4197" t="s">
        <v>14004</v>
      </c>
      <c r="U4197" t="s">
        <v>14004</v>
      </c>
      <c r="V4197" t="s">
        <v>14004</v>
      </c>
      <c r="W4197" t="s">
        <v>18148</v>
      </c>
      <c r="X4197">
        <v>2</v>
      </c>
      <c r="Y4197" t="s">
        <v>24962</v>
      </c>
      <c r="Z4197" t="s">
        <v>31907</v>
      </c>
      <c r="AA4197">
        <v>0.36665355899465651</v>
      </c>
      <c r="AB4197" t="str">
        <f>HYPERLINK("Melting_Curves/meltCurve_Q6IAN0_DHRS7B.pdf", "Melting_Curves/meltCurve_Q6IAN0_DHRS7B.pdf")</f>
        <v>Melting_Curves/meltCurve_Q6IAN0_DHRS7B.pdf</v>
      </c>
    </row>
    <row r="4198" spans="1:28" x14ac:dyDescent="0.25">
      <c r="A4198" t="s">
        <v>4202</v>
      </c>
      <c r="B4198">
        <v>0.99999676499088797</v>
      </c>
      <c r="C4198">
        <v>0.98755539179860397</v>
      </c>
      <c r="D4198">
        <v>0.99063610103056499</v>
      </c>
      <c r="E4198">
        <v>0.95707631869813903</v>
      </c>
      <c r="F4198">
        <v>0.52059819267827001</v>
      </c>
      <c r="G4198">
        <v>0.225978967778829</v>
      </c>
      <c r="H4198">
        <v>9.2646272343585398E-2</v>
      </c>
      <c r="I4198">
        <v>7.8698006930250197E-2</v>
      </c>
      <c r="J4198">
        <v>7.2256287240715603E-2</v>
      </c>
      <c r="K4198">
        <v>6.4329537117816193E-2</v>
      </c>
      <c r="L4198">
        <v>1667.91512914484</v>
      </c>
      <c r="M4198">
        <v>31.306339264507201</v>
      </c>
      <c r="N4198">
        <v>53.557684067811699</v>
      </c>
      <c r="O4198">
        <v>53.061284742110601</v>
      </c>
      <c r="P4198">
        <v>-0.136350454473427</v>
      </c>
      <c r="Q4198">
        <v>7.5600976310711498E-2</v>
      </c>
      <c r="R4198">
        <v>0.99777452144622203</v>
      </c>
      <c r="S4198" t="s">
        <v>11201</v>
      </c>
      <c r="T4198" t="s">
        <v>14004</v>
      </c>
      <c r="U4198" t="s">
        <v>14004</v>
      </c>
      <c r="V4198" t="s">
        <v>14004</v>
      </c>
      <c r="W4198" t="s">
        <v>18149</v>
      </c>
      <c r="X4198">
        <v>18</v>
      </c>
      <c r="Y4198" t="s">
        <v>24963</v>
      </c>
      <c r="Z4198" t="s">
        <v>31908</v>
      </c>
      <c r="AA4198">
        <v>0.49025200743757719</v>
      </c>
      <c r="AB4198" t="str">
        <f>HYPERLINK("Melting_Curves/meltCurve_Q6IBS0_TWF2.pdf", "Melting_Curves/meltCurve_Q6IBS0_TWF2.pdf")</f>
        <v>Melting_Curves/meltCurve_Q6IBS0_TWF2.pdf</v>
      </c>
    </row>
    <row r="4199" spans="1:28" x14ac:dyDescent="0.25">
      <c r="A4199" t="s">
        <v>4203</v>
      </c>
      <c r="B4199">
        <v>0.99999676499088797</v>
      </c>
      <c r="C4199">
        <v>0.91651099966629301</v>
      </c>
      <c r="D4199">
        <v>0.80248235797702605</v>
      </c>
      <c r="E4199">
        <v>0.44398940713349999</v>
      </c>
      <c r="F4199">
        <v>0.27920590615922503</v>
      </c>
      <c r="G4199">
        <v>0.21280015277967801</v>
      </c>
      <c r="H4199">
        <v>0.113653554613522</v>
      </c>
      <c r="I4199">
        <v>0.10303639269202</v>
      </c>
      <c r="J4199">
        <v>0.10036388549759399</v>
      </c>
      <c r="K4199">
        <v>9.5128229726488905E-2</v>
      </c>
      <c r="L4199">
        <v>869.41619278164501</v>
      </c>
      <c r="M4199">
        <v>17.8228544160051</v>
      </c>
      <c r="N4199">
        <v>49.399107738325199</v>
      </c>
      <c r="O4199">
        <v>48.179293836629398</v>
      </c>
      <c r="P4199">
        <v>-8.3242625957537203E-2</v>
      </c>
      <c r="Q4199">
        <v>9.9949916141447298E-2</v>
      </c>
      <c r="R4199">
        <v>0.99528590692700403</v>
      </c>
      <c r="S4199" t="s">
        <v>11202</v>
      </c>
      <c r="T4199" t="s">
        <v>14004</v>
      </c>
      <c r="U4199" t="s">
        <v>14004</v>
      </c>
      <c r="V4199" t="s">
        <v>14004</v>
      </c>
      <c r="W4199" t="s">
        <v>18150</v>
      </c>
      <c r="X4199">
        <v>4</v>
      </c>
      <c r="Y4199" t="s">
        <v>24964</v>
      </c>
      <c r="Z4199" t="s">
        <v>31909</v>
      </c>
      <c r="AA4199">
        <v>0.37936597043533832</v>
      </c>
      <c r="AB4199" t="str">
        <f>HYPERLINK("Melting_Curves/meltCurve_Q6IBW4_2_NCAPH2.pdf", "Melting_Curves/meltCurve_Q6IBW4_2_NCAPH2.pdf")</f>
        <v>Melting_Curves/meltCurve_Q6IBW4_2_NCAPH2.pdf</v>
      </c>
    </row>
    <row r="4200" spans="1:28" x14ac:dyDescent="0.25">
      <c r="A4200" t="s">
        <v>4204</v>
      </c>
      <c r="B4200">
        <v>0.99999676499088797</v>
      </c>
      <c r="C4200">
        <v>0.85221330727855205</v>
      </c>
      <c r="D4200">
        <v>0.54183472046093495</v>
      </c>
      <c r="E4200">
        <v>0.281692426905371</v>
      </c>
      <c r="F4200">
        <v>0.24115804448594599</v>
      </c>
      <c r="G4200">
        <v>0.13832514933753801</v>
      </c>
      <c r="H4200">
        <v>7.57667312069885E-2</v>
      </c>
      <c r="I4200">
        <v>8.0511496019394002E-2</v>
      </c>
      <c r="J4200">
        <v>9.0114518123698403E-2</v>
      </c>
      <c r="K4200">
        <v>5.9970613359903502E-2</v>
      </c>
      <c r="L4200">
        <v>848.78133733143</v>
      </c>
      <c r="M4200">
        <v>18.307792809692199</v>
      </c>
      <c r="N4200">
        <v>46.852738515732597</v>
      </c>
      <c r="O4200">
        <v>45.819250018507397</v>
      </c>
      <c r="P4200">
        <v>-9.1176475323411499E-2</v>
      </c>
      <c r="Q4200">
        <v>8.7286421010572698E-2</v>
      </c>
      <c r="R4200">
        <v>0.98903011179714995</v>
      </c>
      <c r="S4200" t="s">
        <v>11203</v>
      </c>
      <c r="T4200" t="s">
        <v>14004</v>
      </c>
      <c r="U4200" t="s">
        <v>14004</v>
      </c>
      <c r="V4200" t="s">
        <v>14004</v>
      </c>
      <c r="W4200" t="s">
        <v>18151</v>
      </c>
      <c r="X4200">
        <v>6</v>
      </c>
      <c r="Y4200" t="s">
        <v>24965</v>
      </c>
      <c r="Z4200" t="s">
        <v>31910</v>
      </c>
      <c r="AA4200">
        <v>0.29765201555396531</v>
      </c>
      <c r="AB4200" t="str">
        <f>HYPERLINK("Melting_Curves/meltCurve_Q6IC98_GRAMD4.pdf", "Melting_Curves/meltCurve_Q6IC98_GRAMD4.pdf")</f>
        <v>Melting_Curves/meltCurve_Q6IC98_GRAMD4.pdf</v>
      </c>
    </row>
    <row r="4201" spans="1:28" x14ac:dyDescent="0.25">
      <c r="A4201" t="s">
        <v>4205</v>
      </c>
      <c r="B4201">
        <v>0.99999676499088797</v>
      </c>
      <c r="C4201">
        <v>0.764520802184393</v>
      </c>
      <c r="D4201">
        <v>0.53287445346434803</v>
      </c>
      <c r="E4201">
        <v>0.32127857853613401</v>
      </c>
      <c r="F4201">
        <v>0.21066991253876399</v>
      </c>
      <c r="G4201">
        <v>0.13274210092532601</v>
      </c>
      <c r="H4201">
        <v>6.0051932219210402E-2</v>
      </c>
      <c r="I4201">
        <v>7.7805353456181794E-2</v>
      </c>
      <c r="J4201">
        <v>8.4583404245956506E-2</v>
      </c>
      <c r="K4201">
        <v>4.6564982595334398E-2</v>
      </c>
      <c r="L4201">
        <v>709.65351343779901</v>
      </c>
      <c r="M4201">
        <v>15.3131555989671</v>
      </c>
      <c r="N4201">
        <v>46.761062674771999</v>
      </c>
      <c r="O4201">
        <v>45.573979668944098</v>
      </c>
      <c r="P4201">
        <v>-7.8631880128457093E-2</v>
      </c>
      <c r="Q4201">
        <v>6.40116398491994E-2</v>
      </c>
      <c r="R4201">
        <v>0.99030382112355098</v>
      </c>
      <c r="S4201" t="s">
        <v>11204</v>
      </c>
      <c r="T4201" t="s">
        <v>14004</v>
      </c>
      <c r="U4201" t="s">
        <v>14004</v>
      </c>
      <c r="V4201" t="s">
        <v>14004</v>
      </c>
      <c r="W4201" t="s">
        <v>18152</v>
      </c>
      <c r="X4201">
        <v>2</v>
      </c>
      <c r="Y4201" t="s">
        <v>24966</v>
      </c>
      <c r="Z4201" t="s">
        <v>31911</v>
      </c>
      <c r="AA4201">
        <v>0.28737649461228643</v>
      </c>
      <c r="AB4201" t="str">
        <f>HYPERLINK("Melting_Curves/meltCurve_Q6ICB0_DESI1.pdf", "Melting_Curves/meltCurve_Q6ICB0_DESI1.pdf")</f>
        <v>Melting_Curves/meltCurve_Q6ICB0_DESI1.pdf</v>
      </c>
    </row>
    <row r="4202" spans="1:28" x14ac:dyDescent="0.25">
      <c r="A4202" t="s">
        <v>4206</v>
      </c>
      <c r="B4202">
        <v>0.99999676499088797</v>
      </c>
      <c r="C4202">
        <v>1.0124639085764899</v>
      </c>
      <c r="D4202">
        <v>0.90633359843282302</v>
      </c>
      <c r="E4202">
        <v>0.74118585036823703</v>
      </c>
      <c r="F4202">
        <v>0.32740651589486403</v>
      </c>
      <c r="G4202">
        <v>0.258708980656711</v>
      </c>
      <c r="H4202">
        <v>9.1487217291627496E-2</v>
      </c>
      <c r="I4202">
        <v>0.11627058080928</v>
      </c>
      <c r="J4202">
        <v>9.7425859054525499E-2</v>
      </c>
      <c r="K4202">
        <v>7.7977494506741296E-2</v>
      </c>
      <c r="L4202">
        <v>1114.3550644050699</v>
      </c>
      <c r="M4202">
        <v>21.714335249402701</v>
      </c>
      <c r="N4202">
        <v>51.802581947482302</v>
      </c>
      <c r="O4202">
        <v>50.889569796115197</v>
      </c>
      <c r="P4202">
        <v>-9.6887286472968903E-2</v>
      </c>
      <c r="Q4202">
        <v>9.1763823793661006E-2</v>
      </c>
      <c r="R4202">
        <v>0.99254698167474897</v>
      </c>
      <c r="S4202" t="s">
        <v>11205</v>
      </c>
      <c r="T4202" t="s">
        <v>14004</v>
      </c>
      <c r="U4202" t="s">
        <v>14004</v>
      </c>
      <c r="V4202" t="s">
        <v>14004</v>
      </c>
      <c r="W4202" t="s">
        <v>18153</v>
      </c>
      <c r="X4202">
        <v>1</v>
      </c>
      <c r="Y4202" t="s">
        <v>24967</v>
      </c>
      <c r="Z4202" t="s">
        <v>31912</v>
      </c>
      <c r="AA4202">
        <v>0.44523796007699351</v>
      </c>
      <c r="AB4202" t="str">
        <f>HYPERLINK("Melting_Curves/meltCurve_Q6ICH7_ASPHD2.pdf", "Melting_Curves/meltCurve_Q6ICH7_ASPHD2.pdf")</f>
        <v>Melting_Curves/meltCurve_Q6ICH7_ASPHD2.pdf</v>
      </c>
    </row>
    <row r="4203" spans="1:28" x14ac:dyDescent="0.25">
      <c r="A4203" t="s">
        <v>4207</v>
      </c>
      <c r="B4203">
        <v>0.99999676499088797</v>
      </c>
      <c r="C4203">
        <v>0.96255170199576701</v>
      </c>
      <c r="D4203">
        <v>0.94965948926729005</v>
      </c>
      <c r="E4203">
        <v>0.77268261930630799</v>
      </c>
      <c r="F4203">
        <v>0.34043334715659901</v>
      </c>
      <c r="G4203">
        <v>0.137463833220763</v>
      </c>
      <c r="H4203">
        <v>6.2088173263682302E-2</v>
      </c>
      <c r="I4203">
        <v>5.6753391748658698E-2</v>
      </c>
      <c r="J4203">
        <v>5.9851528267235998E-2</v>
      </c>
      <c r="K4203">
        <v>4.7684850741952202E-2</v>
      </c>
      <c r="L4203">
        <v>1373.00561256321</v>
      </c>
      <c r="M4203">
        <v>26.588907868387299</v>
      </c>
      <c r="N4203">
        <v>51.848938762740097</v>
      </c>
      <c r="O4203">
        <v>51.348848503177301</v>
      </c>
      <c r="P4203">
        <v>-0.12282606126942699</v>
      </c>
      <c r="Q4203">
        <v>5.11968508352015E-2</v>
      </c>
      <c r="R4203">
        <v>0.99896243271683005</v>
      </c>
      <c r="S4203" t="s">
        <v>11206</v>
      </c>
      <c r="T4203" t="s">
        <v>14004</v>
      </c>
      <c r="U4203" t="s">
        <v>14004</v>
      </c>
      <c r="V4203" t="s">
        <v>14004</v>
      </c>
      <c r="W4203" t="s">
        <v>18154</v>
      </c>
      <c r="X4203">
        <v>18</v>
      </c>
      <c r="Y4203" t="s">
        <v>24968</v>
      </c>
      <c r="Z4203" t="s">
        <v>31913</v>
      </c>
      <c r="AA4203">
        <v>0.42693061029291413</v>
      </c>
      <c r="AB4203" t="str">
        <f>HYPERLINK("Melting_Curves/meltCurve_Q6IN85_SMEK1.pdf", "Melting_Curves/meltCurve_Q6IN85_SMEK1.pdf")</f>
        <v>Melting_Curves/meltCurve_Q6IN85_SMEK1.pdf</v>
      </c>
    </row>
    <row r="4204" spans="1:28" x14ac:dyDescent="0.25">
      <c r="A4204" t="s">
        <v>4208</v>
      </c>
      <c r="B4204">
        <v>0.99999676499088797</v>
      </c>
      <c r="C4204">
        <v>1.04914462922773</v>
      </c>
      <c r="D4204">
        <v>1.0751609162906699</v>
      </c>
      <c r="E4204">
        <v>1.1327808009140701</v>
      </c>
      <c r="F4204">
        <v>0.88316424535080995</v>
      </c>
      <c r="G4204">
        <v>0.59704475920932298</v>
      </c>
      <c r="H4204">
        <v>0.24124958387619599</v>
      </c>
      <c r="I4204">
        <v>0.156452638331739</v>
      </c>
      <c r="J4204">
        <v>0.107118434388893</v>
      </c>
      <c r="K4204">
        <v>9.3236562851824203E-2</v>
      </c>
      <c r="L4204">
        <v>1664.7083557144999</v>
      </c>
      <c r="M4204">
        <v>29.094814198821499</v>
      </c>
      <c r="N4204">
        <v>57.661703274757002</v>
      </c>
      <c r="O4204">
        <v>56.948430361237698</v>
      </c>
      <c r="P4204">
        <v>-0.114880669554581</v>
      </c>
      <c r="Q4204">
        <v>0.100564973927577</v>
      </c>
      <c r="R4204">
        <v>0.98311929254862396</v>
      </c>
      <c r="S4204" t="s">
        <v>11207</v>
      </c>
      <c r="T4204" t="s">
        <v>14004</v>
      </c>
      <c r="U4204" t="s">
        <v>14004</v>
      </c>
      <c r="V4204" t="s">
        <v>14004</v>
      </c>
      <c r="W4204" t="s">
        <v>18155</v>
      </c>
      <c r="X4204">
        <v>8</v>
      </c>
      <c r="Y4204" t="s">
        <v>24969</v>
      </c>
      <c r="Z4204" t="s">
        <v>31914</v>
      </c>
      <c r="AA4204">
        <v>0.62304511994696576</v>
      </c>
      <c r="AB4204" t="str">
        <f>HYPERLINK("Melting_Curves/meltCurve_Q6IPR3_TYW3.pdf", "Melting_Curves/meltCurve_Q6IPR3_TYW3.pdf")</f>
        <v>Melting_Curves/meltCurve_Q6IPR3_TYW3.pdf</v>
      </c>
    </row>
    <row r="4205" spans="1:28" x14ac:dyDescent="0.25">
      <c r="A4205" t="s">
        <v>4209</v>
      </c>
      <c r="B4205">
        <v>0.99999676499088797</v>
      </c>
      <c r="C4205">
        <v>1.06134312632018</v>
      </c>
      <c r="D4205">
        <v>1.1176347128242601</v>
      </c>
      <c r="E4205">
        <v>1.0387194253282299</v>
      </c>
      <c r="F4205">
        <v>0.91987886812323905</v>
      </c>
      <c r="G4205">
        <v>0.64757159603189995</v>
      </c>
      <c r="H4205">
        <v>0.171265544824933</v>
      </c>
      <c r="I4205">
        <v>0.13007662584663701</v>
      </c>
      <c r="J4205">
        <v>0.12961516156178299</v>
      </c>
      <c r="K4205">
        <v>0.11291763178441599</v>
      </c>
      <c r="L4205">
        <v>2307.4037592367299</v>
      </c>
      <c r="M4205">
        <v>40.271851631836697</v>
      </c>
      <c r="N4205">
        <v>57.664857334040803</v>
      </c>
      <c r="O4205">
        <v>57.154960438146702</v>
      </c>
      <c r="P4205">
        <v>-0.15613710115771001</v>
      </c>
      <c r="Q4205">
        <v>0.11362485383055999</v>
      </c>
      <c r="R4205">
        <v>0.98779176546235703</v>
      </c>
      <c r="S4205" t="s">
        <v>11208</v>
      </c>
      <c r="T4205" t="s">
        <v>14004</v>
      </c>
      <c r="U4205" t="s">
        <v>14004</v>
      </c>
      <c r="V4205" t="s">
        <v>14004</v>
      </c>
      <c r="W4205" t="s">
        <v>18156</v>
      </c>
      <c r="X4205">
        <v>3</v>
      </c>
      <c r="Y4205" t="s">
        <v>24970</v>
      </c>
      <c r="Z4205" t="s">
        <v>31915</v>
      </c>
      <c r="AA4205">
        <v>0.6280596625719288</v>
      </c>
      <c r="AB4205" t="str">
        <f>HYPERLINK("Melting_Curves/meltCurve_Q6IPU0_CENPP.pdf", "Melting_Curves/meltCurve_Q6IPU0_CENPP.pdf")</f>
        <v>Melting_Curves/meltCurve_Q6IPU0_CENPP.pdf</v>
      </c>
    </row>
    <row r="4206" spans="1:28" x14ac:dyDescent="0.25">
      <c r="A4206" t="s">
        <v>4210</v>
      </c>
      <c r="B4206">
        <v>0.99999676499088797</v>
      </c>
      <c r="C4206">
        <v>0.94000334076574399</v>
      </c>
      <c r="D4206">
        <v>0.88009780074686506</v>
      </c>
      <c r="E4206">
        <v>0.63946150723739004</v>
      </c>
      <c r="F4206">
        <v>0.49097248812623401</v>
      </c>
      <c r="G4206">
        <v>0.354308107635247</v>
      </c>
      <c r="H4206">
        <v>0.19180576729503401</v>
      </c>
      <c r="I4206">
        <v>0.22079794319069199</v>
      </c>
      <c r="J4206">
        <v>0.23550956944999099</v>
      </c>
      <c r="K4206">
        <v>0.261575963743019</v>
      </c>
      <c r="L4206">
        <v>794.02283055093005</v>
      </c>
      <c r="M4206">
        <v>15.686116170614801</v>
      </c>
      <c r="N4206">
        <v>52.429738718588702</v>
      </c>
      <c r="O4206">
        <v>49.818189597560902</v>
      </c>
      <c r="P4206">
        <v>-6.2262972627671498E-2</v>
      </c>
      <c r="Q4206">
        <v>0.20909278139985199</v>
      </c>
      <c r="R4206">
        <v>0.989099514370536</v>
      </c>
      <c r="S4206" t="s">
        <v>11209</v>
      </c>
      <c r="T4206" t="s">
        <v>14004</v>
      </c>
      <c r="U4206" t="s">
        <v>14004</v>
      </c>
      <c r="V4206" t="s">
        <v>14004</v>
      </c>
      <c r="W4206" t="s">
        <v>18157</v>
      </c>
      <c r="X4206">
        <v>1</v>
      </c>
      <c r="Y4206" t="s">
        <v>24971</v>
      </c>
      <c r="Z4206" t="s">
        <v>31916</v>
      </c>
      <c r="AA4206">
        <v>0.50618531446355963</v>
      </c>
      <c r="AB4206" t="str">
        <f>HYPERLINK("Melting_Curves/meltCurve_Q6IQ19_CCSAP.pdf", "Melting_Curves/meltCurve_Q6IQ19_CCSAP.pdf")</f>
        <v>Melting_Curves/meltCurve_Q6IQ19_CCSAP.pdf</v>
      </c>
    </row>
    <row r="4207" spans="1:28" x14ac:dyDescent="0.25">
      <c r="A4207" t="s">
        <v>4211</v>
      </c>
      <c r="B4207">
        <v>0.99999676499088797</v>
      </c>
      <c r="C4207">
        <v>0.99690094986355604</v>
      </c>
      <c r="D4207">
        <v>1.00544320181677</v>
      </c>
      <c r="E4207">
        <v>1.14104007503178</v>
      </c>
      <c r="F4207">
        <v>1.29399028236591</v>
      </c>
      <c r="G4207">
        <v>0.87255210192680799</v>
      </c>
      <c r="H4207">
        <v>0.35849179269759202</v>
      </c>
      <c r="I4207">
        <v>0.122412926472428</v>
      </c>
      <c r="J4207">
        <v>0.125681319176036</v>
      </c>
      <c r="K4207">
        <v>0.100261946880484</v>
      </c>
      <c r="L4207">
        <v>2711.1370963087502</v>
      </c>
      <c r="M4207">
        <v>45.585520434545003</v>
      </c>
      <c r="N4207">
        <v>59.782974839908</v>
      </c>
      <c r="O4207">
        <v>59.359531885402703</v>
      </c>
      <c r="P4207">
        <v>-0.171819322466052</v>
      </c>
      <c r="Q4207">
        <v>0.105057760663674</v>
      </c>
      <c r="R4207">
        <v>0.94433928541356105</v>
      </c>
      <c r="S4207" t="s">
        <v>11210</v>
      </c>
      <c r="T4207" t="s">
        <v>14004</v>
      </c>
      <c r="U4207" t="s">
        <v>14004</v>
      </c>
      <c r="V4207" t="s">
        <v>14004</v>
      </c>
      <c r="W4207" t="s">
        <v>18158</v>
      </c>
      <c r="X4207">
        <v>5</v>
      </c>
      <c r="Y4207" t="s">
        <v>24972</v>
      </c>
      <c r="Z4207" t="s">
        <v>31917</v>
      </c>
      <c r="AA4207">
        <v>0.68875181661919449</v>
      </c>
      <c r="AB4207" t="str">
        <f>HYPERLINK("Melting_Curves/meltCurve_Q6IQ22_RAB12.pdf", "Melting_Curves/meltCurve_Q6IQ22_RAB12.pdf")</f>
        <v>Melting_Curves/meltCurve_Q6IQ22_RAB12.pdf</v>
      </c>
    </row>
    <row r="4208" spans="1:28" x14ac:dyDescent="0.25">
      <c r="A4208" t="s">
        <v>4212</v>
      </c>
      <c r="B4208">
        <v>0.99999676499088797</v>
      </c>
      <c r="C4208">
        <v>0.82215372904867901</v>
      </c>
      <c r="D4208">
        <v>0.81161448229742805</v>
      </c>
      <c r="E4208">
        <v>0.63619487612850201</v>
      </c>
      <c r="F4208">
        <v>0.409670834223965</v>
      </c>
      <c r="G4208">
        <v>0.28241694369524301</v>
      </c>
      <c r="H4208">
        <v>0.17089073363723001</v>
      </c>
      <c r="I4208">
        <v>0.211581932992255</v>
      </c>
      <c r="J4208">
        <v>0.210421581992249</v>
      </c>
      <c r="K4208">
        <v>0.21557878655076099</v>
      </c>
      <c r="L4208">
        <v>667.02883844030998</v>
      </c>
      <c r="M4208">
        <v>13.3896868263086</v>
      </c>
      <c r="N4208">
        <v>51.347990692271402</v>
      </c>
      <c r="O4208">
        <v>48.744789441760503</v>
      </c>
      <c r="P4208">
        <v>-5.7376978909571698E-2</v>
      </c>
      <c r="Q4208">
        <v>0.16461423162097899</v>
      </c>
      <c r="R4208">
        <v>0.980500010654061</v>
      </c>
      <c r="S4208" t="s">
        <v>11211</v>
      </c>
      <c r="T4208" t="s">
        <v>14004</v>
      </c>
      <c r="U4208" t="s">
        <v>14004</v>
      </c>
      <c r="V4208" t="s">
        <v>14004</v>
      </c>
      <c r="W4208" t="s">
        <v>18159</v>
      </c>
      <c r="X4208">
        <v>11</v>
      </c>
      <c r="Y4208" t="s">
        <v>24973</v>
      </c>
      <c r="Z4208" t="s">
        <v>31918</v>
      </c>
      <c r="AA4208">
        <v>0.46239714151364453</v>
      </c>
      <c r="AB4208" t="str">
        <f>HYPERLINK("Melting_Curves/meltCurve_Q6IQ49_2_SDE2.pdf", "Melting_Curves/meltCurve_Q6IQ49_2_SDE2.pdf")</f>
        <v>Melting_Curves/meltCurve_Q6IQ49_2_SDE2.pdf</v>
      </c>
    </row>
    <row r="4209" spans="1:28" x14ac:dyDescent="0.25">
      <c r="A4209" t="s">
        <v>4213</v>
      </c>
      <c r="B4209">
        <v>0.99999676499088797</v>
      </c>
      <c r="C4209">
        <v>0.92429280788573698</v>
      </c>
      <c r="D4209">
        <v>1.39983065335389</v>
      </c>
      <c r="E4209">
        <v>2.1919225873128898</v>
      </c>
      <c r="F4209">
        <v>1.0240380283638</v>
      </c>
      <c r="G4209">
        <v>2.6683116395375102</v>
      </c>
      <c r="H4209">
        <v>0.89428890269637795</v>
      </c>
      <c r="I4209">
        <v>0.47400712013923202</v>
      </c>
      <c r="J4209">
        <v>0.20034814116056801</v>
      </c>
      <c r="K4209">
        <v>0.17898159604463901</v>
      </c>
      <c r="L4209">
        <v>3933.5115748629401</v>
      </c>
      <c r="M4209">
        <v>62.080773288358998</v>
      </c>
      <c r="N4209">
        <v>63.812785627065601</v>
      </c>
      <c r="O4209">
        <v>63.295540889700703</v>
      </c>
      <c r="P4209">
        <v>-0.20161373515168399</v>
      </c>
      <c r="Q4209">
        <v>0.17776502024145799</v>
      </c>
      <c r="R4209">
        <v>0.25600111407659798</v>
      </c>
      <c r="S4209" t="s">
        <v>11212</v>
      </c>
      <c r="T4209" t="s">
        <v>14004</v>
      </c>
      <c r="U4209" t="s">
        <v>14004</v>
      </c>
      <c r="V4209" t="s">
        <v>14004</v>
      </c>
      <c r="W4209" t="s">
        <v>18160</v>
      </c>
      <c r="X4209">
        <v>1</v>
      </c>
      <c r="Y4209" t="s">
        <v>24974</v>
      </c>
      <c r="Z4209" t="s">
        <v>31919</v>
      </c>
      <c r="AA4209">
        <v>0.81943419774355597</v>
      </c>
      <c r="AB4209" t="str">
        <f>HYPERLINK("Melting_Curves/meltCurve_Q6J164_GRM5.pdf", "Melting_Curves/meltCurve_Q6J164_GRM5.pdf")</f>
        <v>Melting_Curves/meltCurve_Q6J164_GRM5.pdf</v>
      </c>
    </row>
    <row r="4210" spans="1:28" x14ac:dyDescent="0.25">
      <c r="A4210" t="s">
        <v>4214</v>
      </c>
      <c r="B4210">
        <v>0.99999676499088797</v>
      </c>
      <c r="C4210">
        <v>0.99474556909973599</v>
      </c>
      <c r="D4210">
        <v>1.08170972030037</v>
      </c>
      <c r="E4210">
        <v>1.0831224955535099</v>
      </c>
      <c r="F4210">
        <v>1.0807990859482299</v>
      </c>
      <c r="G4210">
        <v>0.98473403290686701</v>
      </c>
      <c r="H4210">
        <v>0.76299016322890001</v>
      </c>
      <c r="I4210">
        <v>0.73729470967755295</v>
      </c>
      <c r="J4210">
        <v>0.59614288443773999</v>
      </c>
      <c r="K4210">
        <v>0.78605796174870302</v>
      </c>
      <c r="L4210">
        <v>3658.12805681276</v>
      </c>
      <c r="M4210">
        <v>61.521324581793699</v>
      </c>
      <c r="O4210">
        <v>59.398422624776401</v>
      </c>
      <c r="P4210">
        <v>-7.6507766179513603E-2</v>
      </c>
      <c r="Q4210">
        <v>0.70452925495079799</v>
      </c>
      <c r="R4210">
        <v>0.85635443006275402</v>
      </c>
      <c r="S4210" t="s">
        <v>11213</v>
      </c>
      <c r="T4210" t="s">
        <v>14004</v>
      </c>
      <c r="U4210" t="s">
        <v>14004</v>
      </c>
      <c r="V4210" t="s">
        <v>14004</v>
      </c>
      <c r="W4210" t="s">
        <v>18161</v>
      </c>
      <c r="X4210">
        <v>24</v>
      </c>
      <c r="Y4210" t="s">
        <v>24975</v>
      </c>
      <c r="Z4210" t="s">
        <v>31920</v>
      </c>
      <c r="AA4210">
        <v>0.89671211283170016</v>
      </c>
      <c r="AB4210" t="str">
        <f>HYPERLINK("Melting_Curves/meltCurve_Q6JBY9_RCSD1.pdf", "Melting_Curves/meltCurve_Q6JBY9_RCSD1.pdf")</f>
        <v>Melting_Curves/meltCurve_Q6JBY9_RCSD1.pdf</v>
      </c>
    </row>
    <row r="4211" spans="1:28" x14ac:dyDescent="0.25">
      <c r="A4211" t="s">
        <v>4215</v>
      </c>
      <c r="B4211">
        <v>0.99999676499088797</v>
      </c>
      <c r="C4211">
        <v>1.0735804597838501</v>
      </c>
      <c r="D4211">
        <v>0.82553504910114495</v>
      </c>
      <c r="E4211">
        <v>0.36783202736512299</v>
      </c>
      <c r="F4211">
        <v>0.20634126160932201</v>
      </c>
      <c r="G4211">
        <v>0.132716570543052</v>
      </c>
      <c r="H4211">
        <v>7.0191346249262307E-2</v>
      </c>
      <c r="I4211">
        <v>8.1581066272744904E-2</v>
      </c>
      <c r="J4211">
        <v>6.6039062506560997E-2</v>
      </c>
      <c r="K4211">
        <v>5.0639585232128602E-2</v>
      </c>
      <c r="L4211">
        <v>1369.99713542514</v>
      </c>
      <c r="M4211">
        <v>28.292445643833499</v>
      </c>
      <c r="N4211">
        <v>48.738298708889303</v>
      </c>
      <c r="O4211">
        <v>48.182722663379202</v>
      </c>
      <c r="P4211">
        <v>-0.13451228106670801</v>
      </c>
      <c r="Q4211">
        <v>8.36964486604828E-2</v>
      </c>
      <c r="R4211">
        <v>0.98956288434019601</v>
      </c>
      <c r="S4211" t="s">
        <v>11214</v>
      </c>
      <c r="T4211" t="s">
        <v>14004</v>
      </c>
      <c r="U4211" t="s">
        <v>14004</v>
      </c>
      <c r="V4211" t="s">
        <v>14004</v>
      </c>
      <c r="W4211" t="s">
        <v>14256</v>
      </c>
      <c r="X4211">
        <v>11</v>
      </c>
      <c r="Y4211" t="s">
        <v>24976</v>
      </c>
      <c r="Z4211" t="s">
        <v>31921</v>
      </c>
      <c r="AA4211">
        <v>0.34721050046672342</v>
      </c>
      <c r="AB4211" t="str">
        <f>HYPERLINK("Melting_Curves/meltCurve_Q6JHV3_USP3.pdf", "Melting_Curves/meltCurve_Q6JHV3_USP3.pdf")</f>
        <v>Melting_Curves/meltCurve_Q6JHV3_USP3.pdf</v>
      </c>
    </row>
    <row r="4212" spans="1:28" x14ac:dyDescent="0.25">
      <c r="A4212" t="s">
        <v>4216</v>
      </c>
      <c r="B4212">
        <v>0.99999676499088797</v>
      </c>
      <c r="C4212">
        <v>1.12571368606764</v>
      </c>
      <c r="D4212">
        <v>0.94358005156048097</v>
      </c>
      <c r="E4212">
        <v>0.71257708437410705</v>
      </c>
      <c r="F4212">
        <v>0.27772193663712003</v>
      </c>
      <c r="G4212">
        <v>0.19469233562390401</v>
      </c>
      <c r="H4212">
        <v>0.13839155566358499</v>
      </c>
      <c r="I4212">
        <v>8.53087354653672E-2</v>
      </c>
      <c r="J4212">
        <v>5.3704935337149602E-2</v>
      </c>
      <c r="K4212">
        <v>6.3275166697622107E-2</v>
      </c>
      <c r="L4212">
        <v>1395.5766221070901</v>
      </c>
      <c r="M4212">
        <v>27.399081450240399</v>
      </c>
      <c r="N4212">
        <v>51.303810652054203</v>
      </c>
      <c r="O4212">
        <v>50.666150451754</v>
      </c>
      <c r="P4212">
        <v>-0.123115078659254</v>
      </c>
      <c r="Q4212">
        <v>8.9355067973121802E-2</v>
      </c>
      <c r="R4212">
        <v>0.98548959944843995</v>
      </c>
      <c r="S4212" t="s">
        <v>11215</v>
      </c>
      <c r="T4212" t="s">
        <v>14004</v>
      </c>
      <c r="U4212" t="s">
        <v>14004</v>
      </c>
      <c r="V4212" t="s">
        <v>14004</v>
      </c>
      <c r="W4212" t="s">
        <v>18162</v>
      </c>
      <c r="X4212">
        <v>5</v>
      </c>
      <c r="Y4212" t="s">
        <v>24977</v>
      </c>
      <c r="Z4212" t="s">
        <v>31922</v>
      </c>
      <c r="AA4212">
        <v>0.42814593085251901</v>
      </c>
      <c r="AB4212" t="str">
        <f>HYPERLINK("Melting_Curves/meltCurve_Q6JQN1_ACAD10.pdf", "Melting_Curves/meltCurve_Q6JQN1_ACAD10.pdf")</f>
        <v>Melting_Curves/meltCurve_Q6JQN1_ACAD10.pdf</v>
      </c>
    </row>
    <row r="4213" spans="1:28" x14ac:dyDescent="0.25">
      <c r="A4213" t="s">
        <v>4217</v>
      </c>
      <c r="B4213">
        <v>0.99999676499088797</v>
      </c>
      <c r="C4213">
        <v>0.90559649504598605</v>
      </c>
      <c r="D4213">
        <v>0.53057383663509505</v>
      </c>
      <c r="E4213">
        <v>0.266460598323568</v>
      </c>
      <c r="F4213">
        <v>0.50077191973672797</v>
      </c>
      <c r="G4213">
        <v>0.151328415188312</v>
      </c>
      <c r="H4213">
        <v>9.1372095102091003E-2</v>
      </c>
      <c r="I4213">
        <v>9.39818183002636E-2</v>
      </c>
      <c r="J4213">
        <v>0.10409655104757699</v>
      </c>
      <c r="K4213">
        <v>8.6913372175024206E-2</v>
      </c>
      <c r="L4213">
        <v>666.43431984687595</v>
      </c>
      <c r="M4213">
        <v>14.1648071189682</v>
      </c>
      <c r="N4213">
        <v>47.793693346144401</v>
      </c>
      <c r="O4213">
        <v>46.140655370635599</v>
      </c>
      <c r="P4213">
        <v>-6.9153122578804099E-2</v>
      </c>
      <c r="Q4213">
        <v>9.9072213584132499E-2</v>
      </c>
      <c r="R4213">
        <v>0.90357031155160705</v>
      </c>
      <c r="S4213" t="s">
        <v>11216</v>
      </c>
      <c r="T4213" t="s">
        <v>14004</v>
      </c>
      <c r="U4213" t="s">
        <v>14004</v>
      </c>
      <c r="V4213" t="s">
        <v>14004</v>
      </c>
      <c r="W4213" t="s">
        <v>18163</v>
      </c>
      <c r="X4213">
        <v>20</v>
      </c>
      <c r="Y4213" t="s">
        <v>24978</v>
      </c>
      <c r="Z4213" t="s">
        <v>31923</v>
      </c>
      <c r="AA4213">
        <v>0.3381614885837857</v>
      </c>
      <c r="AB4213" t="str">
        <f>HYPERLINK("Melting_Curves/meltCurve_Q6KC79_2_NIPBL.pdf", "Melting_Curves/meltCurve_Q6KC79_2_NIPBL.pdf")</f>
        <v>Melting_Curves/meltCurve_Q6KC79_2_NIPBL.pdf</v>
      </c>
    </row>
    <row r="4214" spans="1:28" x14ac:dyDescent="0.25">
      <c r="A4214" t="s">
        <v>4218</v>
      </c>
      <c r="B4214">
        <v>0.99999676499088797</v>
      </c>
      <c r="C4214">
        <v>1.07142920720087</v>
      </c>
      <c r="D4214">
        <v>1.0756676824137299</v>
      </c>
      <c r="E4214">
        <v>1.09679691839542</v>
      </c>
      <c r="F4214">
        <v>0.83633511048985998</v>
      </c>
      <c r="G4214">
        <v>0.69671407997987</v>
      </c>
      <c r="H4214">
        <v>0.30719318480163399</v>
      </c>
      <c r="I4214">
        <v>0.18634754685343399</v>
      </c>
      <c r="J4214">
        <v>0.20011433868700601</v>
      </c>
      <c r="K4214">
        <v>0.133626777559678</v>
      </c>
      <c r="L4214">
        <v>1481.5123942914799</v>
      </c>
      <c r="M4214">
        <v>25.654943586702601</v>
      </c>
      <c r="N4214">
        <v>58.490084423071899</v>
      </c>
      <c r="O4214">
        <v>57.400196090958303</v>
      </c>
      <c r="P4214">
        <v>-9.6209969109955898E-2</v>
      </c>
      <c r="Q4214">
        <v>0.13897232591925701</v>
      </c>
      <c r="R4214">
        <v>0.97855709179572203</v>
      </c>
      <c r="S4214" t="s">
        <v>11217</v>
      </c>
      <c r="T4214" t="s">
        <v>14004</v>
      </c>
      <c r="U4214" t="s">
        <v>14004</v>
      </c>
      <c r="V4214" t="s">
        <v>14004</v>
      </c>
      <c r="W4214" t="s">
        <v>18164</v>
      </c>
      <c r="X4214">
        <v>3</v>
      </c>
      <c r="Y4214" t="s">
        <v>24979</v>
      </c>
      <c r="Z4214" t="s">
        <v>31924</v>
      </c>
      <c r="AA4214">
        <v>0.65563687759064826</v>
      </c>
      <c r="AB4214" t="str">
        <f>HYPERLINK("Melting_Curves/meltCurve_Q6KCM7_2_SLC25A25.pdf", "Melting_Curves/meltCurve_Q6KCM7_2_SLC25A25.pdf")</f>
        <v>Melting_Curves/meltCurve_Q6KCM7_2_SLC25A25.pdf</v>
      </c>
    </row>
    <row r="4215" spans="1:28" x14ac:dyDescent="0.25">
      <c r="A4215" t="s">
        <v>4219</v>
      </c>
      <c r="B4215">
        <v>0.99999676499088797</v>
      </c>
      <c r="C4215">
        <v>0.62231273461470704</v>
      </c>
      <c r="D4215">
        <v>0.41166228724736798</v>
      </c>
      <c r="E4215">
        <v>0.215558309881479</v>
      </c>
      <c r="F4215">
        <v>0.13655291539733699</v>
      </c>
      <c r="G4215">
        <v>0.11716748791305499</v>
      </c>
      <c r="H4215">
        <v>7.2300193981054001E-2</v>
      </c>
      <c r="I4215">
        <v>4.8173127361259602E-2</v>
      </c>
      <c r="J4215">
        <v>6.6264799472521604E-2</v>
      </c>
      <c r="K4215">
        <v>0.10224390831912999</v>
      </c>
      <c r="L4215">
        <v>850.94573793320501</v>
      </c>
      <c r="M4215">
        <v>19.149168104446701</v>
      </c>
      <c r="N4215">
        <v>44.861629765725802</v>
      </c>
      <c r="O4215">
        <v>43.961645242410299</v>
      </c>
      <c r="P4215">
        <v>-9.9888697145875394E-2</v>
      </c>
      <c r="Q4215">
        <v>8.2759105394659194E-2</v>
      </c>
      <c r="R4215">
        <v>0.97919690921490499</v>
      </c>
      <c r="S4215" t="s">
        <v>11218</v>
      </c>
      <c r="T4215" t="s">
        <v>14004</v>
      </c>
      <c r="U4215" t="s">
        <v>14004</v>
      </c>
      <c r="V4215" t="s">
        <v>14004</v>
      </c>
      <c r="W4215" t="s">
        <v>18165</v>
      </c>
      <c r="X4215">
        <v>4</v>
      </c>
      <c r="Y4215" t="s">
        <v>24980</v>
      </c>
      <c r="Z4215" t="s">
        <v>31925</v>
      </c>
      <c r="AA4215">
        <v>0.2368769587140156</v>
      </c>
      <c r="AB4215" t="str">
        <f>HYPERLINK("Melting_Curves/meltCurve_Q6MZP7_LIN54.pdf", "Melting_Curves/meltCurve_Q6MZP7_LIN54.pdf")</f>
        <v>Melting_Curves/meltCurve_Q6MZP7_LIN54.pdf</v>
      </c>
    </row>
    <row r="4216" spans="1:28" x14ac:dyDescent="0.25">
      <c r="A4216" t="s">
        <v>4220</v>
      </c>
      <c r="B4216">
        <v>0.99999676499088797</v>
      </c>
      <c r="C4216">
        <v>1.0157423556804299</v>
      </c>
      <c r="D4216">
        <v>0.83023706471174896</v>
      </c>
      <c r="E4216">
        <v>0.46142557403645601</v>
      </c>
      <c r="F4216">
        <v>0.25645722026383899</v>
      </c>
      <c r="G4216">
        <v>0.18087812499185499</v>
      </c>
      <c r="H4216">
        <v>8.9484353813623102E-2</v>
      </c>
      <c r="I4216">
        <v>0.112925329305122</v>
      </c>
      <c r="J4216">
        <v>0.13372386607050099</v>
      </c>
      <c r="K4216">
        <v>0.152084888384761</v>
      </c>
      <c r="L4216">
        <v>1178.24540196212</v>
      </c>
      <c r="M4216">
        <v>24.159237428741498</v>
      </c>
      <c r="N4216">
        <v>49.377215741911002</v>
      </c>
      <c r="O4216">
        <v>48.439536817351801</v>
      </c>
      <c r="P4216">
        <v>-0.108664584674676</v>
      </c>
      <c r="Q4216">
        <v>0.128519110966169</v>
      </c>
      <c r="R4216">
        <v>0.99483439104180005</v>
      </c>
      <c r="S4216" t="s">
        <v>11219</v>
      </c>
      <c r="T4216" t="s">
        <v>14004</v>
      </c>
      <c r="U4216" t="s">
        <v>14004</v>
      </c>
      <c r="V4216" t="s">
        <v>14004</v>
      </c>
      <c r="W4216" t="s">
        <v>18166</v>
      </c>
      <c r="X4216">
        <v>2</v>
      </c>
      <c r="Y4216" t="s">
        <v>24981</v>
      </c>
      <c r="Z4216" t="s">
        <v>31926</v>
      </c>
      <c r="AA4216">
        <v>0.39156084153781429</v>
      </c>
      <c r="AB4216" t="str">
        <f>HYPERLINK("Melting_Curves/meltCurve_Q6N043_2_ZNF280D.pdf", "Melting_Curves/meltCurve_Q6N043_2_ZNF280D.pdf")</f>
        <v>Melting_Curves/meltCurve_Q6N043_2_ZNF280D.pdf</v>
      </c>
    </row>
    <row r="4217" spans="1:28" x14ac:dyDescent="0.25">
      <c r="A4217" t="s">
        <v>4221</v>
      </c>
      <c r="B4217">
        <v>0.99999676499088797</v>
      </c>
      <c r="C4217">
        <v>0.89060468668952897</v>
      </c>
      <c r="D4217">
        <v>0.79234350440870605</v>
      </c>
      <c r="E4217">
        <v>0.55043613883192199</v>
      </c>
      <c r="F4217">
        <v>0.33963611923776399</v>
      </c>
      <c r="G4217">
        <v>0.19242522096523601</v>
      </c>
      <c r="H4217">
        <v>8.4158002323718201E-2</v>
      </c>
      <c r="I4217">
        <v>0.100077742569471</v>
      </c>
      <c r="J4217">
        <v>0.108997341587852</v>
      </c>
      <c r="K4217">
        <v>8.5474516473585893E-2</v>
      </c>
      <c r="L4217">
        <v>737.212715316512</v>
      </c>
      <c r="M4217">
        <v>14.7989022951155</v>
      </c>
      <c r="N4217">
        <v>50.288601155553899</v>
      </c>
      <c r="O4217">
        <v>48.932285939192397</v>
      </c>
      <c r="P4217">
        <v>-7.0701974404071902E-2</v>
      </c>
      <c r="Q4217">
        <v>6.50007141798295E-2</v>
      </c>
      <c r="R4217">
        <v>0.99663326433912103</v>
      </c>
      <c r="S4217" t="s">
        <v>11220</v>
      </c>
      <c r="T4217" t="s">
        <v>14004</v>
      </c>
      <c r="U4217" t="s">
        <v>14004</v>
      </c>
      <c r="V4217" t="s">
        <v>14004</v>
      </c>
      <c r="W4217" t="s">
        <v>18167</v>
      </c>
      <c r="X4217">
        <v>4</v>
      </c>
      <c r="Y4217" t="s">
        <v>24982</v>
      </c>
      <c r="Z4217" t="s">
        <v>31927</v>
      </c>
      <c r="AA4217">
        <v>0.39389078840520558</v>
      </c>
      <c r="AB4217" t="str">
        <f>HYPERLINK("Melting_Curves/meltCurve_Q6N063_OGFOD2.pdf", "Melting_Curves/meltCurve_Q6N063_OGFOD2.pdf")</f>
        <v>Melting_Curves/meltCurve_Q6N063_OGFOD2.pdf</v>
      </c>
    </row>
    <row r="4218" spans="1:28" x14ac:dyDescent="0.25">
      <c r="A4218" t="s">
        <v>4222</v>
      </c>
      <c r="B4218">
        <v>0.99999676499088797</v>
      </c>
      <c r="C4218">
        <v>1.05116971469955</v>
      </c>
      <c r="D4218">
        <v>0.99445085877982398</v>
      </c>
      <c r="E4218">
        <v>0.92616419801278405</v>
      </c>
      <c r="F4218">
        <v>0.28589990074534299</v>
      </c>
      <c r="G4218">
        <v>0.21664199752501301</v>
      </c>
      <c r="H4218">
        <v>0.100314616715279</v>
      </c>
      <c r="I4218">
        <v>7.9361725197190397E-2</v>
      </c>
      <c r="J4218">
        <v>6.7395916184588997E-2</v>
      </c>
      <c r="K4218">
        <v>6.1727421210708899E-2</v>
      </c>
      <c r="L4218">
        <v>2543.8859214837498</v>
      </c>
      <c r="M4218">
        <v>49.063812736833398</v>
      </c>
      <c r="N4218">
        <v>52.0856858643726</v>
      </c>
      <c r="O4218">
        <v>51.762604551976303</v>
      </c>
      <c r="P4218">
        <v>-0.21324455173674201</v>
      </c>
      <c r="Q4218">
        <v>0.10010397332490099</v>
      </c>
      <c r="R4218">
        <v>0.99069990731202195</v>
      </c>
      <c r="S4218" t="s">
        <v>11221</v>
      </c>
      <c r="T4218" t="s">
        <v>14004</v>
      </c>
      <c r="U4218" t="s">
        <v>14004</v>
      </c>
      <c r="V4218" t="s">
        <v>14004</v>
      </c>
      <c r="W4218" t="s">
        <v>18168</v>
      </c>
      <c r="X4218">
        <v>17</v>
      </c>
      <c r="Y4218" t="s">
        <v>24983</v>
      </c>
      <c r="Z4218" t="s">
        <v>31928</v>
      </c>
      <c r="AA4218">
        <v>0.45765611390869249</v>
      </c>
      <c r="AB4218" t="str">
        <f>HYPERLINK("Melting_Curves/meltCurve_Q6N069_NAA16.pdf", "Melting_Curves/meltCurve_Q6N069_NAA16.pdf")</f>
        <v>Melting_Curves/meltCurve_Q6N069_NAA16.pdf</v>
      </c>
    </row>
    <row r="4219" spans="1:28" x14ac:dyDescent="0.25">
      <c r="A4219" t="s">
        <v>4223</v>
      </c>
      <c r="B4219">
        <v>0.99999676499088797</v>
      </c>
      <c r="C4219">
        <v>0.94492084034993995</v>
      </c>
      <c r="D4219">
        <v>0.90632627484663297</v>
      </c>
      <c r="E4219">
        <v>0.95138645396334398</v>
      </c>
      <c r="F4219">
        <v>0.825407993782309</v>
      </c>
      <c r="G4219">
        <v>0.70787383299665196</v>
      </c>
      <c r="H4219">
        <v>0.55324150980541598</v>
      </c>
      <c r="I4219">
        <v>0.44786852512596498</v>
      </c>
      <c r="J4219">
        <v>0.28303319285670703</v>
      </c>
      <c r="K4219">
        <v>0.44165754556965298</v>
      </c>
      <c r="L4219">
        <v>754.84165161390104</v>
      </c>
      <c r="M4219">
        <v>13.024988661801</v>
      </c>
      <c r="N4219">
        <v>62.030644844607103</v>
      </c>
      <c r="O4219">
        <v>56.6382927591062</v>
      </c>
      <c r="P4219">
        <v>-4.09644403098917E-2</v>
      </c>
      <c r="Q4219">
        <v>0.28760027550709499</v>
      </c>
      <c r="R4219">
        <v>0.95436222280380101</v>
      </c>
      <c r="S4219" t="s">
        <v>11222</v>
      </c>
      <c r="T4219" t="s">
        <v>14004</v>
      </c>
      <c r="U4219" t="s">
        <v>14004</v>
      </c>
      <c r="V4219" t="s">
        <v>14004</v>
      </c>
      <c r="W4219" t="s">
        <v>18169</v>
      </c>
      <c r="X4219">
        <v>3</v>
      </c>
      <c r="Y4219" t="s">
        <v>24984</v>
      </c>
      <c r="Z4219" t="s">
        <v>31929</v>
      </c>
      <c r="AA4219">
        <v>0.72351985815461195</v>
      </c>
      <c r="AB4219" t="str">
        <f>HYPERLINK("Melting_Curves/meltCurve_Q6NS38_ALKBH2.pdf", "Melting_Curves/meltCurve_Q6NS38_ALKBH2.pdf")</f>
        <v>Melting_Curves/meltCurve_Q6NS38_ALKBH2.pdf</v>
      </c>
    </row>
    <row r="4220" spans="1:28" x14ac:dyDescent="0.25">
      <c r="A4220" t="s">
        <v>4224</v>
      </c>
      <c r="B4220">
        <v>0.99999676499088797</v>
      </c>
      <c r="C4220">
        <v>1.06361143791824</v>
      </c>
      <c r="D4220">
        <v>1.0837870503564</v>
      </c>
      <c r="E4220">
        <v>0.93294408615409197</v>
      </c>
      <c r="F4220">
        <v>0.51999101644419299</v>
      </c>
      <c r="G4220">
        <v>0.39750442068375702</v>
      </c>
      <c r="H4220">
        <v>0.159117705481196</v>
      </c>
      <c r="I4220">
        <v>0.146975163588552</v>
      </c>
      <c r="J4220">
        <v>6.9653386438769796E-2</v>
      </c>
      <c r="K4220">
        <v>2.9439323445488701E-2</v>
      </c>
      <c r="L4220">
        <v>1095.6132730183499</v>
      </c>
      <c r="M4220">
        <v>20.2110806866527</v>
      </c>
      <c r="N4220">
        <v>54.582269510367503</v>
      </c>
      <c r="O4220">
        <v>53.686225619576298</v>
      </c>
      <c r="P4220">
        <v>-8.8037879061788102E-2</v>
      </c>
      <c r="Q4220">
        <v>6.4617273857011798E-2</v>
      </c>
      <c r="R4220">
        <v>0.97800110098213</v>
      </c>
      <c r="S4220" t="s">
        <v>11223</v>
      </c>
      <c r="T4220" t="s">
        <v>14004</v>
      </c>
      <c r="U4220" t="s">
        <v>14004</v>
      </c>
      <c r="V4220" t="s">
        <v>14004</v>
      </c>
      <c r="W4220" t="s">
        <v>18170</v>
      </c>
      <c r="X4220">
        <v>3</v>
      </c>
      <c r="Y4220" t="s">
        <v>24985</v>
      </c>
      <c r="Z4220" t="s">
        <v>31930</v>
      </c>
      <c r="AA4220">
        <v>0.52009040853856048</v>
      </c>
      <c r="AB4220" t="str">
        <f>HYPERLINK("Melting_Curves/meltCurve_Q6NSJ5_LRRC8E.pdf", "Melting_Curves/meltCurve_Q6NSJ5_LRRC8E.pdf")</f>
        <v>Melting_Curves/meltCurve_Q6NSJ5_LRRC8E.pdf</v>
      </c>
    </row>
    <row r="4221" spans="1:28" x14ac:dyDescent="0.25">
      <c r="A4221" t="s">
        <v>4225</v>
      </c>
      <c r="B4221">
        <v>0.99999676499088797</v>
      </c>
      <c r="C4221">
        <v>0.94107562847756798</v>
      </c>
      <c r="D4221">
        <v>1.0296370090268501</v>
      </c>
      <c r="E4221">
        <v>0.99932912574048705</v>
      </c>
      <c r="F4221">
        <v>1.0075832847011601</v>
      </c>
      <c r="G4221">
        <v>0.70345895641802103</v>
      </c>
      <c r="H4221">
        <v>0.623061421400253</v>
      </c>
      <c r="I4221">
        <v>0.503324348457583</v>
      </c>
      <c r="J4221">
        <v>0.34823631130194099</v>
      </c>
      <c r="K4221">
        <v>0.40113292821427798</v>
      </c>
      <c r="L4221">
        <v>1136.5223348453901</v>
      </c>
      <c r="M4221">
        <v>19.28266662463</v>
      </c>
      <c r="N4221">
        <v>62.912255324758398</v>
      </c>
      <c r="O4221">
        <v>58.317171828455699</v>
      </c>
      <c r="P4221">
        <v>-5.3566681685784101E-2</v>
      </c>
      <c r="Q4221">
        <v>0.35201080652674299</v>
      </c>
      <c r="R4221">
        <v>0.96221569404238305</v>
      </c>
      <c r="S4221" t="s">
        <v>11224</v>
      </c>
      <c r="T4221" t="s">
        <v>14004</v>
      </c>
      <c r="U4221" t="s">
        <v>14004</v>
      </c>
      <c r="V4221" t="s">
        <v>14004</v>
      </c>
      <c r="W4221" t="s">
        <v>18171</v>
      </c>
      <c r="X4221">
        <v>1</v>
      </c>
      <c r="Y4221" t="s">
        <v>24986</v>
      </c>
      <c r="Z4221" t="s">
        <v>31931</v>
      </c>
      <c r="AA4221">
        <v>0.76783869019236994</v>
      </c>
      <c r="AB4221" t="str">
        <f>HYPERLINK("Melting_Curves/meltCurve_Q6NT16_SLC18B1.pdf", "Melting_Curves/meltCurve_Q6NT16_SLC18B1.pdf")</f>
        <v>Melting_Curves/meltCurve_Q6NT16_SLC18B1.pdf</v>
      </c>
    </row>
    <row r="4222" spans="1:28" x14ac:dyDescent="0.25">
      <c r="A4222" t="s">
        <v>4226</v>
      </c>
      <c r="B4222">
        <v>0.99999676499088797</v>
      </c>
      <c r="C4222">
        <v>0.96545090580992698</v>
      </c>
      <c r="D4222">
        <v>1.0615665545325601</v>
      </c>
      <c r="E4222">
        <v>1.13138935956632</v>
      </c>
      <c r="F4222">
        <v>1.0620168551053299</v>
      </c>
      <c r="G4222">
        <v>1.0440440841288801</v>
      </c>
      <c r="H4222">
        <v>0.76515527361231594</v>
      </c>
      <c r="I4222">
        <v>0.51674186595460103</v>
      </c>
      <c r="J4222">
        <v>0.18015913925110599</v>
      </c>
      <c r="K4222">
        <v>0.150599020320827</v>
      </c>
      <c r="L4222">
        <v>2007.8377307140399</v>
      </c>
      <c r="M4222">
        <v>31.673818305163099</v>
      </c>
      <c r="N4222">
        <v>63.774172943025</v>
      </c>
      <c r="O4222">
        <v>63.140004926448299</v>
      </c>
      <c r="P4222">
        <v>-0.114547424700571</v>
      </c>
      <c r="Q4222">
        <v>8.6628974570796796E-2</v>
      </c>
      <c r="R4222">
        <v>0.97070317430365105</v>
      </c>
      <c r="S4222" t="s">
        <v>11225</v>
      </c>
      <c r="T4222" t="s">
        <v>14004</v>
      </c>
      <c r="U4222" t="s">
        <v>14004</v>
      </c>
      <c r="V4222" t="s">
        <v>14004</v>
      </c>
      <c r="W4222" t="s">
        <v>18172</v>
      </c>
      <c r="X4222">
        <v>20</v>
      </c>
      <c r="Y4222" t="s">
        <v>24987</v>
      </c>
      <c r="Z4222" t="s">
        <v>31932</v>
      </c>
      <c r="AA4222">
        <v>0.80127307384831914</v>
      </c>
      <c r="AB4222" t="str">
        <f>HYPERLINK("Melting_Curves/meltCurve_Q6NUK1_SLC25A24.pdf", "Melting_Curves/meltCurve_Q6NUK1_SLC25A24.pdf")</f>
        <v>Melting_Curves/meltCurve_Q6NUK1_SLC25A24.pdf</v>
      </c>
    </row>
    <row r="4223" spans="1:28" x14ac:dyDescent="0.25">
      <c r="A4223" t="s">
        <v>4227</v>
      </c>
      <c r="B4223">
        <v>0.99999676499088797</v>
      </c>
      <c r="C4223">
        <v>0.94246928384562401</v>
      </c>
      <c r="D4223">
        <v>0.97980366113843598</v>
      </c>
      <c r="E4223">
        <v>0.930922526328682</v>
      </c>
      <c r="F4223">
        <v>0.61798832192761999</v>
      </c>
      <c r="G4223">
        <v>0.55823882444233397</v>
      </c>
      <c r="H4223">
        <v>0.36742404444528398</v>
      </c>
      <c r="I4223">
        <v>0.41208204780298402</v>
      </c>
      <c r="J4223">
        <v>0.42461914633928899</v>
      </c>
      <c r="K4223">
        <v>0.39398858532979297</v>
      </c>
      <c r="L4223">
        <v>1293.1844244926799</v>
      </c>
      <c r="M4223">
        <v>24.5373968285149</v>
      </c>
      <c r="N4223">
        <v>56.431970177499799</v>
      </c>
      <c r="O4223">
        <v>52.356282427269299</v>
      </c>
      <c r="P4223">
        <v>-7.0158842580670205E-2</v>
      </c>
      <c r="Q4223">
        <v>0.40120734730866697</v>
      </c>
      <c r="R4223">
        <v>0.97670917720122197</v>
      </c>
      <c r="S4223" t="s">
        <v>11226</v>
      </c>
      <c r="T4223" t="s">
        <v>14004</v>
      </c>
      <c r="U4223" t="s">
        <v>14004</v>
      </c>
      <c r="V4223" t="s">
        <v>14004</v>
      </c>
      <c r="W4223" t="s">
        <v>18173</v>
      </c>
      <c r="X4223">
        <v>3</v>
      </c>
      <c r="Y4223" t="s">
        <v>24988</v>
      </c>
      <c r="Z4223" t="s">
        <v>31933</v>
      </c>
      <c r="AA4223">
        <v>0.66044617227658142</v>
      </c>
      <c r="AB4223" t="str">
        <f>HYPERLINK("Melting_Curves/meltCurve_Q6NUK4_REEP3.pdf", "Melting_Curves/meltCurve_Q6NUK4_REEP3.pdf")</f>
        <v>Melting_Curves/meltCurve_Q6NUK4_REEP3.pdf</v>
      </c>
    </row>
    <row r="4224" spans="1:28" x14ac:dyDescent="0.25">
      <c r="A4224" t="s">
        <v>4228</v>
      </c>
      <c r="B4224">
        <v>0.99999676499088797</v>
      </c>
      <c r="C4224">
        <v>0.89064043251275504</v>
      </c>
      <c r="D4224">
        <v>0.72429265662234099</v>
      </c>
      <c r="E4224">
        <v>0.60613518648680398</v>
      </c>
      <c r="F4224">
        <v>0.37488091051181199</v>
      </c>
      <c r="G4224">
        <v>0.28001058588468902</v>
      </c>
      <c r="H4224">
        <v>0.144392174173086</v>
      </c>
      <c r="I4224">
        <v>0.15150177068572299</v>
      </c>
      <c r="J4224">
        <v>0.124353218725455</v>
      </c>
      <c r="K4224">
        <v>0.117816575650667</v>
      </c>
      <c r="L4224">
        <v>601.74046485917904</v>
      </c>
      <c r="M4224">
        <v>11.999534513679301</v>
      </c>
      <c r="N4224">
        <v>50.885001528025199</v>
      </c>
      <c r="O4224">
        <v>48.815151929033497</v>
      </c>
      <c r="P4224">
        <v>-5.6559437723966502E-2</v>
      </c>
      <c r="Q4224">
        <v>7.9867029883208193E-2</v>
      </c>
      <c r="R4224">
        <v>0.99340153898311501</v>
      </c>
      <c r="S4224" t="s">
        <v>11227</v>
      </c>
      <c r="T4224" t="s">
        <v>14004</v>
      </c>
      <c r="U4224" t="s">
        <v>14004</v>
      </c>
      <c r="V4224" t="s">
        <v>14004</v>
      </c>
      <c r="W4224" t="s">
        <v>18174</v>
      </c>
      <c r="X4224">
        <v>4</v>
      </c>
      <c r="Y4224" t="s">
        <v>24989</v>
      </c>
      <c r="Z4224" t="s">
        <v>31934</v>
      </c>
      <c r="AA4224">
        <v>0.42266509165153587</v>
      </c>
      <c r="AB4224" t="str">
        <f>HYPERLINK("Melting_Curves/meltCurve_Q6NUM9_RETSAT.pdf", "Melting_Curves/meltCurve_Q6NUM9_RETSAT.pdf")</f>
        <v>Melting_Curves/meltCurve_Q6NUM9_RETSAT.pdf</v>
      </c>
    </row>
    <row r="4225" spans="1:28" x14ac:dyDescent="0.25">
      <c r="A4225" t="s">
        <v>4229</v>
      </c>
      <c r="B4225">
        <v>0.99999676499088797</v>
      </c>
      <c r="C4225">
        <v>0.93145758551739499</v>
      </c>
      <c r="D4225">
        <v>0.545388791839019</v>
      </c>
      <c r="E4225">
        <v>0.21785868338230999</v>
      </c>
      <c r="F4225">
        <v>0.18707289683075401</v>
      </c>
      <c r="G4225">
        <v>0.108900343991483</v>
      </c>
      <c r="H4225">
        <v>7.5889346343851902E-2</v>
      </c>
      <c r="I4225">
        <v>5.2634042062701003E-2</v>
      </c>
      <c r="J4225">
        <v>5.5835437053560297E-2</v>
      </c>
      <c r="K4225">
        <v>3.2936216073205002E-2</v>
      </c>
      <c r="L4225">
        <v>1165.3870207426901</v>
      </c>
      <c r="M4225">
        <v>25.173659023533801</v>
      </c>
      <c r="N4225">
        <v>46.5970218686981</v>
      </c>
      <c r="O4225">
        <v>46.004736575581198</v>
      </c>
      <c r="P4225">
        <v>-0.126469606452142</v>
      </c>
      <c r="Q4225">
        <v>7.5521789395495004E-2</v>
      </c>
      <c r="R4225">
        <v>0.99001055661530202</v>
      </c>
      <c r="S4225" t="s">
        <v>11228</v>
      </c>
      <c r="T4225" t="s">
        <v>14004</v>
      </c>
      <c r="U4225" t="s">
        <v>14004</v>
      </c>
      <c r="V4225" t="s">
        <v>14004</v>
      </c>
      <c r="W4225" t="s">
        <v>18175</v>
      </c>
      <c r="X4225">
        <v>5</v>
      </c>
      <c r="Y4225" t="s">
        <v>24990</v>
      </c>
      <c r="Z4225" t="s">
        <v>31935</v>
      </c>
      <c r="AA4225">
        <v>0.27776929138398387</v>
      </c>
      <c r="AB4225" t="str">
        <f>HYPERLINK("Melting_Curves/meltCurve_Q6NUQ1_RINT1.pdf", "Melting_Curves/meltCurve_Q6NUQ1_RINT1.pdf")</f>
        <v>Melting_Curves/meltCurve_Q6NUQ1_RINT1.pdf</v>
      </c>
    </row>
    <row r="4226" spans="1:28" x14ac:dyDescent="0.25">
      <c r="A4226" t="s">
        <v>4230</v>
      </c>
      <c r="B4226">
        <v>0.99999676499088797</v>
      </c>
      <c r="C4226">
        <v>0.94035775169145697</v>
      </c>
      <c r="D4226">
        <v>0.96713158298408497</v>
      </c>
      <c r="E4226">
        <v>0.82677252777822396</v>
      </c>
      <c r="F4226">
        <v>0.19925011033982801</v>
      </c>
      <c r="G4226">
        <v>0.148968136786686</v>
      </c>
      <c r="H4226">
        <v>5.8212284681495099E-2</v>
      </c>
      <c r="I4226">
        <v>7.1760960729415693E-2</v>
      </c>
      <c r="J4226">
        <v>5.6509765601516999E-2</v>
      </c>
      <c r="K4226">
        <v>6.7850167708577006E-2</v>
      </c>
      <c r="L4226">
        <v>2348.1166243021898</v>
      </c>
      <c r="M4226">
        <v>45.916199073168798</v>
      </c>
      <c r="N4226">
        <v>51.325665126978798</v>
      </c>
      <c r="O4226">
        <v>51.042444957267698</v>
      </c>
      <c r="P4226">
        <v>-0.20761532796785201</v>
      </c>
      <c r="Q4226">
        <v>7.6823935770037696E-2</v>
      </c>
      <c r="R4226">
        <v>0.99454698151431198</v>
      </c>
      <c r="S4226" t="s">
        <v>11229</v>
      </c>
      <c r="T4226" t="s">
        <v>14004</v>
      </c>
      <c r="U4226" t="s">
        <v>14004</v>
      </c>
      <c r="V4226" t="s">
        <v>14004</v>
      </c>
      <c r="W4226" t="s">
        <v>18176</v>
      </c>
      <c r="X4226">
        <v>17</v>
      </c>
      <c r="Y4226" t="s">
        <v>24991</v>
      </c>
      <c r="Z4226" t="s">
        <v>31936</v>
      </c>
      <c r="AA4226">
        <v>0.42207638998122449</v>
      </c>
      <c r="AB4226" t="str">
        <f>HYPERLINK("Melting_Curves/meltCurve_Q6NUQ4_2_TMEM214.pdf", "Melting_Curves/meltCurve_Q6NUQ4_2_TMEM214.pdf")</f>
        <v>Melting_Curves/meltCurve_Q6NUQ4_2_TMEM214.pdf</v>
      </c>
    </row>
    <row r="4227" spans="1:28" x14ac:dyDescent="0.25">
      <c r="A4227" t="s">
        <v>4231</v>
      </c>
      <c r="B4227">
        <v>0.99999676499088797</v>
      </c>
      <c r="C4227">
        <v>0.94919568195197901</v>
      </c>
      <c r="D4227">
        <v>0.85541643992617999</v>
      </c>
      <c r="E4227">
        <v>0.65532985530226795</v>
      </c>
      <c r="F4227">
        <v>0.34199035784369902</v>
      </c>
      <c r="G4227">
        <v>0.27503290683007903</v>
      </c>
      <c r="H4227">
        <v>6.68324873561153E-2</v>
      </c>
      <c r="I4227">
        <v>4.4042501168235298E-2</v>
      </c>
      <c r="J4227">
        <v>0</v>
      </c>
      <c r="K4227">
        <v>5.3088154896547203E-2</v>
      </c>
      <c r="L4227">
        <v>758.754177866291</v>
      </c>
      <c r="M4227">
        <v>14.714446413025399</v>
      </c>
      <c r="N4227">
        <v>51.565254779967198</v>
      </c>
      <c r="O4227">
        <v>50.640943787951201</v>
      </c>
      <c r="P4227">
        <v>-7.2648967997946998E-2</v>
      </c>
      <c r="Q4227">
        <v>0</v>
      </c>
      <c r="R4227">
        <v>0.99276777740385702</v>
      </c>
      <c r="S4227" t="s">
        <v>11230</v>
      </c>
      <c r="T4227" t="s">
        <v>14004</v>
      </c>
      <c r="U4227" t="s">
        <v>14004</v>
      </c>
      <c r="V4227" t="s">
        <v>14004</v>
      </c>
      <c r="W4227" t="s">
        <v>18177</v>
      </c>
      <c r="X4227">
        <v>2</v>
      </c>
      <c r="Y4227" t="s">
        <v>24992</v>
      </c>
      <c r="Z4227" t="s">
        <v>31937</v>
      </c>
      <c r="AA4227">
        <v>0.40889378394506809</v>
      </c>
      <c r="AB4227" t="str">
        <f>HYPERLINK("Melting_Curves/meltCurve_Q6NUS6_TCTN3.pdf", "Melting_Curves/meltCurve_Q6NUS6_TCTN3.pdf")</f>
        <v>Melting_Curves/meltCurve_Q6NUS6_TCTN3.pdf</v>
      </c>
    </row>
    <row r="4228" spans="1:28" x14ac:dyDescent="0.25">
      <c r="A4228" t="s">
        <v>4232</v>
      </c>
      <c r="B4228">
        <v>0.99999676499088797</v>
      </c>
      <c r="C4228">
        <v>0.94664193701726296</v>
      </c>
      <c r="D4228">
        <v>0.96526909902777602</v>
      </c>
      <c r="E4228">
        <v>0.88708020908460605</v>
      </c>
      <c r="F4228">
        <v>0.27182904870643099</v>
      </c>
      <c r="G4228">
        <v>0.14215441624972999</v>
      </c>
      <c r="H4228">
        <v>6.8626598257845395E-2</v>
      </c>
      <c r="I4228">
        <v>6.8117874446911003E-2</v>
      </c>
      <c r="J4228">
        <v>6.1868707625059097E-2</v>
      </c>
      <c r="K4228">
        <v>5.9604467096214898E-2</v>
      </c>
      <c r="L4228">
        <v>2288.4796493438498</v>
      </c>
      <c r="M4228">
        <v>44.256432590151299</v>
      </c>
      <c r="N4228">
        <v>51.899389365373104</v>
      </c>
      <c r="O4228">
        <v>51.604291841488397</v>
      </c>
      <c r="P4228">
        <v>-0.19837991900552199</v>
      </c>
      <c r="Q4228">
        <v>7.4734181128186403E-2</v>
      </c>
      <c r="R4228">
        <v>0.99593962291737803</v>
      </c>
      <c r="S4228" t="s">
        <v>11231</v>
      </c>
      <c r="T4228" t="s">
        <v>14004</v>
      </c>
      <c r="U4228" t="s">
        <v>14004</v>
      </c>
      <c r="V4228" t="s">
        <v>14004</v>
      </c>
      <c r="W4228" t="s">
        <v>18178</v>
      </c>
      <c r="X4228">
        <v>13</v>
      </c>
      <c r="Y4228" t="s">
        <v>24993</v>
      </c>
      <c r="Z4228" t="s">
        <v>31938</v>
      </c>
      <c r="AA4228">
        <v>0.43857939576774191</v>
      </c>
      <c r="AB4228" t="str">
        <f>HYPERLINK("Melting_Curves/meltCurve_Q6NVY1_HIBCH.pdf", "Melting_Curves/meltCurve_Q6NVY1_HIBCH.pdf")</f>
        <v>Melting_Curves/meltCurve_Q6NVY1_HIBCH.pdf</v>
      </c>
    </row>
    <row r="4229" spans="1:28" x14ac:dyDescent="0.25">
      <c r="A4229" t="s">
        <v>4233</v>
      </c>
      <c r="B4229">
        <v>0.99999676499088797</v>
      </c>
      <c r="C4229">
        <v>0.52048422384962101</v>
      </c>
      <c r="D4229">
        <v>0.20049161603760099</v>
      </c>
      <c r="E4229">
        <v>0.124429530826437</v>
      </c>
      <c r="F4229">
        <v>9.3603124858877104E-2</v>
      </c>
      <c r="G4229">
        <v>6.3864977883989302E-2</v>
      </c>
      <c r="H4229">
        <v>3.1349736801170397E-2</v>
      </c>
      <c r="I4229">
        <v>3.2591627150779102E-2</v>
      </c>
      <c r="J4229">
        <v>3.07127283682475E-2</v>
      </c>
      <c r="K4229">
        <v>3.0552697318965701E-2</v>
      </c>
      <c r="L4229">
        <v>1412.76152109495</v>
      </c>
      <c r="M4229">
        <v>32.809267896085601</v>
      </c>
      <c r="N4229">
        <v>43.225549407458999</v>
      </c>
      <c r="O4229">
        <v>42.900808047899602</v>
      </c>
      <c r="P4229">
        <v>-0.17989439079449401</v>
      </c>
      <c r="Q4229">
        <v>5.9097635930405797E-2</v>
      </c>
      <c r="R4229">
        <v>0.98325276622812996</v>
      </c>
      <c r="S4229" t="s">
        <v>11232</v>
      </c>
      <c r="T4229" t="s">
        <v>14004</v>
      </c>
      <c r="U4229" t="s">
        <v>14004</v>
      </c>
      <c r="V4229" t="s">
        <v>14004</v>
      </c>
      <c r="W4229" t="s">
        <v>18179</v>
      </c>
      <c r="X4229">
        <v>11</v>
      </c>
      <c r="Y4229" t="s">
        <v>24994</v>
      </c>
      <c r="Z4229" t="s">
        <v>31939</v>
      </c>
      <c r="AA4229">
        <v>0.16187406589897921</v>
      </c>
      <c r="AB4229" t="str">
        <f>HYPERLINK("Melting_Curves/meltCurve_Q6NXE6_2_ARMC6.pdf", "Melting_Curves/meltCurve_Q6NXE6_2_ARMC6.pdf")</f>
        <v>Melting_Curves/meltCurve_Q6NXE6_2_ARMC6.pdf</v>
      </c>
    </row>
    <row r="4230" spans="1:28" x14ac:dyDescent="0.25">
      <c r="A4230" t="s">
        <v>4234</v>
      </c>
      <c r="B4230">
        <v>0.99999676499088797</v>
      </c>
      <c r="C4230">
        <v>1.0229386961986899</v>
      </c>
      <c r="D4230">
        <v>0.81446112157046102</v>
      </c>
      <c r="E4230">
        <v>0.54376808592609904</v>
      </c>
      <c r="F4230">
        <v>0.42231892155708201</v>
      </c>
      <c r="G4230">
        <v>0.339494144798824</v>
      </c>
      <c r="H4230">
        <v>0.17204674048896201</v>
      </c>
      <c r="I4230">
        <v>0.17830950382931199</v>
      </c>
      <c r="J4230">
        <v>0.18600879872213699</v>
      </c>
      <c r="K4230">
        <v>0.110673666348282</v>
      </c>
      <c r="L4230">
        <v>737.11334790284695</v>
      </c>
      <c r="M4230">
        <v>14.682282945560299</v>
      </c>
      <c r="N4230">
        <v>51.364343112946898</v>
      </c>
      <c r="O4230">
        <v>49.300528095620599</v>
      </c>
      <c r="P4230">
        <v>-6.3953726981313797E-2</v>
      </c>
      <c r="Q4230">
        <v>0.141112812403694</v>
      </c>
      <c r="R4230">
        <v>0.981416384272642</v>
      </c>
      <c r="S4230" t="s">
        <v>11233</v>
      </c>
      <c r="T4230" t="s">
        <v>14004</v>
      </c>
      <c r="U4230" t="s">
        <v>14004</v>
      </c>
      <c r="V4230" t="s">
        <v>14004</v>
      </c>
      <c r="W4230" t="s">
        <v>18180</v>
      </c>
      <c r="X4230">
        <v>7</v>
      </c>
      <c r="Y4230" t="s">
        <v>24995</v>
      </c>
      <c r="Z4230" t="s">
        <v>31940</v>
      </c>
      <c r="AA4230">
        <v>0.45437627202495329</v>
      </c>
      <c r="AB4230" t="str">
        <f>HYPERLINK("Melting_Curves/meltCurve_Q6NXT1_ANKRD54.pdf", "Melting_Curves/meltCurve_Q6NXT1_ANKRD54.pdf")</f>
        <v>Melting_Curves/meltCurve_Q6NXT1_ANKRD54.pdf</v>
      </c>
    </row>
    <row r="4231" spans="1:28" x14ac:dyDescent="0.25">
      <c r="A4231" t="s">
        <v>4235</v>
      </c>
      <c r="B4231">
        <v>0.99999676499088797</v>
      </c>
      <c r="C4231">
        <v>1.11192193759869</v>
      </c>
      <c r="D4231">
        <v>1.0998810505007801</v>
      </c>
      <c r="E4231">
        <v>1.1572354919886401</v>
      </c>
      <c r="F4231">
        <v>1.13264735383124</v>
      </c>
      <c r="G4231">
        <v>1.1145836384799299</v>
      </c>
      <c r="H4231">
        <v>0.81865497140103405</v>
      </c>
      <c r="I4231">
        <v>0.74158111755756095</v>
      </c>
      <c r="J4231">
        <v>0.58562707478138898</v>
      </c>
      <c r="K4231">
        <v>0.47567677053830199</v>
      </c>
      <c r="L4231">
        <v>1729.02532305511</v>
      </c>
      <c r="M4231">
        <v>27.007806499055398</v>
      </c>
      <c r="N4231">
        <v>69.544979244509406</v>
      </c>
      <c r="O4231">
        <v>63.671570548874399</v>
      </c>
      <c r="P4231">
        <v>-5.9224274874661802E-2</v>
      </c>
      <c r="Q4231">
        <v>0.44151476559706598</v>
      </c>
      <c r="R4231">
        <v>0.84216741311926202</v>
      </c>
      <c r="S4231" t="s">
        <v>11234</v>
      </c>
      <c r="T4231" t="s">
        <v>14004</v>
      </c>
      <c r="U4231" t="s">
        <v>14004</v>
      </c>
      <c r="V4231" t="s">
        <v>14004</v>
      </c>
      <c r="W4231" t="s">
        <v>18181</v>
      </c>
      <c r="X4231">
        <v>11</v>
      </c>
      <c r="Y4231" t="s">
        <v>24996</v>
      </c>
      <c r="Z4231" t="s">
        <v>31941</v>
      </c>
      <c r="AA4231">
        <v>0.88866553364506096</v>
      </c>
      <c r="AB4231" t="str">
        <f>HYPERLINK("Melting_Curves/meltCurve_Q6NXT6_TAPT1.pdf", "Melting_Curves/meltCurve_Q6NXT6_TAPT1.pdf")</f>
        <v>Melting_Curves/meltCurve_Q6NXT6_TAPT1.pdf</v>
      </c>
    </row>
    <row r="4232" spans="1:28" x14ac:dyDescent="0.25">
      <c r="A4232" t="s">
        <v>4236</v>
      </c>
      <c r="B4232">
        <v>0.99999676499088797</v>
      </c>
      <c r="C4232">
        <v>0.95198094842836301</v>
      </c>
      <c r="D4232">
        <v>0.84936998789346296</v>
      </c>
      <c r="E4232">
        <v>0.57120763426492105</v>
      </c>
      <c r="F4232">
        <v>0.37356903130511299</v>
      </c>
      <c r="G4232">
        <v>0.30473208432664201</v>
      </c>
      <c r="H4232">
        <v>0.202197929565782</v>
      </c>
      <c r="I4232">
        <v>0.23193973703078699</v>
      </c>
      <c r="J4232">
        <v>0.25242602212592702</v>
      </c>
      <c r="K4232">
        <v>0.27353919985022801</v>
      </c>
      <c r="L4232">
        <v>998.41821100750496</v>
      </c>
      <c r="M4232">
        <v>20.352943658226199</v>
      </c>
      <c r="N4232">
        <v>50.6749624483273</v>
      </c>
      <c r="O4232">
        <v>48.589029347526299</v>
      </c>
      <c r="P4232">
        <v>-7.9681628612693997E-2</v>
      </c>
      <c r="Q4232">
        <v>0.23912041203282799</v>
      </c>
      <c r="R4232">
        <v>0.99483675142799499</v>
      </c>
      <c r="S4232" t="s">
        <v>11235</v>
      </c>
      <c r="T4232" t="s">
        <v>14004</v>
      </c>
      <c r="U4232" t="s">
        <v>14004</v>
      </c>
      <c r="V4232" t="s">
        <v>14004</v>
      </c>
      <c r="W4232" t="s">
        <v>18182</v>
      </c>
      <c r="X4232">
        <v>13</v>
      </c>
      <c r="Y4232" t="s">
        <v>24997</v>
      </c>
      <c r="Z4232" t="s">
        <v>31942</v>
      </c>
      <c r="AA4232">
        <v>0.47906596283256769</v>
      </c>
      <c r="AB4232" t="str">
        <f>HYPERLINK("Melting_Curves/meltCurve_Q6NYC8_PPP1R18.pdf", "Melting_Curves/meltCurve_Q6NYC8_PPP1R18.pdf")</f>
        <v>Melting_Curves/meltCurve_Q6NYC8_PPP1R18.pdf</v>
      </c>
    </row>
    <row r="4233" spans="1:28" x14ac:dyDescent="0.25">
      <c r="A4233" t="s">
        <v>4237</v>
      </c>
      <c r="B4233">
        <v>0.99999676499088797</v>
      </c>
      <c r="C4233">
        <v>1.0631165876000701</v>
      </c>
      <c r="D4233">
        <v>1.11341925460604</v>
      </c>
      <c r="E4233">
        <v>1.36750533023753</v>
      </c>
      <c r="F4233">
        <v>0.65089154969851304</v>
      </c>
      <c r="G4233">
        <v>0.277688822720498</v>
      </c>
      <c r="H4233">
        <v>0.21577195393599599</v>
      </c>
      <c r="I4233">
        <v>0.28206372331707202</v>
      </c>
      <c r="J4233">
        <v>0.306166288238995</v>
      </c>
      <c r="K4233">
        <v>0.393457574979585</v>
      </c>
      <c r="L4233">
        <v>13301.0193208329</v>
      </c>
      <c r="M4233">
        <v>250</v>
      </c>
      <c r="N4233">
        <v>53.394555336786397</v>
      </c>
      <c r="O4233">
        <v>53.200656821433299</v>
      </c>
      <c r="P4233">
        <v>-0.82819717164328899</v>
      </c>
      <c r="Q4233">
        <v>0.295029654957156</v>
      </c>
      <c r="R4233">
        <v>0.898903036919386</v>
      </c>
      <c r="S4233" t="s">
        <v>11236</v>
      </c>
      <c r="T4233" t="s">
        <v>14004</v>
      </c>
      <c r="U4233" t="s">
        <v>14004</v>
      </c>
      <c r="V4233" t="s">
        <v>14004</v>
      </c>
      <c r="W4233" t="s">
        <v>18183</v>
      </c>
      <c r="X4233">
        <v>18</v>
      </c>
      <c r="Y4233" t="s">
        <v>24998</v>
      </c>
      <c r="Z4233" t="s">
        <v>31943</v>
      </c>
      <c r="AA4233">
        <v>0.60537824362591264</v>
      </c>
      <c r="AB4233" t="str">
        <f>HYPERLINK("Melting_Curves/meltCurve_Q6NZY4_ZCCHC8.pdf", "Melting_Curves/meltCurve_Q6NZY4_ZCCHC8.pdf")</f>
        <v>Melting_Curves/meltCurve_Q6NZY4_ZCCHC8.pdf</v>
      </c>
    </row>
    <row r="4234" spans="1:28" x14ac:dyDescent="0.25">
      <c r="A4234" t="s">
        <v>4238</v>
      </c>
      <c r="B4234">
        <v>0.99999676499088797</v>
      </c>
      <c r="C4234">
        <v>1.01113069834877</v>
      </c>
      <c r="D4234">
        <v>0.97406717487836103</v>
      </c>
      <c r="E4234">
        <v>0.60672604460771395</v>
      </c>
      <c r="F4234">
        <v>0.24237043623666901</v>
      </c>
      <c r="G4234">
        <v>0.22902463574534701</v>
      </c>
      <c r="H4234">
        <v>9.4753614451948007E-2</v>
      </c>
      <c r="I4234">
        <v>0.124385892000484</v>
      </c>
      <c r="J4234">
        <v>0.13551884388221899</v>
      </c>
      <c r="K4234">
        <v>9.1607781964376897E-2</v>
      </c>
      <c r="L4234">
        <v>1521.8665963850401</v>
      </c>
      <c r="M4234">
        <v>30.427068621565599</v>
      </c>
      <c r="N4234">
        <v>50.504561700721801</v>
      </c>
      <c r="O4234">
        <v>49.8023079959518</v>
      </c>
      <c r="P4234">
        <v>-0.13329727501298899</v>
      </c>
      <c r="Q4234">
        <v>0.12729403570967901</v>
      </c>
      <c r="R4234">
        <v>0.99289506122090199</v>
      </c>
      <c r="S4234" t="s">
        <v>11237</v>
      </c>
      <c r="T4234" t="s">
        <v>14004</v>
      </c>
      <c r="U4234" t="s">
        <v>14004</v>
      </c>
      <c r="V4234" t="s">
        <v>14004</v>
      </c>
      <c r="W4234" t="s">
        <v>18184</v>
      </c>
      <c r="X4234">
        <v>8</v>
      </c>
      <c r="Y4234" t="s">
        <v>24999</v>
      </c>
      <c r="Z4234" t="s">
        <v>31944</v>
      </c>
      <c r="AA4234">
        <v>0.42393370369307781</v>
      </c>
      <c r="AB4234" t="str">
        <f>HYPERLINK("Melting_Curves/meltCurve_Q6P087_2_RPUSD3.pdf", "Melting_Curves/meltCurve_Q6P087_2_RPUSD3.pdf")</f>
        <v>Melting_Curves/meltCurve_Q6P087_2_RPUSD3.pdf</v>
      </c>
    </row>
    <row r="4235" spans="1:28" x14ac:dyDescent="0.25">
      <c r="A4235" t="s">
        <v>4239</v>
      </c>
      <c r="B4235">
        <v>0.99999676499088797</v>
      </c>
      <c r="C4235">
        <v>0.94660085597865495</v>
      </c>
      <c r="D4235">
        <v>1.32884835321242</v>
      </c>
      <c r="E4235">
        <v>1.53386874727427</v>
      </c>
      <c r="F4235">
        <v>0.96119836854444196</v>
      </c>
      <c r="G4235">
        <v>0.724933642964111</v>
      </c>
      <c r="H4235">
        <v>0.45749676289945101</v>
      </c>
      <c r="I4235">
        <v>0.38220699329004298</v>
      </c>
      <c r="J4235">
        <v>0.36821048824491498</v>
      </c>
      <c r="K4235">
        <v>0.91406490311758204</v>
      </c>
      <c r="L4235">
        <v>14180.296373416701</v>
      </c>
      <c r="M4235">
        <v>250</v>
      </c>
      <c r="O4235">
        <v>56.717555744459901</v>
      </c>
      <c r="P4235">
        <v>-0.51737201296160495</v>
      </c>
      <c r="Q4235">
        <v>0.53049478502994496</v>
      </c>
      <c r="R4235">
        <v>0.56154307901982503</v>
      </c>
      <c r="S4235" t="s">
        <v>11238</v>
      </c>
      <c r="T4235" t="s">
        <v>14004</v>
      </c>
      <c r="U4235" t="s">
        <v>14004</v>
      </c>
      <c r="V4235" t="s">
        <v>14004</v>
      </c>
      <c r="W4235" t="s">
        <v>18185</v>
      </c>
      <c r="X4235">
        <v>2</v>
      </c>
      <c r="Y4235" t="s">
        <v>25000</v>
      </c>
      <c r="Z4235" t="s">
        <v>31945</v>
      </c>
      <c r="AA4235">
        <v>0.79223098149022553</v>
      </c>
      <c r="AB4235" t="str">
        <f>HYPERLINK("Melting_Curves/meltCurve_Q6P161_MRPL54.pdf", "Melting_Curves/meltCurve_Q6P161_MRPL54.pdf")</f>
        <v>Melting_Curves/meltCurve_Q6P161_MRPL54.pdf</v>
      </c>
    </row>
    <row r="4236" spans="1:28" x14ac:dyDescent="0.25">
      <c r="A4236" t="s">
        <v>4240</v>
      </c>
      <c r="B4236">
        <v>0.99999676499088797</v>
      </c>
      <c r="C4236">
        <v>1.04325590303462</v>
      </c>
      <c r="D4236">
        <v>1.0026488504792599</v>
      </c>
      <c r="E4236">
        <v>1.0693487531755601</v>
      </c>
      <c r="F4236">
        <v>0.92107358449741505</v>
      </c>
      <c r="G4236">
        <v>0.36436764439151198</v>
      </c>
      <c r="H4236">
        <v>0.130095386800862</v>
      </c>
      <c r="I4236">
        <v>0.13198583223006699</v>
      </c>
      <c r="J4236">
        <v>0.133524245110234</v>
      </c>
      <c r="K4236">
        <v>9.2613524818727103E-2</v>
      </c>
      <c r="L4236">
        <v>2793.7046921043602</v>
      </c>
      <c r="M4236">
        <v>50.139059247479899</v>
      </c>
      <c r="N4236">
        <v>56.021267958378097</v>
      </c>
      <c r="O4236">
        <v>55.6307062854629</v>
      </c>
      <c r="P4236">
        <v>-0.19862637165716701</v>
      </c>
      <c r="Q4236">
        <v>0.118474401997635</v>
      </c>
      <c r="R4236">
        <v>0.99558320168559</v>
      </c>
      <c r="S4236" t="s">
        <v>11239</v>
      </c>
      <c r="T4236" t="s">
        <v>14004</v>
      </c>
      <c r="U4236" t="s">
        <v>14004</v>
      </c>
      <c r="V4236" t="s">
        <v>14004</v>
      </c>
      <c r="W4236" t="s">
        <v>18186</v>
      </c>
      <c r="X4236">
        <v>17</v>
      </c>
      <c r="Y4236" t="s">
        <v>25001</v>
      </c>
      <c r="Z4236" t="s">
        <v>31946</v>
      </c>
      <c r="AA4236">
        <v>0.58252079035243098</v>
      </c>
      <c r="AB4236" t="str">
        <f>HYPERLINK("Melting_Curves/meltCurve_Q6P179_ERAP2.pdf", "Melting_Curves/meltCurve_Q6P179_ERAP2.pdf")</f>
        <v>Melting_Curves/meltCurve_Q6P179_ERAP2.pdf</v>
      </c>
    </row>
    <row r="4237" spans="1:28" x14ac:dyDescent="0.25">
      <c r="A4237" t="s">
        <v>4241</v>
      </c>
      <c r="B4237">
        <v>0.99999676499088797</v>
      </c>
      <c r="C4237">
        <v>0.87287891210887103</v>
      </c>
      <c r="D4237">
        <v>0.60868629035517996</v>
      </c>
      <c r="E4237">
        <v>0.22957439136441299</v>
      </c>
      <c r="F4237">
        <v>0.145925741509323</v>
      </c>
      <c r="G4237">
        <v>9.87459564989948E-2</v>
      </c>
      <c r="H4237">
        <v>4.9042205573760801E-2</v>
      </c>
      <c r="I4237">
        <v>5.5653110239863399E-2</v>
      </c>
      <c r="J4237">
        <v>5.4804686654536597E-2</v>
      </c>
      <c r="K4237">
        <v>4.1502594197536199E-2</v>
      </c>
      <c r="L4237">
        <v>1040.20639564932</v>
      </c>
      <c r="M4237">
        <v>22.309884430730101</v>
      </c>
      <c r="N4237">
        <v>46.882549819335303</v>
      </c>
      <c r="O4237">
        <v>46.255623277066199</v>
      </c>
      <c r="P4237">
        <v>-0.113636701709925</v>
      </c>
      <c r="Q4237">
        <v>5.75974955999373E-2</v>
      </c>
      <c r="R4237">
        <v>0.99727351377209705</v>
      </c>
      <c r="S4237" t="s">
        <v>11240</v>
      </c>
      <c r="T4237" t="s">
        <v>14004</v>
      </c>
      <c r="U4237" t="s">
        <v>14004</v>
      </c>
      <c r="V4237" t="s">
        <v>14004</v>
      </c>
      <c r="W4237" t="s">
        <v>18187</v>
      </c>
      <c r="X4237">
        <v>22</v>
      </c>
      <c r="Y4237" t="s">
        <v>25002</v>
      </c>
      <c r="Z4237" t="s">
        <v>31947</v>
      </c>
      <c r="AA4237">
        <v>0.27669387076850199</v>
      </c>
      <c r="AB4237" t="str">
        <f>HYPERLINK("Melting_Curves/meltCurve_Q6P1J9_CDC73.pdf", "Melting_Curves/meltCurve_Q6P1J9_CDC73.pdf")</f>
        <v>Melting_Curves/meltCurve_Q6P1J9_CDC73.pdf</v>
      </c>
    </row>
    <row r="4238" spans="1:28" x14ac:dyDescent="0.25">
      <c r="A4238" t="s">
        <v>4242</v>
      </c>
      <c r="B4238">
        <v>0.99999676499088797</v>
      </c>
      <c r="C4238">
        <v>1.0225760985838099</v>
      </c>
      <c r="D4238">
        <v>1.1038524690026701</v>
      </c>
      <c r="E4238">
        <v>0.74052363960773304</v>
      </c>
      <c r="F4238">
        <v>0.45069316247826802</v>
      </c>
      <c r="G4238">
        <v>0.28396713774523302</v>
      </c>
      <c r="H4238">
        <v>0.166210402473284</v>
      </c>
      <c r="I4238">
        <v>0.20663405013998401</v>
      </c>
      <c r="J4238">
        <v>0.19989394648209699</v>
      </c>
      <c r="K4238">
        <v>0.14148743973184499</v>
      </c>
      <c r="L4238">
        <v>1352.08008336898</v>
      </c>
      <c r="M4238">
        <v>26.1834674660175</v>
      </c>
      <c r="N4238">
        <v>52.537096656438102</v>
      </c>
      <c r="O4238">
        <v>51.340308519569398</v>
      </c>
      <c r="P4238">
        <v>-0.10449103258285899</v>
      </c>
      <c r="Q4238">
        <v>0.18046890812226099</v>
      </c>
      <c r="R4238">
        <v>0.98128841821085699</v>
      </c>
      <c r="S4238" t="s">
        <v>11241</v>
      </c>
      <c r="T4238" t="s">
        <v>14004</v>
      </c>
      <c r="U4238" t="s">
        <v>14004</v>
      </c>
      <c r="V4238" t="s">
        <v>14004</v>
      </c>
      <c r="W4238" t="s">
        <v>18188</v>
      </c>
      <c r="X4238">
        <v>4</v>
      </c>
      <c r="Y4238" t="s">
        <v>25003</v>
      </c>
      <c r="Z4238" t="s">
        <v>31948</v>
      </c>
      <c r="AA4238">
        <v>0.50522311272924247</v>
      </c>
      <c r="AB4238" t="str">
        <f>HYPERLINK("Melting_Curves/meltCurve_Q6P1K2_4_PMF1.pdf", "Melting_Curves/meltCurve_Q6P1K2_4_PMF1.pdf")</f>
        <v>Melting_Curves/meltCurve_Q6P1K2_4_PMF1.pdf</v>
      </c>
    </row>
    <row r="4239" spans="1:28" x14ac:dyDescent="0.25">
      <c r="A4239" t="s">
        <v>4243</v>
      </c>
      <c r="B4239">
        <v>0.99999676499088797</v>
      </c>
      <c r="C4239">
        <v>1.0929979272775701</v>
      </c>
      <c r="D4239">
        <v>0.86452833515448502</v>
      </c>
      <c r="E4239">
        <v>0.487137925511825</v>
      </c>
      <c r="F4239">
        <v>0.33530648833145699</v>
      </c>
      <c r="G4239">
        <v>0.19347166730343901</v>
      </c>
      <c r="H4239">
        <v>0.107709460053195</v>
      </c>
      <c r="I4239">
        <v>9.3338448818619801E-2</v>
      </c>
      <c r="J4239">
        <v>8.9770205858276303E-2</v>
      </c>
      <c r="K4239">
        <v>8.4664821366122897E-2</v>
      </c>
      <c r="L4239">
        <v>1033.7706099916099</v>
      </c>
      <c r="M4239">
        <v>20.821927584827101</v>
      </c>
      <c r="N4239">
        <v>50.175326997344399</v>
      </c>
      <c r="O4239">
        <v>49.197028606258499</v>
      </c>
      <c r="P4239">
        <v>-9.5416561389109394E-2</v>
      </c>
      <c r="Q4239">
        <v>9.8242685210995301E-2</v>
      </c>
      <c r="R4239">
        <v>0.98268403553601602</v>
      </c>
      <c r="S4239" t="s">
        <v>11242</v>
      </c>
      <c r="T4239" t="s">
        <v>14004</v>
      </c>
      <c r="U4239" t="s">
        <v>14004</v>
      </c>
      <c r="V4239" t="s">
        <v>14004</v>
      </c>
      <c r="W4239" t="s">
        <v>18189</v>
      </c>
      <c r="X4239">
        <v>3</v>
      </c>
      <c r="Y4239" t="s">
        <v>25004</v>
      </c>
      <c r="Z4239" t="s">
        <v>31949</v>
      </c>
      <c r="AA4239">
        <v>0.39985995058910029</v>
      </c>
      <c r="AB4239" t="str">
        <f>HYPERLINK("Melting_Curves/meltCurve_Q6P1K8_GTF2H2C.pdf", "Melting_Curves/meltCurve_Q6P1K8_GTF2H2C.pdf")</f>
        <v>Melting_Curves/meltCurve_Q6P1K8_GTF2H2C.pdf</v>
      </c>
    </row>
    <row r="4240" spans="1:28" x14ac:dyDescent="0.25">
      <c r="A4240" t="s">
        <v>4244</v>
      </c>
      <c r="B4240">
        <v>0.99999676499088797</v>
      </c>
      <c r="C4240">
        <v>0.88940990109462303</v>
      </c>
      <c r="D4240">
        <v>0.80243197173731995</v>
      </c>
      <c r="E4240">
        <v>0.65564049766294696</v>
      </c>
      <c r="F4240">
        <v>0.41339914560150198</v>
      </c>
      <c r="G4240">
        <v>0.28842158898805698</v>
      </c>
      <c r="H4240">
        <v>0.172103590412229</v>
      </c>
      <c r="I4240">
        <v>0.21161819544593899</v>
      </c>
      <c r="J4240">
        <v>0.262713255766021</v>
      </c>
      <c r="K4240">
        <v>0.26685162089348002</v>
      </c>
      <c r="L4240">
        <v>779.45027104346195</v>
      </c>
      <c r="M4240">
        <v>15.6945255648151</v>
      </c>
      <c r="N4240">
        <v>51.423256481800102</v>
      </c>
      <c r="O4240">
        <v>48.878501910541701</v>
      </c>
      <c r="P4240">
        <v>-6.3602333465009694E-2</v>
      </c>
      <c r="Q4240">
        <v>0.207743163105579</v>
      </c>
      <c r="R4240">
        <v>0.98107825354344003</v>
      </c>
      <c r="S4240" t="s">
        <v>11243</v>
      </c>
      <c r="T4240" t="s">
        <v>14004</v>
      </c>
      <c r="U4240" t="s">
        <v>14004</v>
      </c>
      <c r="V4240" t="s">
        <v>14004</v>
      </c>
      <c r="W4240" t="s">
        <v>18190</v>
      </c>
      <c r="X4240">
        <v>5</v>
      </c>
      <c r="Y4240" t="s">
        <v>25005</v>
      </c>
      <c r="Z4240" t="s">
        <v>31950</v>
      </c>
      <c r="AA4240">
        <v>0.48053712415263777</v>
      </c>
      <c r="AB4240" t="str">
        <f>HYPERLINK("Melting_Curves/meltCurve_Q6P1L5_FAM117B.pdf", "Melting_Curves/meltCurve_Q6P1L5_FAM117B.pdf")</f>
        <v>Melting_Curves/meltCurve_Q6P1L5_FAM117B.pdf</v>
      </c>
    </row>
    <row r="4241" spans="1:28" x14ac:dyDescent="0.25">
      <c r="A4241" t="s">
        <v>4245</v>
      </c>
      <c r="B4241">
        <v>0.99999676499088797</v>
      </c>
      <c r="C4241">
        <v>0.83305278925256498</v>
      </c>
      <c r="D4241">
        <v>0.74522094146902695</v>
      </c>
      <c r="E4241">
        <v>0.67095027879950997</v>
      </c>
      <c r="F4241">
        <v>0.175059974849303</v>
      </c>
      <c r="G4241">
        <v>0.148766952929064</v>
      </c>
      <c r="H4241">
        <v>6.0090325709570701E-2</v>
      </c>
      <c r="I4241">
        <v>7.3494279008422994E-2</v>
      </c>
      <c r="J4241">
        <v>5.1976125276722303E-2</v>
      </c>
      <c r="K4241">
        <v>5.5528167705287901E-2</v>
      </c>
      <c r="L4241">
        <v>773.14845534827305</v>
      </c>
      <c r="M4241">
        <v>15.5254921233378</v>
      </c>
      <c r="N4241">
        <v>49.959368416344603</v>
      </c>
      <c r="O4241">
        <v>48.9943863245622</v>
      </c>
      <c r="P4241">
        <v>-7.7297739370515303E-2</v>
      </c>
      <c r="Q4241">
        <v>2.4360123164711301E-2</v>
      </c>
      <c r="R4241">
        <v>0.96527984087170404</v>
      </c>
      <c r="S4241" t="s">
        <v>11244</v>
      </c>
      <c r="T4241" t="s">
        <v>14004</v>
      </c>
      <c r="U4241" t="s">
        <v>14004</v>
      </c>
      <c r="V4241" t="s">
        <v>14004</v>
      </c>
      <c r="W4241" t="s">
        <v>18191</v>
      </c>
      <c r="X4241">
        <v>4</v>
      </c>
      <c r="Y4241" t="s">
        <v>25006</v>
      </c>
      <c r="Z4241" t="s">
        <v>31951</v>
      </c>
      <c r="AA4241">
        <v>0.36503030408281678</v>
      </c>
      <c r="AB4241" t="str">
        <f>HYPERLINK("Melting_Curves/meltCurve_Q6P1L8_MRPL14.pdf", "Melting_Curves/meltCurve_Q6P1L8_MRPL14.pdf")</f>
        <v>Melting_Curves/meltCurve_Q6P1L8_MRPL14.pdf</v>
      </c>
    </row>
    <row r="4242" spans="1:28" x14ac:dyDescent="0.25">
      <c r="A4242" t="s">
        <v>4246</v>
      </c>
      <c r="B4242">
        <v>0.99999676499088797</v>
      </c>
      <c r="C4242">
        <v>0.94390135047322898</v>
      </c>
      <c r="D4242">
        <v>0.52500474415600296</v>
      </c>
      <c r="E4242">
        <v>0.22710233216994699</v>
      </c>
      <c r="F4242">
        <v>0.16076580507848701</v>
      </c>
      <c r="G4242">
        <v>8.9360510480783306E-2</v>
      </c>
      <c r="H4242">
        <v>4.59668272045263E-2</v>
      </c>
      <c r="I4242">
        <v>4.4642248786493602E-2</v>
      </c>
      <c r="J4242">
        <v>4.4268204995298502E-2</v>
      </c>
      <c r="K4242">
        <v>3.86648178593995E-2</v>
      </c>
      <c r="L4242">
        <v>1165.1482265176101</v>
      </c>
      <c r="M4242">
        <v>25.1686187262255</v>
      </c>
      <c r="N4242">
        <v>46.540959773041003</v>
      </c>
      <c r="O4242">
        <v>46.004406399226198</v>
      </c>
      <c r="P4242">
        <v>-0.12821525306121401</v>
      </c>
      <c r="Q4242">
        <v>6.2580359528472407E-2</v>
      </c>
      <c r="R4242">
        <v>0.99086738030410604</v>
      </c>
      <c r="S4242" t="s">
        <v>11245</v>
      </c>
      <c r="T4242" t="s">
        <v>14004</v>
      </c>
      <c r="U4242" t="s">
        <v>14004</v>
      </c>
      <c r="V4242" t="s">
        <v>14004</v>
      </c>
      <c r="W4242" t="s">
        <v>18192</v>
      </c>
      <c r="X4242">
        <v>13</v>
      </c>
      <c r="Y4242" t="s">
        <v>25007</v>
      </c>
      <c r="Z4242" t="s">
        <v>31952</v>
      </c>
      <c r="AA4242">
        <v>0.26765617529341562</v>
      </c>
      <c r="AB4242" t="str">
        <f>HYPERLINK("Melting_Curves/meltCurve_Q6P1M0_SLC27A4.pdf", "Melting_Curves/meltCurve_Q6P1M0_SLC27A4.pdf")</f>
        <v>Melting_Curves/meltCurve_Q6P1M0_SLC27A4.pdf</v>
      </c>
    </row>
    <row r="4243" spans="1:28" x14ac:dyDescent="0.25">
      <c r="A4243" t="s">
        <v>4247</v>
      </c>
      <c r="B4243">
        <v>0.99999676499088797</v>
      </c>
      <c r="C4243">
        <v>0.94788692124381801</v>
      </c>
      <c r="D4243">
        <v>0.782082965190808</v>
      </c>
      <c r="E4243">
        <v>0.37673600437975902</v>
      </c>
      <c r="F4243">
        <v>0.209836157562345</v>
      </c>
      <c r="G4243">
        <v>0.162207074457619</v>
      </c>
      <c r="H4243">
        <v>8.9158579154253598E-2</v>
      </c>
      <c r="I4243">
        <v>0.109379276321379</v>
      </c>
      <c r="J4243">
        <v>9.4656373871488203E-2</v>
      </c>
      <c r="K4243">
        <v>8.8713709483539793E-2</v>
      </c>
      <c r="L4243">
        <v>1117.0141871548301</v>
      </c>
      <c r="M4243">
        <v>23.224436806299899</v>
      </c>
      <c r="N4243">
        <v>48.576873727265301</v>
      </c>
      <c r="O4243">
        <v>47.7441653390011</v>
      </c>
      <c r="P4243">
        <v>-0.109133723386558</v>
      </c>
      <c r="Q4243">
        <v>0.102599595466038</v>
      </c>
      <c r="R4243">
        <v>0.99755866309970698</v>
      </c>
      <c r="S4243" t="s">
        <v>11246</v>
      </c>
      <c r="T4243" t="s">
        <v>14004</v>
      </c>
      <c r="U4243" t="s">
        <v>14004</v>
      </c>
      <c r="V4243" t="s">
        <v>14004</v>
      </c>
      <c r="W4243" t="s">
        <v>18193</v>
      </c>
      <c r="X4243">
        <v>20</v>
      </c>
      <c r="Y4243" t="s">
        <v>25008</v>
      </c>
      <c r="Z4243" t="s">
        <v>31953</v>
      </c>
      <c r="AA4243">
        <v>0.3540643281759272</v>
      </c>
      <c r="AB4243" t="str">
        <f>HYPERLINK("Melting_Curves/meltCurve_Q6P1N0_2_CC2D1A.pdf", "Melting_Curves/meltCurve_Q6P1N0_2_CC2D1A.pdf")</f>
        <v>Melting_Curves/meltCurve_Q6P1N0_2_CC2D1A.pdf</v>
      </c>
    </row>
    <row r="4244" spans="1:28" x14ac:dyDescent="0.25">
      <c r="A4244" t="s">
        <v>4248</v>
      </c>
      <c r="B4244">
        <v>0.99999676499088797</v>
      </c>
      <c r="C4244">
        <v>0.86150345350110502</v>
      </c>
      <c r="D4244">
        <v>0.57797290718123095</v>
      </c>
      <c r="E4244">
        <v>0.26160191671243799</v>
      </c>
      <c r="F4244">
        <v>0.197594526131041</v>
      </c>
      <c r="G4244">
        <v>0.145703813147471</v>
      </c>
      <c r="H4244">
        <v>9.1485455628724205E-2</v>
      </c>
      <c r="I4244">
        <v>6.9440687286350999E-2</v>
      </c>
      <c r="J4244">
        <v>6.83322530918163E-2</v>
      </c>
      <c r="K4244">
        <v>6.0801775457837999E-2</v>
      </c>
      <c r="L4244">
        <v>928.95623004845197</v>
      </c>
      <c r="M4244">
        <v>19.9962815857129</v>
      </c>
      <c r="N4244">
        <v>46.887247628505499</v>
      </c>
      <c r="O4244">
        <v>45.999314075402602</v>
      </c>
      <c r="P4244">
        <v>-9.9560384734077495E-2</v>
      </c>
      <c r="Q4244">
        <v>8.3917635121141906E-2</v>
      </c>
      <c r="R4244">
        <v>0.99391563494567403</v>
      </c>
      <c r="S4244" t="s">
        <v>11247</v>
      </c>
      <c r="T4244" t="s">
        <v>14004</v>
      </c>
      <c r="U4244" t="s">
        <v>14004</v>
      </c>
      <c r="V4244" t="s">
        <v>14004</v>
      </c>
      <c r="W4244" t="s">
        <v>18194</v>
      </c>
      <c r="X4244">
        <v>7</v>
      </c>
      <c r="Y4244" t="s">
        <v>25009</v>
      </c>
      <c r="Z4244" t="s">
        <v>31954</v>
      </c>
      <c r="AA4244">
        <v>0.29483971712344648</v>
      </c>
      <c r="AB4244" t="str">
        <f>HYPERLINK("Melting_Curves/meltCurve_Q6P1Q9_METTL2B.pdf", "Melting_Curves/meltCurve_Q6P1Q9_METTL2B.pdf")</f>
        <v>Melting_Curves/meltCurve_Q6P1Q9_METTL2B.pdf</v>
      </c>
    </row>
    <row r="4245" spans="1:28" x14ac:dyDescent="0.25">
      <c r="A4245" t="s">
        <v>4249</v>
      </c>
      <c r="B4245">
        <v>0.99999676499088797</v>
      </c>
      <c r="C4245">
        <v>1.0577400237518699</v>
      </c>
      <c r="D4245">
        <v>0.877357169840984</v>
      </c>
      <c r="E4245">
        <v>0.63128336805811203</v>
      </c>
      <c r="F4245">
        <v>0.414947315238474</v>
      </c>
      <c r="G4245">
        <v>0.27109967541917901</v>
      </c>
      <c r="H4245">
        <v>0.14309093531184799</v>
      </c>
      <c r="I4245">
        <v>0.117217257983612</v>
      </c>
      <c r="J4245">
        <v>0.12507974169105601</v>
      </c>
      <c r="K4245">
        <v>0.11244471962284799</v>
      </c>
      <c r="L4245">
        <v>881.06153630469305</v>
      </c>
      <c r="M4245">
        <v>17.252457504557501</v>
      </c>
      <c r="N4245">
        <v>51.779044649650103</v>
      </c>
      <c r="O4245">
        <v>50.397444452981603</v>
      </c>
      <c r="P4245">
        <v>-7.6568559817142001E-2</v>
      </c>
      <c r="Q4245">
        <v>0.10537161245761301</v>
      </c>
      <c r="R4245">
        <v>0.99181853705029999</v>
      </c>
      <c r="S4245" t="s">
        <v>11248</v>
      </c>
      <c r="T4245" t="s">
        <v>14004</v>
      </c>
      <c r="U4245" t="s">
        <v>14004</v>
      </c>
      <c r="V4245" t="s">
        <v>14004</v>
      </c>
      <c r="W4245" t="s">
        <v>18195</v>
      </c>
      <c r="X4245">
        <v>4</v>
      </c>
      <c r="Y4245" t="s">
        <v>25010</v>
      </c>
      <c r="Z4245" t="s">
        <v>31955</v>
      </c>
      <c r="AA4245">
        <v>0.45169627932690087</v>
      </c>
      <c r="AB4245" t="str">
        <f>HYPERLINK("Melting_Curves/meltCurve_Q6P1R3_3_MSANTD2.pdf", "Melting_Curves/meltCurve_Q6P1R3_3_MSANTD2.pdf")</f>
        <v>Melting_Curves/meltCurve_Q6P1R3_3_MSANTD2.pdf</v>
      </c>
    </row>
    <row r="4246" spans="1:28" x14ac:dyDescent="0.25">
      <c r="A4246" t="s">
        <v>4250</v>
      </c>
      <c r="B4246">
        <v>0.99999676499088797</v>
      </c>
      <c r="C4246">
        <v>0.90961576812439604</v>
      </c>
      <c r="D4246">
        <v>0.68668925148416604</v>
      </c>
      <c r="E4246">
        <v>0.44481978852342802</v>
      </c>
      <c r="F4246">
        <v>0.24310778983641601</v>
      </c>
      <c r="G4246">
        <v>0.16263258133362499</v>
      </c>
      <c r="H4246">
        <v>0.10467372837680999</v>
      </c>
      <c r="I4246">
        <v>0.116962203894001</v>
      </c>
      <c r="J4246">
        <v>0.108641346838893</v>
      </c>
      <c r="K4246">
        <v>9.1686513052237503E-2</v>
      </c>
      <c r="L4246">
        <v>814.70147216282498</v>
      </c>
      <c r="M4246">
        <v>16.9494855069062</v>
      </c>
      <c r="N4246">
        <v>48.671949808523102</v>
      </c>
      <c r="O4246">
        <v>47.412318556196901</v>
      </c>
      <c r="P4246">
        <v>-8.0882113927421895E-2</v>
      </c>
      <c r="Q4246">
        <v>9.5059543977660796E-2</v>
      </c>
      <c r="R4246">
        <v>0.99798895202239402</v>
      </c>
      <c r="S4246" t="s">
        <v>11249</v>
      </c>
      <c r="T4246" t="s">
        <v>14004</v>
      </c>
      <c r="U4246" t="s">
        <v>14004</v>
      </c>
      <c r="V4246" t="s">
        <v>14004</v>
      </c>
      <c r="W4246" t="s">
        <v>18196</v>
      </c>
      <c r="X4246">
        <v>9</v>
      </c>
      <c r="Y4246" t="s">
        <v>25011</v>
      </c>
      <c r="Z4246" t="s">
        <v>31956</v>
      </c>
      <c r="AA4246">
        <v>0.35652792941075939</v>
      </c>
      <c r="AB4246" t="str">
        <f>HYPERLINK("Melting_Curves/meltCurve_Q6P1R4_DUS1L.pdf", "Melting_Curves/meltCurve_Q6P1R4_DUS1L.pdf")</f>
        <v>Melting_Curves/meltCurve_Q6P1R4_DUS1L.pdf</v>
      </c>
    </row>
    <row r="4247" spans="1:28" x14ac:dyDescent="0.25">
      <c r="A4247" t="s">
        <v>4251</v>
      </c>
      <c r="B4247">
        <v>0.99999676499088797</v>
      </c>
      <c r="C4247">
        <v>0.90724594308013096</v>
      </c>
      <c r="D4247">
        <v>0.93214311212240397</v>
      </c>
      <c r="E4247">
        <v>0.71029027329640604</v>
      </c>
      <c r="F4247">
        <v>0.35384628280587899</v>
      </c>
      <c r="G4247">
        <v>0.228041427137161</v>
      </c>
      <c r="H4247">
        <v>0.114575407069646</v>
      </c>
      <c r="I4247">
        <v>0.101821573848761</v>
      </c>
      <c r="J4247">
        <v>0.122692896286443</v>
      </c>
      <c r="K4247">
        <v>6.9919374718156402E-2</v>
      </c>
      <c r="L4247">
        <v>1034.22329257057</v>
      </c>
      <c r="M4247">
        <v>20.178280932307299</v>
      </c>
      <c r="N4247">
        <v>51.7555369146462</v>
      </c>
      <c r="O4247">
        <v>50.758844887253098</v>
      </c>
      <c r="P4247">
        <v>-9.0564462770921395E-2</v>
      </c>
      <c r="Q4247">
        <v>8.8762156489749694E-2</v>
      </c>
      <c r="R4247">
        <v>0.99320896780406798</v>
      </c>
      <c r="S4247" t="s">
        <v>11250</v>
      </c>
      <c r="T4247" t="s">
        <v>14004</v>
      </c>
      <c r="U4247" t="s">
        <v>14004</v>
      </c>
      <c r="V4247" t="s">
        <v>14004</v>
      </c>
      <c r="W4247" t="s">
        <v>18197</v>
      </c>
      <c r="X4247">
        <v>5</v>
      </c>
      <c r="Y4247" t="s">
        <v>25012</v>
      </c>
      <c r="Z4247" t="s">
        <v>31957</v>
      </c>
      <c r="AA4247">
        <v>0.44304130942630171</v>
      </c>
      <c r="AB4247" t="str">
        <f>HYPERLINK("Melting_Curves/meltCurve_Q6P1X5_TAF2.pdf", "Melting_Curves/meltCurve_Q6P1X5_TAF2.pdf")</f>
        <v>Melting_Curves/meltCurve_Q6P1X5_TAF2.pdf</v>
      </c>
    </row>
    <row r="4248" spans="1:28" x14ac:dyDescent="0.25">
      <c r="A4248" t="s">
        <v>4252</v>
      </c>
      <c r="B4248">
        <v>0.99999676499088797</v>
      </c>
      <c r="C4248">
        <v>0.98626969528804598</v>
      </c>
      <c r="D4248">
        <v>0.96856444219193605</v>
      </c>
      <c r="E4248">
        <v>0.70618650194375199</v>
      </c>
      <c r="F4248">
        <v>0.37676777714557802</v>
      </c>
      <c r="G4248">
        <v>0.239092743379822</v>
      </c>
      <c r="H4248">
        <v>0.117979983745346</v>
      </c>
      <c r="I4248">
        <v>0.117246958743844</v>
      </c>
      <c r="J4248">
        <v>0.108505360535132</v>
      </c>
      <c r="K4248">
        <v>8.8623362779766193E-2</v>
      </c>
      <c r="L4248">
        <v>1115.3838993854499</v>
      </c>
      <c r="M4248">
        <v>21.707081173192801</v>
      </c>
      <c r="N4248">
        <v>51.923641066941897</v>
      </c>
      <c r="O4248">
        <v>50.953295663669699</v>
      </c>
      <c r="P4248">
        <v>-9.5741567684100803E-2</v>
      </c>
      <c r="Q4248">
        <v>0.101079869423691</v>
      </c>
      <c r="R4248">
        <v>0.99768246448338105</v>
      </c>
      <c r="S4248" t="s">
        <v>11251</v>
      </c>
      <c r="T4248" t="s">
        <v>14004</v>
      </c>
      <c r="U4248" t="s">
        <v>14004</v>
      </c>
      <c r="V4248" t="s">
        <v>14004</v>
      </c>
      <c r="W4248" t="s">
        <v>18198</v>
      </c>
      <c r="X4248">
        <v>19</v>
      </c>
      <c r="Y4248" t="s">
        <v>25013</v>
      </c>
      <c r="Z4248" t="s">
        <v>31958</v>
      </c>
      <c r="AA4248">
        <v>0.45287131932693142</v>
      </c>
      <c r="AB4248" t="str">
        <f>HYPERLINK("Melting_Curves/meltCurve_Q6P275_STAG1.pdf", "Melting_Curves/meltCurve_Q6P275_STAG1.pdf")</f>
        <v>Melting_Curves/meltCurve_Q6P275_STAG1.pdf</v>
      </c>
    </row>
    <row r="4249" spans="1:28" x14ac:dyDescent="0.25">
      <c r="A4249" t="s">
        <v>4253</v>
      </c>
      <c r="B4249">
        <v>0.99999676499088797</v>
      </c>
      <c r="C4249">
        <v>0.92663244908122999</v>
      </c>
      <c r="D4249">
        <v>0.84102284516742098</v>
      </c>
      <c r="E4249">
        <v>0.62365112761917296</v>
      </c>
      <c r="F4249">
        <v>0.38509247412474901</v>
      </c>
      <c r="G4249">
        <v>0.22729577183271399</v>
      </c>
      <c r="H4249">
        <v>8.1887579032136698E-2</v>
      </c>
      <c r="I4249">
        <v>6.3671568956675501E-2</v>
      </c>
      <c r="J4249">
        <v>4.7962705506948602E-2</v>
      </c>
      <c r="K4249">
        <v>4.5510799285713298E-2</v>
      </c>
      <c r="L4249">
        <v>727.50633960212201</v>
      </c>
      <c r="M4249">
        <v>14.175909534542701</v>
      </c>
      <c r="N4249">
        <v>51.400181482230003</v>
      </c>
      <c r="O4249">
        <v>50.3310388768165</v>
      </c>
      <c r="P4249">
        <v>-6.96512385106412E-2</v>
      </c>
      <c r="Q4249">
        <v>1.09481835408451E-2</v>
      </c>
      <c r="R4249">
        <v>0.99875822236660405</v>
      </c>
      <c r="S4249" t="s">
        <v>11252</v>
      </c>
      <c r="T4249" t="s">
        <v>14004</v>
      </c>
      <c r="U4249" t="s">
        <v>14004</v>
      </c>
      <c r="V4249" t="s">
        <v>14004</v>
      </c>
      <c r="W4249" t="s">
        <v>18199</v>
      </c>
      <c r="X4249">
        <v>6</v>
      </c>
      <c r="Y4249" t="s">
        <v>25014</v>
      </c>
      <c r="Z4249" t="s">
        <v>31959</v>
      </c>
      <c r="AA4249">
        <v>0.40888949561016891</v>
      </c>
      <c r="AB4249" t="str">
        <f>HYPERLINK("Melting_Curves/meltCurve_Q6P2C8_MED27.pdf", "Melting_Curves/meltCurve_Q6P2C8_MED27.pdf")</f>
        <v>Melting_Curves/meltCurve_Q6P2C8_MED27.pdf</v>
      </c>
    </row>
    <row r="4250" spans="1:28" x14ac:dyDescent="0.25">
      <c r="A4250" t="s">
        <v>4254</v>
      </c>
      <c r="B4250">
        <v>0.99999676499088797</v>
      </c>
      <c r="C4250">
        <v>0.901366129839545</v>
      </c>
      <c r="D4250">
        <v>0.78941485166119796</v>
      </c>
      <c r="E4250">
        <v>0.43935425264279798</v>
      </c>
      <c r="F4250">
        <v>0.22628226519022099</v>
      </c>
      <c r="G4250">
        <v>0.13856744736402599</v>
      </c>
      <c r="H4250">
        <v>7.2080349746784095E-2</v>
      </c>
      <c r="I4250">
        <v>6.5627242239640907E-2</v>
      </c>
      <c r="J4250">
        <v>5.5282399906325802E-2</v>
      </c>
      <c r="K4250">
        <v>4.0572159791852101E-2</v>
      </c>
      <c r="L4250">
        <v>880.77172112330197</v>
      </c>
      <c r="M4250">
        <v>18.038253994359799</v>
      </c>
      <c r="N4250">
        <v>49.108942503016102</v>
      </c>
      <c r="O4250">
        <v>48.239744341588299</v>
      </c>
      <c r="P4250">
        <v>-8.8903700099198193E-2</v>
      </c>
      <c r="Q4250">
        <v>4.90249979788542E-2</v>
      </c>
      <c r="R4250">
        <v>0.99808153842438796</v>
      </c>
      <c r="S4250" t="s">
        <v>11253</v>
      </c>
      <c r="T4250" t="s">
        <v>14004</v>
      </c>
      <c r="U4250" t="s">
        <v>14004</v>
      </c>
      <c r="V4250" t="s">
        <v>14004</v>
      </c>
      <c r="W4250" t="s">
        <v>18200</v>
      </c>
      <c r="X4250">
        <v>35</v>
      </c>
      <c r="Y4250" t="s">
        <v>25015</v>
      </c>
      <c r="Z4250" t="s">
        <v>31960</v>
      </c>
      <c r="AA4250">
        <v>0.34532187139318249</v>
      </c>
      <c r="AB4250" t="str">
        <f>HYPERLINK("Melting_Curves/meltCurve_Q6P2E9_EDC4.pdf", "Melting_Curves/meltCurve_Q6P2E9_EDC4.pdf")</f>
        <v>Melting_Curves/meltCurve_Q6P2E9_EDC4.pdf</v>
      </c>
    </row>
    <row r="4251" spans="1:28" x14ac:dyDescent="0.25">
      <c r="A4251" t="s">
        <v>4255</v>
      </c>
      <c r="B4251">
        <v>0.99999676499088797</v>
      </c>
      <c r="C4251">
        <v>0.80125900235658398</v>
      </c>
      <c r="D4251">
        <v>0.58629985178379496</v>
      </c>
      <c r="E4251">
        <v>0.28138362261542799</v>
      </c>
      <c r="F4251">
        <v>0.255480259142921</v>
      </c>
      <c r="G4251">
        <v>0.18786117174213199</v>
      </c>
      <c r="H4251">
        <v>0.108517995929839</v>
      </c>
      <c r="I4251">
        <v>0.115621731799308</v>
      </c>
      <c r="J4251">
        <v>0.11856120246971</v>
      </c>
      <c r="K4251">
        <v>0.13311378497610099</v>
      </c>
      <c r="L4251">
        <v>838.20912495900404</v>
      </c>
      <c r="M4251">
        <v>18.167675193256901</v>
      </c>
      <c r="N4251">
        <v>46.900061034818201</v>
      </c>
      <c r="O4251">
        <v>45.589295786190704</v>
      </c>
      <c r="P4251">
        <v>-8.6889195939137395E-2</v>
      </c>
      <c r="Q4251">
        <v>0.127895282853457</v>
      </c>
      <c r="R4251">
        <v>0.98915828718453203</v>
      </c>
      <c r="S4251" t="s">
        <v>11254</v>
      </c>
      <c r="T4251" t="s">
        <v>14004</v>
      </c>
      <c r="U4251" t="s">
        <v>14004</v>
      </c>
      <c r="V4251" t="s">
        <v>14004</v>
      </c>
      <c r="W4251" t="s">
        <v>18201</v>
      </c>
      <c r="X4251">
        <v>6</v>
      </c>
      <c r="Y4251" t="s">
        <v>25016</v>
      </c>
      <c r="Z4251" t="s">
        <v>31961</v>
      </c>
      <c r="AA4251">
        <v>0.32290930282332769</v>
      </c>
      <c r="AB4251" t="str">
        <f>HYPERLINK("Melting_Curves/meltCurve_Q6P2H3_2_CEP85.pdf", "Melting_Curves/meltCurve_Q6P2H3_2_CEP85.pdf")</f>
        <v>Melting_Curves/meltCurve_Q6P2H3_2_CEP85.pdf</v>
      </c>
    </row>
    <row r="4252" spans="1:28" x14ac:dyDescent="0.25">
      <c r="A4252" t="s">
        <v>4256</v>
      </c>
      <c r="B4252">
        <v>0.99999676499088797</v>
      </c>
      <c r="C4252">
        <v>0.98029800774405895</v>
      </c>
      <c r="D4252">
        <v>1.0456851367048601</v>
      </c>
      <c r="E4252">
        <v>1.14589948226437</v>
      </c>
      <c r="F4252">
        <v>1.3666919994500599</v>
      </c>
      <c r="G4252">
        <v>0.93136818849519398</v>
      </c>
      <c r="H4252">
        <v>0.540363828882508</v>
      </c>
      <c r="I4252">
        <v>0.179350400759165</v>
      </c>
      <c r="J4252">
        <v>0.157615911286481</v>
      </c>
      <c r="K4252">
        <v>0.125652068708732</v>
      </c>
      <c r="L4252">
        <v>2953.6777783914499</v>
      </c>
      <c r="M4252">
        <v>48.7289607337826</v>
      </c>
      <c r="N4252">
        <v>60.997880274913797</v>
      </c>
      <c r="O4252">
        <v>60.5125989254988</v>
      </c>
      <c r="P4252">
        <v>-0.174757907704711</v>
      </c>
      <c r="Q4252">
        <v>0.131929342769771</v>
      </c>
      <c r="R4252">
        <v>0.91454585827438795</v>
      </c>
      <c r="S4252" t="s">
        <v>11255</v>
      </c>
      <c r="T4252" t="s">
        <v>14004</v>
      </c>
      <c r="U4252" t="s">
        <v>14004</v>
      </c>
      <c r="V4252" t="s">
        <v>14004</v>
      </c>
      <c r="W4252" t="s">
        <v>18202</v>
      </c>
      <c r="X4252">
        <v>9</v>
      </c>
      <c r="Y4252" t="s">
        <v>25017</v>
      </c>
      <c r="Z4252" t="s">
        <v>31962</v>
      </c>
      <c r="AA4252">
        <v>0.73079290182954959</v>
      </c>
      <c r="AB4252" t="str">
        <f>HYPERLINK("Melting_Curves/meltCurve_Q6P2I3_FAHD2B.pdf", "Melting_Curves/meltCurve_Q6P2I3_FAHD2B.pdf")</f>
        <v>Melting_Curves/meltCurve_Q6P2I3_FAHD2B.pdf</v>
      </c>
    </row>
    <row r="4253" spans="1:28" x14ac:dyDescent="0.25">
      <c r="A4253" t="s">
        <v>4257</v>
      </c>
      <c r="B4253">
        <v>0.99999676499088797</v>
      </c>
      <c r="C4253">
        <v>1.03166520829246</v>
      </c>
      <c r="D4253">
        <v>0.93688296070773402</v>
      </c>
      <c r="E4253">
        <v>0.71486944371403305</v>
      </c>
      <c r="F4253">
        <v>0.23436687677823101</v>
      </c>
      <c r="G4253">
        <v>0.15453924245372999</v>
      </c>
      <c r="H4253">
        <v>8.2530148118320698E-2</v>
      </c>
      <c r="I4253">
        <v>8.4446574978062197E-2</v>
      </c>
      <c r="J4253">
        <v>8.2901385475335904E-2</v>
      </c>
      <c r="K4253">
        <v>6.1416989432475699E-2</v>
      </c>
      <c r="L4253">
        <v>1598.90667810537</v>
      </c>
      <c r="M4253">
        <v>31.507964777596701</v>
      </c>
      <c r="N4253">
        <v>51.0381159132885</v>
      </c>
      <c r="O4253">
        <v>50.543007004447297</v>
      </c>
      <c r="P4253">
        <v>-0.14299445657408499</v>
      </c>
      <c r="Q4253">
        <v>8.2475666527177E-2</v>
      </c>
      <c r="R4253">
        <v>0.99702137337111496</v>
      </c>
      <c r="S4253" t="s">
        <v>11256</v>
      </c>
      <c r="T4253" t="s">
        <v>14004</v>
      </c>
      <c r="U4253" t="s">
        <v>14004</v>
      </c>
      <c r="V4253" t="s">
        <v>14004</v>
      </c>
      <c r="W4253" t="s">
        <v>18203</v>
      </c>
      <c r="X4253">
        <v>8</v>
      </c>
      <c r="Y4253" t="s">
        <v>25018</v>
      </c>
      <c r="Z4253" t="s">
        <v>31963</v>
      </c>
      <c r="AA4253">
        <v>0.41634185986334171</v>
      </c>
      <c r="AB4253" t="str">
        <f>HYPERLINK("Melting_Curves/meltCurve_Q6P2P2_PRMT10.pdf", "Melting_Curves/meltCurve_Q6P2P2_PRMT10.pdf")</f>
        <v>Melting_Curves/meltCurve_Q6P2P2_PRMT10.pdf</v>
      </c>
    </row>
    <row r="4254" spans="1:28" x14ac:dyDescent="0.25">
      <c r="A4254" t="s">
        <v>4258</v>
      </c>
      <c r="B4254">
        <v>0.99999676499088797</v>
      </c>
      <c r="C4254">
        <v>1.03650875295849</v>
      </c>
      <c r="D4254">
        <v>1.0144276307623401</v>
      </c>
      <c r="E4254">
        <v>0.86892807212404299</v>
      </c>
      <c r="F4254">
        <v>0.31930546743231297</v>
      </c>
      <c r="G4254">
        <v>0.20250277246234599</v>
      </c>
      <c r="H4254">
        <v>9.8501179461444502E-2</v>
      </c>
      <c r="I4254">
        <v>0.104670216718312</v>
      </c>
      <c r="J4254">
        <v>8.7626322346920305E-2</v>
      </c>
      <c r="K4254">
        <v>7.7775476022014095E-2</v>
      </c>
      <c r="L4254">
        <v>1989.9707959003399</v>
      </c>
      <c r="M4254">
        <v>38.447379550438903</v>
      </c>
      <c r="N4254">
        <v>52.077199502860303</v>
      </c>
      <c r="O4254">
        <v>51.618865650505498</v>
      </c>
      <c r="P4254">
        <v>-0.166677230079879</v>
      </c>
      <c r="Q4254">
        <v>0.104888942177903</v>
      </c>
      <c r="R4254">
        <v>0.99524354404328597</v>
      </c>
      <c r="S4254" t="s">
        <v>11257</v>
      </c>
      <c r="T4254" t="s">
        <v>14004</v>
      </c>
      <c r="U4254" t="s">
        <v>14004</v>
      </c>
      <c r="V4254" t="s">
        <v>14004</v>
      </c>
      <c r="W4254" t="s">
        <v>18204</v>
      </c>
      <c r="X4254">
        <v>30</v>
      </c>
      <c r="Y4254" t="s">
        <v>25019</v>
      </c>
      <c r="Z4254" t="s">
        <v>31964</v>
      </c>
      <c r="AA4254">
        <v>0.45918818834514319</v>
      </c>
      <c r="AB4254" t="str">
        <f>HYPERLINK("Melting_Curves/meltCurve_Q6P2Q9_PRPF8.pdf", "Melting_Curves/meltCurve_Q6P2Q9_PRPF8.pdf")</f>
        <v>Melting_Curves/meltCurve_Q6P2Q9_PRPF8.pdf</v>
      </c>
    </row>
    <row r="4255" spans="1:28" x14ac:dyDescent="0.25">
      <c r="A4255" t="s">
        <v>4259</v>
      </c>
      <c r="B4255">
        <v>0.99999676499088797</v>
      </c>
      <c r="C4255">
        <v>0.95578099010260398</v>
      </c>
      <c r="D4255">
        <v>0.94299078725142005</v>
      </c>
      <c r="E4255">
        <v>0.778726535767442</v>
      </c>
      <c r="F4255">
        <v>0.299277116116485</v>
      </c>
      <c r="G4255">
        <v>0.218723944956421</v>
      </c>
      <c r="H4255">
        <v>0.121274263059232</v>
      </c>
      <c r="I4255">
        <v>0.139476205537889</v>
      </c>
      <c r="J4255">
        <v>0.149790769636826</v>
      </c>
      <c r="K4255">
        <v>0.122187423348266</v>
      </c>
      <c r="L4255">
        <v>1657.1394040848199</v>
      </c>
      <c r="M4255">
        <v>32.451681623604998</v>
      </c>
      <c r="N4255">
        <v>51.584288168550501</v>
      </c>
      <c r="O4255">
        <v>50.872085647927399</v>
      </c>
      <c r="P4255">
        <v>-0.137248695964482</v>
      </c>
      <c r="Q4255">
        <v>0.139385857579893</v>
      </c>
      <c r="R4255">
        <v>0.99491252672194697</v>
      </c>
      <c r="S4255" t="s">
        <v>11258</v>
      </c>
      <c r="T4255" t="s">
        <v>14004</v>
      </c>
      <c r="U4255" t="s">
        <v>14004</v>
      </c>
      <c r="V4255" t="s">
        <v>14004</v>
      </c>
      <c r="W4255" t="s">
        <v>18205</v>
      </c>
      <c r="X4255">
        <v>6</v>
      </c>
      <c r="Y4255" t="s">
        <v>25020</v>
      </c>
      <c r="Z4255" t="s">
        <v>31965</v>
      </c>
      <c r="AA4255">
        <v>0.4614312005720837</v>
      </c>
      <c r="AB4255" t="str">
        <f>HYPERLINK("Melting_Curves/meltCurve_Q6P3S1_5_DENND1B.pdf", "Melting_Curves/meltCurve_Q6P3S1_5_DENND1B.pdf")</f>
        <v>Melting_Curves/meltCurve_Q6P3S1_5_DENND1B.pdf</v>
      </c>
    </row>
    <row r="4256" spans="1:28" x14ac:dyDescent="0.25">
      <c r="A4256" t="s">
        <v>4260</v>
      </c>
      <c r="B4256">
        <v>0.99999676499088797</v>
      </c>
      <c r="C4256">
        <v>0.926371325219984</v>
      </c>
      <c r="D4256">
        <v>0.96357052774546004</v>
      </c>
      <c r="E4256">
        <v>0.97334984125456503</v>
      </c>
      <c r="F4256">
        <v>0.71051117530392305</v>
      </c>
      <c r="G4256">
        <v>0.29997292618440302</v>
      </c>
      <c r="H4256">
        <v>0.11631445062943301</v>
      </c>
      <c r="I4256">
        <v>5.8387534475046202E-2</v>
      </c>
      <c r="J4256">
        <v>4.5296518641103199E-2</v>
      </c>
      <c r="K4256">
        <v>1.53201043867348E-2</v>
      </c>
      <c r="L4256">
        <v>1500.8854674088</v>
      </c>
      <c r="M4256">
        <v>27.351178497171901</v>
      </c>
      <c r="N4256">
        <v>55.017661234190001</v>
      </c>
      <c r="O4256">
        <v>54.583793353527398</v>
      </c>
      <c r="P4256">
        <v>-0.120973197515472</v>
      </c>
      <c r="Q4256">
        <v>3.4321121362319698E-2</v>
      </c>
      <c r="R4256">
        <v>0.995488169358687</v>
      </c>
      <c r="S4256" t="s">
        <v>11259</v>
      </c>
      <c r="T4256" t="s">
        <v>14004</v>
      </c>
      <c r="U4256" t="s">
        <v>14004</v>
      </c>
      <c r="V4256" t="s">
        <v>14004</v>
      </c>
      <c r="W4256" t="s">
        <v>18206</v>
      </c>
      <c r="X4256">
        <v>2</v>
      </c>
      <c r="Y4256" t="s">
        <v>25021</v>
      </c>
      <c r="Z4256" t="s">
        <v>31966</v>
      </c>
      <c r="AA4256">
        <v>0.52072797166070406</v>
      </c>
      <c r="AB4256" t="str">
        <f>HYPERLINK("Melting_Curves/meltCurve_Q6P3S6_FBXO42.pdf", "Melting_Curves/meltCurve_Q6P3S6_FBXO42.pdf")</f>
        <v>Melting_Curves/meltCurve_Q6P3S6_FBXO42.pdf</v>
      </c>
    </row>
    <row r="4257" spans="1:28" x14ac:dyDescent="0.25">
      <c r="A4257" t="s">
        <v>4261</v>
      </c>
      <c r="B4257">
        <v>0.99999676499088797</v>
      </c>
      <c r="C4257">
        <v>0.976940861505463</v>
      </c>
      <c r="D4257">
        <v>0.99660511502965998</v>
      </c>
      <c r="E4257">
        <v>0.97374811226115299</v>
      </c>
      <c r="F4257">
        <v>0.47531747240723798</v>
      </c>
      <c r="G4257">
        <v>0.20870376378963801</v>
      </c>
      <c r="H4257">
        <v>0.11138177734041101</v>
      </c>
      <c r="I4257">
        <v>9.26267210825934E-2</v>
      </c>
      <c r="J4257">
        <v>9.3163016517342906E-2</v>
      </c>
      <c r="K4257">
        <v>7.7867135634373502E-2</v>
      </c>
      <c r="L4257">
        <v>2036.64360432589</v>
      </c>
      <c r="M4257">
        <v>38.516192564323703</v>
      </c>
      <c r="N4257">
        <v>53.188819322667698</v>
      </c>
      <c r="O4257">
        <v>52.735655531322102</v>
      </c>
      <c r="P4257">
        <v>-0.16416968050678299</v>
      </c>
      <c r="Q4257">
        <v>0.100889843348384</v>
      </c>
      <c r="R4257">
        <v>0.99664018113999897</v>
      </c>
      <c r="S4257" t="s">
        <v>11260</v>
      </c>
      <c r="T4257" t="s">
        <v>14004</v>
      </c>
      <c r="U4257" t="s">
        <v>14004</v>
      </c>
      <c r="V4257" t="s">
        <v>14004</v>
      </c>
      <c r="W4257" t="s">
        <v>18207</v>
      </c>
      <c r="X4257">
        <v>14</v>
      </c>
      <c r="Y4257" t="s">
        <v>25022</v>
      </c>
      <c r="Z4257" t="s">
        <v>31967</v>
      </c>
      <c r="AA4257">
        <v>0.49037739142791792</v>
      </c>
      <c r="AB4257" t="str">
        <f>HYPERLINK("Melting_Curves/meltCurve_Q6P3W7_SCYL2.pdf", "Melting_Curves/meltCurve_Q6P3W7_SCYL2.pdf")</f>
        <v>Melting_Curves/meltCurve_Q6P3W7_SCYL2.pdf</v>
      </c>
    </row>
    <row r="4258" spans="1:28" x14ac:dyDescent="0.25">
      <c r="A4258" t="s">
        <v>4262</v>
      </c>
      <c r="B4258">
        <v>0.99999676499088797</v>
      </c>
      <c r="C4258">
        <v>1.01310882895814</v>
      </c>
      <c r="D4258">
        <v>0.56210555732409995</v>
      </c>
      <c r="E4258">
        <v>0.27262158964128202</v>
      </c>
      <c r="F4258">
        <v>0.24797937136999801</v>
      </c>
      <c r="G4258">
        <v>0.13378965302889501</v>
      </c>
      <c r="H4258">
        <v>8.3420038660554696E-2</v>
      </c>
      <c r="I4258">
        <v>9.3285241083538195E-2</v>
      </c>
      <c r="J4258">
        <v>0.111948615323109</v>
      </c>
      <c r="K4258">
        <v>8.4841986233357702E-2</v>
      </c>
      <c r="L4258">
        <v>1286.72990451228</v>
      </c>
      <c r="M4258">
        <v>27.7080034286152</v>
      </c>
      <c r="N4258">
        <v>46.906597125331103</v>
      </c>
      <c r="O4258">
        <v>46.1990603934996</v>
      </c>
      <c r="P4258">
        <v>-0.131843180749947</v>
      </c>
      <c r="Q4258">
        <v>0.120690802588688</v>
      </c>
      <c r="R4258">
        <v>0.97828413086814903</v>
      </c>
      <c r="S4258" t="s">
        <v>11261</v>
      </c>
      <c r="T4258" t="s">
        <v>14004</v>
      </c>
      <c r="U4258" t="s">
        <v>14004</v>
      </c>
      <c r="V4258" t="s">
        <v>14004</v>
      </c>
      <c r="W4258" t="s">
        <v>18208</v>
      </c>
      <c r="X4258">
        <v>5</v>
      </c>
      <c r="Y4258" t="s">
        <v>25023</v>
      </c>
      <c r="Z4258" t="s">
        <v>31968</v>
      </c>
      <c r="AA4258">
        <v>0.31574368677808812</v>
      </c>
      <c r="AB4258" t="str">
        <f>HYPERLINK("Melting_Curves/meltCurve_Q6P3X3_TTC27.pdf", "Melting_Curves/meltCurve_Q6P3X3_TTC27.pdf")</f>
        <v>Melting_Curves/meltCurve_Q6P3X3_TTC27.pdf</v>
      </c>
    </row>
    <row r="4259" spans="1:28" x14ac:dyDescent="0.25">
      <c r="A4259" t="s">
        <v>4263</v>
      </c>
      <c r="B4259">
        <v>0.99999676499088797</v>
      </c>
      <c r="C4259">
        <v>0.99117221874712902</v>
      </c>
      <c r="D4259">
        <v>0.85539278599788104</v>
      </c>
      <c r="E4259">
        <v>0.80156462109470195</v>
      </c>
      <c r="F4259">
        <v>0.77949197693435102</v>
      </c>
      <c r="G4259">
        <v>0.59849408860657904</v>
      </c>
      <c r="H4259">
        <v>0.439464312351729</v>
      </c>
      <c r="I4259">
        <v>0.34602748505833902</v>
      </c>
      <c r="J4259">
        <v>0.25326719311663098</v>
      </c>
      <c r="K4259">
        <v>0.33403285560511597</v>
      </c>
      <c r="L4259">
        <v>535.48176004660604</v>
      </c>
      <c r="M4259">
        <v>9.3575277048100904</v>
      </c>
      <c r="N4259">
        <v>59.251364662763599</v>
      </c>
      <c r="O4259">
        <v>54.7936822517579</v>
      </c>
      <c r="P4259">
        <v>-3.6870447413835002E-2</v>
      </c>
      <c r="Q4259">
        <v>0.13695054088539499</v>
      </c>
      <c r="R4259">
        <v>0.97362023997003999</v>
      </c>
      <c r="S4259" t="s">
        <v>11262</v>
      </c>
      <c r="T4259" t="s">
        <v>14004</v>
      </c>
      <c r="U4259" t="s">
        <v>14004</v>
      </c>
      <c r="V4259" t="s">
        <v>14004</v>
      </c>
      <c r="W4259" t="s">
        <v>18209</v>
      </c>
      <c r="X4259">
        <v>1</v>
      </c>
      <c r="Y4259" t="s">
        <v>25024</v>
      </c>
      <c r="Z4259" t="s">
        <v>31969</v>
      </c>
      <c r="AA4259">
        <v>0.64415737335747836</v>
      </c>
      <c r="AB4259" t="str">
        <f>HYPERLINK("Melting_Curves/meltCurve_Q6P499_2_NIPAL3.pdf", "Melting_Curves/meltCurve_Q6P499_2_NIPAL3.pdf")</f>
        <v>Melting_Curves/meltCurve_Q6P499_2_NIPAL3.pdf</v>
      </c>
    </row>
    <row r="4260" spans="1:28" x14ac:dyDescent="0.25">
      <c r="A4260" t="s">
        <v>4264</v>
      </c>
      <c r="B4260">
        <v>0.99999676499088797</v>
      </c>
      <c r="C4260">
        <v>1.2278271261160201</v>
      </c>
      <c r="D4260">
        <v>1.2078193064972</v>
      </c>
      <c r="E4260">
        <v>1.1711790629927601</v>
      </c>
      <c r="F4260">
        <v>1.01153209968328</v>
      </c>
      <c r="G4260">
        <v>0.94041632589642798</v>
      </c>
      <c r="H4260">
        <v>0.48125804149229401</v>
      </c>
      <c r="I4260">
        <v>0.30483874880789402</v>
      </c>
      <c r="J4260">
        <v>0.299741622859931</v>
      </c>
      <c r="K4260">
        <v>0.18013525749353199</v>
      </c>
      <c r="L4260">
        <v>2575.6984386904301</v>
      </c>
      <c r="M4260">
        <v>43.070896704216501</v>
      </c>
      <c r="N4260">
        <v>60.7346975772885</v>
      </c>
      <c r="O4260">
        <v>59.6728855052434</v>
      </c>
      <c r="P4260">
        <v>-0.136767182982858</v>
      </c>
      <c r="Q4260">
        <v>0.24206087465850901</v>
      </c>
      <c r="R4260">
        <v>0.91596987506601202</v>
      </c>
      <c r="S4260" t="s">
        <v>11263</v>
      </c>
      <c r="T4260" t="s">
        <v>14004</v>
      </c>
      <c r="U4260" t="s">
        <v>14004</v>
      </c>
      <c r="V4260" t="s">
        <v>14004</v>
      </c>
      <c r="W4260" t="s">
        <v>18210</v>
      </c>
      <c r="X4260">
        <v>4</v>
      </c>
      <c r="Y4260" t="s">
        <v>25025</v>
      </c>
      <c r="Z4260" t="s">
        <v>31970</v>
      </c>
      <c r="AA4260">
        <v>0.74493912795071815</v>
      </c>
      <c r="AB4260" t="str">
        <f>HYPERLINK("Melting_Curves/meltCurve_Q6P4A7_SFXN4.pdf", "Melting_Curves/meltCurve_Q6P4A7_SFXN4.pdf")</f>
        <v>Melting_Curves/meltCurve_Q6P4A7_SFXN4.pdf</v>
      </c>
    </row>
    <row r="4261" spans="1:28" x14ac:dyDescent="0.25">
      <c r="A4261" t="s">
        <v>4265</v>
      </c>
      <c r="B4261">
        <v>0.99999676499088797</v>
      </c>
      <c r="C4261">
        <v>0.84527270584342995</v>
      </c>
      <c r="D4261">
        <v>0.92381759810731401</v>
      </c>
      <c r="E4261">
        <v>0.88780302044728998</v>
      </c>
      <c r="F4261">
        <v>1.3233674322628199</v>
      </c>
      <c r="G4261">
        <v>0.68106941383591202</v>
      </c>
      <c r="H4261">
        <v>0.54662865399785499</v>
      </c>
      <c r="I4261">
        <v>0.54465758079709103</v>
      </c>
      <c r="J4261">
        <v>0.52678889265171003</v>
      </c>
      <c r="K4261">
        <v>0.66000426999568695</v>
      </c>
      <c r="L4261">
        <v>14140.3315341339</v>
      </c>
      <c r="M4261">
        <v>250</v>
      </c>
      <c r="O4261">
        <v>56.5577066049309</v>
      </c>
      <c r="P4261">
        <v>-0.47570903101078599</v>
      </c>
      <c r="Q4261">
        <v>0.56951981175879995</v>
      </c>
      <c r="R4261">
        <v>0.725799386226191</v>
      </c>
      <c r="S4261" t="s">
        <v>11264</v>
      </c>
      <c r="T4261" t="s">
        <v>14004</v>
      </c>
      <c r="U4261" t="s">
        <v>14004</v>
      </c>
      <c r="V4261" t="s">
        <v>14004</v>
      </c>
      <c r="W4261" t="s">
        <v>18211</v>
      </c>
      <c r="X4261">
        <v>10</v>
      </c>
      <c r="Y4261" t="s">
        <v>25026</v>
      </c>
      <c r="Z4261" t="s">
        <v>31971</v>
      </c>
      <c r="AA4261">
        <v>0.80720663614322674</v>
      </c>
      <c r="AB4261" t="str">
        <f>HYPERLINK("Melting_Curves/meltCurve_Q6P4E1_2_CASC4.pdf", "Melting_Curves/meltCurve_Q6P4E1_2_CASC4.pdf")</f>
        <v>Melting_Curves/meltCurve_Q6P4E1_2_CASC4.pdf</v>
      </c>
    </row>
    <row r="4262" spans="1:28" x14ac:dyDescent="0.25">
      <c r="A4262" t="s">
        <v>4266</v>
      </c>
      <c r="B4262">
        <v>0.99999676499088797</v>
      </c>
      <c r="C4262">
        <v>0.94508182054043699</v>
      </c>
      <c r="D4262">
        <v>0.89567322218490897</v>
      </c>
      <c r="E4262">
        <v>0.82307600248832102</v>
      </c>
      <c r="F4262">
        <v>0.63060200643111297</v>
      </c>
      <c r="G4262">
        <v>0.53344619437187601</v>
      </c>
      <c r="H4262">
        <v>0.33126331577857698</v>
      </c>
      <c r="I4262">
        <v>0.32779896086717902</v>
      </c>
      <c r="J4262">
        <v>0.32312751458837202</v>
      </c>
      <c r="K4262">
        <v>0.331021368701017</v>
      </c>
      <c r="L4262">
        <v>711.83632252877703</v>
      </c>
      <c r="M4262">
        <v>13.369396933509201</v>
      </c>
      <c r="N4262">
        <v>56.584303690659802</v>
      </c>
      <c r="O4262">
        <v>52.094798841164298</v>
      </c>
      <c r="P4262">
        <v>-4.66562613799269E-2</v>
      </c>
      <c r="Q4262">
        <v>0.27291750925277303</v>
      </c>
      <c r="R4262">
        <v>0.98867758614347001</v>
      </c>
      <c r="S4262" t="s">
        <v>11265</v>
      </c>
      <c r="T4262" t="s">
        <v>14004</v>
      </c>
      <c r="U4262" t="s">
        <v>14004</v>
      </c>
      <c r="V4262" t="s">
        <v>14004</v>
      </c>
      <c r="W4262" t="s">
        <v>18212</v>
      </c>
      <c r="X4262">
        <v>3</v>
      </c>
      <c r="Y4262" t="s">
        <v>25027</v>
      </c>
      <c r="Z4262" t="s">
        <v>31972</v>
      </c>
      <c r="AA4262">
        <v>0.6118390551023708</v>
      </c>
      <c r="AB4262" t="str">
        <f>HYPERLINK("Melting_Curves/meltCurve_Q6P4F2_FDX1L.pdf", "Melting_Curves/meltCurve_Q6P4F2_FDX1L.pdf")</f>
        <v>Melting_Curves/meltCurve_Q6P4F2_FDX1L.pdf</v>
      </c>
    </row>
    <row r="4263" spans="1:28" x14ac:dyDescent="0.25">
      <c r="A4263" t="s">
        <v>4267</v>
      </c>
      <c r="B4263">
        <v>0.99999676499088797</v>
      </c>
      <c r="C4263">
        <v>1.01246653563588</v>
      </c>
      <c r="D4263">
        <v>0.96964036323521496</v>
      </c>
      <c r="E4263">
        <v>0.989331626793025</v>
      </c>
      <c r="F4263">
        <v>1.0383126897869599</v>
      </c>
      <c r="G4263">
        <v>0.69408324234001295</v>
      </c>
      <c r="H4263">
        <v>0.25753182968128902</v>
      </c>
      <c r="I4263">
        <v>0.13602020908686799</v>
      </c>
      <c r="J4263">
        <v>9.0331482433043106E-2</v>
      </c>
      <c r="K4263">
        <v>7.9155612474221704E-2</v>
      </c>
      <c r="L4263">
        <v>2068.36240804422</v>
      </c>
      <c r="M4263">
        <v>35.619191815586099</v>
      </c>
      <c r="N4263">
        <v>58.395104789265901</v>
      </c>
      <c r="O4263">
        <v>57.886642067163997</v>
      </c>
      <c r="P4263">
        <v>-0.139948971269301</v>
      </c>
      <c r="Q4263">
        <v>9.0248943059448597E-2</v>
      </c>
      <c r="R4263">
        <v>0.99554125238963898</v>
      </c>
      <c r="S4263" t="s">
        <v>11266</v>
      </c>
      <c r="T4263" t="s">
        <v>14004</v>
      </c>
      <c r="U4263" t="s">
        <v>14004</v>
      </c>
      <c r="V4263" t="s">
        <v>14004</v>
      </c>
      <c r="W4263" t="s">
        <v>18213</v>
      </c>
      <c r="X4263">
        <v>8</v>
      </c>
      <c r="Y4263" t="s">
        <v>25028</v>
      </c>
      <c r="Z4263" t="s">
        <v>31973</v>
      </c>
      <c r="AA4263">
        <v>0.64262382631703929</v>
      </c>
      <c r="AB4263" t="str">
        <f>HYPERLINK("Melting_Curves/meltCurve_Q6P4I2_WDR73.pdf", "Melting_Curves/meltCurve_Q6P4I2_WDR73.pdf")</f>
        <v>Melting_Curves/meltCurve_Q6P4I2_WDR73.pdf</v>
      </c>
    </row>
    <row r="4264" spans="1:28" x14ac:dyDescent="0.25">
      <c r="A4264" t="s">
        <v>4268</v>
      </c>
      <c r="B4264">
        <v>0.99999676499088797</v>
      </c>
      <c r="C4264">
        <v>0.97208576063316199</v>
      </c>
      <c r="D4264">
        <v>0.96804665136499701</v>
      </c>
      <c r="E4264">
        <v>0.90752610515721499</v>
      </c>
      <c r="F4264">
        <v>0.433248295824462</v>
      </c>
      <c r="G4264">
        <v>0.28000749813010101</v>
      </c>
      <c r="H4264">
        <v>0.15206444388021301</v>
      </c>
      <c r="I4264">
        <v>0.139862080990872</v>
      </c>
      <c r="J4264">
        <v>0.11172738611180801</v>
      </c>
      <c r="K4264">
        <v>0.117340640087395</v>
      </c>
      <c r="L4264">
        <v>1550.9925194146999</v>
      </c>
      <c r="M4264">
        <v>29.5743376526991</v>
      </c>
      <c r="N4264">
        <v>53.0054878349681</v>
      </c>
      <c r="O4264">
        <v>52.205834350553701</v>
      </c>
      <c r="P4264">
        <v>-0.122575353815479</v>
      </c>
      <c r="Q4264">
        <v>0.134505800743351</v>
      </c>
      <c r="R4264">
        <v>0.99327661878825402</v>
      </c>
      <c r="S4264" t="s">
        <v>11267</v>
      </c>
      <c r="T4264" t="s">
        <v>14004</v>
      </c>
      <c r="U4264" t="s">
        <v>14004</v>
      </c>
      <c r="V4264" t="s">
        <v>14004</v>
      </c>
      <c r="W4264" t="s">
        <v>18214</v>
      </c>
      <c r="X4264">
        <v>2</v>
      </c>
      <c r="Y4264" t="s">
        <v>25029</v>
      </c>
      <c r="Z4264" t="s">
        <v>31974</v>
      </c>
      <c r="AA4264">
        <v>0.49923551400802052</v>
      </c>
      <c r="AB4264" t="str">
        <f>HYPERLINK("Melting_Curves/meltCurve_Q6P4Q7_CNNM4.pdf", "Melting_Curves/meltCurve_Q6P4Q7_CNNM4.pdf")</f>
        <v>Melting_Curves/meltCurve_Q6P4Q7_CNNM4.pdf</v>
      </c>
    </row>
    <row r="4265" spans="1:28" x14ac:dyDescent="0.25">
      <c r="A4265" t="s">
        <v>4269</v>
      </c>
      <c r="B4265">
        <v>0.99999676499088797</v>
      </c>
      <c r="C4265">
        <v>1.03348115746888</v>
      </c>
      <c r="D4265">
        <v>0.89618741091229004</v>
      </c>
      <c r="E4265">
        <v>0.79960882430472402</v>
      </c>
      <c r="F4265">
        <v>0.75477854643461495</v>
      </c>
      <c r="G4265">
        <v>0.82184987166390899</v>
      </c>
      <c r="H4265">
        <v>0.56239232955581497</v>
      </c>
      <c r="I4265">
        <v>0.58163593820055304</v>
      </c>
      <c r="J4265">
        <v>0.52549241875816699</v>
      </c>
      <c r="K4265">
        <v>0.42312164447635497</v>
      </c>
      <c r="L4265">
        <v>362.96668883605003</v>
      </c>
      <c r="M4265">
        <v>5.5294183865599704</v>
      </c>
      <c r="N4265">
        <v>67.015008176438599</v>
      </c>
      <c r="O4265">
        <v>58.555977719675496</v>
      </c>
      <c r="P4265">
        <v>-2.2440487176346301E-2</v>
      </c>
      <c r="Q4265">
        <v>5.3521950488429899E-2</v>
      </c>
      <c r="R4265">
        <v>0.92193829978827802</v>
      </c>
      <c r="S4265" t="s">
        <v>11268</v>
      </c>
      <c r="T4265" t="s">
        <v>14004</v>
      </c>
      <c r="U4265" t="s">
        <v>14004</v>
      </c>
      <c r="V4265" t="s">
        <v>14004</v>
      </c>
      <c r="W4265" t="s">
        <v>18215</v>
      </c>
      <c r="X4265">
        <v>5</v>
      </c>
      <c r="Y4265" t="s">
        <v>25030</v>
      </c>
      <c r="Z4265" t="s">
        <v>31975</v>
      </c>
      <c r="AA4265">
        <v>0.74126007651783588</v>
      </c>
      <c r="AB4265" t="str">
        <f>HYPERLINK("Melting_Curves/meltCurve_Q6P4R8_3_NFRKB.pdf", "Melting_Curves/meltCurve_Q6P4R8_3_NFRKB.pdf")</f>
        <v>Melting_Curves/meltCurve_Q6P4R8_3_NFRKB.pdf</v>
      </c>
    </row>
    <row r="4266" spans="1:28" x14ac:dyDescent="0.25">
      <c r="A4266" t="s">
        <v>4270</v>
      </c>
      <c r="B4266">
        <v>0.99999676499088797</v>
      </c>
      <c r="C4266">
        <v>1.0887776765722199</v>
      </c>
      <c r="D4266">
        <v>1.1112863684279799</v>
      </c>
      <c r="E4266">
        <v>1.1227196142782001</v>
      </c>
      <c r="F4266">
        <v>1.1287796623095401</v>
      </c>
      <c r="G4266">
        <v>0.95858235106070599</v>
      </c>
      <c r="H4266">
        <v>0.54379550830031298</v>
      </c>
      <c r="I4266">
        <v>0.65036220749596496</v>
      </c>
      <c r="J4266">
        <v>0.56409467564344795</v>
      </c>
      <c r="K4266">
        <v>0.669503923006043</v>
      </c>
      <c r="L4266">
        <v>14321.489602600401</v>
      </c>
      <c r="M4266">
        <v>250</v>
      </c>
      <c r="O4266">
        <v>57.282292506939598</v>
      </c>
      <c r="P4266">
        <v>-0.42886394294709601</v>
      </c>
      <c r="Q4266">
        <v>0.60693904337439497</v>
      </c>
      <c r="R4266">
        <v>0.88410339836817398</v>
      </c>
      <c r="S4266" t="s">
        <v>11269</v>
      </c>
      <c r="T4266" t="s">
        <v>14004</v>
      </c>
      <c r="U4266" t="s">
        <v>14004</v>
      </c>
      <c r="V4266" t="s">
        <v>14004</v>
      </c>
      <c r="W4266" t="s">
        <v>18216</v>
      </c>
      <c r="X4266">
        <v>6</v>
      </c>
      <c r="Y4266" t="s">
        <v>25031</v>
      </c>
      <c r="Z4266" t="s">
        <v>31976</v>
      </c>
      <c r="AA4266">
        <v>0.83345973843657561</v>
      </c>
      <c r="AB4266" t="str">
        <f>HYPERLINK("Melting_Curves/meltCurve_Q6P582_MZT2A.pdf", "Melting_Curves/meltCurve_Q6P582_MZT2A.pdf")</f>
        <v>Melting_Curves/meltCurve_Q6P582_MZT2A.pdf</v>
      </c>
    </row>
    <row r="4267" spans="1:28" x14ac:dyDescent="0.25">
      <c r="A4267" t="s">
        <v>4271</v>
      </c>
      <c r="B4267">
        <v>0.99999676499088797</v>
      </c>
      <c r="C4267">
        <v>0.93702929342571795</v>
      </c>
      <c r="D4267">
        <v>0.89104500705087597</v>
      </c>
      <c r="E4267">
        <v>0.79997183523309401</v>
      </c>
      <c r="F4267">
        <v>0.680728132876815</v>
      </c>
      <c r="G4267">
        <v>0.65574731140238796</v>
      </c>
      <c r="H4267">
        <v>0.500935092083168</v>
      </c>
      <c r="I4267">
        <v>0.585284576812791</v>
      </c>
      <c r="J4267">
        <v>0.53100582662496798</v>
      </c>
      <c r="K4267">
        <v>0.59662337081866801</v>
      </c>
      <c r="L4267">
        <v>679.68238187151599</v>
      </c>
      <c r="M4267">
        <v>13.5487632336886</v>
      </c>
      <c r="O4267">
        <v>49.110623935273502</v>
      </c>
      <c r="P4267">
        <v>-3.1687357299758197E-2</v>
      </c>
      <c r="Q4267">
        <v>0.54063641120921802</v>
      </c>
      <c r="R4267">
        <v>0.95910261441261102</v>
      </c>
      <c r="S4267" t="s">
        <v>11270</v>
      </c>
      <c r="T4267" t="s">
        <v>14004</v>
      </c>
      <c r="U4267" t="s">
        <v>14004</v>
      </c>
      <c r="V4267" t="s">
        <v>14004</v>
      </c>
      <c r="W4267" t="s">
        <v>18217</v>
      </c>
      <c r="X4267">
        <v>8</v>
      </c>
      <c r="Y4267" t="s">
        <v>25032</v>
      </c>
      <c r="Z4267" t="s">
        <v>31977</v>
      </c>
      <c r="AA4267">
        <v>0.70925797719680028</v>
      </c>
      <c r="AB4267" t="str">
        <f>HYPERLINK("Melting_Curves/meltCurve_Q6P587_FAHD1.pdf", "Melting_Curves/meltCurve_Q6P587_FAHD1.pdf")</f>
        <v>Melting_Curves/meltCurve_Q6P587_FAHD1.pdf</v>
      </c>
    </row>
    <row r="4268" spans="1:28" x14ac:dyDescent="0.25">
      <c r="A4268" t="s">
        <v>4272</v>
      </c>
      <c r="B4268">
        <v>0.99999676499088797</v>
      </c>
      <c r="C4268">
        <v>1.0896244469731</v>
      </c>
      <c r="D4268">
        <v>0.82817054913660004</v>
      </c>
      <c r="E4268">
        <v>0.44021509775914502</v>
      </c>
      <c r="F4268">
        <v>0.30959486811734199</v>
      </c>
      <c r="G4268">
        <v>0.166622330494518</v>
      </c>
      <c r="H4268">
        <v>0.141683567771684</v>
      </c>
      <c r="I4268">
        <v>0.26124890455650501</v>
      </c>
      <c r="J4268">
        <v>0.16464300327319101</v>
      </c>
      <c r="K4268">
        <v>0.118106813909004</v>
      </c>
      <c r="L4268">
        <v>1328.2709659795</v>
      </c>
      <c r="M4268">
        <v>27.4119413757244</v>
      </c>
      <c r="N4268">
        <v>49.236747733890198</v>
      </c>
      <c r="O4268">
        <v>48.200244893261697</v>
      </c>
      <c r="P4268">
        <v>-0.11711592177181</v>
      </c>
      <c r="Q4268">
        <v>0.176276734185291</v>
      </c>
      <c r="R4268">
        <v>0.97602367332610596</v>
      </c>
      <c r="S4268" t="s">
        <v>11271</v>
      </c>
      <c r="T4268" t="s">
        <v>14004</v>
      </c>
      <c r="U4268" t="s">
        <v>14004</v>
      </c>
      <c r="V4268" t="s">
        <v>14004</v>
      </c>
      <c r="W4268" t="s">
        <v>18218</v>
      </c>
      <c r="X4268">
        <v>2</v>
      </c>
      <c r="Y4268" t="s">
        <v>25033</v>
      </c>
      <c r="Z4268" t="s">
        <v>31978</v>
      </c>
      <c r="AA4268">
        <v>0.41446207121381451</v>
      </c>
      <c r="AB4268" t="str">
        <f>HYPERLINK("Melting_Curves/meltCurve_Q6P5X5_C22orf39.pdf", "Melting_Curves/meltCurve_Q6P5X5_C22orf39.pdf")</f>
        <v>Melting_Curves/meltCurve_Q6P5X5_C22orf39.pdf</v>
      </c>
    </row>
    <row r="4269" spans="1:28" x14ac:dyDescent="0.25">
      <c r="A4269" t="s">
        <v>4273</v>
      </c>
      <c r="B4269">
        <v>0.99999676499088797</v>
      </c>
      <c r="C4269">
        <v>0.99109235072718205</v>
      </c>
      <c r="D4269">
        <v>1.01627478116826</v>
      </c>
      <c r="E4269">
        <v>0.95304963770470097</v>
      </c>
      <c r="F4269">
        <v>0.87312983504341402</v>
      </c>
      <c r="G4269">
        <v>0.91224632499896097</v>
      </c>
      <c r="H4269">
        <v>0.62745216747855104</v>
      </c>
      <c r="I4269">
        <v>0.69870787097992904</v>
      </c>
      <c r="J4269">
        <v>0.66276112490648498</v>
      </c>
      <c r="K4269">
        <v>0.72810073731889802</v>
      </c>
      <c r="L4269">
        <v>1189.58807201083</v>
      </c>
      <c r="M4269">
        <v>21.152395637779801</v>
      </c>
      <c r="O4269">
        <v>55.743514207610602</v>
      </c>
      <c r="P4269">
        <v>-3.1380638731212301E-2</v>
      </c>
      <c r="Q4269">
        <v>0.66921544296872104</v>
      </c>
      <c r="R4269">
        <v>0.87630784400422101</v>
      </c>
      <c r="S4269" t="s">
        <v>11272</v>
      </c>
      <c r="T4269" t="s">
        <v>14004</v>
      </c>
      <c r="U4269" t="s">
        <v>14004</v>
      </c>
      <c r="V4269" t="s">
        <v>14004</v>
      </c>
      <c r="W4269" t="s">
        <v>18219</v>
      </c>
      <c r="X4269">
        <v>10</v>
      </c>
      <c r="Y4269" t="s">
        <v>25034</v>
      </c>
      <c r="Z4269" t="s">
        <v>31979</v>
      </c>
      <c r="AA4269">
        <v>0.85217500792499645</v>
      </c>
      <c r="AB4269" t="str">
        <f>HYPERLINK("Melting_Curves/meltCurve_Q6P6B1_C8orf47.pdf", "Melting_Curves/meltCurve_Q6P6B1_C8orf47.pdf")</f>
        <v>Melting_Curves/meltCurve_Q6P6B1_C8orf47.pdf</v>
      </c>
    </row>
    <row r="4270" spans="1:28" x14ac:dyDescent="0.25">
      <c r="A4270" t="s">
        <v>4274</v>
      </c>
      <c r="B4270">
        <v>0.99999676499088797</v>
      </c>
      <c r="C4270">
        <v>0.84316301811140903</v>
      </c>
      <c r="D4270">
        <v>0.53284352190487805</v>
      </c>
      <c r="E4270">
        <v>0.32570251681328799</v>
      </c>
      <c r="F4270">
        <v>0.29037325423258598</v>
      </c>
      <c r="G4270">
        <v>0.21744925995787101</v>
      </c>
      <c r="H4270">
        <v>0.143456716981191</v>
      </c>
      <c r="I4270">
        <v>0.170424554758037</v>
      </c>
      <c r="J4270">
        <v>0.137124801088781</v>
      </c>
      <c r="K4270">
        <v>0.11253334295942399</v>
      </c>
      <c r="L4270">
        <v>842.59801111652996</v>
      </c>
      <c r="M4270">
        <v>18.322823987310102</v>
      </c>
      <c r="N4270">
        <v>46.945924894048197</v>
      </c>
      <c r="O4270">
        <v>45.448987891084798</v>
      </c>
      <c r="P4270">
        <v>-8.5048354138516497E-2</v>
      </c>
      <c r="Q4270">
        <v>0.15620348560483699</v>
      </c>
      <c r="R4270">
        <v>0.98397774148065897</v>
      </c>
      <c r="S4270" t="s">
        <v>11273</v>
      </c>
      <c r="T4270" t="s">
        <v>14004</v>
      </c>
      <c r="U4270" t="s">
        <v>14004</v>
      </c>
      <c r="V4270" t="s">
        <v>14004</v>
      </c>
      <c r="W4270" t="s">
        <v>18220</v>
      </c>
      <c r="X4270">
        <v>2</v>
      </c>
      <c r="Y4270" t="s">
        <v>25035</v>
      </c>
      <c r="Z4270" t="s">
        <v>31980</v>
      </c>
      <c r="AA4270">
        <v>0.34050966172758901</v>
      </c>
      <c r="AB4270" t="str">
        <f>HYPERLINK("Melting_Curves/meltCurve_Q6P6B7_2_ANKRD16.pdf", "Melting_Curves/meltCurve_Q6P6B7_2_ANKRD16.pdf")</f>
        <v>Melting_Curves/meltCurve_Q6P6B7_2_ANKRD16.pdf</v>
      </c>
    </row>
    <row r="4271" spans="1:28" x14ac:dyDescent="0.25">
      <c r="A4271" t="s">
        <v>4275</v>
      </c>
      <c r="B4271">
        <v>0.99999676499088797</v>
      </c>
      <c r="C4271">
        <v>0.89952698752927995</v>
      </c>
      <c r="D4271">
        <v>0.88295766663695097</v>
      </c>
      <c r="E4271">
        <v>0.81185429595326997</v>
      </c>
      <c r="F4271">
        <v>0.66116052602331399</v>
      </c>
      <c r="G4271">
        <v>0.58661184196136196</v>
      </c>
      <c r="H4271">
        <v>0.43641514156289202</v>
      </c>
      <c r="I4271">
        <v>0.40855486516648698</v>
      </c>
      <c r="J4271">
        <v>0.35422410207354699</v>
      </c>
      <c r="K4271">
        <v>0.28943388371967099</v>
      </c>
      <c r="L4271">
        <v>442.287904764546</v>
      </c>
      <c r="M4271">
        <v>7.7883063639820396</v>
      </c>
      <c r="N4271">
        <v>59.313456308802401</v>
      </c>
      <c r="O4271">
        <v>53.4095094982125</v>
      </c>
      <c r="P4271">
        <v>-3.1351475157641202E-2</v>
      </c>
      <c r="Q4271">
        <v>0.14108329876379699</v>
      </c>
      <c r="R4271">
        <v>0.99197030202303504</v>
      </c>
      <c r="S4271" t="s">
        <v>11274</v>
      </c>
      <c r="T4271" t="s">
        <v>14004</v>
      </c>
      <c r="U4271" t="s">
        <v>14004</v>
      </c>
      <c r="V4271" t="s">
        <v>14004</v>
      </c>
      <c r="W4271" t="s">
        <v>18221</v>
      </c>
      <c r="X4271">
        <v>15</v>
      </c>
      <c r="Y4271" t="s">
        <v>25036</v>
      </c>
      <c r="Z4271" t="s">
        <v>31981</v>
      </c>
      <c r="AA4271">
        <v>0.63301076896813901</v>
      </c>
      <c r="AB4271" t="str">
        <f>HYPERLINK("Melting_Curves/meltCurve_Q6P6C2_3_ALKBH5.pdf", "Melting_Curves/meltCurve_Q6P6C2_3_ALKBH5.pdf")</f>
        <v>Melting_Curves/meltCurve_Q6P6C2_3_ALKBH5.pdf</v>
      </c>
    </row>
    <row r="4272" spans="1:28" x14ac:dyDescent="0.25">
      <c r="A4272" t="s">
        <v>4276</v>
      </c>
      <c r="B4272">
        <v>0.99999676499088797</v>
      </c>
      <c r="C4272">
        <v>0.97317204865045404</v>
      </c>
      <c r="D4272">
        <v>1.0822762556097401</v>
      </c>
      <c r="E4272">
        <v>0.93248640556805396</v>
      </c>
      <c r="F4272">
        <v>0.30311035920048202</v>
      </c>
      <c r="G4272">
        <v>0.15781144150554999</v>
      </c>
      <c r="H4272">
        <v>7.7961664747576404E-2</v>
      </c>
      <c r="I4272">
        <v>0.104197608620386</v>
      </c>
      <c r="J4272">
        <v>0.10432500088723499</v>
      </c>
      <c r="K4272">
        <v>8.0683389363599797E-2</v>
      </c>
      <c r="L4272">
        <v>2692.6711100923199</v>
      </c>
      <c r="M4272">
        <v>51.826518507206302</v>
      </c>
      <c r="N4272">
        <v>52.185162900971399</v>
      </c>
      <c r="O4272">
        <v>51.878293275082797</v>
      </c>
      <c r="P4272">
        <v>-0.22428051368606899</v>
      </c>
      <c r="Q4272">
        <v>0.10198246218685</v>
      </c>
      <c r="R4272">
        <v>0.99406218430807403</v>
      </c>
      <c r="S4272" t="s">
        <v>11275</v>
      </c>
      <c r="T4272" t="s">
        <v>14004</v>
      </c>
      <c r="U4272" t="s">
        <v>14004</v>
      </c>
      <c r="V4272" t="s">
        <v>14004</v>
      </c>
      <c r="W4272" t="s">
        <v>18222</v>
      </c>
      <c r="X4272">
        <v>2</v>
      </c>
      <c r="Y4272" t="s">
        <v>25037</v>
      </c>
      <c r="Z4272" t="s">
        <v>31982</v>
      </c>
      <c r="AA4272">
        <v>0.46177122516335861</v>
      </c>
      <c r="AB4272" t="str">
        <f>HYPERLINK("Melting_Curves/meltCurve_Q6P9B6_KIAA1609.pdf", "Melting_Curves/meltCurve_Q6P9B6_KIAA1609.pdf")</f>
        <v>Melting_Curves/meltCurve_Q6P9B6_KIAA1609.pdf</v>
      </c>
    </row>
    <row r="4273" spans="1:28" x14ac:dyDescent="0.25">
      <c r="A4273" t="s">
        <v>4277</v>
      </c>
      <c r="B4273">
        <v>0.99999676499088797</v>
      </c>
      <c r="C4273">
        <v>1.0828663607120399</v>
      </c>
      <c r="D4273">
        <v>0.95922916918341095</v>
      </c>
      <c r="E4273">
        <v>0.73482759488183502</v>
      </c>
      <c r="F4273">
        <v>0.33886796517267398</v>
      </c>
      <c r="G4273">
        <v>0.15059999622636999</v>
      </c>
      <c r="H4273">
        <v>6.49750782868775E-2</v>
      </c>
      <c r="I4273">
        <v>7.4789545414877603E-2</v>
      </c>
      <c r="J4273">
        <v>5.5911106670254201E-2</v>
      </c>
      <c r="K4273">
        <v>4.0980278074253702E-2</v>
      </c>
      <c r="L4273">
        <v>1315.2904825893399</v>
      </c>
      <c r="M4273">
        <v>25.550196736622102</v>
      </c>
      <c r="N4273">
        <v>51.714775920974802</v>
      </c>
      <c r="O4273">
        <v>51.166450048283799</v>
      </c>
      <c r="P4273">
        <v>-0.11796813367148801</v>
      </c>
      <c r="Q4273">
        <v>5.504680964967E-2</v>
      </c>
      <c r="R4273">
        <v>0.99508223073078494</v>
      </c>
      <c r="S4273" t="s">
        <v>11276</v>
      </c>
      <c r="T4273" t="s">
        <v>14004</v>
      </c>
      <c r="U4273" t="s">
        <v>14004</v>
      </c>
      <c r="V4273" t="s">
        <v>14004</v>
      </c>
      <c r="W4273" t="s">
        <v>18223</v>
      </c>
      <c r="X4273">
        <v>6</v>
      </c>
      <c r="Y4273" t="s">
        <v>25038</v>
      </c>
      <c r="Z4273" t="s">
        <v>31983</v>
      </c>
      <c r="AA4273">
        <v>0.42483136332398352</v>
      </c>
      <c r="AB4273" t="str">
        <f>HYPERLINK("Melting_Curves/meltCurve_Q6P9B9_INTS5.pdf", "Melting_Curves/meltCurve_Q6P9B9_INTS5.pdf")</f>
        <v>Melting_Curves/meltCurve_Q6P9B9_INTS5.pdf</v>
      </c>
    </row>
    <row r="4274" spans="1:28" x14ac:dyDescent="0.25">
      <c r="A4274" t="s">
        <v>4278</v>
      </c>
      <c r="B4274">
        <v>0.99999676499088797</v>
      </c>
      <c r="C4274">
        <v>1.06073429648608</v>
      </c>
      <c r="D4274">
        <v>1.0266874697697801</v>
      </c>
      <c r="E4274">
        <v>0.82972466650398902</v>
      </c>
      <c r="F4274">
        <v>0.25854375640244298</v>
      </c>
      <c r="G4274">
        <v>0.16708138113037299</v>
      </c>
      <c r="H4274">
        <v>8.3954245339581998E-2</v>
      </c>
      <c r="I4274">
        <v>8.6313230487861894E-2</v>
      </c>
      <c r="J4274">
        <v>8.0679732346364899E-2</v>
      </c>
      <c r="K4274">
        <v>7.3585926685222902E-2</v>
      </c>
      <c r="L4274">
        <v>2110.8967335862399</v>
      </c>
      <c r="M4274">
        <v>41.103918284655599</v>
      </c>
      <c r="N4274">
        <v>51.612833743958802</v>
      </c>
      <c r="O4274">
        <v>51.234017681010897</v>
      </c>
      <c r="P4274">
        <v>-0.18196323914083101</v>
      </c>
      <c r="Q4274">
        <v>9.2768725328334495E-2</v>
      </c>
      <c r="R4274">
        <v>0.99507662230418703</v>
      </c>
      <c r="S4274" t="s">
        <v>11277</v>
      </c>
      <c r="T4274" t="s">
        <v>14004</v>
      </c>
      <c r="U4274" t="s">
        <v>14004</v>
      </c>
      <c r="V4274" t="s">
        <v>14004</v>
      </c>
      <c r="W4274" t="s">
        <v>18224</v>
      </c>
      <c r="X4274">
        <v>8</v>
      </c>
      <c r="Y4274" t="s">
        <v>25039</v>
      </c>
      <c r="Z4274" t="s">
        <v>31984</v>
      </c>
      <c r="AA4274">
        <v>0.43920759189882008</v>
      </c>
      <c r="AB4274" t="str">
        <f>HYPERLINK("Melting_Curves/meltCurve_Q6P9H5_GIMAP6.pdf", "Melting_Curves/meltCurve_Q6P9H5_GIMAP6.pdf")</f>
        <v>Melting_Curves/meltCurve_Q6P9H5_GIMAP6.pdf</v>
      </c>
    </row>
    <row r="4275" spans="1:28" x14ac:dyDescent="0.25">
      <c r="A4275" t="s">
        <v>4279</v>
      </c>
      <c r="B4275">
        <v>0.99999676499088797</v>
      </c>
      <c r="C4275">
        <v>1.1717910372106199</v>
      </c>
      <c r="D4275">
        <v>1.22941312505199</v>
      </c>
      <c r="E4275">
        <v>0.74755802499767599</v>
      </c>
      <c r="F4275">
        <v>0.24585035545903799</v>
      </c>
      <c r="G4275">
        <v>0.33246297319871598</v>
      </c>
      <c r="H4275">
        <v>0.31132988307045301</v>
      </c>
      <c r="I4275">
        <v>0</v>
      </c>
      <c r="J4275">
        <v>0.32559222232645302</v>
      </c>
      <c r="K4275">
        <v>0.68853052922013103</v>
      </c>
      <c r="L4275">
        <v>12426.447550532501</v>
      </c>
      <c r="M4275">
        <v>250</v>
      </c>
      <c r="N4275">
        <v>49.906760695958198</v>
      </c>
      <c r="O4275">
        <v>49.702609621046903</v>
      </c>
      <c r="P4275">
        <v>-0.85848822703791705</v>
      </c>
      <c r="Q4275">
        <v>0.31729432096481502</v>
      </c>
      <c r="R4275">
        <v>0.79971744846251802</v>
      </c>
      <c r="S4275" t="s">
        <v>11278</v>
      </c>
      <c r="T4275" t="s">
        <v>14004</v>
      </c>
      <c r="U4275" t="s">
        <v>14004</v>
      </c>
      <c r="V4275" t="s">
        <v>14004</v>
      </c>
      <c r="W4275" t="s">
        <v>18225</v>
      </c>
      <c r="X4275">
        <v>1</v>
      </c>
      <c r="Y4275" t="s">
        <v>25040</v>
      </c>
      <c r="Z4275" t="s">
        <v>31985</v>
      </c>
      <c r="AA4275">
        <v>0.53822714503693603</v>
      </c>
      <c r="AB4275" t="str">
        <f>HYPERLINK("Melting_Curves/meltCurve_Q6PCB0_2_VWA1.pdf", "Melting_Curves/meltCurve_Q6PCB0_2_VWA1.pdf")</f>
        <v>Melting_Curves/meltCurve_Q6PCB0_2_VWA1.pdf</v>
      </c>
    </row>
    <row r="4276" spans="1:28" x14ac:dyDescent="0.25">
      <c r="A4276" t="s">
        <v>4280</v>
      </c>
      <c r="B4276">
        <v>0.99999676499088797</v>
      </c>
      <c r="C4276">
        <v>1.0032101206452899</v>
      </c>
      <c r="D4276">
        <v>0.92082354777014397</v>
      </c>
      <c r="E4276">
        <v>0.827804987188963</v>
      </c>
      <c r="F4276">
        <v>0.55580711448896902</v>
      </c>
      <c r="G4276">
        <v>0.48973870919645002</v>
      </c>
      <c r="H4276">
        <v>0.22375131020059599</v>
      </c>
      <c r="I4276">
        <v>0.15544985813184101</v>
      </c>
      <c r="J4276">
        <v>0.13557850735767199</v>
      </c>
      <c r="K4276">
        <v>9.57915674728127E-2</v>
      </c>
      <c r="L4276">
        <v>707.60673028112706</v>
      </c>
      <c r="M4276">
        <v>12.882271090213999</v>
      </c>
      <c r="N4276">
        <v>55.265199584045199</v>
      </c>
      <c r="O4276">
        <v>53.6556194587017</v>
      </c>
      <c r="P4276">
        <v>-5.7769606882915103E-2</v>
      </c>
      <c r="Q4276">
        <v>3.7717481396703501E-2</v>
      </c>
      <c r="R4276">
        <v>0.990829452402053</v>
      </c>
      <c r="S4276" t="s">
        <v>11279</v>
      </c>
      <c r="T4276" t="s">
        <v>14004</v>
      </c>
      <c r="U4276" t="s">
        <v>14004</v>
      </c>
      <c r="V4276" t="s">
        <v>14004</v>
      </c>
      <c r="W4276" t="s">
        <v>18226</v>
      </c>
      <c r="X4276">
        <v>13</v>
      </c>
      <c r="Y4276" t="s">
        <v>25041</v>
      </c>
      <c r="Z4276" t="s">
        <v>31986</v>
      </c>
      <c r="AA4276">
        <v>0.53812836349827076</v>
      </c>
      <c r="AB4276" t="str">
        <f>HYPERLINK("Melting_Curves/meltCurve_Q6PCB5_RSBN1L.pdf", "Melting_Curves/meltCurve_Q6PCB5_RSBN1L.pdf")</f>
        <v>Melting_Curves/meltCurve_Q6PCB5_RSBN1L.pdf</v>
      </c>
    </row>
    <row r="4277" spans="1:28" x14ac:dyDescent="0.25">
      <c r="A4277" t="s">
        <v>4281</v>
      </c>
      <c r="B4277">
        <v>0.99999676499088797</v>
      </c>
      <c r="C4277">
        <v>1.1299631038859099</v>
      </c>
      <c r="D4277">
        <v>0.98360690105091697</v>
      </c>
      <c r="E4277">
        <v>0.53267707819030796</v>
      </c>
      <c r="F4277">
        <v>0.61306795473750098</v>
      </c>
      <c r="G4277">
        <v>0.23578434328376799</v>
      </c>
      <c r="H4277">
        <v>0.106334104784832</v>
      </c>
      <c r="I4277">
        <v>0</v>
      </c>
      <c r="J4277">
        <v>0.23439842367944899</v>
      </c>
      <c r="K4277">
        <v>0</v>
      </c>
      <c r="L4277">
        <v>834.31214882030599</v>
      </c>
      <c r="M4277">
        <v>15.917798334478</v>
      </c>
      <c r="N4277">
        <v>52.714424608435301</v>
      </c>
      <c r="O4277">
        <v>51.607476764358204</v>
      </c>
      <c r="P4277">
        <v>-7.3769981771015097E-2</v>
      </c>
      <c r="Q4277">
        <v>4.3390834731520202E-2</v>
      </c>
      <c r="R4277">
        <v>0.92311933288308501</v>
      </c>
      <c r="S4277" t="s">
        <v>11280</v>
      </c>
      <c r="T4277" t="s">
        <v>14004</v>
      </c>
      <c r="U4277" t="s">
        <v>14004</v>
      </c>
      <c r="V4277" t="s">
        <v>14004</v>
      </c>
      <c r="W4277" t="s">
        <v>18227</v>
      </c>
      <c r="X4277">
        <v>1</v>
      </c>
      <c r="Y4277" t="s">
        <v>25042</v>
      </c>
      <c r="Z4277" t="s">
        <v>31987</v>
      </c>
      <c r="AA4277">
        <v>0.45849592962351499</v>
      </c>
      <c r="AB4277" t="str">
        <f>HYPERLINK("Melting_Curves/meltCurve_Q6PCD5_RFWD3.pdf", "Melting_Curves/meltCurve_Q6PCD5_RFWD3.pdf")</f>
        <v>Melting_Curves/meltCurve_Q6PCD5_RFWD3.pdf</v>
      </c>
    </row>
    <row r="4278" spans="1:28" x14ac:dyDescent="0.25">
      <c r="A4278" t="s">
        <v>4282</v>
      </c>
      <c r="B4278">
        <v>0.99999676499088797</v>
      </c>
      <c r="C4278">
        <v>0.97323901601229501</v>
      </c>
      <c r="D4278">
        <v>1.03966669048255</v>
      </c>
      <c r="E4278">
        <v>1.0689589276847999</v>
      </c>
      <c r="F4278">
        <v>0.85676658039640097</v>
      </c>
      <c r="G4278">
        <v>0.39422278787041098</v>
      </c>
      <c r="H4278">
        <v>0.19338348569215599</v>
      </c>
      <c r="I4278">
        <v>0.23404006723361401</v>
      </c>
      <c r="J4278">
        <v>0.23715776461016499</v>
      </c>
      <c r="K4278">
        <v>0.24948783919945</v>
      </c>
      <c r="L4278">
        <v>2485.4804837698898</v>
      </c>
      <c r="M4278">
        <v>45.133935557357098</v>
      </c>
      <c r="N4278">
        <v>55.819011053873403</v>
      </c>
      <c r="O4278">
        <v>54.961214230551903</v>
      </c>
      <c r="P4278">
        <v>-0.15862306990603001</v>
      </c>
      <c r="Q4278">
        <v>0.22735695314801899</v>
      </c>
      <c r="R4278">
        <v>0.99219100673969396</v>
      </c>
      <c r="S4278" t="s">
        <v>11281</v>
      </c>
      <c r="T4278" t="s">
        <v>14004</v>
      </c>
      <c r="U4278" t="s">
        <v>14004</v>
      </c>
      <c r="V4278" t="s">
        <v>14004</v>
      </c>
      <c r="W4278" t="s">
        <v>18228</v>
      </c>
      <c r="X4278">
        <v>17</v>
      </c>
      <c r="Y4278" t="s">
        <v>25043</v>
      </c>
      <c r="Z4278" t="s">
        <v>31988</v>
      </c>
      <c r="AA4278">
        <v>0.61775819743253635</v>
      </c>
      <c r="AB4278" t="str">
        <f>HYPERLINK("Melting_Curves/meltCurve_Q6PCE3_PGM2L1.pdf", "Melting_Curves/meltCurve_Q6PCE3_PGM2L1.pdf")</f>
        <v>Melting_Curves/meltCurve_Q6PCE3_PGM2L1.pdf</v>
      </c>
    </row>
    <row r="4279" spans="1:28" x14ac:dyDescent="0.25">
      <c r="A4279" t="s">
        <v>4283</v>
      </c>
      <c r="B4279">
        <v>0.99999676499088797</v>
      </c>
      <c r="C4279">
        <v>0.932272597904093</v>
      </c>
      <c r="D4279">
        <v>0.64470834353491702</v>
      </c>
      <c r="E4279">
        <v>0.36444544706072601</v>
      </c>
      <c r="F4279">
        <v>0.21929294592954399</v>
      </c>
      <c r="G4279">
        <v>0.18796056779717199</v>
      </c>
      <c r="H4279">
        <v>9.6274401100442303E-2</v>
      </c>
      <c r="I4279">
        <v>9.7758772973074295E-2</v>
      </c>
      <c r="J4279">
        <v>9.5324820078442202E-2</v>
      </c>
      <c r="K4279">
        <v>7.7629091507854894E-2</v>
      </c>
      <c r="L4279">
        <v>895.78775525806896</v>
      </c>
      <c r="M4279">
        <v>18.8970869584181</v>
      </c>
      <c r="N4279">
        <v>47.9639218497869</v>
      </c>
      <c r="O4279">
        <v>46.882197279808899</v>
      </c>
      <c r="P4279">
        <v>-9.0790261455194005E-2</v>
      </c>
      <c r="Q4279">
        <v>9.9062337515680096E-2</v>
      </c>
      <c r="R4279">
        <v>0.99367741672114296</v>
      </c>
      <c r="S4279" t="s">
        <v>11282</v>
      </c>
      <c r="T4279" t="s">
        <v>14004</v>
      </c>
      <c r="U4279" t="s">
        <v>14004</v>
      </c>
      <c r="V4279" t="s">
        <v>14004</v>
      </c>
      <c r="W4279" t="s">
        <v>18229</v>
      </c>
      <c r="X4279">
        <v>24</v>
      </c>
      <c r="Y4279" t="s">
        <v>25044</v>
      </c>
      <c r="Z4279" t="s">
        <v>31989</v>
      </c>
      <c r="AA4279">
        <v>0.33610064679611978</v>
      </c>
      <c r="AB4279" t="str">
        <f>HYPERLINK("Melting_Curves/meltCurve_Q6PD62_CTR9.pdf", "Melting_Curves/meltCurve_Q6PD62_CTR9.pdf")</f>
        <v>Melting_Curves/meltCurve_Q6PD62_CTR9.pdf</v>
      </c>
    </row>
    <row r="4280" spans="1:28" x14ac:dyDescent="0.25">
      <c r="A4280" t="s">
        <v>4284</v>
      </c>
      <c r="B4280">
        <v>0.99999676499088797</v>
      </c>
      <c r="C4280">
        <v>0.81634983792179105</v>
      </c>
      <c r="D4280">
        <v>0.64242765332575003</v>
      </c>
      <c r="E4280">
        <v>0.25457304327071101</v>
      </c>
      <c r="F4280">
        <v>0.20533326855326001</v>
      </c>
      <c r="G4280">
        <v>0.12998798937417599</v>
      </c>
      <c r="H4280">
        <v>6.5578187101599295E-2</v>
      </c>
      <c r="I4280">
        <v>5.5883874400156602E-2</v>
      </c>
      <c r="J4280">
        <v>4.5329687665869499E-2</v>
      </c>
      <c r="K4280">
        <v>4.6077972172968502E-2</v>
      </c>
      <c r="L4280">
        <v>837.81841645646296</v>
      </c>
      <c r="M4280">
        <v>17.875683401102901</v>
      </c>
      <c r="N4280">
        <v>47.1869342009186</v>
      </c>
      <c r="O4280">
        <v>46.294405094633802</v>
      </c>
      <c r="P4280">
        <v>-9.1062965448061195E-2</v>
      </c>
      <c r="Q4280">
        <v>5.67089811639871E-2</v>
      </c>
      <c r="R4280">
        <v>0.99003790312200202</v>
      </c>
      <c r="S4280" t="s">
        <v>11283</v>
      </c>
      <c r="T4280" t="s">
        <v>14004</v>
      </c>
      <c r="U4280" t="s">
        <v>14004</v>
      </c>
      <c r="V4280" t="s">
        <v>14004</v>
      </c>
      <c r="W4280" t="s">
        <v>18230</v>
      </c>
      <c r="X4280">
        <v>5</v>
      </c>
      <c r="Y4280" t="s">
        <v>25045</v>
      </c>
      <c r="Z4280" t="s">
        <v>31990</v>
      </c>
      <c r="AA4280">
        <v>0.29048280758641382</v>
      </c>
      <c r="AB4280" t="str">
        <f>HYPERLINK("Melting_Curves/meltCurve_Q6PD74_AAGAB.pdf", "Melting_Curves/meltCurve_Q6PD74_AAGAB.pdf")</f>
        <v>Melting_Curves/meltCurve_Q6PD74_AAGAB.pdf</v>
      </c>
    </row>
    <row r="4281" spans="1:28" x14ac:dyDescent="0.25">
      <c r="A4281" t="s">
        <v>4285</v>
      </c>
      <c r="B4281">
        <v>0.99999676499088797</v>
      </c>
      <c r="C4281">
        <v>1.0479305278045601</v>
      </c>
      <c r="D4281">
        <v>1.1118120732468999</v>
      </c>
      <c r="E4281">
        <v>1.0141949801024099</v>
      </c>
      <c r="F4281">
        <v>0.89249778142415404</v>
      </c>
      <c r="G4281">
        <v>0.81132087119326302</v>
      </c>
      <c r="H4281">
        <v>0.83037794304091805</v>
      </c>
      <c r="I4281">
        <v>0.83084950715648198</v>
      </c>
      <c r="J4281">
        <v>0.81073076258807897</v>
      </c>
      <c r="K4281">
        <v>0.59213522004376296</v>
      </c>
      <c r="L4281">
        <v>484.41693472906502</v>
      </c>
      <c r="M4281">
        <v>6.2588490448675502</v>
      </c>
      <c r="Q4281">
        <v>0</v>
      </c>
      <c r="R4281">
        <v>0.77708042505782604</v>
      </c>
      <c r="S4281" t="s">
        <v>11284</v>
      </c>
      <c r="T4281" t="s">
        <v>14004</v>
      </c>
      <c r="U4281" t="s">
        <v>14004</v>
      </c>
      <c r="V4281" t="s">
        <v>14004</v>
      </c>
      <c r="W4281" t="s">
        <v>18231</v>
      </c>
      <c r="X4281">
        <v>2</v>
      </c>
      <c r="Y4281" t="s">
        <v>25046</v>
      </c>
      <c r="Z4281" t="s">
        <v>31991</v>
      </c>
      <c r="AA4281">
        <v>0.8916316441667077</v>
      </c>
      <c r="AB4281" t="str">
        <f>HYPERLINK("Melting_Curves/meltCurve_Q6PGN9_2_PSRC1.pdf", "Melting_Curves/meltCurve_Q6PGN9_2_PSRC1.pdf")</f>
        <v>Melting_Curves/meltCurve_Q6PGN9_2_PSRC1.pdf</v>
      </c>
    </row>
    <row r="4282" spans="1:28" x14ac:dyDescent="0.25">
      <c r="A4282" t="s">
        <v>4286</v>
      </c>
      <c r="B4282">
        <v>0.99999676499088797</v>
      </c>
      <c r="C4282">
        <v>1.0562211296871999</v>
      </c>
      <c r="D4282">
        <v>0.60971455606560399</v>
      </c>
      <c r="E4282">
        <v>0.28332281379493301</v>
      </c>
      <c r="F4282">
        <v>0.28029477906167699</v>
      </c>
      <c r="G4282">
        <v>0.195932726649369</v>
      </c>
      <c r="H4282">
        <v>0.116699517828688</v>
      </c>
      <c r="I4282">
        <v>0.10854797990916799</v>
      </c>
      <c r="J4282">
        <v>0.178263529993028</v>
      </c>
      <c r="K4282">
        <v>7.9084006496332404E-2</v>
      </c>
      <c r="L4282">
        <v>1513.9908922366601</v>
      </c>
      <c r="M4282">
        <v>32.554232449549303</v>
      </c>
      <c r="N4282">
        <v>47.0589228186547</v>
      </c>
      <c r="O4282">
        <v>46.332304492330401</v>
      </c>
      <c r="P4282">
        <v>-0.147771596930521</v>
      </c>
      <c r="Q4282">
        <v>0.15874968301906001</v>
      </c>
      <c r="R4282">
        <v>0.96876281865490399</v>
      </c>
      <c r="S4282" t="s">
        <v>11285</v>
      </c>
      <c r="T4282" t="s">
        <v>14004</v>
      </c>
      <c r="U4282" t="s">
        <v>14004</v>
      </c>
      <c r="V4282" t="s">
        <v>14004</v>
      </c>
      <c r="W4282" t="s">
        <v>18232</v>
      </c>
      <c r="X4282">
        <v>4</v>
      </c>
      <c r="Y4282" t="s">
        <v>25047</v>
      </c>
      <c r="Z4282" t="s">
        <v>31992</v>
      </c>
      <c r="AA4282">
        <v>0.34545125569034052</v>
      </c>
      <c r="AB4282" t="str">
        <f>HYPERLINK("Melting_Curves/meltCurve_Q6PGP7_TTC37.pdf", "Melting_Curves/meltCurve_Q6PGP7_TTC37.pdf")</f>
        <v>Melting_Curves/meltCurve_Q6PGP7_TTC37.pdf</v>
      </c>
    </row>
    <row r="4283" spans="1:28" x14ac:dyDescent="0.25">
      <c r="A4283" t="s">
        <v>4287</v>
      </c>
      <c r="B4283">
        <v>0.99999676499088797</v>
      </c>
      <c r="C4283">
        <v>1.1510288631915699</v>
      </c>
      <c r="D4283">
        <v>1.00969307941677</v>
      </c>
      <c r="E4283">
        <v>0.58910143756787803</v>
      </c>
      <c r="F4283">
        <v>0.227790422301798</v>
      </c>
      <c r="G4283">
        <v>0.24024016992494801</v>
      </c>
      <c r="H4283">
        <v>0.12904966358825101</v>
      </c>
      <c r="I4283">
        <v>0.123250041954587</v>
      </c>
      <c r="J4283">
        <v>0.111620444942021</v>
      </c>
      <c r="K4283">
        <v>0.13408318453200299</v>
      </c>
      <c r="L4283">
        <v>1977.38626505763</v>
      </c>
      <c r="M4283">
        <v>39.729864811110502</v>
      </c>
      <c r="N4283">
        <v>50.216343933855498</v>
      </c>
      <c r="O4283">
        <v>49.645187083195196</v>
      </c>
      <c r="P4283">
        <v>-0.17035062019339001</v>
      </c>
      <c r="Q4283">
        <v>0.14854281479703099</v>
      </c>
      <c r="R4283">
        <v>0.97838818211304002</v>
      </c>
      <c r="S4283" t="s">
        <v>11286</v>
      </c>
      <c r="T4283" t="s">
        <v>14004</v>
      </c>
      <c r="U4283" t="s">
        <v>14004</v>
      </c>
      <c r="V4283" t="s">
        <v>14004</v>
      </c>
      <c r="W4283" t="s">
        <v>18233</v>
      </c>
      <c r="X4283">
        <v>2</v>
      </c>
      <c r="Y4283" t="s">
        <v>25048</v>
      </c>
      <c r="Z4283" t="s">
        <v>31993</v>
      </c>
      <c r="AA4283">
        <v>0.42882712509880611</v>
      </c>
      <c r="AB4283" t="str">
        <f>HYPERLINK("Melting_Curves/meltCurve_Q6PH81_C16orf87.pdf", "Melting_Curves/meltCurve_Q6PH81_C16orf87.pdf")</f>
        <v>Melting_Curves/meltCurve_Q6PH81_C16orf87.pdf</v>
      </c>
    </row>
    <row r="4284" spans="1:28" x14ac:dyDescent="0.25">
      <c r="A4284" t="s">
        <v>4288</v>
      </c>
      <c r="B4284">
        <v>0.99999676499088797</v>
      </c>
      <c r="C4284">
        <v>1.15691284838741</v>
      </c>
      <c r="D4284">
        <v>0.86629016977233797</v>
      </c>
      <c r="E4284">
        <v>0.48969706990082401</v>
      </c>
      <c r="F4284">
        <v>0.329958935846344</v>
      </c>
      <c r="G4284">
        <v>0.31582259673042301</v>
      </c>
      <c r="H4284">
        <v>9.20304430037302E-2</v>
      </c>
      <c r="I4284">
        <v>0.12578101538315101</v>
      </c>
      <c r="J4284">
        <v>0.125339348536188</v>
      </c>
      <c r="K4284">
        <v>0.118010146448844</v>
      </c>
      <c r="L4284">
        <v>1084.79517823013</v>
      </c>
      <c r="M4284">
        <v>21.92065529576</v>
      </c>
      <c r="N4284">
        <v>50.240111801134702</v>
      </c>
      <c r="O4284">
        <v>49.081004925522301</v>
      </c>
      <c r="P4284">
        <v>-9.6028561748186705E-2</v>
      </c>
      <c r="Q4284">
        <v>0.13997580292168199</v>
      </c>
      <c r="R4284">
        <v>0.957382197795691</v>
      </c>
      <c r="S4284" t="s">
        <v>11287</v>
      </c>
      <c r="T4284" t="s">
        <v>14004</v>
      </c>
      <c r="U4284" t="s">
        <v>14004</v>
      </c>
      <c r="V4284" t="s">
        <v>14004</v>
      </c>
      <c r="W4284" t="s">
        <v>18234</v>
      </c>
      <c r="X4284">
        <v>5</v>
      </c>
      <c r="Y4284" t="s">
        <v>25049</v>
      </c>
      <c r="Z4284" t="s">
        <v>31994</v>
      </c>
      <c r="AA4284">
        <v>0.4219402181663135</v>
      </c>
      <c r="AB4284" t="str">
        <f>HYPERLINK("Melting_Curves/meltCurve_Q6PHR2_ULK3.pdf", "Melting_Curves/meltCurve_Q6PHR2_ULK3.pdf")</f>
        <v>Melting_Curves/meltCurve_Q6PHR2_ULK3.pdf</v>
      </c>
    </row>
    <row r="4285" spans="1:28" x14ac:dyDescent="0.25">
      <c r="A4285" t="s">
        <v>4289</v>
      </c>
      <c r="B4285">
        <v>0.99999676499088797</v>
      </c>
      <c r="C4285">
        <v>1.03103183172173</v>
      </c>
      <c r="D4285">
        <v>0.97717588494267205</v>
      </c>
      <c r="E4285">
        <v>1.06043650254281</v>
      </c>
      <c r="F4285">
        <v>1.0139090939252799</v>
      </c>
      <c r="G4285">
        <v>0.90808218666403395</v>
      </c>
      <c r="H4285">
        <v>0.671597004606037</v>
      </c>
      <c r="I4285">
        <v>0.223570956959179</v>
      </c>
      <c r="J4285">
        <v>0.100546367406758</v>
      </c>
      <c r="K4285">
        <v>6.5771767933580805E-2</v>
      </c>
      <c r="L4285">
        <v>2303.8151761375598</v>
      </c>
      <c r="M4285">
        <v>37.353821338846899</v>
      </c>
      <c r="N4285">
        <v>61.849937400507898</v>
      </c>
      <c r="O4285">
        <v>61.499521391663599</v>
      </c>
      <c r="P4285">
        <v>-0.14425437703225499</v>
      </c>
      <c r="Q4285">
        <v>4.99980413689841E-2</v>
      </c>
      <c r="R4285">
        <v>0.99387585562799297</v>
      </c>
      <c r="S4285" t="s">
        <v>11288</v>
      </c>
      <c r="T4285" t="s">
        <v>14004</v>
      </c>
      <c r="U4285" t="s">
        <v>14004</v>
      </c>
      <c r="V4285" t="s">
        <v>14004</v>
      </c>
      <c r="W4285" t="s">
        <v>18235</v>
      </c>
      <c r="X4285">
        <v>23</v>
      </c>
      <c r="Y4285" t="s">
        <v>25050</v>
      </c>
      <c r="Z4285" t="s">
        <v>31995</v>
      </c>
      <c r="AA4285">
        <v>0.74020035520169281</v>
      </c>
      <c r="AB4285" t="str">
        <f>HYPERLINK("Melting_Curves/meltCurve_Q6PI48_DARS2.pdf", "Melting_Curves/meltCurve_Q6PI48_DARS2.pdf")</f>
        <v>Melting_Curves/meltCurve_Q6PI48_DARS2.pdf</v>
      </c>
    </row>
    <row r="4286" spans="1:28" x14ac:dyDescent="0.25">
      <c r="A4286" t="s">
        <v>4290</v>
      </c>
      <c r="B4286">
        <v>0.99999676499088797</v>
      </c>
      <c r="C4286">
        <v>0.98709593681765295</v>
      </c>
      <c r="D4286">
        <v>1.06085898377522</v>
      </c>
      <c r="E4286">
        <v>1.1225547289428099</v>
      </c>
      <c r="F4286">
        <v>1.05091250219043</v>
      </c>
      <c r="G4286">
        <v>0.81737397438041504</v>
      </c>
      <c r="H4286">
        <v>0.43191922383471298</v>
      </c>
      <c r="I4286">
        <v>0.24594709030332701</v>
      </c>
      <c r="J4286">
        <v>0.20065297704011201</v>
      </c>
      <c r="K4286">
        <v>0.16362163063710899</v>
      </c>
      <c r="L4286">
        <v>1943.5327707377801</v>
      </c>
      <c r="M4286">
        <v>32.789115661980603</v>
      </c>
      <c r="N4286">
        <v>60.055162629650397</v>
      </c>
      <c r="O4286">
        <v>59.0545527697317</v>
      </c>
      <c r="P4286">
        <v>-0.11470419994752699</v>
      </c>
      <c r="Q4286">
        <v>0.17365582919382599</v>
      </c>
      <c r="R4286">
        <v>0.98251526254601396</v>
      </c>
      <c r="S4286" t="s">
        <v>11289</v>
      </c>
      <c r="T4286" t="s">
        <v>14004</v>
      </c>
      <c r="U4286" t="s">
        <v>14004</v>
      </c>
      <c r="V4286" t="s">
        <v>14004</v>
      </c>
      <c r="W4286" t="s">
        <v>18236</v>
      </c>
      <c r="X4286">
        <v>3</v>
      </c>
      <c r="Y4286" t="s">
        <v>25051</v>
      </c>
      <c r="Z4286" t="s">
        <v>31996</v>
      </c>
      <c r="AA4286">
        <v>0.70911660535150733</v>
      </c>
      <c r="AB4286" t="str">
        <f>HYPERLINK("Melting_Curves/meltCurve_Q6PI78_TMEM65.pdf", "Melting_Curves/meltCurve_Q6PI78_TMEM65.pdf")</f>
        <v>Melting_Curves/meltCurve_Q6PI78_TMEM65.pdf</v>
      </c>
    </row>
    <row r="4287" spans="1:28" x14ac:dyDescent="0.25">
      <c r="A4287" t="s">
        <v>4291</v>
      </c>
      <c r="B4287">
        <v>0.99999676499088797</v>
      </c>
      <c r="C4287">
        <v>0.82500894447437001</v>
      </c>
      <c r="D4287">
        <v>0.56516257621102794</v>
      </c>
      <c r="E4287">
        <v>0.53872954556539199</v>
      </c>
      <c r="F4287">
        <v>0.15949008442656101</v>
      </c>
      <c r="G4287">
        <v>0.166877407000526</v>
      </c>
      <c r="H4287">
        <v>0</v>
      </c>
      <c r="I4287">
        <v>0.13779888899329301</v>
      </c>
      <c r="J4287">
        <v>0</v>
      </c>
      <c r="K4287">
        <v>0</v>
      </c>
      <c r="L4287">
        <v>611.14457417383903</v>
      </c>
      <c r="M4287">
        <v>12.6468836009378</v>
      </c>
      <c r="N4287">
        <v>48.323728898417102</v>
      </c>
      <c r="O4287">
        <v>47.163282209079497</v>
      </c>
      <c r="P4287">
        <v>-6.7050944721043795E-2</v>
      </c>
      <c r="Q4287">
        <v>0</v>
      </c>
      <c r="R4287">
        <v>0.959320645558701</v>
      </c>
      <c r="S4287" t="s">
        <v>11290</v>
      </c>
      <c r="T4287" t="s">
        <v>14004</v>
      </c>
      <c r="U4287" t="s">
        <v>14004</v>
      </c>
      <c r="V4287" t="s">
        <v>14004</v>
      </c>
      <c r="W4287" t="s">
        <v>18237</v>
      </c>
      <c r="X4287">
        <v>1</v>
      </c>
      <c r="Y4287" t="s">
        <v>25052</v>
      </c>
      <c r="Z4287" t="s">
        <v>31997</v>
      </c>
      <c r="AA4287">
        <v>0.31238034681515409</v>
      </c>
      <c r="AB4287" t="str">
        <f>HYPERLINK("Melting_Curves/meltCurve_Q6PI98_INO80C.pdf", "Melting_Curves/meltCurve_Q6PI98_INO80C.pdf")</f>
        <v>Melting_Curves/meltCurve_Q6PI98_INO80C.pdf</v>
      </c>
    </row>
    <row r="4288" spans="1:28" x14ac:dyDescent="0.25">
      <c r="A4288" t="s">
        <v>4292</v>
      </c>
      <c r="B4288">
        <v>0.99999676499088797</v>
      </c>
      <c r="C4288">
        <v>0.96423375549354895</v>
      </c>
      <c r="D4288">
        <v>0.92889372796519198</v>
      </c>
      <c r="E4288">
        <v>0.67184751026450096</v>
      </c>
      <c r="F4288">
        <v>0.365304646373245</v>
      </c>
      <c r="G4288">
        <v>0.26039722908098001</v>
      </c>
      <c r="H4288">
        <v>0.12982899659665201</v>
      </c>
      <c r="I4288">
        <v>0.13155945458884</v>
      </c>
      <c r="J4288">
        <v>0.10557282018304601</v>
      </c>
      <c r="K4288">
        <v>0.107220320252677</v>
      </c>
      <c r="L4288">
        <v>985.86204017123703</v>
      </c>
      <c r="M4288">
        <v>19.309130367935602</v>
      </c>
      <c r="N4288">
        <v>51.700229103828597</v>
      </c>
      <c r="O4288">
        <v>50.518620789219803</v>
      </c>
      <c r="P4288">
        <v>-8.5351497540160304E-2</v>
      </c>
      <c r="Q4288">
        <v>0.106810386678244</v>
      </c>
      <c r="R4288">
        <v>0.99731237487575197</v>
      </c>
      <c r="S4288" t="s">
        <v>11291</v>
      </c>
      <c r="T4288" t="s">
        <v>14004</v>
      </c>
      <c r="U4288" t="s">
        <v>14004</v>
      </c>
      <c r="V4288" t="s">
        <v>14004</v>
      </c>
      <c r="W4288" t="s">
        <v>18238</v>
      </c>
      <c r="X4288">
        <v>11</v>
      </c>
      <c r="Y4288" t="s">
        <v>25053</v>
      </c>
      <c r="Z4288" t="s">
        <v>31998</v>
      </c>
      <c r="AA4288">
        <v>0.4492370995797702</v>
      </c>
      <c r="AB4288" t="str">
        <f>HYPERLINK("Melting_Curves/meltCurve_Q6PID6_TTC33.pdf", "Melting_Curves/meltCurve_Q6PID6_TTC33.pdf")</f>
        <v>Melting_Curves/meltCurve_Q6PID6_TTC33.pdf</v>
      </c>
    </row>
    <row r="4289" spans="1:28" x14ac:dyDescent="0.25">
      <c r="A4289" t="s">
        <v>4293</v>
      </c>
      <c r="B4289">
        <v>0.99999676499088797</v>
      </c>
      <c r="C4289">
        <v>0.907209725993528</v>
      </c>
      <c r="D4289">
        <v>0.89315260447754896</v>
      </c>
      <c r="E4289">
        <v>0.87006449608792502</v>
      </c>
      <c r="F4289">
        <v>0.67884372563087902</v>
      </c>
      <c r="G4289">
        <v>0.58647732641318695</v>
      </c>
      <c r="H4289">
        <v>0.369099612958118</v>
      </c>
      <c r="I4289">
        <v>0.42021310168430298</v>
      </c>
      <c r="J4289">
        <v>0.39087604965563799</v>
      </c>
      <c r="K4289">
        <v>0.460873613651611</v>
      </c>
      <c r="L4289">
        <v>765.35313307854403</v>
      </c>
      <c r="M4289">
        <v>14.452632777943601</v>
      </c>
      <c r="N4289">
        <v>58.6489027494856</v>
      </c>
      <c r="O4289">
        <v>51.973087340458697</v>
      </c>
      <c r="P4289">
        <v>-4.3311914555216199E-2</v>
      </c>
      <c r="Q4289">
        <v>0.37705719578385499</v>
      </c>
      <c r="R4289">
        <v>0.956426884069289</v>
      </c>
      <c r="S4289" t="s">
        <v>11292</v>
      </c>
      <c r="T4289" t="s">
        <v>14004</v>
      </c>
      <c r="U4289" t="s">
        <v>14004</v>
      </c>
      <c r="V4289" t="s">
        <v>14004</v>
      </c>
      <c r="W4289" t="s">
        <v>18239</v>
      </c>
      <c r="X4289">
        <v>12</v>
      </c>
      <c r="Y4289" t="s">
        <v>25054</v>
      </c>
      <c r="Z4289" t="s">
        <v>31999</v>
      </c>
      <c r="AA4289">
        <v>0.66021911116537602</v>
      </c>
      <c r="AB4289" t="str">
        <f>HYPERLINK("Melting_Curves/meltCurve_Q6PII3_CCDC174.pdf", "Melting_Curves/meltCurve_Q6PII3_CCDC174.pdf")</f>
        <v>Melting_Curves/meltCurve_Q6PII3_CCDC174.pdf</v>
      </c>
    </row>
    <row r="4290" spans="1:28" x14ac:dyDescent="0.25">
      <c r="A4290" t="s">
        <v>4294</v>
      </c>
      <c r="B4290">
        <v>0.99999676499088797</v>
      </c>
      <c r="C4290">
        <v>0.947906600192021</v>
      </c>
      <c r="D4290">
        <v>0.91769229589401902</v>
      </c>
      <c r="E4290">
        <v>0.85163774140019699</v>
      </c>
      <c r="F4290">
        <v>0.48052118770476798</v>
      </c>
      <c r="G4290">
        <v>0.21509451649994299</v>
      </c>
      <c r="H4290">
        <v>0.111422550166156</v>
      </c>
      <c r="I4290">
        <v>0.120372774730458</v>
      </c>
      <c r="J4290">
        <v>0.109762084360015</v>
      </c>
      <c r="K4290">
        <v>0.118986691924461</v>
      </c>
      <c r="L4290">
        <v>1326.1195306760601</v>
      </c>
      <c r="M4290">
        <v>25.252157406381201</v>
      </c>
      <c r="N4290">
        <v>53.004496049068997</v>
      </c>
      <c r="O4290">
        <v>52.189083580876002</v>
      </c>
      <c r="P4290">
        <v>-0.10838783916554</v>
      </c>
      <c r="Q4290">
        <v>0.103983266645502</v>
      </c>
      <c r="R4290">
        <v>0.99527043796973702</v>
      </c>
      <c r="S4290" t="s">
        <v>11293</v>
      </c>
      <c r="T4290" t="s">
        <v>14004</v>
      </c>
      <c r="U4290" t="s">
        <v>14004</v>
      </c>
      <c r="V4290" t="s">
        <v>14004</v>
      </c>
      <c r="W4290" t="s">
        <v>18240</v>
      </c>
      <c r="X4290">
        <v>12</v>
      </c>
      <c r="Y4290" t="s">
        <v>25055</v>
      </c>
      <c r="Z4290" t="s">
        <v>32000</v>
      </c>
      <c r="AA4290">
        <v>0.48583752540244352</v>
      </c>
      <c r="AB4290" t="str">
        <f>HYPERLINK("Melting_Curves/meltCurve_Q6PIJ6_2_FBXO38.pdf", "Melting_Curves/meltCurve_Q6PIJ6_2_FBXO38.pdf")</f>
        <v>Melting_Curves/meltCurve_Q6PIJ6_2_FBXO38.pdf</v>
      </c>
    </row>
    <row r="4291" spans="1:28" x14ac:dyDescent="0.25">
      <c r="A4291" t="s">
        <v>4295</v>
      </c>
      <c r="B4291">
        <v>0.99999676499088797</v>
      </c>
      <c r="C4291">
        <v>0.81552467155858399</v>
      </c>
      <c r="D4291">
        <v>0.74120070373568103</v>
      </c>
      <c r="E4291">
        <v>0.63872583725578702</v>
      </c>
      <c r="F4291">
        <v>0.478724779960498</v>
      </c>
      <c r="G4291">
        <v>0.45320180179285402</v>
      </c>
      <c r="H4291">
        <v>0.27973700690341102</v>
      </c>
      <c r="I4291">
        <v>0.47286755464083802</v>
      </c>
      <c r="J4291">
        <v>0.62380590571524097</v>
      </c>
      <c r="K4291">
        <v>0.48871454404771603</v>
      </c>
      <c r="L4291">
        <v>761.30992039168598</v>
      </c>
      <c r="M4291">
        <v>16.5596618340197</v>
      </c>
      <c r="N4291">
        <v>54.0897261198118</v>
      </c>
      <c r="O4291">
        <v>45.319014517684302</v>
      </c>
      <c r="P4291">
        <v>-4.9485643644008398E-2</v>
      </c>
      <c r="Q4291">
        <v>0.458325425241836</v>
      </c>
      <c r="R4291">
        <v>0.81604394020583604</v>
      </c>
      <c r="S4291" t="s">
        <v>11294</v>
      </c>
      <c r="T4291" t="s">
        <v>14004</v>
      </c>
      <c r="U4291" t="s">
        <v>14004</v>
      </c>
      <c r="V4291" t="s">
        <v>14004</v>
      </c>
      <c r="W4291" t="s">
        <v>18241</v>
      </c>
      <c r="X4291">
        <v>2</v>
      </c>
      <c r="Y4291" t="s">
        <v>25056</v>
      </c>
      <c r="Z4291" t="s">
        <v>32001</v>
      </c>
      <c r="AA4291">
        <v>0.57900664169324612</v>
      </c>
      <c r="AB4291" t="str">
        <f>HYPERLINK("Melting_Curves/meltCurve_Q6PIR0_CENPC1.pdf", "Melting_Curves/meltCurve_Q6PIR0_CENPC1.pdf")</f>
        <v>Melting_Curves/meltCurve_Q6PIR0_CENPC1.pdf</v>
      </c>
    </row>
    <row r="4292" spans="1:28" x14ac:dyDescent="0.25">
      <c r="A4292" t="s">
        <v>4296</v>
      </c>
      <c r="B4292">
        <v>0.99999676499088797</v>
      </c>
      <c r="C4292">
        <v>0.88326038878469304</v>
      </c>
      <c r="D4292">
        <v>0.32345743033148999</v>
      </c>
      <c r="E4292">
        <v>0.102062134530014</v>
      </c>
      <c r="F4292">
        <v>9.2067239348456995E-2</v>
      </c>
      <c r="G4292">
        <v>5.85629710545751E-2</v>
      </c>
      <c r="H4292">
        <v>5.6024634686175898E-2</v>
      </c>
      <c r="I4292">
        <v>3.0694034489566899E-2</v>
      </c>
      <c r="J4292">
        <v>4.0782666505111899E-2</v>
      </c>
      <c r="K4292">
        <v>3.1624111367045002E-2</v>
      </c>
      <c r="L4292">
        <v>1779.90330542017</v>
      </c>
      <c r="M4292">
        <v>39.582960605474398</v>
      </c>
      <c r="N4292">
        <v>45.098109064005101</v>
      </c>
      <c r="O4292">
        <v>44.852068509401498</v>
      </c>
      <c r="P4292">
        <v>-0.208586988189985</v>
      </c>
      <c r="Q4292">
        <v>5.45889323428463E-2</v>
      </c>
      <c r="R4292">
        <v>0.99732479466341495</v>
      </c>
      <c r="S4292" t="s">
        <v>11295</v>
      </c>
      <c r="T4292" t="s">
        <v>14004</v>
      </c>
      <c r="U4292" t="s">
        <v>14004</v>
      </c>
      <c r="V4292" t="s">
        <v>14004</v>
      </c>
      <c r="W4292" t="s">
        <v>18242</v>
      </c>
      <c r="X4292">
        <v>4</v>
      </c>
      <c r="Y4292" t="s">
        <v>25057</v>
      </c>
      <c r="Z4292" t="s">
        <v>32002</v>
      </c>
      <c r="AA4292">
        <v>0.2142991601417038</v>
      </c>
      <c r="AB4292" t="str">
        <f>HYPERLINK("Melting_Curves/meltCurve_Q6PIW4_2_FIGNL1.pdf", "Melting_Curves/meltCurve_Q6PIW4_2_FIGNL1.pdf")</f>
        <v>Melting_Curves/meltCurve_Q6PIW4_2_FIGNL1.pdf</v>
      </c>
    </row>
    <row r="4293" spans="1:28" x14ac:dyDescent="0.25">
      <c r="A4293" t="s">
        <v>4297</v>
      </c>
      <c r="B4293">
        <v>0.99999676499088797</v>
      </c>
      <c r="C4293">
        <v>0.974076348842142</v>
      </c>
      <c r="D4293">
        <v>0.85670993263638695</v>
      </c>
      <c r="E4293">
        <v>0.45379240695421602</v>
      </c>
      <c r="F4293">
        <v>0.309787261066447</v>
      </c>
      <c r="G4293">
        <v>0.161104679508207</v>
      </c>
      <c r="H4293">
        <v>0.117751040891315</v>
      </c>
      <c r="I4293">
        <v>9.8670129752654295E-2</v>
      </c>
      <c r="J4293">
        <v>7.5244275583121606E-2</v>
      </c>
      <c r="K4293">
        <v>3.2296392379157497E-2</v>
      </c>
      <c r="L4293">
        <v>941.23476298452294</v>
      </c>
      <c r="M4293">
        <v>19.057177631148701</v>
      </c>
      <c r="N4293">
        <v>49.818537602518603</v>
      </c>
      <c r="O4293">
        <v>48.855838782447002</v>
      </c>
      <c r="P4293">
        <v>-9.0149375483705704E-2</v>
      </c>
      <c r="Q4293">
        <v>7.5592399483613099E-2</v>
      </c>
      <c r="R4293">
        <v>0.99171970267282195</v>
      </c>
      <c r="S4293" t="s">
        <v>11296</v>
      </c>
      <c r="T4293" t="s">
        <v>14004</v>
      </c>
      <c r="U4293" t="s">
        <v>14004</v>
      </c>
      <c r="V4293" t="s">
        <v>14004</v>
      </c>
      <c r="W4293" t="s">
        <v>18243</v>
      </c>
      <c r="X4293">
        <v>2</v>
      </c>
      <c r="Y4293" t="s">
        <v>25058</v>
      </c>
      <c r="Z4293" t="s">
        <v>32003</v>
      </c>
      <c r="AA4293">
        <v>0.37914535179523501</v>
      </c>
      <c r="AB4293" t="str">
        <f>HYPERLINK("Melting_Curves/meltCurve_Q6PJ61_FBXO46.pdf", "Melting_Curves/meltCurve_Q6PJ61_FBXO46.pdf")</f>
        <v>Melting_Curves/meltCurve_Q6PJ61_FBXO46.pdf</v>
      </c>
    </row>
    <row r="4294" spans="1:28" x14ac:dyDescent="0.25">
      <c r="A4294" t="s">
        <v>4298</v>
      </c>
      <c r="B4294">
        <v>0.99999676499088797</v>
      </c>
      <c r="C4294">
        <v>0.93281806703409997</v>
      </c>
      <c r="D4294">
        <v>0.453880337670792</v>
      </c>
      <c r="E4294">
        <v>0.181616262722952</v>
      </c>
      <c r="F4294">
        <v>0.12918913166885301</v>
      </c>
      <c r="G4294">
        <v>0.129390502946234</v>
      </c>
      <c r="H4294">
        <v>4.2089212318808703E-2</v>
      </c>
      <c r="I4294">
        <v>3.29442585042269E-2</v>
      </c>
      <c r="J4294">
        <v>4.1456274670215197E-2</v>
      </c>
      <c r="K4294">
        <v>3.2701243241956099E-2</v>
      </c>
      <c r="L4294">
        <v>1443.78982157982</v>
      </c>
      <c r="M4294">
        <v>31.604570566374498</v>
      </c>
      <c r="N4294">
        <v>45.901689634720803</v>
      </c>
      <c r="O4294">
        <v>45.501215626653703</v>
      </c>
      <c r="P4294">
        <v>-0.16150816204779</v>
      </c>
      <c r="Q4294">
        <v>6.9909412764149303E-2</v>
      </c>
      <c r="R4294">
        <v>0.98868914776319905</v>
      </c>
      <c r="S4294" t="s">
        <v>11297</v>
      </c>
      <c r="T4294" t="s">
        <v>14004</v>
      </c>
      <c r="U4294" t="s">
        <v>14004</v>
      </c>
      <c r="V4294" t="s">
        <v>14004</v>
      </c>
      <c r="W4294" t="s">
        <v>18244</v>
      </c>
      <c r="X4294">
        <v>10</v>
      </c>
      <c r="Y4294" t="s">
        <v>25059</v>
      </c>
      <c r="Z4294" t="s">
        <v>32004</v>
      </c>
      <c r="AA4294">
        <v>0.25119094477433751</v>
      </c>
      <c r="AB4294" t="str">
        <f>HYPERLINK("Melting_Curves/meltCurve_Q6PJ69_TRIM65.pdf", "Melting_Curves/meltCurve_Q6PJ69_TRIM65.pdf")</f>
        <v>Melting_Curves/meltCurve_Q6PJ69_TRIM65.pdf</v>
      </c>
    </row>
    <row r="4295" spans="1:28" x14ac:dyDescent="0.25">
      <c r="A4295" t="s">
        <v>4299</v>
      </c>
      <c r="B4295">
        <v>0.99999676499088797</v>
      </c>
      <c r="C4295">
        <v>0.70141192864651802</v>
      </c>
      <c r="D4295">
        <v>0.41235048628972698</v>
      </c>
      <c r="E4295">
        <v>0.27430887525144698</v>
      </c>
      <c r="F4295">
        <v>0.22031984722866499</v>
      </c>
      <c r="G4295">
        <v>0.12074164952838</v>
      </c>
      <c r="H4295">
        <v>8.5238699759299E-2</v>
      </c>
      <c r="I4295">
        <v>0.103678094136993</v>
      </c>
      <c r="J4295">
        <v>0.123020735352945</v>
      </c>
      <c r="K4295">
        <v>0.113543781873372</v>
      </c>
      <c r="L4295">
        <v>864.92430091001904</v>
      </c>
      <c r="M4295">
        <v>19.3408910759387</v>
      </c>
      <c r="N4295">
        <v>45.359066769403903</v>
      </c>
      <c r="O4295">
        <v>44.2501342876458</v>
      </c>
      <c r="P4295">
        <v>-9.6241775509052593E-2</v>
      </c>
      <c r="Q4295">
        <v>0.119264314457</v>
      </c>
      <c r="R4295">
        <v>0.98102080137562497</v>
      </c>
      <c r="S4295" t="s">
        <v>11298</v>
      </c>
      <c r="T4295" t="s">
        <v>14004</v>
      </c>
      <c r="U4295" t="s">
        <v>14004</v>
      </c>
      <c r="V4295" t="s">
        <v>14004</v>
      </c>
      <c r="W4295" t="s">
        <v>18245</v>
      </c>
      <c r="X4295">
        <v>10</v>
      </c>
      <c r="Y4295" t="s">
        <v>25060</v>
      </c>
      <c r="Z4295" t="s">
        <v>32005</v>
      </c>
      <c r="AA4295">
        <v>0.27449752341765288</v>
      </c>
      <c r="AB4295" t="str">
        <f>HYPERLINK("Melting_Curves/meltCurve_Q6PJG2_ELMSAN1.pdf", "Melting_Curves/meltCurve_Q6PJG2_ELMSAN1.pdf")</f>
        <v>Melting_Curves/meltCurve_Q6PJG2_ELMSAN1.pdf</v>
      </c>
    </row>
    <row r="4296" spans="1:28" x14ac:dyDescent="0.25">
      <c r="A4296" t="s">
        <v>4300</v>
      </c>
      <c r="B4296">
        <v>0.99999676499088797</v>
      </c>
      <c r="C4296">
        <v>0.79966127007114396</v>
      </c>
      <c r="D4296">
        <v>0.70236673730293397</v>
      </c>
      <c r="E4296">
        <v>0.61453430555241595</v>
      </c>
      <c r="F4296">
        <v>0.45962314270830501</v>
      </c>
      <c r="G4296">
        <v>0.21040090532334399</v>
      </c>
      <c r="H4296">
        <v>7.2959599832738406E-2</v>
      </c>
      <c r="I4296">
        <v>6.0736645178615399E-2</v>
      </c>
      <c r="J4296">
        <v>4.5711385714024E-2</v>
      </c>
      <c r="K4296">
        <v>3.10531946062019E-2</v>
      </c>
      <c r="L4296">
        <v>562.62012113080596</v>
      </c>
      <c r="M4296">
        <v>11.0895593768533</v>
      </c>
      <c r="N4296">
        <v>50.7342178010339</v>
      </c>
      <c r="O4296">
        <v>49.168252689817699</v>
      </c>
      <c r="P4296">
        <v>-5.6404209669925001E-2</v>
      </c>
      <c r="Q4296">
        <v>0</v>
      </c>
      <c r="R4296">
        <v>0.97581439149634397</v>
      </c>
      <c r="S4296" t="s">
        <v>11299</v>
      </c>
      <c r="T4296" t="s">
        <v>14004</v>
      </c>
      <c r="U4296" t="s">
        <v>14004</v>
      </c>
      <c r="V4296" t="s">
        <v>14004</v>
      </c>
      <c r="W4296" t="s">
        <v>18246</v>
      </c>
      <c r="X4296">
        <v>7</v>
      </c>
      <c r="Y4296" t="s">
        <v>25061</v>
      </c>
      <c r="Z4296" t="s">
        <v>32006</v>
      </c>
      <c r="AA4296">
        <v>0.39489521304716563</v>
      </c>
      <c r="AB4296" t="str">
        <f>HYPERLINK("Melting_Curves/meltCurve_Q6PJG6_BRAT1.pdf", "Melting_Curves/meltCurve_Q6PJG6_BRAT1.pdf")</f>
        <v>Melting_Curves/meltCurve_Q6PJG6_BRAT1.pdf</v>
      </c>
    </row>
    <row r="4297" spans="1:28" x14ac:dyDescent="0.25">
      <c r="A4297" t="s">
        <v>4301</v>
      </c>
      <c r="B4297">
        <v>0.99999676499088797</v>
      </c>
      <c r="C4297">
        <v>0.78588105838744104</v>
      </c>
      <c r="D4297">
        <v>0.72746520130291203</v>
      </c>
      <c r="E4297">
        <v>0.37452217886993699</v>
      </c>
      <c r="F4297">
        <v>0.25557302551387701</v>
      </c>
      <c r="G4297">
        <v>0.121948937962644</v>
      </c>
      <c r="H4297">
        <v>7.7544911729871394E-2</v>
      </c>
      <c r="I4297">
        <v>0.19281331956220699</v>
      </c>
      <c r="J4297">
        <v>0.17732261472254901</v>
      </c>
      <c r="K4297">
        <v>0.114149805131016</v>
      </c>
      <c r="L4297">
        <v>814.88255029512595</v>
      </c>
      <c r="M4297">
        <v>17.229266376782601</v>
      </c>
      <c r="N4297">
        <v>48.088941212860597</v>
      </c>
      <c r="O4297">
        <v>46.673042554436698</v>
      </c>
      <c r="P4297">
        <v>-8.0885579395845703E-2</v>
      </c>
      <c r="Q4297">
        <v>0.123594577778029</v>
      </c>
      <c r="R4297">
        <v>0.97391042252099802</v>
      </c>
      <c r="S4297" t="s">
        <v>11300</v>
      </c>
      <c r="T4297" t="s">
        <v>14004</v>
      </c>
      <c r="U4297" t="s">
        <v>14004</v>
      </c>
      <c r="V4297" t="s">
        <v>14004</v>
      </c>
      <c r="W4297" t="s">
        <v>18247</v>
      </c>
      <c r="X4297">
        <v>1</v>
      </c>
      <c r="Y4297" t="s">
        <v>25062</v>
      </c>
      <c r="Z4297" t="s">
        <v>32007</v>
      </c>
      <c r="AA4297">
        <v>0.35426655051861672</v>
      </c>
      <c r="AB4297" t="str">
        <f>HYPERLINK("Melting_Curves/meltCurve_Q6PJI9_WDR59.pdf", "Melting_Curves/meltCurve_Q6PJI9_WDR59.pdf")</f>
        <v>Melting_Curves/meltCurve_Q6PJI9_WDR59.pdf</v>
      </c>
    </row>
    <row r="4298" spans="1:28" x14ac:dyDescent="0.25">
      <c r="A4298" t="s">
        <v>4302</v>
      </c>
      <c r="B4298">
        <v>0.99999676499088797</v>
      </c>
      <c r="C4298">
        <v>0.90833181131367702</v>
      </c>
      <c r="D4298">
        <v>0.80537757669601895</v>
      </c>
      <c r="E4298">
        <v>0.75172172538538196</v>
      </c>
      <c r="F4298">
        <v>0.31794761299187801</v>
      </c>
      <c r="G4298">
        <v>0.17979647352128</v>
      </c>
      <c r="H4298">
        <v>0.108110816557867</v>
      </c>
      <c r="I4298">
        <v>0.192333175514358</v>
      </c>
      <c r="J4298">
        <v>0.19076274016139899</v>
      </c>
      <c r="K4298">
        <v>0.284643392264601</v>
      </c>
      <c r="L4298">
        <v>1206.3478612501599</v>
      </c>
      <c r="M4298">
        <v>23.953971606121101</v>
      </c>
      <c r="N4298">
        <v>51.292435112550699</v>
      </c>
      <c r="O4298">
        <v>50.014030989196002</v>
      </c>
      <c r="P4298">
        <v>-9.8622147419397593E-2</v>
      </c>
      <c r="Q4298">
        <v>0.176351634599513</v>
      </c>
      <c r="R4298">
        <v>0.95415795017018601</v>
      </c>
      <c r="S4298" t="s">
        <v>11301</v>
      </c>
      <c r="T4298" t="s">
        <v>14004</v>
      </c>
      <c r="U4298" t="s">
        <v>14004</v>
      </c>
      <c r="V4298" t="s">
        <v>14004</v>
      </c>
      <c r="W4298" t="s">
        <v>18248</v>
      </c>
      <c r="X4298">
        <v>24</v>
      </c>
      <c r="Y4298" t="s">
        <v>25063</v>
      </c>
      <c r="Z4298" t="s">
        <v>32008</v>
      </c>
      <c r="AA4298">
        <v>0.46885995283350262</v>
      </c>
      <c r="AB4298" t="str">
        <f>HYPERLINK("Melting_Curves/meltCurve_Q6PJT7_3_ZC3H14.pdf", "Melting_Curves/meltCurve_Q6PJT7_3_ZC3H14.pdf")</f>
        <v>Melting_Curves/meltCurve_Q6PJT7_3_ZC3H14.pdf</v>
      </c>
    </row>
    <row r="4299" spans="1:28" x14ac:dyDescent="0.25">
      <c r="A4299" t="s">
        <v>4303</v>
      </c>
      <c r="B4299">
        <v>0.99999676499088797</v>
      </c>
      <c r="C4299">
        <v>0.93450277010091298</v>
      </c>
      <c r="D4299">
        <v>0.826453761527422</v>
      </c>
      <c r="E4299">
        <v>0.55202335300996797</v>
      </c>
      <c r="F4299">
        <v>0.32365806794524898</v>
      </c>
      <c r="G4299">
        <v>0.19173704554201401</v>
      </c>
      <c r="H4299">
        <v>0.143759610705924</v>
      </c>
      <c r="I4299">
        <v>0.219826221675957</v>
      </c>
      <c r="J4299">
        <v>0.27412277978939598</v>
      </c>
      <c r="K4299">
        <v>0.28869179112579901</v>
      </c>
      <c r="L4299">
        <v>1106.45591891504</v>
      </c>
      <c r="M4299">
        <v>22.716925888106498</v>
      </c>
      <c r="N4299">
        <v>49.968153619825102</v>
      </c>
      <c r="O4299">
        <v>48.333525930191698</v>
      </c>
      <c r="P4299">
        <v>-9.1854293240104898E-2</v>
      </c>
      <c r="Q4299">
        <v>0.218282679898745</v>
      </c>
      <c r="R4299">
        <v>0.97994461720382198</v>
      </c>
      <c r="S4299" t="s">
        <v>11302</v>
      </c>
      <c r="T4299" t="s">
        <v>14004</v>
      </c>
      <c r="U4299" t="s">
        <v>14004</v>
      </c>
      <c r="V4299" t="s">
        <v>14004</v>
      </c>
      <c r="W4299" t="s">
        <v>18249</v>
      </c>
      <c r="X4299">
        <v>26</v>
      </c>
      <c r="Y4299" t="s">
        <v>25063</v>
      </c>
      <c r="Z4299" t="s">
        <v>32009</v>
      </c>
      <c r="AA4299">
        <v>0.4535819685524331</v>
      </c>
      <c r="AB4299" t="str">
        <f>HYPERLINK("Melting_Curves/meltCurve_Q6PJT7_9_ZC3H14.pdf", "Melting_Curves/meltCurve_Q6PJT7_9_ZC3H14.pdf")</f>
        <v>Melting_Curves/meltCurve_Q6PJT7_9_ZC3H14.pdf</v>
      </c>
    </row>
    <row r="4300" spans="1:28" x14ac:dyDescent="0.25">
      <c r="A4300" t="s">
        <v>4304</v>
      </c>
      <c r="B4300">
        <v>0.99999676499088797</v>
      </c>
      <c r="C4300">
        <v>0.85961054309421803</v>
      </c>
      <c r="D4300">
        <v>0.86731045530731898</v>
      </c>
      <c r="E4300">
        <v>0.64164032183921005</v>
      </c>
      <c r="F4300">
        <v>0.51336038581607901</v>
      </c>
      <c r="G4300">
        <v>0.36716160031787698</v>
      </c>
      <c r="H4300">
        <v>0.25393249773148402</v>
      </c>
      <c r="I4300">
        <v>0.273526429761483</v>
      </c>
      <c r="J4300">
        <v>0.31166006914290501</v>
      </c>
      <c r="K4300">
        <v>0.30692133406961902</v>
      </c>
      <c r="L4300">
        <v>702.54070023741804</v>
      </c>
      <c r="M4300">
        <v>14.0494811202782</v>
      </c>
      <c r="N4300">
        <v>52.758953641598701</v>
      </c>
      <c r="O4300">
        <v>49.024360279761297</v>
      </c>
      <c r="P4300">
        <v>-5.3033723648599103E-2</v>
      </c>
      <c r="Q4300">
        <v>0.25987157728138299</v>
      </c>
      <c r="R4300">
        <v>0.979447151100035</v>
      </c>
      <c r="S4300" t="s">
        <v>11303</v>
      </c>
      <c r="T4300" t="s">
        <v>14004</v>
      </c>
      <c r="U4300" t="s">
        <v>14004</v>
      </c>
      <c r="V4300" t="s">
        <v>14004</v>
      </c>
      <c r="W4300" t="s">
        <v>18250</v>
      </c>
      <c r="X4300">
        <v>3</v>
      </c>
      <c r="Y4300" t="s">
        <v>25064</v>
      </c>
      <c r="Z4300" t="s">
        <v>32010</v>
      </c>
      <c r="AA4300">
        <v>0.52647748108079806</v>
      </c>
      <c r="AB4300" t="str">
        <f>HYPERLINK("Melting_Curves/meltCurve_Q6PJW8_CNST.pdf", "Melting_Curves/meltCurve_Q6PJW8_CNST.pdf")</f>
        <v>Melting_Curves/meltCurve_Q6PJW8_CNST.pdf</v>
      </c>
    </row>
    <row r="4301" spans="1:28" x14ac:dyDescent="0.25">
      <c r="A4301" t="s">
        <v>4305</v>
      </c>
      <c r="B4301">
        <v>0.99999676499088797</v>
      </c>
      <c r="C4301">
        <v>0.86363788346076098</v>
      </c>
      <c r="D4301">
        <v>0.94404075540646404</v>
      </c>
      <c r="E4301">
        <v>0.807718828439286</v>
      </c>
      <c r="F4301">
        <v>0.66006402010423904</v>
      </c>
      <c r="G4301">
        <v>0.56388521152267101</v>
      </c>
      <c r="H4301">
        <v>0.25829552507606701</v>
      </c>
      <c r="I4301">
        <v>0.169141229464046</v>
      </c>
      <c r="J4301">
        <v>0.21826144735688999</v>
      </c>
      <c r="K4301">
        <v>0.17538690310812899</v>
      </c>
      <c r="L4301">
        <v>641.56915922332996</v>
      </c>
      <c r="M4301">
        <v>11.5012016809935</v>
      </c>
      <c r="N4301">
        <v>56.435183226634898</v>
      </c>
      <c r="O4301">
        <v>54.176320843597601</v>
      </c>
      <c r="P4301">
        <v>-4.9783504632861603E-2</v>
      </c>
      <c r="Q4301">
        <v>6.22471761518106E-2</v>
      </c>
      <c r="R4301">
        <v>0.97042065743741501</v>
      </c>
      <c r="S4301" t="s">
        <v>11304</v>
      </c>
      <c r="T4301" t="s">
        <v>14004</v>
      </c>
      <c r="U4301" t="s">
        <v>14004</v>
      </c>
      <c r="V4301" t="s">
        <v>14004</v>
      </c>
      <c r="W4301" t="s">
        <v>18251</v>
      </c>
      <c r="X4301">
        <v>3</v>
      </c>
      <c r="Y4301" t="s">
        <v>25065</v>
      </c>
      <c r="Z4301" t="s">
        <v>32011</v>
      </c>
      <c r="AA4301">
        <v>0.57572401648820559</v>
      </c>
      <c r="AB4301" t="str">
        <f>HYPERLINK("Melting_Curves/meltCurve_Q6PK18_OGFOD3.pdf", "Melting_Curves/meltCurve_Q6PK18_OGFOD3.pdf")</f>
        <v>Melting_Curves/meltCurve_Q6PK18_OGFOD3.pdf</v>
      </c>
    </row>
    <row r="4302" spans="1:28" x14ac:dyDescent="0.25">
      <c r="A4302" t="s">
        <v>4306</v>
      </c>
      <c r="B4302">
        <v>0.99999676499088797</v>
      </c>
      <c r="C4302">
        <v>1.0212672112468899</v>
      </c>
      <c r="D4302">
        <v>1.04154136496148</v>
      </c>
      <c r="E4302">
        <v>0.97059417386765501</v>
      </c>
      <c r="F4302">
        <v>0.35235829384587902</v>
      </c>
      <c r="G4302">
        <v>0.25033311272478798</v>
      </c>
      <c r="H4302">
        <v>0.123506567241694</v>
      </c>
      <c r="I4302">
        <v>0.114769613411463</v>
      </c>
      <c r="J4302">
        <v>0.106923198277772</v>
      </c>
      <c r="K4302">
        <v>0.122036066173959</v>
      </c>
      <c r="L4302">
        <v>2850.8907195818902</v>
      </c>
      <c r="M4302">
        <v>54.634852579042899</v>
      </c>
      <c r="N4302">
        <v>52.495864216559902</v>
      </c>
      <c r="O4302">
        <v>52.111038322519903</v>
      </c>
      <c r="P4302">
        <v>-0.225470546712601</v>
      </c>
      <c r="Q4302">
        <v>0.13978006746461699</v>
      </c>
      <c r="R4302">
        <v>0.99116717784646702</v>
      </c>
      <c r="S4302" t="s">
        <v>11305</v>
      </c>
      <c r="T4302" t="s">
        <v>14004</v>
      </c>
      <c r="U4302" t="s">
        <v>14004</v>
      </c>
      <c r="V4302" t="s">
        <v>14004</v>
      </c>
      <c r="W4302" t="s">
        <v>18252</v>
      </c>
      <c r="X4302">
        <v>24</v>
      </c>
      <c r="Y4302" t="s">
        <v>25066</v>
      </c>
      <c r="Z4302" t="s">
        <v>32012</v>
      </c>
      <c r="AA4302">
        <v>0.49070924570780178</v>
      </c>
      <c r="AB4302" t="str">
        <f>HYPERLINK("Melting_Curves/meltCurve_Q6PKG0_LARP1.pdf", "Melting_Curves/meltCurve_Q6PKG0_LARP1.pdf")</f>
        <v>Melting_Curves/meltCurve_Q6PKG0_LARP1.pdf</v>
      </c>
    </row>
    <row r="4303" spans="1:28" x14ac:dyDescent="0.25">
      <c r="A4303" t="s">
        <v>4307</v>
      </c>
      <c r="B4303">
        <v>0.99999676499088797</v>
      </c>
      <c r="C4303">
        <v>0.832540842547003</v>
      </c>
      <c r="D4303">
        <v>0.72602488889029104</v>
      </c>
      <c r="E4303">
        <v>0.30092794028179498</v>
      </c>
      <c r="F4303">
        <v>0.16476468138589301</v>
      </c>
      <c r="G4303">
        <v>0.13017885909533999</v>
      </c>
      <c r="H4303">
        <v>7.2299999409419405E-2</v>
      </c>
      <c r="I4303">
        <v>6.17580968129951E-2</v>
      </c>
      <c r="J4303">
        <v>5.98735947960857E-2</v>
      </c>
      <c r="K4303">
        <v>6.5558489598608799E-2</v>
      </c>
      <c r="L4303">
        <v>939.26659110937396</v>
      </c>
      <c r="M4303">
        <v>19.807972325314999</v>
      </c>
      <c r="N4303">
        <v>47.7497006997475</v>
      </c>
      <c r="O4303">
        <v>46.943237786388202</v>
      </c>
      <c r="P4303">
        <v>-9.8723585409567993E-2</v>
      </c>
      <c r="Q4303">
        <v>6.4164924456640404E-2</v>
      </c>
      <c r="R4303">
        <v>0.99137846130217899</v>
      </c>
      <c r="S4303" t="s">
        <v>11306</v>
      </c>
      <c r="T4303" t="s">
        <v>14004</v>
      </c>
      <c r="U4303" t="s">
        <v>14004</v>
      </c>
      <c r="V4303" t="s">
        <v>14004</v>
      </c>
      <c r="W4303" t="s">
        <v>18253</v>
      </c>
      <c r="X4303">
        <v>14</v>
      </c>
      <c r="Y4303" t="s">
        <v>25067</v>
      </c>
      <c r="Z4303" t="s">
        <v>32013</v>
      </c>
      <c r="AA4303">
        <v>0.30936914521557107</v>
      </c>
      <c r="AB4303" t="str">
        <f>HYPERLINK("Melting_Curves/meltCurve_Q6PL24_TMED8.pdf", "Melting_Curves/meltCurve_Q6PL24_TMED8.pdf")</f>
        <v>Melting_Curves/meltCurve_Q6PL24_TMED8.pdf</v>
      </c>
    </row>
    <row r="4304" spans="1:28" x14ac:dyDescent="0.25">
      <c r="A4304" t="s">
        <v>4308</v>
      </c>
      <c r="B4304">
        <v>0.99999676499088797</v>
      </c>
      <c r="C4304">
        <v>0.97959979709948497</v>
      </c>
      <c r="D4304">
        <v>0.95529262252741098</v>
      </c>
      <c r="E4304">
        <v>0.86222520077627596</v>
      </c>
      <c r="F4304">
        <v>0.353215230410381</v>
      </c>
      <c r="G4304">
        <v>0.26822881037201501</v>
      </c>
      <c r="H4304">
        <v>0.130108897468449</v>
      </c>
      <c r="I4304">
        <v>0.11369004055366599</v>
      </c>
      <c r="J4304">
        <v>9.5594830007479203E-2</v>
      </c>
      <c r="K4304">
        <v>8.5936481787101296E-2</v>
      </c>
      <c r="L4304">
        <v>1534.9500305082499</v>
      </c>
      <c r="M4304">
        <v>29.565493920127501</v>
      </c>
      <c r="N4304">
        <v>52.382606236458997</v>
      </c>
      <c r="O4304">
        <v>51.681173146424896</v>
      </c>
      <c r="P4304">
        <v>-0.126491940391803</v>
      </c>
      <c r="Q4304">
        <v>0.11556280937393899</v>
      </c>
      <c r="R4304">
        <v>0.99036963663536604</v>
      </c>
      <c r="S4304" t="s">
        <v>11307</v>
      </c>
      <c r="T4304" t="s">
        <v>14004</v>
      </c>
      <c r="U4304" t="s">
        <v>14004</v>
      </c>
      <c r="V4304" t="s">
        <v>14004</v>
      </c>
      <c r="W4304" t="s">
        <v>18254</v>
      </c>
      <c r="X4304">
        <v>11</v>
      </c>
      <c r="Y4304" t="s">
        <v>25068</v>
      </c>
      <c r="Z4304" t="s">
        <v>32014</v>
      </c>
      <c r="AA4304">
        <v>0.47269829969964672</v>
      </c>
      <c r="AB4304" t="str">
        <f>HYPERLINK("Melting_Curves/meltCurve_Q6PML9_SLC30A9.pdf", "Melting_Curves/meltCurve_Q6PML9_SLC30A9.pdf")</f>
        <v>Melting_Curves/meltCurve_Q6PML9_SLC30A9.pdf</v>
      </c>
    </row>
    <row r="4305" spans="1:28" x14ac:dyDescent="0.25">
      <c r="A4305" t="s">
        <v>4309</v>
      </c>
      <c r="B4305">
        <v>0.99999676499088797</v>
      </c>
      <c r="C4305">
        <v>1.0788526302000601</v>
      </c>
      <c r="D4305">
        <v>0.96845014792207296</v>
      </c>
      <c r="E4305">
        <v>0.89684832230268297</v>
      </c>
      <c r="F4305">
        <v>0.77397307489270695</v>
      </c>
      <c r="G4305">
        <v>0.624083908824273</v>
      </c>
      <c r="H4305">
        <v>0.36027166342838102</v>
      </c>
      <c r="I4305">
        <v>0.424256693997487</v>
      </c>
      <c r="J4305">
        <v>0.365836027211285</v>
      </c>
      <c r="K4305">
        <v>0.40360685401875501</v>
      </c>
      <c r="L4305">
        <v>1073.0666130684999</v>
      </c>
      <c r="M4305">
        <v>19.5743562273504</v>
      </c>
      <c r="N4305">
        <v>58.677211253152997</v>
      </c>
      <c r="O4305">
        <v>54.257479845784601</v>
      </c>
      <c r="P4305">
        <v>-5.7552303759232697E-2</v>
      </c>
      <c r="Q4305">
        <v>0.36191363695393902</v>
      </c>
      <c r="R4305">
        <v>0.97451652906460196</v>
      </c>
      <c r="S4305" t="s">
        <v>11308</v>
      </c>
      <c r="T4305" t="s">
        <v>14004</v>
      </c>
      <c r="U4305" t="s">
        <v>14004</v>
      </c>
      <c r="V4305" t="s">
        <v>14004</v>
      </c>
      <c r="W4305" t="s">
        <v>18255</v>
      </c>
      <c r="X4305">
        <v>10</v>
      </c>
      <c r="Y4305" t="s">
        <v>25069</v>
      </c>
      <c r="Z4305" t="s">
        <v>32015</v>
      </c>
      <c r="AA4305">
        <v>0.68594372408160853</v>
      </c>
      <c r="AB4305" t="str">
        <f>HYPERLINK("Melting_Curves/meltCurve_Q6QNY0_BLOC1S3.pdf", "Melting_Curves/meltCurve_Q6QNY0_BLOC1S3.pdf")</f>
        <v>Melting_Curves/meltCurve_Q6QNY0_BLOC1S3.pdf</v>
      </c>
    </row>
    <row r="4306" spans="1:28" x14ac:dyDescent="0.25">
      <c r="A4306" t="s">
        <v>4310</v>
      </c>
      <c r="B4306">
        <v>0.99999676499088797</v>
      </c>
      <c r="C4306">
        <v>0.94266878046359803</v>
      </c>
      <c r="D4306">
        <v>0.936642545084029</v>
      </c>
      <c r="E4306">
        <v>0.94531954990689504</v>
      </c>
      <c r="F4306">
        <v>0.68133291405913299</v>
      </c>
      <c r="G4306">
        <v>0.64054178109293503</v>
      </c>
      <c r="H4306">
        <v>0.31684526799843699</v>
      </c>
      <c r="I4306">
        <v>0.19999419814334801</v>
      </c>
      <c r="J4306">
        <v>0.14542715339867501</v>
      </c>
      <c r="K4306">
        <v>0.16845992214347499</v>
      </c>
      <c r="L4306">
        <v>795.58933435860297</v>
      </c>
      <c r="M4306">
        <v>13.9039698362528</v>
      </c>
      <c r="N4306">
        <v>57.725987679746801</v>
      </c>
      <c r="O4306">
        <v>56.075625570994603</v>
      </c>
      <c r="P4306">
        <v>-5.8441245818638403E-2</v>
      </c>
      <c r="Q4306">
        <v>5.7338577902612702E-2</v>
      </c>
      <c r="R4306">
        <v>0.98024107630951696</v>
      </c>
      <c r="S4306" t="s">
        <v>11309</v>
      </c>
      <c r="T4306" t="s">
        <v>14004</v>
      </c>
      <c r="U4306" t="s">
        <v>14004</v>
      </c>
      <c r="V4306" t="s">
        <v>14004</v>
      </c>
      <c r="W4306" t="s">
        <v>18256</v>
      </c>
      <c r="X4306">
        <v>5</v>
      </c>
      <c r="Y4306" t="s">
        <v>25070</v>
      </c>
      <c r="Z4306" t="s">
        <v>32016</v>
      </c>
      <c r="AA4306">
        <v>0.61333324861616134</v>
      </c>
      <c r="AB4306" t="str">
        <f>HYPERLINK("Melting_Curves/meltCurve_Q6QNY1_BLOC1S2.pdf", "Melting_Curves/meltCurve_Q6QNY1_BLOC1S2.pdf")</f>
        <v>Melting_Curves/meltCurve_Q6QNY1_BLOC1S2.pdf</v>
      </c>
    </row>
    <row r="4307" spans="1:28" x14ac:dyDescent="0.25">
      <c r="A4307" t="s">
        <v>4311</v>
      </c>
      <c r="B4307">
        <v>0.99999676499088797</v>
      </c>
      <c r="C4307">
        <v>0.87672868346282695</v>
      </c>
      <c r="D4307">
        <v>0.91496198725386202</v>
      </c>
      <c r="E4307">
        <v>0.268401049219814</v>
      </c>
      <c r="F4307">
        <v>0.15227179180367001</v>
      </c>
      <c r="G4307">
        <v>0</v>
      </c>
      <c r="H4307">
        <v>0</v>
      </c>
      <c r="I4307">
        <v>0.205085498180298</v>
      </c>
      <c r="J4307">
        <v>0</v>
      </c>
      <c r="K4307">
        <v>0</v>
      </c>
      <c r="L4307">
        <v>1997.0034962345301</v>
      </c>
      <c r="M4307">
        <v>41.381984780518003</v>
      </c>
      <c r="N4307">
        <v>48.390745767957299</v>
      </c>
      <c r="O4307">
        <v>48.1455219906642</v>
      </c>
      <c r="P4307">
        <v>-0.203333902700855</v>
      </c>
      <c r="Q4307">
        <v>5.3733382411173598E-2</v>
      </c>
      <c r="R4307">
        <v>0.96463260355216196</v>
      </c>
      <c r="S4307" t="s">
        <v>11310</v>
      </c>
      <c r="T4307" t="s">
        <v>14004</v>
      </c>
      <c r="U4307" t="s">
        <v>14004</v>
      </c>
      <c r="V4307" t="s">
        <v>14004</v>
      </c>
      <c r="W4307" t="s">
        <v>18257</v>
      </c>
      <c r="X4307">
        <v>1</v>
      </c>
      <c r="Y4307" t="s">
        <v>25071</v>
      </c>
      <c r="Z4307" t="s">
        <v>32017</v>
      </c>
      <c r="AA4307">
        <v>0.31715551191535318</v>
      </c>
      <c r="AB4307" t="str">
        <f>HYPERLINK("Melting_Curves/meltCurve_Q6R327_RICTOR.pdf", "Melting_Curves/meltCurve_Q6R327_RICTOR.pdf")</f>
        <v>Melting_Curves/meltCurve_Q6R327_RICTOR.pdf</v>
      </c>
    </row>
    <row r="4308" spans="1:28" x14ac:dyDescent="0.25">
      <c r="A4308" t="s">
        <v>4312</v>
      </c>
      <c r="B4308">
        <v>0.99999676499088797</v>
      </c>
      <c r="C4308">
        <v>0.91032890432692304</v>
      </c>
      <c r="D4308">
        <v>0.77796716455400206</v>
      </c>
      <c r="E4308">
        <v>0.62905470579109701</v>
      </c>
      <c r="F4308">
        <v>0.57268236052463695</v>
      </c>
      <c r="G4308">
        <v>0.36247782345215601</v>
      </c>
      <c r="H4308">
        <v>8.1879547112665096E-2</v>
      </c>
      <c r="I4308">
        <v>7.5809814250274304E-2</v>
      </c>
      <c r="J4308">
        <v>6.7190952356683903E-2</v>
      </c>
      <c r="K4308">
        <v>6.1169197287340799E-2</v>
      </c>
      <c r="L4308">
        <v>596.080708186165</v>
      </c>
      <c r="M4308">
        <v>11.3169965336748</v>
      </c>
      <c r="N4308">
        <v>52.671277356514103</v>
      </c>
      <c r="O4308">
        <v>51.107062422059997</v>
      </c>
      <c r="P4308">
        <v>-5.5375999062090897E-2</v>
      </c>
      <c r="Q4308">
        <v>0</v>
      </c>
      <c r="R4308">
        <v>0.97486528450531496</v>
      </c>
      <c r="S4308" t="s">
        <v>11311</v>
      </c>
      <c r="T4308" t="s">
        <v>14004</v>
      </c>
      <c r="U4308" t="s">
        <v>14004</v>
      </c>
      <c r="V4308" t="s">
        <v>14004</v>
      </c>
      <c r="W4308" t="s">
        <v>18258</v>
      </c>
      <c r="X4308">
        <v>11</v>
      </c>
      <c r="Y4308" t="s">
        <v>25072</v>
      </c>
      <c r="Z4308" t="s">
        <v>32018</v>
      </c>
      <c r="AA4308">
        <v>0.4535835221127415</v>
      </c>
      <c r="AB4308" t="str">
        <f>HYPERLINK("Melting_Curves/meltCurve_Q6RFH5_WDR74.pdf", "Melting_Curves/meltCurve_Q6RFH5_WDR74.pdf")</f>
        <v>Melting_Curves/meltCurve_Q6RFH5_WDR74.pdf</v>
      </c>
    </row>
    <row r="4309" spans="1:28" x14ac:dyDescent="0.25">
      <c r="A4309" t="s">
        <v>4313</v>
      </c>
      <c r="B4309">
        <v>0.99999676499088797</v>
      </c>
      <c r="C4309">
        <v>0.97121188956748905</v>
      </c>
      <c r="D4309">
        <v>0.98972416433372401</v>
      </c>
      <c r="E4309">
        <v>0.95626688288769501</v>
      </c>
      <c r="F4309">
        <v>0.86871351377028505</v>
      </c>
      <c r="G4309">
        <v>0.81374766324294501</v>
      </c>
      <c r="H4309">
        <v>0.63284511669712096</v>
      </c>
      <c r="I4309">
        <v>0.69116145322046196</v>
      </c>
      <c r="J4309">
        <v>0.69665380151449197</v>
      </c>
      <c r="K4309">
        <v>0.74921625717746199</v>
      </c>
      <c r="L4309">
        <v>1272.0013026265401</v>
      </c>
      <c r="M4309">
        <v>23.509213893098</v>
      </c>
      <c r="O4309">
        <v>53.719568328122797</v>
      </c>
      <c r="P4309">
        <v>-3.3618378720398599E-2</v>
      </c>
      <c r="Q4309">
        <v>0.69272748870246703</v>
      </c>
      <c r="R4309">
        <v>0.92652585588988401</v>
      </c>
      <c r="S4309" t="s">
        <v>11312</v>
      </c>
      <c r="T4309" t="s">
        <v>14004</v>
      </c>
      <c r="U4309" t="s">
        <v>14004</v>
      </c>
      <c r="V4309" t="s">
        <v>14004</v>
      </c>
      <c r="W4309" t="s">
        <v>18259</v>
      </c>
      <c r="X4309">
        <v>2</v>
      </c>
      <c r="Y4309" t="s">
        <v>25073</v>
      </c>
      <c r="Z4309" t="s">
        <v>32019</v>
      </c>
      <c r="AA4309">
        <v>0.84038712592220177</v>
      </c>
      <c r="AB4309" t="str">
        <f>HYPERLINK("Melting_Curves/meltCurve_Q6RW13_2_AGTRAP.pdf", "Melting_Curves/meltCurve_Q6RW13_2_AGTRAP.pdf")</f>
        <v>Melting_Curves/meltCurve_Q6RW13_2_AGTRAP.pdf</v>
      </c>
    </row>
    <row r="4310" spans="1:28" x14ac:dyDescent="0.25">
      <c r="A4310" t="s">
        <v>4314</v>
      </c>
      <c r="B4310">
        <v>0.99999676499088797</v>
      </c>
      <c r="C4310">
        <v>1.12233473767324</v>
      </c>
      <c r="D4310">
        <v>1.1244404231806</v>
      </c>
      <c r="E4310">
        <v>0.90006093379364804</v>
      </c>
      <c r="F4310">
        <v>0.81031273371829404</v>
      </c>
      <c r="G4310">
        <v>0.65117083335802695</v>
      </c>
      <c r="H4310">
        <v>0.32505777896631699</v>
      </c>
      <c r="I4310">
        <v>0.36778324934108902</v>
      </c>
      <c r="J4310">
        <v>0.38437756517281901</v>
      </c>
      <c r="K4310">
        <v>0.157193826072867</v>
      </c>
      <c r="L4310">
        <v>1049.4202153727899</v>
      </c>
      <c r="M4310">
        <v>18.516384258279501</v>
      </c>
      <c r="N4310">
        <v>58.7091183041221</v>
      </c>
      <c r="O4310">
        <v>56.026586893620397</v>
      </c>
      <c r="P4310">
        <v>-6.30655923531553E-2</v>
      </c>
      <c r="Q4310">
        <v>0.236742138913136</v>
      </c>
      <c r="R4310">
        <v>0.94018557176403195</v>
      </c>
      <c r="S4310" t="s">
        <v>11313</v>
      </c>
      <c r="T4310" t="s">
        <v>14004</v>
      </c>
      <c r="U4310" t="s">
        <v>14004</v>
      </c>
      <c r="V4310" t="s">
        <v>14004</v>
      </c>
      <c r="W4310" t="s">
        <v>18260</v>
      </c>
      <c r="X4310">
        <v>12</v>
      </c>
      <c r="Y4310" t="s">
        <v>25074</v>
      </c>
      <c r="Z4310" t="s">
        <v>32020</v>
      </c>
      <c r="AA4310">
        <v>0.67141831274306507</v>
      </c>
      <c r="AB4310" t="str">
        <f>HYPERLINK("Melting_Curves/meltCurve_Q6S8J3_POTEE.pdf", "Melting_Curves/meltCurve_Q6S8J3_POTEE.pdf")</f>
        <v>Melting_Curves/meltCurve_Q6S8J3_POTEE.pdf</v>
      </c>
    </row>
    <row r="4311" spans="1:28" x14ac:dyDescent="0.25">
      <c r="A4311" t="s">
        <v>4315</v>
      </c>
      <c r="B4311">
        <v>0.99999676499088797</v>
      </c>
      <c r="C4311">
        <v>0.84358461918935501</v>
      </c>
      <c r="D4311">
        <v>0.76781359161493301</v>
      </c>
      <c r="E4311">
        <v>0.38721735031392601</v>
      </c>
      <c r="F4311">
        <v>0.47343570954768099</v>
      </c>
      <c r="G4311">
        <v>0.303215201550047</v>
      </c>
      <c r="H4311">
        <v>8.5753683308054704E-2</v>
      </c>
      <c r="I4311">
        <v>2.6313782742833001E-2</v>
      </c>
      <c r="J4311">
        <v>2.1105032394556002E-2</v>
      </c>
      <c r="K4311">
        <v>1.7136254193383899E-2</v>
      </c>
      <c r="L4311">
        <v>550.83118679090103</v>
      </c>
      <c r="M4311">
        <v>10.967185390279299</v>
      </c>
      <c r="N4311">
        <v>50.225392121556702</v>
      </c>
      <c r="O4311">
        <v>48.642143342922999</v>
      </c>
      <c r="P4311">
        <v>-5.6385923030451701E-2</v>
      </c>
      <c r="Q4311">
        <v>0</v>
      </c>
      <c r="R4311">
        <v>0.95438292502163502</v>
      </c>
      <c r="S4311" t="s">
        <v>11314</v>
      </c>
      <c r="T4311" t="s">
        <v>14004</v>
      </c>
      <c r="U4311" t="s">
        <v>14004</v>
      </c>
      <c r="V4311" t="s">
        <v>14004</v>
      </c>
      <c r="W4311" t="s">
        <v>18261</v>
      </c>
      <c r="X4311">
        <v>1</v>
      </c>
      <c r="Y4311" t="s">
        <v>25075</v>
      </c>
      <c r="Z4311" t="s">
        <v>32021</v>
      </c>
      <c r="AA4311">
        <v>0.37989374292704048</v>
      </c>
      <c r="AB4311" t="str">
        <f>HYPERLINK("Melting_Curves/meltCurve_Q6SJ93_2_FAM111B.pdf", "Melting_Curves/meltCurve_Q6SJ93_2_FAM111B.pdf")</f>
        <v>Melting_Curves/meltCurve_Q6SJ93_2_FAM111B.pdf</v>
      </c>
    </row>
    <row r="4312" spans="1:28" x14ac:dyDescent="0.25">
      <c r="A4312" t="s">
        <v>4316</v>
      </c>
      <c r="B4312">
        <v>0.99999676499088797</v>
      </c>
      <c r="C4312">
        <v>0.90103178965835595</v>
      </c>
      <c r="D4312">
        <v>0.60556549377117197</v>
      </c>
      <c r="E4312">
        <v>0.21895666604608499</v>
      </c>
      <c r="F4312">
        <v>0.159789587611254</v>
      </c>
      <c r="G4312">
        <v>8.0362127712480205E-2</v>
      </c>
      <c r="H4312">
        <v>2.96699604286704E-2</v>
      </c>
      <c r="I4312">
        <v>8.4512787021885603E-3</v>
      </c>
      <c r="J4312">
        <v>2.0569514751401601E-2</v>
      </c>
      <c r="K4312">
        <v>6.1758536792877697E-2</v>
      </c>
      <c r="L4312">
        <v>1061.6738973870299</v>
      </c>
      <c r="M4312">
        <v>22.712162412641401</v>
      </c>
      <c r="N4312">
        <v>46.927084018971598</v>
      </c>
      <c r="O4312">
        <v>46.386879072830801</v>
      </c>
      <c r="P4312">
        <v>-0.117238392403896</v>
      </c>
      <c r="Q4312">
        <v>4.2237319474327698E-2</v>
      </c>
      <c r="R4312">
        <v>0.99400753604707703</v>
      </c>
      <c r="S4312" t="s">
        <v>11315</v>
      </c>
      <c r="T4312" t="s">
        <v>14004</v>
      </c>
      <c r="U4312" t="s">
        <v>14004</v>
      </c>
      <c r="V4312" t="s">
        <v>14004</v>
      </c>
      <c r="W4312" t="s">
        <v>18262</v>
      </c>
      <c r="X4312">
        <v>5</v>
      </c>
      <c r="Y4312" t="s">
        <v>25076</v>
      </c>
      <c r="Z4312" t="s">
        <v>32022</v>
      </c>
      <c r="AA4312">
        <v>0.26822791887959962</v>
      </c>
      <c r="AB4312" t="str">
        <f>HYPERLINK("Melting_Curves/meltCurve_Q6STE5_2_SMARCD3.pdf", "Melting_Curves/meltCurve_Q6STE5_2_SMARCD3.pdf")</f>
        <v>Melting_Curves/meltCurve_Q6STE5_2_SMARCD3.pdf</v>
      </c>
    </row>
    <row r="4313" spans="1:28" x14ac:dyDescent="0.25">
      <c r="A4313" t="s">
        <v>4317</v>
      </c>
      <c r="B4313">
        <v>0.99999676499088797</v>
      </c>
      <c r="C4313">
        <v>1.0175352580040899</v>
      </c>
      <c r="D4313">
        <v>1.0025383223211899</v>
      </c>
      <c r="E4313">
        <v>0.95675406035689103</v>
      </c>
      <c r="F4313">
        <v>0.32044855845579401</v>
      </c>
      <c r="G4313">
        <v>0.155943108227272</v>
      </c>
      <c r="H4313">
        <v>7.2712299835965805E-2</v>
      </c>
      <c r="I4313">
        <v>7.7823224079075395E-2</v>
      </c>
      <c r="J4313">
        <v>6.6567645678448001E-2</v>
      </c>
      <c r="K4313">
        <v>5.4905331046771297E-2</v>
      </c>
      <c r="L4313">
        <v>2742.01995023055</v>
      </c>
      <c r="M4313">
        <v>52.543876659692998</v>
      </c>
      <c r="N4313">
        <v>52.363290788711303</v>
      </c>
      <c r="O4313">
        <v>52.109912555199998</v>
      </c>
      <c r="P4313">
        <v>-0.23147042369615101</v>
      </c>
      <c r="Q4313">
        <v>8.1765879247731502E-2</v>
      </c>
      <c r="R4313">
        <v>0.99712082271081404</v>
      </c>
      <c r="S4313" t="s">
        <v>11316</v>
      </c>
      <c r="T4313" t="s">
        <v>14004</v>
      </c>
      <c r="U4313" t="s">
        <v>14004</v>
      </c>
      <c r="V4313" t="s">
        <v>14004</v>
      </c>
      <c r="W4313" t="s">
        <v>18263</v>
      </c>
      <c r="X4313">
        <v>34</v>
      </c>
      <c r="Y4313" t="s">
        <v>25077</v>
      </c>
      <c r="Z4313" t="s">
        <v>32023</v>
      </c>
      <c r="AA4313">
        <v>0.4566451905553649</v>
      </c>
      <c r="AB4313" t="str">
        <f>HYPERLINK("Melting_Curves/meltCurve_Q6UB35_MTHFD1L.pdf", "Melting_Curves/meltCurve_Q6UB35_MTHFD1L.pdf")</f>
        <v>Melting_Curves/meltCurve_Q6UB35_MTHFD1L.pdf</v>
      </c>
    </row>
    <row r="4314" spans="1:28" x14ac:dyDescent="0.25">
      <c r="A4314" t="s">
        <v>4318</v>
      </c>
      <c r="B4314">
        <v>0.99999676499088797</v>
      </c>
      <c r="C4314">
        <v>0.90179593022723903</v>
      </c>
      <c r="D4314">
        <v>0.69834563875356603</v>
      </c>
      <c r="E4314">
        <v>0.52353963963316896</v>
      </c>
      <c r="F4314">
        <v>0.306831984393998</v>
      </c>
      <c r="G4314">
        <v>0.23723653975244499</v>
      </c>
      <c r="H4314">
        <v>0.13514058847426699</v>
      </c>
      <c r="I4314">
        <v>0.17825840861098899</v>
      </c>
      <c r="J4314">
        <v>0.21307891038660201</v>
      </c>
      <c r="K4314">
        <v>0.15779862534233999</v>
      </c>
      <c r="L4314">
        <v>760.80553216090095</v>
      </c>
      <c r="M4314">
        <v>15.769380322565</v>
      </c>
      <c r="N4314">
        <v>49.436958292863402</v>
      </c>
      <c r="O4314">
        <v>47.489879774055701</v>
      </c>
      <c r="P4314">
        <v>-6.9898989330918496E-2</v>
      </c>
      <c r="Q4314">
        <v>0.15805975125490401</v>
      </c>
      <c r="R4314">
        <v>0.99102053991696504</v>
      </c>
      <c r="S4314" t="s">
        <v>11317</v>
      </c>
      <c r="T4314" t="s">
        <v>14004</v>
      </c>
      <c r="U4314" t="s">
        <v>14004</v>
      </c>
      <c r="V4314" t="s">
        <v>14004</v>
      </c>
      <c r="W4314" t="s">
        <v>18264</v>
      </c>
      <c r="X4314">
        <v>1</v>
      </c>
      <c r="Y4314" t="s">
        <v>25078</v>
      </c>
      <c r="Z4314" t="s">
        <v>32024</v>
      </c>
      <c r="AA4314">
        <v>0.40888290349239209</v>
      </c>
      <c r="AB4314" t="str">
        <f>HYPERLINK("Melting_Curves/meltCurve_Q6UB99_ANKRD11.pdf", "Melting_Curves/meltCurve_Q6UB99_ANKRD11.pdf")</f>
        <v>Melting_Curves/meltCurve_Q6UB99_ANKRD11.pdf</v>
      </c>
    </row>
    <row r="4315" spans="1:28" x14ac:dyDescent="0.25">
      <c r="A4315" t="s">
        <v>4319</v>
      </c>
      <c r="B4315">
        <v>0.99999676499088797</v>
      </c>
      <c r="C4315">
        <v>1.01518697182023</v>
      </c>
      <c r="D4315">
        <v>0.89065425427901701</v>
      </c>
      <c r="E4315">
        <v>0.62153539002272795</v>
      </c>
      <c r="F4315">
        <v>0.375181997458917</v>
      </c>
      <c r="G4315">
        <v>0.27867881264739602</v>
      </c>
      <c r="H4315">
        <v>0.18384039895370799</v>
      </c>
      <c r="I4315">
        <v>0.165702228038726</v>
      </c>
      <c r="J4315">
        <v>0.17609305756920601</v>
      </c>
      <c r="K4315">
        <v>0.25081230411069499</v>
      </c>
      <c r="L4315">
        <v>1072.89162660839</v>
      </c>
      <c r="M4315">
        <v>21.449295508438201</v>
      </c>
      <c r="N4315">
        <v>51.186534748289901</v>
      </c>
      <c r="O4315">
        <v>49.591204836721403</v>
      </c>
      <c r="P4315">
        <v>-8.7226724708937997E-2</v>
      </c>
      <c r="Q4315">
        <v>0.193339996939664</v>
      </c>
      <c r="R4315">
        <v>0.993028329477324</v>
      </c>
      <c r="S4315" t="s">
        <v>11318</v>
      </c>
      <c r="T4315" t="s">
        <v>14004</v>
      </c>
      <c r="U4315" t="s">
        <v>14004</v>
      </c>
      <c r="V4315" t="s">
        <v>14004</v>
      </c>
      <c r="W4315" t="s">
        <v>18265</v>
      </c>
      <c r="X4315">
        <v>6</v>
      </c>
      <c r="Y4315" t="s">
        <v>25079</v>
      </c>
      <c r="Z4315" t="s">
        <v>32025</v>
      </c>
      <c r="AA4315">
        <v>0.47255008243299018</v>
      </c>
      <c r="AB4315" t="str">
        <f>HYPERLINK("Melting_Curves/meltCurve_Q6ULP2_5_AFTPH.pdf", "Melting_Curves/meltCurve_Q6ULP2_5_AFTPH.pdf")</f>
        <v>Melting_Curves/meltCurve_Q6ULP2_5_AFTPH.pdf</v>
      </c>
    </row>
    <row r="4316" spans="1:28" x14ac:dyDescent="0.25">
      <c r="A4316" t="s">
        <v>4320</v>
      </c>
      <c r="B4316">
        <v>0.99999676499088797</v>
      </c>
      <c r="C4316">
        <v>0.88342275502481904</v>
      </c>
      <c r="D4316">
        <v>0.83879693767587704</v>
      </c>
      <c r="E4316">
        <v>0.66145139178761503</v>
      </c>
      <c r="F4316">
        <v>0.77211657923792698</v>
      </c>
      <c r="G4316">
        <v>0.73441108486177997</v>
      </c>
      <c r="H4316">
        <v>0.62327383565266004</v>
      </c>
      <c r="I4316">
        <v>0.66325196158387001</v>
      </c>
      <c r="J4316">
        <v>0.63197950826974103</v>
      </c>
      <c r="K4316">
        <v>0.95230884511165304</v>
      </c>
      <c r="L4316">
        <v>1109.0417579613299</v>
      </c>
      <c r="M4316">
        <v>25.102247885645699</v>
      </c>
      <c r="O4316">
        <v>43.903469627132502</v>
      </c>
      <c r="P4316">
        <v>-3.9937905862435001E-2</v>
      </c>
      <c r="Q4316">
        <v>0.72060056091423497</v>
      </c>
      <c r="R4316">
        <v>0.49233184796803398</v>
      </c>
      <c r="S4316" t="s">
        <v>11319</v>
      </c>
      <c r="T4316" t="s">
        <v>14004</v>
      </c>
      <c r="U4316" t="s">
        <v>14004</v>
      </c>
      <c r="V4316" t="s">
        <v>14004</v>
      </c>
      <c r="W4316" t="s">
        <v>18266</v>
      </c>
      <c r="X4316">
        <v>14</v>
      </c>
      <c r="Y4316" t="s">
        <v>25080</v>
      </c>
      <c r="Z4316" t="s">
        <v>32026</v>
      </c>
      <c r="AA4316">
        <v>0.76261104153689585</v>
      </c>
      <c r="AB4316" t="str">
        <f>HYPERLINK("Melting_Curves/meltCurve_Q6UN15_FIP1L1.pdf", "Melting_Curves/meltCurve_Q6UN15_FIP1L1.pdf")</f>
        <v>Melting_Curves/meltCurve_Q6UN15_FIP1L1.pdf</v>
      </c>
    </row>
    <row r="4317" spans="1:28" x14ac:dyDescent="0.25">
      <c r="A4317" t="s">
        <v>4321</v>
      </c>
      <c r="B4317">
        <v>0.99999676499088797</v>
      </c>
      <c r="C4317">
        <v>0.93559765726282895</v>
      </c>
      <c r="D4317">
        <v>0.70571707003686901</v>
      </c>
      <c r="E4317">
        <v>0.45311029884693699</v>
      </c>
      <c r="F4317">
        <v>0.212428928719644</v>
      </c>
      <c r="G4317">
        <v>0.17047469097585699</v>
      </c>
      <c r="H4317">
        <v>0.13267410437323199</v>
      </c>
      <c r="I4317">
        <v>0.22995543378827199</v>
      </c>
      <c r="J4317">
        <v>0.202626524286488</v>
      </c>
      <c r="K4317">
        <v>0.239681442581125</v>
      </c>
      <c r="L4317">
        <v>1070.5123907781399</v>
      </c>
      <c r="M4317">
        <v>22.571034838527201</v>
      </c>
      <c r="N4317">
        <v>48.436045157789103</v>
      </c>
      <c r="O4317">
        <v>47.0609871042438</v>
      </c>
      <c r="P4317">
        <v>-9.7443258451631307E-2</v>
      </c>
      <c r="Q4317">
        <v>0.187332789350661</v>
      </c>
      <c r="R4317">
        <v>0.98599754898521397</v>
      </c>
      <c r="S4317" t="s">
        <v>11320</v>
      </c>
      <c r="T4317" t="s">
        <v>14004</v>
      </c>
      <c r="U4317" t="s">
        <v>14004</v>
      </c>
      <c r="V4317" t="s">
        <v>14004</v>
      </c>
      <c r="W4317" t="s">
        <v>18267</v>
      </c>
      <c r="X4317">
        <v>3</v>
      </c>
      <c r="Y4317" t="s">
        <v>25081</v>
      </c>
      <c r="Z4317" t="s">
        <v>32027</v>
      </c>
      <c r="AA4317">
        <v>0.39756924322716169</v>
      </c>
      <c r="AB4317" t="str">
        <f>HYPERLINK("Melting_Curves/meltCurve_Q6UUV7_3_CRTC3.pdf", "Melting_Curves/meltCurve_Q6UUV7_3_CRTC3.pdf")</f>
        <v>Melting_Curves/meltCurve_Q6UUV7_3_CRTC3.pdf</v>
      </c>
    </row>
    <row r="4318" spans="1:28" x14ac:dyDescent="0.25">
      <c r="A4318" t="s">
        <v>4322</v>
      </c>
      <c r="B4318">
        <v>0.99999676499088797</v>
      </c>
      <c r="C4318">
        <v>0.90911868482665803</v>
      </c>
      <c r="D4318">
        <v>0.77033399727528196</v>
      </c>
      <c r="E4318">
        <v>0.50722471045572004</v>
      </c>
      <c r="F4318">
        <v>0.29509170578222499</v>
      </c>
      <c r="G4318">
        <v>0.252792482592467</v>
      </c>
      <c r="H4318">
        <v>0.134631339492363</v>
      </c>
      <c r="I4318">
        <v>0.18687489802259299</v>
      </c>
      <c r="J4318">
        <v>0.24266568545317099</v>
      </c>
      <c r="K4318">
        <v>0.19139221968883</v>
      </c>
      <c r="L4318">
        <v>902.30702351773004</v>
      </c>
      <c r="M4318">
        <v>18.6810082823316</v>
      </c>
      <c r="N4318">
        <v>49.524290219391801</v>
      </c>
      <c r="O4318">
        <v>47.757493465326299</v>
      </c>
      <c r="P4318">
        <v>-7.9718802580545395E-2</v>
      </c>
      <c r="Q4318">
        <v>0.18483887518359199</v>
      </c>
      <c r="R4318">
        <v>0.99072310543238995</v>
      </c>
      <c r="S4318" t="s">
        <v>11321</v>
      </c>
      <c r="T4318" t="s">
        <v>14004</v>
      </c>
      <c r="U4318" t="s">
        <v>14004</v>
      </c>
      <c r="V4318" t="s">
        <v>14004</v>
      </c>
      <c r="W4318" t="s">
        <v>18268</v>
      </c>
      <c r="X4318">
        <v>2</v>
      </c>
      <c r="Y4318" t="s">
        <v>25082</v>
      </c>
      <c r="Z4318" t="s">
        <v>32028</v>
      </c>
      <c r="AA4318">
        <v>0.42366853306397823</v>
      </c>
      <c r="AB4318" t="str">
        <f>HYPERLINK("Melting_Curves/meltCurve_Q6UUV9_3_CRTC1.pdf", "Melting_Curves/meltCurve_Q6UUV9_3_CRTC1.pdf")</f>
        <v>Melting_Curves/meltCurve_Q6UUV9_3_CRTC1.pdf</v>
      </c>
    </row>
    <row r="4319" spans="1:28" x14ac:dyDescent="0.25">
      <c r="A4319" t="s">
        <v>4323</v>
      </c>
      <c r="B4319">
        <v>0.99999676499088797</v>
      </c>
      <c r="C4319">
        <v>0.81394185765966298</v>
      </c>
      <c r="D4319">
        <v>0.47501732440035399</v>
      </c>
      <c r="E4319">
        <v>0.30768451538956898</v>
      </c>
      <c r="F4319">
        <v>0.22494240481759101</v>
      </c>
      <c r="G4319">
        <v>0.17522610062135499</v>
      </c>
      <c r="H4319">
        <v>0.101803647637963</v>
      </c>
      <c r="I4319">
        <v>0.105832662779454</v>
      </c>
      <c r="J4319">
        <v>0.112944299152198</v>
      </c>
      <c r="K4319">
        <v>0.121185451892805</v>
      </c>
      <c r="L4319">
        <v>876.72903688929796</v>
      </c>
      <c r="M4319">
        <v>19.225066293268998</v>
      </c>
      <c r="N4319">
        <v>46.302372891668597</v>
      </c>
      <c r="O4319">
        <v>45.118615914317502</v>
      </c>
      <c r="P4319">
        <v>-9.3112404764062601E-2</v>
      </c>
      <c r="Q4319">
        <v>0.125944665630323</v>
      </c>
      <c r="R4319">
        <v>0.98753359295223198</v>
      </c>
      <c r="S4319" t="s">
        <v>11322</v>
      </c>
      <c r="T4319" t="s">
        <v>14004</v>
      </c>
      <c r="U4319" t="s">
        <v>14004</v>
      </c>
      <c r="V4319" t="s">
        <v>14004</v>
      </c>
      <c r="W4319" t="s">
        <v>18269</v>
      </c>
      <c r="X4319">
        <v>8</v>
      </c>
      <c r="Y4319" t="s">
        <v>25083</v>
      </c>
      <c r="Z4319" t="s">
        <v>32029</v>
      </c>
      <c r="AA4319">
        <v>0.30446767191766361</v>
      </c>
      <c r="AB4319" t="str">
        <f>HYPERLINK("Melting_Curves/meltCurve_Q6UVJ0_SASS6.pdf", "Melting_Curves/meltCurve_Q6UVJ0_SASS6.pdf")</f>
        <v>Melting_Curves/meltCurve_Q6UVJ0_SASS6.pdf</v>
      </c>
    </row>
    <row r="4320" spans="1:28" x14ac:dyDescent="0.25">
      <c r="A4320" t="s">
        <v>4324</v>
      </c>
      <c r="B4320">
        <v>0.99999676499088797</v>
      </c>
      <c r="C4320">
        <v>1.1261844638743701</v>
      </c>
      <c r="D4320">
        <v>1.0516058246178099</v>
      </c>
      <c r="E4320">
        <v>1.10656738399571</v>
      </c>
      <c r="F4320">
        <v>0.99968823471962698</v>
      </c>
      <c r="G4320">
        <v>0.80702891616369299</v>
      </c>
      <c r="H4320">
        <v>0.452575980241329</v>
      </c>
      <c r="I4320">
        <v>0.402171641614748</v>
      </c>
      <c r="J4320">
        <v>0.33507992929331198</v>
      </c>
      <c r="K4320">
        <v>0.32974626641236299</v>
      </c>
      <c r="L4320">
        <v>2142.0594706761999</v>
      </c>
      <c r="M4320">
        <v>36.796768495189902</v>
      </c>
      <c r="N4320">
        <v>60.116424450061899</v>
      </c>
      <c r="O4320">
        <v>58.042119837618898</v>
      </c>
      <c r="P4320">
        <v>-0.103966705304501</v>
      </c>
      <c r="Q4320">
        <v>0.34402605811335701</v>
      </c>
      <c r="R4320">
        <v>0.96907426611441805</v>
      </c>
      <c r="S4320" t="s">
        <v>11323</v>
      </c>
      <c r="T4320" t="s">
        <v>14004</v>
      </c>
      <c r="U4320" t="s">
        <v>14004</v>
      </c>
      <c r="V4320" t="s">
        <v>14004</v>
      </c>
      <c r="W4320" t="s">
        <v>18270</v>
      </c>
      <c r="X4320">
        <v>2</v>
      </c>
      <c r="Y4320" t="s">
        <v>25084</v>
      </c>
      <c r="Z4320" t="s">
        <v>32030</v>
      </c>
      <c r="AA4320">
        <v>0.74528914592071538</v>
      </c>
      <c r="AB4320" t="str">
        <f>HYPERLINK("Melting_Curves/meltCurve_Q6UW56_ATRAID.pdf", "Melting_Curves/meltCurve_Q6UW56_ATRAID.pdf")</f>
        <v>Melting_Curves/meltCurve_Q6UW56_ATRAID.pdf</v>
      </c>
    </row>
    <row r="4321" spans="1:28" x14ac:dyDescent="0.25">
      <c r="A4321" t="s">
        <v>4325</v>
      </c>
      <c r="B4321">
        <v>0.99999676499088797</v>
      </c>
      <c r="C4321">
        <v>0.98180061878607605</v>
      </c>
      <c r="D4321">
        <v>0.93531473170216095</v>
      </c>
      <c r="E4321">
        <v>0.65897720936655302</v>
      </c>
      <c r="F4321">
        <v>0.42515022575087602</v>
      </c>
      <c r="G4321">
        <v>0.221336995249961</v>
      </c>
      <c r="H4321">
        <v>0.108582197022972</v>
      </c>
      <c r="I4321">
        <v>0.11834565433748299</v>
      </c>
      <c r="J4321">
        <v>0.12461792467429</v>
      </c>
      <c r="K4321">
        <v>0.100462256882838</v>
      </c>
      <c r="L4321">
        <v>975.74344256542997</v>
      </c>
      <c r="M4321">
        <v>19.0200379535145</v>
      </c>
      <c r="N4321">
        <v>51.881236253764698</v>
      </c>
      <c r="O4321">
        <v>50.7438173483689</v>
      </c>
      <c r="P4321">
        <v>-8.4729476344671206E-2</v>
      </c>
      <c r="Q4321">
        <v>9.5832205407298393E-2</v>
      </c>
      <c r="R4321">
        <v>0.99732623354345795</v>
      </c>
      <c r="S4321" t="s">
        <v>11324</v>
      </c>
      <c r="T4321" t="s">
        <v>14004</v>
      </c>
      <c r="U4321" t="s">
        <v>14004</v>
      </c>
      <c r="V4321" t="s">
        <v>14004</v>
      </c>
      <c r="W4321" t="s">
        <v>18271</v>
      </c>
      <c r="X4321">
        <v>6</v>
      </c>
      <c r="Y4321" t="s">
        <v>25085</v>
      </c>
      <c r="Z4321" t="s">
        <v>32031</v>
      </c>
      <c r="AA4321">
        <v>0.45017721350235018</v>
      </c>
      <c r="AB4321" t="str">
        <f>HYPERLINK("Melting_Curves/meltCurve_Q6UW63_KDELC1.pdf", "Melting_Curves/meltCurve_Q6UW63_KDELC1.pdf")</f>
        <v>Melting_Curves/meltCurve_Q6UW63_KDELC1.pdf</v>
      </c>
    </row>
    <row r="4322" spans="1:28" x14ac:dyDescent="0.25">
      <c r="A4322" t="s">
        <v>4326</v>
      </c>
      <c r="B4322">
        <v>0.99999676499088797</v>
      </c>
      <c r="C4322">
        <v>0.89115667619149497</v>
      </c>
      <c r="D4322">
        <v>0.84607560533869597</v>
      </c>
      <c r="E4322">
        <v>0.50000754288405602</v>
      </c>
      <c r="F4322">
        <v>0.22540403261462399</v>
      </c>
      <c r="G4322">
        <v>0.13316329965429599</v>
      </c>
      <c r="H4322">
        <v>6.7471892052582097E-2</v>
      </c>
      <c r="I4322">
        <v>6.8859509716304196E-2</v>
      </c>
      <c r="J4322">
        <v>7.1592925026630796E-2</v>
      </c>
      <c r="K4322">
        <v>5.68435620432058E-2</v>
      </c>
      <c r="L4322">
        <v>971.72993083561801</v>
      </c>
      <c r="M4322">
        <v>19.7043323485249</v>
      </c>
      <c r="N4322">
        <v>49.618841887412799</v>
      </c>
      <c r="O4322">
        <v>48.816033762096403</v>
      </c>
      <c r="P4322">
        <v>-9.5189162579532902E-2</v>
      </c>
      <c r="Q4322">
        <v>5.6735940372757997E-2</v>
      </c>
      <c r="R4322">
        <v>0.99609124015999595</v>
      </c>
      <c r="S4322" t="s">
        <v>11325</v>
      </c>
      <c r="T4322" t="s">
        <v>14004</v>
      </c>
      <c r="U4322" t="s">
        <v>14004</v>
      </c>
      <c r="V4322" t="s">
        <v>14004</v>
      </c>
      <c r="W4322" t="s">
        <v>18272</v>
      </c>
      <c r="X4322">
        <v>24</v>
      </c>
      <c r="Y4322" t="s">
        <v>25086</v>
      </c>
      <c r="Z4322" t="s">
        <v>32032</v>
      </c>
      <c r="AA4322">
        <v>0.36321490506868293</v>
      </c>
      <c r="AB4322" t="str">
        <f>HYPERLINK("Melting_Curves/meltCurve_Q6UWE0_LRSAM1.pdf", "Melting_Curves/meltCurve_Q6UWE0_LRSAM1.pdf")</f>
        <v>Melting_Curves/meltCurve_Q6UWE0_LRSAM1.pdf</v>
      </c>
    </row>
    <row r="4323" spans="1:28" x14ac:dyDescent="0.25">
      <c r="A4323" t="s">
        <v>4327</v>
      </c>
      <c r="B4323">
        <v>0.99999676499088797</v>
      </c>
      <c r="C4323">
        <v>0.925151887743206</v>
      </c>
      <c r="D4323">
        <v>0.97298932430016105</v>
      </c>
      <c r="E4323">
        <v>0.80918599518132905</v>
      </c>
      <c r="F4323">
        <v>0.84743604152180196</v>
      </c>
      <c r="G4323">
        <v>0.65649195096356405</v>
      </c>
      <c r="H4323">
        <v>0.444191697509488</v>
      </c>
      <c r="I4323">
        <v>0.50322946642533795</v>
      </c>
      <c r="J4323">
        <v>0.50923282901801803</v>
      </c>
      <c r="K4323">
        <v>0.34719357634201498</v>
      </c>
      <c r="L4323">
        <v>580.37380750314605</v>
      </c>
      <c r="M4323">
        <v>10.233496953544799</v>
      </c>
      <c r="N4323">
        <v>62.6508100569242</v>
      </c>
      <c r="O4323">
        <v>54.675473250943398</v>
      </c>
      <c r="P4323">
        <v>-3.2280552463250498E-2</v>
      </c>
      <c r="Q4323">
        <v>0.310433513496716</v>
      </c>
      <c r="R4323">
        <v>0.93578732158209599</v>
      </c>
      <c r="S4323" t="s">
        <v>11326</v>
      </c>
      <c r="T4323" t="s">
        <v>14004</v>
      </c>
      <c r="U4323" t="s">
        <v>14004</v>
      </c>
      <c r="V4323" t="s">
        <v>14004</v>
      </c>
      <c r="W4323" t="s">
        <v>18273</v>
      </c>
      <c r="X4323">
        <v>4</v>
      </c>
      <c r="Y4323" t="s">
        <v>25087</v>
      </c>
      <c r="Z4323" t="s">
        <v>32033</v>
      </c>
      <c r="AA4323">
        <v>0.70669472271499711</v>
      </c>
      <c r="AB4323" t="str">
        <f>HYPERLINK("Melting_Curves/meltCurve_Q6UWI4_SHISA2.pdf", "Melting_Curves/meltCurve_Q6UWI4_SHISA2.pdf")</f>
        <v>Melting_Curves/meltCurve_Q6UWI4_SHISA2.pdf</v>
      </c>
    </row>
    <row r="4324" spans="1:28" x14ac:dyDescent="0.25">
      <c r="A4324" t="s">
        <v>4328</v>
      </c>
      <c r="B4324">
        <v>0.99999676499088797</v>
      </c>
      <c r="C4324">
        <v>1.0136383326674601</v>
      </c>
      <c r="D4324">
        <v>1.0229549672876801</v>
      </c>
      <c r="E4324">
        <v>1.0535698553944099</v>
      </c>
      <c r="F4324">
        <v>0.96393989136212899</v>
      </c>
      <c r="G4324">
        <v>0.279015483953028</v>
      </c>
      <c r="H4324">
        <v>0.12296836029839101</v>
      </c>
      <c r="I4324">
        <v>0.103449748810268</v>
      </c>
      <c r="J4324">
        <v>0.106854833087924</v>
      </c>
      <c r="K4324">
        <v>7.0847309946322504E-2</v>
      </c>
      <c r="L4324">
        <v>3812.83322685025</v>
      </c>
      <c r="M4324">
        <v>68.516952610778304</v>
      </c>
      <c r="N4324">
        <v>55.830236350199897</v>
      </c>
      <c r="O4324">
        <v>55.6006799411321</v>
      </c>
      <c r="P4324">
        <v>-0.27721057736657601</v>
      </c>
      <c r="Q4324">
        <v>0.10018807700311801</v>
      </c>
      <c r="R4324">
        <v>0.997463505705806</v>
      </c>
      <c r="S4324" t="s">
        <v>11327</v>
      </c>
      <c r="T4324" t="s">
        <v>14004</v>
      </c>
      <c r="U4324" t="s">
        <v>14004</v>
      </c>
      <c r="V4324" t="s">
        <v>14004</v>
      </c>
      <c r="W4324" t="s">
        <v>18274</v>
      </c>
      <c r="X4324">
        <v>5</v>
      </c>
      <c r="Y4324" t="s">
        <v>25088</v>
      </c>
      <c r="Z4324" t="s">
        <v>32034</v>
      </c>
      <c r="AA4324">
        <v>0.57070388726606269</v>
      </c>
      <c r="AB4324" t="str">
        <f>HYPERLINK("Melting_Curves/meltCurve_Q6UWP2_DHRS11.pdf", "Melting_Curves/meltCurve_Q6UWP2_DHRS11.pdf")</f>
        <v>Melting_Curves/meltCurve_Q6UWP2_DHRS11.pdf</v>
      </c>
    </row>
    <row r="4325" spans="1:28" x14ac:dyDescent="0.25">
      <c r="A4325" t="s">
        <v>4329</v>
      </c>
      <c r="B4325">
        <v>0.99999676499088797</v>
      </c>
      <c r="C4325">
        <v>1.0271940964887201</v>
      </c>
      <c r="D4325">
        <v>0.98693529619254305</v>
      </c>
      <c r="E4325">
        <v>0.93727956771357801</v>
      </c>
      <c r="F4325">
        <v>0.796414547120736</v>
      </c>
      <c r="G4325">
        <v>0.615347732007822</v>
      </c>
      <c r="H4325">
        <v>0.23822920739841499</v>
      </c>
      <c r="I4325">
        <v>0.15277553155441601</v>
      </c>
      <c r="J4325">
        <v>0.120263021784993</v>
      </c>
      <c r="K4325">
        <v>9.6718646541321895E-2</v>
      </c>
      <c r="L4325">
        <v>1144.9196106688701</v>
      </c>
      <c r="M4325">
        <v>20.0241248412127</v>
      </c>
      <c r="N4325">
        <v>57.559181668912402</v>
      </c>
      <c r="O4325">
        <v>56.6159239891415</v>
      </c>
      <c r="P4325">
        <v>-8.2919682936922895E-2</v>
      </c>
      <c r="Q4325">
        <v>6.2246686123737897E-2</v>
      </c>
      <c r="R4325">
        <v>0.99503740649642003</v>
      </c>
      <c r="S4325" t="s">
        <v>11328</v>
      </c>
      <c r="T4325" t="s">
        <v>14004</v>
      </c>
      <c r="U4325" t="s">
        <v>14004</v>
      </c>
      <c r="V4325" t="s">
        <v>14004</v>
      </c>
      <c r="W4325" t="s">
        <v>18275</v>
      </c>
      <c r="X4325">
        <v>9</v>
      </c>
      <c r="Y4325" t="s">
        <v>25089</v>
      </c>
      <c r="Z4325" t="s">
        <v>32035</v>
      </c>
      <c r="AA4325">
        <v>0.61050585514461442</v>
      </c>
      <c r="AB4325" t="str">
        <f>HYPERLINK("Melting_Curves/meltCurve_Q6UWP7_3_LCLAT1.pdf", "Melting_Curves/meltCurve_Q6UWP7_3_LCLAT1.pdf")</f>
        <v>Melting_Curves/meltCurve_Q6UWP7_3_LCLAT1.pdf</v>
      </c>
    </row>
    <row r="4326" spans="1:28" x14ac:dyDescent="0.25">
      <c r="A4326" t="s">
        <v>4330</v>
      </c>
      <c r="B4326">
        <v>0.99999676499088797</v>
      </c>
      <c r="C4326">
        <v>1.09856158833996</v>
      </c>
      <c r="D4326">
        <v>0.988968035856019</v>
      </c>
      <c r="E4326">
        <v>0.91840691185938905</v>
      </c>
      <c r="F4326">
        <v>0.89563651952647405</v>
      </c>
      <c r="G4326">
        <v>0.59677649097304897</v>
      </c>
      <c r="H4326">
        <v>0.45005890295853701</v>
      </c>
      <c r="I4326">
        <v>0.34827838842956499</v>
      </c>
      <c r="J4326">
        <v>0.26394168663509499</v>
      </c>
      <c r="K4326">
        <v>0.19531158102452201</v>
      </c>
      <c r="L4326">
        <v>925.34648522920099</v>
      </c>
      <c r="M4326">
        <v>15.967415239943801</v>
      </c>
      <c r="N4326">
        <v>59.5148677631326</v>
      </c>
      <c r="O4326">
        <v>57.0660554276255</v>
      </c>
      <c r="P4326">
        <v>-5.7978039777839697E-2</v>
      </c>
      <c r="Q4326">
        <v>0.17123305956627799</v>
      </c>
      <c r="R4326">
        <v>0.98197710776806502</v>
      </c>
      <c r="S4326" t="s">
        <v>11329</v>
      </c>
      <c r="T4326" t="s">
        <v>14004</v>
      </c>
      <c r="U4326" t="s">
        <v>14004</v>
      </c>
      <c r="V4326" t="s">
        <v>14004</v>
      </c>
      <c r="W4326" t="s">
        <v>18276</v>
      </c>
      <c r="X4326">
        <v>3</v>
      </c>
      <c r="Y4326" t="s">
        <v>25090</v>
      </c>
      <c r="Z4326" t="s">
        <v>32036</v>
      </c>
      <c r="AA4326">
        <v>0.67820124631486034</v>
      </c>
      <c r="AB4326" t="str">
        <f>HYPERLINK("Melting_Curves/meltCurve_Q6UWS5_PET117.pdf", "Melting_Curves/meltCurve_Q6UWS5_PET117.pdf")</f>
        <v>Melting_Curves/meltCurve_Q6UWS5_PET117.pdf</v>
      </c>
    </row>
    <row r="4327" spans="1:28" x14ac:dyDescent="0.25">
      <c r="A4327" t="s">
        <v>4331</v>
      </c>
      <c r="B4327">
        <v>0.99999676499088797</v>
      </c>
      <c r="C4327">
        <v>0.92038214010729602</v>
      </c>
      <c r="D4327">
        <v>0.91500672456616905</v>
      </c>
      <c r="E4327">
        <v>0.91889096328080899</v>
      </c>
      <c r="F4327">
        <v>0.63996366667893601</v>
      </c>
      <c r="G4327">
        <v>0.467058584627563</v>
      </c>
      <c r="H4327">
        <v>0.224452352017734</v>
      </c>
      <c r="I4327">
        <v>0.150658211321091</v>
      </c>
      <c r="J4327">
        <v>0.133423534040922</v>
      </c>
      <c r="K4327">
        <v>9.8496807658257995E-2</v>
      </c>
      <c r="L4327">
        <v>856.360770503455</v>
      </c>
      <c r="M4327">
        <v>15.4741149801735</v>
      </c>
      <c r="N4327">
        <v>55.799381503437701</v>
      </c>
      <c r="O4327">
        <v>54.441959610556502</v>
      </c>
      <c r="P4327">
        <v>-6.6827123094153604E-2</v>
      </c>
      <c r="Q4327">
        <v>5.9623320474792997E-2</v>
      </c>
      <c r="R4327">
        <v>0.99010261716523795</v>
      </c>
      <c r="S4327" t="s">
        <v>11330</v>
      </c>
      <c r="T4327" t="s">
        <v>14004</v>
      </c>
      <c r="U4327" t="s">
        <v>14004</v>
      </c>
      <c r="V4327" t="s">
        <v>14004</v>
      </c>
      <c r="W4327" t="s">
        <v>18277</v>
      </c>
      <c r="X4327">
        <v>4</v>
      </c>
      <c r="Y4327" t="s">
        <v>25091</v>
      </c>
      <c r="Z4327" t="s">
        <v>32037</v>
      </c>
      <c r="AA4327">
        <v>0.55763729671394213</v>
      </c>
      <c r="AB4327" t="str">
        <f>HYPERLINK("Melting_Curves/meltCurve_Q6UWU4_C6orf89.pdf", "Melting_Curves/meltCurve_Q6UWU4_C6orf89.pdf")</f>
        <v>Melting_Curves/meltCurve_Q6UWU4_C6orf89.pdf</v>
      </c>
    </row>
    <row r="4328" spans="1:28" x14ac:dyDescent="0.25">
      <c r="A4328" t="s">
        <v>4332</v>
      </c>
      <c r="B4328">
        <v>0.99999676499088797</v>
      </c>
      <c r="C4328">
        <v>1.01332275998896</v>
      </c>
      <c r="D4328">
        <v>0.91587649098111801</v>
      </c>
      <c r="E4328">
        <v>0.44143303339428203</v>
      </c>
      <c r="F4328">
        <v>0.28773854811335398</v>
      </c>
      <c r="G4328">
        <v>0.214572382578188</v>
      </c>
      <c r="H4328">
        <v>0.13131452341560801</v>
      </c>
      <c r="I4328">
        <v>0.155820137349796</v>
      </c>
      <c r="J4328">
        <v>0.16679903233746601</v>
      </c>
      <c r="K4328">
        <v>0.21051310233583501</v>
      </c>
      <c r="L4328">
        <v>1609.52416342728</v>
      </c>
      <c r="M4328">
        <v>33.075703564471297</v>
      </c>
      <c r="N4328">
        <v>49.339098876299801</v>
      </c>
      <c r="O4328">
        <v>48.4849754830664</v>
      </c>
      <c r="P4328">
        <v>-0.13942771044881999</v>
      </c>
      <c r="Q4328">
        <v>0.18246696429308501</v>
      </c>
      <c r="R4328">
        <v>0.99174403156167301</v>
      </c>
      <c r="S4328" t="s">
        <v>11331</v>
      </c>
      <c r="T4328" t="s">
        <v>14004</v>
      </c>
      <c r="U4328" t="s">
        <v>14004</v>
      </c>
      <c r="V4328" t="s">
        <v>14004</v>
      </c>
      <c r="W4328" t="s">
        <v>18278</v>
      </c>
      <c r="X4328">
        <v>14</v>
      </c>
      <c r="Y4328" t="s">
        <v>25092</v>
      </c>
      <c r="Z4328" t="s">
        <v>32038</v>
      </c>
      <c r="AA4328">
        <v>0.42256716805165712</v>
      </c>
      <c r="AB4328" t="str">
        <f>HYPERLINK("Melting_Curves/meltCurve_Q6UX04_CWC27.pdf", "Melting_Curves/meltCurve_Q6UX04_CWC27.pdf")</f>
        <v>Melting_Curves/meltCurve_Q6UX04_CWC27.pdf</v>
      </c>
    </row>
    <row r="4329" spans="1:28" x14ac:dyDescent="0.25">
      <c r="A4329" t="s">
        <v>4333</v>
      </c>
      <c r="B4329">
        <v>0.99999676499088797</v>
      </c>
      <c r="C4329">
        <v>0.81693294628472501</v>
      </c>
      <c r="D4329">
        <v>0.42772954289591902</v>
      </c>
      <c r="E4329">
        <v>0.19717365335525899</v>
      </c>
      <c r="F4329">
        <v>5.7300163756177497E-2</v>
      </c>
      <c r="G4329">
        <v>5.7792836122678097E-2</v>
      </c>
      <c r="H4329">
        <v>0</v>
      </c>
      <c r="I4329">
        <v>0</v>
      </c>
      <c r="J4329">
        <v>0</v>
      </c>
      <c r="K4329">
        <v>1.6938614743805699E-2</v>
      </c>
      <c r="L4329">
        <v>1005.50762421766</v>
      </c>
      <c r="M4329">
        <v>22.038981220393701</v>
      </c>
      <c r="N4329">
        <v>45.686338299057702</v>
      </c>
      <c r="O4329">
        <v>45.253424042170302</v>
      </c>
      <c r="P4329">
        <v>-0.119953889064965</v>
      </c>
      <c r="Q4329">
        <v>1.47999466818857E-2</v>
      </c>
      <c r="R4329">
        <v>0.99474160865337302</v>
      </c>
      <c r="S4329" t="s">
        <v>11332</v>
      </c>
      <c r="T4329" t="s">
        <v>14004</v>
      </c>
      <c r="U4329" t="s">
        <v>14004</v>
      </c>
      <c r="V4329" t="s">
        <v>14004</v>
      </c>
      <c r="W4329" t="s">
        <v>18279</v>
      </c>
      <c r="X4329">
        <v>1</v>
      </c>
      <c r="Y4329" t="s">
        <v>25093</v>
      </c>
      <c r="Z4329" t="s">
        <v>32039</v>
      </c>
      <c r="AA4329">
        <v>0.21200361448942731</v>
      </c>
      <c r="AB4329" t="str">
        <f>HYPERLINK("Melting_Curves/meltCurve_Q6UX07_DHRS13.pdf", "Melting_Curves/meltCurve_Q6UX07_DHRS13.pdf")</f>
        <v>Melting_Curves/meltCurve_Q6UX07_DHRS13.pdf</v>
      </c>
    </row>
    <row r="4330" spans="1:28" x14ac:dyDescent="0.25">
      <c r="A4330" t="s">
        <v>4334</v>
      </c>
      <c r="B4330">
        <v>0.99999676499088797</v>
      </c>
      <c r="C4330">
        <v>0.97983978037799202</v>
      </c>
      <c r="D4330">
        <v>0.98541694191671902</v>
      </c>
      <c r="E4330">
        <v>0.86374199662023499</v>
      </c>
      <c r="F4330">
        <v>0.70735212112791601</v>
      </c>
      <c r="G4330">
        <v>0.730727536730292</v>
      </c>
      <c r="H4330">
        <v>0.42190926638896598</v>
      </c>
      <c r="I4330">
        <v>0.52605489499401503</v>
      </c>
      <c r="J4330">
        <v>0.433222497134926</v>
      </c>
      <c r="K4330">
        <v>0.32526039983277899</v>
      </c>
      <c r="L4330">
        <v>582.00891442053501</v>
      </c>
      <c r="M4330">
        <v>10.1858786082426</v>
      </c>
      <c r="N4330">
        <v>61.854806484607003</v>
      </c>
      <c r="O4330">
        <v>55.067744359905397</v>
      </c>
      <c r="P4330">
        <v>-3.3771528928989603E-2</v>
      </c>
      <c r="Q4330">
        <v>0.27001710462932199</v>
      </c>
      <c r="R4330">
        <v>0.94705001884807305</v>
      </c>
      <c r="S4330" t="s">
        <v>11333</v>
      </c>
      <c r="T4330" t="s">
        <v>14004</v>
      </c>
      <c r="U4330" t="s">
        <v>14004</v>
      </c>
      <c r="V4330" t="s">
        <v>14004</v>
      </c>
      <c r="W4330" t="s">
        <v>18280</v>
      </c>
      <c r="X4330">
        <v>12</v>
      </c>
      <c r="Y4330" t="s">
        <v>25094</v>
      </c>
      <c r="Z4330" t="s">
        <v>32040</v>
      </c>
      <c r="AA4330">
        <v>0.6981777903912324</v>
      </c>
      <c r="AB4330" t="str">
        <f>HYPERLINK("Melting_Curves/meltCurve_Q6UXB8_2_PI16.pdf", "Melting_Curves/meltCurve_Q6UXB8_2_PI16.pdf")</f>
        <v>Melting_Curves/meltCurve_Q6UXB8_2_PI16.pdf</v>
      </c>
    </row>
    <row r="4331" spans="1:28" x14ac:dyDescent="0.25">
      <c r="A4331" t="s">
        <v>4335</v>
      </c>
      <c r="B4331">
        <v>0.99999676499088797</v>
      </c>
      <c r="C4331">
        <v>0.91360813649111305</v>
      </c>
      <c r="D4331">
        <v>0.90783515298999495</v>
      </c>
      <c r="E4331">
        <v>0.80743388180586095</v>
      </c>
      <c r="F4331">
        <v>0.72240243995911002</v>
      </c>
      <c r="G4331">
        <v>0.56548158876884003</v>
      </c>
      <c r="H4331">
        <v>0.25267829680391901</v>
      </c>
      <c r="I4331">
        <v>0.21830044130093901</v>
      </c>
      <c r="J4331">
        <v>0.17326414701154599</v>
      </c>
      <c r="K4331">
        <v>0.14298672181347999</v>
      </c>
      <c r="L4331">
        <v>621.329202964704</v>
      </c>
      <c r="M4331">
        <v>10.9170717157937</v>
      </c>
      <c r="N4331">
        <v>56.945689040330002</v>
      </c>
      <c r="O4331">
        <v>55.103819030288101</v>
      </c>
      <c r="P4331">
        <v>-4.9394556388103299E-2</v>
      </c>
      <c r="Q4331">
        <v>3.0721279347859301E-3</v>
      </c>
      <c r="R4331">
        <v>0.98360311655647203</v>
      </c>
      <c r="S4331" t="s">
        <v>11334</v>
      </c>
      <c r="T4331" t="s">
        <v>14004</v>
      </c>
      <c r="U4331" t="s">
        <v>14004</v>
      </c>
      <c r="V4331" t="s">
        <v>14004</v>
      </c>
      <c r="W4331" t="s">
        <v>18281</v>
      </c>
      <c r="X4331">
        <v>7</v>
      </c>
      <c r="Y4331" t="s">
        <v>25095</v>
      </c>
      <c r="Z4331" t="s">
        <v>32041</v>
      </c>
      <c r="AA4331">
        <v>0.58200793570221709</v>
      </c>
      <c r="AB4331" t="str">
        <f>HYPERLINK("Melting_Curves/meltCurve_Q6UXD5_3_SEZ6L2.pdf", "Melting_Curves/meltCurve_Q6UXD5_3_SEZ6L2.pdf")</f>
        <v>Melting_Curves/meltCurve_Q6UXD5_3_SEZ6L2.pdf</v>
      </c>
    </row>
    <row r="4332" spans="1:28" x14ac:dyDescent="0.25">
      <c r="A4332" t="s">
        <v>4336</v>
      </c>
      <c r="B4332">
        <v>0.99999676499088797</v>
      </c>
      <c r="C4332">
        <v>0.99169239584390401</v>
      </c>
      <c r="D4332">
        <v>1.02214383676861</v>
      </c>
      <c r="E4332">
        <v>0.93553727785307395</v>
      </c>
      <c r="F4332">
        <v>0.74790394040183905</v>
      </c>
      <c r="G4332">
        <v>0.61787929034595901</v>
      </c>
      <c r="H4332">
        <v>0.37451743554535499</v>
      </c>
      <c r="I4332">
        <v>0.37654624236142997</v>
      </c>
      <c r="J4332">
        <v>0.37394702008104302</v>
      </c>
      <c r="K4332">
        <v>0.36749310975886601</v>
      </c>
      <c r="L4332">
        <v>1124.7165824132001</v>
      </c>
      <c r="M4332">
        <v>20.475475697769099</v>
      </c>
      <c r="N4332">
        <v>58.290119679432202</v>
      </c>
      <c r="O4332">
        <v>54.4140363899172</v>
      </c>
      <c r="P4332">
        <v>-6.1486717867896799E-2</v>
      </c>
      <c r="Q4332">
        <v>0.34641005391649599</v>
      </c>
      <c r="R4332">
        <v>0.98998422125767704</v>
      </c>
      <c r="S4332" t="s">
        <v>11335</v>
      </c>
      <c r="T4332" t="s">
        <v>14004</v>
      </c>
      <c r="U4332" t="s">
        <v>14004</v>
      </c>
      <c r="V4332" t="s">
        <v>14004</v>
      </c>
      <c r="W4332" t="s">
        <v>18282</v>
      </c>
      <c r="X4332">
        <v>7</v>
      </c>
      <c r="Y4332" t="s">
        <v>25096</v>
      </c>
      <c r="Z4332" t="s">
        <v>32042</v>
      </c>
      <c r="AA4332">
        <v>0.68009053290771149</v>
      </c>
      <c r="AB4332" t="str">
        <f>HYPERLINK("Melting_Curves/meltCurve_Q6UXH1_4_CRELD2.pdf", "Melting_Curves/meltCurve_Q6UXH1_4_CRELD2.pdf")</f>
        <v>Melting_Curves/meltCurve_Q6UXH1_4_CRELD2.pdf</v>
      </c>
    </row>
    <row r="4333" spans="1:28" x14ac:dyDescent="0.25">
      <c r="A4333" t="s">
        <v>4337</v>
      </c>
      <c r="B4333">
        <v>0.99999676499088797</v>
      </c>
      <c r="C4333">
        <v>0.99172499062300801</v>
      </c>
      <c r="D4333">
        <v>0.929678332807923</v>
      </c>
      <c r="E4333">
        <v>0.92878157527844896</v>
      </c>
      <c r="F4333">
        <v>0.76775522378169903</v>
      </c>
      <c r="G4333">
        <v>0.550137799882218</v>
      </c>
      <c r="H4333">
        <v>0.18882167029848501</v>
      </c>
      <c r="I4333">
        <v>0.102373750562344</v>
      </c>
      <c r="J4333">
        <v>7.5764082224804102E-2</v>
      </c>
      <c r="K4333">
        <v>7.2171598067464995E-2</v>
      </c>
      <c r="L4333">
        <v>1102.3736085083499</v>
      </c>
      <c r="M4333">
        <v>19.452157453260501</v>
      </c>
      <c r="N4333">
        <v>56.8192968375823</v>
      </c>
      <c r="O4333">
        <v>56.082308233012498</v>
      </c>
      <c r="P4333">
        <v>-8.4569692424280599E-2</v>
      </c>
      <c r="Q4333">
        <v>2.47479155693099E-2</v>
      </c>
      <c r="R4333">
        <v>0.99398961065124403</v>
      </c>
      <c r="S4333" t="s">
        <v>11336</v>
      </c>
      <c r="T4333" t="s">
        <v>14004</v>
      </c>
      <c r="U4333" t="s">
        <v>14004</v>
      </c>
      <c r="V4333" t="s">
        <v>14004</v>
      </c>
      <c r="W4333" t="s">
        <v>18283</v>
      </c>
      <c r="X4333">
        <v>22</v>
      </c>
      <c r="Y4333" t="s">
        <v>25097</v>
      </c>
      <c r="Z4333" t="s">
        <v>32043</v>
      </c>
      <c r="AA4333">
        <v>0.57928595264359983</v>
      </c>
      <c r="AB4333" t="str">
        <f>HYPERLINK("Melting_Curves/meltCurve_Q6UXN9_WDR82.pdf", "Melting_Curves/meltCurve_Q6UXN9_WDR82.pdf")</f>
        <v>Melting_Curves/meltCurve_Q6UXN9_WDR82.pdf</v>
      </c>
    </row>
    <row r="4334" spans="1:28" x14ac:dyDescent="0.25">
      <c r="A4334" t="s">
        <v>4338</v>
      </c>
      <c r="B4334">
        <v>0.99999676499088797</v>
      </c>
      <c r="C4334">
        <v>1.02047807979378</v>
      </c>
      <c r="D4334">
        <v>1.0684806999990899</v>
      </c>
      <c r="E4334">
        <v>1.1647150270183</v>
      </c>
      <c r="F4334">
        <v>1.0193891152221899</v>
      </c>
      <c r="G4334">
        <v>1.03055796701562</v>
      </c>
      <c r="H4334">
        <v>0.67454154324334903</v>
      </c>
      <c r="I4334">
        <v>0.62937914776601001</v>
      </c>
      <c r="J4334">
        <v>0.53044019939208298</v>
      </c>
      <c r="K4334">
        <v>0.63828096775244703</v>
      </c>
      <c r="L4334">
        <v>9809.1754209409391</v>
      </c>
      <c r="M4334">
        <v>162.79992338623001</v>
      </c>
      <c r="O4334">
        <v>60.243852750727399</v>
      </c>
      <c r="P4334">
        <v>-0.270673838830778</v>
      </c>
      <c r="Q4334">
        <v>0.59935027738134605</v>
      </c>
      <c r="R4334">
        <v>0.91489410452271502</v>
      </c>
      <c r="S4334" t="s">
        <v>11337</v>
      </c>
      <c r="T4334" t="s">
        <v>14004</v>
      </c>
      <c r="U4334" t="s">
        <v>14004</v>
      </c>
      <c r="V4334" t="s">
        <v>14004</v>
      </c>
      <c r="W4334" t="s">
        <v>18284</v>
      </c>
      <c r="X4334">
        <v>12</v>
      </c>
      <c r="Y4334" t="s">
        <v>25098</v>
      </c>
      <c r="Z4334" t="s">
        <v>32044</v>
      </c>
      <c r="AA4334">
        <v>0.86992815431958126</v>
      </c>
      <c r="AB4334" t="str">
        <f>HYPERLINK("Melting_Curves/meltCurve_Q6UXV4_APOOL.pdf", "Melting_Curves/meltCurve_Q6UXV4_APOOL.pdf")</f>
        <v>Melting_Curves/meltCurve_Q6UXV4_APOOL.pdf</v>
      </c>
    </row>
    <row r="4335" spans="1:28" x14ac:dyDescent="0.25">
      <c r="A4335" t="s">
        <v>4339</v>
      </c>
      <c r="B4335">
        <v>0.99999676499088797</v>
      </c>
      <c r="C4335">
        <v>0.974974344977105</v>
      </c>
      <c r="D4335">
        <v>1.0132909288701499</v>
      </c>
      <c r="E4335">
        <v>1.05737568903843</v>
      </c>
      <c r="F4335">
        <v>0.92800940770754103</v>
      </c>
      <c r="G4335">
        <v>0.73475321200117605</v>
      </c>
      <c r="H4335">
        <v>0.130404153773064</v>
      </c>
      <c r="I4335">
        <v>0.104360137740764</v>
      </c>
      <c r="J4335">
        <v>8.7149426956117396E-2</v>
      </c>
      <c r="K4335">
        <v>8.8695990208375097E-2</v>
      </c>
      <c r="L4335">
        <v>3105.8357267571</v>
      </c>
      <c r="M4335">
        <v>53.822141754150401</v>
      </c>
      <c r="N4335">
        <v>57.913913107806898</v>
      </c>
      <c r="O4335">
        <v>57.626044292985299</v>
      </c>
      <c r="P4335">
        <v>-0.21294378900066199</v>
      </c>
      <c r="Q4335">
        <v>8.8025901987700203E-2</v>
      </c>
      <c r="R4335">
        <v>0.99533868917230595</v>
      </c>
      <c r="S4335" t="s">
        <v>11338</v>
      </c>
      <c r="T4335" t="s">
        <v>14004</v>
      </c>
      <c r="U4335" t="s">
        <v>14004</v>
      </c>
      <c r="V4335" t="s">
        <v>14004</v>
      </c>
      <c r="W4335" t="s">
        <v>18285</v>
      </c>
      <c r="X4335">
        <v>6</v>
      </c>
      <c r="Y4335" t="s">
        <v>25099</v>
      </c>
      <c r="Z4335" t="s">
        <v>32045</v>
      </c>
      <c r="AA4335">
        <v>0.62825688908053756</v>
      </c>
      <c r="AB4335" t="str">
        <f>HYPERLINK("Melting_Curves/meltCurve_Q6V1X1_3_DPP8.pdf", "Melting_Curves/meltCurve_Q6V1X1_3_DPP8.pdf")</f>
        <v>Melting_Curves/meltCurve_Q6V1X1_3_DPP8.pdf</v>
      </c>
    </row>
    <row r="4336" spans="1:28" x14ac:dyDescent="0.25">
      <c r="A4336" t="s">
        <v>4340</v>
      </c>
      <c r="B4336">
        <v>0.99999676499088797</v>
      </c>
      <c r="C4336">
        <v>0.989422465625999</v>
      </c>
      <c r="D4336">
        <v>0.93112219374928296</v>
      </c>
      <c r="E4336">
        <v>0.76053498427210298</v>
      </c>
      <c r="F4336">
        <v>0.48932850381651</v>
      </c>
      <c r="G4336">
        <v>0.294437509063182</v>
      </c>
      <c r="H4336">
        <v>0.120764452444123</v>
      </c>
      <c r="I4336">
        <v>0.102782550667019</v>
      </c>
      <c r="J4336">
        <v>0.10094270238150201</v>
      </c>
      <c r="K4336">
        <v>9.3134808938694802E-2</v>
      </c>
      <c r="L4336">
        <v>926.14262844997404</v>
      </c>
      <c r="M4336">
        <v>17.593268116943399</v>
      </c>
      <c r="N4336">
        <v>53.103604033327599</v>
      </c>
      <c r="O4336">
        <v>51.975867020101198</v>
      </c>
      <c r="P4336">
        <v>-7.8624879921149096E-2</v>
      </c>
      <c r="Q4336">
        <v>7.0922707772109003E-2</v>
      </c>
      <c r="R4336">
        <v>0.99875117153530601</v>
      </c>
      <c r="S4336" t="s">
        <v>11339</v>
      </c>
      <c r="T4336" t="s">
        <v>14004</v>
      </c>
      <c r="U4336" t="s">
        <v>14004</v>
      </c>
      <c r="V4336" t="s">
        <v>14004</v>
      </c>
      <c r="W4336" t="s">
        <v>18286</v>
      </c>
      <c r="X4336">
        <v>9</v>
      </c>
      <c r="Y4336" t="s">
        <v>25100</v>
      </c>
      <c r="Z4336" t="s">
        <v>32046</v>
      </c>
      <c r="AA4336">
        <v>0.47832307026025828</v>
      </c>
      <c r="AB4336" t="str">
        <f>HYPERLINK("Melting_Curves/meltCurve_Q6VY07_PACS1.pdf", "Melting_Curves/meltCurve_Q6VY07_PACS1.pdf")</f>
        <v>Melting_Curves/meltCurve_Q6VY07_PACS1.pdf</v>
      </c>
    </row>
    <row r="4337" spans="1:28" x14ac:dyDescent="0.25">
      <c r="A4337" t="s">
        <v>4341</v>
      </c>
      <c r="B4337">
        <v>0.99999676499088797</v>
      </c>
      <c r="C4337">
        <v>1.0640232874057101</v>
      </c>
      <c r="D4337">
        <v>1.0939182693996301</v>
      </c>
      <c r="E4337">
        <v>0.95497275485093902</v>
      </c>
      <c r="F4337">
        <v>0.77795654470462094</v>
      </c>
      <c r="G4337">
        <v>0.73123532145623904</v>
      </c>
      <c r="H4337">
        <v>0.72113488416881599</v>
      </c>
      <c r="I4337">
        <v>0.87861339496791602</v>
      </c>
      <c r="J4337">
        <v>0.33624254668164799</v>
      </c>
      <c r="K4337">
        <v>0.34323574338419199</v>
      </c>
      <c r="L4337">
        <v>598.68320970529601</v>
      </c>
      <c r="M4337">
        <v>8.9768304210046299</v>
      </c>
      <c r="N4337">
        <v>66.692047656792496</v>
      </c>
      <c r="O4337">
        <v>63.631768718074397</v>
      </c>
      <c r="P4337">
        <v>-3.5294530171138198E-2</v>
      </c>
      <c r="Q4337">
        <v>0</v>
      </c>
      <c r="R4337">
        <v>0.77270055103478397</v>
      </c>
      <c r="S4337" t="s">
        <v>11340</v>
      </c>
      <c r="T4337" t="s">
        <v>14004</v>
      </c>
      <c r="U4337" t="s">
        <v>14004</v>
      </c>
      <c r="V4337" t="s">
        <v>14004</v>
      </c>
      <c r="W4337" t="s">
        <v>18287</v>
      </c>
      <c r="X4337">
        <v>1</v>
      </c>
      <c r="Y4337" t="s">
        <v>25101</v>
      </c>
      <c r="Z4337" t="s">
        <v>32047</v>
      </c>
      <c r="AA4337">
        <v>0.801333608794221</v>
      </c>
      <c r="AB4337" t="str">
        <f>HYPERLINK("Melting_Curves/meltCurve_Q6W2J9_4_BCOR.pdf", "Melting_Curves/meltCurve_Q6W2J9_4_BCOR.pdf")</f>
        <v>Melting_Curves/meltCurve_Q6W2J9_4_BCOR.pdf</v>
      </c>
    </row>
    <row r="4338" spans="1:28" x14ac:dyDescent="0.25">
      <c r="A4338" t="s">
        <v>4342</v>
      </c>
      <c r="B4338">
        <v>0.99999676499088797</v>
      </c>
      <c r="C4338">
        <v>0.904799930304099</v>
      </c>
      <c r="D4338">
        <v>0.76002926600960496</v>
      </c>
      <c r="E4338">
        <v>0.621564934253926</v>
      </c>
      <c r="F4338">
        <v>0.49166115483725498</v>
      </c>
      <c r="G4338">
        <v>0.39512539479440201</v>
      </c>
      <c r="H4338">
        <v>0.15166257240780701</v>
      </c>
      <c r="I4338">
        <v>0.194800693483443</v>
      </c>
      <c r="J4338">
        <v>0.181831665240274</v>
      </c>
      <c r="K4338">
        <v>0.182158563837714</v>
      </c>
      <c r="L4338">
        <v>549.07764342845098</v>
      </c>
      <c r="M4338">
        <v>10.7165606932094</v>
      </c>
      <c r="N4338">
        <v>52.4011575470875</v>
      </c>
      <c r="O4338">
        <v>49.548951330695402</v>
      </c>
      <c r="P4338">
        <v>-4.8358112239510503E-2</v>
      </c>
      <c r="Q4338">
        <v>0.105981790507321</v>
      </c>
      <c r="R4338">
        <v>0.98165342335221994</v>
      </c>
      <c r="S4338" t="s">
        <v>11341</v>
      </c>
      <c r="T4338" t="s">
        <v>14004</v>
      </c>
      <c r="U4338" t="s">
        <v>14004</v>
      </c>
      <c r="V4338" t="s">
        <v>14004</v>
      </c>
      <c r="W4338" t="s">
        <v>18288</v>
      </c>
      <c r="X4338">
        <v>6</v>
      </c>
      <c r="Y4338" t="s">
        <v>25102</v>
      </c>
      <c r="Z4338" t="s">
        <v>32048</v>
      </c>
      <c r="AA4338">
        <v>0.47426211676804048</v>
      </c>
      <c r="AB4338" t="str">
        <f>HYPERLINK("Melting_Curves/meltCurve_Q6WCQ1_2_MPRIP.pdf", "Melting_Curves/meltCurve_Q6WCQ1_2_MPRIP.pdf")</f>
        <v>Melting_Curves/meltCurve_Q6WCQ1_2_MPRIP.pdf</v>
      </c>
    </row>
    <row r="4339" spans="1:28" x14ac:dyDescent="0.25">
      <c r="A4339" t="s">
        <v>4343</v>
      </c>
      <c r="B4339">
        <v>0.99999676499088797</v>
      </c>
      <c r="C4339">
        <v>0.99831338269298098</v>
      </c>
      <c r="D4339">
        <v>0.93041908177058297</v>
      </c>
      <c r="E4339">
        <v>0.56704009457145299</v>
      </c>
      <c r="F4339">
        <v>0.187030099864851</v>
      </c>
      <c r="G4339">
        <v>0.13158051938361201</v>
      </c>
      <c r="H4339">
        <v>6.4740280215113605E-2</v>
      </c>
      <c r="I4339">
        <v>6.3537247787110701E-2</v>
      </c>
      <c r="J4339">
        <v>6.7958858980055298E-2</v>
      </c>
      <c r="K4339">
        <v>5.7182408980886501E-2</v>
      </c>
      <c r="L4339">
        <v>1453.7957218991901</v>
      </c>
      <c r="M4339">
        <v>29.165273574327198</v>
      </c>
      <c r="N4339">
        <v>50.100574851814002</v>
      </c>
      <c r="O4339">
        <v>49.614234662002502</v>
      </c>
      <c r="P4339">
        <v>-0.13687005438649799</v>
      </c>
      <c r="Q4339">
        <v>6.8666127578198399E-2</v>
      </c>
      <c r="R4339">
        <v>0.99886142436015402</v>
      </c>
      <c r="S4339" t="s">
        <v>11342</v>
      </c>
      <c r="T4339" t="s">
        <v>14004</v>
      </c>
      <c r="U4339" t="s">
        <v>14004</v>
      </c>
      <c r="V4339" t="s">
        <v>14004</v>
      </c>
      <c r="W4339" t="s">
        <v>18289</v>
      </c>
      <c r="X4339">
        <v>20</v>
      </c>
      <c r="Y4339" t="s">
        <v>25103</v>
      </c>
      <c r="Z4339" t="s">
        <v>32049</v>
      </c>
      <c r="AA4339">
        <v>0.3804394311690204</v>
      </c>
      <c r="AB4339" t="str">
        <f>HYPERLINK("Melting_Curves/meltCurve_Q6WKZ4_RAB11FIP1.pdf", "Melting_Curves/meltCurve_Q6WKZ4_RAB11FIP1.pdf")</f>
        <v>Melting_Curves/meltCurve_Q6WKZ4_RAB11FIP1.pdf</v>
      </c>
    </row>
    <row r="4340" spans="1:28" x14ac:dyDescent="0.25">
      <c r="A4340" t="s">
        <v>4344</v>
      </c>
      <c r="B4340">
        <v>0.99999676499088797</v>
      </c>
      <c r="C4340">
        <v>1.0376806279817701</v>
      </c>
      <c r="D4340">
        <v>1.05067190096566</v>
      </c>
      <c r="E4340">
        <v>1.06011613491491</v>
      </c>
      <c r="F4340">
        <v>1.0862970385733799</v>
      </c>
      <c r="G4340">
        <v>0.93991704786362695</v>
      </c>
      <c r="H4340">
        <v>0.60717394776907396</v>
      </c>
      <c r="I4340">
        <v>0.340824111509614</v>
      </c>
      <c r="J4340">
        <v>0.16237021139308899</v>
      </c>
      <c r="K4340">
        <v>0.110779822729585</v>
      </c>
      <c r="L4340">
        <v>1828.02032391424</v>
      </c>
      <c r="M4340">
        <v>29.690677374316898</v>
      </c>
      <c r="N4340">
        <v>62.003398113280703</v>
      </c>
      <c r="O4340">
        <v>61.291531046796599</v>
      </c>
      <c r="P4340">
        <v>-0.109728887884967</v>
      </c>
      <c r="Q4340">
        <v>9.3936657353218198E-2</v>
      </c>
      <c r="R4340">
        <v>0.98731998036622104</v>
      </c>
      <c r="S4340" t="s">
        <v>11343</v>
      </c>
      <c r="T4340" t="s">
        <v>14004</v>
      </c>
      <c r="U4340" t="s">
        <v>14004</v>
      </c>
      <c r="V4340" t="s">
        <v>14004</v>
      </c>
      <c r="W4340" t="s">
        <v>18290</v>
      </c>
      <c r="X4340">
        <v>11</v>
      </c>
      <c r="Y4340" t="s">
        <v>25104</v>
      </c>
      <c r="Z4340" t="s">
        <v>32050</v>
      </c>
      <c r="AA4340">
        <v>0.74998305262893217</v>
      </c>
      <c r="AB4340" t="str">
        <f>HYPERLINK("Melting_Curves/meltCurve_Q6XQN6_NAPRT1.pdf", "Melting_Curves/meltCurve_Q6XQN6_NAPRT1.pdf")</f>
        <v>Melting_Curves/meltCurve_Q6XQN6_NAPRT1.pdf</v>
      </c>
    </row>
    <row r="4341" spans="1:28" x14ac:dyDescent="0.25">
      <c r="A4341" t="s">
        <v>4345</v>
      </c>
      <c r="B4341">
        <v>0.99999676499088797</v>
      </c>
      <c r="C4341">
        <v>0.97387441716319501</v>
      </c>
      <c r="D4341">
        <v>0.99340707121647898</v>
      </c>
      <c r="E4341">
        <v>0.89757958338689803</v>
      </c>
      <c r="F4341">
        <v>0.56814065775561595</v>
      </c>
      <c r="G4341">
        <v>0.38219618109498499</v>
      </c>
      <c r="H4341">
        <v>0.197524665531566</v>
      </c>
      <c r="I4341">
        <v>0.19605801900078501</v>
      </c>
      <c r="J4341">
        <v>0.13374891260314001</v>
      </c>
      <c r="K4341">
        <v>0.107907512814198</v>
      </c>
      <c r="L4341">
        <v>1069.8881407717699</v>
      </c>
      <c r="M4341">
        <v>19.881697680374501</v>
      </c>
      <c r="N4341">
        <v>54.6052545604906</v>
      </c>
      <c r="O4341">
        <v>53.277160937075401</v>
      </c>
      <c r="P4341">
        <v>-8.1603918116414001E-2</v>
      </c>
      <c r="Q4341">
        <v>0.12532996130173599</v>
      </c>
      <c r="R4341">
        <v>0.99481190270411102</v>
      </c>
      <c r="S4341" t="s">
        <v>11344</v>
      </c>
      <c r="T4341" t="s">
        <v>14004</v>
      </c>
      <c r="U4341" t="s">
        <v>14004</v>
      </c>
      <c r="V4341" t="s">
        <v>14004</v>
      </c>
      <c r="W4341" t="s">
        <v>18291</v>
      </c>
      <c r="X4341">
        <v>2</v>
      </c>
      <c r="Y4341" t="s">
        <v>25105</v>
      </c>
      <c r="Z4341" t="s">
        <v>32051</v>
      </c>
      <c r="AA4341">
        <v>0.54008565579937984</v>
      </c>
      <c r="AB4341" t="str">
        <f>HYPERLINK("Melting_Curves/meltCurve_Q6Y1H2_PTPLB.pdf", "Melting_Curves/meltCurve_Q6Y1H2_PTPLB.pdf")</f>
        <v>Melting_Curves/meltCurve_Q6Y1H2_PTPLB.pdf</v>
      </c>
    </row>
    <row r="4342" spans="1:28" x14ac:dyDescent="0.25">
      <c r="A4342" t="s">
        <v>4346</v>
      </c>
      <c r="B4342">
        <v>0.99999676499088797</v>
      </c>
      <c r="C4342">
        <v>0.90736538586928805</v>
      </c>
      <c r="D4342">
        <v>0.85315038391664899</v>
      </c>
      <c r="E4342">
        <v>0.94702051777182705</v>
      </c>
      <c r="F4342">
        <v>0.57589106781458099</v>
      </c>
      <c r="G4342">
        <v>0.38996338064326802</v>
      </c>
      <c r="H4342">
        <v>0.15123222910044901</v>
      </c>
      <c r="I4342">
        <v>0.139932646683917</v>
      </c>
      <c r="J4342">
        <v>0.111773828501465</v>
      </c>
      <c r="K4342">
        <v>9.8664482243064594E-2</v>
      </c>
      <c r="L4342">
        <v>991.91365832102701</v>
      </c>
      <c r="M4342">
        <v>18.2959706068314</v>
      </c>
      <c r="N4342">
        <v>54.724412779259502</v>
      </c>
      <c r="O4342">
        <v>53.579640411102602</v>
      </c>
      <c r="P4342">
        <v>-7.8686162624845402E-2</v>
      </c>
      <c r="Q4342">
        <v>7.8314771651224399E-2</v>
      </c>
      <c r="R4342">
        <v>0.97532620348500898</v>
      </c>
      <c r="S4342" t="s">
        <v>11345</v>
      </c>
      <c r="T4342" t="s">
        <v>14004</v>
      </c>
      <c r="U4342" t="s">
        <v>14004</v>
      </c>
      <c r="V4342" t="s">
        <v>14004</v>
      </c>
      <c r="W4342" t="s">
        <v>18292</v>
      </c>
      <c r="X4342">
        <v>7</v>
      </c>
      <c r="Y4342" t="s">
        <v>25106</v>
      </c>
      <c r="Z4342" t="s">
        <v>32052</v>
      </c>
      <c r="AA4342">
        <v>0.52934497414734738</v>
      </c>
      <c r="AB4342" t="str">
        <f>HYPERLINK("Melting_Curves/meltCurve_Q6Y288_B3GALTL.pdf", "Melting_Curves/meltCurve_Q6Y288_B3GALTL.pdf")</f>
        <v>Melting_Curves/meltCurve_Q6Y288_B3GALTL.pdf</v>
      </c>
    </row>
    <row r="4343" spans="1:28" x14ac:dyDescent="0.25">
      <c r="A4343" t="s">
        <v>4347</v>
      </c>
      <c r="B4343">
        <v>0.99999676499088797</v>
      </c>
      <c r="C4343">
        <v>0.943560451659198</v>
      </c>
      <c r="D4343">
        <v>0.79759983695799497</v>
      </c>
      <c r="E4343">
        <v>0.60223924064478296</v>
      </c>
      <c r="F4343">
        <v>0.40001605933504403</v>
      </c>
      <c r="G4343">
        <v>0.28530493021426701</v>
      </c>
      <c r="H4343">
        <v>0.11942228323822</v>
      </c>
      <c r="I4343">
        <v>0.17295436253662999</v>
      </c>
      <c r="J4343">
        <v>0.14770194090734101</v>
      </c>
      <c r="K4343">
        <v>0.19653674706576199</v>
      </c>
      <c r="L4343">
        <v>757.86177143888801</v>
      </c>
      <c r="M4343">
        <v>15.145900528613501</v>
      </c>
      <c r="N4343">
        <v>51.133362340990999</v>
      </c>
      <c r="O4343">
        <v>49.189460675503497</v>
      </c>
      <c r="P4343">
        <v>-6.6314788839077099E-2</v>
      </c>
      <c r="Q4343">
        <v>0.13859959783248901</v>
      </c>
      <c r="R4343">
        <v>0.99102947101382199</v>
      </c>
      <c r="S4343" t="s">
        <v>11346</v>
      </c>
      <c r="T4343" t="s">
        <v>14004</v>
      </c>
      <c r="U4343" t="s">
        <v>14004</v>
      </c>
      <c r="V4343" t="s">
        <v>14004</v>
      </c>
      <c r="W4343" t="s">
        <v>18293</v>
      </c>
      <c r="X4343">
        <v>4</v>
      </c>
      <c r="Y4343" t="s">
        <v>25107</v>
      </c>
      <c r="Z4343" t="s">
        <v>32053</v>
      </c>
      <c r="AA4343">
        <v>0.44697524111396619</v>
      </c>
      <c r="AB4343" t="str">
        <f>HYPERLINK("Melting_Curves/meltCurve_Q6Y2X3_DNAJC14.pdf", "Melting_Curves/meltCurve_Q6Y2X3_DNAJC14.pdf")</f>
        <v>Melting_Curves/meltCurve_Q6Y2X3_DNAJC14.pdf</v>
      </c>
    </row>
    <row r="4344" spans="1:28" x14ac:dyDescent="0.25">
      <c r="A4344" t="s">
        <v>4348</v>
      </c>
      <c r="B4344">
        <v>0.99999676499088797</v>
      </c>
      <c r="C4344">
        <v>0.89708720048119694</v>
      </c>
      <c r="D4344">
        <v>0.66702490576999296</v>
      </c>
      <c r="E4344">
        <v>0.35540398226876402</v>
      </c>
      <c r="F4344">
        <v>0.28199621439199402</v>
      </c>
      <c r="G4344">
        <v>0.21785487958090299</v>
      </c>
      <c r="H4344">
        <v>0.15919277406021901</v>
      </c>
      <c r="I4344">
        <v>0.17167189403361199</v>
      </c>
      <c r="J4344">
        <v>0.157299254217523</v>
      </c>
      <c r="K4344">
        <v>0.15220609685828199</v>
      </c>
      <c r="L4344">
        <v>933.94045704351504</v>
      </c>
      <c r="M4344">
        <v>19.887650771754501</v>
      </c>
      <c r="N4344">
        <v>47.940325732705297</v>
      </c>
      <c r="O4344">
        <v>46.493747288406198</v>
      </c>
      <c r="P4344">
        <v>-8.9086247637298097E-2</v>
      </c>
      <c r="Q4344">
        <v>0.16695728857440101</v>
      </c>
      <c r="R4344">
        <v>0.99541009638217703</v>
      </c>
      <c r="S4344" t="s">
        <v>11347</v>
      </c>
      <c r="T4344" t="s">
        <v>14004</v>
      </c>
      <c r="U4344" t="s">
        <v>14004</v>
      </c>
      <c r="V4344" t="s">
        <v>14004</v>
      </c>
      <c r="W4344" t="s">
        <v>18294</v>
      </c>
      <c r="X4344">
        <v>26</v>
      </c>
      <c r="Y4344" t="s">
        <v>21475</v>
      </c>
      <c r="Z4344" t="s">
        <v>32054</v>
      </c>
      <c r="AA4344">
        <v>0.37261405998363067</v>
      </c>
      <c r="AB4344" t="str">
        <f>HYPERLINK("Melting_Curves/meltCurve_Q6Y7W6_4_GIGYF2.pdf", "Melting_Curves/meltCurve_Q6Y7W6_4_GIGYF2.pdf")</f>
        <v>Melting_Curves/meltCurve_Q6Y7W6_4_GIGYF2.pdf</v>
      </c>
    </row>
    <row r="4345" spans="1:28" x14ac:dyDescent="0.25">
      <c r="A4345" t="s">
        <v>4349</v>
      </c>
      <c r="B4345">
        <v>0.99999676499088797</v>
      </c>
      <c r="C4345">
        <v>1.12019605005324</v>
      </c>
      <c r="D4345">
        <v>0.84508570234064295</v>
      </c>
      <c r="E4345">
        <v>0.47339242881896298</v>
      </c>
      <c r="F4345">
        <v>0.225797591320821</v>
      </c>
      <c r="G4345">
        <v>0.18676860383348701</v>
      </c>
      <c r="H4345">
        <v>0.16895823014411601</v>
      </c>
      <c r="I4345">
        <v>9.5957178647025895E-2</v>
      </c>
      <c r="J4345">
        <v>0.10579604874802601</v>
      </c>
      <c r="K4345">
        <v>0.161121703229233</v>
      </c>
      <c r="L4345">
        <v>1395.60664811474</v>
      </c>
      <c r="M4345">
        <v>28.588810881516299</v>
      </c>
      <c r="N4345">
        <v>49.389033348493697</v>
      </c>
      <c r="O4345">
        <v>48.579564070495699</v>
      </c>
      <c r="P4345">
        <v>-0.12637462075572201</v>
      </c>
      <c r="Q4345">
        <v>0.14103817821404599</v>
      </c>
      <c r="R4345">
        <v>0.98264502725347203</v>
      </c>
      <c r="S4345" t="s">
        <v>11348</v>
      </c>
      <c r="T4345" t="s">
        <v>14004</v>
      </c>
      <c r="U4345" t="s">
        <v>14004</v>
      </c>
      <c r="V4345" t="s">
        <v>14004</v>
      </c>
      <c r="W4345" t="s">
        <v>18295</v>
      </c>
      <c r="X4345">
        <v>3</v>
      </c>
      <c r="Y4345" t="s">
        <v>25108</v>
      </c>
      <c r="Z4345" t="s">
        <v>32055</v>
      </c>
      <c r="AA4345">
        <v>0.39923609686262479</v>
      </c>
      <c r="AB4345" t="str">
        <f>HYPERLINK("Melting_Curves/meltCurve_Q6YHU6_3_THADA.pdf", "Melting_Curves/meltCurve_Q6YHU6_3_THADA.pdf")</f>
        <v>Melting_Curves/meltCurve_Q6YHU6_3_THADA.pdf</v>
      </c>
    </row>
    <row r="4346" spans="1:28" x14ac:dyDescent="0.25">
      <c r="A4346" t="s">
        <v>4350</v>
      </c>
      <c r="B4346">
        <v>0.99999676499088797</v>
      </c>
      <c r="C4346">
        <v>1.04200695076115</v>
      </c>
      <c r="D4346">
        <v>0.94339857151089501</v>
      </c>
      <c r="E4346">
        <v>0.74619620761768901</v>
      </c>
      <c r="F4346">
        <v>0.28250111763563601</v>
      </c>
      <c r="G4346">
        <v>0.16568191463241599</v>
      </c>
      <c r="H4346">
        <v>8.7251545749377601E-2</v>
      </c>
      <c r="I4346">
        <v>9.8381187538460799E-2</v>
      </c>
      <c r="J4346">
        <v>0.103351297735283</v>
      </c>
      <c r="K4346">
        <v>7.0332444197659702E-2</v>
      </c>
      <c r="L4346">
        <v>1540.41894025957</v>
      </c>
      <c r="M4346">
        <v>30.1732465618669</v>
      </c>
      <c r="N4346">
        <v>51.400621435249697</v>
      </c>
      <c r="O4346">
        <v>50.8298027812464</v>
      </c>
      <c r="P4346">
        <v>-0.13468885540430001</v>
      </c>
      <c r="Q4346">
        <v>9.2419259498957504E-2</v>
      </c>
      <c r="R4346">
        <v>0.99697521281395696</v>
      </c>
      <c r="S4346" t="s">
        <v>11349</v>
      </c>
      <c r="T4346" t="s">
        <v>14004</v>
      </c>
      <c r="U4346" t="s">
        <v>14004</v>
      </c>
      <c r="V4346" t="s">
        <v>14004</v>
      </c>
      <c r="W4346" t="s">
        <v>18296</v>
      </c>
      <c r="X4346">
        <v>17</v>
      </c>
      <c r="Y4346" t="s">
        <v>25109</v>
      </c>
      <c r="Z4346" t="s">
        <v>32056</v>
      </c>
      <c r="AA4346">
        <v>0.43243220151469453</v>
      </c>
      <c r="AB4346" t="str">
        <f>HYPERLINK("Melting_Curves/meltCurve_Q6YN16_HSDL2.pdf", "Melting_Curves/meltCurve_Q6YN16_HSDL2.pdf")</f>
        <v>Melting_Curves/meltCurve_Q6YN16_HSDL2.pdf</v>
      </c>
    </row>
    <row r="4347" spans="1:28" x14ac:dyDescent="0.25">
      <c r="A4347" t="s">
        <v>4351</v>
      </c>
      <c r="B4347">
        <v>0.99999676499088797</v>
      </c>
      <c r="C4347">
        <v>1.0098526203171201</v>
      </c>
      <c r="D4347">
        <v>1.0084694864972299</v>
      </c>
      <c r="E4347">
        <v>1.02920597348401</v>
      </c>
      <c r="F4347">
        <v>0.92262965869493396</v>
      </c>
      <c r="G4347">
        <v>0.82725873631121205</v>
      </c>
      <c r="H4347">
        <v>0.56374702211042504</v>
      </c>
      <c r="I4347">
        <v>0.51296640068686095</v>
      </c>
      <c r="J4347">
        <v>0.43683206683485698</v>
      </c>
      <c r="K4347">
        <v>0.35856133275398</v>
      </c>
      <c r="L4347">
        <v>1178.73787609685</v>
      </c>
      <c r="M4347">
        <v>19.8895258670548</v>
      </c>
      <c r="N4347">
        <v>63.2930168814949</v>
      </c>
      <c r="O4347">
        <v>58.674911215031798</v>
      </c>
      <c r="P4347">
        <v>-5.4320997639627597E-2</v>
      </c>
      <c r="Q4347">
        <v>0.35902467143303401</v>
      </c>
      <c r="R4347">
        <v>0.99010971678166404</v>
      </c>
      <c r="S4347" t="s">
        <v>11350</v>
      </c>
      <c r="T4347" t="s">
        <v>14004</v>
      </c>
      <c r="U4347" t="s">
        <v>14004</v>
      </c>
      <c r="V4347" t="s">
        <v>14004</v>
      </c>
      <c r="W4347" t="s">
        <v>18297</v>
      </c>
      <c r="X4347">
        <v>20</v>
      </c>
      <c r="Y4347" t="s">
        <v>25110</v>
      </c>
      <c r="Z4347" t="s">
        <v>32057</v>
      </c>
      <c r="AA4347">
        <v>0.77683472211721971</v>
      </c>
      <c r="AB4347" t="str">
        <f>HYPERLINK("Melting_Curves/meltCurve_Q6YP21_3_CCBL2.pdf", "Melting_Curves/meltCurve_Q6YP21_3_CCBL2.pdf")</f>
        <v>Melting_Curves/meltCurve_Q6YP21_3_CCBL2.pdf</v>
      </c>
    </row>
    <row r="4348" spans="1:28" x14ac:dyDescent="0.25">
      <c r="A4348" t="s">
        <v>4352</v>
      </c>
      <c r="B4348">
        <v>0.99999676499088797</v>
      </c>
      <c r="C4348">
        <v>1.0661961392976</v>
      </c>
      <c r="D4348">
        <v>1.0629270201981</v>
      </c>
      <c r="E4348">
        <v>0.85149017459599297</v>
      </c>
      <c r="F4348">
        <v>0.56703378047489195</v>
      </c>
      <c r="G4348">
        <v>0.37360846445823198</v>
      </c>
      <c r="H4348">
        <v>0.15738049255606201</v>
      </c>
      <c r="I4348">
        <v>0.14817467279018501</v>
      </c>
      <c r="J4348">
        <v>0.11292047478891599</v>
      </c>
      <c r="K4348">
        <v>8.7041744768309795E-2</v>
      </c>
      <c r="L4348">
        <v>1090.1295147671201</v>
      </c>
      <c r="M4348">
        <v>20.2475161546765</v>
      </c>
      <c r="N4348">
        <v>54.4139307085293</v>
      </c>
      <c r="O4348">
        <v>53.323227257654104</v>
      </c>
      <c r="P4348">
        <v>-8.5806316853664702E-2</v>
      </c>
      <c r="Q4348">
        <v>9.6120662362662507E-2</v>
      </c>
      <c r="R4348">
        <v>0.98876788267825499</v>
      </c>
      <c r="S4348" t="s">
        <v>11351</v>
      </c>
      <c r="T4348" t="s">
        <v>14004</v>
      </c>
      <c r="U4348" t="s">
        <v>14004</v>
      </c>
      <c r="V4348" t="s">
        <v>14004</v>
      </c>
      <c r="W4348" t="s">
        <v>18298</v>
      </c>
      <c r="X4348">
        <v>6</v>
      </c>
      <c r="Y4348" t="s">
        <v>25111</v>
      </c>
      <c r="Z4348" t="s">
        <v>32058</v>
      </c>
      <c r="AA4348">
        <v>0.52518470198159073</v>
      </c>
      <c r="AB4348" t="str">
        <f>HYPERLINK("Melting_Curves/meltCurve_Q6ZMG9_CERS6.pdf", "Melting_Curves/meltCurve_Q6ZMG9_CERS6.pdf")</f>
        <v>Melting_Curves/meltCurve_Q6ZMG9_CERS6.pdf</v>
      </c>
    </row>
    <row r="4349" spans="1:28" x14ac:dyDescent="0.25">
      <c r="A4349" t="s">
        <v>4353</v>
      </c>
      <c r="B4349">
        <v>0.99999676499088797</v>
      </c>
      <c r="C4349">
        <v>1.03705166550184</v>
      </c>
      <c r="D4349">
        <v>0.98269416439715696</v>
      </c>
      <c r="E4349">
        <v>0.53182862273175302</v>
      </c>
      <c r="F4349">
        <v>0.273025693040302</v>
      </c>
      <c r="G4349">
        <v>0.209953435794036</v>
      </c>
      <c r="H4349">
        <v>0.102546631415407</v>
      </c>
      <c r="I4349">
        <v>0.109401828106093</v>
      </c>
      <c r="J4349">
        <v>0.109938626262783</v>
      </c>
      <c r="K4349">
        <v>8.9045503075435101E-2</v>
      </c>
      <c r="L4349">
        <v>1425.5904989119999</v>
      </c>
      <c r="M4349">
        <v>28.669181408147001</v>
      </c>
      <c r="N4349">
        <v>50.209203536790099</v>
      </c>
      <c r="O4349">
        <v>49.485487407496201</v>
      </c>
      <c r="P4349">
        <v>-0.12736165183626699</v>
      </c>
      <c r="Q4349">
        <v>0.120657944873734</v>
      </c>
      <c r="R4349">
        <v>0.98994537218390599</v>
      </c>
      <c r="S4349" t="s">
        <v>11352</v>
      </c>
      <c r="T4349" t="s">
        <v>14004</v>
      </c>
      <c r="U4349" t="s">
        <v>14004</v>
      </c>
      <c r="V4349" t="s">
        <v>14004</v>
      </c>
      <c r="W4349" t="s">
        <v>18299</v>
      </c>
      <c r="X4349">
        <v>6</v>
      </c>
      <c r="Y4349" t="s">
        <v>25112</v>
      </c>
      <c r="Z4349" t="s">
        <v>32059</v>
      </c>
      <c r="AA4349">
        <v>0.41166461256763859</v>
      </c>
      <c r="AB4349" t="str">
        <f>HYPERLINK("Melting_Curves/meltCurve_Q6ZMI0_PPP1R21.pdf", "Melting_Curves/meltCurve_Q6ZMI0_PPP1R21.pdf")</f>
        <v>Melting_Curves/meltCurve_Q6ZMI0_PPP1R21.pdf</v>
      </c>
    </row>
    <row r="4350" spans="1:28" x14ac:dyDescent="0.25">
      <c r="A4350" t="s">
        <v>4354</v>
      </c>
      <c r="B4350">
        <v>0.99999676499088797</v>
      </c>
      <c r="C4350">
        <v>0.89482808227115496</v>
      </c>
      <c r="D4350">
        <v>0.75931677533939501</v>
      </c>
      <c r="E4350">
        <v>0.49683746411950602</v>
      </c>
      <c r="F4350">
        <v>0.32889350319764499</v>
      </c>
      <c r="G4350">
        <v>0.25538066094150602</v>
      </c>
      <c r="H4350">
        <v>0.11819741249051199</v>
      </c>
      <c r="I4350">
        <v>0.14834236011350599</v>
      </c>
      <c r="J4350">
        <v>0.14737168832378</v>
      </c>
      <c r="K4350">
        <v>0.13817169444718899</v>
      </c>
      <c r="L4350">
        <v>738.09883866753898</v>
      </c>
      <c r="M4350">
        <v>15.106105691449899</v>
      </c>
      <c r="N4350">
        <v>49.799075153447198</v>
      </c>
      <c r="O4350">
        <v>48.028680254127202</v>
      </c>
      <c r="P4350">
        <v>-6.8900527657364305E-2</v>
      </c>
      <c r="Q4350">
        <v>0.123830590730844</v>
      </c>
      <c r="R4350">
        <v>0.99502826141265499</v>
      </c>
      <c r="S4350" t="s">
        <v>11353</v>
      </c>
      <c r="T4350" t="s">
        <v>14004</v>
      </c>
      <c r="U4350" t="s">
        <v>14004</v>
      </c>
      <c r="V4350" t="s">
        <v>14004</v>
      </c>
      <c r="W4350" t="s">
        <v>18300</v>
      </c>
      <c r="X4350">
        <v>4</v>
      </c>
      <c r="Y4350" t="s">
        <v>25113</v>
      </c>
      <c r="Z4350" t="s">
        <v>32060</v>
      </c>
      <c r="AA4350">
        <v>0.40406999488915102</v>
      </c>
      <c r="AB4350" t="str">
        <f>HYPERLINK("Melting_Curves/meltCurve_Q6ZN04_MEX3B.pdf", "Melting_Curves/meltCurve_Q6ZN04_MEX3B.pdf")</f>
        <v>Melting_Curves/meltCurve_Q6ZN04_MEX3B.pdf</v>
      </c>
    </row>
    <row r="4351" spans="1:28" x14ac:dyDescent="0.25">
      <c r="A4351" t="s">
        <v>4355</v>
      </c>
      <c r="B4351">
        <v>0.99999676499088797</v>
      </c>
      <c r="C4351">
        <v>0.94029604606249095</v>
      </c>
      <c r="D4351">
        <v>0.87489834848710801</v>
      </c>
      <c r="E4351">
        <v>0.61512323992140705</v>
      </c>
      <c r="F4351">
        <v>0.37204876094440498</v>
      </c>
      <c r="G4351">
        <v>0.25268403917043197</v>
      </c>
      <c r="H4351">
        <v>0.120048154925262</v>
      </c>
      <c r="I4351">
        <v>0.101521235865179</v>
      </c>
      <c r="J4351">
        <v>9.9715030177876904E-2</v>
      </c>
      <c r="K4351">
        <v>8.7369718064734106E-2</v>
      </c>
      <c r="L4351">
        <v>809.101391364709</v>
      </c>
      <c r="M4351">
        <v>15.9139292523724</v>
      </c>
      <c r="N4351">
        <v>51.3660487251693</v>
      </c>
      <c r="O4351">
        <v>50.059829454292</v>
      </c>
      <c r="P4351">
        <v>-7.3528846244021007E-2</v>
      </c>
      <c r="Q4351">
        <v>7.4886763981465806E-2</v>
      </c>
      <c r="R4351">
        <v>0.998115938684072</v>
      </c>
      <c r="S4351" t="s">
        <v>11354</v>
      </c>
      <c r="T4351" t="s">
        <v>14004</v>
      </c>
      <c r="U4351" t="s">
        <v>14004</v>
      </c>
      <c r="V4351" t="s">
        <v>14004</v>
      </c>
      <c r="W4351" t="s">
        <v>18301</v>
      </c>
      <c r="X4351">
        <v>2</v>
      </c>
      <c r="Y4351" t="s">
        <v>25114</v>
      </c>
      <c r="Z4351" t="s">
        <v>32061</v>
      </c>
      <c r="AA4351">
        <v>0.42866083069664618</v>
      </c>
      <c r="AB4351" t="str">
        <f>HYPERLINK("Melting_Curves/meltCurve_Q6ZN18_2_AEBP2.pdf", "Melting_Curves/meltCurve_Q6ZN18_2_AEBP2.pdf")</f>
        <v>Melting_Curves/meltCurve_Q6ZN18_2_AEBP2.pdf</v>
      </c>
    </row>
    <row r="4352" spans="1:28" x14ac:dyDescent="0.25">
      <c r="A4352" t="s">
        <v>4356</v>
      </c>
      <c r="B4352">
        <v>0.99999676499088797</v>
      </c>
      <c r="C4352">
        <v>0.95293134638393695</v>
      </c>
      <c r="D4352">
        <v>0.86449071955601198</v>
      </c>
      <c r="E4352">
        <v>0.32344433609369999</v>
      </c>
      <c r="F4352">
        <v>0.224724600433196</v>
      </c>
      <c r="G4352">
        <v>0.125358599816949</v>
      </c>
      <c r="H4352">
        <v>0.12457369350290801</v>
      </c>
      <c r="I4352">
        <v>0.181462176186234</v>
      </c>
      <c r="J4352">
        <v>0.12051767620154499</v>
      </c>
      <c r="K4352">
        <v>3.3453505693882599E-2</v>
      </c>
      <c r="L4352">
        <v>1649.19848198251</v>
      </c>
      <c r="M4352">
        <v>34.325104187235198</v>
      </c>
      <c r="N4352">
        <v>48.456687130545603</v>
      </c>
      <c r="O4352">
        <v>47.8842337057769</v>
      </c>
      <c r="P4352">
        <v>-0.15661123043302599</v>
      </c>
      <c r="Q4352">
        <v>0.126099824446367</v>
      </c>
      <c r="R4352">
        <v>0.986087170701196</v>
      </c>
      <c r="S4352" t="s">
        <v>11355</v>
      </c>
      <c r="T4352" t="s">
        <v>14004</v>
      </c>
      <c r="U4352" t="s">
        <v>14004</v>
      </c>
      <c r="V4352" t="s">
        <v>14004</v>
      </c>
      <c r="W4352" t="s">
        <v>14113</v>
      </c>
      <c r="X4352">
        <v>2</v>
      </c>
      <c r="Y4352" t="s">
        <v>25115</v>
      </c>
      <c r="Z4352" t="s">
        <v>32062</v>
      </c>
      <c r="AA4352">
        <v>0.36447234286231173</v>
      </c>
      <c r="AB4352" t="str">
        <f>HYPERLINK("Melting_Curves/meltCurve_Q6ZN50_OSBP2.pdf", "Melting_Curves/meltCurve_Q6ZN50_OSBP2.pdf")</f>
        <v>Melting_Curves/meltCurve_Q6ZN50_OSBP2.pdf</v>
      </c>
    </row>
    <row r="4353" spans="1:28" x14ac:dyDescent="0.25">
      <c r="A4353" t="s">
        <v>4357</v>
      </c>
      <c r="B4353">
        <v>0.99999676499088797</v>
      </c>
      <c r="C4353">
        <v>0.83674277962153698</v>
      </c>
      <c r="D4353">
        <v>0.80614413190064504</v>
      </c>
      <c r="E4353">
        <v>0.82887820219568598</v>
      </c>
      <c r="F4353">
        <v>1.01308110581496</v>
      </c>
      <c r="G4353">
        <v>0.75969370566300398</v>
      </c>
      <c r="H4353">
        <v>0.47948493551146498</v>
      </c>
      <c r="I4353">
        <v>0.42628002483240901</v>
      </c>
      <c r="J4353">
        <v>0.298818927999904</v>
      </c>
      <c r="K4353">
        <v>0.372455590172729</v>
      </c>
      <c r="L4353">
        <v>524.12962343162599</v>
      </c>
      <c r="M4353">
        <v>8.3695504383720607</v>
      </c>
      <c r="N4353">
        <v>62.623386444690198</v>
      </c>
      <c r="O4353">
        <v>59.3543233811981</v>
      </c>
      <c r="P4353">
        <v>-3.5286139989953003E-2</v>
      </c>
      <c r="Q4353">
        <v>0</v>
      </c>
      <c r="R4353">
        <v>0.82763898723155604</v>
      </c>
      <c r="S4353" t="s">
        <v>11356</v>
      </c>
      <c r="T4353" t="s">
        <v>14004</v>
      </c>
      <c r="U4353" t="s">
        <v>14004</v>
      </c>
      <c r="V4353" t="s">
        <v>14004</v>
      </c>
      <c r="W4353" t="s">
        <v>18302</v>
      </c>
      <c r="X4353">
        <v>2</v>
      </c>
      <c r="Y4353" t="s">
        <v>25116</v>
      </c>
      <c r="Z4353" t="s">
        <v>32063</v>
      </c>
      <c r="AA4353">
        <v>0.71363794249215828</v>
      </c>
      <c r="AB4353" t="str">
        <f>HYPERLINK("Melting_Curves/meltCurve_Q6ZNA5_FRRS1.pdf", "Melting_Curves/meltCurve_Q6ZNA5_FRRS1.pdf")</f>
        <v>Melting_Curves/meltCurve_Q6ZNA5_FRRS1.pdf</v>
      </c>
    </row>
    <row r="4354" spans="1:28" x14ac:dyDescent="0.25">
      <c r="A4354" t="s">
        <v>4358</v>
      </c>
      <c r="B4354">
        <v>0.99999676499088797</v>
      </c>
      <c r="C4354">
        <v>1.06881796242033</v>
      </c>
      <c r="D4354">
        <v>0.98639200410323802</v>
      </c>
      <c r="E4354">
        <v>1.0157234377434801</v>
      </c>
      <c r="F4354">
        <v>0.37178847585311298</v>
      </c>
      <c r="G4354">
        <v>0.18912306787448299</v>
      </c>
      <c r="H4354">
        <v>7.8895984975665107E-2</v>
      </c>
      <c r="I4354">
        <v>7.5790914853511401E-2</v>
      </c>
      <c r="J4354">
        <v>0.10244903075183801</v>
      </c>
      <c r="K4354">
        <v>6.1140831662231797E-2</v>
      </c>
      <c r="L4354">
        <v>3748.16080575145</v>
      </c>
      <c r="M4354">
        <v>71.272538446580299</v>
      </c>
      <c r="N4354">
        <v>52.7543539738475</v>
      </c>
      <c r="O4354">
        <v>52.5477736262796</v>
      </c>
      <c r="P4354">
        <v>-0.30516550763400802</v>
      </c>
      <c r="Q4354">
        <v>0.10003122463958</v>
      </c>
      <c r="R4354">
        <v>0.99187481364775199</v>
      </c>
      <c r="S4354" t="s">
        <v>11357</v>
      </c>
      <c r="T4354" t="s">
        <v>14004</v>
      </c>
      <c r="U4354" t="s">
        <v>14004</v>
      </c>
      <c r="V4354" t="s">
        <v>14004</v>
      </c>
      <c r="W4354" t="s">
        <v>18303</v>
      </c>
      <c r="X4354">
        <v>3</v>
      </c>
      <c r="Y4354" t="s">
        <v>25117</v>
      </c>
      <c r="Z4354" t="s">
        <v>32064</v>
      </c>
      <c r="AA4354">
        <v>0.47871655413626257</v>
      </c>
      <c r="AB4354" t="str">
        <f>HYPERLINK("Melting_Curves/meltCurve_Q6ZNB6_NFXL1.pdf", "Melting_Curves/meltCurve_Q6ZNB6_NFXL1.pdf")</f>
        <v>Melting_Curves/meltCurve_Q6ZNB6_NFXL1.pdf</v>
      </c>
    </row>
    <row r="4355" spans="1:28" x14ac:dyDescent="0.25">
      <c r="A4355" t="s">
        <v>4359</v>
      </c>
      <c r="B4355">
        <v>0.99999676499088797</v>
      </c>
      <c r="C4355">
        <v>0.93463504827606902</v>
      </c>
      <c r="D4355">
        <v>0.77958515721858002</v>
      </c>
      <c r="E4355">
        <v>0.62046895872125496</v>
      </c>
      <c r="F4355">
        <v>0.215809068482165</v>
      </c>
      <c r="G4355">
        <v>0.114347456531197</v>
      </c>
      <c r="H4355">
        <v>4.8177568117914599E-2</v>
      </c>
      <c r="I4355">
        <v>4.6029806985768203E-2</v>
      </c>
      <c r="J4355">
        <v>5.5718925530900298E-2</v>
      </c>
      <c r="K4355">
        <v>2.9344349800884999E-2</v>
      </c>
      <c r="L4355">
        <v>912.95848114065097</v>
      </c>
      <c r="M4355">
        <v>18.2644809622503</v>
      </c>
      <c r="N4355">
        <v>50.113909796123401</v>
      </c>
      <c r="O4355">
        <v>49.397804668393903</v>
      </c>
      <c r="P4355">
        <v>-9.0326174654235106E-2</v>
      </c>
      <c r="Q4355">
        <v>2.28669266817077E-2</v>
      </c>
      <c r="R4355">
        <v>0.99159732264275402</v>
      </c>
      <c r="S4355" t="s">
        <v>11358</v>
      </c>
      <c r="T4355" t="s">
        <v>14004</v>
      </c>
      <c r="U4355" t="s">
        <v>14004</v>
      </c>
      <c r="V4355" t="s">
        <v>14004</v>
      </c>
      <c r="W4355" t="s">
        <v>18304</v>
      </c>
      <c r="X4355">
        <v>6</v>
      </c>
      <c r="Y4355" t="s">
        <v>25118</v>
      </c>
      <c r="Z4355" t="s">
        <v>32065</v>
      </c>
      <c r="AA4355">
        <v>0.36431454158836601</v>
      </c>
      <c r="AB4355" t="str">
        <f>HYPERLINK("Melting_Curves/meltCurve_Q6ZNW5_GDPGP1.pdf", "Melting_Curves/meltCurve_Q6ZNW5_GDPGP1.pdf")</f>
        <v>Melting_Curves/meltCurve_Q6ZNW5_GDPGP1.pdf</v>
      </c>
    </row>
    <row r="4356" spans="1:28" x14ac:dyDescent="0.25">
      <c r="A4356" t="s">
        <v>4360</v>
      </c>
      <c r="B4356">
        <v>0.99999676499088797</v>
      </c>
      <c r="C4356">
        <v>0.88384945227356804</v>
      </c>
      <c r="D4356">
        <v>0.92188041989011904</v>
      </c>
      <c r="E4356">
        <v>0.72738406576978998</v>
      </c>
      <c r="F4356">
        <v>0.42357759388525701</v>
      </c>
      <c r="G4356">
        <v>0.36003030370531802</v>
      </c>
      <c r="H4356">
        <v>0.154391985733662</v>
      </c>
      <c r="I4356">
        <v>0.14281573420449201</v>
      </c>
      <c r="J4356">
        <v>0.10979190308660899</v>
      </c>
      <c r="K4356">
        <v>0.159523961575572</v>
      </c>
      <c r="L4356">
        <v>786.07070605553599</v>
      </c>
      <c r="M4356">
        <v>15.130104082990201</v>
      </c>
      <c r="N4356">
        <v>52.763678778486799</v>
      </c>
      <c r="O4356">
        <v>51.071853637438203</v>
      </c>
      <c r="P4356">
        <v>-6.63973525402035E-2</v>
      </c>
      <c r="Q4356">
        <v>0.10358720382634599</v>
      </c>
      <c r="R4356">
        <v>0.98446234623949003</v>
      </c>
      <c r="S4356" t="s">
        <v>11359</v>
      </c>
      <c r="T4356" t="s">
        <v>14004</v>
      </c>
      <c r="U4356" t="s">
        <v>14004</v>
      </c>
      <c r="V4356" t="s">
        <v>14004</v>
      </c>
      <c r="W4356" t="s">
        <v>18305</v>
      </c>
      <c r="X4356">
        <v>1</v>
      </c>
      <c r="Y4356" t="s">
        <v>25119</v>
      </c>
      <c r="Z4356" t="s">
        <v>32066</v>
      </c>
      <c r="AA4356">
        <v>0.48058815381721548</v>
      </c>
      <c r="AB4356" t="str">
        <f>HYPERLINK("Melting_Curves/meltCurve_Q6ZPD9_DPY19L3.pdf", "Melting_Curves/meltCurve_Q6ZPD9_DPY19L3.pdf")</f>
        <v>Melting_Curves/meltCurve_Q6ZPD9_DPY19L3.pdf</v>
      </c>
    </row>
    <row r="4357" spans="1:28" x14ac:dyDescent="0.25">
      <c r="A4357" t="s">
        <v>4361</v>
      </c>
      <c r="B4357">
        <v>0.99999676499088797</v>
      </c>
      <c r="C4357">
        <v>0.84764922507487905</v>
      </c>
      <c r="D4357">
        <v>1.0309338165299899</v>
      </c>
      <c r="E4357">
        <v>0.78662766748778301</v>
      </c>
      <c r="F4357">
        <v>0.60603819375358703</v>
      </c>
      <c r="G4357">
        <v>0.34763158583505099</v>
      </c>
      <c r="H4357">
        <v>0.44354602868841397</v>
      </c>
      <c r="I4357">
        <v>0.452240017456076</v>
      </c>
      <c r="J4357">
        <v>0.36651517890422602</v>
      </c>
      <c r="K4357">
        <v>0.91757655618397405</v>
      </c>
      <c r="L4357">
        <v>1989.3822324974999</v>
      </c>
      <c r="M4357">
        <v>39.737275337834497</v>
      </c>
      <c r="O4357">
        <v>49.937096085650303</v>
      </c>
      <c r="P4357">
        <v>-9.6871522683159794E-2</v>
      </c>
      <c r="Q4357">
        <v>0.51305450109772399</v>
      </c>
      <c r="R4357">
        <v>0.61097890784002795</v>
      </c>
      <c r="S4357" t="s">
        <v>11360</v>
      </c>
      <c r="T4357" t="s">
        <v>14004</v>
      </c>
      <c r="U4357" t="s">
        <v>14004</v>
      </c>
      <c r="V4357" t="s">
        <v>14004</v>
      </c>
      <c r="W4357" t="s">
        <v>18306</v>
      </c>
      <c r="X4357">
        <v>2</v>
      </c>
      <c r="Y4357" t="s">
        <v>25120</v>
      </c>
      <c r="Z4357" t="s">
        <v>32067</v>
      </c>
      <c r="AA4357">
        <v>0.67810657102156879</v>
      </c>
      <c r="AB4357" t="str">
        <f>HYPERLINK("Melting_Curves/meltCurve_Q6ZRI6_2_C15orf39.pdf", "Melting_Curves/meltCurve_Q6ZRI6_2_C15orf39.pdf")</f>
        <v>Melting_Curves/meltCurve_Q6ZRI6_2_C15orf39.pdf</v>
      </c>
    </row>
    <row r="4358" spans="1:28" x14ac:dyDescent="0.25">
      <c r="A4358" t="s">
        <v>4362</v>
      </c>
      <c r="B4358">
        <v>0.99999676499088797</v>
      </c>
      <c r="C4358">
        <v>0.87941489821440499</v>
      </c>
      <c r="D4358">
        <v>0.85576858510104103</v>
      </c>
      <c r="E4358">
        <v>0.82123272096747202</v>
      </c>
      <c r="F4358">
        <v>0.60445700713059802</v>
      </c>
      <c r="G4358">
        <v>0.351727682168538</v>
      </c>
      <c r="H4358">
        <v>0.143034127843817</v>
      </c>
      <c r="I4358">
        <v>0.13895585690590401</v>
      </c>
      <c r="J4358">
        <v>0.114839214917177</v>
      </c>
      <c r="K4358">
        <v>0.110374192508986</v>
      </c>
      <c r="L4358">
        <v>751.46009189313099</v>
      </c>
      <c r="M4358">
        <v>13.9361545018216</v>
      </c>
      <c r="N4358">
        <v>54.276378447926</v>
      </c>
      <c r="O4358">
        <v>52.847728619379502</v>
      </c>
      <c r="P4358">
        <v>-6.3064658931138995E-2</v>
      </c>
      <c r="Q4358">
        <v>4.3530549840128899E-2</v>
      </c>
      <c r="R4358">
        <v>0.98232447209571805</v>
      </c>
      <c r="S4358" t="s">
        <v>11361</v>
      </c>
      <c r="T4358" t="s">
        <v>14004</v>
      </c>
      <c r="U4358" t="s">
        <v>14004</v>
      </c>
      <c r="V4358" t="s">
        <v>14004</v>
      </c>
      <c r="W4358" t="s">
        <v>18307</v>
      </c>
      <c r="X4358">
        <v>11</v>
      </c>
      <c r="Y4358" t="s">
        <v>25121</v>
      </c>
      <c r="Z4358" t="s">
        <v>32068</v>
      </c>
      <c r="AA4358">
        <v>0.5089111472770933</v>
      </c>
      <c r="AB4358" t="str">
        <f>HYPERLINK("Melting_Curves/meltCurve_Q6ZRP7_QSOX2.pdf", "Melting_Curves/meltCurve_Q6ZRP7_QSOX2.pdf")</f>
        <v>Melting_Curves/meltCurve_Q6ZRP7_QSOX2.pdf</v>
      </c>
    </row>
    <row r="4359" spans="1:28" x14ac:dyDescent="0.25">
      <c r="A4359" t="s">
        <v>4363</v>
      </c>
      <c r="B4359">
        <v>0.99999676499088797</v>
      </c>
      <c r="C4359">
        <v>1.02567545712001</v>
      </c>
      <c r="D4359">
        <v>0.99894167900245201</v>
      </c>
      <c r="E4359">
        <v>0.70225674823418405</v>
      </c>
      <c r="F4359">
        <v>0.56217551629240403</v>
      </c>
      <c r="G4359">
        <v>0.59944629256136395</v>
      </c>
      <c r="H4359">
        <v>0.36508110885772299</v>
      </c>
      <c r="I4359">
        <v>0.49435397252769703</v>
      </c>
      <c r="J4359">
        <v>0.34759265764729302</v>
      </c>
      <c r="K4359">
        <v>0.26863975721672101</v>
      </c>
      <c r="L4359">
        <v>716.53352017303905</v>
      </c>
      <c r="M4359">
        <v>13.7350860127095</v>
      </c>
      <c r="N4359">
        <v>56.672487805052498</v>
      </c>
      <c r="O4359">
        <v>51.0995562039842</v>
      </c>
      <c r="P4359">
        <v>-4.4882808355838799E-2</v>
      </c>
      <c r="Q4359">
        <v>0.33217320093920999</v>
      </c>
      <c r="R4359">
        <v>0.926394585020345</v>
      </c>
      <c r="S4359" t="s">
        <v>11362</v>
      </c>
      <c r="T4359" t="s">
        <v>14004</v>
      </c>
      <c r="U4359" t="s">
        <v>14004</v>
      </c>
      <c r="V4359" t="s">
        <v>14004</v>
      </c>
      <c r="W4359" t="s">
        <v>18308</v>
      </c>
      <c r="X4359">
        <v>4</v>
      </c>
      <c r="Y4359" t="s">
        <v>25122</v>
      </c>
      <c r="Z4359" t="s">
        <v>32069</v>
      </c>
      <c r="AA4359">
        <v>0.61992238067054251</v>
      </c>
      <c r="AB4359" t="str">
        <f>HYPERLINK("Melting_Curves/meltCurve_Q6ZRS2_3_SRCAP.pdf", "Melting_Curves/meltCurve_Q6ZRS2_3_SRCAP.pdf")</f>
        <v>Melting_Curves/meltCurve_Q6ZRS2_3_SRCAP.pdf</v>
      </c>
    </row>
    <row r="4360" spans="1:28" x14ac:dyDescent="0.25">
      <c r="A4360" t="s">
        <v>4364</v>
      </c>
      <c r="B4360">
        <v>0.99999676499088797</v>
      </c>
      <c r="C4360">
        <v>0.89552349384412899</v>
      </c>
      <c r="D4360">
        <v>0.88787326477609296</v>
      </c>
      <c r="E4360">
        <v>1.0286141920976</v>
      </c>
      <c r="F4360">
        <v>1.31266577601753</v>
      </c>
      <c r="G4360">
        <v>1.0797682803287401</v>
      </c>
      <c r="H4360">
        <v>0.61555433156204697</v>
      </c>
      <c r="I4360">
        <v>0.72211377229467699</v>
      </c>
      <c r="J4360">
        <v>0.77472405241852105</v>
      </c>
      <c r="K4360">
        <v>0.94676119207030196</v>
      </c>
      <c r="L4360">
        <v>4500.8705072150497</v>
      </c>
      <c r="M4360">
        <v>76.883510570451094</v>
      </c>
      <c r="O4360">
        <v>58.501857992293999</v>
      </c>
      <c r="P4360">
        <v>-7.6356955616376301E-2</v>
      </c>
      <c r="Q4360">
        <v>0.76759525885797797</v>
      </c>
      <c r="R4360">
        <v>0.45161183715158898</v>
      </c>
      <c r="S4360" t="s">
        <v>11363</v>
      </c>
      <c r="T4360" t="s">
        <v>14004</v>
      </c>
      <c r="U4360" t="s">
        <v>14004</v>
      </c>
      <c r="V4360" t="s">
        <v>14004</v>
      </c>
      <c r="W4360" t="s">
        <v>18309</v>
      </c>
      <c r="X4360">
        <v>1</v>
      </c>
      <c r="Y4360" t="s">
        <v>25123</v>
      </c>
      <c r="Z4360" t="s">
        <v>32070</v>
      </c>
      <c r="AA4360">
        <v>0.91148542126901966</v>
      </c>
      <c r="AB4360" t="str">
        <f>HYPERLINK("Melting_Curves/meltCurve_Q6ZS86_GK5.pdf", "Melting_Curves/meltCurve_Q6ZS86_GK5.pdf")</f>
        <v>Melting_Curves/meltCurve_Q6ZS86_GK5.pdf</v>
      </c>
    </row>
    <row r="4361" spans="1:28" x14ac:dyDescent="0.25">
      <c r="A4361" t="s">
        <v>4365</v>
      </c>
      <c r="B4361">
        <v>0.99999676499088797</v>
      </c>
      <c r="C4361">
        <v>0.89469154470553802</v>
      </c>
      <c r="D4361">
        <v>0.89836315481968598</v>
      </c>
      <c r="E4361">
        <v>0.760163804288846</v>
      </c>
      <c r="F4361">
        <v>0.63560094809826695</v>
      </c>
      <c r="G4361">
        <v>0.50651040256300905</v>
      </c>
      <c r="H4361">
        <v>0.25155873815438201</v>
      </c>
      <c r="I4361">
        <v>0.294970774663043</v>
      </c>
      <c r="J4361">
        <v>0.32689352523991799</v>
      </c>
      <c r="K4361">
        <v>0.295013255242213</v>
      </c>
      <c r="L4361">
        <v>655.45466233587001</v>
      </c>
      <c r="M4361">
        <v>12.387421221984001</v>
      </c>
      <c r="N4361">
        <v>55.729240065046902</v>
      </c>
      <c r="O4361">
        <v>51.590678278905202</v>
      </c>
      <c r="P4361">
        <v>-4.6072518150499897E-2</v>
      </c>
      <c r="Q4361">
        <v>0.23263872307323899</v>
      </c>
      <c r="R4361">
        <v>0.97053633839521203</v>
      </c>
      <c r="S4361" t="s">
        <v>11364</v>
      </c>
      <c r="T4361" t="s">
        <v>14004</v>
      </c>
      <c r="U4361" t="s">
        <v>14004</v>
      </c>
      <c r="V4361" t="s">
        <v>14004</v>
      </c>
      <c r="W4361" t="s">
        <v>18310</v>
      </c>
      <c r="X4361">
        <v>2</v>
      </c>
      <c r="Y4361" t="s">
        <v>25124</v>
      </c>
      <c r="Z4361" t="s">
        <v>32071</v>
      </c>
      <c r="AA4361">
        <v>0.58414000513279307</v>
      </c>
      <c r="AB4361" t="str">
        <f>HYPERLINK("Melting_Curves/meltCurve_Q6ZSJ8_C1orf122.pdf", "Melting_Curves/meltCurve_Q6ZSJ8_C1orf122.pdf")</f>
        <v>Melting_Curves/meltCurve_Q6ZSJ8_C1orf122.pdf</v>
      </c>
    </row>
    <row r="4362" spans="1:28" x14ac:dyDescent="0.25">
      <c r="A4362" t="s">
        <v>4366</v>
      </c>
      <c r="B4362">
        <v>0.99999676499088797</v>
      </c>
      <c r="C4362">
        <v>1.15385878777607</v>
      </c>
      <c r="D4362">
        <v>1.1597693131864499</v>
      </c>
      <c r="E4362">
        <v>1.2765700607150801</v>
      </c>
      <c r="F4362">
        <v>1.5032512751245799</v>
      </c>
      <c r="G4362">
        <v>1.1935542903198699</v>
      </c>
      <c r="H4362">
        <v>1.01444064406366</v>
      </c>
      <c r="I4362">
        <v>0.84952987899267496</v>
      </c>
      <c r="J4362">
        <v>0.79329281946590502</v>
      </c>
      <c r="K4362">
        <v>1.1547101248532099</v>
      </c>
      <c r="L4362">
        <v>15000</v>
      </c>
      <c r="M4362">
        <v>213.482497696525</v>
      </c>
      <c r="Q4362">
        <v>1.5</v>
      </c>
      <c r="R4362">
        <v>-0.25145296349330698</v>
      </c>
      <c r="S4362" t="s">
        <v>11365</v>
      </c>
      <c r="T4362" t="s">
        <v>14004</v>
      </c>
      <c r="U4362" t="s">
        <v>14004</v>
      </c>
      <c r="V4362" t="s">
        <v>14004</v>
      </c>
      <c r="W4362" t="s">
        <v>18311</v>
      </c>
      <c r="X4362">
        <v>4</v>
      </c>
      <c r="Y4362" t="s">
        <v>25125</v>
      </c>
      <c r="Z4362" t="s">
        <v>32072</v>
      </c>
      <c r="AA4362">
        <v>1.0019946924035239</v>
      </c>
      <c r="AB4362" t="str">
        <f>HYPERLINK("Melting_Curves/meltCurve_Q6ZSS7_MFSD6.pdf", "Melting_Curves/meltCurve_Q6ZSS7_MFSD6.pdf")</f>
        <v>Melting_Curves/meltCurve_Q6ZSS7_MFSD6.pdf</v>
      </c>
    </row>
    <row r="4363" spans="1:28" x14ac:dyDescent="0.25">
      <c r="A4363" t="s">
        <v>4367</v>
      </c>
      <c r="B4363">
        <v>0.99999676499088797</v>
      </c>
      <c r="C4363">
        <v>1.1059179012892599</v>
      </c>
      <c r="D4363">
        <v>1.09633348085972</v>
      </c>
      <c r="E4363">
        <v>1.0901037753621701</v>
      </c>
      <c r="F4363">
        <v>1.05709021013797</v>
      </c>
      <c r="G4363">
        <v>0.86033735866628502</v>
      </c>
      <c r="H4363">
        <v>0.70032236780503698</v>
      </c>
      <c r="I4363">
        <v>0.59415889290283896</v>
      </c>
      <c r="J4363">
        <v>0.60166312129538801</v>
      </c>
      <c r="K4363">
        <v>0.68334409446701205</v>
      </c>
      <c r="L4363">
        <v>2536.7156612888102</v>
      </c>
      <c r="M4363">
        <v>43.971589412788298</v>
      </c>
      <c r="O4363">
        <v>57.570921351501603</v>
      </c>
      <c r="P4363">
        <v>-7.0062748968991007E-2</v>
      </c>
      <c r="Q4363">
        <v>0.63307465696463106</v>
      </c>
      <c r="R4363">
        <v>0.90487458565571299</v>
      </c>
      <c r="S4363" t="s">
        <v>11366</v>
      </c>
      <c r="T4363" t="s">
        <v>14004</v>
      </c>
      <c r="U4363" t="s">
        <v>14004</v>
      </c>
      <c r="V4363" t="s">
        <v>14004</v>
      </c>
      <c r="W4363" t="s">
        <v>18312</v>
      </c>
      <c r="X4363">
        <v>2</v>
      </c>
      <c r="Y4363" t="s">
        <v>25126</v>
      </c>
      <c r="Z4363" t="s">
        <v>32073</v>
      </c>
      <c r="AA4363">
        <v>0.85063514243258487</v>
      </c>
      <c r="AB4363" t="str">
        <f>HYPERLINK("Melting_Curves/meltCurve_Q6ZT21_2_TMPPE.pdf", "Melting_Curves/meltCurve_Q6ZT21_2_TMPPE.pdf")</f>
        <v>Melting_Curves/meltCurve_Q6ZT21_2_TMPPE.pdf</v>
      </c>
    </row>
    <row r="4364" spans="1:28" x14ac:dyDescent="0.25">
      <c r="A4364" t="s">
        <v>4368</v>
      </c>
      <c r="B4364">
        <v>0.99999676499088797</v>
      </c>
      <c r="C4364">
        <v>0.97759977945098797</v>
      </c>
      <c r="D4364">
        <v>0.92725697637466198</v>
      </c>
      <c r="E4364">
        <v>0.75579095897440496</v>
      </c>
      <c r="F4364">
        <v>0.41020404014095202</v>
      </c>
      <c r="G4364">
        <v>0.227565878076918</v>
      </c>
      <c r="H4364">
        <v>0.116315893295672</v>
      </c>
      <c r="I4364">
        <v>0.113337744971058</v>
      </c>
      <c r="J4364">
        <v>9.2849521682219494E-2</v>
      </c>
      <c r="K4364">
        <v>8.08548951524308E-2</v>
      </c>
      <c r="L4364">
        <v>1067.0738480947</v>
      </c>
      <c r="M4364">
        <v>20.579961603365899</v>
      </c>
      <c r="N4364">
        <v>52.316999857568398</v>
      </c>
      <c r="O4364">
        <v>51.368006777418501</v>
      </c>
      <c r="P4364">
        <v>-9.1760192535876001E-2</v>
      </c>
      <c r="Q4364">
        <v>8.3885110028587506E-2</v>
      </c>
      <c r="R4364">
        <v>0.99924326747344705</v>
      </c>
      <c r="S4364" t="s">
        <v>11367</v>
      </c>
      <c r="T4364" t="s">
        <v>14004</v>
      </c>
      <c r="U4364" t="s">
        <v>14004</v>
      </c>
      <c r="V4364" t="s">
        <v>14004</v>
      </c>
      <c r="W4364" t="s">
        <v>18313</v>
      </c>
      <c r="X4364">
        <v>13</v>
      </c>
      <c r="Y4364" t="s">
        <v>25127</v>
      </c>
      <c r="Z4364" t="s">
        <v>32074</v>
      </c>
      <c r="AA4364">
        <v>0.4577989239816771</v>
      </c>
      <c r="AB4364" t="str">
        <f>HYPERLINK("Melting_Curves/meltCurve_Q6ZT62_SH3BP1.pdf", "Melting_Curves/meltCurve_Q6ZT62_SH3BP1.pdf")</f>
        <v>Melting_Curves/meltCurve_Q6ZT62_SH3BP1.pdf</v>
      </c>
    </row>
    <row r="4365" spans="1:28" x14ac:dyDescent="0.25">
      <c r="A4365" t="s">
        <v>4369</v>
      </c>
      <c r="B4365">
        <v>0.99999676499088797</v>
      </c>
      <c r="C4365">
        <v>0.92552804686835899</v>
      </c>
      <c r="D4365">
        <v>0.86862280375549605</v>
      </c>
      <c r="E4365">
        <v>0.75868409141675497</v>
      </c>
      <c r="F4365">
        <v>0.57814176100444403</v>
      </c>
      <c r="G4365">
        <v>0.52281145611004998</v>
      </c>
      <c r="H4365">
        <v>0.43944604619037703</v>
      </c>
      <c r="I4365">
        <v>0.57208687414136505</v>
      </c>
      <c r="J4365">
        <v>0.554074647577529</v>
      </c>
      <c r="K4365">
        <v>0.670375471883077</v>
      </c>
      <c r="L4365">
        <v>1006.34210791163</v>
      </c>
      <c r="M4365">
        <v>20.844480524743801</v>
      </c>
      <c r="O4365">
        <v>47.8408346662995</v>
      </c>
      <c r="P4365">
        <v>-4.93922009355773E-2</v>
      </c>
      <c r="Q4365">
        <v>0.54656608424828601</v>
      </c>
      <c r="R4365">
        <v>0.89107461344536998</v>
      </c>
      <c r="S4365" t="s">
        <v>11368</v>
      </c>
      <c r="T4365" t="s">
        <v>14004</v>
      </c>
      <c r="U4365" t="s">
        <v>14004</v>
      </c>
      <c r="V4365" t="s">
        <v>14004</v>
      </c>
      <c r="W4365" t="s">
        <v>18314</v>
      </c>
      <c r="X4365">
        <v>5</v>
      </c>
      <c r="Y4365" t="s">
        <v>25128</v>
      </c>
      <c r="Z4365" t="s">
        <v>32075</v>
      </c>
      <c r="AA4365">
        <v>0.67756983200857712</v>
      </c>
      <c r="AB4365" t="str">
        <f>HYPERLINK("Melting_Curves/meltCurve_Q6ZUT1_C11orf57.pdf", "Melting_Curves/meltCurve_Q6ZUT1_C11orf57.pdf")</f>
        <v>Melting_Curves/meltCurve_Q6ZUT1_C11orf57.pdf</v>
      </c>
    </row>
    <row r="4366" spans="1:28" x14ac:dyDescent="0.25">
      <c r="A4366" t="s">
        <v>4370</v>
      </c>
      <c r="B4366">
        <v>0.99999676499088797</v>
      </c>
      <c r="C4366">
        <v>0.95165302902326399</v>
      </c>
      <c r="D4366">
        <v>0.91702744953978699</v>
      </c>
      <c r="E4366">
        <v>0.85505351803285301</v>
      </c>
      <c r="F4366">
        <v>0.71674204058779001</v>
      </c>
      <c r="G4366">
        <v>0.62155338122662696</v>
      </c>
      <c r="H4366">
        <v>0.26589054835854198</v>
      </c>
      <c r="I4366">
        <v>0.20652735142742101</v>
      </c>
      <c r="J4366">
        <v>0.19616283033489801</v>
      </c>
      <c r="K4366">
        <v>0.15798792917979099</v>
      </c>
      <c r="L4366">
        <v>721.42577645186498</v>
      </c>
      <c r="M4366">
        <v>12.6842323510893</v>
      </c>
      <c r="N4366">
        <v>57.392315654586703</v>
      </c>
      <c r="O4366">
        <v>55.517684094270699</v>
      </c>
      <c r="P4366">
        <v>-5.4047493503299203E-2</v>
      </c>
      <c r="Q4366">
        <v>5.3940717984559003E-2</v>
      </c>
      <c r="R4366">
        <v>0.98224971552272899</v>
      </c>
      <c r="S4366" t="s">
        <v>11369</v>
      </c>
      <c r="T4366" t="s">
        <v>14004</v>
      </c>
      <c r="U4366" t="s">
        <v>14004</v>
      </c>
      <c r="V4366" t="s">
        <v>14004</v>
      </c>
      <c r="W4366" t="s">
        <v>18315</v>
      </c>
      <c r="X4366">
        <v>5</v>
      </c>
      <c r="Y4366" t="s">
        <v>25129</v>
      </c>
      <c r="Z4366" t="s">
        <v>32076</v>
      </c>
      <c r="AA4366">
        <v>0.60239765010127277</v>
      </c>
      <c r="AB4366" t="str">
        <f>HYPERLINK("Melting_Curves/meltCurve_Q6ZVK8_NUDT18.pdf", "Melting_Curves/meltCurve_Q6ZVK8_NUDT18.pdf")</f>
        <v>Melting_Curves/meltCurve_Q6ZVK8_NUDT18.pdf</v>
      </c>
    </row>
    <row r="4367" spans="1:28" x14ac:dyDescent="0.25">
      <c r="A4367" t="s">
        <v>4371</v>
      </c>
      <c r="B4367">
        <v>0.99999676499088797</v>
      </c>
      <c r="C4367">
        <v>0.99248814288864695</v>
      </c>
      <c r="D4367">
        <v>0.88388235260557102</v>
      </c>
      <c r="E4367">
        <v>0.53212098816676001</v>
      </c>
      <c r="F4367">
        <v>0.406952337636176</v>
      </c>
      <c r="G4367">
        <v>0.28209517987050903</v>
      </c>
      <c r="H4367">
        <v>0.138867991400666</v>
      </c>
      <c r="I4367">
        <v>0.12402137679358501</v>
      </c>
      <c r="J4367">
        <v>8.6808958188135402E-2</v>
      </c>
      <c r="K4367">
        <v>4.7061259427927903E-2</v>
      </c>
      <c r="L4367">
        <v>742.52219760287596</v>
      </c>
      <c r="M4367">
        <v>14.5918807032941</v>
      </c>
      <c r="N4367">
        <v>51.372587315291099</v>
      </c>
      <c r="O4367">
        <v>49.958923808561401</v>
      </c>
      <c r="P4367">
        <v>-6.8314091440952698E-2</v>
      </c>
      <c r="Q4367">
        <v>6.4544325099732E-2</v>
      </c>
      <c r="R4367">
        <v>0.98707984286285799</v>
      </c>
      <c r="S4367" t="s">
        <v>11370</v>
      </c>
      <c r="T4367" t="s">
        <v>14004</v>
      </c>
      <c r="U4367" t="s">
        <v>14004</v>
      </c>
      <c r="V4367" t="s">
        <v>14004</v>
      </c>
      <c r="W4367" t="s">
        <v>18316</v>
      </c>
      <c r="X4367">
        <v>4</v>
      </c>
      <c r="Y4367" t="s">
        <v>25130</v>
      </c>
      <c r="Z4367" t="s">
        <v>32077</v>
      </c>
      <c r="AA4367">
        <v>0.42669397094143741</v>
      </c>
      <c r="AB4367" t="str">
        <f>HYPERLINK("Melting_Curves/meltCurve_Q6ZVM7_TOM1L2.pdf", "Melting_Curves/meltCurve_Q6ZVM7_TOM1L2.pdf")</f>
        <v>Melting_Curves/meltCurve_Q6ZVM7_TOM1L2.pdf</v>
      </c>
    </row>
    <row r="4368" spans="1:28" x14ac:dyDescent="0.25">
      <c r="A4368" t="s">
        <v>4372</v>
      </c>
      <c r="B4368">
        <v>0.99999676499088797</v>
      </c>
      <c r="C4368">
        <v>0.82949482876871095</v>
      </c>
      <c r="D4368">
        <v>0.67979093311975702</v>
      </c>
      <c r="E4368">
        <v>0.46548028114021001</v>
      </c>
      <c r="F4368">
        <v>0.30190600374010801</v>
      </c>
      <c r="G4368">
        <v>0.186047518355798</v>
      </c>
      <c r="H4368">
        <v>7.1043932016147407E-2</v>
      </c>
      <c r="I4368">
        <v>5.6348723943757298E-2</v>
      </c>
      <c r="J4368">
        <v>6.4648332894587796E-2</v>
      </c>
      <c r="K4368">
        <v>4.6973494408453102E-2</v>
      </c>
      <c r="L4368">
        <v>602.86168471106805</v>
      </c>
      <c r="M4368">
        <v>12.3181989692984</v>
      </c>
      <c r="N4368">
        <v>49.087216843851998</v>
      </c>
      <c r="O4368">
        <v>47.7045557183448</v>
      </c>
      <c r="P4368">
        <v>-6.3403497040740595E-2</v>
      </c>
      <c r="Q4368">
        <v>1.8045727039482502E-2</v>
      </c>
      <c r="R4368">
        <v>0.994782960394197</v>
      </c>
      <c r="S4368" t="s">
        <v>11371</v>
      </c>
      <c r="T4368" t="s">
        <v>14004</v>
      </c>
      <c r="U4368" t="s">
        <v>14004</v>
      </c>
      <c r="V4368" t="s">
        <v>14004</v>
      </c>
      <c r="W4368" t="s">
        <v>18317</v>
      </c>
      <c r="X4368">
        <v>6</v>
      </c>
      <c r="Y4368" t="s">
        <v>25131</v>
      </c>
      <c r="Z4368" t="s">
        <v>32078</v>
      </c>
      <c r="AA4368">
        <v>0.34532751618583768</v>
      </c>
      <c r="AB4368" t="str">
        <f>HYPERLINK("Melting_Curves/meltCurve_Q6ZW49_4_PAXIP1.pdf", "Melting_Curves/meltCurve_Q6ZW49_4_PAXIP1.pdf")</f>
        <v>Melting_Curves/meltCurve_Q6ZW49_4_PAXIP1.pdf</v>
      </c>
    </row>
    <row r="4369" spans="1:28" x14ac:dyDescent="0.25">
      <c r="A4369" t="s">
        <v>4373</v>
      </c>
      <c r="B4369">
        <v>0.99999676499088797</v>
      </c>
      <c r="C4369">
        <v>1.0912848082923301</v>
      </c>
      <c r="D4369">
        <v>1.1631886189034699</v>
      </c>
      <c r="E4369">
        <v>1.2594302321767099</v>
      </c>
      <c r="F4369">
        <v>1.0701486174179999</v>
      </c>
      <c r="G4369">
        <v>0.74209446070662599</v>
      </c>
      <c r="H4369">
        <v>0.23570272544901399</v>
      </c>
      <c r="I4369">
        <v>0.105718902627935</v>
      </c>
      <c r="J4369">
        <v>0</v>
      </c>
      <c r="K4369">
        <v>0</v>
      </c>
      <c r="L4369">
        <v>2100.8970811720201</v>
      </c>
      <c r="M4369">
        <v>35.804035414777303</v>
      </c>
      <c r="N4369">
        <v>58.722593723267003</v>
      </c>
      <c r="O4369">
        <v>58.495493078867298</v>
      </c>
      <c r="P4369">
        <v>-0.15095331674947801</v>
      </c>
      <c r="Q4369">
        <v>1.3511891768760401E-2</v>
      </c>
      <c r="R4369">
        <v>0.95281745362705605</v>
      </c>
      <c r="S4369" t="s">
        <v>11372</v>
      </c>
      <c r="T4369" t="s">
        <v>14004</v>
      </c>
      <c r="U4369" t="s">
        <v>14004</v>
      </c>
      <c r="V4369" t="s">
        <v>14004</v>
      </c>
      <c r="W4369" t="s">
        <v>18318</v>
      </c>
      <c r="X4369">
        <v>3</v>
      </c>
      <c r="Y4369" t="s">
        <v>25132</v>
      </c>
      <c r="Z4369" t="s">
        <v>32079</v>
      </c>
      <c r="AA4369">
        <v>0.63244344895728011</v>
      </c>
      <c r="AB4369" t="str">
        <f>HYPERLINK("Melting_Curves/meltCurve_Q6ZWL3_2_CYP4V2.pdf", "Melting_Curves/meltCurve_Q6ZWL3_2_CYP4V2.pdf")</f>
        <v>Melting_Curves/meltCurve_Q6ZWL3_2_CYP4V2.pdf</v>
      </c>
    </row>
    <row r="4370" spans="1:28" x14ac:dyDescent="0.25">
      <c r="A4370" t="s">
        <v>4374</v>
      </c>
      <c r="B4370">
        <v>0.99999676499088797</v>
      </c>
      <c r="C4370">
        <v>1.05548722558616</v>
      </c>
      <c r="D4370">
        <v>0.97634287255819996</v>
      </c>
      <c r="E4370">
        <v>0.80386252692552995</v>
      </c>
      <c r="F4370">
        <v>0.78644794310572796</v>
      </c>
      <c r="G4370">
        <v>0.41622333378133602</v>
      </c>
      <c r="H4370">
        <v>0.101270283748274</v>
      </c>
      <c r="I4370">
        <v>0.18183053815441699</v>
      </c>
      <c r="J4370">
        <v>5.4837451806072898E-2</v>
      </c>
      <c r="K4370">
        <v>0.13532554084364701</v>
      </c>
      <c r="L4370">
        <v>1196.7377587661899</v>
      </c>
      <c r="M4370">
        <v>21.660870644108101</v>
      </c>
      <c r="N4370">
        <v>55.683923189358303</v>
      </c>
      <c r="O4370">
        <v>54.7844083466317</v>
      </c>
      <c r="P4370">
        <v>-9.1152879193624803E-2</v>
      </c>
      <c r="Q4370">
        <v>7.7850996855454005E-2</v>
      </c>
      <c r="R4370">
        <v>0.97478218809482997</v>
      </c>
      <c r="S4370" t="s">
        <v>11373</v>
      </c>
      <c r="T4370" t="s">
        <v>14004</v>
      </c>
      <c r="U4370" t="s">
        <v>14004</v>
      </c>
      <c r="V4370" t="s">
        <v>14004</v>
      </c>
      <c r="W4370" t="s">
        <v>18319</v>
      </c>
      <c r="X4370">
        <v>2</v>
      </c>
      <c r="Y4370" t="s">
        <v>25133</v>
      </c>
      <c r="Z4370" t="s">
        <v>32080</v>
      </c>
      <c r="AA4370">
        <v>0.55737647320520167</v>
      </c>
      <c r="AB4370" t="str">
        <f>HYPERLINK("Melting_Curves/meltCurve_Q6ZWT7_MBOAT2.pdf", "Melting_Curves/meltCurve_Q6ZWT7_MBOAT2.pdf")</f>
        <v>Melting_Curves/meltCurve_Q6ZWT7_MBOAT2.pdf</v>
      </c>
    </row>
    <row r="4371" spans="1:28" x14ac:dyDescent="0.25">
      <c r="A4371" t="s">
        <v>4375</v>
      </c>
      <c r="B4371">
        <v>0.99999676499088797</v>
      </c>
      <c r="C4371">
        <v>0.921663633046784</v>
      </c>
      <c r="D4371">
        <v>0.92764706341880498</v>
      </c>
      <c r="E4371">
        <v>0.45011663439022298</v>
      </c>
      <c r="F4371">
        <v>0.27389517859871199</v>
      </c>
      <c r="G4371">
        <v>0.167372067810483</v>
      </c>
      <c r="H4371">
        <v>0.127445586397298</v>
      </c>
      <c r="I4371">
        <v>0.153802457211971</v>
      </c>
      <c r="J4371">
        <v>0.214700467403449</v>
      </c>
      <c r="K4371">
        <v>0.181419137345673</v>
      </c>
      <c r="L4371">
        <v>1575.2541984612899</v>
      </c>
      <c r="M4371">
        <v>32.321149420881397</v>
      </c>
      <c r="N4371">
        <v>49.389941926364202</v>
      </c>
      <c r="O4371">
        <v>48.552123333017803</v>
      </c>
      <c r="P4371">
        <v>-0.137510668752133</v>
      </c>
      <c r="Q4371">
        <v>0.173741766676279</v>
      </c>
      <c r="R4371">
        <v>0.988751060379924</v>
      </c>
      <c r="S4371" t="s">
        <v>11374</v>
      </c>
      <c r="T4371" t="s">
        <v>14004</v>
      </c>
      <c r="U4371" t="s">
        <v>14004</v>
      </c>
      <c r="V4371" t="s">
        <v>14004</v>
      </c>
      <c r="W4371" t="s">
        <v>18320</v>
      </c>
      <c r="X4371">
        <v>2</v>
      </c>
      <c r="Y4371" t="s">
        <v>25134</v>
      </c>
      <c r="Z4371" t="s">
        <v>32081</v>
      </c>
      <c r="AA4371">
        <v>0.41869404249491182</v>
      </c>
      <c r="AB4371" t="str">
        <f>HYPERLINK("Melting_Curves/meltCurve_Q6ZXV5_2_TMTC3.pdf", "Melting_Curves/meltCurve_Q6ZXV5_2_TMTC3.pdf")</f>
        <v>Melting_Curves/meltCurve_Q6ZXV5_2_TMTC3.pdf</v>
      </c>
    </row>
    <row r="4372" spans="1:28" x14ac:dyDescent="0.25">
      <c r="A4372" t="s">
        <v>4376</v>
      </c>
      <c r="B4372">
        <v>0.99999676499088797</v>
      </c>
      <c r="C4372">
        <v>0.96708207711062899</v>
      </c>
      <c r="D4372">
        <v>0.81972528380866705</v>
      </c>
      <c r="E4372">
        <v>0.52748669332517295</v>
      </c>
      <c r="F4372">
        <v>0.691294766625839</v>
      </c>
      <c r="G4372">
        <v>0.669175035965065</v>
      </c>
      <c r="H4372">
        <v>0.57837416053581103</v>
      </c>
      <c r="I4372">
        <v>0.44540022258260797</v>
      </c>
      <c r="J4372">
        <v>0.38706833596578799</v>
      </c>
      <c r="K4372">
        <v>0.350289744910597</v>
      </c>
      <c r="L4372">
        <v>307.60130635630998</v>
      </c>
      <c r="M4372">
        <v>5.2893426821462803</v>
      </c>
      <c r="N4372">
        <v>61.317556504631099</v>
      </c>
      <c r="O4372">
        <v>51.400178126194</v>
      </c>
      <c r="P4372">
        <v>-2.2769363969179501E-2</v>
      </c>
      <c r="Q4372">
        <v>0.119382660118656</v>
      </c>
      <c r="R4372">
        <v>0.84358735799014095</v>
      </c>
      <c r="S4372" t="s">
        <v>11375</v>
      </c>
      <c r="T4372" t="s">
        <v>14004</v>
      </c>
      <c r="U4372" t="s">
        <v>14004</v>
      </c>
      <c r="V4372" t="s">
        <v>14004</v>
      </c>
      <c r="W4372" t="s">
        <v>18321</v>
      </c>
      <c r="X4372">
        <v>2</v>
      </c>
      <c r="Y4372" t="s">
        <v>25135</v>
      </c>
      <c r="Z4372" t="s">
        <v>32082</v>
      </c>
      <c r="AA4372">
        <v>0.63737381075269006</v>
      </c>
      <c r="AB4372" t="str">
        <f>HYPERLINK("Melting_Curves/meltCurve_Q6ZYL4_GTF2H5.pdf", "Melting_Curves/meltCurve_Q6ZYL4_GTF2H5.pdf")</f>
        <v>Melting_Curves/meltCurve_Q6ZYL4_GTF2H5.pdf</v>
      </c>
    </row>
    <row r="4373" spans="1:28" x14ac:dyDescent="0.25">
      <c r="A4373" t="s">
        <v>4377</v>
      </c>
      <c r="B4373">
        <v>0.99999676499088797</v>
      </c>
      <c r="C4373">
        <v>1.07046908749722</v>
      </c>
      <c r="D4373">
        <v>1.0668962478466799</v>
      </c>
      <c r="E4373">
        <v>1.15980013688905</v>
      </c>
      <c r="F4373">
        <v>0.502470447516008</v>
      </c>
      <c r="G4373">
        <v>0.22233219714876501</v>
      </c>
      <c r="H4373">
        <v>0.107542384171007</v>
      </c>
      <c r="I4373">
        <v>0.102150034917388</v>
      </c>
      <c r="J4373">
        <v>0.101250608698221</v>
      </c>
      <c r="K4373">
        <v>8.8057330774402795E-2</v>
      </c>
      <c r="L4373">
        <v>6782.1138739316702</v>
      </c>
      <c r="M4373">
        <v>127.75658152978301</v>
      </c>
      <c r="N4373">
        <v>53.205120128772201</v>
      </c>
      <c r="O4373">
        <v>53.073214446796499</v>
      </c>
      <c r="P4373">
        <v>-0.52704846374247005</v>
      </c>
      <c r="Q4373">
        <v>0.12420463226246301</v>
      </c>
      <c r="R4373">
        <v>0.97677843819660304</v>
      </c>
      <c r="S4373" t="s">
        <v>11376</v>
      </c>
      <c r="T4373" t="s">
        <v>14004</v>
      </c>
      <c r="U4373" t="s">
        <v>14004</v>
      </c>
      <c r="V4373" t="s">
        <v>14004</v>
      </c>
      <c r="W4373" t="s">
        <v>18322</v>
      </c>
      <c r="X4373">
        <v>61</v>
      </c>
      <c r="Y4373" t="s">
        <v>25136</v>
      </c>
      <c r="Z4373" t="s">
        <v>32083</v>
      </c>
      <c r="AA4373">
        <v>0.50654560595721965</v>
      </c>
      <c r="AB4373" t="str">
        <f>HYPERLINK("Melting_Curves/meltCurve_Q709C8_3_VPS13C.pdf", "Melting_Curves/meltCurve_Q709C8_3_VPS13C.pdf")</f>
        <v>Melting_Curves/meltCurve_Q709C8_3_VPS13C.pdf</v>
      </c>
    </row>
    <row r="4374" spans="1:28" x14ac:dyDescent="0.25">
      <c r="A4374" t="s">
        <v>4378</v>
      </c>
      <c r="B4374">
        <v>0.99999676499088797</v>
      </c>
      <c r="C4374">
        <v>0.96494220509045703</v>
      </c>
      <c r="D4374">
        <v>0.95261602491261899</v>
      </c>
      <c r="E4374">
        <v>0.52240654707690803</v>
      </c>
      <c r="F4374">
        <v>0.26997107725476499</v>
      </c>
      <c r="G4374">
        <v>0.191748871622518</v>
      </c>
      <c r="H4374">
        <v>6.9192577773460107E-2</v>
      </c>
      <c r="I4374">
        <v>7.0099826386541705E-2</v>
      </c>
      <c r="J4374">
        <v>6.3411815549425807E-2</v>
      </c>
      <c r="K4374">
        <v>4.5834225467391902E-2</v>
      </c>
      <c r="L4374">
        <v>1131.84352584507</v>
      </c>
      <c r="M4374">
        <v>22.653866165386798</v>
      </c>
      <c r="N4374">
        <v>50.295413233708203</v>
      </c>
      <c r="O4374">
        <v>49.578051639379503</v>
      </c>
      <c r="P4374">
        <v>-0.106281805118706</v>
      </c>
      <c r="Q4374">
        <v>6.9626342148267004E-2</v>
      </c>
      <c r="R4374">
        <v>0.99150486969896001</v>
      </c>
      <c r="S4374" t="s">
        <v>11377</v>
      </c>
      <c r="T4374" t="s">
        <v>14004</v>
      </c>
      <c r="U4374" t="s">
        <v>14004</v>
      </c>
      <c r="V4374" t="s">
        <v>14004</v>
      </c>
      <c r="W4374" t="s">
        <v>18323</v>
      </c>
      <c r="X4374">
        <v>6</v>
      </c>
      <c r="Y4374" t="s">
        <v>25137</v>
      </c>
      <c r="Z4374" t="s">
        <v>32084</v>
      </c>
      <c r="AA4374">
        <v>0.38871491119106077</v>
      </c>
      <c r="AB4374" t="str">
        <f>HYPERLINK("Melting_Curves/meltCurve_Q70IA6_MOB2.pdf", "Melting_Curves/meltCurve_Q70IA6_MOB2.pdf")</f>
        <v>Melting_Curves/meltCurve_Q70IA6_MOB2.pdf</v>
      </c>
    </row>
    <row r="4375" spans="1:28" x14ac:dyDescent="0.25">
      <c r="A4375" t="s">
        <v>4379</v>
      </c>
      <c r="B4375">
        <v>0.99999676499088797</v>
      </c>
      <c r="C4375">
        <v>0.81961371252670201</v>
      </c>
      <c r="D4375">
        <v>0.44418747153780502</v>
      </c>
      <c r="E4375">
        <v>0.242917996709068</v>
      </c>
      <c r="F4375">
        <v>0.21179379019014</v>
      </c>
      <c r="G4375">
        <v>0.157346147242549</v>
      </c>
      <c r="H4375">
        <v>7.6787454402108504E-2</v>
      </c>
      <c r="I4375">
        <v>6.66214748580789E-2</v>
      </c>
      <c r="J4375">
        <v>6.3448427687869999E-2</v>
      </c>
      <c r="K4375">
        <v>5.8513341960267903E-2</v>
      </c>
      <c r="L4375">
        <v>944.27563013709198</v>
      </c>
      <c r="M4375">
        <v>20.763698128334902</v>
      </c>
      <c r="N4375">
        <v>45.930988533332503</v>
      </c>
      <c r="O4375">
        <v>45.061725964018201</v>
      </c>
      <c r="P4375">
        <v>-0.104517076522918</v>
      </c>
      <c r="Q4375">
        <v>9.2726860906522907E-2</v>
      </c>
      <c r="R4375">
        <v>0.98316082003945005</v>
      </c>
      <c r="S4375" t="s">
        <v>11378</v>
      </c>
      <c r="T4375" t="s">
        <v>14004</v>
      </c>
      <c r="U4375" t="s">
        <v>14004</v>
      </c>
      <c r="V4375" t="s">
        <v>14004</v>
      </c>
      <c r="W4375" t="s">
        <v>18324</v>
      </c>
      <c r="X4375">
        <v>26</v>
      </c>
      <c r="Y4375" t="s">
        <v>25138</v>
      </c>
      <c r="Z4375" t="s">
        <v>32085</v>
      </c>
      <c r="AA4375">
        <v>0.27178028275745342</v>
      </c>
      <c r="AB4375" t="str">
        <f>HYPERLINK("Melting_Curves/meltCurve_Q70J99_UNC13D.pdf", "Melting_Curves/meltCurve_Q70J99_UNC13D.pdf")</f>
        <v>Melting_Curves/meltCurve_Q70J99_UNC13D.pdf</v>
      </c>
    </row>
    <row r="4376" spans="1:28" x14ac:dyDescent="0.25">
      <c r="A4376" t="s">
        <v>4380</v>
      </c>
      <c r="B4376">
        <v>0.99999676499088797</v>
      </c>
      <c r="C4376">
        <v>0.99142611493635202</v>
      </c>
      <c r="D4376">
        <v>0.98767167139838896</v>
      </c>
      <c r="E4376">
        <v>0.94446416120567001</v>
      </c>
      <c r="F4376">
        <v>0.65791158264469496</v>
      </c>
      <c r="G4376">
        <v>0.39119087356196303</v>
      </c>
      <c r="H4376">
        <v>0.21508972277132901</v>
      </c>
      <c r="I4376">
        <v>0.212253459373308</v>
      </c>
      <c r="J4376">
        <v>0.218785776354598</v>
      </c>
      <c r="K4376">
        <v>0.204817416068485</v>
      </c>
      <c r="L4376">
        <v>1420.73332124884</v>
      </c>
      <c r="M4376">
        <v>26.336472298753101</v>
      </c>
      <c r="N4376">
        <v>55.0238601582031</v>
      </c>
      <c r="O4376">
        <v>53.637325571765601</v>
      </c>
      <c r="P4376">
        <v>-9.8007230862638295E-2</v>
      </c>
      <c r="Q4376">
        <v>0.201595687320685</v>
      </c>
      <c r="R4376">
        <v>0.99845816893888195</v>
      </c>
      <c r="S4376" t="s">
        <v>11379</v>
      </c>
      <c r="T4376" t="s">
        <v>14004</v>
      </c>
      <c r="U4376" t="s">
        <v>14004</v>
      </c>
      <c r="V4376" t="s">
        <v>14004</v>
      </c>
      <c r="W4376" t="s">
        <v>18325</v>
      </c>
      <c r="X4376">
        <v>6</v>
      </c>
      <c r="Y4376" t="s">
        <v>25139</v>
      </c>
      <c r="Z4376" t="s">
        <v>32086</v>
      </c>
      <c r="AA4376">
        <v>0.57944407845381518</v>
      </c>
      <c r="AB4376" t="str">
        <f>HYPERLINK("Melting_Curves/meltCurve_Q70UQ0_IKBIP.pdf", "Melting_Curves/meltCurve_Q70UQ0_IKBIP.pdf")</f>
        <v>Melting_Curves/meltCurve_Q70UQ0_IKBIP.pdf</v>
      </c>
    </row>
    <row r="4377" spans="1:28" x14ac:dyDescent="0.25">
      <c r="A4377" t="s">
        <v>4381</v>
      </c>
      <c r="B4377">
        <v>0.99999676499088797</v>
      </c>
      <c r="C4377">
        <v>0.94815442443292497</v>
      </c>
      <c r="D4377">
        <v>0.993759155233921</v>
      </c>
      <c r="E4377">
        <v>1.05701023339694</v>
      </c>
      <c r="F4377">
        <v>0.77665605867008403</v>
      </c>
      <c r="G4377">
        <v>0.35406188214094497</v>
      </c>
      <c r="H4377">
        <v>0.17310281532969901</v>
      </c>
      <c r="I4377">
        <v>0.13291215986200799</v>
      </c>
      <c r="J4377">
        <v>0.159071174304657</v>
      </c>
      <c r="K4377">
        <v>0.130412040007892</v>
      </c>
      <c r="L4377">
        <v>1954.1063223952999</v>
      </c>
      <c r="M4377">
        <v>35.572674552346101</v>
      </c>
      <c r="N4377">
        <v>55.4508718608216</v>
      </c>
      <c r="O4377">
        <v>54.760058239599303</v>
      </c>
      <c r="P4377">
        <v>-0.139441250667908</v>
      </c>
      <c r="Q4377">
        <v>0.14138751065326399</v>
      </c>
      <c r="R4377">
        <v>0.99389956549351799</v>
      </c>
      <c r="S4377" t="s">
        <v>11380</v>
      </c>
      <c r="T4377" t="s">
        <v>14004</v>
      </c>
      <c r="U4377" t="s">
        <v>14004</v>
      </c>
      <c r="V4377" t="s">
        <v>14004</v>
      </c>
      <c r="W4377" t="s">
        <v>18326</v>
      </c>
      <c r="X4377">
        <v>8</v>
      </c>
      <c r="Y4377" t="s">
        <v>25139</v>
      </c>
      <c r="Z4377" t="s">
        <v>32087</v>
      </c>
      <c r="AA4377">
        <v>0.57286684721581793</v>
      </c>
      <c r="AB4377" t="str">
        <f>HYPERLINK("Melting_Curves/meltCurve_Q70UQ0_4_IKBIP.pdf", "Melting_Curves/meltCurve_Q70UQ0_4_IKBIP.pdf")</f>
        <v>Melting_Curves/meltCurve_Q70UQ0_4_IKBIP.pdf</v>
      </c>
    </row>
    <row r="4378" spans="1:28" x14ac:dyDescent="0.25">
      <c r="A4378" t="s">
        <v>4382</v>
      </c>
      <c r="B4378">
        <v>0.99999676499088797</v>
      </c>
      <c r="C4378">
        <v>0.85175763718745701</v>
      </c>
      <c r="D4378">
        <v>0.82874745263823402</v>
      </c>
      <c r="E4378">
        <v>0.40871611087373499</v>
      </c>
      <c r="F4378">
        <v>0.17592493854017399</v>
      </c>
      <c r="G4378">
        <v>0.15403927227488601</v>
      </c>
      <c r="H4378">
        <v>7.9730318066128805E-2</v>
      </c>
      <c r="I4378">
        <v>8.2106151861174301E-2</v>
      </c>
      <c r="J4378">
        <v>7.3587750197413995E-2</v>
      </c>
      <c r="K4378">
        <v>7.3615389353441599E-2</v>
      </c>
      <c r="L4378">
        <v>1023.54372929642</v>
      </c>
      <c r="M4378">
        <v>21.127891225848401</v>
      </c>
      <c r="N4378">
        <v>48.824854842221299</v>
      </c>
      <c r="O4378">
        <v>48.017404721569697</v>
      </c>
      <c r="P4378">
        <v>-0.101670042388388</v>
      </c>
      <c r="Q4378">
        <v>7.57612124247415E-2</v>
      </c>
      <c r="R4378">
        <v>0.98896767435806798</v>
      </c>
      <c r="S4378" t="s">
        <v>11381</v>
      </c>
      <c r="T4378" t="s">
        <v>14004</v>
      </c>
      <c r="U4378" t="s">
        <v>14004</v>
      </c>
      <c r="V4378" t="s">
        <v>14004</v>
      </c>
      <c r="W4378" t="s">
        <v>18327</v>
      </c>
      <c r="X4378">
        <v>7</v>
      </c>
      <c r="Y4378" t="s">
        <v>25140</v>
      </c>
      <c r="Z4378" t="s">
        <v>32088</v>
      </c>
      <c r="AA4378">
        <v>0.34756168153795919</v>
      </c>
      <c r="AB4378" t="str">
        <f>HYPERLINK("Melting_Curves/meltCurve_Q70Z53_2_FRA10AC1.pdf", "Melting_Curves/meltCurve_Q70Z53_2_FRA10AC1.pdf")</f>
        <v>Melting_Curves/meltCurve_Q70Z53_2_FRA10AC1.pdf</v>
      </c>
    </row>
    <row r="4379" spans="1:28" x14ac:dyDescent="0.25">
      <c r="A4379" t="s">
        <v>4383</v>
      </c>
      <c r="B4379">
        <v>0.99999676499088797</v>
      </c>
      <c r="C4379">
        <v>0.82565404613647997</v>
      </c>
      <c r="D4379">
        <v>0.87314114993607606</v>
      </c>
      <c r="E4379">
        <v>0.72054521414744299</v>
      </c>
      <c r="F4379">
        <v>0.30345416361211702</v>
      </c>
      <c r="G4379">
        <v>0.21215944533414399</v>
      </c>
      <c r="H4379">
        <v>0.10042917443405799</v>
      </c>
      <c r="I4379">
        <v>7.9987235441951202E-2</v>
      </c>
      <c r="J4379">
        <v>7.6381517445800698E-2</v>
      </c>
      <c r="K4379">
        <v>8.0729729370266498E-2</v>
      </c>
      <c r="L4379">
        <v>885.23726091072194</v>
      </c>
      <c r="M4379">
        <v>17.346989116710301</v>
      </c>
      <c r="N4379">
        <v>51.388983508588801</v>
      </c>
      <c r="O4379">
        <v>50.3674946985034</v>
      </c>
      <c r="P4379">
        <v>-8.1208994248320801E-2</v>
      </c>
      <c r="Q4379">
        <v>5.6883047703702803E-2</v>
      </c>
      <c r="R4379">
        <v>0.97657539021889705</v>
      </c>
      <c r="S4379" t="s">
        <v>11382</v>
      </c>
      <c r="T4379" t="s">
        <v>14004</v>
      </c>
      <c r="U4379" t="s">
        <v>14004</v>
      </c>
      <c r="V4379" t="s">
        <v>14004</v>
      </c>
      <c r="W4379" t="s">
        <v>18328</v>
      </c>
      <c r="X4379">
        <v>8</v>
      </c>
      <c r="Y4379" t="s">
        <v>25141</v>
      </c>
      <c r="Z4379" t="s">
        <v>32089</v>
      </c>
      <c r="AA4379">
        <v>0.42064222874106572</v>
      </c>
      <c r="AB4379" t="str">
        <f>HYPERLINK("Melting_Curves/meltCurve_Q712K3_UBE2R2.pdf", "Melting_Curves/meltCurve_Q712K3_UBE2R2.pdf")</f>
        <v>Melting_Curves/meltCurve_Q712K3_UBE2R2.pdf</v>
      </c>
    </row>
    <row r="4380" spans="1:28" x14ac:dyDescent="0.25">
      <c r="A4380" t="s">
        <v>4384</v>
      </c>
      <c r="B4380">
        <v>0.99999676499088797</v>
      </c>
      <c r="C4380">
        <v>0.83318353828450498</v>
      </c>
      <c r="D4380">
        <v>0.77711407531577503</v>
      </c>
      <c r="E4380">
        <v>0.61223780107882897</v>
      </c>
      <c r="F4380">
        <v>0.45838801039528199</v>
      </c>
      <c r="G4380">
        <v>0.36634184210923199</v>
      </c>
      <c r="H4380">
        <v>0.18912770122577499</v>
      </c>
      <c r="I4380">
        <v>0.17493971890048099</v>
      </c>
      <c r="J4380">
        <v>0.17006257136144901</v>
      </c>
      <c r="K4380">
        <v>0.17320087585535501</v>
      </c>
      <c r="L4380">
        <v>518.32502423947506</v>
      </c>
      <c r="M4380">
        <v>10.1641259493663</v>
      </c>
      <c r="N4380">
        <v>52.037661492179602</v>
      </c>
      <c r="O4380">
        <v>49.139705394262897</v>
      </c>
      <c r="P4380">
        <v>-4.6970034160010499E-2</v>
      </c>
      <c r="Q4380">
        <v>9.2085709258418899E-2</v>
      </c>
      <c r="R4380">
        <v>0.98820649726240295</v>
      </c>
      <c r="S4380" t="s">
        <v>11383</v>
      </c>
      <c r="T4380" t="s">
        <v>14004</v>
      </c>
      <c r="U4380" t="s">
        <v>14004</v>
      </c>
      <c r="V4380" t="s">
        <v>14004</v>
      </c>
      <c r="W4380" t="s">
        <v>18329</v>
      </c>
      <c r="X4380">
        <v>4</v>
      </c>
      <c r="Y4380" t="s">
        <v>25142</v>
      </c>
      <c r="Z4380" t="s">
        <v>32090</v>
      </c>
      <c r="AA4380">
        <v>0.46187048417416288</v>
      </c>
      <c r="AB4380" t="str">
        <f>HYPERLINK("Melting_Curves/meltCurve_Q71F23_MLF1IP.pdf", "Melting_Curves/meltCurve_Q71F23_MLF1IP.pdf")</f>
        <v>Melting_Curves/meltCurve_Q71F23_MLF1IP.pdf</v>
      </c>
    </row>
    <row r="4381" spans="1:28" x14ac:dyDescent="0.25">
      <c r="A4381" t="s">
        <v>4385</v>
      </c>
      <c r="B4381">
        <v>0.99999676499088797</v>
      </c>
      <c r="C4381">
        <v>0.88210206500961097</v>
      </c>
      <c r="D4381">
        <v>0.63456425861592203</v>
      </c>
      <c r="E4381">
        <v>0.292189303916292</v>
      </c>
      <c r="F4381">
        <v>0.20886605494493801</v>
      </c>
      <c r="G4381">
        <v>0.14712188271033799</v>
      </c>
      <c r="H4381">
        <v>8.1572585681790002E-2</v>
      </c>
      <c r="I4381">
        <v>5.7729224700217498E-2</v>
      </c>
      <c r="J4381">
        <v>6.3801108784105096E-2</v>
      </c>
      <c r="K4381">
        <v>7.9506215931791205E-2</v>
      </c>
      <c r="L4381">
        <v>911.50106884989896</v>
      </c>
      <c r="M4381">
        <v>19.392749291744</v>
      </c>
      <c r="N4381">
        <v>47.4215114090239</v>
      </c>
      <c r="O4381">
        <v>46.510924663784202</v>
      </c>
      <c r="P4381">
        <v>-9.6027573217066606E-2</v>
      </c>
      <c r="Q4381">
        <v>7.8796524880854799E-2</v>
      </c>
      <c r="R4381">
        <v>0.99464622668440095</v>
      </c>
      <c r="S4381" t="s">
        <v>11384</v>
      </c>
      <c r="T4381" t="s">
        <v>14004</v>
      </c>
      <c r="U4381" t="s">
        <v>14004</v>
      </c>
      <c r="V4381" t="s">
        <v>14004</v>
      </c>
      <c r="W4381" t="s">
        <v>18330</v>
      </c>
      <c r="X4381">
        <v>8</v>
      </c>
      <c r="Y4381" t="s">
        <v>25143</v>
      </c>
      <c r="Z4381" t="s">
        <v>32091</v>
      </c>
      <c r="AA4381">
        <v>0.30824445351636498</v>
      </c>
      <c r="AB4381" t="str">
        <f>HYPERLINK("Melting_Curves/meltCurve_Q71RC2_6_LARP4.pdf", "Melting_Curves/meltCurve_Q71RC2_6_LARP4.pdf")</f>
        <v>Melting_Curves/meltCurve_Q71RC2_6_LARP4.pdf</v>
      </c>
    </row>
    <row r="4382" spans="1:28" x14ac:dyDescent="0.25">
      <c r="A4382" t="s">
        <v>4386</v>
      </c>
      <c r="B4382">
        <v>0.99999676499088797</v>
      </c>
      <c r="C4382">
        <v>0.90559644202027001</v>
      </c>
      <c r="D4382">
        <v>0.85855472034630997</v>
      </c>
      <c r="E4382">
        <v>0.57523122784219705</v>
      </c>
      <c r="F4382">
        <v>0.438775872387626</v>
      </c>
      <c r="G4382">
        <v>0.101845128209255</v>
      </c>
      <c r="H4382">
        <v>0</v>
      </c>
      <c r="I4382">
        <v>2.7694339335795001E-2</v>
      </c>
      <c r="J4382">
        <v>4.0176253998077401E-2</v>
      </c>
      <c r="K4382">
        <v>0</v>
      </c>
      <c r="L4382">
        <v>828.86097228439598</v>
      </c>
      <c r="M4382">
        <v>16.251335845628098</v>
      </c>
      <c r="N4382">
        <v>51.002636470195696</v>
      </c>
      <c r="O4382">
        <v>50.249134001525398</v>
      </c>
      <c r="P4382">
        <v>-8.0859785493373595E-2</v>
      </c>
      <c r="Q4382">
        <v>0</v>
      </c>
      <c r="R4382">
        <v>0.985151445023567</v>
      </c>
      <c r="S4382" t="s">
        <v>11385</v>
      </c>
      <c r="T4382" t="s">
        <v>14004</v>
      </c>
      <c r="U4382" t="s">
        <v>14004</v>
      </c>
      <c r="V4382" t="s">
        <v>14004</v>
      </c>
      <c r="W4382" t="s">
        <v>18331</v>
      </c>
      <c r="X4382">
        <v>1</v>
      </c>
      <c r="Y4382" t="s">
        <v>25144</v>
      </c>
      <c r="Z4382" t="s">
        <v>32092</v>
      </c>
      <c r="AA4382">
        <v>0.38693308756951039</v>
      </c>
      <c r="AB4382" t="str">
        <f>HYPERLINK("Melting_Curves/meltCurve_Q71SY5_2_MED25.pdf", "Melting_Curves/meltCurve_Q71SY5_2_MED25.pdf")</f>
        <v>Melting_Curves/meltCurve_Q71SY5_2_MED25.pdf</v>
      </c>
    </row>
    <row r="4383" spans="1:28" x14ac:dyDescent="0.25">
      <c r="A4383" t="s">
        <v>4387</v>
      </c>
      <c r="B4383">
        <v>0.99999676499088797</v>
      </c>
      <c r="C4383">
        <v>0.96307109025276405</v>
      </c>
      <c r="D4383">
        <v>0.98209497141826296</v>
      </c>
      <c r="E4383">
        <v>1.0008544820765699</v>
      </c>
      <c r="F4383">
        <v>0.88728773844951203</v>
      </c>
      <c r="G4383">
        <v>0.64413239469047201</v>
      </c>
      <c r="H4383">
        <v>0.23769019667677399</v>
      </c>
      <c r="I4383">
        <v>0.12556214758266299</v>
      </c>
      <c r="J4383">
        <v>0.10384756765650401</v>
      </c>
      <c r="K4383">
        <v>8.7686689488032599E-2</v>
      </c>
      <c r="L4383">
        <v>1594.7516200706</v>
      </c>
      <c r="M4383">
        <v>27.693515897235699</v>
      </c>
      <c r="N4383">
        <v>57.938554394999798</v>
      </c>
      <c r="O4383">
        <v>57.287981123285903</v>
      </c>
      <c r="P4383">
        <v>-0.111475541396363</v>
      </c>
      <c r="Q4383">
        <v>7.7596128402010203E-2</v>
      </c>
      <c r="R4383">
        <v>0.99796681867287196</v>
      </c>
      <c r="S4383" t="s">
        <v>11386</v>
      </c>
      <c r="T4383" t="s">
        <v>14004</v>
      </c>
      <c r="U4383" t="s">
        <v>14004</v>
      </c>
      <c r="V4383" t="s">
        <v>14004</v>
      </c>
      <c r="W4383" t="s">
        <v>18332</v>
      </c>
      <c r="X4383">
        <v>37</v>
      </c>
      <c r="Y4383" t="s">
        <v>25145</v>
      </c>
      <c r="Z4383" t="s">
        <v>32093</v>
      </c>
      <c r="AA4383">
        <v>0.62527566278404945</v>
      </c>
      <c r="AB4383" t="str">
        <f>HYPERLINK("Melting_Curves/meltCurve_Q71U36_2_TUBA1A.pdf", "Melting_Curves/meltCurve_Q71U36_2_TUBA1A.pdf")</f>
        <v>Melting_Curves/meltCurve_Q71U36_2_TUBA1A.pdf</v>
      </c>
    </row>
    <row r="4384" spans="1:28" x14ac:dyDescent="0.25">
      <c r="A4384" t="s">
        <v>4388</v>
      </c>
      <c r="B4384">
        <v>0.99999676499088797</v>
      </c>
      <c r="C4384">
        <v>0.850659033261711</v>
      </c>
      <c r="D4384">
        <v>0.79410801847287105</v>
      </c>
      <c r="E4384">
        <v>0.60682593835674803</v>
      </c>
      <c r="F4384">
        <v>0.510306961159952</v>
      </c>
      <c r="G4384">
        <v>0.468704375616667</v>
      </c>
      <c r="H4384">
        <v>0.28551554412948399</v>
      </c>
      <c r="I4384">
        <v>0.25483491917792001</v>
      </c>
      <c r="J4384">
        <v>0.20895046433619399</v>
      </c>
      <c r="K4384">
        <v>0.27735306798037201</v>
      </c>
      <c r="L4384">
        <v>486.15207258262598</v>
      </c>
      <c r="M4384">
        <v>9.5279658668940908</v>
      </c>
      <c r="N4384">
        <v>53.385773930565399</v>
      </c>
      <c r="O4384">
        <v>48.927802989975802</v>
      </c>
      <c r="P4384">
        <v>-4.0334193977654802E-2</v>
      </c>
      <c r="Q4384">
        <v>0.171991212393072</v>
      </c>
      <c r="R4384">
        <v>0.97774090305105998</v>
      </c>
      <c r="S4384" t="s">
        <v>11387</v>
      </c>
      <c r="T4384" t="s">
        <v>14004</v>
      </c>
      <c r="U4384" t="s">
        <v>14004</v>
      </c>
      <c r="V4384" t="s">
        <v>14004</v>
      </c>
      <c r="W4384" t="s">
        <v>18333</v>
      </c>
      <c r="X4384">
        <v>5</v>
      </c>
      <c r="Y4384" t="s">
        <v>25146</v>
      </c>
      <c r="Z4384" t="s">
        <v>32094</v>
      </c>
      <c r="AA4384">
        <v>0.51268088208539997</v>
      </c>
      <c r="AB4384" t="str">
        <f>HYPERLINK("Melting_Curves/meltCurve_Q71UI9_H2AFV.pdf", "Melting_Curves/meltCurve_Q71UI9_H2AFV.pdf")</f>
        <v>Melting_Curves/meltCurve_Q71UI9_H2AFV.pdf</v>
      </c>
    </row>
    <row r="4385" spans="1:28" x14ac:dyDescent="0.25">
      <c r="A4385" t="s">
        <v>4389</v>
      </c>
      <c r="B4385">
        <v>0.99999676499088797</v>
      </c>
      <c r="C4385">
        <v>1.16780557724662</v>
      </c>
      <c r="D4385">
        <v>1.1369081550651301</v>
      </c>
      <c r="E4385">
        <v>0.80465918228775701</v>
      </c>
      <c r="F4385">
        <v>7.0886705606796496E-2</v>
      </c>
      <c r="G4385">
        <v>0</v>
      </c>
      <c r="H4385">
        <v>2.6093894107744101E-2</v>
      </c>
      <c r="I4385">
        <v>0</v>
      </c>
      <c r="J4385">
        <v>0</v>
      </c>
      <c r="K4385">
        <v>0</v>
      </c>
      <c r="L4385">
        <v>3072.63250794235</v>
      </c>
      <c r="M4385">
        <v>60.516165152310997</v>
      </c>
      <c r="N4385">
        <v>50.783694881600901</v>
      </c>
      <c r="O4385">
        <v>50.718403885471503</v>
      </c>
      <c r="P4385">
        <v>-0.29653762769334402</v>
      </c>
      <c r="Q4385">
        <v>5.8916979964637999E-3</v>
      </c>
      <c r="R4385">
        <v>0.98109012532354201</v>
      </c>
      <c r="S4385" t="s">
        <v>11388</v>
      </c>
      <c r="T4385" t="s">
        <v>14004</v>
      </c>
      <c r="U4385" t="s">
        <v>14004</v>
      </c>
      <c r="V4385" t="s">
        <v>14004</v>
      </c>
      <c r="W4385" t="s">
        <v>18334</v>
      </c>
      <c r="X4385">
        <v>6</v>
      </c>
      <c r="Y4385" t="s">
        <v>25147</v>
      </c>
      <c r="Z4385" t="s">
        <v>32095</v>
      </c>
      <c r="AA4385">
        <v>0.36441794708939262</v>
      </c>
      <c r="AB4385" t="str">
        <f>HYPERLINK("Melting_Curves/meltCurve_Q75QN2_INTS8.pdf", "Melting_Curves/meltCurve_Q75QN2_INTS8.pdf")</f>
        <v>Melting_Curves/meltCurve_Q75QN2_INTS8.pdf</v>
      </c>
    </row>
    <row r="4386" spans="1:28" x14ac:dyDescent="0.25">
      <c r="A4386" t="s">
        <v>4390</v>
      </c>
      <c r="B4386">
        <v>0.99999676499088797</v>
      </c>
      <c r="C4386">
        <v>0.94178804389709303</v>
      </c>
      <c r="D4386">
        <v>0.910806866810695</v>
      </c>
      <c r="E4386">
        <v>0.81761204635778695</v>
      </c>
      <c r="F4386">
        <v>0.58723184522230598</v>
      </c>
      <c r="G4386">
        <v>0.29521203692723502</v>
      </c>
      <c r="H4386">
        <v>0.112835613519756</v>
      </c>
      <c r="I4386">
        <v>8.9943694415499806E-2</v>
      </c>
      <c r="J4386">
        <v>6.2897091239851002E-2</v>
      </c>
      <c r="K4386">
        <v>6.2518004366889396E-2</v>
      </c>
      <c r="L4386">
        <v>927.58876518994396</v>
      </c>
      <c r="M4386">
        <v>17.248838438139199</v>
      </c>
      <c r="N4386">
        <v>53.956536264017203</v>
      </c>
      <c r="O4386">
        <v>53.069678590820203</v>
      </c>
      <c r="P4386">
        <v>-7.8992691314751701E-2</v>
      </c>
      <c r="Q4386">
        <v>2.79062009859441E-2</v>
      </c>
      <c r="R4386">
        <v>0.99597295778769201</v>
      </c>
      <c r="S4386" t="s">
        <v>11389</v>
      </c>
      <c r="T4386" t="s">
        <v>14004</v>
      </c>
      <c r="U4386" t="s">
        <v>14004</v>
      </c>
      <c r="V4386" t="s">
        <v>14004</v>
      </c>
      <c r="W4386" t="s">
        <v>18335</v>
      </c>
      <c r="X4386">
        <v>5</v>
      </c>
      <c r="Y4386" t="s">
        <v>25148</v>
      </c>
      <c r="Z4386" t="s">
        <v>32096</v>
      </c>
      <c r="AA4386">
        <v>0.49098894700221929</v>
      </c>
      <c r="AB4386" t="str">
        <f>HYPERLINK("Melting_Curves/meltCurve_Q765P7_MTSS1L.pdf", "Melting_Curves/meltCurve_Q765P7_MTSS1L.pdf")</f>
        <v>Melting_Curves/meltCurve_Q765P7_MTSS1L.pdf</v>
      </c>
    </row>
    <row r="4387" spans="1:28" x14ac:dyDescent="0.25">
      <c r="A4387" t="s">
        <v>4391</v>
      </c>
      <c r="B4387">
        <v>0.99999676499088797</v>
      </c>
      <c r="C4387">
        <v>0.96836456503290802</v>
      </c>
      <c r="D4387">
        <v>0.78143360288454</v>
      </c>
      <c r="E4387">
        <v>0.396192157290226</v>
      </c>
      <c r="F4387">
        <v>0.29017835637008499</v>
      </c>
      <c r="G4387">
        <v>0.16323614735082601</v>
      </c>
      <c r="H4387">
        <v>8.9611870448740402E-2</v>
      </c>
      <c r="I4387">
        <v>8.5219790975896201E-2</v>
      </c>
      <c r="J4387">
        <v>8.9849406567791501E-2</v>
      </c>
      <c r="K4387">
        <v>8.6213754169468804E-2</v>
      </c>
      <c r="L4387">
        <v>949.71001375675701</v>
      </c>
      <c r="M4387">
        <v>19.568622833324</v>
      </c>
      <c r="N4387">
        <v>49.036958302945898</v>
      </c>
      <c r="O4387">
        <v>48.033980645158501</v>
      </c>
      <c r="P4387">
        <v>-9.2562090859156995E-2</v>
      </c>
      <c r="Q4387">
        <v>9.1204685349564496E-2</v>
      </c>
      <c r="R4387">
        <v>0.99280002060460404</v>
      </c>
      <c r="S4387" t="s">
        <v>11390</v>
      </c>
      <c r="T4387" t="s">
        <v>14004</v>
      </c>
      <c r="U4387" t="s">
        <v>14004</v>
      </c>
      <c r="V4387" t="s">
        <v>14004</v>
      </c>
      <c r="W4387" t="s">
        <v>18336</v>
      </c>
      <c r="X4387">
        <v>4</v>
      </c>
      <c r="Y4387" t="s">
        <v>25149</v>
      </c>
      <c r="Z4387" t="s">
        <v>32097</v>
      </c>
      <c r="AA4387">
        <v>0.36306430088747083</v>
      </c>
      <c r="AB4387" t="str">
        <f>HYPERLINK("Melting_Curves/meltCurve_Q76FK4_4_NOL8.pdf", "Melting_Curves/meltCurve_Q76FK4_4_NOL8.pdf")</f>
        <v>Melting_Curves/meltCurve_Q76FK4_4_NOL8.pdf</v>
      </c>
    </row>
    <row r="4388" spans="1:28" x14ac:dyDescent="0.25">
      <c r="A4388" t="s">
        <v>4392</v>
      </c>
      <c r="B4388">
        <v>0.99999676499088797</v>
      </c>
      <c r="C4388">
        <v>0.96467824041572203</v>
      </c>
      <c r="D4388">
        <v>0.92517888807851301</v>
      </c>
      <c r="E4388">
        <v>0.822973602914432</v>
      </c>
      <c r="F4388">
        <v>0.54446039522766898</v>
      </c>
      <c r="G4388">
        <v>0.272396664995952</v>
      </c>
      <c r="H4388">
        <v>0.108029461118732</v>
      </c>
      <c r="I4388">
        <v>0.108491500321694</v>
      </c>
      <c r="J4388">
        <v>0.106481378017682</v>
      </c>
      <c r="K4388">
        <v>9.6914942821266295E-2</v>
      </c>
      <c r="L4388">
        <v>1066.0226867348599</v>
      </c>
      <c r="M4388">
        <v>20.074932676675999</v>
      </c>
      <c r="N4388">
        <v>53.550712839530497</v>
      </c>
      <c r="O4388">
        <v>52.583673486556101</v>
      </c>
      <c r="P4388">
        <v>-8.8059992258054207E-2</v>
      </c>
      <c r="Q4388">
        <v>7.7382877364488803E-2</v>
      </c>
      <c r="R4388">
        <v>0.99724152822396195</v>
      </c>
      <c r="S4388" t="s">
        <v>11391</v>
      </c>
      <c r="T4388" t="s">
        <v>14004</v>
      </c>
      <c r="U4388" t="s">
        <v>14004</v>
      </c>
      <c r="V4388" t="s">
        <v>14004</v>
      </c>
      <c r="W4388" t="s">
        <v>18337</v>
      </c>
      <c r="X4388">
        <v>10</v>
      </c>
      <c r="Y4388" t="s">
        <v>25150</v>
      </c>
      <c r="Z4388" t="s">
        <v>32098</v>
      </c>
      <c r="AA4388">
        <v>0.49292379195989899</v>
      </c>
      <c r="AB4388" t="str">
        <f>HYPERLINK("Melting_Curves/meltCurve_Q7KYR7_BTN2A1.pdf", "Melting_Curves/meltCurve_Q7KYR7_BTN2A1.pdf")</f>
        <v>Melting_Curves/meltCurve_Q7KYR7_BTN2A1.pdf</v>
      </c>
    </row>
    <row r="4389" spans="1:28" x14ac:dyDescent="0.25">
      <c r="A4389" t="s">
        <v>4393</v>
      </c>
      <c r="B4389">
        <v>0.99999676499088797</v>
      </c>
      <c r="C4389">
        <v>0.98113074659776001</v>
      </c>
      <c r="D4389">
        <v>0.83564948442990605</v>
      </c>
      <c r="E4389">
        <v>0.368860148927392</v>
      </c>
      <c r="F4389">
        <v>0.22631202066630701</v>
      </c>
      <c r="G4389">
        <v>0.16206733932530101</v>
      </c>
      <c r="H4389">
        <v>7.9481863200962899E-2</v>
      </c>
      <c r="I4389">
        <v>8.4326086074366202E-2</v>
      </c>
      <c r="J4389">
        <v>8.1689024846019503E-2</v>
      </c>
      <c r="K4389">
        <v>6.9632273286650101E-2</v>
      </c>
      <c r="L4389">
        <v>1247.1626402438201</v>
      </c>
      <c r="M4389">
        <v>25.7720197310983</v>
      </c>
      <c r="N4389">
        <v>48.790636842594601</v>
      </c>
      <c r="O4389">
        <v>48.103578333764901</v>
      </c>
      <c r="P4389">
        <v>-0.121229146506014</v>
      </c>
      <c r="Q4389">
        <v>9.4912032861860895E-2</v>
      </c>
      <c r="R4389">
        <v>0.9937177614603</v>
      </c>
      <c r="S4389" t="s">
        <v>11392</v>
      </c>
      <c r="T4389" t="s">
        <v>14004</v>
      </c>
      <c r="U4389" t="s">
        <v>14004</v>
      </c>
      <c r="V4389" t="s">
        <v>14004</v>
      </c>
      <c r="W4389" t="s">
        <v>18338</v>
      </c>
      <c r="X4389">
        <v>55</v>
      </c>
      <c r="Y4389" t="s">
        <v>25151</v>
      </c>
      <c r="Z4389" t="s">
        <v>32099</v>
      </c>
      <c r="AA4389">
        <v>0.35560431398379899</v>
      </c>
      <c r="AB4389" t="str">
        <f>HYPERLINK("Melting_Curves/meltCurve_Q7KZ85_SUPT6H.pdf", "Melting_Curves/meltCurve_Q7KZ85_SUPT6H.pdf")</f>
        <v>Melting_Curves/meltCurve_Q7KZ85_SUPT6H.pdf</v>
      </c>
    </row>
    <row r="4390" spans="1:28" x14ac:dyDescent="0.25">
      <c r="A4390" t="s">
        <v>4394</v>
      </c>
      <c r="B4390">
        <v>0.99999676499088797</v>
      </c>
      <c r="C4390">
        <v>0.85948618881447103</v>
      </c>
      <c r="D4390">
        <v>0.30828322902363697</v>
      </c>
      <c r="E4390">
        <v>0.16072843144763899</v>
      </c>
      <c r="F4390">
        <v>0.11480999407154199</v>
      </c>
      <c r="G4390">
        <v>7.5941205946548601E-2</v>
      </c>
      <c r="H4390">
        <v>3.9238661965826802E-2</v>
      </c>
      <c r="I4390">
        <v>3.9998115896582302E-2</v>
      </c>
      <c r="J4390">
        <v>4.0524141875476302E-2</v>
      </c>
      <c r="K4390">
        <v>3.6943398049782E-2</v>
      </c>
      <c r="L4390">
        <v>1630.1430626532799</v>
      </c>
      <c r="M4390">
        <v>36.378139672327002</v>
      </c>
      <c r="N4390">
        <v>44.986697404629901</v>
      </c>
      <c r="O4390">
        <v>44.676316853535397</v>
      </c>
      <c r="P4390">
        <v>-0.19008950982685199</v>
      </c>
      <c r="Q4390">
        <v>6.6200815469717303E-2</v>
      </c>
      <c r="R4390">
        <v>0.99111509751853899</v>
      </c>
      <c r="S4390" t="s">
        <v>11393</v>
      </c>
      <c r="T4390" t="s">
        <v>14004</v>
      </c>
      <c r="U4390" t="s">
        <v>14004</v>
      </c>
      <c r="V4390" t="s">
        <v>14004</v>
      </c>
      <c r="W4390" t="s">
        <v>18339</v>
      </c>
      <c r="X4390">
        <v>64</v>
      </c>
      <c r="Y4390" t="s">
        <v>25152</v>
      </c>
      <c r="Z4390" t="s">
        <v>32100</v>
      </c>
      <c r="AA4390">
        <v>0.2198218469028243</v>
      </c>
      <c r="AB4390" t="str">
        <f>HYPERLINK("Melting_Curves/meltCurve_Q7KZF4_SND1.pdf", "Melting_Curves/meltCurve_Q7KZF4_SND1.pdf")</f>
        <v>Melting_Curves/meltCurve_Q7KZF4_SND1.pdf</v>
      </c>
    </row>
    <row r="4391" spans="1:28" x14ac:dyDescent="0.25">
      <c r="A4391" t="s">
        <v>4395</v>
      </c>
      <c r="B4391">
        <v>0.99999676499088797</v>
      </c>
      <c r="C4391">
        <v>0.99768895038097305</v>
      </c>
      <c r="D4391">
        <v>1.07653216723231</v>
      </c>
      <c r="E4391">
        <v>1.18229277232376</v>
      </c>
      <c r="F4391">
        <v>1.09999289254305</v>
      </c>
      <c r="G4391">
        <v>0.82931372388675295</v>
      </c>
      <c r="H4391">
        <v>0.34715771008826601</v>
      </c>
      <c r="I4391">
        <v>0.19639002590690299</v>
      </c>
      <c r="J4391">
        <v>0.15462365838914499</v>
      </c>
      <c r="K4391">
        <v>0.11435654669312199</v>
      </c>
      <c r="L4391">
        <v>2325.55724229732</v>
      </c>
      <c r="M4391">
        <v>39.402831399682299</v>
      </c>
      <c r="N4391">
        <v>59.511415685832397</v>
      </c>
      <c r="O4391">
        <v>58.8686529092884</v>
      </c>
      <c r="P4391">
        <v>-0.14409867560353201</v>
      </c>
      <c r="Q4391">
        <v>0.13885625223145001</v>
      </c>
      <c r="R4391">
        <v>0.96959140484638595</v>
      </c>
      <c r="S4391" t="s">
        <v>11394</v>
      </c>
      <c r="T4391" t="s">
        <v>14004</v>
      </c>
      <c r="U4391" t="s">
        <v>14004</v>
      </c>
      <c r="V4391" t="s">
        <v>14004</v>
      </c>
      <c r="W4391" t="s">
        <v>18340</v>
      </c>
      <c r="X4391">
        <v>5</v>
      </c>
      <c r="Y4391" t="s">
        <v>25153</v>
      </c>
      <c r="Z4391" t="s">
        <v>32101</v>
      </c>
      <c r="AA4391">
        <v>0.68831209152530037</v>
      </c>
      <c r="AB4391" t="str">
        <f>HYPERLINK("Melting_Curves/meltCurve_Q7KZN9_2_COX15.pdf", "Melting_Curves/meltCurve_Q7KZN9_2_COX15.pdf")</f>
        <v>Melting_Curves/meltCurve_Q7KZN9_2_COX15.pdf</v>
      </c>
    </row>
    <row r="4392" spans="1:28" x14ac:dyDescent="0.25">
      <c r="A4392" t="s">
        <v>4396</v>
      </c>
      <c r="B4392">
        <v>0.99999676499088797</v>
      </c>
      <c r="C4392">
        <v>0.92862759202284495</v>
      </c>
      <c r="D4392">
        <v>0.86235184771031803</v>
      </c>
      <c r="E4392">
        <v>0.41148930538316902</v>
      </c>
      <c r="F4392">
        <v>0.213765631901848</v>
      </c>
      <c r="G4392">
        <v>0.151181230637738</v>
      </c>
      <c r="H4392">
        <v>8.1162041442897903E-2</v>
      </c>
      <c r="I4392">
        <v>7.7878905796247497E-2</v>
      </c>
      <c r="J4392">
        <v>7.0574578145117306E-2</v>
      </c>
      <c r="K4392">
        <v>6.23407910994924E-2</v>
      </c>
      <c r="L4392">
        <v>1160.46684639506</v>
      </c>
      <c r="M4392">
        <v>23.805082221582399</v>
      </c>
      <c r="N4392">
        <v>49.111413174408803</v>
      </c>
      <c r="O4392">
        <v>48.408574321951399</v>
      </c>
      <c r="P4392">
        <v>-0.113029833481064</v>
      </c>
      <c r="Q4392">
        <v>8.0612086048810996E-2</v>
      </c>
      <c r="R4392">
        <v>0.99485088957788703</v>
      </c>
      <c r="S4392" t="s">
        <v>11395</v>
      </c>
      <c r="T4392" t="s">
        <v>14004</v>
      </c>
      <c r="U4392" t="s">
        <v>14004</v>
      </c>
      <c r="V4392" t="s">
        <v>14004</v>
      </c>
      <c r="W4392" t="s">
        <v>18341</v>
      </c>
      <c r="X4392">
        <v>56</v>
      </c>
      <c r="Y4392" t="s">
        <v>25154</v>
      </c>
      <c r="Z4392" t="s">
        <v>32102</v>
      </c>
      <c r="AA4392">
        <v>0.35773315152540758</v>
      </c>
      <c r="AB4392" t="str">
        <f>HYPERLINK("Melting_Curves/meltCurve_Q7L014_DDX46.pdf", "Melting_Curves/meltCurve_Q7L014_DDX46.pdf")</f>
        <v>Melting_Curves/meltCurve_Q7L014_DDX46.pdf</v>
      </c>
    </row>
    <row r="4393" spans="1:28" x14ac:dyDescent="0.25">
      <c r="A4393" t="s">
        <v>4397</v>
      </c>
      <c r="B4393">
        <v>0.99999676499088797</v>
      </c>
      <c r="C4393">
        <v>0.93324880901131402</v>
      </c>
      <c r="D4393">
        <v>1.0963233573359801</v>
      </c>
      <c r="E4393">
        <v>0.45055776907279999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12390.1585004644</v>
      </c>
      <c r="M4393">
        <v>250</v>
      </c>
      <c r="N4393">
        <v>49.560636695993097</v>
      </c>
      <c r="O4393">
        <v>49.557465974808501</v>
      </c>
      <c r="P4393">
        <v>-1.26116223427279</v>
      </c>
      <c r="Q4393">
        <v>0</v>
      </c>
      <c r="R4393">
        <v>0.99334837691489997</v>
      </c>
      <c r="S4393" t="s">
        <v>11396</v>
      </c>
      <c r="T4393" t="s">
        <v>14004</v>
      </c>
      <c r="U4393" t="s">
        <v>14004</v>
      </c>
      <c r="V4393" t="s">
        <v>14004</v>
      </c>
      <c r="W4393" t="s">
        <v>18342</v>
      </c>
      <c r="X4393">
        <v>9</v>
      </c>
      <c r="Y4393" t="s">
        <v>25155</v>
      </c>
      <c r="Z4393" t="s">
        <v>32103</v>
      </c>
      <c r="AA4393">
        <v>0.31877477820325928</v>
      </c>
      <c r="AB4393" t="str">
        <f>HYPERLINK("Melting_Curves/meltCurve_Q7L099_2_RUFY3.pdf", "Melting_Curves/meltCurve_Q7L099_2_RUFY3.pdf")</f>
        <v>Melting_Curves/meltCurve_Q7L099_2_RUFY3.pdf</v>
      </c>
    </row>
    <row r="4394" spans="1:28" x14ac:dyDescent="0.25">
      <c r="A4394" t="s">
        <v>4398</v>
      </c>
      <c r="B4394">
        <v>0.99999676499088797</v>
      </c>
      <c r="C4394">
        <v>0.87602372840449305</v>
      </c>
      <c r="D4394">
        <v>0.79008820793666301</v>
      </c>
      <c r="E4394">
        <v>0.34763655372524099</v>
      </c>
      <c r="F4394">
        <v>0.23229181523721101</v>
      </c>
      <c r="G4394">
        <v>0.177946744782573</v>
      </c>
      <c r="H4394">
        <v>9.5685359178761906E-2</v>
      </c>
      <c r="I4394">
        <v>8.5224094759032906E-2</v>
      </c>
      <c r="J4394">
        <v>6.7495899145909893E-2</v>
      </c>
      <c r="K4394">
        <v>6.6653502027550104E-2</v>
      </c>
      <c r="L4394">
        <v>940.41446127955601</v>
      </c>
      <c r="M4394">
        <v>19.558169162059301</v>
      </c>
      <c r="N4394">
        <v>48.536477310241601</v>
      </c>
      <c r="O4394">
        <v>47.588740877581202</v>
      </c>
      <c r="P4394">
        <v>-9.4168222379470701E-2</v>
      </c>
      <c r="Q4394">
        <v>8.3515892540788506E-2</v>
      </c>
      <c r="R4394">
        <v>0.98896161967717899</v>
      </c>
      <c r="S4394" t="s">
        <v>11397</v>
      </c>
      <c r="T4394" t="s">
        <v>14004</v>
      </c>
      <c r="U4394" t="s">
        <v>14004</v>
      </c>
      <c r="V4394" t="s">
        <v>14004</v>
      </c>
      <c r="W4394" t="s">
        <v>18343</v>
      </c>
      <c r="X4394">
        <v>10</v>
      </c>
      <c r="Y4394" t="s">
        <v>25155</v>
      </c>
      <c r="Z4394" t="s">
        <v>32104</v>
      </c>
      <c r="AA4394">
        <v>0.34407629257500838</v>
      </c>
      <c r="AB4394" t="str">
        <f>HYPERLINK("Melting_Curves/meltCurve_Q7L099_4_RUFY3.pdf", "Melting_Curves/meltCurve_Q7L099_4_RUFY3.pdf")</f>
        <v>Melting_Curves/meltCurve_Q7L099_4_RUFY3.pdf</v>
      </c>
    </row>
    <row r="4395" spans="1:28" x14ac:dyDescent="0.25">
      <c r="A4395" t="s">
        <v>4399</v>
      </c>
      <c r="B4395">
        <v>0.99999676499088797</v>
      </c>
      <c r="C4395">
        <v>0.99809308334829805</v>
      </c>
      <c r="D4395">
        <v>0.97846756565307802</v>
      </c>
      <c r="E4395">
        <v>0.81255460322741002</v>
      </c>
      <c r="F4395">
        <v>0.70813003850944101</v>
      </c>
      <c r="G4395">
        <v>0.64074723527548905</v>
      </c>
      <c r="H4395">
        <v>0.44215102386557897</v>
      </c>
      <c r="I4395">
        <v>0.41497441037043098</v>
      </c>
      <c r="J4395">
        <v>0.356653030226597</v>
      </c>
      <c r="K4395">
        <v>0.33294734067750298</v>
      </c>
      <c r="L4395">
        <v>630.475881699409</v>
      </c>
      <c r="M4395">
        <v>11.32374063364</v>
      </c>
      <c r="N4395">
        <v>59.710844016885801</v>
      </c>
      <c r="O4395">
        <v>54.025731499020097</v>
      </c>
      <c r="P4395">
        <v>-3.8404098280013101E-2</v>
      </c>
      <c r="Q4395">
        <v>0.26731498946243198</v>
      </c>
      <c r="R4395">
        <v>0.98860610504223501</v>
      </c>
      <c r="S4395" t="s">
        <v>11398</v>
      </c>
      <c r="T4395" t="s">
        <v>14004</v>
      </c>
      <c r="U4395" t="s">
        <v>14004</v>
      </c>
      <c r="V4395" t="s">
        <v>14004</v>
      </c>
      <c r="W4395" t="s">
        <v>18344</v>
      </c>
      <c r="X4395">
        <v>8</v>
      </c>
      <c r="Y4395" t="s">
        <v>25156</v>
      </c>
      <c r="Z4395" t="s">
        <v>32105</v>
      </c>
      <c r="AA4395">
        <v>0.6663014410429412</v>
      </c>
      <c r="AB4395" t="str">
        <f>HYPERLINK("Melting_Curves/meltCurve_Q7L0J3_2_SV2A.pdf", "Melting_Curves/meltCurve_Q7L0J3_2_SV2A.pdf")</f>
        <v>Melting_Curves/meltCurve_Q7L0J3_2_SV2A.pdf</v>
      </c>
    </row>
    <row r="4396" spans="1:28" x14ac:dyDescent="0.25">
      <c r="A4396" t="s">
        <v>4400</v>
      </c>
      <c r="B4396">
        <v>0.99999676499088797</v>
      </c>
      <c r="C4396">
        <v>0.95154701854198998</v>
      </c>
      <c r="D4396">
        <v>0.94097832423519601</v>
      </c>
      <c r="E4396">
        <v>0.84949169309065797</v>
      </c>
      <c r="F4396">
        <v>0.419700269574384</v>
      </c>
      <c r="G4396">
        <v>0.32577130128284298</v>
      </c>
      <c r="H4396">
        <v>0.20502664350114999</v>
      </c>
      <c r="I4396">
        <v>0.19840646050322</v>
      </c>
      <c r="J4396">
        <v>0.191145655715729</v>
      </c>
      <c r="K4396">
        <v>0.19406399434876001</v>
      </c>
      <c r="L4396">
        <v>1403.0819801938601</v>
      </c>
      <c r="M4396">
        <v>27.091846839446699</v>
      </c>
      <c r="N4396">
        <v>52.784882325169498</v>
      </c>
      <c r="O4396">
        <v>51.510119798436797</v>
      </c>
      <c r="P4396">
        <v>-0.105195371938145</v>
      </c>
      <c r="Q4396">
        <v>0.19996996267848799</v>
      </c>
      <c r="R4396">
        <v>0.99146850705562195</v>
      </c>
      <c r="S4396" t="s">
        <v>11399</v>
      </c>
      <c r="T4396" t="s">
        <v>14004</v>
      </c>
      <c r="U4396" t="s">
        <v>14004</v>
      </c>
      <c r="V4396" t="s">
        <v>14004</v>
      </c>
      <c r="W4396" t="s">
        <v>18345</v>
      </c>
      <c r="X4396">
        <v>20</v>
      </c>
      <c r="Y4396" t="s">
        <v>25157</v>
      </c>
      <c r="Z4396" t="s">
        <v>32106</v>
      </c>
      <c r="AA4396">
        <v>0.52060885210116414</v>
      </c>
      <c r="AB4396" t="str">
        <f>HYPERLINK("Melting_Curves/meltCurve_Q7L0Y3_TRMT10C.pdf", "Melting_Curves/meltCurve_Q7L0Y3_TRMT10C.pdf")</f>
        <v>Melting_Curves/meltCurve_Q7L0Y3_TRMT10C.pdf</v>
      </c>
    </row>
    <row r="4397" spans="1:28" x14ac:dyDescent="0.25">
      <c r="A4397" t="s">
        <v>4401</v>
      </c>
      <c r="B4397">
        <v>0.99999676499088797</v>
      </c>
      <c r="C4397">
        <v>0.88414242452523695</v>
      </c>
      <c r="D4397">
        <v>0.75969735396652005</v>
      </c>
      <c r="E4397">
        <v>0.28016486572340099</v>
      </c>
      <c r="F4397">
        <v>0.187212550494228</v>
      </c>
      <c r="G4397">
        <v>0.13587194913012399</v>
      </c>
      <c r="H4397">
        <v>7.4486825309161106E-2</v>
      </c>
      <c r="I4397">
        <v>6.7415915107362695E-2</v>
      </c>
      <c r="J4397">
        <v>6.4887399512127103E-2</v>
      </c>
      <c r="K4397">
        <v>6.2685554339662705E-2</v>
      </c>
      <c r="L4397">
        <v>1125.00313569678</v>
      </c>
      <c r="M4397">
        <v>23.6552413071731</v>
      </c>
      <c r="N4397">
        <v>47.8996841812097</v>
      </c>
      <c r="O4397">
        <v>47.222335379000299</v>
      </c>
      <c r="P4397">
        <v>-0.115520549780862</v>
      </c>
      <c r="Q4397">
        <v>7.75729136627724E-2</v>
      </c>
      <c r="R4397">
        <v>0.99135239507367301</v>
      </c>
      <c r="S4397" t="s">
        <v>11400</v>
      </c>
      <c r="T4397" t="s">
        <v>14004</v>
      </c>
      <c r="U4397" t="s">
        <v>14004</v>
      </c>
      <c r="V4397" t="s">
        <v>14004</v>
      </c>
      <c r="W4397" t="s">
        <v>18346</v>
      </c>
      <c r="X4397">
        <v>24</v>
      </c>
      <c r="Y4397" t="s">
        <v>25158</v>
      </c>
      <c r="Z4397" t="s">
        <v>32107</v>
      </c>
      <c r="AA4397">
        <v>0.31918212987643668</v>
      </c>
      <c r="AB4397" t="str">
        <f>HYPERLINK("Melting_Curves/meltCurve_Q7L1Q6_BZW1.pdf", "Melting_Curves/meltCurve_Q7L1Q6_BZW1.pdf")</f>
        <v>Melting_Curves/meltCurve_Q7L1Q6_BZW1.pdf</v>
      </c>
    </row>
    <row r="4398" spans="1:28" x14ac:dyDescent="0.25">
      <c r="A4398" t="s">
        <v>4402</v>
      </c>
      <c r="B4398">
        <v>0.99999676499088797</v>
      </c>
      <c r="C4398">
        <v>1.0173787218005701</v>
      </c>
      <c r="D4398">
        <v>0.93629381725352101</v>
      </c>
      <c r="E4398">
        <v>0.92577051241325303</v>
      </c>
      <c r="F4398">
        <v>0.546051689469644</v>
      </c>
      <c r="G4398">
        <v>0.279557846145922</v>
      </c>
      <c r="H4398">
        <v>0.13974979196138701</v>
      </c>
      <c r="I4398">
        <v>0.15120972852800299</v>
      </c>
      <c r="J4398">
        <v>0.138494170139464</v>
      </c>
      <c r="K4398">
        <v>0.101679959943999</v>
      </c>
      <c r="L4398">
        <v>1443.21936858391</v>
      </c>
      <c r="M4398">
        <v>27.111510814257699</v>
      </c>
      <c r="N4398">
        <v>53.8021920985694</v>
      </c>
      <c r="O4398">
        <v>52.9456292268708</v>
      </c>
      <c r="P4398">
        <v>-0.112049423322006</v>
      </c>
      <c r="Q4398">
        <v>0.124730546453918</v>
      </c>
      <c r="R4398">
        <v>0.99593737483883304</v>
      </c>
      <c r="S4398" t="s">
        <v>11401</v>
      </c>
      <c r="T4398" t="s">
        <v>14004</v>
      </c>
      <c r="U4398" t="s">
        <v>14004</v>
      </c>
      <c r="V4398" t="s">
        <v>14004</v>
      </c>
      <c r="W4398" t="s">
        <v>18347</v>
      </c>
      <c r="X4398">
        <v>9</v>
      </c>
      <c r="Y4398" t="s">
        <v>25159</v>
      </c>
      <c r="Z4398" t="s">
        <v>32108</v>
      </c>
      <c r="AA4398">
        <v>0.51772872915965717</v>
      </c>
      <c r="AB4398" t="str">
        <f>HYPERLINK("Melting_Curves/meltCurve_Q7L1T6_CYB5R4.pdf", "Melting_Curves/meltCurve_Q7L1T6_CYB5R4.pdf")</f>
        <v>Melting_Curves/meltCurve_Q7L1T6_CYB5R4.pdf</v>
      </c>
    </row>
    <row r="4399" spans="1:28" x14ac:dyDescent="0.25">
      <c r="A4399" t="s">
        <v>4403</v>
      </c>
      <c r="B4399">
        <v>0.99999676499088797</v>
      </c>
      <c r="C4399">
        <v>0.93161999132648499</v>
      </c>
      <c r="D4399">
        <v>0.876766641242543</v>
      </c>
      <c r="E4399">
        <v>0.81601489629012203</v>
      </c>
      <c r="F4399">
        <v>0.614488716192647</v>
      </c>
      <c r="G4399">
        <v>0.20551811708864601</v>
      </c>
      <c r="H4399">
        <v>0.11353947105850599</v>
      </c>
      <c r="I4399">
        <v>0.10207157125518899</v>
      </c>
      <c r="J4399">
        <v>0.10866218077961</v>
      </c>
      <c r="K4399">
        <v>7.2860613041491801E-2</v>
      </c>
      <c r="L4399">
        <v>1078.66277753381</v>
      </c>
      <c r="M4399">
        <v>20.232610784732199</v>
      </c>
      <c r="N4399">
        <v>53.668116949073003</v>
      </c>
      <c r="O4399">
        <v>52.800453146716499</v>
      </c>
      <c r="P4399">
        <v>-8.9799443717528099E-2</v>
      </c>
      <c r="Q4399">
        <v>6.2641014795362798E-2</v>
      </c>
      <c r="R4399">
        <v>0.98381568133372299</v>
      </c>
      <c r="S4399" t="s">
        <v>11402</v>
      </c>
      <c r="T4399" t="s">
        <v>14004</v>
      </c>
      <c r="U4399" t="s">
        <v>14004</v>
      </c>
      <c r="V4399" t="s">
        <v>14004</v>
      </c>
      <c r="W4399" t="s">
        <v>18348</v>
      </c>
      <c r="X4399">
        <v>3</v>
      </c>
      <c r="Y4399" t="s">
        <v>25160</v>
      </c>
      <c r="Z4399" t="s">
        <v>32109</v>
      </c>
      <c r="AA4399">
        <v>0.49121830582191889</v>
      </c>
      <c r="AB4399" t="str">
        <f>HYPERLINK("Melting_Curves/meltCurve_Q7L211_ABHD13.pdf", "Melting_Curves/meltCurve_Q7L211_ABHD13.pdf")</f>
        <v>Melting_Curves/meltCurve_Q7L211_ABHD13.pdf</v>
      </c>
    </row>
    <row r="4400" spans="1:28" x14ac:dyDescent="0.25">
      <c r="A4400" t="s">
        <v>4404</v>
      </c>
      <c r="B4400">
        <v>0.99999676499088797</v>
      </c>
      <c r="C4400">
        <v>0.976828179265403</v>
      </c>
      <c r="D4400">
        <v>1.02228877620401</v>
      </c>
      <c r="E4400">
        <v>1.1439408924499599</v>
      </c>
      <c r="F4400">
        <v>1.18990060969412</v>
      </c>
      <c r="G4400">
        <v>0.92855574178107403</v>
      </c>
      <c r="H4400">
        <v>0.55657152761227602</v>
      </c>
      <c r="I4400">
        <v>0.49342873895388201</v>
      </c>
      <c r="J4400">
        <v>0.38169097076130198</v>
      </c>
      <c r="K4400">
        <v>0.36562202079274803</v>
      </c>
      <c r="L4400">
        <v>2564.3052589304398</v>
      </c>
      <c r="M4400">
        <v>43.059478798298102</v>
      </c>
      <c r="N4400">
        <v>61.824938952115801</v>
      </c>
      <c r="O4400">
        <v>59.424615222861</v>
      </c>
      <c r="P4400">
        <v>-0.109183907206889</v>
      </c>
      <c r="Q4400">
        <v>0.39728006056098603</v>
      </c>
      <c r="R4400">
        <v>0.92910343198471401</v>
      </c>
      <c r="S4400" t="s">
        <v>11403</v>
      </c>
      <c r="T4400" t="s">
        <v>14004</v>
      </c>
      <c r="U4400" t="s">
        <v>14004</v>
      </c>
      <c r="V4400" t="s">
        <v>14004</v>
      </c>
      <c r="W4400" t="s">
        <v>18349</v>
      </c>
      <c r="X4400">
        <v>12</v>
      </c>
      <c r="Y4400" t="s">
        <v>25161</v>
      </c>
      <c r="Z4400" t="s">
        <v>32110</v>
      </c>
      <c r="AA4400">
        <v>0.79217867535776709</v>
      </c>
      <c r="AB4400" t="str">
        <f>HYPERLINK("Melting_Curves/meltCurve_Q7L266_ASRGL1.pdf", "Melting_Curves/meltCurve_Q7L266_ASRGL1.pdf")</f>
        <v>Melting_Curves/meltCurve_Q7L266_ASRGL1.pdf</v>
      </c>
    </row>
    <row r="4401" spans="1:28" x14ac:dyDescent="0.25">
      <c r="A4401" t="s">
        <v>4405</v>
      </c>
      <c r="B4401">
        <v>0.99999676499088797</v>
      </c>
      <c r="C4401">
        <v>0.96069727784270698</v>
      </c>
      <c r="D4401">
        <v>0.98706200268864897</v>
      </c>
      <c r="E4401">
        <v>1.0039816743276799</v>
      </c>
      <c r="F4401">
        <v>0.59659340198136301</v>
      </c>
      <c r="G4401">
        <v>0.36301708003089</v>
      </c>
      <c r="H4401">
        <v>0.19861157044364899</v>
      </c>
      <c r="I4401">
        <v>0.17762569388042601</v>
      </c>
      <c r="J4401">
        <v>0.11505992254223101</v>
      </c>
      <c r="K4401">
        <v>0.10783382276443799</v>
      </c>
      <c r="L4401">
        <v>1368.92961541984</v>
      </c>
      <c r="M4401">
        <v>25.320932073513799</v>
      </c>
      <c r="N4401">
        <v>54.732377241777797</v>
      </c>
      <c r="O4401">
        <v>53.729337312215499</v>
      </c>
      <c r="P4401">
        <v>-0.102133373898982</v>
      </c>
      <c r="Q4401">
        <v>0.13313011809400299</v>
      </c>
      <c r="R4401">
        <v>0.989397827519782</v>
      </c>
      <c r="S4401" t="s">
        <v>11404</v>
      </c>
      <c r="T4401" t="s">
        <v>14004</v>
      </c>
      <c r="U4401" t="s">
        <v>14004</v>
      </c>
      <c r="V4401" t="s">
        <v>14004</v>
      </c>
      <c r="W4401" t="s">
        <v>18350</v>
      </c>
      <c r="X4401">
        <v>9</v>
      </c>
      <c r="Y4401" t="s">
        <v>25162</v>
      </c>
      <c r="Z4401" t="s">
        <v>32111</v>
      </c>
      <c r="AA4401">
        <v>0.54733323983255133</v>
      </c>
      <c r="AB4401" t="str">
        <f>HYPERLINK("Melting_Curves/meltCurve_Q7L273_KCTD9.pdf", "Melting_Curves/meltCurve_Q7L273_KCTD9.pdf")</f>
        <v>Melting_Curves/meltCurve_Q7L273_KCTD9.pdf</v>
      </c>
    </row>
    <row r="4402" spans="1:28" x14ac:dyDescent="0.25">
      <c r="A4402" t="s">
        <v>4406</v>
      </c>
      <c r="B4402">
        <v>0.99999676499088797</v>
      </c>
      <c r="C4402">
        <v>0.98926027999689703</v>
      </c>
      <c r="D4402">
        <v>0.89795512095323804</v>
      </c>
      <c r="E4402">
        <v>0.57537046765287003</v>
      </c>
      <c r="F4402">
        <v>0.32404898801332799</v>
      </c>
      <c r="G4402">
        <v>0.20829944790350799</v>
      </c>
      <c r="H4402">
        <v>0.10610269765013899</v>
      </c>
      <c r="I4402">
        <v>0.118542908796472</v>
      </c>
      <c r="J4402">
        <v>0.12765055144169801</v>
      </c>
      <c r="K4402">
        <v>9.6786066351114003E-2</v>
      </c>
      <c r="L4402">
        <v>1034.5979602993</v>
      </c>
      <c r="M4402">
        <v>20.653045652043598</v>
      </c>
      <c r="N4402">
        <v>50.696555250715903</v>
      </c>
      <c r="O4402">
        <v>49.6316566178782</v>
      </c>
      <c r="P4402">
        <v>-9.2715783854848494E-2</v>
      </c>
      <c r="Q4402">
        <v>0.108798553765208</v>
      </c>
      <c r="R4402">
        <v>0.99757243442007304</v>
      </c>
      <c r="S4402" t="s">
        <v>11405</v>
      </c>
      <c r="T4402" t="s">
        <v>14004</v>
      </c>
      <c r="U4402" t="s">
        <v>14004</v>
      </c>
      <c r="V4402" t="s">
        <v>14004</v>
      </c>
      <c r="W4402" t="s">
        <v>18351</v>
      </c>
      <c r="X4402">
        <v>13</v>
      </c>
      <c r="Y4402" t="s">
        <v>25163</v>
      </c>
      <c r="Z4402" t="s">
        <v>32112</v>
      </c>
      <c r="AA4402">
        <v>0.42031352030904701</v>
      </c>
      <c r="AB4402" t="str">
        <f>HYPERLINK("Melting_Curves/meltCurve_Q7L2H7_EIF3M.pdf", "Melting_Curves/meltCurve_Q7L2H7_EIF3M.pdf")</f>
        <v>Melting_Curves/meltCurve_Q7L2H7_EIF3M.pdf</v>
      </c>
    </row>
    <row r="4403" spans="1:28" x14ac:dyDescent="0.25">
      <c r="A4403" t="s">
        <v>4407</v>
      </c>
      <c r="B4403">
        <v>0.99999676499088797</v>
      </c>
      <c r="C4403">
        <v>0.94477533254283297</v>
      </c>
      <c r="D4403">
        <v>0.75320160544343595</v>
      </c>
      <c r="E4403">
        <v>0.50183692648110401</v>
      </c>
      <c r="F4403">
        <v>0.43494499017147997</v>
      </c>
      <c r="G4403">
        <v>0.22545173668518301</v>
      </c>
      <c r="H4403">
        <v>0.140037015114825</v>
      </c>
      <c r="I4403">
        <v>0.17157986245492499</v>
      </c>
      <c r="J4403">
        <v>0.18039693819729</v>
      </c>
      <c r="K4403">
        <v>0.26434900401951</v>
      </c>
      <c r="L4403">
        <v>787.76787424747397</v>
      </c>
      <c r="M4403">
        <v>16.155578678663101</v>
      </c>
      <c r="N4403">
        <v>50.135727281336798</v>
      </c>
      <c r="O4403">
        <v>48.0326036800422</v>
      </c>
      <c r="P4403">
        <v>-6.9048166864267596E-2</v>
      </c>
      <c r="Q4403">
        <v>0.17890584233277301</v>
      </c>
      <c r="R4403">
        <v>0.97625900238778496</v>
      </c>
      <c r="S4403" t="s">
        <v>11406</v>
      </c>
      <c r="T4403" t="s">
        <v>14004</v>
      </c>
      <c r="U4403" t="s">
        <v>14004</v>
      </c>
      <c r="V4403" t="s">
        <v>14004</v>
      </c>
      <c r="W4403" t="s">
        <v>18352</v>
      </c>
      <c r="X4403">
        <v>5</v>
      </c>
      <c r="Y4403" t="s">
        <v>25164</v>
      </c>
      <c r="Z4403" t="s">
        <v>32113</v>
      </c>
      <c r="AA4403">
        <v>0.43642034006168268</v>
      </c>
      <c r="AB4403" t="str">
        <f>HYPERLINK("Melting_Curves/meltCurve_Q7L2J0_MEPCE.pdf", "Melting_Curves/meltCurve_Q7L2J0_MEPCE.pdf")</f>
        <v>Melting_Curves/meltCurve_Q7L2J0_MEPCE.pdf</v>
      </c>
    </row>
    <row r="4404" spans="1:28" x14ac:dyDescent="0.25">
      <c r="A4404" t="s">
        <v>4408</v>
      </c>
      <c r="B4404">
        <v>0.99999676499088797</v>
      </c>
      <c r="C4404">
        <v>0.83028586966459705</v>
      </c>
      <c r="D4404">
        <v>0.78378724909769903</v>
      </c>
      <c r="E4404">
        <v>0.71565926388302503</v>
      </c>
      <c r="F4404">
        <v>0.54606010364965596</v>
      </c>
      <c r="G4404">
        <v>0.60464770866624895</v>
      </c>
      <c r="H4404">
        <v>0.30071969505090401</v>
      </c>
      <c r="I4404">
        <v>0.26803479285434201</v>
      </c>
      <c r="J4404">
        <v>0.30194098469365199</v>
      </c>
      <c r="K4404">
        <v>0.34170206028727101</v>
      </c>
      <c r="L4404">
        <v>421.59966967768003</v>
      </c>
      <c r="M4404">
        <v>7.9876094230191699</v>
      </c>
      <c r="N4404">
        <v>55.8243227130083</v>
      </c>
      <c r="O4404">
        <v>49.781481798594399</v>
      </c>
      <c r="P4404">
        <v>-3.3071671708836403E-2</v>
      </c>
      <c r="Q4404">
        <v>0.17648143408098099</v>
      </c>
      <c r="R4404">
        <v>0.93006122950026004</v>
      </c>
      <c r="S4404" t="s">
        <v>11407</v>
      </c>
      <c r="T4404" t="s">
        <v>14004</v>
      </c>
      <c r="U4404" t="s">
        <v>14004</v>
      </c>
      <c r="V4404" t="s">
        <v>14004</v>
      </c>
      <c r="W4404" t="s">
        <v>18353</v>
      </c>
      <c r="X4404">
        <v>2</v>
      </c>
      <c r="Y4404" t="s">
        <v>25165</v>
      </c>
      <c r="Z4404" t="s">
        <v>32114</v>
      </c>
      <c r="AA4404">
        <v>0.56208234029215909</v>
      </c>
      <c r="AB4404" t="str">
        <f>HYPERLINK("Melting_Curves/meltCurve_Q7L2Z9_CENPQ.pdf", "Melting_Curves/meltCurve_Q7L2Z9_CENPQ.pdf")</f>
        <v>Melting_Curves/meltCurve_Q7L2Z9_CENPQ.pdf</v>
      </c>
    </row>
    <row r="4405" spans="1:28" x14ac:dyDescent="0.25">
      <c r="A4405" t="s">
        <v>4409</v>
      </c>
      <c r="B4405">
        <v>0.99999676499088797</v>
      </c>
      <c r="C4405">
        <v>1.3099455299746601</v>
      </c>
      <c r="D4405">
        <v>1.15360181165494</v>
      </c>
      <c r="E4405">
        <v>0.713899661141148</v>
      </c>
      <c r="F4405">
        <v>0.31594810127135198</v>
      </c>
      <c r="G4405">
        <v>0.32417803410694002</v>
      </c>
      <c r="H4405">
        <v>0.159927679990642</v>
      </c>
      <c r="I4405">
        <v>0.13439220840839899</v>
      </c>
      <c r="J4405">
        <v>0.19225487747841499</v>
      </c>
      <c r="K4405">
        <v>0.12496776130656399</v>
      </c>
      <c r="L4405">
        <v>1865.3889484854899</v>
      </c>
      <c r="M4405">
        <v>36.790989775588599</v>
      </c>
      <c r="N4405">
        <v>51.339878027615001</v>
      </c>
      <c r="O4405">
        <v>50.553232453905103</v>
      </c>
      <c r="P4405">
        <v>-0.148579454582316</v>
      </c>
      <c r="Q4405">
        <v>0.18337070033133199</v>
      </c>
      <c r="R4405">
        <v>0.92146377852726602</v>
      </c>
      <c r="S4405" t="s">
        <v>11408</v>
      </c>
      <c r="T4405" t="s">
        <v>14004</v>
      </c>
      <c r="U4405" t="s">
        <v>14004</v>
      </c>
      <c r="V4405" t="s">
        <v>14004</v>
      </c>
      <c r="W4405" t="s">
        <v>18354</v>
      </c>
      <c r="X4405">
        <v>3</v>
      </c>
      <c r="Y4405" t="s">
        <v>25166</v>
      </c>
      <c r="Z4405" t="s">
        <v>32115</v>
      </c>
      <c r="AA4405">
        <v>0.47808630632469118</v>
      </c>
      <c r="AB4405" t="str">
        <f>HYPERLINK("Melting_Curves/meltCurve_Q7L3S4_ZNF771.pdf", "Melting_Curves/meltCurve_Q7L3S4_ZNF771.pdf")</f>
        <v>Melting_Curves/meltCurve_Q7L3S4_ZNF771.pdf</v>
      </c>
    </row>
    <row r="4406" spans="1:28" x14ac:dyDescent="0.25">
      <c r="A4406" t="s">
        <v>4410</v>
      </c>
      <c r="B4406">
        <v>0.99999676499088797</v>
      </c>
      <c r="C4406">
        <v>1.0511001824414401</v>
      </c>
      <c r="D4406">
        <v>1.04869341658237</v>
      </c>
      <c r="E4406">
        <v>1.1513493942530399</v>
      </c>
      <c r="F4406">
        <v>0.98050742884132103</v>
      </c>
      <c r="G4406">
        <v>0.89069600158366202</v>
      </c>
      <c r="H4406">
        <v>0.35759516847227402</v>
      </c>
      <c r="I4406">
        <v>0.16938727758633601</v>
      </c>
      <c r="J4406">
        <v>0.11662828666024901</v>
      </c>
      <c r="K4406">
        <v>0.106099199780695</v>
      </c>
      <c r="L4406">
        <v>2463.0344000914201</v>
      </c>
      <c r="M4406">
        <v>41.442424184753897</v>
      </c>
      <c r="N4406">
        <v>59.797399082250003</v>
      </c>
      <c r="O4406">
        <v>59.294798006165898</v>
      </c>
      <c r="P4406">
        <v>-0.155217628100767</v>
      </c>
      <c r="Q4406">
        <v>0.111675391592424</v>
      </c>
      <c r="R4406">
        <v>0.98370410727679802</v>
      </c>
      <c r="S4406" t="s">
        <v>11409</v>
      </c>
      <c r="T4406" t="s">
        <v>14004</v>
      </c>
      <c r="U4406" t="s">
        <v>14004</v>
      </c>
      <c r="V4406" t="s">
        <v>14004</v>
      </c>
      <c r="W4406" t="s">
        <v>18355</v>
      </c>
      <c r="X4406">
        <v>8</v>
      </c>
      <c r="Y4406" t="s">
        <v>25167</v>
      </c>
      <c r="Z4406" t="s">
        <v>32116</v>
      </c>
      <c r="AA4406">
        <v>0.69037175673060758</v>
      </c>
      <c r="AB4406" t="str">
        <f>HYPERLINK("Melting_Curves/meltCurve_Q7L3T8_PARS2.pdf", "Melting_Curves/meltCurve_Q7L3T8_PARS2.pdf")</f>
        <v>Melting_Curves/meltCurve_Q7L3T8_PARS2.pdf</v>
      </c>
    </row>
    <row r="4407" spans="1:28" x14ac:dyDescent="0.25">
      <c r="A4407" t="s">
        <v>4411</v>
      </c>
      <c r="B4407">
        <v>0.99999676499088797</v>
      </c>
      <c r="C4407">
        <v>0.99751595673427296</v>
      </c>
      <c r="D4407">
        <v>0.94837752629878502</v>
      </c>
      <c r="E4407">
        <v>0.866270279217907</v>
      </c>
      <c r="F4407">
        <v>0.602659372999793</v>
      </c>
      <c r="G4407">
        <v>0.46542002842373997</v>
      </c>
      <c r="H4407">
        <v>0.32196388225921602</v>
      </c>
      <c r="I4407">
        <v>0.40538293724900898</v>
      </c>
      <c r="J4407">
        <v>0.40488039466317399</v>
      </c>
      <c r="K4407">
        <v>0.50231964612396995</v>
      </c>
      <c r="L4407">
        <v>1444.5612614429399</v>
      </c>
      <c r="M4407">
        <v>27.916652314149498</v>
      </c>
      <c r="N4407">
        <v>55.109736044438897</v>
      </c>
      <c r="O4407">
        <v>51.4821682401492</v>
      </c>
      <c r="P4407">
        <v>-8.0113857078464898E-2</v>
      </c>
      <c r="Q4407">
        <v>0.40904099545139599</v>
      </c>
      <c r="R4407">
        <v>0.97102016915408595</v>
      </c>
      <c r="S4407" t="s">
        <v>11410</v>
      </c>
      <c r="T4407" t="s">
        <v>14004</v>
      </c>
      <c r="U4407" t="s">
        <v>14004</v>
      </c>
      <c r="V4407" t="s">
        <v>14004</v>
      </c>
      <c r="W4407" t="s">
        <v>18356</v>
      </c>
      <c r="X4407">
        <v>13</v>
      </c>
      <c r="Y4407" t="s">
        <v>25168</v>
      </c>
      <c r="Z4407" t="s">
        <v>32117</v>
      </c>
      <c r="AA4407">
        <v>0.64474826488609316</v>
      </c>
      <c r="AB4407" t="str">
        <f>HYPERLINK("Melting_Curves/meltCurve_Q7L4I2_RSRC2.pdf", "Melting_Curves/meltCurve_Q7L4I2_RSRC2.pdf")</f>
        <v>Melting_Curves/meltCurve_Q7L4I2_RSRC2.pdf</v>
      </c>
    </row>
    <row r="4408" spans="1:28" x14ac:dyDescent="0.25">
      <c r="A4408" t="s">
        <v>4412</v>
      </c>
      <c r="B4408">
        <v>0.99999676499088797</v>
      </c>
      <c r="C4408">
        <v>0.72605012173554595</v>
      </c>
      <c r="D4408">
        <v>0.55195106732061805</v>
      </c>
      <c r="E4408">
        <v>0.31088288185111501</v>
      </c>
      <c r="F4408">
        <v>0.16911743787025299</v>
      </c>
      <c r="G4408">
        <v>6.1161836026659901E-2</v>
      </c>
      <c r="H4408">
        <v>2.8739610917619101E-2</v>
      </c>
      <c r="I4408">
        <v>2.01895583308342E-2</v>
      </c>
      <c r="J4408">
        <v>3.6590576742703898E-2</v>
      </c>
      <c r="K4408">
        <v>5.5894146278979802E-3</v>
      </c>
      <c r="L4408">
        <v>676.15865806260001</v>
      </c>
      <c r="M4408">
        <v>14.4982445238147</v>
      </c>
      <c r="N4408">
        <v>46.678735581715799</v>
      </c>
      <c r="O4408">
        <v>45.7769328240786</v>
      </c>
      <c r="P4408">
        <v>-7.8681602548380802E-2</v>
      </c>
      <c r="Q4408">
        <v>6.3933801421836196E-3</v>
      </c>
      <c r="R4408">
        <v>0.99010271602998101</v>
      </c>
      <c r="S4408" t="s">
        <v>11411</v>
      </c>
      <c r="T4408" t="s">
        <v>14004</v>
      </c>
      <c r="U4408" t="s">
        <v>14004</v>
      </c>
      <c r="V4408" t="s">
        <v>14004</v>
      </c>
      <c r="W4408" t="s">
        <v>18357</v>
      </c>
      <c r="X4408">
        <v>3</v>
      </c>
      <c r="Y4408" t="s">
        <v>25169</v>
      </c>
      <c r="Z4408" t="s">
        <v>32118</v>
      </c>
      <c r="AA4408">
        <v>0.25587999013027912</v>
      </c>
      <c r="AB4408" t="str">
        <f>HYPERLINK("Melting_Curves/meltCurve_Q7L4P6_2_BEND5.pdf", "Melting_Curves/meltCurve_Q7L4P6_2_BEND5.pdf")</f>
        <v>Melting_Curves/meltCurve_Q7L4P6_2_BEND5.pdf</v>
      </c>
    </row>
    <row r="4409" spans="1:28" x14ac:dyDescent="0.25">
      <c r="A4409" t="s">
        <v>4413</v>
      </c>
      <c r="B4409">
        <v>0.99999676499088797</v>
      </c>
      <c r="C4409">
        <v>1.0811442619000899</v>
      </c>
      <c r="D4409">
        <v>1.0862082125388799</v>
      </c>
      <c r="E4409">
        <v>1.15902673283823</v>
      </c>
      <c r="F4409">
        <v>1.1462906239760799</v>
      </c>
      <c r="G4409">
        <v>0.99700893158436599</v>
      </c>
      <c r="H4409">
        <v>0.70370119552995003</v>
      </c>
      <c r="I4409">
        <v>0.506578616487949</v>
      </c>
      <c r="J4409">
        <v>0.34023409325957399</v>
      </c>
      <c r="K4409">
        <v>0.26043053767044599</v>
      </c>
      <c r="L4409">
        <v>1846.28813121249</v>
      </c>
      <c r="M4409">
        <v>29.6999033789638</v>
      </c>
      <c r="N4409">
        <v>63.686477631813503</v>
      </c>
      <c r="O4409">
        <v>61.884998565130402</v>
      </c>
      <c r="P4409">
        <v>-8.9495240262296993E-2</v>
      </c>
      <c r="Q4409">
        <v>0.254088449029438</v>
      </c>
      <c r="R4409">
        <v>0.93777582996181297</v>
      </c>
      <c r="S4409" t="s">
        <v>11412</v>
      </c>
      <c r="T4409" t="s">
        <v>14004</v>
      </c>
      <c r="U4409" t="s">
        <v>14004</v>
      </c>
      <c r="V4409" t="s">
        <v>14004</v>
      </c>
      <c r="W4409" t="s">
        <v>18358</v>
      </c>
      <c r="X4409">
        <v>13</v>
      </c>
      <c r="Y4409" t="s">
        <v>25170</v>
      </c>
      <c r="Z4409" t="s">
        <v>32119</v>
      </c>
      <c r="AA4409">
        <v>0.80850959966712199</v>
      </c>
      <c r="AB4409" t="str">
        <f>HYPERLINK("Melting_Curves/meltCurve_Q7L523_RRAGA.pdf", "Melting_Curves/meltCurve_Q7L523_RRAGA.pdf")</f>
        <v>Melting_Curves/meltCurve_Q7L523_RRAGA.pdf</v>
      </c>
    </row>
    <row r="4410" spans="1:28" x14ac:dyDescent="0.25">
      <c r="A4410" t="s">
        <v>4414</v>
      </c>
      <c r="B4410">
        <v>0.99999676499088797</v>
      </c>
      <c r="C4410">
        <v>1.0397938763802199</v>
      </c>
      <c r="D4410">
        <v>0.98810736039648495</v>
      </c>
      <c r="E4410">
        <v>0.54659886808493197</v>
      </c>
      <c r="F4410">
        <v>0.131751954020005</v>
      </c>
      <c r="G4410">
        <v>8.0571898370972506E-2</v>
      </c>
      <c r="H4410">
        <v>4.0632007778669099E-2</v>
      </c>
      <c r="I4410">
        <v>3.6972229394705E-2</v>
      </c>
      <c r="J4410">
        <v>2.9851157390990701E-2</v>
      </c>
      <c r="K4410">
        <v>1.9700654214920298E-2</v>
      </c>
      <c r="L4410">
        <v>1895.88349160352</v>
      </c>
      <c r="M4410">
        <v>38.073679764470697</v>
      </c>
      <c r="N4410">
        <v>49.908124774771601</v>
      </c>
      <c r="O4410">
        <v>49.658347143902901</v>
      </c>
      <c r="P4410">
        <v>-0.18376266390169599</v>
      </c>
      <c r="Q4410">
        <v>4.1298129829384002E-2</v>
      </c>
      <c r="R4410">
        <v>0.997643689912735</v>
      </c>
      <c r="S4410" t="s">
        <v>11413</v>
      </c>
      <c r="T4410" t="s">
        <v>14004</v>
      </c>
      <c r="U4410" t="s">
        <v>14004</v>
      </c>
      <c r="V4410" t="s">
        <v>14004</v>
      </c>
      <c r="W4410" t="s">
        <v>18359</v>
      </c>
      <c r="X4410">
        <v>16</v>
      </c>
      <c r="Y4410" t="s">
        <v>25171</v>
      </c>
      <c r="Z4410" t="s">
        <v>32120</v>
      </c>
      <c r="AA4410">
        <v>0.3579655755137085</v>
      </c>
      <c r="AB4410" t="str">
        <f>HYPERLINK("Melting_Curves/meltCurve_Q7L576_CYFIP1.pdf", "Melting_Curves/meltCurve_Q7L576_CYFIP1.pdf")</f>
        <v>Melting_Curves/meltCurve_Q7L576_CYFIP1.pdf</v>
      </c>
    </row>
    <row r="4411" spans="1:28" x14ac:dyDescent="0.25">
      <c r="A4411" t="s">
        <v>4415</v>
      </c>
      <c r="B4411">
        <v>0.99999676499088797</v>
      </c>
      <c r="C4411">
        <v>0.99930777005733296</v>
      </c>
      <c r="D4411">
        <v>0.890290829252815</v>
      </c>
      <c r="E4411">
        <v>0.52006738661445995</v>
      </c>
      <c r="F4411">
        <v>0.283676059582395</v>
      </c>
      <c r="G4411">
        <v>0.183826685995685</v>
      </c>
      <c r="H4411">
        <v>9.9263017320839905E-2</v>
      </c>
      <c r="I4411">
        <v>0.12386339625326601</v>
      </c>
      <c r="J4411">
        <v>0.116079271403004</v>
      </c>
      <c r="K4411">
        <v>0.108282387641026</v>
      </c>
      <c r="L4411">
        <v>1149.4368308252399</v>
      </c>
      <c r="M4411">
        <v>23.219607615130901</v>
      </c>
      <c r="N4411">
        <v>50.067455242019101</v>
      </c>
      <c r="O4411">
        <v>49.140064897774401</v>
      </c>
      <c r="P4411">
        <v>-0.10452512109959899</v>
      </c>
      <c r="Q4411">
        <v>0.11518252033265799</v>
      </c>
      <c r="R4411">
        <v>0.99729370216295299</v>
      </c>
      <c r="S4411" t="s">
        <v>11414</v>
      </c>
      <c r="T4411" t="s">
        <v>14004</v>
      </c>
      <c r="U4411" t="s">
        <v>14004</v>
      </c>
      <c r="V4411" t="s">
        <v>14004</v>
      </c>
      <c r="W4411" t="s">
        <v>18360</v>
      </c>
      <c r="X4411">
        <v>7</v>
      </c>
      <c r="Y4411" t="s">
        <v>25172</v>
      </c>
      <c r="Z4411" t="s">
        <v>32121</v>
      </c>
      <c r="AA4411">
        <v>0.40460407461863418</v>
      </c>
      <c r="AB4411" t="str">
        <f>HYPERLINK("Melting_Curves/meltCurve_Q7L5D6_GET4.pdf", "Melting_Curves/meltCurve_Q7L5D6_GET4.pdf")</f>
        <v>Melting_Curves/meltCurve_Q7L5D6_GET4.pdf</v>
      </c>
    </row>
    <row r="4412" spans="1:28" x14ac:dyDescent="0.25">
      <c r="A4412" t="s">
        <v>4416</v>
      </c>
      <c r="B4412">
        <v>0.99999676499088797</v>
      </c>
      <c r="C4412">
        <v>0.93955702098057003</v>
      </c>
      <c r="D4412">
        <v>0.92742119523284405</v>
      </c>
      <c r="E4412">
        <v>0.70363534004792305</v>
      </c>
      <c r="F4412">
        <v>0.30508220632300598</v>
      </c>
      <c r="G4412">
        <v>0.239512870627486</v>
      </c>
      <c r="H4412">
        <v>0.128842942685157</v>
      </c>
      <c r="I4412">
        <v>0.12864998237619499</v>
      </c>
      <c r="J4412">
        <v>0.10498105039953599</v>
      </c>
      <c r="K4412">
        <v>9.2119184259987399E-2</v>
      </c>
      <c r="L4412">
        <v>1153.10552240315</v>
      </c>
      <c r="M4412">
        <v>22.671397026166801</v>
      </c>
      <c r="N4412">
        <v>51.429066409590803</v>
      </c>
      <c r="O4412">
        <v>50.470929578129002</v>
      </c>
      <c r="P4412">
        <v>-9.9875980050130403E-2</v>
      </c>
      <c r="Q4412">
        <v>0.110644366286009</v>
      </c>
      <c r="R4412">
        <v>0.99389336119674598</v>
      </c>
      <c r="S4412" t="s">
        <v>11415</v>
      </c>
      <c r="T4412" t="s">
        <v>14004</v>
      </c>
      <c r="U4412" t="s">
        <v>14004</v>
      </c>
      <c r="V4412" t="s">
        <v>14004</v>
      </c>
      <c r="W4412" t="s">
        <v>18361</v>
      </c>
      <c r="X4412">
        <v>3</v>
      </c>
      <c r="Y4412" t="s">
        <v>25173</v>
      </c>
      <c r="Z4412" t="s">
        <v>32122</v>
      </c>
      <c r="AA4412">
        <v>0.44235641808346737</v>
      </c>
      <c r="AB4412" t="str">
        <f>HYPERLINK("Melting_Curves/meltCurve_Q7L5N7_LPCAT2.pdf", "Melting_Curves/meltCurve_Q7L5N7_LPCAT2.pdf")</f>
        <v>Melting_Curves/meltCurve_Q7L5N7_LPCAT2.pdf</v>
      </c>
    </row>
    <row r="4413" spans="1:28" x14ac:dyDescent="0.25">
      <c r="A4413" t="s">
        <v>4417</v>
      </c>
      <c r="B4413">
        <v>0.99999676499088797</v>
      </c>
      <c r="C4413">
        <v>1.06438512843763</v>
      </c>
      <c r="D4413">
        <v>1.0239456093357799</v>
      </c>
      <c r="E4413">
        <v>0.98705116593416298</v>
      </c>
      <c r="F4413">
        <v>0.91575355184394602</v>
      </c>
      <c r="G4413">
        <v>0.74456093428590697</v>
      </c>
      <c r="H4413">
        <v>0.46008847745100101</v>
      </c>
      <c r="I4413">
        <v>0.24953218863974999</v>
      </c>
      <c r="J4413">
        <v>0.13467230707476799</v>
      </c>
      <c r="K4413">
        <v>0.104675204020929</v>
      </c>
      <c r="L4413">
        <v>1155.6816507936501</v>
      </c>
      <c r="M4413">
        <v>19.303477801796301</v>
      </c>
      <c r="N4413">
        <v>60.1255534274231</v>
      </c>
      <c r="O4413">
        <v>59.237683364527399</v>
      </c>
      <c r="P4413">
        <v>-7.8249636701682806E-2</v>
      </c>
      <c r="Q4413">
        <v>3.9519507250723E-2</v>
      </c>
      <c r="R4413">
        <v>0.99611961442504104</v>
      </c>
      <c r="S4413" t="s">
        <v>11416</v>
      </c>
      <c r="T4413" t="s">
        <v>14004</v>
      </c>
      <c r="U4413" t="s">
        <v>14004</v>
      </c>
      <c r="V4413" t="s">
        <v>14004</v>
      </c>
      <c r="W4413" t="s">
        <v>18362</v>
      </c>
      <c r="X4413">
        <v>12</v>
      </c>
      <c r="Y4413" t="s">
        <v>25174</v>
      </c>
      <c r="Z4413" t="s">
        <v>32123</v>
      </c>
      <c r="AA4413">
        <v>0.68396375893167793</v>
      </c>
      <c r="AB4413" t="str">
        <f>HYPERLINK("Melting_Curves/meltCurve_Q7L5Y1_ENOSF1.pdf", "Melting_Curves/meltCurve_Q7L5Y1_ENOSF1.pdf")</f>
        <v>Melting_Curves/meltCurve_Q7L5Y1_ENOSF1.pdf</v>
      </c>
    </row>
    <row r="4414" spans="1:28" x14ac:dyDescent="0.25">
      <c r="A4414" t="s">
        <v>4418</v>
      </c>
      <c r="B4414">
        <v>0.99999676499088797</v>
      </c>
      <c r="C4414">
        <v>1.09264668817407</v>
      </c>
      <c r="D4414">
        <v>1.10203264003284</v>
      </c>
      <c r="E4414">
        <v>0.76566130467198301</v>
      </c>
      <c r="F4414">
        <v>0.21391303475232501</v>
      </c>
      <c r="G4414">
        <v>0.14484042579582801</v>
      </c>
      <c r="H4414">
        <v>6.5068618198182299E-2</v>
      </c>
      <c r="I4414">
        <v>6.1031895465902097E-2</v>
      </c>
      <c r="J4414">
        <v>7.2041085158273996E-2</v>
      </c>
      <c r="K4414">
        <v>5.6169305908656701E-2</v>
      </c>
      <c r="L4414">
        <v>2127.94753850295</v>
      </c>
      <c r="M4414">
        <v>41.756314545996403</v>
      </c>
      <c r="N4414">
        <v>51.1655444558981</v>
      </c>
      <c r="O4414">
        <v>50.844637293556602</v>
      </c>
      <c r="P4414">
        <v>-0.18953787466112301</v>
      </c>
      <c r="Q4414">
        <v>7.6837466497715307E-2</v>
      </c>
      <c r="R4414">
        <v>0.98725063026330695</v>
      </c>
      <c r="S4414" t="s">
        <v>11417</v>
      </c>
      <c r="T4414" t="s">
        <v>14004</v>
      </c>
      <c r="U4414" t="s">
        <v>14004</v>
      </c>
      <c r="V4414" t="s">
        <v>14004</v>
      </c>
      <c r="W4414" t="s">
        <v>18363</v>
      </c>
      <c r="X4414">
        <v>8</v>
      </c>
      <c r="Y4414" t="s">
        <v>25175</v>
      </c>
      <c r="Z4414" t="s">
        <v>32124</v>
      </c>
      <c r="AA4414">
        <v>0.41711535697868152</v>
      </c>
      <c r="AB4414" t="str">
        <f>HYPERLINK("Melting_Curves/meltCurve_Q7L5Y9_MAEA.pdf", "Melting_Curves/meltCurve_Q7L5Y9_MAEA.pdf")</f>
        <v>Melting_Curves/meltCurve_Q7L5Y9_MAEA.pdf</v>
      </c>
    </row>
    <row r="4415" spans="1:28" x14ac:dyDescent="0.25">
      <c r="A4415" t="s">
        <v>4419</v>
      </c>
      <c r="B4415">
        <v>0.99999676499088797</v>
      </c>
      <c r="C4415">
        <v>0.98891685772066595</v>
      </c>
      <c r="D4415">
        <v>0.91384037476247904</v>
      </c>
      <c r="E4415">
        <v>0.77317636618752805</v>
      </c>
      <c r="F4415">
        <v>0.408584113957491</v>
      </c>
      <c r="G4415">
        <v>0.194731619303078</v>
      </c>
      <c r="H4415">
        <v>0.152366511113392</v>
      </c>
      <c r="I4415">
        <v>0.124661838640043</v>
      </c>
      <c r="J4415">
        <v>0.10432881590500399</v>
      </c>
      <c r="K4415">
        <v>0.14202106922548899</v>
      </c>
      <c r="L4415">
        <v>1219.5000415120001</v>
      </c>
      <c r="M4415">
        <v>23.627261767963098</v>
      </c>
      <c r="N4415">
        <v>52.210225218346899</v>
      </c>
      <c r="O4415">
        <v>51.248635144296003</v>
      </c>
      <c r="P4415">
        <v>-0.10163374470714499</v>
      </c>
      <c r="Q4415">
        <v>0.118221464143054</v>
      </c>
      <c r="R4415">
        <v>0.99782246048739998</v>
      </c>
      <c r="S4415" t="s">
        <v>11418</v>
      </c>
      <c r="T4415" t="s">
        <v>14004</v>
      </c>
      <c r="U4415" t="s">
        <v>14004</v>
      </c>
      <c r="V4415" t="s">
        <v>14004</v>
      </c>
      <c r="W4415" t="s">
        <v>18364</v>
      </c>
      <c r="X4415">
        <v>2</v>
      </c>
      <c r="Y4415" t="s">
        <v>25176</v>
      </c>
      <c r="Z4415" t="s">
        <v>32125</v>
      </c>
      <c r="AA4415">
        <v>0.46853244836547342</v>
      </c>
      <c r="AB4415" t="str">
        <f>HYPERLINK("Melting_Curves/meltCurve_Q7L775_EPM2AIP1.pdf", "Melting_Curves/meltCurve_Q7L775_EPM2AIP1.pdf")</f>
        <v>Melting_Curves/meltCurve_Q7L775_EPM2AIP1.pdf</v>
      </c>
    </row>
    <row r="4416" spans="1:28" x14ac:dyDescent="0.25">
      <c r="A4416" t="s">
        <v>4420</v>
      </c>
      <c r="B4416">
        <v>0.99999676499088797</v>
      </c>
      <c r="C4416">
        <v>0.99045297942729305</v>
      </c>
      <c r="D4416">
        <v>0.94195833015824704</v>
      </c>
      <c r="E4416">
        <v>0.82428678518260701</v>
      </c>
      <c r="F4416">
        <v>0.60504475647250999</v>
      </c>
      <c r="G4416">
        <v>0.62673997880227195</v>
      </c>
      <c r="H4416">
        <v>0.42480337189994499</v>
      </c>
      <c r="I4416">
        <v>0.52577008111469803</v>
      </c>
      <c r="J4416">
        <v>0.67277310160567905</v>
      </c>
      <c r="K4416">
        <v>0.64696088470977797</v>
      </c>
      <c r="L4416">
        <v>1568.12097859711</v>
      </c>
      <c r="M4416">
        <v>31.4167339706534</v>
      </c>
      <c r="O4416">
        <v>49.712616932130402</v>
      </c>
      <c r="P4416">
        <v>-6.7279933751154194E-2</v>
      </c>
      <c r="Q4416">
        <v>0.57415758420795404</v>
      </c>
      <c r="R4416">
        <v>0.88030399379795599</v>
      </c>
      <c r="S4416" t="s">
        <v>11419</v>
      </c>
      <c r="T4416" t="s">
        <v>14004</v>
      </c>
      <c r="U4416" t="s">
        <v>14004</v>
      </c>
      <c r="V4416" t="s">
        <v>14004</v>
      </c>
      <c r="W4416" t="s">
        <v>18365</v>
      </c>
      <c r="X4416">
        <v>7</v>
      </c>
      <c r="Y4416" t="s">
        <v>25177</v>
      </c>
      <c r="Z4416" t="s">
        <v>32126</v>
      </c>
      <c r="AA4416">
        <v>0.71727356494637251</v>
      </c>
      <c r="AB4416" t="str">
        <f>HYPERLINK("Melting_Curves/meltCurve_Q7L7L0_HIST3H2A.pdf", "Melting_Curves/meltCurve_Q7L7L0_HIST3H2A.pdf")</f>
        <v>Melting_Curves/meltCurve_Q7L7L0_HIST3H2A.pdf</v>
      </c>
    </row>
    <row r="4417" spans="1:28" x14ac:dyDescent="0.25">
      <c r="A4417" t="s">
        <v>4421</v>
      </c>
      <c r="B4417">
        <v>0.99999676499088797</v>
      </c>
      <c r="C4417">
        <v>0.96991711954964799</v>
      </c>
      <c r="D4417">
        <v>0.91451238189406403</v>
      </c>
      <c r="E4417">
        <v>0.99021226154241704</v>
      </c>
      <c r="F4417">
        <v>0.30246840898287702</v>
      </c>
      <c r="G4417">
        <v>0.23143071872682699</v>
      </c>
      <c r="H4417">
        <v>0.110499044225069</v>
      </c>
      <c r="I4417">
        <v>0.11142906557584201</v>
      </c>
      <c r="J4417">
        <v>0.10884760553619301</v>
      </c>
      <c r="K4417">
        <v>0.105280851526503</v>
      </c>
      <c r="L4417">
        <v>3737.29254242256</v>
      </c>
      <c r="M4417">
        <v>71.637603532224702</v>
      </c>
      <c r="N4417">
        <v>52.394519943791202</v>
      </c>
      <c r="O4417">
        <v>52.128833026630602</v>
      </c>
      <c r="P4417">
        <v>-0.29805416076473301</v>
      </c>
      <c r="Q4417">
        <v>0.13245523561952799</v>
      </c>
      <c r="R4417">
        <v>0.98761264872670995</v>
      </c>
      <c r="S4417" t="s">
        <v>11420</v>
      </c>
      <c r="T4417" t="s">
        <v>14004</v>
      </c>
      <c r="U4417" t="s">
        <v>14004</v>
      </c>
      <c r="V4417" t="s">
        <v>14004</v>
      </c>
      <c r="W4417" t="s">
        <v>18366</v>
      </c>
      <c r="X4417">
        <v>14</v>
      </c>
      <c r="Y4417" t="s">
        <v>25178</v>
      </c>
      <c r="Z4417" t="s">
        <v>32127</v>
      </c>
      <c r="AA4417">
        <v>0.4853423288999883</v>
      </c>
      <c r="AB4417" t="str">
        <f>HYPERLINK("Melting_Curves/meltCurve_Q7L7X3_TAOK1.pdf", "Melting_Curves/meltCurve_Q7L7X3_TAOK1.pdf")</f>
        <v>Melting_Curves/meltCurve_Q7L7X3_TAOK1.pdf</v>
      </c>
    </row>
    <row r="4418" spans="1:28" x14ac:dyDescent="0.25">
      <c r="A4418" t="s">
        <v>4422</v>
      </c>
      <c r="B4418">
        <v>0.99999676499088797</v>
      </c>
      <c r="C4418">
        <v>0.86338048792389499</v>
      </c>
      <c r="D4418">
        <v>0.845902488263515</v>
      </c>
      <c r="E4418">
        <v>0.45488670692810901</v>
      </c>
      <c r="F4418">
        <v>0.27050908880541502</v>
      </c>
      <c r="G4418">
        <v>0.155288329714836</v>
      </c>
      <c r="H4418">
        <v>7.4511698877549395E-2</v>
      </c>
      <c r="I4418">
        <v>8.0434524046967298E-2</v>
      </c>
      <c r="J4418">
        <v>8.2139659284222497E-2</v>
      </c>
      <c r="K4418">
        <v>9.2330743269759E-2</v>
      </c>
      <c r="L4418">
        <v>892.35232851185299</v>
      </c>
      <c r="M4418">
        <v>18.191477860961101</v>
      </c>
      <c r="N4418">
        <v>49.482886205590397</v>
      </c>
      <c r="O4418">
        <v>48.472079481654298</v>
      </c>
      <c r="P4418">
        <v>-8.6975479979259904E-2</v>
      </c>
      <c r="Q4418">
        <v>7.3042313141708198E-2</v>
      </c>
      <c r="R4418">
        <v>0.99074718458928002</v>
      </c>
      <c r="S4418" t="s">
        <v>11421</v>
      </c>
      <c r="T4418" t="s">
        <v>14004</v>
      </c>
      <c r="U4418" t="s">
        <v>14004</v>
      </c>
      <c r="V4418" t="s">
        <v>14004</v>
      </c>
      <c r="W4418" t="s">
        <v>18367</v>
      </c>
      <c r="X4418">
        <v>4</v>
      </c>
      <c r="Y4418" t="s">
        <v>25179</v>
      </c>
      <c r="Z4418" t="s">
        <v>32128</v>
      </c>
      <c r="AA4418">
        <v>0.36848231068170822</v>
      </c>
      <c r="AB4418" t="str">
        <f>HYPERLINK("Melting_Curves/meltCurve_Q7L8J4_SH3BP5L.pdf", "Melting_Curves/meltCurve_Q7L8J4_SH3BP5L.pdf")</f>
        <v>Melting_Curves/meltCurve_Q7L8J4_SH3BP5L.pdf</v>
      </c>
    </row>
    <row r="4419" spans="1:28" x14ac:dyDescent="0.25">
      <c r="A4419" t="s">
        <v>4423</v>
      </c>
      <c r="B4419">
        <v>0.99999676499088797</v>
      </c>
      <c r="C4419">
        <v>0.74893863055462395</v>
      </c>
      <c r="D4419">
        <v>0.21060987716513899</v>
      </c>
      <c r="E4419">
        <v>0.122889179277979</v>
      </c>
      <c r="F4419">
        <v>6.3590769034466907E-2</v>
      </c>
      <c r="G4419">
        <v>6.3956055587973001E-2</v>
      </c>
      <c r="H4419">
        <v>3.1985418147024498E-2</v>
      </c>
      <c r="I4419">
        <v>2.9555848678468801E-2</v>
      </c>
      <c r="J4419">
        <v>3.0551729133600401E-2</v>
      </c>
      <c r="K4419">
        <v>0</v>
      </c>
      <c r="L4419">
        <v>1596.4254217437499</v>
      </c>
      <c r="M4419">
        <v>36.183883336521802</v>
      </c>
      <c r="N4419">
        <v>44.234375910443198</v>
      </c>
      <c r="O4419">
        <v>43.985683213079703</v>
      </c>
      <c r="P4419">
        <v>-0.19645637900367199</v>
      </c>
      <c r="Q4419">
        <v>4.4741410922886901E-2</v>
      </c>
      <c r="R4419">
        <v>0.99311073183786003</v>
      </c>
      <c r="S4419" t="s">
        <v>11422</v>
      </c>
      <c r="T4419" t="s">
        <v>14004</v>
      </c>
      <c r="U4419" t="s">
        <v>14004</v>
      </c>
      <c r="V4419" t="s">
        <v>14004</v>
      </c>
      <c r="W4419" t="s">
        <v>18368</v>
      </c>
      <c r="X4419">
        <v>1</v>
      </c>
      <c r="Y4419" t="s">
        <v>25180</v>
      </c>
      <c r="Z4419" t="s">
        <v>32129</v>
      </c>
      <c r="AA4419">
        <v>0.1802151601590499</v>
      </c>
      <c r="AB4419" t="str">
        <f>HYPERLINK("Melting_Curves/meltCurve_Q7L8L6_FASTKD5.pdf", "Melting_Curves/meltCurve_Q7L8L6_FASTKD5.pdf")</f>
        <v>Melting_Curves/meltCurve_Q7L8L6_FASTKD5.pdf</v>
      </c>
    </row>
    <row r="4420" spans="1:28" x14ac:dyDescent="0.25">
      <c r="A4420" t="s">
        <v>4424</v>
      </c>
      <c r="B4420">
        <v>0.99999676499088797</v>
      </c>
      <c r="C4420">
        <v>0.88276650801258805</v>
      </c>
      <c r="D4420">
        <v>0.89053481920690303</v>
      </c>
      <c r="E4420">
        <v>1.0286986425639699</v>
      </c>
      <c r="F4420">
        <v>0.44450654882813401</v>
      </c>
      <c r="G4420">
        <v>0.21825236944656101</v>
      </c>
      <c r="H4420">
        <v>9.1408058350894397E-2</v>
      </c>
      <c r="I4420">
        <v>8.09935491153779E-2</v>
      </c>
      <c r="J4420">
        <v>6.2838562007203294E-2</v>
      </c>
      <c r="K4420">
        <v>4.0995744781896597E-2</v>
      </c>
      <c r="L4420">
        <v>2400.9945520340002</v>
      </c>
      <c r="M4420">
        <v>45.4450212659467</v>
      </c>
      <c r="N4420">
        <v>53.058058355349701</v>
      </c>
      <c r="O4420">
        <v>52.730958819511301</v>
      </c>
      <c r="P4420">
        <v>-0.196565969174543</v>
      </c>
      <c r="Q4420">
        <v>8.7680235156793407E-2</v>
      </c>
      <c r="R4420">
        <v>0.97368635724361696</v>
      </c>
      <c r="S4420" t="s">
        <v>11423</v>
      </c>
      <c r="T4420" t="s">
        <v>14004</v>
      </c>
      <c r="U4420" t="s">
        <v>14004</v>
      </c>
      <c r="V4420" t="s">
        <v>14004</v>
      </c>
      <c r="W4420" t="s">
        <v>18369</v>
      </c>
      <c r="X4420">
        <v>3</v>
      </c>
      <c r="Y4420" t="s">
        <v>25181</v>
      </c>
      <c r="Z4420" t="s">
        <v>32130</v>
      </c>
      <c r="AA4420">
        <v>0.48051454530564841</v>
      </c>
      <c r="AB4420" t="str">
        <f>HYPERLINK("Melting_Curves/meltCurve_Q7L8W6_ATPBD4.pdf", "Melting_Curves/meltCurve_Q7L8W6_ATPBD4.pdf")</f>
        <v>Melting_Curves/meltCurve_Q7L8W6_ATPBD4.pdf</v>
      </c>
    </row>
    <row r="4421" spans="1:28" x14ac:dyDescent="0.25">
      <c r="A4421" t="s">
        <v>4425</v>
      </c>
      <c r="B4421">
        <v>0.99999676499088797</v>
      </c>
      <c r="C4421">
        <v>0.91658527631515596</v>
      </c>
      <c r="D4421">
        <v>1.0238613609163001</v>
      </c>
      <c r="E4421">
        <v>0.77709394718467595</v>
      </c>
      <c r="F4421">
        <v>0.47146339705031398</v>
      </c>
      <c r="G4421">
        <v>0.204006036132788</v>
      </c>
      <c r="H4421">
        <v>0.12084321378903801</v>
      </c>
      <c r="I4421">
        <v>7.9650146914600095E-2</v>
      </c>
      <c r="J4421">
        <v>6.2306237606265601E-2</v>
      </c>
      <c r="K4421">
        <v>6.5077435851960394E-2</v>
      </c>
      <c r="L4421">
        <v>1162.5469107941201</v>
      </c>
      <c r="M4421">
        <v>22.144067848894199</v>
      </c>
      <c r="N4421">
        <v>52.820341836999603</v>
      </c>
      <c r="O4421">
        <v>52.076728637849698</v>
      </c>
      <c r="P4421">
        <v>-9.9612816789266603E-2</v>
      </c>
      <c r="Q4421">
        <v>6.2973085561676106E-2</v>
      </c>
      <c r="R4421">
        <v>0.99310419093904301</v>
      </c>
      <c r="S4421" t="s">
        <v>11424</v>
      </c>
      <c r="T4421" t="s">
        <v>14004</v>
      </c>
      <c r="U4421" t="s">
        <v>14004</v>
      </c>
      <c r="V4421" t="s">
        <v>14004</v>
      </c>
      <c r="W4421" t="s">
        <v>18370</v>
      </c>
      <c r="X4421">
        <v>3</v>
      </c>
      <c r="Y4421" t="s">
        <v>25182</v>
      </c>
      <c r="Z4421" t="s">
        <v>32131</v>
      </c>
      <c r="AA4421">
        <v>0.46415565021166061</v>
      </c>
      <c r="AB4421" t="str">
        <f>HYPERLINK("Melting_Curves/meltCurve_Q7L9B9_EEPD1.pdf", "Melting_Curves/meltCurve_Q7L9B9_EEPD1.pdf")</f>
        <v>Melting_Curves/meltCurve_Q7L9B9_EEPD1.pdf</v>
      </c>
    </row>
    <row r="4422" spans="1:28" x14ac:dyDescent="0.25">
      <c r="A4422" t="s">
        <v>4426</v>
      </c>
      <c r="B4422">
        <v>0.99999676499088797</v>
      </c>
      <c r="C4422">
        <v>0.89078447699471597</v>
      </c>
      <c r="D4422">
        <v>0.50460437834875904</v>
      </c>
      <c r="E4422">
        <v>0.25470842252679698</v>
      </c>
      <c r="F4422">
        <v>0.18938753468612901</v>
      </c>
      <c r="G4422">
        <v>0.13598089181777501</v>
      </c>
      <c r="H4422">
        <v>7.4227608513543597E-2</v>
      </c>
      <c r="I4422">
        <v>8.9836828179526804E-2</v>
      </c>
      <c r="J4422">
        <v>0.10235336188528101</v>
      </c>
      <c r="K4422">
        <v>8.5873243272063804E-2</v>
      </c>
      <c r="L4422">
        <v>1090.80253330286</v>
      </c>
      <c r="M4422">
        <v>23.759637048416799</v>
      </c>
      <c r="N4422">
        <v>46.371273827756397</v>
      </c>
      <c r="O4422">
        <v>45.588380961928301</v>
      </c>
      <c r="P4422">
        <v>-0.116580573133023</v>
      </c>
      <c r="Q4422">
        <v>0.105267001335264</v>
      </c>
      <c r="R4422">
        <v>0.992316423518951</v>
      </c>
      <c r="S4422" t="s">
        <v>11425</v>
      </c>
      <c r="T4422" t="s">
        <v>14004</v>
      </c>
      <c r="U4422" t="s">
        <v>14004</v>
      </c>
      <c r="V4422" t="s">
        <v>14004</v>
      </c>
      <c r="W4422" t="s">
        <v>18371</v>
      </c>
      <c r="X4422">
        <v>14</v>
      </c>
      <c r="Y4422" t="s">
        <v>25183</v>
      </c>
      <c r="Z4422" t="s">
        <v>32132</v>
      </c>
      <c r="AA4422">
        <v>0.29087175957968542</v>
      </c>
      <c r="AB4422" t="str">
        <f>HYPERLINK("Melting_Curves/meltCurve_Q7LBC6_KDM3B.pdf", "Melting_Curves/meltCurve_Q7LBC6_KDM3B.pdf")</f>
        <v>Melting_Curves/meltCurve_Q7LBC6_KDM3B.pdf</v>
      </c>
    </row>
    <row r="4423" spans="1:28" x14ac:dyDescent="0.25">
      <c r="A4423" t="s">
        <v>4427</v>
      </c>
      <c r="B4423">
        <v>0.99999676499088797</v>
      </c>
      <c r="C4423">
        <v>0.89679033944434094</v>
      </c>
      <c r="D4423">
        <v>0.89684492120499404</v>
      </c>
      <c r="E4423">
        <v>0.87997029558181294</v>
      </c>
      <c r="F4423">
        <v>0.34457513212633101</v>
      </c>
      <c r="G4423">
        <v>0.187913622287636</v>
      </c>
      <c r="H4423">
        <v>8.7253220955736593E-2</v>
      </c>
      <c r="I4423">
        <v>7.0813655374763598E-2</v>
      </c>
      <c r="J4423">
        <v>5.5881958743283701E-2</v>
      </c>
      <c r="K4423">
        <v>4.6565930317572897E-2</v>
      </c>
      <c r="L4423">
        <v>1617.7752165967299</v>
      </c>
      <c r="M4423">
        <v>31.085193267270402</v>
      </c>
      <c r="N4423">
        <v>52.294622517694997</v>
      </c>
      <c r="O4423">
        <v>51.8293124407978</v>
      </c>
      <c r="P4423">
        <v>-0.13953674799997201</v>
      </c>
      <c r="Q4423">
        <v>6.93893694046714E-2</v>
      </c>
      <c r="R4423">
        <v>0.98371053123617402</v>
      </c>
      <c r="S4423" t="s">
        <v>11426</v>
      </c>
      <c r="T4423" t="s">
        <v>14004</v>
      </c>
      <c r="U4423" t="s">
        <v>14004</v>
      </c>
      <c r="V4423" t="s">
        <v>14004</v>
      </c>
      <c r="W4423" t="s">
        <v>18372</v>
      </c>
      <c r="X4423">
        <v>3</v>
      </c>
      <c r="Y4423" t="s">
        <v>25184</v>
      </c>
      <c r="Z4423" t="s">
        <v>32133</v>
      </c>
      <c r="AA4423">
        <v>0.44852067706839432</v>
      </c>
      <c r="AB4423" t="str">
        <f>HYPERLINK("Melting_Curves/meltCurve_Q7LBR1_CHMP1B.pdf", "Melting_Curves/meltCurve_Q7LBR1_CHMP1B.pdf")</f>
        <v>Melting_Curves/meltCurve_Q7LBR1_CHMP1B.pdf</v>
      </c>
    </row>
    <row r="4424" spans="1:28" x14ac:dyDescent="0.25">
      <c r="A4424" t="s">
        <v>4428</v>
      </c>
      <c r="B4424">
        <v>0.99999676499088797</v>
      </c>
      <c r="C4424">
        <v>1.0377341585545501</v>
      </c>
      <c r="D4424">
        <v>1.0273475687748801</v>
      </c>
      <c r="E4424">
        <v>1.07443822572168</v>
      </c>
      <c r="F4424">
        <v>0.96633977895568202</v>
      </c>
      <c r="G4424">
        <v>0.96929709951758203</v>
      </c>
      <c r="H4424">
        <v>0.72743007566693296</v>
      </c>
      <c r="I4424">
        <v>0.64385597855111998</v>
      </c>
      <c r="J4424">
        <v>0.507929959801801</v>
      </c>
      <c r="K4424">
        <v>0.46968368132904498</v>
      </c>
      <c r="L4424">
        <v>1455.1001662769399</v>
      </c>
      <c r="M4424">
        <v>23.6075039018755</v>
      </c>
      <c r="N4424">
        <v>67.968611768934295</v>
      </c>
      <c r="O4424">
        <v>61.200025738616802</v>
      </c>
      <c r="P4424">
        <v>-5.3566393120008403E-2</v>
      </c>
      <c r="Q4424">
        <v>0.44454795926886898</v>
      </c>
      <c r="R4424">
        <v>0.97413716455229404</v>
      </c>
      <c r="S4424" t="s">
        <v>11427</v>
      </c>
      <c r="T4424" t="s">
        <v>14004</v>
      </c>
      <c r="U4424" t="s">
        <v>14004</v>
      </c>
      <c r="V4424" t="s">
        <v>14004</v>
      </c>
      <c r="W4424" t="s">
        <v>18373</v>
      </c>
      <c r="X4424">
        <v>9</v>
      </c>
      <c r="Y4424" t="s">
        <v>25185</v>
      </c>
      <c r="Z4424" t="s">
        <v>32134</v>
      </c>
      <c r="AA4424">
        <v>0.84805087894150455</v>
      </c>
      <c r="AB4424" t="str">
        <f>HYPERLINK("Melting_Curves/meltCurve_Q7LGA3_HS2ST1.pdf", "Melting_Curves/meltCurve_Q7LGA3_HS2ST1.pdf")</f>
        <v>Melting_Curves/meltCurve_Q7LGA3_HS2ST1.pdf</v>
      </c>
    </row>
    <row r="4425" spans="1:28" x14ac:dyDescent="0.25">
      <c r="A4425" t="s">
        <v>4429</v>
      </c>
      <c r="B4425">
        <v>0.99999676499088797</v>
      </c>
      <c r="C4425">
        <v>0.93236708956604897</v>
      </c>
      <c r="D4425">
        <v>0.79895523961999504</v>
      </c>
      <c r="E4425">
        <v>0.65946806972850702</v>
      </c>
      <c r="F4425">
        <v>0.45678885322797802</v>
      </c>
      <c r="G4425">
        <v>0.38119296956859899</v>
      </c>
      <c r="H4425">
        <v>0.21305126889415399</v>
      </c>
      <c r="I4425">
        <v>0.131686218794238</v>
      </c>
      <c r="J4425">
        <v>0.102474519849778</v>
      </c>
      <c r="K4425">
        <v>0.10370845552359</v>
      </c>
      <c r="L4425">
        <v>545.06453619515196</v>
      </c>
      <c r="M4425">
        <v>10.350740562387299</v>
      </c>
      <c r="N4425">
        <v>52.853700835261101</v>
      </c>
      <c r="O4425">
        <v>50.807636271959304</v>
      </c>
      <c r="P4425">
        <v>-5.0001876850030401E-2</v>
      </c>
      <c r="Q4425">
        <v>1.8661985108066E-2</v>
      </c>
      <c r="R4425">
        <v>0.99452961740179102</v>
      </c>
      <c r="S4425" t="s">
        <v>11428</v>
      </c>
      <c r="T4425" t="s">
        <v>14004</v>
      </c>
      <c r="U4425" t="s">
        <v>14004</v>
      </c>
      <c r="V4425" t="s">
        <v>14004</v>
      </c>
      <c r="W4425" t="s">
        <v>18374</v>
      </c>
      <c r="X4425">
        <v>1</v>
      </c>
      <c r="Y4425" t="s">
        <v>25186</v>
      </c>
      <c r="Z4425" t="s">
        <v>32135</v>
      </c>
      <c r="AA4425">
        <v>0.46645344414082962</v>
      </c>
      <c r="AB4425" t="str">
        <f>HYPERLINK("Melting_Curves/meltCurve_Q7RTN6_6_STRADA.pdf", "Melting_Curves/meltCurve_Q7RTN6_6_STRADA.pdf")</f>
        <v>Melting_Curves/meltCurve_Q7RTN6_6_STRADA.pdf</v>
      </c>
    </row>
    <row r="4426" spans="1:28" x14ac:dyDescent="0.25">
      <c r="A4426" t="s">
        <v>4430</v>
      </c>
      <c r="B4426">
        <v>0.99999676499088797</v>
      </c>
      <c r="C4426">
        <v>1.19550547407299</v>
      </c>
      <c r="D4426">
        <v>1.1051085464559101</v>
      </c>
      <c r="E4426">
        <v>0.94026806746178704</v>
      </c>
      <c r="F4426">
        <v>0.90733784873186296</v>
      </c>
      <c r="G4426">
        <v>0.36919221119698098</v>
      </c>
      <c r="H4426">
        <v>0.115155765810114</v>
      </c>
      <c r="I4426">
        <v>0.10393243033336801</v>
      </c>
      <c r="J4426">
        <v>0</v>
      </c>
      <c r="K4426">
        <v>5.9796417868725402E-2</v>
      </c>
      <c r="L4426">
        <v>2260.8839421542498</v>
      </c>
      <c r="M4426">
        <v>40.461419461241803</v>
      </c>
      <c r="N4426">
        <v>56.047923935214598</v>
      </c>
      <c r="O4426">
        <v>55.7415620527916</v>
      </c>
      <c r="P4426">
        <v>-0.17096773026399101</v>
      </c>
      <c r="Q4426">
        <v>5.78691664893232E-2</v>
      </c>
      <c r="R4426">
        <v>0.97305745407380695</v>
      </c>
      <c r="S4426" t="s">
        <v>11429</v>
      </c>
      <c r="T4426" t="s">
        <v>14004</v>
      </c>
      <c r="U4426" t="s">
        <v>14004</v>
      </c>
      <c r="V4426" t="s">
        <v>14004</v>
      </c>
      <c r="W4426" t="s">
        <v>18375</v>
      </c>
      <c r="X4426">
        <v>1</v>
      </c>
      <c r="Y4426" t="s">
        <v>25187</v>
      </c>
      <c r="Z4426" t="s">
        <v>32136</v>
      </c>
      <c r="AA4426">
        <v>0.5600286314082652</v>
      </c>
      <c r="AB4426" t="str">
        <f>HYPERLINK("Melting_Curves/meltCurve_Q7RTP0_NIPA1.pdf", "Melting_Curves/meltCurve_Q7RTP0_NIPA1.pdf")</f>
        <v>Melting_Curves/meltCurve_Q7RTP0_NIPA1.pdf</v>
      </c>
    </row>
    <row r="4427" spans="1:28" x14ac:dyDescent="0.25">
      <c r="A4427" t="s">
        <v>4431</v>
      </c>
      <c r="B4427">
        <v>0.99999676499088797</v>
      </c>
      <c r="C4427">
        <v>0.885502239784979</v>
      </c>
      <c r="D4427">
        <v>0.83911415932615896</v>
      </c>
      <c r="E4427">
        <v>0.57987596821091203</v>
      </c>
      <c r="F4427">
        <v>0.31201102880153198</v>
      </c>
      <c r="G4427">
        <v>0.21834968427985299</v>
      </c>
      <c r="H4427">
        <v>0.13613513253689699</v>
      </c>
      <c r="I4427">
        <v>0.11184500193275999</v>
      </c>
      <c r="J4427">
        <v>0.111974549832492</v>
      </c>
      <c r="K4427">
        <v>0.12636568786944499</v>
      </c>
      <c r="L4427">
        <v>823.128796356409</v>
      </c>
      <c r="M4427">
        <v>16.5209548162691</v>
      </c>
      <c r="N4427">
        <v>50.511233968496001</v>
      </c>
      <c r="O4427">
        <v>49.110500053160898</v>
      </c>
      <c r="P4427">
        <v>-7.5633694688254399E-2</v>
      </c>
      <c r="Q4427">
        <v>0.100741655920251</v>
      </c>
      <c r="R4427">
        <v>0.99556277608238597</v>
      </c>
      <c r="S4427" t="s">
        <v>11430</v>
      </c>
      <c r="T4427" t="s">
        <v>14004</v>
      </c>
      <c r="U4427" t="s">
        <v>14004</v>
      </c>
      <c r="V4427" t="s">
        <v>14004</v>
      </c>
      <c r="W4427" t="s">
        <v>18376</v>
      </c>
      <c r="X4427">
        <v>4</v>
      </c>
      <c r="Y4427" t="s">
        <v>25188</v>
      </c>
      <c r="Z4427" t="s">
        <v>32137</v>
      </c>
      <c r="AA4427">
        <v>0.41327495498690031</v>
      </c>
      <c r="AB4427" t="str">
        <f>HYPERLINK("Melting_Curves/meltCurve_Q7RTP6_MICAL3.pdf", "Melting_Curves/meltCurve_Q7RTP6_MICAL3.pdf")</f>
        <v>Melting_Curves/meltCurve_Q7RTP6_MICAL3.pdf</v>
      </c>
    </row>
    <row r="4428" spans="1:28" x14ac:dyDescent="0.25">
      <c r="A4428" t="s">
        <v>4432</v>
      </c>
      <c r="B4428">
        <v>0.99999676499088797</v>
      </c>
      <c r="C4428">
        <v>1.3177443820082699</v>
      </c>
      <c r="D4428">
        <v>1.1147880690538801</v>
      </c>
      <c r="E4428">
        <v>0.53998926291008698</v>
      </c>
      <c r="F4428">
        <v>0.14110770861835401</v>
      </c>
      <c r="G4428">
        <v>0.119321235715001</v>
      </c>
      <c r="H4428">
        <v>3.5930038698474102E-2</v>
      </c>
      <c r="I4428">
        <v>5.9001503720895097E-2</v>
      </c>
      <c r="J4428">
        <v>6.8869393039314206E-2</v>
      </c>
      <c r="K4428">
        <v>0</v>
      </c>
      <c r="L4428">
        <v>3338.30403366664</v>
      </c>
      <c r="M4428">
        <v>67.258089310171002</v>
      </c>
      <c r="N4428">
        <v>49.7432851199979</v>
      </c>
      <c r="O4428">
        <v>49.590414309561403</v>
      </c>
      <c r="P4428">
        <v>-0.31582527367823698</v>
      </c>
      <c r="Q4428">
        <v>6.8549092980908194E-2</v>
      </c>
      <c r="R4428">
        <v>0.94643495921116505</v>
      </c>
      <c r="S4428" t="s">
        <v>11431</v>
      </c>
      <c r="T4428" t="s">
        <v>14004</v>
      </c>
      <c r="U4428" t="s">
        <v>14004</v>
      </c>
      <c r="V4428" t="s">
        <v>14004</v>
      </c>
      <c r="W4428" t="s">
        <v>18377</v>
      </c>
      <c r="X4428">
        <v>2</v>
      </c>
      <c r="Y4428" t="s">
        <v>25189</v>
      </c>
      <c r="Z4428" t="s">
        <v>32138</v>
      </c>
      <c r="AA4428">
        <v>0.36880062741390163</v>
      </c>
      <c r="AB4428" t="str">
        <f>HYPERLINK("Melting_Curves/meltCurve_Q7RTS9_DYM.pdf", "Melting_Curves/meltCurve_Q7RTS9_DYM.pdf")</f>
        <v>Melting_Curves/meltCurve_Q7RTS9_DYM.pdf</v>
      </c>
    </row>
    <row r="4429" spans="1:28" x14ac:dyDescent="0.25">
      <c r="A4429" t="s">
        <v>4433</v>
      </c>
      <c r="B4429">
        <v>0.99999676499088797</v>
      </c>
      <c r="C4429">
        <v>0.96195879411957697</v>
      </c>
      <c r="D4429">
        <v>0.97261892907774306</v>
      </c>
      <c r="E4429">
        <v>0.71339490959528895</v>
      </c>
      <c r="F4429">
        <v>0.32080768607182197</v>
      </c>
      <c r="G4429">
        <v>0.21177254399511999</v>
      </c>
      <c r="H4429">
        <v>0.115754281628169</v>
      </c>
      <c r="I4429">
        <v>0.16129067294701099</v>
      </c>
      <c r="J4429">
        <v>0.192073201473622</v>
      </c>
      <c r="K4429">
        <v>0.171277745961671</v>
      </c>
      <c r="L4429">
        <v>1540.2714774839101</v>
      </c>
      <c r="M4429">
        <v>30.3934205655626</v>
      </c>
      <c r="N4429">
        <v>51.341333786705697</v>
      </c>
      <c r="O4429">
        <v>50.459927440502199</v>
      </c>
      <c r="P4429">
        <v>-0.12612517237861601</v>
      </c>
      <c r="Q4429">
        <v>0.16242043008592499</v>
      </c>
      <c r="R4429">
        <v>0.995971353709316</v>
      </c>
      <c r="S4429" t="s">
        <v>11432</v>
      </c>
      <c r="T4429" t="s">
        <v>14004</v>
      </c>
      <c r="U4429" t="s">
        <v>14004</v>
      </c>
      <c r="V4429" t="s">
        <v>14004</v>
      </c>
      <c r="W4429" t="s">
        <v>18378</v>
      </c>
      <c r="X4429">
        <v>16</v>
      </c>
      <c r="Y4429" t="s">
        <v>25190</v>
      </c>
      <c r="Z4429" t="s">
        <v>32139</v>
      </c>
      <c r="AA4429">
        <v>0.46564014605825771</v>
      </c>
      <c r="AB4429" t="str">
        <f>HYPERLINK("Melting_Curves/meltCurve_Q7RTV0_PHF5A.pdf", "Melting_Curves/meltCurve_Q7RTV0_PHF5A.pdf")</f>
        <v>Melting_Curves/meltCurve_Q7RTV0_PHF5A.pdf</v>
      </c>
    </row>
    <row r="4430" spans="1:28" x14ac:dyDescent="0.25">
      <c r="A4430" t="s">
        <v>4434</v>
      </c>
      <c r="B4430">
        <v>0.99999676499088797</v>
      </c>
      <c r="C4430">
        <v>0.96290063031254503</v>
      </c>
      <c r="D4430">
        <v>0.73506580596215698</v>
      </c>
      <c r="E4430">
        <v>0.39840247416354402</v>
      </c>
      <c r="F4430">
        <v>0.19048729389726199</v>
      </c>
      <c r="G4430">
        <v>0.11843259413186399</v>
      </c>
      <c r="H4430">
        <v>5.9587651670291501E-2</v>
      </c>
      <c r="I4430">
        <v>5.5854749711615803E-2</v>
      </c>
      <c r="J4430">
        <v>6.4616734761710801E-2</v>
      </c>
      <c r="K4430">
        <v>6.2531134942353697E-2</v>
      </c>
      <c r="L4430">
        <v>996.42942992658004</v>
      </c>
      <c r="M4430">
        <v>20.648879423075201</v>
      </c>
      <c r="N4430">
        <v>48.558250131912203</v>
      </c>
      <c r="O4430">
        <v>47.810105897619998</v>
      </c>
      <c r="P4430">
        <v>-0.101462058878596</v>
      </c>
      <c r="Q4430">
        <v>6.0332032331297997E-2</v>
      </c>
      <c r="R4430">
        <v>0.99855619443544796</v>
      </c>
      <c r="S4430" t="s">
        <v>11433</v>
      </c>
      <c r="T4430" t="s">
        <v>14004</v>
      </c>
      <c r="U4430" t="s">
        <v>14004</v>
      </c>
      <c r="V4430" t="s">
        <v>14004</v>
      </c>
      <c r="W4430" t="s">
        <v>18379</v>
      </c>
      <c r="X4430">
        <v>6</v>
      </c>
      <c r="Y4430" t="s">
        <v>25191</v>
      </c>
      <c r="Z4430" t="s">
        <v>32140</v>
      </c>
      <c r="AA4430">
        <v>0.33135184675244739</v>
      </c>
      <c r="AB4430" t="str">
        <f>HYPERLINK("Melting_Curves/meltCurve_Q7Z2E3_7_APTX.pdf", "Melting_Curves/meltCurve_Q7Z2E3_7_APTX.pdf")</f>
        <v>Melting_Curves/meltCurve_Q7Z2E3_7_APTX.pdf</v>
      </c>
    </row>
    <row r="4431" spans="1:28" x14ac:dyDescent="0.25">
      <c r="A4431" t="s">
        <v>4435</v>
      </c>
      <c r="B4431">
        <v>0.99999676499088797</v>
      </c>
      <c r="C4431">
        <v>0.98361116534703297</v>
      </c>
      <c r="D4431">
        <v>0.978296563887878</v>
      </c>
      <c r="E4431">
        <v>1.0994705115118699</v>
      </c>
      <c r="F4431">
        <v>1.35963721672819</v>
      </c>
      <c r="G4431">
        <v>0.957042836788769</v>
      </c>
      <c r="H4431">
        <v>0.85206396714292099</v>
      </c>
      <c r="I4431">
        <v>0.64131962540615195</v>
      </c>
      <c r="J4431">
        <v>0.55329593558919599</v>
      </c>
      <c r="K4431">
        <v>0.850539613418555</v>
      </c>
      <c r="L4431">
        <v>15000</v>
      </c>
      <c r="M4431">
        <v>246.56948554160201</v>
      </c>
      <c r="O4431">
        <v>60.830779287227003</v>
      </c>
      <c r="P4431">
        <v>-0.32252842018690497</v>
      </c>
      <c r="Q4431">
        <v>0.68171805042688105</v>
      </c>
      <c r="R4431">
        <v>0.59186222393375199</v>
      </c>
      <c r="S4431" t="s">
        <v>11434</v>
      </c>
      <c r="T4431" t="s">
        <v>14004</v>
      </c>
      <c r="U4431" t="s">
        <v>14004</v>
      </c>
      <c r="V4431" t="s">
        <v>14004</v>
      </c>
      <c r="W4431" t="s">
        <v>18380</v>
      </c>
      <c r="X4431">
        <v>4</v>
      </c>
      <c r="Y4431" t="s">
        <v>25192</v>
      </c>
      <c r="Z4431" t="s">
        <v>32141</v>
      </c>
      <c r="AA4431">
        <v>0.90279744623048086</v>
      </c>
      <c r="AB4431" t="str">
        <f>HYPERLINK("Melting_Curves/meltCurve_Q7Z2K6_ERMP1.pdf", "Melting_Curves/meltCurve_Q7Z2K6_ERMP1.pdf")</f>
        <v>Melting_Curves/meltCurve_Q7Z2K6_ERMP1.pdf</v>
      </c>
    </row>
    <row r="4432" spans="1:28" x14ac:dyDescent="0.25">
      <c r="A4432" t="s">
        <v>4436</v>
      </c>
      <c r="B4432">
        <v>0.99999676499088797</v>
      </c>
      <c r="C4432">
        <v>1.00708673724119</v>
      </c>
      <c r="D4432">
        <v>1.0077199906181999</v>
      </c>
      <c r="E4432">
        <v>0.93290178796612999</v>
      </c>
      <c r="F4432">
        <v>0.82829193114423205</v>
      </c>
      <c r="G4432">
        <v>0.72070891563005002</v>
      </c>
      <c r="H4432">
        <v>0.46752514232700498</v>
      </c>
      <c r="I4432">
        <v>0.48089265240737</v>
      </c>
      <c r="J4432">
        <v>0.452602099186726</v>
      </c>
      <c r="K4432">
        <v>0.51968507442071998</v>
      </c>
      <c r="L4432">
        <v>1188.5672551156899</v>
      </c>
      <c r="M4432">
        <v>21.410552270757101</v>
      </c>
      <c r="N4432">
        <v>62.830720358516899</v>
      </c>
      <c r="O4432">
        <v>55.035684800497002</v>
      </c>
      <c r="P4432">
        <v>-5.2647507358486098E-2</v>
      </c>
      <c r="Q4432">
        <v>0.45869315235310998</v>
      </c>
      <c r="R4432">
        <v>0.97727869485531804</v>
      </c>
      <c r="S4432" t="s">
        <v>11435</v>
      </c>
      <c r="T4432" t="s">
        <v>14004</v>
      </c>
      <c r="U4432" t="s">
        <v>14004</v>
      </c>
      <c r="V4432" t="s">
        <v>14004</v>
      </c>
      <c r="W4432" t="s">
        <v>18381</v>
      </c>
      <c r="X4432">
        <v>14</v>
      </c>
      <c r="Y4432" t="s">
        <v>25193</v>
      </c>
      <c r="Z4432" t="s">
        <v>32142</v>
      </c>
      <c r="AA4432">
        <v>0.74502467192538691</v>
      </c>
      <c r="AB4432" t="str">
        <f>HYPERLINK("Melting_Curves/meltCurve_Q7Z2K8_GPRIN1.pdf", "Melting_Curves/meltCurve_Q7Z2K8_GPRIN1.pdf")</f>
        <v>Melting_Curves/meltCurve_Q7Z2K8_GPRIN1.pdf</v>
      </c>
    </row>
    <row r="4433" spans="1:28" x14ac:dyDescent="0.25">
      <c r="A4433" t="s">
        <v>4437</v>
      </c>
      <c r="B4433">
        <v>0.99999676499088797</v>
      </c>
      <c r="C4433">
        <v>1.01966046667697</v>
      </c>
      <c r="D4433">
        <v>0.97858248729379105</v>
      </c>
      <c r="E4433">
        <v>0.69861503365183597</v>
      </c>
      <c r="F4433">
        <v>0.35995219458199301</v>
      </c>
      <c r="G4433">
        <v>0.198083592059136</v>
      </c>
      <c r="H4433">
        <v>0.111885738054242</v>
      </c>
      <c r="I4433">
        <v>0.12115279938532</v>
      </c>
      <c r="J4433">
        <v>0.117926097608544</v>
      </c>
      <c r="K4433">
        <v>9.7958410743499494E-2</v>
      </c>
      <c r="L4433">
        <v>1262.0287877570599</v>
      </c>
      <c r="M4433">
        <v>24.6824967726618</v>
      </c>
      <c r="N4433">
        <v>51.648388037668397</v>
      </c>
      <c r="O4433">
        <v>50.798435382039202</v>
      </c>
      <c r="P4433">
        <v>-0.10815838092744499</v>
      </c>
      <c r="Q4433">
        <v>0.109620254752823</v>
      </c>
      <c r="R4433">
        <v>0.99805188079824403</v>
      </c>
      <c r="S4433" t="s">
        <v>11436</v>
      </c>
      <c r="T4433" t="s">
        <v>14004</v>
      </c>
      <c r="U4433" t="s">
        <v>14004</v>
      </c>
      <c r="V4433" t="s">
        <v>14004</v>
      </c>
      <c r="W4433" t="s">
        <v>18382</v>
      </c>
      <c r="X4433">
        <v>12</v>
      </c>
      <c r="Y4433" t="s">
        <v>25194</v>
      </c>
      <c r="Z4433" t="s">
        <v>32143</v>
      </c>
      <c r="AA4433">
        <v>0.448225874221515</v>
      </c>
      <c r="AB4433" t="str">
        <f>HYPERLINK("Melting_Curves/meltCurve_Q7Z2T5_TRMT1L.pdf", "Melting_Curves/meltCurve_Q7Z2T5_TRMT1L.pdf")</f>
        <v>Melting_Curves/meltCurve_Q7Z2T5_TRMT1L.pdf</v>
      </c>
    </row>
    <row r="4434" spans="1:28" x14ac:dyDescent="0.25">
      <c r="A4434" t="s">
        <v>4438</v>
      </c>
      <c r="B4434">
        <v>0.99999676499088797</v>
      </c>
      <c r="C4434">
        <v>1.12107443905421</v>
      </c>
      <c r="D4434">
        <v>0.87595801625446401</v>
      </c>
      <c r="E4434">
        <v>0.36544633709841201</v>
      </c>
      <c r="F4434">
        <v>0.201439432503522</v>
      </c>
      <c r="G4434">
        <v>0.12992519750850201</v>
      </c>
      <c r="H4434">
        <v>5.8774965357188999E-2</v>
      </c>
      <c r="I4434">
        <v>6.2782027107672805E-2</v>
      </c>
      <c r="J4434">
        <v>5.87328434244513E-2</v>
      </c>
      <c r="K4434">
        <v>4.5479140477194202E-2</v>
      </c>
      <c r="L4434">
        <v>1583.21640486873</v>
      </c>
      <c r="M4434">
        <v>32.581429976082298</v>
      </c>
      <c r="N4434">
        <v>48.851179959217603</v>
      </c>
      <c r="O4434">
        <v>48.410643967201203</v>
      </c>
      <c r="P4434">
        <v>-0.154929664543171</v>
      </c>
      <c r="Q4434">
        <v>7.9204412007703506E-2</v>
      </c>
      <c r="R4434">
        <v>0.98370703813131199</v>
      </c>
      <c r="S4434" t="s">
        <v>11437</v>
      </c>
      <c r="T4434" t="s">
        <v>14004</v>
      </c>
      <c r="U4434" t="s">
        <v>14004</v>
      </c>
      <c r="V4434" t="s">
        <v>14004</v>
      </c>
      <c r="W4434" t="s">
        <v>18383</v>
      </c>
      <c r="X4434">
        <v>25</v>
      </c>
      <c r="Y4434" t="s">
        <v>25195</v>
      </c>
      <c r="Z4434" t="s">
        <v>32144</v>
      </c>
      <c r="AA4434">
        <v>0.34764498754953971</v>
      </c>
      <c r="AB4434" t="str">
        <f>HYPERLINK("Melting_Curves/meltCurve_Q7Z2W4_ZC3HAV1.pdf", "Melting_Curves/meltCurve_Q7Z2W4_ZC3HAV1.pdf")</f>
        <v>Melting_Curves/meltCurve_Q7Z2W4_ZC3HAV1.pdf</v>
      </c>
    </row>
    <row r="4435" spans="1:28" x14ac:dyDescent="0.25">
      <c r="A4435" t="s">
        <v>4439</v>
      </c>
      <c r="B4435">
        <v>0.99999676499088797</v>
      </c>
      <c r="C4435">
        <v>0.99357278826807605</v>
      </c>
      <c r="D4435">
        <v>0.96405065614555596</v>
      </c>
      <c r="E4435">
        <v>0.70034197039341095</v>
      </c>
      <c r="F4435">
        <v>0.181662479627</v>
      </c>
      <c r="G4435">
        <v>0.13245267149921</v>
      </c>
      <c r="H4435">
        <v>5.9140709054193399E-2</v>
      </c>
      <c r="I4435">
        <v>5.4307865833969002E-2</v>
      </c>
      <c r="J4435">
        <v>5.06635580103574E-2</v>
      </c>
      <c r="K4435">
        <v>3.8444314060590797E-2</v>
      </c>
      <c r="L4435">
        <v>1811.8032831979899</v>
      </c>
      <c r="M4435">
        <v>35.802134039733701</v>
      </c>
      <c r="N4435">
        <v>50.786784265233202</v>
      </c>
      <c r="O4435">
        <v>50.448907270522596</v>
      </c>
      <c r="P4435">
        <v>-0.166805532427378</v>
      </c>
      <c r="Q4435">
        <v>5.9818081962048797E-2</v>
      </c>
      <c r="R4435">
        <v>0.99767288041976598</v>
      </c>
      <c r="S4435" t="s">
        <v>11438</v>
      </c>
      <c r="T4435" t="s">
        <v>14004</v>
      </c>
      <c r="U4435" t="s">
        <v>14004</v>
      </c>
      <c r="V4435" t="s">
        <v>14004</v>
      </c>
      <c r="W4435" t="s">
        <v>18384</v>
      </c>
      <c r="X4435">
        <v>30</v>
      </c>
      <c r="Y4435" t="s">
        <v>25196</v>
      </c>
      <c r="Z4435" t="s">
        <v>32145</v>
      </c>
      <c r="AA4435">
        <v>0.3963171702017198</v>
      </c>
      <c r="AB4435" t="str">
        <f>HYPERLINK("Melting_Curves/meltCurve_Q7Z2Z2_EFTUD1.pdf", "Melting_Curves/meltCurve_Q7Z2Z2_EFTUD1.pdf")</f>
        <v>Melting_Curves/meltCurve_Q7Z2Z2_EFTUD1.pdf</v>
      </c>
    </row>
    <row r="4436" spans="1:28" x14ac:dyDescent="0.25">
      <c r="A4436" t="s">
        <v>4440</v>
      </c>
      <c r="B4436">
        <v>0.99999676499088797</v>
      </c>
      <c r="C4436">
        <v>0.96270125616164803</v>
      </c>
      <c r="D4436">
        <v>0.88895353651299902</v>
      </c>
      <c r="E4436">
        <v>0.82137627277683101</v>
      </c>
      <c r="F4436">
        <v>0.72858704550013798</v>
      </c>
      <c r="G4436">
        <v>0.48846993208468897</v>
      </c>
      <c r="H4436">
        <v>0.31565676024292499</v>
      </c>
      <c r="I4436">
        <v>0.326500894714711</v>
      </c>
      <c r="J4436">
        <v>0.32727497626950602</v>
      </c>
      <c r="K4436">
        <v>0.27486870667719898</v>
      </c>
      <c r="L4436">
        <v>746.68927870128596</v>
      </c>
      <c r="M4436">
        <v>13.797405509364401</v>
      </c>
      <c r="N4436">
        <v>56.840184456738498</v>
      </c>
      <c r="O4436">
        <v>53.019251490955298</v>
      </c>
      <c r="P4436">
        <v>-4.9336126069289499E-2</v>
      </c>
      <c r="Q4436">
        <v>0.24177104055897999</v>
      </c>
      <c r="R4436">
        <v>0.984348451618273</v>
      </c>
      <c r="S4436" t="s">
        <v>11439</v>
      </c>
      <c r="T4436" t="s">
        <v>14004</v>
      </c>
      <c r="U4436" t="s">
        <v>14004</v>
      </c>
      <c r="V4436" t="s">
        <v>14004</v>
      </c>
      <c r="W4436" t="s">
        <v>18385</v>
      </c>
      <c r="X4436">
        <v>4</v>
      </c>
      <c r="Y4436" t="s">
        <v>25197</v>
      </c>
      <c r="Z4436" t="s">
        <v>32146</v>
      </c>
      <c r="AA4436">
        <v>0.61562630222111081</v>
      </c>
      <c r="AB4436" t="str">
        <f>HYPERLINK("Melting_Curves/meltCurve_Q7Z309_FAM122B.pdf", "Melting_Curves/meltCurve_Q7Z309_FAM122B.pdf")</f>
        <v>Melting_Curves/meltCurve_Q7Z309_FAM122B.pdf</v>
      </c>
    </row>
    <row r="4437" spans="1:28" x14ac:dyDescent="0.25">
      <c r="A4437" t="s">
        <v>4441</v>
      </c>
      <c r="B4437">
        <v>0.99999676499088797</v>
      </c>
      <c r="C4437">
        <v>1.16325716870555</v>
      </c>
      <c r="D4437">
        <v>1.02283523683415</v>
      </c>
      <c r="E4437">
        <v>0.42599576091144598</v>
      </c>
      <c r="F4437">
        <v>0.27504298043872699</v>
      </c>
      <c r="G4437">
        <v>0.209117624261737</v>
      </c>
      <c r="H4437">
        <v>9.6122132278899194E-2</v>
      </c>
      <c r="I4437">
        <v>0.13954170848345199</v>
      </c>
      <c r="J4437">
        <v>0.13019425270144999</v>
      </c>
      <c r="K4437">
        <v>8.3162583423966097E-2</v>
      </c>
      <c r="L4437">
        <v>2782.5975090683801</v>
      </c>
      <c r="M4437">
        <v>56.786800341652601</v>
      </c>
      <c r="N4437">
        <v>49.317257364429601</v>
      </c>
      <c r="O4437">
        <v>48.9401242860718</v>
      </c>
      <c r="P4437">
        <v>-0.24578834093162499</v>
      </c>
      <c r="Q4437">
        <v>0.15269705427640001</v>
      </c>
      <c r="R4437">
        <v>0.96839337164246797</v>
      </c>
      <c r="S4437" t="s">
        <v>11440</v>
      </c>
      <c r="T4437" t="s">
        <v>14004</v>
      </c>
      <c r="U4437" t="s">
        <v>14004</v>
      </c>
      <c r="V4437" t="s">
        <v>14004</v>
      </c>
      <c r="W4437" t="s">
        <v>18386</v>
      </c>
      <c r="X4437">
        <v>4</v>
      </c>
      <c r="Y4437" t="s">
        <v>25198</v>
      </c>
      <c r="Z4437" t="s">
        <v>32147</v>
      </c>
      <c r="AA4437">
        <v>0.40832801970557542</v>
      </c>
      <c r="AB4437" t="str">
        <f>HYPERLINK("Melting_Curves/meltCurve_Q7Z392_TRAPPC11.pdf", "Melting_Curves/meltCurve_Q7Z392_TRAPPC11.pdf")</f>
        <v>Melting_Curves/meltCurve_Q7Z392_TRAPPC11.pdf</v>
      </c>
    </row>
    <row r="4438" spans="1:28" x14ac:dyDescent="0.25">
      <c r="A4438" t="s">
        <v>4442</v>
      </c>
      <c r="B4438">
        <v>0.99999676499088797</v>
      </c>
      <c r="C4438">
        <v>1.1320244410194</v>
      </c>
      <c r="D4438">
        <v>1.00950333737828</v>
      </c>
      <c r="E4438">
        <v>0.89627760966810499</v>
      </c>
      <c r="F4438">
        <v>0.45036228940031497</v>
      </c>
      <c r="G4438">
        <v>0.24745346779051799</v>
      </c>
      <c r="H4438">
        <v>0.120878521304307</v>
      </c>
      <c r="I4438">
        <v>0.13760099403117701</v>
      </c>
      <c r="J4438">
        <v>0.12622628429144001</v>
      </c>
      <c r="K4438">
        <v>0.1074782006303</v>
      </c>
      <c r="L4438">
        <v>1651.5984871437599</v>
      </c>
      <c r="M4438">
        <v>31.460729829686201</v>
      </c>
      <c r="N4438">
        <v>52.990206532334597</v>
      </c>
      <c r="O4438">
        <v>52.286405313957403</v>
      </c>
      <c r="P4438">
        <v>-0.131338271349943</v>
      </c>
      <c r="Q4438">
        <v>0.12689004896378001</v>
      </c>
      <c r="R4438">
        <v>0.987146955257863</v>
      </c>
      <c r="S4438" t="s">
        <v>11441</v>
      </c>
      <c r="T4438" t="s">
        <v>14004</v>
      </c>
      <c r="U4438" t="s">
        <v>14004</v>
      </c>
      <c r="V4438" t="s">
        <v>14004</v>
      </c>
      <c r="W4438" t="s">
        <v>18387</v>
      </c>
      <c r="X4438">
        <v>2</v>
      </c>
      <c r="Y4438" t="s">
        <v>25199</v>
      </c>
      <c r="Z4438" t="s">
        <v>32148</v>
      </c>
      <c r="AA4438">
        <v>0.49571951639561568</v>
      </c>
      <c r="AB4438" t="str">
        <f>HYPERLINK("Melting_Curves/meltCurve_Q7Z3C6_2_ATG9A.pdf", "Melting_Curves/meltCurve_Q7Z3C6_2_ATG9A.pdf")</f>
        <v>Melting_Curves/meltCurve_Q7Z3C6_2_ATG9A.pdf</v>
      </c>
    </row>
    <row r="4439" spans="1:28" x14ac:dyDescent="0.25">
      <c r="A4439" t="s">
        <v>4443</v>
      </c>
      <c r="B4439">
        <v>0.99999676499088797</v>
      </c>
      <c r="C4439">
        <v>0.94997240812439299</v>
      </c>
      <c r="D4439">
        <v>0.99084085950842005</v>
      </c>
      <c r="E4439">
        <v>0.82857779051255398</v>
      </c>
      <c r="F4439">
        <v>0.64808240144279905</v>
      </c>
      <c r="G4439">
        <v>0.418176032288681</v>
      </c>
      <c r="H4439">
        <v>0.23593697876542</v>
      </c>
      <c r="I4439">
        <v>0.206583334758765</v>
      </c>
      <c r="J4439">
        <v>0.183220839426295</v>
      </c>
      <c r="K4439">
        <v>0.16804153373710001</v>
      </c>
      <c r="L4439">
        <v>925.84427212529101</v>
      </c>
      <c r="M4439">
        <v>17.106864835839701</v>
      </c>
      <c r="N4439">
        <v>55.242989371301398</v>
      </c>
      <c r="O4439">
        <v>53.397881637497903</v>
      </c>
      <c r="P4439">
        <v>-6.8343782926872307E-2</v>
      </c>
      <c r="Q4439">
        <v>0.146730097770532</v>
      </c>
      <c r="R4439">
        <v>0.99658347490719301</v>
      </c>
      <c r="S4439" t="s">
        <v>11442</v>
      </c>
      <c r="T4439" t="s">
        <v>14004</v>
      </c>
      <c r="U4439" t="s">
        <v>14004</v>
      </c>
      <c r="V4439" t="s">
        <v>14004</v>
      </c>
      <c r="W4439" t="s">
        <v>18388</v>
      </c>
      <c r="X4439">
        <v>8</v>
      </c>
      <c r="Y4439" t="s">
        <v>25200</v>
      </c>
      <c r="Z4439" t="s">
        <v>32149</v>
      </c>
      <c r="AA4439">
        <v>0.56300703256087303</v>
      </c>
      <c r="AB4439" t="str">
        <f>HYPERLINK("Melting_Curves/meltCurve_Q7Z3D4_LYSMD3.pdf", "Melting_Curves/meltCurve_Q7Z3D4_LYSMD3.pdf")</f>
        <v>Melting_Curves/meltCurve_Q7Z3D4_LYSMD3.pdf</v>
      </c>
    </row>
    <row r="4440" spans="1:28" x14ac:dyDescent="0.25">
      <c r="A4440" t="s">
        <v>4444</v>
      </c>
      <c r="B4440">
        <v>0.99999676499088797</v>
      </c>
      <c r="C4440">
        <v>0.98211320237466304</v>
      </c>
      <c r="D4440">
        <v>1.03355823292265</v>
      </c>
      <c r="E4440">
        <v>1.0760193319926701</v>
      </c>
      <c r="F4440">
        <v>0.63354103357411695</v>
      </c>
      <c r="G4440">
        <v>0.215224132470487</v>
      </c>
      <c r="H4440">
        <v>0.10446010340472001</v>
      </c>
      <c r="I4440">
        <v>0.107725046501964</v>
      </c>
      <c r="J4440">
        <v>0.109615130068472</v>
      </c>
      <c r="K4440">
        <v>9.7876494388527899E-2</v>
      </c>
      <c r="L4440">
        <v>2444.7882399649998</v>
      </c>
      <c r="M4440">
        <v>45.5084762629712</v>
      </c>
      <c r="N4440">
        <v>54.017784333657701</v>
      </c>
      <c r="O4440">
        <v>53.618176173173602</v>
      </c>
      <c r="P4440">
        <v>-0.18875929903752101</v>
      </c>
      <c r="Q4440">
        <v>0.110414797173029</v>
      </c>
      <c r="R4440">
        <v>0.99306484860883504</v>
      </c>
      <c r="S4440" t="s">
        <v>11443</v>
      </c>
      <c r="T4440" t="s">
        <v>14004</v>
      </c>
      <c r="U4440" t="s">
        <v>14004</v>
      </c>
      <c r="V4440" t="s">
        <v>14004</v>
      </c>
      <c r="W4440" t="s">
        <v>18389</v>
      </c>
      <c r="X4440">
        <v>14</v>
      </c>
      <c r="Y4440" t="s">
        <v>25201</v>
      </c>
      <c r="Z4440" t="s">
        <v>32150</v>
      </c>
      <c r="AA4440">
        <v>0.51984532438562148</v>
      </c>
      <c r="AB4440" t="str">
        <f>HYPERLINK("Melting_Curves/meltCurve_Q7Z3D6_2_C14orf159.pdf", "Melting_Curves/meltCurve_Q7Z3D6_2_C14orf159.pdf")</f>
        <v>Melting_Curves/meltCurve_Q7Z3D6_2_C14orf159.pdf</v>
      </c>
    </row>
    <row r="4441" spans="1:28" x14ac:dyDescent="0.25">
      <c r="A4441" t="s">
        <v>4445</v>
      </c>
      <c r="B4441">
        <v>0.99999676499088797</v>
      </c>
      <c r="C4441">
        <v>0.87573608239483702</v>
      </c>
      <c r="D4441">
        <v>0.82387089862443197</v>
      </c>
      <c r="E4441">
        <v>0.53242240633787197</v>
      </c>
      <c r="F4441">
        <v>0.33651597967916702</v>
      </c>
      <c r="G4441">
        <v>0.205339823003761</v>
      </c>
      <c r="H4441">
        <v>0.100133203254703</v>
      </c>
      <c r="I4441">
        <v>0.101480712464335</v>
      </c>
      <c r="J4441">
        <v>0.178253999269608</v>
      </c>
      <c r="K4441">
        <v>0.11318637213076101</v>
      </c>
      <c r="L4441">
        <v>798.29605618150595</v>
      </c>
      <c r="M4441">
        <v>16.140914263238301</v>
      </c>
      <c r="N4441">
        <v>50.190856710600599</v>
      </c>
      <c r="O4441">
        <v>48.717450892301301</v>
      </c>
      <c r="P4441">
        <v>-7.4138333941917295E-2</v>
      </c>
      <c r="Q4441">
        <v>0.10499321847043599</v>
      </c>
      <c r="R4441">
        <v>0.99027329048174595</v>
      </c>
      <c r="S4441" t="s">
        <v>11444</v>
      </c>
      <c r="T4441" t="s">
        <v>14004</v>
      </c>
      <c r="U4441" t="s">
        <v>14004</v>
      </c>
      <c r="V4441" t="s">
        <v>14004</v>
      </c>
      <c r="W4441" t="s">
        <v>18390</v>
      </c>
      <c r="X4441">
        <v>4</v>
      </c>
      <c r="Y4441" t="s">
        <v>25202</v>
      </c>
      <c r="Z4441" t="s">
        <v>32151</v>
      </c>
      <c r="AA4441">
        <v>0.40611807297866298</v>
      </c>
      <c r="AB4441" t="str">
        <f>HYPERLINK("Melting_Curves/meltCurve_Q7Z3E2_C10orf118.pdf", "Melting_Curves/meltCurve_Q7Z3E2_C10orf118.pdf")</f>
        <v>Melting_Curves/meltCurve_Q7Z3E2_C10orf118.pdf</v>
      </c>
    </row>
    <row r="4442" spans="1:28" x14ac:dyDescent="0.25">
      <c r="A4442" t="s">
        <v>4446</v>
      </c>
      <c r="B4442">
        <v>0.99999676499088797</v>
      </c>
      <c r="C4442">
        <v>0.90922430235556595</v>
      </c>
      <c r="D4442">
        <v>0.60475681836726503</v>
      </c>
      <c r="E4442">
        <v>0.279462559481441</v>
      </c>
      <c r="F4442">
        <v>0.187297581390203</v>
      </c>
      <c r="G4442">
        <v>0.12446325647310701</v>
      </c>
      <c r="H4442">
        <v>5.9517678587122098E-2</v>
      </c>
      <c r="I4442">
        <v>7.2176789206541303E-2</v>
      </c>
      <c r="J4442">
        <v>6.3715139178660604E-2</v>
      </c>
      <c r="K4442">
        <v>5.13645869956499E-2</v>
      </c>
      <c r="L4442">
        <v>980.209505449522</v>
      </c>
      <c r="M4442">
        <v>20.9228084804529</v>
      </c>
      <c r="N4442">
        <v>47.200360481176403</v>
      </c>
      <c r="O4442">
        <v>46.427182022508703</v>
      </c>
      <c r="P4442">
        <v>-0.10453964904849999</v>
      </c>
      <c r="Q4442">
        <v>7.2141931307416599E-2</v>
      </c>
      <c r="R4442">
        <v>0.99522218916398497</v>
      </c>
      <c r="S4442" t="s">
        <v>11445</v>
      </c>
      <c r="T4442" t="s">
        <v>14004</v>
      </c>
      <c r="U4442" t="s">
        <v>14004</v>
      </c>
      <c r="V4442" t="s">
        <v>14004</v>
      </c>
      <c r="W4442" t="s">
        <v>18391</v>
      </c>
      <c r="X4442">
        <v>17</v>
      </c>
      <c r="Y4442" t="s">
        <v>25203</v>
      </c>
      <c r="Z4442" t="s">
        <v>32152</v>
      </c>
      <c r="AA4442">
        <v>0.29633047069736568</v>
      </c>
      <c r="AB4442" t="str">
        <f>HYPERLINK("Melting_Curves/meltCurve_Q7Z3K3_5_POGZ.pdf", "Melting_Curves/meltCurve_Q7Z3K3_5_POGZ.pdf")</f>
        <v>Melting_Curves/meltCurve_Q7Z3K3_5_POGZ.pdf</v>
      </c>
    </row>
    <row r="4443" spans="1:28" x14ac:dyDescent="0.25">
      <c r="A4443" t="s">
        <v>4447</v>
      </c>
      <c r="B4443">
        <v>0.99999676499088797</v>
      </c>
      <c r="C4443">
        <v>0.94628412024459896</v>
      </c>
      <c r="D4443">
        <v>0.96777949670011199</v>
      </c>
      <c r="E4443">
        <v>1.0150180504795301</v>
      </c>
      <c r="F4443">
        <v>0.61713788633963595</v>
      </c>
      <c r="G4443">
        <v>0.263925527319192</v>
      </c>
      <c r="H4443">
        <v>0.135847409441234</v>
      </c>
      <c r="I4443">
        <v>0.12697220987452901</v>
      </c>
      <c r="J4443">
        <v>0.122565306555798</v>
      </c>
      <c r="K4443">
        <v>0.133387623409495</v>
      </c>
      <c r="L4443">
        <v>1946.97939700867</v>
      </c>
      <c r="M4443">
        <v>36.254000250390398</v>
      </c>
      <c r="N4443">
        <v>54.154635491888897</v>
      </c>
      <c r="O4443">
        <v>53.541236790449801</v>
      </c>
      <c r="P4443">
        <v>-0.14723244639449501</v>
      </c>
      <c r="Q4443">
        <v>0.13024957626189201</v>
      </c>
      <c r="R4443">
        <v>0.99456766217428305</v>
      </c>
      <c r="S4443" t="s">
        <v>11446</v>
      </c>
      <c r="T4443" t="s">
        <v>14004</v>
      </c>
      <c r="U4443" t="s">
        <v>14004</v>
      </c>
      <c r="V4443" t="s">
        <v>14004</v>
      </c>
      <c r="W4443" t="s">
        <v>18392</v>
      </c>
      <c r="X4443">
        <v>14</v>
      </c>
      <c r="Y4443" t="s">
        <v>25204</v>
      </c>
      <c r="Z4443" t="s">
        <v>32153</v>
      </c>
      <c r="AA4443">
        <v>0.53146940137994136</v>
      </c>
      <c r="AB4443" t="str">
        <f>HYPERLINK("Melting_Curves/meltCurve_Q7Z3T8_ZFYVE16.pdf", "Melting_Curves/meltCurve_Q7Z3T8_ZFYVE16.pdf")</f>
        <v>Melting_Curves/meltCurve_Q7Z3T8_ZFYVE16.pdf</v>
      </c>
    </row>
    <row r="4444" spans="1:28" x14ac:dyDescent="0.25">
      <c r="A4444" t="s">
        <v>4448</v>
      </c>
      <c r="B4444">
        <v>0.99999676499088797</v>
      </c>
      <c r="C4444">
        <v>1.03277837805047</v>
      </c>
      <c r="D4444">
        <v>1.0498045780052101</v>
      </c>
      <c r="E4444">
        <v>1.3644511066132501</v>
      </c>
      <c r="F4444">
        <v>1.66160349910358</v>
      </c>
      <c r="G4444">
        <v>1.1946193180782001</v>
      </c>
      <c r="H4444">
        <v>0.69658074946247195</v>
      </c>
      <c r="I4444">
        <v>0.27887532244501101</v>
      </c>
      <c r="J4444">
        <v>0.12717443845583901</v>
      </c>
      <c r="K4444">
        <v>0.123551021009441</v>
      </c>
      <c r="L4444">
        <v>3237.8805704285601</v>
      </c>
      <c r="M4444">
        <v>52.485706396443703</v>
      </c>
      <c r="N4444">
        <v>62.047570169476501</v>
      </c>
      <c r="O4444">
        <v>61.601350468386499</v>
      </c>
      <c r="P4444">
        <v>-0.18525508466514901</v>
      </c>
      <c r="Q4444">
        <v>0.13028089515313099</v>
      </c>
      <c r="R4444">
        <v>0.756367689715847</v>
      </c>
      <c r="S4444" t="s">
        <v>11447</v>
      </c>
      <c r="T4444" t="s">
        <v>14004</v>
      </c>
      <c r="U4444" t="s">
        <v>14004</v>
      </c>
      <c r="V4444" t="s">
        <v>14004</v>
      </c>
      <c r="W4444" t="s">
        <v>18393</v>
      </c>
      <c r="X4444">
        <v>1</v>
      </c>
      <c r="Y4444" t="s">
        <v>25205</v>
      </c>
      <c r="Z4444" t="s">
        <v>32154</v>
      </c>
      <c r="AA4444">
        <v>0.76116484168060694</v>
      </c>
      <c r="AB4444" t="str">
        <f>HYPERLINK("Melting_Curves/meltCurve_Q7Z3Z2_RD3.pdf", "Melting_Curves/meltCurve_Q7Z3Z2_RD3.pdf")</f>
        <v>Melting_Curves/meltCurve_Q7Z3Z2_RD3.pdf</v>
      </c>
    </row>
    <row r="4445" spans="1:28" x14ac:dyDescent="0.25">
      <c r="A4445" t="s">
        <v>4449</v>
      </c>
      <c r="B4445">
        <v>0.99999676499088797</v>
      </c>
      <c r="C4445">
        <v>0.96046924443341097</v>
      </c>
      <c r="D4445">
        <v>0.91798293480043502</v>
      </c>
      <c r="E4445">
        <v>0.815773682836615</v>
      </c>
      <c r="F4445">
        <v>0.70866855245828697</v>
      </c>
      <c r="G4445">
        <v>0.42442230697281702</v>
      </c>
      <c r="H4445">
        <v>0.29041895147152202</v>
      </c>
      <c r="I4445">
        <v>0.27102567830215402</v>
      </c>
      <c r="J4445">
        <v>0.27337650818235798</v>
      </c>
      <c r="K4445">
        <v>0.36462304982309302</v>
      </c>
      <c r="L4445">
        <v>977.91174625807901</v>
      </c>
      <c r="M4445">
        <v>18.361132000455498</v>
      </c>
      <c r="N4445">
        <v>55.635118043591397</v>
      </c>
      <c r="O4445">
        <v>52.640181528088803</v>
      </c>
      <c r="P4445">
        <v>-6.3512554244647898E-2</v>
      </c>
      <c r="Q4445">
        <v>0.27168762358563198</v>
      </c>
      <c r="R4445">
        <v>0.97618664653125997</v>
      </c>
      <c r="S4445" t="s">
        <v>11448</v>
      </c>
      <c r="T4445" t="s">
        <v>14004</v>
      </c>
      <c r="U4445" t="s">
        <v>14004</v>
      </c>
      <c r="V4445" t="s">
        <v>14004</v>
      </c>
      <c r="W4445" t="s">
        <v>18394</v>
      </c>
      <c r="X4445">
        <v>20</v>
      </c>
      <c r="Y4445" t="s">
        <v>25206</v>
      </c>
      <c r="Z4445" t="s">
        <v>32155</v>
      </c>
      <c r="AA4445">
        <v>0.60509503602761727</v>
      </c>
      <c r="AB4445" t="str">
        <f>HYPERLINK("Melting_Curves/meltCurve_Q7Z417_NUFIP2.pdf", "Melting_Curves/meltCurve_Q7Z417_NUFIP2.pdf")</f>
        <v>Melting_Curves/meltCurve_Q7Z417_NUFIP2.pdf</v>
      </c>
    </row>
    <row r="4446" spans="1:28" x14ac:dyDescent="0.25">
      <c r="A4446" t="s">
        <v>4450</v>
      </c>
      <c r="B4446">
        <v>0.99999676499088797</v>
      </c>
      <c r="C4446">
        <v>1.10731154259019</v>
      </c>
      <c r="D4446">
        <v>1.1183596403461</v>
      </c>
      <c r="E4446">
        <v>1.09340743211726</v>
      </c>
      <c r="F4446">
        <v>1.02115609912351</v>
      </c>
      <c r="G4446">
        <v>1.1300555973680499</v>
      </c>
      <c r="H4446">
        <v>0.78589908150274801</v>
      </c>
      <c r="I4446">
        <v>0.97282202248201199</v>
      </c>
      <c r="J4446">
        <v>0.84353444837165903</v>
      </c>
      <c r="K4446">
        <v>1.0720357421875999</v>
      </c>
      <c r="L4446">
        <v>2997.7841214606001</v>
      </c>
      <c r="M4446">
        <v>51.036428898900901</v>
      </c>
      <c r="O4446">
        <v>58.648152196106601</v>
      </c>
      <c r="P4446">
        <v>-1.5982709565919299E-2</v>
      </c>
      <c r="Q4446">
        <v>0.92653438587781201</v>
      </c>
      <c r="R4446">
        <v>0.14346807894906999</v>
      </c>
      <c r="S4446" t="s">
        <v>11449</v>
      </c>
      <c r="T4446" t="s">
        <v>14004</v>
      </c>
      <c r="U4446" t="s">
        <v>14004</v>
      </c>
      <c r="V4446" t="s">
        <v>14004</v>
      </c>
      <c r="W4446" t="s">
        <v>18395</v>
      </c>
      <c r="X4446">
        <v>7</v>
      </c>
      <c r="Y4446" t="s">
        <v>25207</v>
      </c>
      <c r="Z4446" t="s">
        <v>32156</v>
      </c>
      <c r="AA4446">
        <v>0.97260282464607606</v>
      </c>
      <c r="AB4446" t="str">
        <f>HYPERLINK("Melting_Curves/meltCurve_Q7Z422_2_SZRD1.pdf", "Melting_Curves/meltCurve_Q7Z422_2_SZRD1.pdf")</f>
        <v>Melting_Curves/meltCurve_Q7Z422_2_SZRD1.pdf</v>
      </c>
    </row>
    <row r="4447" spans="1:28" x14ac:dyDescent="0.25">
      <c r="A4447" t="s">
        <v>4451</v>
      </c>
      <c r="B4447">
        <v>0.99999676499088797</v>
      </c>
      <c r="C4447">
        <v>0.96521004239545105</v>
      </c>
      <c r="D4447">
        <v>0.89576713715314404</v>
      </c>
      <c r="E4447">
        <v>0.65441205724545104</v>
      </c>
      <c r="F4447">
        <v>0.449929615507905</v>
      </c>
      <c r="G4447">
        <v>0.30945164368778599</v>
      </c>
      <c r="H4447">
        <v>0.17225593034322001</v>
      </c>
      <c r="I4447">
        <v>9.2089827838328295E-2</v>
      </c>
      <c r="J4447">
        <v>8.5144220411284999E-2</v>
      </c>
      <c r="K4447">
        <v>0.103626058361667</v>
      </c>
      <c r="L4447">
        <v>735.20904799295602</v>
      </c>
      <c r="M4447">
        <v>14.140932794853899</v>
      </c>
      <c r="N4447">
        <v>52.463759369822199</v>
      </c>
      <c r="O4447">
        <v>50.984937955783998</v>
      </c>
      <c r="P4447">
        <v>-6.5203717065026798E-2</v>
      </c>
      <c r="Q4447">
        <v>5.97552407165549E-2</v>
      </c>
      <c r="R4447">
        <v>0.99670864655883595</v>
      </c>
      <c r="S4447" t="s">
        <v>11450</v>
      </c>
      <c r="T4447" t="s">
        <v>14004</v>
      </c>
      <c r="U4447" t="s">
        <v>14004</v>
      </c>
      <c r="V4447" t="s">
        <v>14004</v>
      </c>
      <c r="W4447" t="s">
        <v>18396</v>
      </c>
      <c r="X4447">
        <v>5</v>
      </c>
      <c r="Y4447" t="s">
        <v>25208</v>
      </c>
      <c r="Z4447" t="s">
        <v>32157</v>
      </c>
      <c r="AA4447">
        <v>0.45855736511797618</v>
      </c>
      <c r="AB4447" t="str">
        <f>HYPERLINK("Melting_Curves/meltCurve_Q7Z434_MAVS.pdf", "Melting_Curves/meltCurve_Q7Z434_MAVS.pdf")</f>
        <v>Melting_Curves/meltCurve_Q7Z434_MAVS.pdf</v>
      </c>
    </row>
    <row r="4448" spans="1:28" x14ac:dyDescent="0.25">
      <c r="A4448" t="s">
        <v>4452</v>
      </c>
      <c r="B4448">
        <v>0.99999676499088797</v>
      </c>
      <c r="C4448">
        <v>1.03199285889389</v>
      </c>
      <c r="D4448">
        <v>1.0979396567320601</v>
      </c>
      <c r="E4448">
        <v>1.2301047319706599</v>
      </c>
      <c r="F4448">
        <v>1.1933572603362701</v>
      </c>
      <c r="G4448">
        <v>1.0055907408073199</v>
      </c>
      <c r="H4448">
        <v>0.57483092092544397</v>
      </c>
      <c r="I4448">
        <v>0.33960388316775902</v>
      </c>
      <c r="J4448">
        <v>0.117801434741109</v>
      </c>
      <c r="K4448">
        <v>0.10742925675017299</v>
      </c>
      <c r="L4448">
        <v>2137.61135391264</v>
      </c>
      <c r="M4448">
        <v>34.8206476873047</v>
      </c>
      <c r="N4448">
        <v>61.793912985510403</v>
      </c>
      <c r="O4448">
        <v>61.187780817539704</v>
      </c>
      <c r="P4448">
        <v>-0.127764782791078</v>
      </c>
      <c r="Q4448">
        <v>0.101956484063356</v>
      </c>
      <c r="R4448">
        <v>0.93573941383716897</v>
      </c>
      <c r="S4448" t="s">
        <v>11451</v>
      </c>
      <c r="T4448" t="s">
        <v>14004</v>
      </c>
      <c r="U4448" t="s">
        <v>14004</v>
      </c>
      <c r="V4448" t="s">
        <v>14004</v>
      </c>
      <c r="W4448" t="s">
        <v>18397</v>
      </c>
      <c r="X4448">
        <v>2</v>
      </c>
      <c r="Y4448" t="s">
        <v>25209</v>
      </c>
      <c r="Z4448" t="s">
        <v>32158</v>
      </c>
      <c r="AA4448">
        <v>0.74627279883837871</v>
      </c>
      <c r="AB4448" t="str">
        <f>HYPERLINK("Melting_Curves/meltCurve_Q7Z449_CYP2U1.pdf", "Melting_Curves/meltCurve_Q7Z449_CYP2U1.pdf")</f>
        <v>Melting_Curves/meltCurve_Q7Z449_CYP2U1.pdf</v>
      </c>
    </row>
    <row r="4449" spans="1:28" x14ac:dyDescent="0.25">
      <c r="A4449" t="s">
        <v>4453</v>
      </c>
      <c r="B4449">
        <v>0.99999676499088797</v>
      </c>
      <c r="C4449">
        <v>1.0155986998658</v>
      </c>
      <c r="D4449">
        <v>0.97064425189196601</v>
      </c>
      <c r="E4449">
        <v>0.82693020832836395</v>
      </c>
      <c r="F4449">
        <v>0.26858556635380798</v>
      </c>
      <c r="G4449">
        <v>0.163758034255577</v>
      </c>
      <c r="H4449">
        <v>6.9337517427514206E-2</v>
      </c>
      <c r="I4449">
        <v>7.3882207402651501E-2</v>
      </c>
      <c r="J4449">
        <v>6.4779903735095096E-2</v>
      </c>
      <c r="K4449">
        <v>5.6133268829867203E-2</v>
      </c>
      <c r="L4449">
        <v>1907.6095463870299</v>
      </c>
      <c r="M4449">
        <v>37.073819274770202</v>
      </c>
      <c r="N4449">
        <v>51.685762925888199</v>
      </c>
      <c r="O4449">
        <v>51.305336453434201</v>
      </c>
      <c r="P4449">
        <v>-0.16683864385032199</v>
      </c>
      <c r="Q4449">
        <v>7.6470792122148898E-2</v>
      </c>
      <c r="R4449">
        <v>0.99692710394398598</v>
      </c>
      <c r="S4449" t="s">
        <v>11452</v>
      </c>
      <c r="T4449" t="s">
        <v>14004</v>
      </c>
      <c r="U4449" t="s">
        <v>14004</v>
      </c>
      <c r="V4449" t="s">
        <v>14004</v>
      </c>
      <c r="W4449" t="s">
        <v>18398</v>
      </c>
      <c r="X4449">
        <v>25</v>
      </c>
      <c r="Y4449" t="s">
        <v>25210</v>
      </c>
      <c r="Z4449" t="s">
        <v>32159</v>
      </c>
      <c r="AA4449">
        <v>0.43291159077461638</v>
      </c>
      <c r="AB4449" t="str">
        <f>HYPERLINK("Melting_Curves/meltCurve_Q7Z478_DHX29.pdf", "Melting_Curves/meltCurve_Q7Z478_DHX29.pdf")</f>
        <v>Melting_Curves/meltCurve_Q7Z478_DHX29.pdf</v>
      </c>
    </row>
    <row r="4450" spans="1:28" x14ac:dyDescent="0.25">
      <c r="A4450" t="s">
        <v>4454</v>
      </c>
      <c r="B4450">
        <v>0.99999676499088797</v>
      </c>
      <c r="C4450">
        <v>1.0437007604814901</v>
      </c>
      <c r="D4450">
        <v>0.96869807027992305</v>
      </c>
      <c r="E4450">
        <v>0.77517587269663002</v>
      </c>
      <c r="F4450">
        <v>0.50750537489093905</v>
      </c>
      <c r="G4450">
        <v>0.28515149668477502</v>
      </c>
      <c r="H4450">
        <v>0.12529769304103</v>
      </c>
      <c r="I4450">
        <v>0.100594067859074</v>
      </c>
      <c r="J4450">
        <v>9.0623239171965006E-2</v>
      </c>
      <c r="K4450">
        <v>8.1932979249859303E-2</v>
      </c>
      <c r="L4450">
        <v>1011.85727136078</v>
      </c>
      <c r="M4450">
        <v>19.138294450427502</v>
      </c>
      <c r="N4450">
        <v>53.297942555122397</v>
      </c>
      <c r="O4450">
        <v>52.303721183938698</v>
      </c>
      <c r="P4450">
        <v>-8.4976455343229604E-2</v>
      </c>
      <c r="Q4450">
        <v>7.1095361151695999E-2</v>
      </c>
      <c r="R4450">
        <v>0.99713480497190099</v>
      </c>
      <c r="S4450" t="s">
        <v>11453</v>
      </c>
      <c r="T4450" t="s">
        <v>14004</v>
      </c>
      <c r="U4450" t="s">
        <v>14004</v>
      </c>
      <c r="V4450" t="s">
        <v>14004</v>
      </c>
      <c r="W4450" t="s">
        <v>18399</v>
      </c>
      <c r="X4450">
        <v>5</v>
      </c>
      <c r="Y4450" t="s">
        <v>25211</v>
      </c>
      <c r="Z4450" t="s">
        <v>32160</v>
      </c>
      <c r="AA4450">
        <v>0.48340323145694891</v>
      </c>
      <c r="AB4450" t="str">
        <f>HYPERLINK("Melting_Curves/meltCurve_Q7Z4G1_COMMD6.pdf", "Melting_Curves/meltCurve_Q7Z4G1_COMMD6.pdf")</f>
        <v>Melting_Curves/meltCurve_Q7Z4G1_COMMD6.pdf</v>
      </c>
    </row>
    <row r="4451" spans="1:28" x14ac:dyDescent="0.25">
      <c r="A4451" t="s">
        <v>4455</v>
      </c>
      <c r="B4451">
        <v>0.99999676499088797</v>
      </c>
      <c r="C4451">
        <v>1.01552118278485</v>
      </c>
      <c r="D4451">
        <v>0.98738624015163501</v>
      </c>
      <c r="E4451">
        <v>0.77021198877492303</v>
      </c>
      <c r="F4451">
        <v>0.59885268613728904</v>
      </c>
      <c r="G4451">
        <v>0.34134400737739501</v>
      </c>
      <c r="H4451">
        <v>0.108454209986938</v>
      </c>
      <c r="I4451">
        <v>0.119105853998795</v>
      </c>
      <c r="J4451">
        <v>0.117863165695282</v>
      </c>
      <c r="K4451">
        <v>0.110769357435098</v>
      </c>
      <c r="L4451">
        <v>975.64595108123899</v>
      </c>
      <c r="M4451">
        <v>18.213552012976301</v>
      </c>
      <c r="N4451">
        <v>54.065750826720098</v>
      </c>
      <c r="O4451">
        <v>52.9338158061285</v>
      </c>
      <c r="P4451">
        <v>-7.9372528064039605E-2</v>
      </c>
      <c r="Q4451">
        <v>7.7325953518793594E-2</v>
      </c>
      <c r="R4451">
        <v>0.99243952827992699</v>
      </c>
      <c r="S4451" t="s">
        <v>11454</v>
      </c>
      <c r="T4451" t="s">
        <v>14004</v>
      </c>
      <c r="U4451" t="s">
        <v>14004</v>
      </c>
      <c r="V4451" t="s">
        <v>14004</v>
      </c>
      <c r="W4451" t="s">
        <v>18400</v>
      </c>
      <c r="X4451">
        <v>2</v>
      </c>
      <c r="Y4451" t="s">
        <v>25212</v>
      </c>
      <c r="Z4451" t="s">
        <v>32161</v>
      </c>
      <c r="AA4451">
        <v>0.50924871544733841</v>
      </c>
      <c r="AB4451" t="str">
        <f>HYPERLINK("Melting_Curves/meltCurve_Q7Z4G4_2_TRMT11.pdf", "Melting_Curves/meltCurve_Q7Z4G4_2_TRMT11.pdf")</f>
        <v>Melting_Curves/meltCurve_Q7Z4G4_2_TRMT11.pdf</v>
      </c>
    </row>
    <row r="4452" spans="1:28" x14ac:dyDescent="0.25">
      <c r="A4452" t="s">
        <v>4456</v>
      </c>
      <c r="B4452">
        <v>0.99999676499088797</v>
      </c>
      <c r="C4452">
        <v>0.91538536751099997</v>
      </c>
      <c r="D4452">
        <v>0.91951469643368999</v>
      </c>
      <c r="E4452">
        <v>0.88761440466625197</v>
      </c>
      <c r="F4452">
        <v>0.84950781539022202</v>
      </c>
      <c r="G4452">
        <v>0.71533182510780002</v>
      </c>
      <c r="H4452">
        <v>0.40351225829951698</v>
      </c>
      <c r="I4452">
        <v>0.22532977304711299</v>
      </c>
      <c r="J4452">
        <v>0.14070220858028501</v>
      </c>
      <c r="K4452">
        <v>8.8742739372270799E-2</v>
      </c>
      <c r="L4452">
        <v>904.48604956883401</v>
      </c>
      <c r="M4452">
        <v>15.239366440721801</v>
      </c>
      <c r="N4452">
        <v>59.351946018624197</v>
      </c>
      <c r="O4452">
        <v>58.358094139151198</v>
      </c>
      <c r="P4452">
        <v>-6.5290058199047499E-2</v>
      </c>
      <c r="Q4452">
        <v>0</v>
      </c>
      <c r="R4452">
        <v>0.98393703026939205</v>
      </c>
      <c r="S4452" t="s">
        <v>11455</v>
      </c>
      <c r="T4452" t="s">
        <v>14004</v>
      </c>
      <c r="U4452" t="s">
        <v>14004</v>
      </c>
      <c r="V4452" t="s">
        <v>14004</v>
      </c>
      <c r="W4452" t="s">
        <v>18401</v>
      </c>
      <c r="X4452">
        <v>8</v>
      </c>
      <c r="Y4452" t="s">
        <v>25213</v>
      </c>
      <c r="Z4452" t="s">
        <v>32162</v>
      </c>
      <c r="AA4452">
        <v>0.65447224206110832</v>
      </c>
      <c r="AB4452" t="str">
        <f>HYPERLINK("Melting_Curves/meltCurve_Q7Z4H3_HDDC2.pdf", "Melting_Curves/meltCurve_Q7Z4H3_HDDC2.pdf")</f>
        <v>Melting_Curves/meltCurve_Q7Z4H3_HDDC2.pdf</v>
      </c>
    </row>
    <row r="4453" spans="1:28" x14ac:dyDescent="0.25">
      <c r="A4453" t="s">
        <v>4457</v>
      </c>
      <c r="B4453">
        <v>0.99999676499088797</v>
      </c>
      <c r="C4453">
        <v>0.816477092060093</v>
      </c>
      <c r="D4453">
        <v>0.48903637202774602</v>
      </c>
      <c r="E4453">
        <v>0.26197444472598802</v>
      </c>
      <c r="F4453">
        <v>0.23889118600335299</v>
      </c>
      <c r="G4453">
        <v>0.16608634475574799</v>
      </c>
      <c r="H4453">
        <v>0.107434273509522</v>
      </c>
      <c r="I4453">
        <v>0.121538988628448</v>
      </c>
      <c r="J4453">
        <v>0.12790815550661</v>
      </c>
      <c r="K4453">
        <v>0.120620184847178</v>
      </c>
      <c r="L4453">
        <v>973.88164155902302</v>
      </c>
      <c r="M4453">
        <v>21.4248777511845</v>
      </c>
      <c r="N4453">
        <v>46.139202506720203</v>
      </c>
      <c r="O4453">
        <v>45.065205311775301</v>
      </c>
      <c r="P4453">
        <v>-0.102695016867663</v>
      </c>
      <c r="Q4453">
        <v>0.135984520103339</v>
      </c>
      <c r="R4453">
        <v>0.99033195051562595</v>
      </c>
      <c r="S4453" t="s">
        <v>11456</v>
      </c>
      <c r="T4453" t="s">
        <v>14004</v>
      </c>
      <c r="U4453" t="s">
        <v>14004</v>
      </c>
      <c r="V4453" t="s">
        <v>14004</v>
      </c>
      <c r="W4453" t="s">
        <v>18402</v>
      </c>
      <c r="X4453">
        <v>11</v>
      </c>
      <c r="Y4453" t="s">
        <v>25214</v>
      </c>
      <c r="Z4453" t="s">
        <v>32163</v>
      </c>
      <c r="AA4453">
        <v>0.3049991350681967</v>
      </c>
      <c r="AB4453" t="str">
        <f>HYPERLINK("Melting_Curves/meltCurve_Q7Z4H7_3_HAUS6.pdf", "Melting_Curves/meltCurve_Q7Z4H7_3_HAUS6.pdf")</f>
        <v>Melting_Curves/meltCurve_Q7Z4H7_3_HAUS6.pdf</v>
      </c>
    </row>
    <row r="4454" spans="1:28" x14ac:dyDescent="0.25">
      <c r="A4454" t="s">
        <v>4458</v>
      </c>
      <c r="B4454">
        <v>0.99999676499088797</v>
      </c>
      <c r="C4454">
        <v>0.96231324801429996</v>
      </c>
      <c r="D4454">
        <v>0.70203157281738404</v>
      </c>
      <c r="E4454">
        <v>0.239103956874303</v>
      </c>
      <c r="F4454">
        <v>0.148233355305152</v>
      </c>
      <c r="G4454">
        <v>0.113165676973047</v>
      </c>
      <c r="H4454">
        <v>5.7245721657444203E-2</v>
      </c>
      <c r="I4454">
        <v>4.6688825870967399E-2</v>
      </c>
      <c r="J4454">
        <v>5.1440953616580402E-2</v>
      </c>
      <c r="K4454">
        <v>4.6649716204104102E-2</v>
      </c>
      <c r="L4454">
        <v>1332.8263828967799</v>
      </c>
      <c r="M4454">
        <v>28.225459940979299</v>
      </c>
      <c r="N4454">
        <v>47.461017350997302</v>
      </c>
      <c r="O4454">
        <v>46.985571003415401</v>
      </c>
      <c r="P4454">
        <v>-0.14018294890118199</v>
      </c>
      <c r="Q4454">
        <v>6.6583995730591899E-2</v>
      </c>
      <c r="R4454">
        <v>0.99625014772031095</v>
      </c>
      <c r="S4454" t="s">
        <v>11457</v>
      </c>
      <c r="T4454" t="s">
        <v>14004</v>
      </c>
      <c r="U4454" t="s">
        <v>14004</v>
      </c>
      <c r="V4454" t="s">
        <v>14004</v>
      </c>
      <c r="W4454" t="s">
        <v>18403</v>
      </c>
      <c r="X4454">
        <v>13</v>
      </c>
      <c r="Y4454" t="s">
        <v>25215</v>
      </c>
      <c r="Z4454" t="s">
        <v>32164</v>
      </c>
      <c r="AA4454">
        <v>0.29762744731387492</v>
      </c>
      <c r="AB4454" t="str">
        <f>HYPERLINK("Melting_Curves/meltCurve_Q7Z4Q2_HEATR3.pdf", "Melting_Curves/meltCurve_Q7Z4Q2_HEATR3.pdf")</f>
        <v>Melting_Curves/meltCurve_Q7Z4Q2_HEATR3.pdf</v>
      </c>
    </row>
    <row r="4455" spans="1:28" x14ac:dyDescent="0.25">
      <c r="A4455" t="s">
        <v>4459</v>
      </c>
      <c r="B4455">
        <v>0.99999676499088797</v>
      </c>
      <c r="C4455">
        <v>1.3779778869144299</v>
      </c>
      <c r="D4455">
        <v>1.16955587468789</v>
      </c>
      <c r="E4455">
        <v>0.77573793153038095</v>
      </c>
      <c r="F4455">
        <v>0.86368823366607095</v>
      </c>
      <c r="G4455">
        <v>0.202489259129463</v>
      </c>
      <c r="H4455">
        <v>0.279312075723751</v>
      </c>
      <c r="I4455">
        <v>0.178783819800579</v>
      </c>
      <c r="J4455">
        <v>0.11303307663673499</v>
      </c>
      <c r="K4455">
        <v>0.29932715903628199</v>
      </c>
      <c r="L4455">
        <v>13383.0260758148</v>
      </c>
      <c r="M4455">
        <v>250</v>
      </c>
      <c r="N4455">
        <v>53.6524302561333</v>
      </c>
      <c r="O4455">
        <v>53.528678582180397</v>
      </c>
      <c r="P4455">
        <v>-0.91704464469436098</v>
      </c>
      <c r="Q4455">
        <v>0.21458899210385601</v>
      </c>
      <c r="R4455">
        <v>0.87429121370270801</v>
      </c>
      <c r="S4455" t="s">
        <v>11458</v>
      </c>
      <c r="T4455" t="s">
        <v>14004</v>
      </c>
      <c r="U4455" t="s">
        <v>14004</v>
      </c>
      <c r="V4455" t="s">
        <v>14004</v>
      </c>
      <c r="W4455" t="s">
        <v>18404</v>
      </c>
      <c r="X4455">
        <v>23</v>
      </c>
      <c r="Y4455" t="s">
        <v>25216</v>
      </c>
      <c r="Z4455" t="s">
        <v>32165</v>
      </c>
      <c r="AA4455">
        <v>0.5689382358976186</v>
      </c>
      <c r="AB4455" t="str">
        <f>HYPERLINK("Melting_Curves/meltCurve_Q7Z4V5_HDGFRP2.pdf", "Melting_Curves/meltCurve_Q7Z4V5_HDGFRP2.pdf")</f>
        <v>Melting_Curves/meltCurve_Q7Z4V5_HDGFRP2.pdf</v>
      </c>
    </row>
    <row r="4456" spans="1:28" x14ac:dyDescent="0.25">
      <c r="A4456" t="s">
        <v>4460</v>
      </c>
      <c r="B4456">
        <v>0.99999676499088797</v>
      </c>
      <c r="C4456">
        <v>0.98759805069696505</v>
      </c>
      <c r="D4456">
        <v>0.96796207294194903</v>
      </c>
      <c r="E4456">
        <v>1.0364816549948599</v>
      </c>
      <c r="F4456">
        <v>0.80899050508148795</v>
      </c>
      <c r="G4456">
        <v>0.73280694781639</v>
      </c>
      <c r="H4456">
        <v>0.58306967058147097</v>
      </c>
      <c r="I4456">
        <v>0.60007199939621103</v>
      </c>
      <c r="J4456">
        <v>0.45696944779471999</v>
      </c>
      <c r="K4456">
        <v>0.60448714841426499</v>
      </c>
      <c r="L4456">
        <v>1212.9694610869001</v>
      </c>
      <c r="M4456">
        <v>21.9747909317928</v>
      </c>
      <c r="O4456">
        <v>54.747212884028798</v>
      </c>
      <c r="P4456">
        <v>-4.5986313835360497E-2</v>
      </c>
      <c r="Q4456">
        <v>0.541735647490725</v>
      </c>
      <c r="R4456">
        <v>0.94194980108538995</v>
      </c>
      <c r="S4456" t="s">
        <v>11459</v>
      </c>
      <c r="T4456" t="s">
        <v>14004</v>
      </c>
      <c r="U4456" t="s">
        <v>14004</v>
      </c>
      <c r="V4456" t="s">
        <v>14004</v>
      </c>
      <c r="W4456" t="s">
        <v>18405</v>
      </c>
      <c r="X4456">
        <v>23</v>
      </c>
      <c r="Y4456" t="s">
        <v>25216</v>
      </c>
      <c r="Z4456" t="s">
        <v>32166</v>
      </c>
      <c r="AA4456">
        <v>0.7791481490120179</v>
      </c>
      <c r="AB4456" t="str">
        <f>HYPERLINK("Melting_Curves/meltCurve_Q7Z4V5_2_HDGFRP2.pdf", "Melting_Curves/meltCurve_Q7Z4V5_2_HDGFRP2.pdf")</f>
        <v>Melting_Curves/meltCurve_Q7Z4V5_2_HDGFRP2.pdf</v>
      </c>
    </row>
    <row r="4457" spans="1:28" x14ac:dyDescent="0.25">
      <c r="A4457" t="s">
        <v>4461</v>
      </c>
      <c r="B4457">
        <v>0.99999676499088797</v>
      </c>
      <c r="C4457">
        <v>0.97556546472281203</v>
      </c>
      <c r="D4457">
        <v>0.93827344329167095</v>
      </c>
      <c r="E4457">
        <v>0.90621252082487203</v>
      </c>
      <c r="F4457">
        <v>0.80572007107041699</v>
      </c>
      <c r="G4457">
        <v>0.63471626954747595</v>
      </c>
      <c r="H4457">
        <v>0.178866749057501</v>
      </c>
      <c r="I4457">
        <v>0.117770959780335</v>
      </c>
      <c r="J4457">
        <v>8.7876947944884001E-2</v>
      </c>
      <c r="K4457">
        <v>8.2816281890566501E-2</v>
      </c>
      <c r="L4457">
        <v>1239.7737392613701</v>
      </c>
      <c r="M4457">
        <v>21.668773648102199</v>
      </c>
      <c r="N4457">
        <v>57.430505401304501</v>
      </c>
      <c r="O4457">
        <v>56.734161522567298</v>
      </c>
      <c r="P4457">
        <v>-9.1753705569406305E-2</v>
      </c>
      <c r="Q4457">
        <v>3.9088090388886498E-2</v>
      </c>
      <c r="R4457">
        <v>0.98616725416172002</v>
      </c>
      <c r="S4457" t="s">
        <v>11460</v>
      </c>
      <c r="T4457" t="s">
        <v>14004</v>
      </c>
      <c r="U4457" t="s">
        <v>14004</v>
      </c>
      <c r="V4457" t="s">
        <v>14004</v>
      </c>
      <c r="W4457" t="s">
        <v>18406</v>
      </c>
      <c r="X4457">
        <v>15</v>
      </c>
      <c r="Y4457" t="s">
        <v>25217</v>
      </c>
      <c r="Z4457" t="s">
        <v>32167</v>
      </c>
      <c r="AA4457">
        <v>0.60100539685858823</v>
      </c>
      <c r="AB4457" t="str">
        <f>HYPERLINK("Melting_Curves/meltCurve_Q7Z4W1_DCXR.pdf", "Melting_Curves/meltCurve_Q7Z4W1_DCXR.pdf")</f>
        <v>Melting_Curves/meltCurve_Q7Z4W1_DCXR.pdf</v>
      </c>
    </row>
    <row r="4458" spans="1:28" x14ac:dyDescent="0.25">
      <c r="A4458" t="s">
        <v>4462</v>
      </c>
      <c r="B4458">
        <v>0.99999676499088797</v>
      </c>
      <c r="C4458">
        <v>0.94237168934374405</v>
      </c>
      <c r="D4458">
        <v>1.01855836569013</v>
      </c>
      <c r="E4458">
        <v>0.89894513931087205</v>
      </c>
      <c r="F4458">
        <v>0.723399487804675</v>
      </c>
      <c r="G4458">
        <v>0.67827337915100205</v>
      </c>
      <c r="H4458">
        <v>0.322135750524283</v>
      </c>
      <c r="I4458">
        <v>0.22566272473120799</v>
      </c>
      <c r="J4458">
        <v>0.123707022141958</v>
      </c>
      <c r="K4458">
        <v>0.146972873578538</v>
      </c>
      <c r="L4458">
        <v>803.66758207199996</v>
      </c>
      <c r="M4458">
        <v>13.8442965104019</v>
      </c>
      <c r="N4458">
        <v>58.2547901041522</v>
      </c>
      <c r="O4458">
        <v>56.879465020424199</v>
      </c>
      <c r="P4458">
        <v>-5.9415288223633303E-2</v>
      </c>
      <c r="Q4458">
        <v>2.3701149075919001E-2</v>
      </c>
      <c r="R4458">
        <v>0.982360018156196</v>
      </c>
      <c r="S4458" t="s">
        <v>11461</v>
      </c>
      <c r="T4458" t="s">
        <v>14004</v>
      </c>
      <c r="U4458" t="s">
        <v>14004</v>
      </c>
      <c r="V4458" t="s">
        <v>14004</v>
      </c>
      <c r="W4458" t="s">
        <v>18407</v>
      </c>
      <c r="X4458">
        <v>5</v>
      </c>
      <c r="Y4458" t="s">
        <v>25218</v>
      </c>
      <c r="Z4458" t="s">
        <v>32168</v>
      </c>
      <c r="AA4458">
        <v>0.62411430428094039</v>
      </c>
      <c r="AB4458" t="str">
        <f>HYPERLINK("Melting_Curves/meltCurve_Q7Z5G4_GOLGA7.pdf", "Melting_Curves/meltCurve_Q7Z5G4_GOLGA7.pdf")</f>
        <v>Melting_Curves/meltCurve_Q7Z5G4_GOLGA7.pdf</v>
      </c>
    </row>
    <row r="4459" spans="1:28" x14ac:dyDescent="0.25">
      <c r="A4459" t="s">
        <v>4463</v>
      </c>
      <c r="B4459">
        <v>0.99999676499088797</v>
      </c>
      <c r="C4459">
        <v>0.86352587881217702</v>
      </c>
      <c r="D4459">
        <v>0.46275009472696199</v>
      </c>
      <c r="E4459">
        <v>0.20844254734779299</v>
      </c>
      <c r="F4459">
        <v>0.21377224381462201</v>
      </c>
      <c r="G4459">
        <v>0.143802582169961</v>
      </c>
      <c r="H4459">
        <v>9.0461221738002598E-2</v>
      </c>
      <c r="I4459">
        <v>8.2782100477740997E-2</v>
      </c>
      <c r="J4459">
        <v>8.2627810481244998E-2</v>
      </c>
      <c r="K4459">
        <v>8.0311047829358995E-2</v>
      </c>
      <c r="L4459">
        <v>1178.7950210864201</v>
      </c>
      <c r="M4459">
        <v>25.930768046025602</v>
      </c>
      <c r="N4459">
        <v>45.899509325634199</v>
      </c>
      <c r="O4459">
        <v>45.191525298444198</v>
      </c>
      <c r="P4459">
        <v>-0.127658810380985</v>
      </c>
      <c r="Q4459">
        <v>0.110087110680544</v>
      </c>
      <c r="R4459">
        <v>0.98826615282494501</v>
      </c>
      <c r="S4459" t="s">
        <v>11462</v>
      </c>
      <c r="T4459" t="s">
        <v>14004</v>
      </c>
      <c r="U4459" t="s">
        <v>14004</v>
      </c>
      <c r="V4459" t="s">
        <v>14004</v>
      </c>
      <c r="W4459" t="s">
        <v>18408</v>
      </c>
      <c r="X4459">
        <v>15</v>
      </c>
      <c r="Y4459" t="s">
        <v>25219</v>
      </c>
      <c r="Z4459" t="s">
        <v>32169</v>
      </c>
      <c r="AA4459">
        <v>0.27983621782704687</v>
      </c>
      <c r="AB4459" t="str">
        <f>HYPERLINK("Melting_Curves/meltCurve_Q7Z5K2_WAPAL.pdf", "Melting_Curves/meltCurve_Q7Z5K2_WAPAL.pdf")</f>
        <v>Melting_Curves/meltCurve_Q7Z5K2_WAPAL.pdf</v>
      </c>
    </row>
    <row r="4460" spans="1:28" x14ac:dyDescent="0.25">
      <c r="A4460" t="s">
        <v>4464</v>
      </c>
      <c r="B4460">
        <v>0.99999676499088797</v>
      </c>
      <c r="C4460">
        <v>0.87138379810825395</v>
      </c>
      <c r="D4460">
        <v>0.82002942731625394</v>
      </c>
      <c r="E4460">
        <v>0.79182609684567995</v>
      </c>
      <c r="F4460">
        <v>0.61332483756267098</v>
      </c>
      <c r="G4460">
        <v>0.43791516272850001</v>
      </c>
      <c r="H4460">
        <v>0.29387061489998201</v>
      </c>
      <c r="I4460">
        <v>0.405225166903669</v>
      </c>
      <c r="J4460">
        <v>0.40544657141933199</v>
      </c>
      <c r="K4460">
        <v>0.62728824135776795</v>
      </c>
      <c r="L4460">
        <v>752.95058035397506</v>
      </c>
      <c r="M4460">
        <v>15.1646319052797</v>
      </c>
      <c r="N4460">
        <v>56.387827956502797</v>
      </c>
      <c r="O4460">
        <v>48.812348052771597</v>
      </c>
      <c r="P4460">
        <v>-4.5183802952323403E-2</v>
      </c>
      <c r="Q4460">
        <v>0.418300678299379</v>
      </c>
      <c r="R4460">
        <v>0.82839687933313699</v>
      </c>
      <c r="S4460" t="s">
        <v>11463</v>
      </c>
      <c r="T4460" t="s">
        <v>14004</v>
      </c>
      <c r="U4460" t="s">
        <v>14004</v>
      </c>
      <c r="V4460" t="s">
        <v>14004</v>
      </c>
      <c r="W4460" t="s">
        <v>18409</v>
      </c>
      <c r="X4460">
        <v>12</v>
      </c>
      <c r="Y4460" t="s">
        <v>25220</v>
      </c>
      <c r="Z4460" t="s">
        <v>32170</v>
      </c>
      <c r="AA4460">
        <v>0.61920365175152126</v>
      </c>
      <c r="AB4460" t="str">
        <f>HYPERLINK("Melting_Curves/meltCurve_Q7Z5L9_2_IRF2BP2.pdf", "Melting_Curves/meltCurve_Q7Z5L9_2_IRF2BP2.pdf")</f>
        <v>Melting_Curves/meltCurve_Q7Z5L9_2_IRF2BP2.pdf</v>
      </c>
    </row>
    <row r="4461" spans="1:28" x14ac:dyDescent="0.25">
      <c r="A4461" t="s">
        <v>4465</v>
      </c>
      <c r="B4461">
        <v>0.99999676499088797</v>
      </c>
      <c r="C4461">
        <v>1.0275659488831299</v>
      </c>
      <c r="D4461">
        <v>1.05090865626615</v>
      </c>
      <c r="E4461">
        <v>1.03798731155221</v>
      </c>
      <c r="F4461">
        <v>0.374881549742346</v>
      </c>
      <c r="G4461">
        <v>0.20070932736225</v>
      </c>
      <c r="H4461">
        <v>9.7849314784063904E-2</v>
      </c>
      <c r="I4461">
        <v>8.4057310891139894E-2</v>
      </c>
      <c r="J4461">
        <v>8.5918995021847397E-2</v>
      </c>
      <c r="K4461">
        <v>7.0786726404561795E-2</v>
      </c>
      <c r="L4461">
        <v>5588.6941163622196</v>
      </c>
      <c r="M4461">
        <v>105.898239679512</v>
      </c>
      <c r="N4461">
        <v>52.895362167147503</v>
      </c>
      <c r="O4461">
        <v>52.755379655896697</v>
      </c>
      <c r="P4461">
        <v>-0.44778777789125201</v>
      </c>
      <c r="Q4461">
        <v>0.10770137108323</v>
      </c>
      <c r="R4461">
        <v>0.99169150149277896</v>
      </c>
      <c r="S4461" t="s">
        <v>11464</v>
      </c>
      <c r="T4461" t="s">
        <v>14004</v>
      </c>
      <c r="U4461" t="s">
        <v>14004</v>
      </c>
      <c r="V4461" t="s">
        <v>14004</v>
      </c>
      <c r="W4461" t="s">
        <v>18410</v>
      </c>
      <c r="X4461">
        <v>21</v>
      </c>
      <c r="Y4461" t="s">
        <v>25221</v>
      </c>
      <c r="Z4461" t="s">
        <v>32171</v>
      </c>
      <c r="AA4461">
        <v>0.48810891112096721</v>
      </c>
      <c r="AB4461" t="str">
        <f>HYPERLINK("Melting_Curves/meltCurve_Q7Z5R6_APBB1IP.pdf", "Melting_Curves/meltCurve_Q7Z5R6_APBB1IP.pdf")</f>
        <v>Melting_Curves/meltCurve_Q7Z5R6_APBB1IP.pdf</v>
      </c>
    </row>
    <row r="4462" spans="1:28" x14ac:dyDescent="0.25">
      <c r="A4462" t="s">
        <v>4466</v>
      </c>
      <c r="B4462">
        <v>0.99999676499088797</v>
      </c>
      <c r="C4462">
        <v>0.89950849328905003</v>
      </c>
      <c r="D4462">
        <v>0.983912387425392</v>
      </c>
      <c r="E4462">
        <v>1.18651314000638</v>
      </c>
      <c r="F4462">
        <v>0.91279698620988303</v>
      </c>
      <c r="G4462">
        <v>0.72381651754149701</v>
      </c>
      <c r="H4462">
        <v>0.39977417300143198</v>
      </c>
      <c r="I4462">
        <v>0.31887371687209698</v>
      </c>
      <c r="J4462">
        <v>0.29475108581652298</v>
      </c>
      <c r="K4462">
        <v>0.28969562403936</v>
      </c>
      <c r="L4462">
        <v>1818.47136402655</v>
      </c>
      <c r="M4462">
        <v>31.5899420175271</v>
      </c>
      <c r="N4462">
        <v>59.174098540385302</v>
      </c>
      <c r="O4462">
        <v>57.335676318150398</v>
      </c>
      <c r="P4462">
        <v>-9.8041448621650304E-2</v>
      </c>
      <c r="Q4462">
        <v>0.288223715310785</v>
      </c>
      <c r="R4462">
        <v>0.95451529469271001</v>
      </c>
      <c r="S4462" t="s">
        <v>11465</v>
      </c>
      <c r="T4462" t="s">
        <v>14004</v>
      </c>
      <c r="U4462" t="s">
        <v>14004</v>
      </c>
      <c r="V4462" t="s">
        <v>14004</v>
      </c>
      <c r="W4462" t="s">
        <v>18411</v>
      </c>
      <c r="X4462">
        <v>1</v>
      </c>
      <c r="Y4462" t="s">
        <v>25222</v>
      </c>
      <c r="Z4462" t="s">
        <v>32172</v>
      </c>
      <c r="AA4462">
        <v>0.70927933525017628</v>
      </c>
      <c r="AB4462" t="str">
        <f>HYPERLINK("Melting_Curves/meltCurve_Q7Z5U6_WDR53.pdf", "Melting_Curves/meltCurve_Q7Z5U6_WDR53.pdf")</f>
        <v>Melting_Curves/meltCurve_Q7Z5U6_WDR53.pdf</v>
      </c>
    </row>
    <row r="4463" spans="1:28" x14ac:dyDescent="0.25">
      <c r="A4463" t="s">
        <v>4467</v>
      </c>
      <c r="B4463">
        <v>0.99999676499088797</v>
      </c>
      <c r="C4463">
        <v>1.0031071804249001</v>
      </c>
      <c r="D4463">
        <v>1.01725509020914</v>
      </c>
      <c r="E4463">
        <v>0.91148374545528899</v>
      </c>
      <c r="F4463">
        <v>0.65437800909594401</v>
      </c>
      <c r="G4463">
        <v>0.20008629150274401</v>
      </c>
      <c r="H4463">
        <v>8.9089780524041401E-2</v>
      </c>
      <c r="I4463">
        <v>7.0102812773677095E-2</v>
      </c>
      <c r="J4463">
        <v>7.8171197978827503E-2</v>
      </c>
      <c r="K4463">
        <v>4.7212582713814802E-2</v>
      </c>
      <c r="L4463">
        <v>1742.8792793411801</v>
      </c>
      <c r="M4463">
        <v>32.296628047008703</v>
      </c>
      <c r="N4463">
        <v>54.181707275703602</v>
      </c>
      <c r="O4463">
        <v>53.759098879724903</v>
      </c>
      <c r="P4463">
        <v>-0.14108190299398199</v>
      </c>
      <c r="Q4463">
        <v>6.0657232192582899E-2</v>
      </c>
      <c r="R4463">
        <v>0.99841396809709204</v>
      </c>
      <c r="S4463" t="s">
        <v>11466</v>
      </c>
      <c r="T4463" t="s">
        <v>14004</v>
      </c>
      <c r="U4463" t="s">
        <v>14004</v>
      </c>
      <c r="V4463" t="s">
        <v>14004</v>
      </c>
      <c r="W4463" t="s">
        <v>18412</v>
      </c>
      <c r="X4463">
        <v>2</v>
      </c>
      <c r="Y4463" t="s">
        <v>25223</v>
      </c>
      <c r="Z4463" t="s">
        <v>32173</v>
      </c>
      <c r="AA4463">
        <v>0.50325702217421608</v>
      </c>
      <c r="AB4463" t="str">
        <f>HYPERLINK("Melting_Curves/meltCurve_Q7Z5W3_BCDIN3D.pdf", "Melting_Curves/meltCurve_Q7Z5W3_BCDIN3D.pdf")</f>
        <v>Melting_Curves/meltCurve_Q7Z5W3_BCDIN3D.pdf</v>
      </c>
    </row>
    <row r="4464" spans="1:28" x14ac:dyDescent="0.25">
      <c r="A4464" t="s">
        <v>4468</v>
      </c>
      <c r="B4464">
        <v>0.99999676499088797</v>
      </c>
      <c r="C4464">
        <v>0.935879812549957</v>
      </c>
      <c r="D4464">
        <v>0.90753373517274805</v>
      </c>
      <c r="E4464">
        <v>0.71686786101642797</v>
      </c>
      <c r="F4464">
        <v>0.32834602989172701</v>
      </c>
      <c r="G4464">
        <v>0.23183339778017301</v>
      </c>
      <c r="H4464">
        <v>0.144482364817547</v>
      </c>
      <c r="I4464">
        <v>0.135205099972869</v>
      </c>
      <c r="J4464">
        <v>0.111734148561788</v>
      </c>
      <c r="K4464">
        <v>0.10797888008949599</v>
      </c>
      <c r="L4464">
        <v>1099.4379051552901</v>
      </c>
      <c r="M4464">
        <v>21.5782861204735</v>
      </c>
      <c r="N4464">
        <v>51.579845946948502</v>
      </c>
      <c r="O4464">
        <v>50.519584532502201</v>
      </c>
      <c r="P4464">
        <v>-9.4436044262586893E-2</v>
      </c>
      <c r="Q4464">
        <v>0.11563787190828199</v>
      </c>
      <c r="R4464">
        <v>0.99504361601009295</v>
      </c>
      <c r="S4464" t="s">
        <v>11467</v>
      </c>
      <c r="T4464" t="s">
        <v>14004</v>
      </c>
      <c r="U4464" t="s">
        <v>14004</v>
      </c>
      <c r="V4464" t="s">
        <v>14004</v>
      </c>
      <c r="W4464" t="s">
        <v>18413</v>
      </c>
      <c r="X4464">
        <v>16</v>
      </c>
      <c r="Y4464" t="s">
        <v>25224</v>
      </c>
      <c r="Z4464" t="s">
        <v>32174</v>
      </c>
      <c r="AA4464">
        <v>0.44909425047166618</v>
      </c>
      <c r="AB4464" t="str">
        <f>HYPERLINK("Melting_Curves/meltCurve_Q7Z6B0_2_CCDC91.pdf", "Melting_Curves/meltCurve_Q7Z6B0_2_CCDC91.pdf")</f>
        <v>Melting_Curves/meltCurve_Q7Z6B0_2_CCDC91.pdf</v>
      </c>
    </row>
    <row r="4465" spans="1:28" x14ac:dyDescent="0.25">
      <c r="A4465" t="s">
        <v>4469</v>
      </c>
      <c r="B4465">
        <v>0.99999676499088797</v>
      </c>
      <c r="C4465">
        <v>0.85150815355506204</v>
      </c>
      <c r="D4465">
        <v>0.723701925512096</v>
      </c>
      <c r="E4465">
        <v>0.58503536969019998</v>
      </c>
      <c r="F4465">
        <v>0.28884187327778899</v>
      </c>
      <c r="G4465">
        <v>0.210079049498898</v>
      </c>
      <c r="H4465">
        <v>0.14389384604771899</v>
      </c>
      <c r="I4465">
        <v>0.15755461469665299</v>
      </c>
      <c r="J4465">
        <v>0.18171104941916</v>
      </c>
      <c r="K4465">
        <v>0.19991952682643399</v>
      </c>
      <c r="L4465">
        <v>735.76460127687699</v>
      </c>
      <c r="M4465">
        <v>15.133716449369601</v>
      </c>
      <c r="N4465">
        <v>49.750643394320903</v>
      </c>
      <c r="O4465">
        <v>47.7923850083831</v>
      </c>
      <c r="P4465">
        <v>-6.7630515994725193E-2</v>
      </c>
      <c r="Q4465">
        <v>0.145772735121973</v>
      </c>
      <c r="R4465">
        <v>0.98315624760592402</v>
      </c>
      <c r="S4465" t="s">
        <v>11468</v>
      </c>
      <c r="T4465" t="s">
        <v>14004</v>
      </c>
      <c r="U4465" t="s">
        <v>14004</v>
      </c>
      <c r="V4465" t="s">
        <v>14004</v>
      </c>
      <c r="W4465" t="s">
        <v>18414</v>
      </c>
      <c r="X4465">
        <v>24</v>
      </c>
      <c r="Y4465" t="s">
        <v>25225</v>
      </c>
      <c r="Z4465" t="s">
        <v>32175</v>
      </c>
      <c r="AA4465">
        <v>0.41218731679550691</v>
      </c>
      <c r="AB4465" t="str">
        <f>HYPERLINK("Melting_Curves/meltCurve_Q7Z6E9_RBBP6.pdf", "Melting_Curves/meltCurve_Q7Z6E9_RBBP6.pdf")</f>
        <v>Melting_Curves/meltCurve_Q7Z6E9_RBBP6.pdf</v>
      </c>
    </row>
    <row r="4466" spans="1:28" x14ac:dyDescent="0.25">
      <c r="A4466" t="s">
        <v>4470</v>
      </c>
      <c r="B4466">
        <v>0.99999676499088797</v>
      </c>
      <c r="C4466">
        <v>0.99433984228182304</v>
      </c>
      <c r="D4466">
        <v>0.82869632528705095</v>
      </c>
      <c r="E4466">
        <v>0.58100205203218103</v>
      </c>
      <c r="F4466">
        <v>0.34225176287599601</v>
      </c>
      <c r="G4466">
        <v>0.261735593579149</v>
      </c>
      <c r="H4466">
        <v>0.15840164777906299</v>
      </c>
      <c r="I4466">
        <v>0.18019396573625801</v>
      </c>
      <c r="J4466">
        <v>0.19756975152655501</v>
      </c>
      <c r="K4466">
        <v>0.204246712370589</v>
      </c>
      <c r="L4466">
        <v>981.939461081079</v>
      </c>
      <c r="M4466">
        <v>19.865827579258902</v>
      </c>
      <c r="N4466">
        <v>50.578796382334303</v>
      </c>
      <c r="O4466">
        <v>48.935866411373802</v>
      </c>
      <c r="P4466">
        <v>-8.3046318318967596E-2</v>
      </c>
      <c r="Q4466">
        <v>0.18174877928989</v>
      </c>
      <c r="R4466">
        <v>0.99586655631568899</v>
      </c>
      <c r="S4466" t="s">
        <v>11469</v>
      </c>
      <c r="T4466" t="s">
        <v>14004</v>
      </c>
      <c r="U4466" t="s">
        <v>14004</v>
      </c>
      <c r="V4466" t="s">
        <v>14004</v>
      </c>
      <c r="W4466" t="s">
        <v>18415</v>
      </c>
      <c r="X4466">
        <v>13</v>
      </c>
      <c r="Y4466" t="s">
        <v>25226</v>
      </c>
      <c r="Z4466" t="s">
        <v>32176</v>
      </c>
      <c r="AA4466">
        <v>0.45049160887813677</v>
      </c>
      <c r="AB4466" t="str">
        <f>HYPERLINK("Melting_Curves/meltCurve_Q7Z6I6_ARHGAP30.pdf", "Melting_Curves/meltCurve_Q7Z6I6_ARHGAP30.pdf")</f>
        <v>Melting_Curves/meltCurve_Q7Z6I6_ARHGAP30.pdf</v>
      </c>
    </row>
    <row r="4467" spans="1:28" x14ac:dyDescent="0.25">
      <c r="A4467" t="s">
        <v>4471</v>
      </c>
      <c r="B4467">
        <v>0.99999676499088797</v>
      </c>
      <c r="C4467">
        <v>1.02144598125951</v>
      </c>
      <c r="D4467">
        <v>1.0396137365198601</v>
      </c>
      <c r="E4467">
        <v>0.73488991697672901</v>
      </c>
      <c r="F4467">
        <v>0.862999911952264</v>
      </c>
      <c r="G4467">
        <v>0.59953271102198402</v>
      </c>
      <c r="H4467">
        <v>0.57734457482710899</v>
      </c>
      <c r="I4467">
        <v>0.99778058034228001</v>
      </c>
      <c r="J4467">
        <v>1.0948952375715699</v>
      </c>
      <c r="K4467">
        <v>1.1051660554343099</v>
      </c>
      <c r="L4467">
        <v>11908.6303294185</v>
      </c>
      <c r="M4467">
        <v>250</v>
      </c>
      <c r="O4467">
        <v>47.631473039651603</v>
      </c>
      <c r="P4467">
        <v>-0.192584798226063</v>
      </c>
      <c r="Q4467">
        <v>0.85323043822663003</v>
      </c>
      <c r="R4467">
        <v>0.160901040851507</v>
      </c>
      <c r="S4467" t="s">
        <v>11470</v>
      </c>
      <c r="T4467" t="s">
        <v>14004</v>
      </c>
      <c r="U4467" t="s">
        <v>14004</v>
      </c>
      <c r="V4467" t="s">
        <v>14004</v>
      </c>
      <c r="W4467" t="s">
        <v>18416</v>
      </c>
      <c r="X4467">
        <v>3</v>
      </c>
      <c r="Y4467" t="s">
        <v>25227</v>
      </c>
      <c r="Z4467" t="s">
        <v>32177</v>
      </c>
      <c r="AA4467">
        <v>0.89059321945030978</v>
      </c>
      <c r="AB4467" t="str">
        <f>HYPERLINK("Melting_Curves/meltCurve_Q7Z6I8_C5orf24.pdf", "Melting_Curves/meltCurve_Q7Z6I8_C5orf24.pdf")</f>
        <v>Melting_Curves/meltCurve_Q7Z6I8_C5orf24.pdf</v>
      </c>
    </row>
    <row r="4468" spans="1:28" x14ac:dyDescent="0.25">
      <c r="A4468" t="s">
        <v>4472</v>
      </c>
      <c r="B4468">
        <v>0.99999676499088797</v>
      </c>
      <c r="C4468">
        <v>0.92311481123953198</v>
      </c>
      <c r="D4468">
        <v>0.89545537669944297</v>
      </c>
      <c r="E4468">
        <v>0.73904913558805296</v>
      </c>
      <c r="F4468">
        <v>0.44258996656344901</v>
      </c>
      <c r="G4468">
        <v>0.38185497123746698</v>
      </c>
      <c r="H4468">
        <v>0.19195874819386599</v>
      </c>
      <c r="I4468">
        <v>0.250124592148945</v>
      </c>
      <c r="J4468">
        <v>0.293501904926254</v>
      </c>
      <c r="K4468">
        <v>0.22226441200739999</v>
      </c>
      <c r="L4468">
        <v>911.56777522612197</v>
      </c>
      <c r="M4468">
        <v>17.879970626718301</v>
      </c>
      <c r="N4468">
        <v>52.777773638648199</v>
      </c>
      <c r="O4468">
        <v>50.357722708604001</v>
      </c>
      <c r="P4468">
        <v>-6.8545530171918903E-2</v>
      </c>
      <c r="Q4468">
        <v>0.22782387044007199</v>
      </c>
      <c r="R4468">
        <v>0.98258880775781599</v>
      </c>
      <c r="S4468" t="s">
        <v>11471</v>
      </c>
      <c r="T4468" t="s">
        <v>14004</v>
      </c>
      <c r="U4468" t="s">
        <v>14004</v>
      </c>
      <c r="V4468" t="s">
        <v>14004</v>
      </c>
      <c r="W4468" t="s">
        <v>18417</v>
      </c>
      <c r="X4468">
        <v>4</v>
      </c>
      <c r="Y4468" t="s">
        <v>25228</v>
      </c>
      <c r="Z4468" t="s">
        <v>32178</v>
      </c>
      <c r="AA4468">
        <v>0.52367904686810507</v>
      </c>
      <c r="AB4468" t="str">
        <f>HYPERLINK("Melting_Curves/meltCurve_Q7Z6J8_UBE3D.pdf", "Melting_Curves/meltCurve_Q7Z6J8_UBE3D.pdf")</f>
        <v>Melting_Curves/meltCurve_Q7Z6J8_UBE3D.pdf</v>
      </c>
    </row>
    <row r="4469" spans="1:28" x14ac:dyDescent="0.25">
      <c r="A4469" t="s">
        <v>4473</v>
      </c>
      <c r="B4469">
        <v>0.99999676499088797</v>
      </c>
      <c r="C4469">
        <v>0.92120437910859099</v>
      </c>
      <c r="D4469">
        <v>0.80585461168879402</v>
      </c>
      <c r="E4469">
        <v>0.52617628011041495</v>
      </c>
      <c r="F4469">
        <v>0.190443142305986</v>
      </c>
      <c r="G4469">
        <v>0.131346778016243</v>
      </c>
      <c r="H4469">
        <v>6.9180981084561596E-2</v>
      </c>
      <c r="I4469">
        <v>7.2212753167417695E-2</v>
      </c>
      <c r="J4469">
        <v>6.99691867536021E-2</v>
      </c>
      <c r="K4469">
        <v>6.4817149172074304E-2</v>
      </c>
      <c r="L4469">
        <v>987.02220006764298</v>
      </c>
      <c r="M4469">
        <v>20.0514131258406</v>
      </c>
      <c r="N4469">
        <v>49.530891334239797</v>
      </c>
      <c r="O4469">
        <v>48.7428002121516</v>
      </c>
      <c r="P4469">
        <v>-9.6848960802704998E-2</v>
      </c>
      <c r="Q4469">
        <v>5.8312995080197799E-2</v>
      </c>
      <c r="R4469">
        <v>0.99693094583308095</v>
      </c>
      <c r="S4469" t="s">
        <v>11472</v>
      </c>
      <c r="T4469" t="s">
        <v>14004</v>
      </c>
      <c r="U4469" t="s">
        <v>14004</v>
      </c>
      <c r="V4469" t="s">
        <v>14004</v>
      </c>
      <c r="W4469" t="s">
        <v>18418</v>
      </c>
      <c r="X4469">
        <v>7</v>
      </c>
      <c r="Y4469" t="s">
        <v>25229</v>
      </c>
      <c r="Z4469" t="s">
        <v>32179</v>
      </c>
      <c r="AA4469">
        <v>0.36096613847908438</v>
      </c>
      <c r="AB4469" t="str">
        <f>HYPERLINK("Melting_Curves/meltCurve_Q7Z6J9_TSEN54.pdf", "Melting_Curves/meltCurve_Q7Z6J9_TSEN54.pdf")</f>
        <v>Melting_Curves/meltCurve_Q7Z6J9_TSEN54.pdf</v>
      </c>
    </row>
    <row r="4470" spans="1:28" x14ac:dyDescent="0.25">
      <c r="A4470" t="s">
        <v>4474</v>
      </c>
      <c r="B4470">
        <v>0.99999676499088797</v>
      </c>
      <c r="C4470">
        <v>0.90913132812887099</v>
      </c>
      <c r="D4470">
        <v>0.99992780168204498</v>
      </c>
      <c r="E4470">
        <v>1.2009121363619599</v>
      </c>
      <c r="F4470">
        <v>0.72268515178732895</v>
      </c>
      <c r="G4470">
        <v>0.16592358126492701</v>
      </c>
      <c r="H4470">
        <v>3.1858518883336899E-2</v>
      </c>
      <c r="I4470">
        <v>0</v>
      </c>
      <c r="J4470">
        <v>0</v>
      </c>
      <c r="K4470">
        <v>7.9932191894648896E-2</v>
      </c>
      <c r="L4470">
        <v>2598.84725291527</v>
      </c>
      <c r="M4470">
        <v>47.812670912803299</v>
      </c>
      <c r="N4470">
        <v>54.427238741075698</v>
      </c>
      <c r="O4470">
        <v>54.259961672430599</v>
      </c>
      <c r="P4470">
        <v>-0.213502250162413</v>
      </c>
      <c r="Q4470">
        <v>3.0833497912479E-2</v>
      </c>
      <c r="R4470">
        <v>0.97368983240159701</v>
      </c>
      <c r="S4470" t="s">
        <v>11473</v>
      </c>
      <c r="T4470" t="s">
        <v>14004</v>
      </c>
      <c r="U4470" t="s">
        <v>14004</v>
      </c>
      <c r="V4470" t="s">
        <v>14004</v>
      </c>
      <c r="W4470" t="s">
        <v>18419</v>
      </c>
      <c r="X4470">
        <v>1</v>
      </c>
      <c r="Y4470" t="s">
        <v>25230</v>
      </c>
      <c r="Z4470" t="s">
        <v>32180</v>
      </c>
      <c r="AA4470">
        <v>0.49711361875232363</v>
      </c>
      <c r="AB4470" t="str">
        <f>HYPERLINK("Melting_Curves/meltCurve_Q7Z6K3_PTAR1.pdf", "Melting_Curves/meltCurve_Q7Z6K3_PTAR1.pdf")</f>
        <v>Melting_Curves/meltCurve_Q7Z6K3_PTAR1.pdf</v>
      </c>
    </row>
    <row r="4471" spans="1:28" x14ac:dyDescent="0.25">
      <c r="A4471" t="s">
        <v>4475</v>
      </c>
      <c r="B4471">
        <v>0.99999676499088797</v>
      </c>
      <c r="C4471">
        <v>1.1497646558942101</v>
      </c>
      <c r="D4471">
        <v>1.0919272354774701</v>
      </c>
      <c r="E4471">
        <v>0.51770362617044896</v>
      </c>
      <c r="F4471">
        <v>0.23042370418880001</v>
      </c>
      <c r="G4471">
        <v>0.20219300496019799</v>
      </c>
      <c r="H4471">
        <v>0.13969678055524201</v>
      </c>
      <c r="I4471">
        <v>0.14502641236349201</v>
      </c>
      <c r="J4471">
        <v>0</v>
      </c>
      <c r="K4471">
        <v>0.103284399646009</v>
      </c>
      <c r="L4471">
        <v>3134.32145049992</v>
      </c>
      <c r="M4471">
        <v>63.3870360177715</v>
      </c>
      <c r="N4471">
        <v>49.692801723119501</v>
      </c>
      <c r="O4471">
        <v>49.398213547769998</v>
      </c>
      <c r="P4471">
        <v>-0.27768151644630801</v>
      </c>
      <c r="Q4471">
        <v>0.13439927856265099</v>
      </c>
      <c r="R4471">
        <v>0.96527266695047997</v>
      </c>
      <c r="S4471" t="s">
        <v>11474</v>
      </c>
      <c r="T4471" t="s">
        <v>14004</v>
      </c>
      <c r="U4471" t="s">
        <v>14004</v>
      </c>
      <c r="V4471" t="s">
        <v>14004</v>
      </c>
      <c r="W4471" t="s">
        <v>18420</v>
      </c>
      <c r="X4471">
        <v>2</v>
      </c>
      <c r="Y4471" t="s">
        <v>25231</v>
      </c>
      <c r="Z4471" t="s">
        <v>32181</v>
      </c>
      <c r="AA4471">
        <v>0.40815952254096022</v>
      </c>
      <c r="AB4471" t="str">
        <f>HYPERLINK("Melting_Curves/meltCurve_Q7Z6L1_TECPR1.pdf", "Melting_Curves/meltCurve_Q7Z6L1_TECPR1.pdf")</f>
        <v>Melting_Curves/meltCurve_Q7Z6L1_TECPR1.pdf</v>
      </c>
    </row>
    <row r="4472" spans="1:28" x14ac:dyDescent="0.25">
      <c r="A4472" t="s">
        <v>4476</v>
      </c>
      <c r="B4472">
        <v>0.99999676499088797</v>
      </c>
      <c r="C4472">
        <v>1.05829129109884</v>
      </c>
      <c r="D4472">
        <v>0.92866276975288498</v>
      </c>
      <c r="E4472">
        <v>0.71680610295080804</v>
      </c>
      <c r="F4472">
        <v>0.617837008395133</v>
      </c>
      <c r="G4472">
        <v>0.42947865025854398</v>
      </c>
      <c r="H4472">
        <v>0.225670751175513</v>
      </c>
      <c r="I4472">
        <v>0.13871384716566501</v>
      </c>
      <c r="J4472">
        <v>0.112785528435114</v>
      </c>
      <c r="K4472">
        <v>8.3528150386619801E-2</v>
      </c>
      <c r="L4472">
        <v>679.48967692395604</v>
      </c>
      <c r="M4472">
        <v>12.405106091850801</v>
      </c>
      <c r="N4472">
        <v>54.915449416122698</v>
      </c>
      <c r="O4472">
        <v>53.409987678380098</v>
      </c>
      <c r="P4472">
        <v>-5.7170938149598199E-2</v>
      </c>
      <c r="Q4472">
        <v>1.5614465689723901E-2</v>
      </c>
      <c r="R4472">
        <v>0.98864632087212301</v>
      </c>
      <c r="S4472" t="s">
        <v>11475</v>
      </c>
      <c r="T4472" t="s">
        <v>14004</v>
      </c>
      <c r="U4472" t="s">
        <v>14004</v>
      </c>
      <c r="V4472" t="s">
        <v>14004</v>
      </c>
      <c r="W4472" t="s">
        <v>18421</v>
      </c>
      <c r="X4472">
        <v>12</v>
      </c>
      <c r="Y4472" t="s">
        <v>25232</v>
      </c>
      <c r="Z4472" t="s">
        <v>32182</v>
      </c>
      <c r="AA4472">
        <v>0.52353012122275788</v>
      </c>
      <c r="AB4472" t="str">
        <f>HYPERLINK("Melting_Curves/meltCurve_Q7Z6M1_RABEPK.pdf", "Melting_Curves/meltCurve_Q7Z6M1_RABEPK.pdf")</f>
        <v>Melting_Curves/meltCurve_Q7Z6M1_RABEPK.pdf</v>
      </c>
    </row>
    <row r="4473" spans="1:28" x14ac:dyDescent="0.25">
      <c r="A4473" t="s">
        <v>4477</v>
      </c>
      <c r="B4473">
        <v>0.99999676499088797</v>
      </c>
      <c r="C4473">
        <v>1.2195206155040199</v>
      </c>
      <c r="D4473">
        <v>1.09446194701681</v>
      </c>
      <c r="E4473">
        <v>0.82948079747955294</v>
      </c>
      <c r="F4473">
        <v>0.53908803563375796</v>
      </c>
      <c r="G4473">
        <v>0.245477297686931</v>
      </c>
      <c r="H4473">
        <v>0.10535828930321001</v>
      </c>
      <c r="I4473">
        <v>0.12711934808738601</v>
      </c>
      <c r="J4473">
        <v>0.109581139460338</v>
      </c>
      <c r="K4473">
        <v>9.0925716614975102E-2</v>
      </c>
      <c r="L4473">
        <v>1390.48411294948</v>
      </c>
      <c r="M4473">
        <v>26.2214851200103</v>
      </c>
      <c r="N4473">
        <v>53.481498229460897</v>
      </c>
      <c r="O4473">
        <v>52.722886081316901</v>
      </c>
      <c r="P4473">
        <v>-0.111954070531695</v>
      </c>
      <c r="Q4473">
        <v>9.9596990119077494E-2</v>
      </c>
      <c r="R4473">
        <v>0.96603906375290405</v>
      </c>
      <c r="S4473" t="s">
        <v>11476</v>
      </c>
      <c r="T4473" t="s">
        <v>14004</v>
      </c>
      <c r="U4473" t="s">
        <v>14004</v>
      </c>
      <c r="V4473" t="s">
        <v>14004</v>
      </c>
      <c r="W4473" t="s">
        <v>18422</v>
      </c>
      <c r="X4473">
        <v>2</v>
      </c>
      <c r="Y4473" t="s">
        <v>25233</v>
      </c>
      <c r="Z4473" t="s">
        <v>32183</v>
      </c>
      <c r="AA4473">
        <v>0.49820195446015397</v>
      </c>
      <c r="AB4473" t="str">
        <f>HYPERLINK("Melting_Curves/meltCurve_Q7Z6M2_FBXO33.pdf", "Melting_Curves/meltCurve_Q7Z6M2_FBXO33.pdf")</f>
        <v>Melting_Curves/meltCurve_Q7Z6M2_FBXO33.pdf</v>
      </c>
    </row>
    <row r="4474" spans="1:28" x14ac:dyDescent="0.25">
      <c r="A4474" t="s">
        <v>4478</v>
      </c>
      <c r="B4474">
        <v>0.99999676499088797</v>
      </c>
      <c r="C4474">
        <v>1.1756849943708501</v>
      </c>
      <c r="D4474">
        <v>0.922271224158425</v>
      </c>
      <c r="E4474">
        <v>0.67384385276548397</v>
      </c>
      <c r="F4474">
        <v>0.22902812591938501</v>
      </c>
      <c r="G4474">
        <v>0.149451566933932</v>
      </c>
      <c r="H4474">
        <v>6.0486651648222402E-2</v>
      </c>
      <c r="I4474">
        <v>5.7687735532983397E-2</v>
      </c>
      <c r="J4474">
        <v>0.113709594335867</v>
      </c>
      <c r="K4474">
        <v>9.2421876236229605E-2</v>
      </c>
      <c r="L4474">
        <v>1574.9488837193801</v>
      </c>
      <c r="M4474">
        <v>31.1971974688039</v>
      </c>
      <c r="N4474">
        <v>50.791647210811597</v>
      </c>
      <c r="O4474">
        <v>50.277597213914802</v>
      </c>
      <c r="P4474">
        <v>-0.141757502846349</v>
      </c>
      <c r="Q4474">
        <v>8.6176065022637999E-2</v>
      </c>
      <c r="R4474">
        <v>0.97902955149882398</v>
      </c>
      <c r="S4474" t="s">
        <v>11477</v>
      </c>
      <c r="T4474" t="s">
        <v>14004</v>
      </c>
      <c r="U4474" t="s">
        <v>14004</v>
      </c>
      <c r="V4474" t="s">
        <v>14004</v>
      </c>
      <c r="W4474" t="s">
        <v>18423</v>
      </c>
      <c r="X4474">
        <v>2</v>
      </c>
      <c r="Y4474" t="s">
        <v>25234</v>
      </c>
      <c r="Z4474" t="s">
        <v>32184</v>
      </c>
      <c r="AA4474">
        <v>0.41078206965106429</v>
      </c>
      <c r="AB4474" t="str">
        <f>HYPERLINK("Melting_Curves/meltCurve_Q7Z6M4_MTERFD2.pdf", "Melting_Curves/meltCurve_Q7Z6M4_MTERFD2.pdf")</f>
        <v>Melting_Curves/meltCurve_Q7Z6M4_MTERFD2.pdf</v>
      </c>
    </row>
    <row r="4475" spans="1:28" x14ac:dyDescent="0.25">
      <c r="A4475" t="s">
        <v>4479</v>
      </c>
      <c r="B4475">
        <v>0.99999676499088797</v>
      </c>
      <c r="C4475">
        <v>0.94052207950461197</v>
      </c>
      <c r="D4475">
        <v>0.82550161054062599</v>
      </c>
      <c r="E4475">
        <v>0.60863682077738801</v>
      </c>
      <c r="F4475">
        <v>0.41606755126457401</v>
      </c>
      <c r="G4475">
        <v>0.30325095696543403</v>
      </c>
      <c r="H4475">
        <v>0.172345343368697</v>
      </c>
      <c r="I4475">
        <v>0.114663092925105</v>
      </c>
      <c r="J4475">
        <v>0.106988589790807</v>
      </c>
      <c r="K4475">
        <v>9.6870000157369393E-2</v>
      </c>
      <c r="L4475">
        <v>657.17700664627102</v>
      </c>
      <c r="M4475">
        <v>12.8336328769471</v>
      </c>
      <c r="N4475">
        <v>51.770028104058497</v>
      </c>
      <c r="O4475">
        <v>50.011852343362399</v>
      </c>
      <c r="P4475">
        <v>-5.9988250593407601E-2</v>
      </c>
      <c r="Q4475">
        <v>6.5091733825364498E-2</v>
      </c>
      <c r="R4475">
        <v>0.99780352831405295</v>
      </c>
      <c r="S4475" t="s">
        <v>11478</v>
      </c>
      <c r="T4475" t="s">
        <v>14004</v>
      </c>
      <c r="U4475" t="s">
        <v>14004</v>
      </c>
      <c r="V4475" t="s">
        <v>14004</v>
      </c>
      <c r="W4475" t="s">
        <v>18424</v>
      </c>
      <c r="X4475">
        <v>2</v>
      </c>
      <c r="Y4475" t="s">
        <v>25235</v>
      </c>
      <c r="Z4475" t="s">
        <v>32185</v>
      </c>
      <c r="AA4475">
        <v>0.44169052869175002</v>
      </c>
      <c r="AB4475" t="str">
        <f>HYPERLINK("Melting_Curves/meltCurve_Q7Z6P3_RAB44.pdf", "Melting_Curves/meltCurve_Q7Z6P3_RAB44.pdf")</f>
        <v>Melting_Curves/meltCurve_Q7Z6P3_RAB44.pdf</v>
      </c>
    </row>
    <row r="4476" spans="1:28" x14ac:dyDescent="0.25">
      <c r="A4476" t="s">
        <v>4480</v>
      </c>
      <c r="B4476">
        <v>0.99999676499088797</v>
      </c>
      <c r="C4476">
        <v>1.0129547326454</v>
      </c>
      <c r="D4476">
        <v>0.95461651438710204</v>
      </c>
      <c r="E4476">
        <v>0.885633723335018</v>
      </c>
      <c r="F4476">
        <v>0.77058972418266503</v>
      </c>
      <c r="G4476">
        <v>0.67750141874861602</v>
      </c>
      <c r="H4476">
        <v>0.30984235455169701</v>
      </c>
      <c r="I4476">
        <v>0.18780486288064399</v>
      </c>
      <c r="J4476">
        <v>0.16389573685457501</v>
      </c>
      <c r="K4476">
        <v>0.15648265792458199</v>
      </c>
      <c r="L4476">
        <v>897.17279703654106</v>
      </c>
      <c r="M4476">
        <v>15.5558854723905</v>
      </c>
      <c r="N4476">
        <v>58.193623540898002</v>
      </c>
      <c r="O4476">
        <v>56.746280657076198</v>
      </c>
      <c r="P4476">
        <v>-6.4095718131388299E-2</v>
      </c>
      <c r="Q4476">
        <v>6.4823402189300605E-2</v>
      </c>
      <c r="R4476">
        <v>0.98588511383341704</v>
      </c>
      <c r="S4476" t="s">
        <v>11479</v>
      </c>
      <c r="T4476" t="s">
        <v>14004</v>
      </c>
      <c r="U4476" t="s">
        <v>14004</v>
      </c>
      <c r="V4476" t="s">
        <v>14004</v>
      </c>
      <c r="W4476" t="s">
        <v>18425</v>
      </c>
      <c r="X4476">
        <v>10</v>
      </c>
      <c r="Y4476" t="s">
        <v>25236</v>
      </c>
      <c r="Z4476" t="s">
        <v>32186</v>
      </c>
      <c r="AA4476">
        <v>0.62893287895707362</v>
      </c>
      <c r="AB4476" t="str">
        <f>HYPERLINK("Melting_Curves/meltCurve_Q7Z6V5_ADAT2.pdf", "Melting_Curves/meltCurve_Q7Z6V5_ADAT2.pdf")</f>
        <v>Melting_Curves/meltCurve_Q7Z6V5_ADAT2.pdf</v>
      </c>
    </row>
    <row r="4477" spans="1:28" x14ac:dyDescent="0.25">
      <c r="A4477" t="s">
        <v>4481</v>
      </c>
      <c r="B4477">
        <v>0.99999676499088797</v>
      </c>
      <c r="C4477">
        <v>1.0452685004070801</v>
      </c>
      <c r="D4477">
        <v>1.0788610243138199</v>
      </c>
      <c r="E4477">
        <v>0.99609995323266198</v>
      </c>
      <c r="F4477">
        <v>0.34936109804926102</v>
      </c>
      <c r="G4477">
        <v>0.252926606258145</v>
      </c>
      <c r="H4477">
        <v>0.12527717051819101</v>
      </c>
      <c r="I4477">
        <v>0.121517217151448</v>
      </c>
      <c r="J4477">
        <v>0.11012171109954499</v>
      </c>
      <c r="K4477">
        <v>9.7372937255869499E-2</v>
      </c>
      <c r="L4477">
        <v>3435.5726065274098</v>
      </c>
      <c r="M4477">
        <v>65.673459710615802</v>
      </c>
      <c r="N4477">
        <v>52.574982286862102</v>
      </c>
      <c r="O4477">
        <v>52.264511307978999</v>
      </c>
      <c r="P4477">
        <v>-0.27029556440480701</v>
      </c>
      <c r="Q4477">
        <v>0.139569524807865</v>
      </c>
      <c r="R4477">
        <v>0.98690738107150799</v>
      </c>
      <c r="S4477" t="s">
        <v>11480</v>
      </c>
      <c r="T4477" t="s">
        <v>14004</v>
      </c>
      <c r="U4477" t="s">
        <v>14004</v>
      </c>
      <c r="V4477" t="s">
        <v>14004</v>
      </c>
      <c r="W4477" t="s">
        <v>18426</v>
      </c>
      <c r="X4477">
        <v>78</v>
      </c>
      <c r="Y4477" t="s">
        <v>25237</v>
      </c>
      <c r="Z4477" t="s">
        <v>32187</v>
      </c>
      <c r="AA4477">
        <v>0.49386567841804702</v>
      </c>
      <c r="AB4477" t="str">
        <f>HYPERLINK("Melting_Curves/meltCurve_Q7Z6Z7_2_HUWE1.pdf", "Melting_Curves/meltCurve_Q7Z6Z7_2_HUWE1.pdf")</f>
        <v>Melting_Curves/meltCurve_Q7Z6Z7_2_HUWE1.pdf</v>
      </c>
    </row>
    <row r="4478" spans="1:28" x14ac:dyDescent="0.25">
      <c r="A4478" t="s">
        <v>4482</v>
      </c>
      <c r="B4478">
        <v>0.99999676499088797</v>
      </c>
      <c r="C4478">
        <v>1.03289483935966</v>
      </c>
      <c r="D4478">
        <v>0.92100797899959497</v>
      </c>
      <c r="E4478">
        <v>0.75042719613266096</v>
      </c>
      <c r="F4478">
        <v>0.33525133832658899</v>
      </c>
      <c r="G4478">
        <v>0.17194401551980501</v>
      </c>
      <c r="H4478">
        <v>6.3910692861922205E-2</v>
      </c>
      <c r="I4478">
        <v>5.0852579048262798E-2</v>
      </c>
      <c r="J4478">
        <v>5.91269789840322E-2</v>
      </c>
      <c r="K4478">
        <v>4.15525103827959E-2</v>
      </c>
      <c r="L4478">
        <v>1221.7727207038099</v>
      </c>
      <c r="M4478">
        <v>23.693554591706199</v>
      </c>
      <c r="N4478">
        <v>51.782973609102498</v>
      </c>
      <c r="O4478">
        <v>51.202502473122102</v>
      </c>
      <c r="P4478">
        <v>-0.110211582225566</v>
      </c>
      <c r="Q4478">
        <v>4.7333336973403001E-2</v>
      </c>
      <c r="R4478">
        <v>0.99743565718150695</v>
      </c>
      <c r="S4478" t="s">
        <v>11481</v>
      </c>
      <c r="T4478" t="s">
        <v>14004</v>
      </c>
      <c r="U4478" t="s">
        <v>14004</v>
      </c>
      <c r="V4478" t="s">
        <v>14004</v>
      </c>
      <c r="W4478" t="s">
        <v>18427</v>
      </c>
      <c r="X4478">
        <v>3</v>
      </c>
      <c r="Y4478" t="s">
        <v>25238</v>
      </c>
      <c r="Z4478" t="s">
        <v>32188</v>
      </c>
      <c r="AA4478">
        <v>0.42421120120325062</v>
      </c>
      <c r="AB4478" t="str">
        <f>HYPERLINK("Melting_Curves/meltCurve_Q7Z7A3_CTU1.pdf", "Melting_Curves/meltCurve_Q7Z7A3_CTU1.pdf")</f>
        <v>Melting_Curves/meltCurve_Q7Z7A3_CTU1.pdf</v>
      </c>
    </row>
    <row r="4479" spans="1:28" x14ac:dyDescent="0.25">
      <c r="A4479" t="s">
        <v>4483</v>
      </c>
      <c r="B4479">
        <v>0.99999676499088797</v>
      </c>
      <c r="C4479">
        <v>1.0603192299481099</v>
      </c>
      <c r="D4479">
        <v>1.083774924279</v>
      </c>
      <c r="E4479">
        <v>1.1216724674243399</v>
      </c>
      <c r="F4479">
        <v>0.39227655164576603</v>
      </c>
      <c r="G4479">
        <v>0.31151574150189298</v>
      </c>
      <c r="H4479">
        <v>0.151283214313465</v>
      </c>
      <c r="I4479">
        <v>0.122453824617313</v>
      </c>
      <c r="J4479">
        <v>0.12001935583014001</v>
      </c>
      <c r="K4479">
        <v>0.11537905066632</v>
      </c>
      <c r="L4479">
        <v>11020.880753277001</v>
      </c>
      <c r="M4479">
        <v>208.139137959621</v>
      </c>
      <c r="N4479">
        <v>53.050998688045198</v>
      </c>
      <c r="O4479">
        <v>52.944695742259903</v>
      </c>
      <c r="P4479">
        <v>-0.82150472150057596</v>
      </c>
      <c r="Q4479">
        <v>0.16412995988180001</v>
      </c>
      <c r="R4479">
        <v>0.97146876472863597</v>
      </c>
      <c r="S4479" t="s">
        <v>11482</v>
      </c>
      <c r="T4479" t="s">
        <v>14004</v>
      </c>
      <c r="U4479" t="s">
        <v>14004</v>
      </c>
      <c r="V4479" t="s">
        <v>14004</v>
      </c>
      <c r="W4479" t="s">
        <v>18428</v>
      </c>
      <c r="X4479">
        <v>6</v>
      </c>
      <c r="Y4479" t="s">
        <v>25239</v>
      </c>
      <c r="Z4479" t="s">
        <v>32189</v>
      </c>
      <c r="AA4479">
        <v>0.5250476710883748</v>
      </c>
      <c r="AB4479" t="str">
        <f>HYPERLINK("Melting_Curves/meltCurve_Q7Z7A4_2_PXK.pdf", "Melting_Curves/meltCurve_Q7Z7A4_2_PXK.pdf")</f>
        <v>Melting_Curves/meltCurve_Q7Z7A4_2_PXK.pdf</v>
      </c>
    </row>
    <row r="4480" spans="1:28" x14ac:dyDescent="0.25">
      <c r="A4480" t="s">
        <v>4484</v>
      </c>
      <c r="B4480">
        <v>0.99999676499088797</v>
      </c>
      <c r="C4480">
        <v>1.0325761107631299</v>
      </c>
      <c r="D4480">
        <v>1.0230512347501699</v>
      </c>
      <c r="E4480">
        <v>1.0779862592618501</v>
      </c>
      <c r="F4480">
        <v>0.73604642437002299</v>
      </c>
      <c r="G4480">
        <v>0.33009799655403799</v>
      </c>
      <c r="H4480">
        <v>0.13548501168415</v>
      </c>
      <c r="I4480">
        <v>0.136952164791423</v>
      </c>
      <c r="J4480">
        <v>0.119432377090619</v>
      </c>
      <c r="K4480">
        <v>0.118801895275977</v>
      </c>
      <c r="L4480">
        <v>1939.3646647620701</v>
      </c>
      <c r="M4480">
        <v>35.449512857720102</v>
      </c>
      <c r="N4480">
        <v>55.1456656574547</v>
      </c>
      <c r="O4480">
        <v>54.534578251414899</v>
      </c>
      <c r="P4480">
        <v>-0.14257493871510299</v>
      </c>
      <c r="Q4480">
        <v>0.12266914395256499</v>
      </c>
      <c r="R4480">
        <v>0.99237655405126202</v>
      </c>
      <c r="S4480" t="s">
        <v>11483</v>
      </c>
      <c r="T4480" t="s">
        <v>14004</v>
      </c>
      <c r="U4480" t="s">
        <v>14004</v>
      </c>
      <c r="V4480" t="s">
        <v>14004</v>
      </c>
      <c r="W4480" t="s">
        <v>18429</v>
      </c>
      <c r="X4480">
        <v>5</v>
      </c>
      <c r="Y4480" t="s">
        <v>25240</v>
      </c>
      <c r="Z4480" t="s">
        <v>32190</v>
      </c>
      <c r="AA4480">
        <v>0.55699031605303151</v>
      </c>
      <c r="AB4480" t="str">
        <f>HYPERLINK("Melting_Curves/meltCurve_Q7Z7C8_TAF8.pdf", "Melting_Curves/meltCurve_Q7Z7C8_TAF8.pdf")</f>
        <v>Melting_Curves/meltCurve_Q7Z7C8_TAF8.pdf</v>
      </c>
    </row>
    <row r="4481" spans="1:28" x14ac:dyDescent="0.25">
      <c r="A4481" t="s">
        <v>4485</v>
      </c>
      <c r="B4481">
        <v>0.99999676499088797</v>
      </c>
      <c r="C4481">
        <v>0.91674022106349295</v>
      </c>
      <c r="D4481">
        <v>0.79943178286663397</v>
      </c>
      <c r="E4481">
        <v>0.45863837150334502</v>
      </c>
      <c r="F4481">
        <v>0.26121544370303001</v>
      </c>
      <c r="G4481">
        <v>0.20388109390447001</v>
      </c>
      <c r="H4481">
        <v>9.2243946487444203E-2</v>
      </c>
      <c r="I4481">
        <v>7.6783144160222305E-2</v>
      </c>
      <c r="J4481">
        <v>9.2911685413052697E-2</v>
      </c>
      <c r="K4481">
        <v>7.5900502696807995E-2</v>
      </c>
      <c r="L4481">
        <v>857.81294535646896</v>
      </c>
      <c r="M4481">
        <v>17.523136284970601</v>
      </c>
      <c r="N4481">
        <v>49.439724197926601</v>
      </c>
      <c r="O4481">
        <v>48.328968726073597</v>
      </c>
      <c r="P4481">
        <v>-8.3470447677740797E-2</v>
      </c>
      <c r="Q4481">
        <v>7.9201474443162195E-2</v>
      </c>
      <c r="R4481">
        <v>0.99597778739819798</v>
      </c>
      <c r="S4481" t="s">
        <v>11484</v>
      </c>
      <c r="T4481" t="s">
        <v>14004</v>
      </c>
      <c r="U4481" t="s">
        <v>14004</v>
      </c>
      <c r="V4481" t="s">
        <v>14004</v>
      </c>
      <c r="W4481" t="s">
        <v>18430</v>
      </c>
      <c r="X4481">
        <v>9</v>
      </c>
      <c r="Y4481" t="s">
        <v>25241</v>
      </c>
      <c r="Z4481" t="s">
        <v>32191</v>
      </c>
      <c r="AA4481">
        <v>0.37084370599077032</v>
      </c>
      <c r="AB4481" t="str">
        <f>HYPERLINK("Melting_Curves/meltCurve_Q7Z7E8_UBE2Q1.pdf", "Melting_Curves/meltCurve_Q7Z7E8_UBE2Q1.pdf")</f>
        <v>Melting_Curves/meltCurve_Q7Z7E8_UBE2Q1.pdf</v>
      </c>
    </row>
    <row r="4482" spans="1:28" x14ac:dyDescent="0.25">
      <c r="A4482" t="s">
        <v>4486</v>
      </c>
      <c r="B4482">
        <v>0.99999676499088797</v>
      </c>
      <c r="C4482">
        <v>0.84751964405563696</v>
      </c>
      <c r="D4482">
        <v>0.79109296950126495</v>
      </c>
      <c r="E4482">
        <v>0.58434195432149505</v>
      </c>
      <c r="F4482">
        <v>0.32066252901606201</v>
      </c>
      <c r="G4482">
        <v>0.21178904575659499</v>
      </c>
      <c r="H4482">
        <v>0.115445303943052</v>
      </c>
      <c r="I4482">
        <v>0.10453689594116</v>
      </c>
      <c r="J4482">
        <v>0.101136951848488</v>
      </c>
      <c r="K4482">
        <v>8.2485712511991993E-2</v>
      </c>
      <c r="L4482">
        <v>682.47491162709605</v>
      </c>
      <c r="M4482">
        <v>13.659775509891499</v>
      </c>
      <c r="N4482">
        <v>50.423247273687799</v>
      </c>
      <c r="O4482">
        <v>48.928075079167797</v>
      </c>
      <c r="P4482">
        <v>-6.5708807264785493E-2</v>
      </c>
      <c r="Q4482">
        <v>5.8685205198854402E-2</v>
      </c>
      <c r="R4482">
        <v>0.99374134972863803</v>
      </c>
      <c r="S4482" t="s">
        <v>11485</v>
      </c>
      <c r="T4482" t="s">
        <v>14004</v>
      </c>
      <c r="U4482" t="s">
        <v>14004</v>
      </c>
      <c r="V4482" t="s">
        <v>14004</v>
      </c>
      <c r="W4482" t="s">
        <v>18431</v>
      </c>
      <c r="X4482">
        <v>5</v>
      </c>
      <c r="Y4482" t="s">
        <v>25242</v>
      </c>
      <c r="Z4482" t="s">
        <v>32192</v>
      </c>
      <c r="AA4482">
        <v>0.39771405700019857</v>
      </c>
      <c r="AB4482" t="str">
        <f>HYPERLINK("Melting_Curves/meltCurve_Q7Z7F0_KIAA0907.pdf", "Melting_Curves/meltCurve_Q7Z7F0_KIAA0907.pdf")</f>
        <v>Melting_Curves/meltCurve_Q7Z7F0_KIAA0907.pdf</v>
      </c>
    </row>
    <row r="4483" spans="1:28" x14ac:dyDescent="0.25">
      <c r="A4483" t="s">
        <v>4487</v>
      </c>
      <c r="B4483">
        <v>0.99999676499088797</v>
      </c>
      <c r="C4483">
        <v>0.890521865689194</v>
      </c>
      <c r="D4483">
        <v>0.73187117890702602</v>
      </c>
      <c r="E4483">
        <v>0.56550581071440698</v>
      </c>
      <c r="F4483">
        <v>0.38491306719191398</v>
      </c>
      <c r="G4483">
        <v>0.23054738170981401</v>
      </c>
      <c r="H4483">
        <v>0.13935542136238599</v>
      </c>
      <c r="I4483">
        <v>0.103285025182231</v>
      </c>
      <c r="J4483">
        <v>0.100218600395597</v>
      </c>
      <c r="K4483">
        <v>5.5636189217252101E-2</v>
      </c>
      <c r="L4483">
        <v>591.403733912804</v>
      </c>
      <c r="M4483">
        <v>11.7415580989659</v>
      </c>
      <c r="N4483">
        <v>50.661764562273802</v>
      </c>
      <c r="O4483">
        <v>48.973980894791097</v>
      </c>
      <c r="P4483">
        <v>-5.7983177604016001E-2</v>
      </c>
      <c r="Q4483">
        <v>3.2863473012807003E-2</v>
      </c>
      <c r="R4483">
        <v>0.99680538550736697</v>
      </c>
      <c r="S4483" t="s">
        <v>11486</v>
      </c>
      <c r="T4483" t="s">
        <v>14004</v>
      </c>
      <c r="U4483" t="s">
        <v>14004</v>
      </c>
      <c r="V4483" t="s">
        <v>14004</v>
      </c>
      <c r="W4483" t="s">
        <v>18432</v>
      </c>
      <c r="X4483">
        <v>4</v>
      </c>
      <c r="Y4483" t="s">
        <v>25243</v>
      </c>
      <c r="Z4483" t="s">
        <v>32193</v>
      </c>
      <c r="AA4483">
        <v>0.40096873030772862</v>
      </c>
      <c r="AB4483" t="str">
        <f>HYPERLINK("Melting_Curves/meltCurve_Q7Z7F7_MRPL55.pdf", "Melting_Curves/meltCurve_Q7Z7F7_MRPL55.pdf")</f>
        <v>Melting_Curves/meltCurve_Q7Z7F7_MRPL55.pdf</v>
      </c>
    </row>
    <row r="4484" spans="1:28" x14ac:dyDescent="0.25">
      <c r="A4484" t="s">
        <v>4488</v>
      </c>
      <c r="B4484">
        <v>0.99999676499088797</v>
      </c>
      <c r="C4484">
        <v>0.80230505249934003</v>
      </c>
      <c r="D4484">
        <v>1.51103208679618</v>
      </c>
      <c r="E4484">
        <v>1.6460878542662101</v>
      </c>
      <c r="F4484">
        <v>1.22401553749132</v>
      </c>
      <c r="G4484">
        <v>2.48654196322315</v>
      </c>
      <c r="H4484">
        <v>0.76141524517973003</v>
      </c>
      <c r="I4484">
        <v>1.8773822509999101</v>
      </c>
      <c r="J4484">
        <v>2.3704905674323702</v>
      </c>
      <c r="K4484">
        <v>1.3156656330442</v>
      </c>
      <c r="L4484">
        <v>11163.9446973829</v>
      </c>
      <c r="M4484">
        <v>250</v>
      </c>
      <c r="O4484">
        <v>44.652923462426301</v>
      </c>
      <c r="P4484">
        <v>0.69984223325927097</v>
      </c>
      <c r="Q4484">
        <v>1.5</v>
      </c>
      <c r="R4484">
        <v>0.21223316177695301</v>
      </c>
      <c r="S4484" t="s">
        <v>11487</v>
      </c>
      <c r="T4484" t="s">
        <v>14004</v>
      </c>
      <c r="U4484" t="s">
        <v>14004</v>
      </c>
      <c r="V4484" t="s">
        <v>14004</v>
      </c>
      <c r="W4484" t="s">
        <v>18433</v>
      </c>
      <c r="X4484">
        <v>2</v>
      </c>
      <c r="Y4484" t="s">
        <v>25244</v>
      </c>
      <c r="Z4484" t="s">
        <v>32194</v>
      </c>
      <c r="AA4484">
        <v>1.42236450174275</v>
      </c>
      <c r="AB4484" t="str">
        <f>HYPERLINK("Melting_Curves/meltCurve_Q7Z7G8_2_VPS13B.pdf", "Melting_Curves/meltCurve_Q7Z7G8_2_VPS13B.pdf")</f>
        <v>Melting_Curves/meltCurve_Q7Z7G8_2_VPS13B.pdf</v>
      </c>
    </row>
    <row r="4485" spans="1:28" x14ac:dyDescent="0.25">
      <c r="A4485" t="s">
        <v>4489</v>
      </c>
      <c r="B4485">
        <v>0.99999676499088797</v>
      </c>
      <c r="C4485">
        <v>1.0539605035022199</v>
      </c>
      <c r="D4485">
        <v>1.0838268449466</v>
      </c>
      <c r="E4485">
        <v>1.0624654703005101</v>
      </c>
      <c r="F4485">
        <v>0.85694309788669298</v>
      </c>
      <c r="G4485">
        <v>0.53323771471395498</v>
      </c>
      <c r="H4485">
        <v>0.16639291428283101</v>
      </c>
      <c r="I4485">
        <v>0.11930712210852901</v>
      </c>
      <c r="J4485">
        <v>9.8217628724360406E-2</v>
      </c>
      <c r="K4485">
        <v>7.3157576657527895E-2</v>
      </c>
      <c r="L4485">
        <v>1724.9601701413201</v>
      </c>
      <c r="M4485">
        <v>30.459907807263502</v>
      </c>
      <c r="N4485">
        <v>56.961379580984101</v>
      </c>
      <c r="O4485">
        <v>56.388104321426901</v>
      </c>
      <c r="P4485">
        <v>-0.12409690642403499</v>
      </c>
      <c r="Q4485">
        <v>8.1081090464588501E-2</v>
      </c>
      <c r="R4485">
        <v>0.99055567581415405</v>
      </c>
      <c r="S4485" t="s">
        <v>11488</v>
      </c>
      <c r="T4485" t="s">
        <v>14004</v>
      </c>
      <c r="U4485" t="s">
        <v>14004</v>
      </c>
      <c r="V4485" t="s">
        <v>14004</v>
      </c>
      <c r="W4485" t="s">
        <v>18434</v>
      </c>
      <c r="X4485">
        <v>9</v>
      </c>
      <c r="Y4485" t="s">
        <v>25245</v>
      </c>
      <c r="Z4485" t="s">
        <v>32195</v>
      </c>
      <c r="AA4485">
        <v>0.59644735366013435</v>
      </c>
      <c r="AB4485" t="str">
        <f>HYPERLINK("Melting_Curves/meltCurve_Q7Z7H5_3_TMED4.pdf", "Melting_Curves/meltCurve_Q7Z7H5_3_TMED4.pdf")</f>
        <v>Melting_Curves/meltCurve_Q7Z7H5_3_TMED4.pdf</v>
      </c>
    </row>
    <row r="4486" spans="1:28" x14ac:dyDescent="0.25">
      <c r="A4486" t="s">
        <v>4490</v>
      </c>
      <c r="B4486">
        <v>0.99999676499088797</v>
      </c>
      <c r="C4486">
        <v>1.07625313146958</v>
      </c>
      <c r="D4486">
        <v>0.97303715195564</v>
      </c>
      <c r="E4486">
        <v>0.69927620334418805</v>
      </c>
      <c r="F4486">
        <v>0.33263022856602098</v>
      </c>
      <c r="G4486">
        <v>0.24822558755003499</v>
      </c>
      <c r="H4486">
        <v>0.134191139180523</v>
      </c>
      <c r="I4486">
        <v>9.16682924764496E-2</v>
      </c>
      <c r="J4486">
        <v>9.4462646479702095E-2</v>
      </c>
      <c r="K4486">
        <v>7.8366467334819195E-2</v>
      </c>
      <c r="L4486">
        <v>1209.64563197552</v>
      </c>
      <c r="M4486">
        <v>23.641749880768</v>
      </c>
      <c r="N4486">
        <v>51.662441670350098</v>
      </c>
      <c r="O4486">
        <v>50.803781769320999</v>
      </c>
      <c r="P4486">
        <v>-0.104511571022708</v>
      </c>
      <c r="Q4486">
        <v>0.101674700680559</v>
      </c>
      <c r="R4486">
        <v>0.99040770679267198</v>
      </c>
      <c r="S4486" t="s">
        <v>11489</v>
      </c>
      <c r="T4486" t="s">
        <v>14004</v>
      </c>
      <c r="U4486" t="s">
        <v>14004</v>
      </c>
      <c r="V4486" t="s">
        <v>14004</v>
      </c>
      <c r="W4486" t="s">
        <v>18435</v>
      </c>
      <c r="X4486">
        <v>3</v>
      </c>
      <c r="Y4486" t="s">
        <v>25246</v>
      </c>
      <c r="Z4486" t="s">
        <v>32196</v>
      </c>
      <c r="AA4486">
        <v>0.44508737448116409</v>
      </c>
      <c r="AB4486" t="str">
        <f>HYPERLINK("Melting_Curves/meltCurve_Q7Z7H8_MRPL10.pdf", "Melting_Curves/meltCurve_Q7Z7H8_MRPL10.pdf")</f>
        <v>Melting_Curves/meltCurve_Q7Z7H8_MRPL10.pdf</v>
      </c>
    </row>
    <row r="4487" spans="1:28" x14ac:dyDescent="0.25">
      <c r="A4487" t="s">
        <v>4491</v>
      </c>
      <c r="B4487">
        <v>0.99999676499088797</v>
      </c>
      <c r="C4487">
        <v>1.04085751702235</v>
      </c>
      <c r="D4487">
        <v>1.04229322628077</v>
      </c>
      <c r="E4487">
        <v>0.66167788763942503</v>
      </c>
      <c r="F4487">
        <v>0.23976447731469899</v>
      </c>
      <c r="G4487">
        <v>0.144470921984961</v>
      </c>
      <c r="H4487">
        <v>0.12986462449059299</v>
      </c>
      <c r="I4487">
        <v>0.26204294933231198</v>
      </c>
      <c r="J4487">
        <v>0.38271764383083201</v>
      </c>
      <c r="K4487">
        <v>0.44539194126264098</v>
      </c>
      <c r="L4487">
        <v>12407.5947437573</v>
      </c>
      <c r="M4487">
        <v>250</v>
      </c>
      <c r="N4487">
        <v>49.7827727508283</v>
      </c>
      <c r="O4487">
        <v>49.6272029536334</v>
      </c>
      <c r="P4487">
        <v>-0.92266002375536404</v>
      </c>
      <c r="Q4487">
        <v>0.267375420667468</v>
      </c>
      <c r="R4487">
        <v>0.93366185578107397</v>
      </c>
      <c r="S4487" t="s">
        <v>11490</v>
      </c>
      <c r="T4487" t="s">
        <v>14004</v>
      </c>
      <c r="U4487" t="s">
        <v>14004</v>
      </c>
      <c r="V4487" t="s">
        <v>14004</v>
      </c>
      <c r="W4487" t="s">
        <v>18436</v>
      </c>
      <c r="X4487">
        <v>3</v>
      </c>
      <c r="Y4487" t="s">
        <v>25247</v>
      </c>
      <c r="Z4487" t="s">
        <v>32197</v>
      </c>
      <c r="AA4487">
        <v>0.50262097751236068</v>
      </c>
      <c r="AB4487" t="str">
        <f>HYPERLINK("Melting_Curves/meltCurve_Q7Z7K6_3_CENPV.pdf", "Melting_Curves/meltCurve_Q7Z7K6_3_CENPV.pdf")</f>
        <v>Melting_Curves/meltCurve_Q7Z7K6_3_CENPV.pdf</v>
      </c>
    </row>
    <row r="4488" spans="1:28" x14ac:dyDescent="0.25">
      <c r="A4488" t="s">
        <v>4492</v>
      </c>
      <c r="B4488">
        <v>0.99999676499088797</v>
      </c>
      <c r="C4488">
        <v>0.96862283124465398</v>
      </c>
      <c r="D4488">
        <v>0.88579593663139999</v>
      </c>
      <c r="E4488">
        <v>0.69693392892607497</v>
      </c>
      <c r="F4488">
        <v>0.32119803867955099</v>
      </c>
      <c r="G4488">
        <v>0.20478501479135</v>
      </c>
      <c r="H4488">
        <v>0.10373379242952301</v>
      </c>
      <c r="I4488">
        <v>9.3052617408369995E-2</v>
      </c>
      <c r="J4488">
        <v>8.6011311075636199E-2</v>
      </c>
      <c r="K4488">
        <v>7.1997762923591502E-2</v>
      </c>
      <c r="L4488">
        <v>1033.87970016695</v>
      </c>
      <c r="M4488">
        <v>20.271619593191701</v>
      </c>
      <c r="N4488">
        <v>51.417944433629501</v>
      </c>
      <c r="O4488">
        <v>50.512796397113497</v>
      </c>
      <c r="P4488">
        <v>-9.2733804468733694E-2</v>
      </c>
      <c r="Q4488">
        <v>7.5732444774776905E-2</v>
      </c>
      <c r="R4488">
        <v>0.99757210850970301</v>
      </c>
      <c r="S4488" t="s">
        <v>11491</v>
      </c>
      <c r="T4488" t="s">
        <v>14004</v>
      </c>
      <c r="U4488" t="s">
        <v>14004</v>
      </c>
      <c r="V4488" t="s">
        <v>14004</v>
      </c>
      <c r="W4488" t="s">
        <v>18437</v>
      </c>
      <c r="X4488">
        <v>21</v>
      </c>
      <c r="Y4488" t="s">
        <v>25248</v>
      </c>
      <c r="Z4488" t="s">
        <v>32198</v>
      </c>
      <c r="AA4488">
        <v>0.42718142221034378</v>
      </c>
      <c r="AB4488" t="str">
        <f>HYPERLINK("Melting_Curves/meltCurve_Q7Z7L1_SLFN11.pdf", "Melting_Curves/meltCurve_Q7Z7L1_SLFN11.pdf")</f>
        <v>Melting_Curves/meltCurve_Q7Z7L1_SLFN11.pdf</v>
      </c>
    </row>
    <row r="4489" spans="1:28" x14ac:dyDescent="0.25">
      <c r="A4489" t="s">
        <v>4493</v>
      </c>
      <c r="B4489">
        <v>0.99999676499088797</v>
      </c>
      <c r="C4489">
        <v>0.95214597006078605</v>
      </c>
      <c r="D4489">
        <v>0.99463609049350299</v>
      </c>
      <c r="E4489">
        <v>1.01563430542177</v>
      </c>
      <c r="F4489">
        <v>0.84297474209282497</v>
      </c>
      <c r="G4489">
        <v>0.26799746208453301</v>
      </c>
      <c r="H4489">
        <v>0.13238747017275601</v>
      </c>
      <c r="I4489">
        <v>0.108287811861109</v>
      </c>
      <c r="J4489">
        <v>0.121929793166329</v>
      </c>
      <c r="K4489">
        <v>0.121970546919969</v>
      </c>
      <c r="L4489">
        <v>2632.1128916695402</v>
      </c>
      <c r="M4489">
        <v>47.934850540187099</v>
      </c>
      <c r="N4489">
        <v>55.222793853071998</v>
      </c>
      <c r="O4489">
        <v>54.814902852702197</v>
      </c>
      <c r="P4489">
        <v>-0.192645755599202</v>
      </c>
      <c r="Q4489">
        <v>0.11881670911827499</v>
      </c>
      <c r="R4489">
        <v>0.99825500112896703</v>
      </c>
      <c r="S4489" t="s">
        <v>11492</v>
      </c>
      <c r="T4489" t="s">
        <v>14004</v>
      </c>
      <c r="U4489" t="s">
        <v>14004</v>
      </c>
      <c r="V4489" t="s">
        <v>14004</v>
      </c>
      <c r="W4489" t="s">
        <v>18438</v>
      </c>
      <c r="X4489">
        <v>1</v>
      </c>
      <c r="Y4489" t="s">
        <v>25249</v>
      </c>
      <c r="Z4489" t="s">
        <v>32199</v>
      </c>
      <c r="AA4489">
        <v>0.55909254859627922</v>
      </c>
      <c r="AB4489" t="str">
        <f>HYPERLINK("Melting_Curves/meltCurve_Q7Z7L7_ZER1.pdf", "Melting_Curves/meltCurve_Q7Z7L7_ZER1.pdf")</f>
        <v>Melting_Curves/meltCurve_Q7Z7L7_ZER1.pdf</v>
      </c>
    </row>
    <row r="4490" spans="1:28" x14ac:dyDescent="0.25">
      <c r="A4490" t="s">
        <v>4494</v>
      </c>
      <c r="B4490">
        <v>0.99999676499088797</v>
      </c>
      <c r="C4490">
        <v>1.02186892817557</v>
      </c>
      <c r="D4490">
        <v>1.0088456820992699</v>
      </c>
      <c r="E4490">
        <v>0.75529311306686497</v>
      </c>
      <c r="F4490">
        <v>0.85610923733657496</v>
      </c>
      <c r="G4490">
        <v>0.45817836387295902</v>
      </c>
      <c r="H4490">
        <v>0.26680233303609102</v>
      </c>
      <c r="I4490">
        <v>0.45880942166857602</v>
      </c>
      <c r="J4490">
        <v>0.41182765527925902</v>
      </c>
      <c r="K4490">
        <v>0.42250582145078702</v>
      </c>
      <c r="L4490">
        <v>1270.19035567076</v>
      </c>
      <c r="M4490">
        <v>23.654005689752001</v>
      </c>
      <c r="N4490">
        <v>57.071917920662798</v>
      </c>
      <c r="O4490">
        <v>53.319361904582799</v>
      </c>
      <c r="P4490">
        <v>-6.9156219620576706E-2</v>
      </c>
      <c r="Q4490">
        <v>0.37646020805121599</v>
      </c>
      <c r="R4490">
        <v>0.89781051092284503</v>
      </c>
      <c r="S4490" t="s">
        <v>11493</v>
      </c>
      <c r="T4490" t="s">
        <v>14004</v>
      </c>
      <c r="U4490" t="s">
        <v>14004</v>
      </c>
      <c r="V4490" t="s">
        <v>14004</v>
      </c>
      <c r="W4490" t="s">
        <v>18439</v>
      </c>
      <c r="X4490">
        <v>1</v>
      </c>
      <c r="Y4490" t="s">
        <v>25250</v>
      </c>
      <c r="Z4490" t="s">
        <v>32200</v>
      </c>
      <c r="AA4490">
        <v>0.66755837468797818</v>
      </c>
      <c r="AB4490" t="str">
        <f>HYPERLINK("Melting_Curves/meltCurve_Q7Z7L8_C11orf96.pdf", "Melting_Curves/meltCurve_Q7Z7L8_C11orf96.pdf")</f>
        <v>Melting_Curves/meltCurve_Q7Z7L8_C11orf96.pdf</v>
      </c>
    </row>
    <row r="4491" spans="1:28" x14ac:dyDescent="0.25">
      <c r="A4491" t="s">
        <v>4495</v>
      </c>
      <c r="B4491">
        <v>0.99999676499088797</v>
      </c>
      <c r="C4491">
        <v>0.89477769077376101</v>
      </c>
      <c r="D4491">
        <v>0.961025275759671</v>
      </c>
      <c r="E4491">
        <v>0.703848433684232</v>
      </c>
      <c r="F4491">
        <v>1.3735403883650501</v>
      </c>
      <c r="G4491">
        <v>0</v>
      </c>
      <c r="H4491">
        <v>0.39892009331566097</v>
      </c>
      <c r="I4491">
        <v>0.48240966207922298</v>
      </c>
      <c r="J4491">
        <v>0.21775054497849999</v>
      </c>
      <c r="K4491">
        <v>0.37848933587411698</v>
      </c>
      <c r="L4491">
        <v>13743.3087237328</v>
      </c>
      <c r="M4491">
        <v>250</v>
      </c>
      <c r="N4491">
        <v>55.170540771356201</v>
      </c>
      <c r="O4491">
        <v>54.969718272899797</v>
      </c>
      <c r="P4491">
        <v>-0.80100288744070602</v>
      </c>
      <c r="Q4491">
        <v>0.29550556855101701</v>
      </c>
      <c r="R4491">
        <v>0.75555077135876403</v>
      </c>
      <c r="S4491" t="s">
        <v>11494</v>
      </c>
      <c r="T4491" t="s">
        <v>14004</v>
      </c>
      <c r="U4491" t="s">
        <v>14004</v>
      </c>
      <c r="V4491" t="s">
        <v>14004</v>
      </c>
      <c r="W4491" t="s">
        <v>18440</v>
      </c>
      <c r="X4491">
        <v>2</v>
      </c>
      <c r="Y4491" t="s">
        <v>25251</v>
      </c>
      <c r="Z4491" t="s">
        <v>32201</v>
      </c>
      <c r="AA4491">
        <v>0.64719222298977319</v>
      </c>
      <c r="AB4491" t="str">
        <f>HYPERLINK("Melting_Curves/meltCurve_Q7Z7L9_ZSCAN2.pdf", "Melting_Curves/meltCurve_Q7Z7L9_ZSCAN2.pdf")</f>
        <v>Melting_Curves/meltCurve_Q7Z7L9_ZSCAN2.pdf</v>
      </c>
    </row>
    <row r="4492" spans="1:28" x14ac:dyDescent="0.25">
      <c r="A4492" t="s">
        <v>4496</v>
      </c>
      <c r="B4492">
        <v>0.99999676499088797</v>
      </c>
      <c r="C4492">
        <v>0.95053346768869296</v>
      </c>
      <c r="D4492">
        <v>1.0008781137123499</v>
      </c>
      <c r="E4492">
        <v>1.06154249022465</v>
      </c>
      <c r="F4492">
        <v>1.21552226449991</v>
      </c>
      <c r="G4492">
        <v>0.97625956489283106</v>
      </c>
      <c r="H4492">
        <v>0.823416710758893</v>
      </c>
      <c r="I4492">
        <v>0.73609934582568304</v>
      </c>
      <c r="J4492">
        <v>0.63423978464715602</v>
      </c>
      <c r="K4492">
        <v>0.97130203649042002</v>
      </c>
      <c r="L4492">
        <v>3861.1357400598799</v>
      </c>
      <c r="M4492">
        <v>65.167283073127805</v>
      </c>
      <c r="O4492">
        <v>59.193888612249502</v>
      </c>
      <c r="P4492">
        <v>-6.0050857586389797E-2</v>
      </c>
      <c r="Q4492">
        <v>0.781814287791469</v>
      </c>
      <c r="R4492">
        <v>0.54660285749688597</v>
      </c>
      <c r="S4492" t="s">
        <v>11495</v>
      </c>
      <c r="T4492" t="s">
        <v>14004</v>
      </c>
      <c r="U4492" t="s">
        <v>14004</v>
      </c>
      <c r="V4492" t="s">
        <v>14004</v>
      </c>
      <c r="W4492" t="s">
        <v>18441</v>
      </c>
      <c r="X4492">
        <v>2</v>
      </c>
      <c r="Y4492" t="s">
        <v>25252</v>
      </c>
      <c r="Z4492" t="s">
        <v>32202</v>
      </c>
      <c r="AA4492">
        <v>0.92214838978986124</v>
      </c>
      <c r="AB4492" t="str">
        <f>HYPERLINK("Melting_Curves/meltCurve_Q7Z7N9_TMEM179B.pdf", "Melting_Curves/meltCurve_Q7Z7N9_TMEM179B.pdf")</f>
        <v>Melting_Curves/meltCurve_Q7Z7N9_TMEM179B.pdf</v>
      </c>
    </row>
    <row r="4493" spans="1:28" x14ac:dyDescent="0.25">
      <c r="A4493" t="s">
        <v>4497</v>
      </c>
      <c r="B4493">
        <v>0.99999676499088797</v>
      </c>
      <c r="C4493">
        <v>0.961886477828374</v>
      </c>
      <c r="D4493">
        <v>0.969598163911226</v>
      </c>
      <c r="E4493">
        <v>0.97802932394600395</v>
      </c>
      <c r="F4493">
        <v>0.62354399966764795</v>
      </c>
      <c r="G4493">
        <v>0.20924927358013101</v>
      </c>
      <c r="H4493">
        <v>9.0856253397327003E-2</v>
      </c>
      <c r="I4493">
        <v>8.3349857435522604E-2</v>
      </c>
      <c r="J4493">
        <v>8.8100043670650399E-2</v>
      </c>
      <c r="K4493">
        <v>7.1612163542372001E-2</v>
      </c>
      <c r="L4493">
        <v>1923.92191317739</v>
      </c>
      <c r="M4493">
        <v>35.763889652319499</v>
      </c>
      <c r="N4493">
        <v>54.059197713187899</v>
      </c>
      <c r="O4493">
        <v>53.627752257573498</v>
      </c>
      <c r="P4493">
        <v>-0.15335949037761901</v>
      </c>
      <c r="Q4493">
        <v>8.0156486622479997E-2</v>
      </c>
      <c r="R4493">
        <v>0.998275912562262</v>
      </c>
      <c r="S4493" t="s">
        <v>11496</v>
      </c>
      <c r="T4493" t="s">
        <v>14004</v>
      </c>
      <c r="U4493" t="s">
        <v>14004</v>
      </c>
      <c r="V4493" t="s">
        <v>14004</v>
      </c>
      <c r="W4493" t="s">
        <v>18442</v>
      </c>
      <c r="X4493">
        <v>12</v>
      </c>
      <c r="Y4493" t="s">
        <v>25253</v>
      </c>
      <c r="Z4493" t="s">
        <v>32203</v>
      </c>
      <c r="AA4493">
        <v>0.50740236805023764</v>
      </c>
      <c r="AB4493" t="str">
        <f>HYPERLINK("Melting_Curves/meltCurve_Q86SF2_GALNT7.pdf", "Melting_Curves/meltCurve_Q86SF2_GALNT7.pdf")</f>
        <v>Melting_Curves/meltCurve_Q86SF2_GALNT7.pdf</v>
      </c>
    </row>
    <row r="4494" spans="1:28" x14ac:dyDescent="0.25">
      <c r="A4494" t="s">
        <v>4498</v>
      </c>
      <c r="B4494">
        <v>0.99999676499088797</v>
      </c>
      <c r="C4494">
        <v>1.0802725162173601</v>
      </c>
      <c r="D4494">
        <v>1.0137858516541101</v>
      </c>
      <c r="E4494">
        <v>0.835591129191676</v>
      </c>
      <c r="F4494">
        <v>0.417996765562547</v>
      </c>
      <c r="G4494">
        <v>0.26754169443415299</v>
      </c>
      <c r="H4494">
        <v>0.10395388756257801</v>
      </c>
      <c r="I4494">
        <v>0.146902129488896</v>
      </c>
      <c r="J4494">
        <v>0.126096506855121</v>
      </c>
      <c r="K4494">
        <v>7.9965090554971405E-2</v>
      </c>
      <c r="L4494">
        <v>1406.8309215654201</v>
      </c>
      <c r="M4494">
        <v>26.946628089840399</v>
      </c>
      <c r="N4494">
        <v>52.728139265725297</v>
      </c>
      <c r="O4494">
        <v>51.9230651599634</v>
      </c>
      <c r="P4494">
        <v>-0.11460316921524499</v>
      </c>
      <c r="Q4494">
        <v>0.116700134455389</v>
      </c>
      <c r="R4494">
        <v>0.99010277697576399</v>
      </c>
      <c r="S4494" t="s">
        <v>11497</v>
      </c>
      <c r="T4494" t="s">
        <v>14004</v>
      </c>
      <c r="U4494" t="s">
        <v>14004</v>
      </c>
      <c r="V4494" t="s">
        <v>14004</v>
      </c>
      <c r="W4494" t="s">
        <v>18443</v>
      </c>
      <c r="X4494">
        <v>4</v>
      </c>
      <c r="Y4494" t="s">
        <v>25254</v>
      </c>
      <c r="Z4494" t="s">
        <v>32204</v>
      </c>
      <c r="AA4494">
        <v>0.48313602342825179</v>
      </c>
      <c r="AB4494" t="str">
        <f>HYPERLINK("Melting_Curves/meltCurve_Q86SK9_2_SCD5.pdf", "Melting_Curves/meltCurve_Q86SK9_2_SCD5.pdf")</f>
        <v>Melting_Curves/meltCurve_Q86SK9_2_SCD5.pdf</v>
      </c>
    </row>
    <row r="4495" spans="1:28" x14ac:dyDescent="0.25">
      <c r="A4495" t="s">
        <v>4499</v>
      </c>
      <c r="B4495">
        <v>0.99999676499088797</v>
      </c>
      <c r="C4495">
        <v>1.1244255090222599</v>
      </c>
      <c r="D4495">
        <v>1.1630993335050599</v>
      </c>
      <c r="E4495">
        <v>1.2920587106641801</v>
      </c>
      <c r="F4495">
        <v>1.1647875902318101</v>
      </c>
      <c r="G4495">
        <v>0.77835629691700503</v>
      </c>
      <c r="H4495">
        <v>0.23088343527989</v>
      </c>
      <c r="I4495">
        <v>0.157419323144324</v>
      </c>
      <c r="J4495">
        <v>0.14262705335116099</v>
      </c>
      <c r="K4495">
        <v>0.118951612151561</v>
      </c>
      <c r="L4495">
        <v>3079.0547418339402</v>
      </c>
      <c r="M4495">
        <v>53.057427110144701</v>
      </c>
      <c r="N4495">
        <v>58.400844123708502</v>
      </c>
      <c r="O4495">
        <v>57.950229210582897</v>
      </c>
      <c r="P4495">
        <v>-0.19634292309526</v>
      </c>
      <c r="Q4495">
        <v>0.14220419864926101</v>
      </c>
      <c r="R4495">
        <v>0.92868298046613695</v>
      </c>
      <c r="S4495" t="s">
        <v>11498</v>
      </c>
      <c r="T4495" t="s">
        <v>14004</v>
      </c>
      <c r="U4495" t="s">
        <v>14004</v>
      </c>
      <c r="V4495" t="s">
        <v>14004</v>
      </c>
      <c r="W4495" t="s">
        <v>18444</v>
      </c>
      <c r="X4495">
        <v>3</v>
      </c>
      <c r="Y4495" t="s">
        <v>25255</v>
      </c>
      <c r="Z4495" t="s">
        <v>32205</v>
      </c>
      <c r="AA4495">
        <v>0.65975407224860438</v>
      </c>
      <c r="AB4495" t="str">
        <f>HYPERLINK("Melting_Curves/meltCurve_Q86SQ9_3_DHDDS.pdf", "Melting_Curves/meltCurve_Q86SQ9_3_DHDDS.pdf")</f>
        <v>Melting_Curves/meltCurve_Q86SQ9_3_DHDDS.pdf</v>
      </c>
    </row>
    <row r="4496" spans="1:28" x14ac:dyDescent="0.25">
      <c r="A4496" t="s">
        <v>4500</v>
      </c>
      <c r="B4496">
        <v>0.99999676499088797</v>
      </c>
      <c r="C4496">
        <v>0.93950937698765802</v>
      </c>
      <c r="D4496">
        <v>0.96646435399689301</v>
      </c>
      <c r="E4496">
        <v>0.96144293759088895</v>
      </c>
      <c r="F4496">
        <v>0.71894447479826096</v>
      </c>
      <c r="G4496">
        <v>0.39337701059590102</v>
      </c>
      <c r="H4496">
        <v>0.146555351348966</v>
      </c>
      <c r="I4496">
        <v>8.3279538920945001E-2</v>
      </c>
      <c r="J4496">
        <v>5.7288244160001299E-2</v>
      </c>
      <c r="K4496">
        <v>7.1054053051024704E-2</v>
      </c>
      <c r="L4496">
        <v>1296.9465339132701</v>
      </c>
      <c r="M4496">
        <v>23.449405521942801</v>
      </c>
      <c r="N4496">
        <v>55.559670407857901</v>
      </c>
      <c r="O4496">
        <v>54.910778439896298</v>
      </c>
      <c r="P4496">
        <v>-0.101389245362441</v>
      </c>
      <c r="Q4496">
        <v>5.0335880234589798E-2</v>
      </c>
      <c r="R4496">
        <v>0.99675556518228203</v>
      </c>
      <c r="S4496" t="s">
        <v>11499</v>
      </c>
      <c r="T4496" t="s">
        <v>14004</v>
      </c>
      <c r="U4496" t="s">
        <v>14004</v>
      </c>
      <c r="V4496" t="s">
        <v>14004</v>
      </c>
      <c r="W4496" t="s">
        <v>18445</v>
      </c>
      <c r="X4496">
        <v>6</v>
      </c>
      <c r="Y4496" t="s">
        <v>25256</v>
      </c>
      <c r="Z4496" t="s">
        <v>32206</v>
      </c>
      <c r="AA4496">
        <v>0.54470452612697229</v>
      </c>
      <c r="AB4496" t="str">
        <f>HYPERLINK("Melting_Curves/meltCurve_Q86SX6_GLRX5.pdf", "Melting_Curves/meltCurve_Q86SX6_GLRX5.pdf")</f>
        <v>Melting_Curves/meltCurve_Q86SX6_GLRX5.pdf</v>
      </c>
    </row>
    <row r="4497" spans="1:28" x14ac:dyDescent="0.25">
      <c r="A4497" t="s">
        <v>4501</v>
      </c>
      <c r="B4497">
        <v>0.99999676499088797</v>
      </c>
      <c r="C4497">
        <v>1.0153260189080999</v>
      </c>
      <c r="D4497">
        <v>1.02026035529781</v>
      </c>
      <c r="E4497">
        <v>0.99086833148821596</v>
      </c>
      <c r="F4497">
        <v>1.0934982046733699</v>
      </c>
      <c r="G4497">
        <v>0.46463051238867198</v>
      </c>
      <c r="H4497">
        <v>9.5779931503728197E-2</v>
      </c>
      <c r="I4497">
        <v>6.8473429570694994E-2</v>
      </c>
      <c r="J4497">
        <v>6.7763706735161702E-2</v>
      </c>
      <c r="K4497">
        <v>4.9550987818706302E-2</v>
      </c>
      <c r="L4497">
        <v>14182.6191480657</v>
      </c>
      <c r="M4497">
        <v>250</v>
      </c>
      <c r="N4497">
        <v>56.764930038766998</v>
      </c>
      <c r="O4497">
        <v>56.726846248766201</v>
      </c>
      <c r="P4497">
        <v>-1.0242152349451401</v>
      </c>
      <c r="Q4497">
        <v>7.0391999059025795E-2</v>
      </c>
      <c r="R4497">
        <v>0.994836085250145</v>
      </c>
      <c r="S4497" t="s">
        <v>11500</v>
      </c>
      <c r="T4497" t="s">
        <v>14004</v>
      </c>
      <c r="U4497" t="s">
        <v>14004</v>
      </c>
      <c r="V4497" t="s">
        <v>14004</v>
      </c>
      <c r="W4497" t="s">
        <v>18446</v>
      </c>
      <c r="X4497">
        <v>6</v>
      </c>
      <c r="Y4497" t="s">
        <v>25257</v>
      </c>
      <c r="Z4497" t="s">
        <v>32207</v>
      </c>
      <c r="AA4497">
        <v>0.58891071518152649</v>
      </c>
      <c r="AB4497" t="str">
        <f>HYPERLINK("Melting_Curves/meltCurve_Q86SZ2_TRAPPC6B.pdf", "Melting_Curves/meltCurve_Q86SZ2_TRAPPC6B.pdf")</f>
        <v>Melting_Curves/meltCurve_Q86SZ2_TRAPPC6B.pdf</v>
      </c>
    </row>
    <row r="4498" spans="1:28" x14ac:dyDescent="0.25">
      <c r="A4498" t="s">
        <v>4502</v>
      </c>
      <c r="B4498">
        <v>0.99999676499088797</v>
      </c>
      <c r="C4498">
        <v>1.0664053658594299</v>
      </c>
      <c r="D4498">
        <v>1.1833197100383901</v>
      </c>
      <c r="E4498">
        <v>1.02500880981479</v>
      </c>
      <c r="F4498">
        <v>0.94379465649204697</v>
      </c>
      <c r="G4498">
        <v>0.72444567279246996</v>
      </c>
      <c r="H4498">
        <v>0.344237942598002</v>
      </c>
      <c r="I4498">
        <v>0.21441808265536</v>
      </c>
      <c r="J4498">
        <v>0.15528035281002001</v>
      </c>
      <c r="K4498">
        <v>0.122548065437543</v>
      </c>
      <c r="L4498">
        <v>1606.1210216859999</v>
      </c>
      <c r="M4498">
        <v>27.4916285880972</v>
      </c>
      <c r="N4498">
        <v>59.051200103238699</v>
      </c>
      <c r="O4498">
        <v>58.115694510484197</v>
      </c>
      <c r="P4498">
        <v>-0.10325242918336799</v>
      </c>
      <c r="Q4498">
        <v>0.12692977991698201</v>
      </c>
      <c r="R4498">
        <v>0.97539134777467795</v>
      </c>
      <c r="S4498" t="s">
        <v>11501</v>
      </c>
      <c r="T4498" t="s">
        <v>14004</v>
      </c>
      <c r="U4498" t="s">
        <v>14004</v>
      </c>
      <c r="V4498" t="s">
        <v>14004</v>
      </c>
      <c r="W4498" t="s">
        <v>18447</v>
      </c>
      <c r="X4498">
        <v>4</v>
      </c>
      <c r="Y4498" t="s">
        <v>25258</v>
      </c>
      <c r="Z4498" t="s">
        <v>32208</v>
      </c>
      <c r="AA4498">
        <v>0.6695698321190805</v>
      </c>
      <c r="AB4498" t="str">
        <f>HYPERLINK("Melting_Curves/meltCurve_Q86T03_TMEM55B.pdf", "Melting_Curves/meltCurve_Q86T03_TMEM55B.pdf")</f>
        <v>Melting_Curves/meltCurve_Q86T03_TMEM55B.pdf</v>
      </c>
    </row>
    <row r="4499" spans="1:28" x14ac:dyDescent="0.25">
      <c r="A4499" t="s">
        <v>4503</v>
      </c>
      <c r="B4499">
        <v>0.99999676499088797</v>
      </c>
      <c r="C4499">
        <v>0.89956841083718198</v>
      </c>
      <c r="D4499">
        <v>0.99918133400154396</v>
      </c>
      <c r="E4499">
        <v>1.10006545097845</v>
      </c>
      <c r="F4499">
        <v>0.92537355179718295</v>
      </c>
      <c r="G4499">
        <v>0.79052521553076904</v>
      </c>
      <c r="H4499">
        <v>0.744825500686778</v>
      </c>
      <c r="I4499">
        <v>1.7155213755252501</v>
      </c>
      <c r="J4499">
        <v>1.87341435481862</v>
      </c>
      <c r="K4499">
        <v>1.9584868278043099</v>
      </c>
      <c r="L4499">
        <v>5853.8247991827302</v>
      </c>
      <c r="M4499">
        <v>93.795079484172703</v>
      </c>
      <c r="O4499">
        <v>62.382432736599696</v>
      </c>
      <c r="P4499">
        <v>0.187943708418852</v>
      </c>
      <c r="Q4499">
        <v>1.5</v>
      </c>
      <c r="R4499">
        <v>0.70212229225765199</v>
      </c>
      <c r="S4499" t="s">
        <v>11502</v>
      </c>
      <c r="T4499" t="s">
        <v>14004</v>
      </c>
      <c r="U4499" t="s">
        <v>14004</v>
      </c>
      <c r="V4499" t="s">
        <v>14004</v>
      </c>
      <c r="W4499" t="s">
        <v>18448</v>
      </c>
      <c r="X4499">
        <v>1</v>
      </c>
      <c r="Y4499" t="s">
        <v>25259</v>
      </c>
      <c r="Z4499" t="s">
        <v>32209</v>
      </c>
      <c r="AA4499">
        <v>1.1260978260273871</v>
      </c>
      <c r="AB4499" t="str">
        <f>HYPERLINK("Melting_Curves/meltCurve_Q86T13_CLEC14A.pdf", "Melting_Curves/meltCurve_Q86T13_CLEC14A.pdf")</f>
        <v>Melting_Curves/meltCurve_Q86T13_CLEC14A.pdf</v>
      </c>
    </row>
    <row r="4500" spans="1:28" x14ac:dyDescent="0.25">
      <c r="A4500" t="s">
        <v>4504</v>
      </c>
      <c r="B4500">
        <v>0.99999676499088797</v>
      </c>
      <c r="C4500">
        <v>0.90415257228649903</v>
      </c>
      <c r="D4500">
        <v>0.59963103236285598</v>
      </c>
      <c r="E4500">
        <v>0.248069398889633</v>
      </c>
      <c r="F4500">
        <v>0.14521245745890801</v>
      </c>
      <c r="G4500">
        <v>9.3812422857464203E-2</v>
      </c>
      <c r="H4500">
        <v>5.5277166985856503E-2</v>
      </c>
      <c r="I4500">
        <v>5.0090887187230398E-2</v>
      </c>
      <c r="J4500">
        <v>4.7595923733467202E-2</v>
      </c>
      <c r="K4500">
        <v>3.8482037254072801E-2</v>
      </c>
      <c r="L4500">
        <v>1052.74088776755</v>
      </c>
      <c r="M4500">
        <v>22.531039464115501</v>
      </c>
      <c r="N4500">
        <v>46.971571665093798</v>
      </c>
      <c r="O4500">
        <v>46.360637876408397</v>
      </c>
      <c r="P4500">
        <v>-0.114699486168543</v>
      </c>
      <c r="Q4500">
        <v>5.5981012689711902E-2</v>
      </c>
      <c r="R4500">
        <v>0.99773018862917195</v>
      </c>
      <c r="S4500" t="s">
        <v>11503</v>
      </c>
      <c r="T4500" t="s">
        <v>14004</v>
      </c>
      <c r="U4500" t="s">
        <v>14004</v>
      </c>
      <c r="V4500" t="s">
        <v>14004</v>
      </c>
      <c r="W4500" t="s">
        <v>18449</v>
      </c>
      <c r="X4500">
        <v>6</v>
      </c>
      <c r="Y4500" t="s">
        <v>25260</v>
      </c>
      <c r="Z4500" t="s">
        <v>32210</v>
      </c>
      <c r="AA4500">
        <v>0.27827577735288139</v>
      </c>
      <c r="AB4500" t="str">
        <f>HYPERLINK("Melting_Curves/meltCurve_Q86TB9_4_PATL1.pdf", "Melting_Curves/meltCurve_Q86TB9_4_PATL1.pdf")</f>
        <v>Melting_Curves/meltCurve_Q86TB9_4_PATL1.pdf</v>
      </c>
    </row>
    <row r="4501" spans="1:28" x14ac:dyDescent="0.25">
      <c r="A4501" t="s">
        <v>4505</v>
      </c>
      <c r="B4501">
        <v>0.99999676499088797</v>
      </c>
      <c r="C4501">
        <v>1.0621818947805901</v>
      </c>
      <c r="D4501">
        <v>0.93979974199903504</v>
      </c>
      <c r="E4501">
        <v>0.558990628051514</v>
      </c>
      <c r="F4501">
        <v>0.317200113825712</v>
      </c>
      <c r="G4501">
        <v>0.225610118800603</v>
      </c>
      <c r="H4501">
        <v>0.12908012329692201</v>
      </c>
      <c r="I4501">
        <v>0.10259162025778799</v>
      </c>
      <c r="J4501">
        <v>8.0422210861374396E-2</v>
      </c>
      <c r="K4501">
        <v>5.0717042621485603E-2</v>
      </c>
      <c r="L4501">
        <v>1083.7443225233101</v>
      </c>
      <c r="M4501">
        <v>21.553247708228898</v>
      </c>
      <c r="N4501">
        <v>50.771959220585202</v>
      </c>
      <c r="O4501">
        <v>49.855333081235699</v>
      </c>
      <c r="P4501">
        <v>-9.7936831434557906E-2</v>
      </c>
      <c r="Q4501">
        <v>9.3861817830920194E-2</v>
      </c>
      <c r="R4501">
        <v>0.98768799063857005</v>
      </c>
      <c r="S4501" t="s">
        <v>11504</v>
      </c>
      <c r="T4501" t="s">
        <v>14004</v>
      </c>
      <c r="U4501" t="s">
        <v>14004</v>
      </c>
      <c r="V4501" t="s">
        <v>14004</v>
      </c>
      <c r="W4501" t="s">
        <v>18450</v>
      </c>
      <c r="X4501">
        <v>7</v>
      </c>
      <c r="Y4501" t="s">
        <v>25261</v>
      </c>
      <c r="Z4501" t="s">
        <v>32211</v>
      </c>
      <c r="AA4501">
        <v>0.41532794666622741</v>
      </c>
      <c r="AB4501" t="str">
        <f>HYPERLINK("Melting_Curves/meltCurve_Q86TI0_2_TBC1D1.pdf", "Melting_Curves/meltCurve_Q86TI0_2_TBC1D1.pdf")</f>
        <v>Melting_Curves/meltCurve_Q86TI0_2_TBC1D1.pdf</v>
      </c>
    </row>
    <row r="4502" spans="1:28" x14ac:dyDescent="0.25">
      <c r="A4502" t="s">
        <v>4506</v>
      </c>
      <c r="B4502">
        <v>0.99999676499088797</v>
      </c>
      <c r="C4502">
        <v>0.956409398339925</v>
      </c>
      <c r="D4502">
        <v>0.918473755805022</v>
      </c>
      <c r="E4502">
        <v>1.02221255740145</v>
      </c>
      <c r="F4502">
        <v>0.47715562632030001</v>
      </c>
      <c r="G4502">
        <v>0.22165563625846199</v>
      </c>
      <c r="H4502">
        <v>9.3570097599667598E-2</v>
      </c>
      <c r="I4502">
        <v>7.9300700327169696E-2</v>
      </c>
      <c r="J4502">
        <v>7.0345521680213893E-2</v>
      </c>
      <c r="K4502">
        <v>6.5371608175808102E-2</v>
      </c>
      <c r="L4502">
        <v>2146.3658504536702</v>
      </c>
      <c r="M4502">
        <v>40.495240204182899</v>
      </c>
      <c r="N4502">
        <v>53.263088208058001</v>
      </c>
      <c r="O4502">
        <v>52.874153508639203</v>
      </c>
      <c r="P4502">
        <v>-0.17428863712526499</v>
      </c>
      <c r="Q4502">
        <v>8.9735385032804593E-2</v>
      </c>
      <c r="R4502">
        <v>0.98717357925619997</v>
      </c>
      <c r="S4502" t="s">
        <v>11505</v>
      </c>
      <c r="T4502" t="s">
        <v>14004</v>
      </c>
      <c r="U4502" t="s">
        <v>14004</v>
      </c>
      <c r="V4502" t="s">
        <v>14004</v>
      </c>
      <c r="W4502" t="s">
        <v>18451</v>
      </c>
      <c r="X4502">
        <v>15</v>
      </c>
      <c r="Y4502" t="s">
        <v>25262</v>
      </c>
      <c r="Z4502" t="s">
        <v>32212</v>
      </c>
      <c r="AA4502">
        <v>0.48752205519482877</v>
      </c>
      <c r="AB4502" t="str">
        <f>HYPERLINK("Melting_Curves/meltCurve_Q86TI2_2_DPP9.pdf", "Melting_Curves/meltCurve_Q86TI2_2_DPP9.pdf")</f>
        <v>Melting_Curves/meltCurve_Q86TI2_2_DPP9.pdf</v>
      </c>
    </row>
    <row r="4503" spans="1:28" x14ac:dyDescent="0.25">
      <c r="A4503" t="s">
        <v>4507</v>
      </c>
      <c r="B4503">
        <v>0.99999676499088797</v>
      </c>
      <c r="C4503">
        <v>0.92884082574412996</v>
      </c>
      <c r="D4503">
        <v>0.98176914662425097</v>
      </c>
      <c r="E4503">
        <v>0.85940293109010701</v>
      </c>
      <c r="F4503">
        <v>0.62689243564064101</v>
      </c>
      <c r="G4503">
        <v>0.44563483733292197</v>
      </c>
      <c r="H4503">
        <v>0.26701436744798202</v>
      </c>
      <c r="I4503">
        <v>0.18795258720390601</v>
      </c>
      <c r="J4503">
        <v>0.13643499127223399</v>
      </c>
      <c r="K4503">
        <v>0.133707373510912</v>
      </c>
      <c r="L4503">
        <v>820.70616500348297</v>
      </c>
      <c r="M4503">
        <v>14.9587400189546</v>
      </c>
      <c r="N4503">
        <v>55.624644342028397</v>
      </c>
      <c r="O4503">
        <v>53.9121511771515</v>
      </c>
      <c r="P4503">
        <v>-6.2961706334529299E-2</v>
      </c>
      <c r="Q4503">
        <v>9.2422375034834497E-2</v>
      </c>
      <c r="R4503">
        <v>0.99559038030720803</v>
      </c>
      <c r="S4503" t="s">
        <v>11506</v>
      </c>
      <c r="T4503" t="s">
        <v>14004</v>
      </c>
      <c r="U4503" t="s">
        <v>14004</v>
      </c>
      <c r="V4503" t="s">
        <v>14004</v>
      </c>
      <c r="W4503" t="s">
        <v>18452</v>
      </c>
      <c r="X4503">
        <v>3</v>
      </c>
      <c r="Y4503" t="s">
        <v>25263</v>
      </c>
      <c r="Z4503" t="s">
        <v>32213</v>
      </c>
      <c r="AA4503">
        <v>0.55983660658988776</v>
      </c>
      <c r="AB4503" t="str">
        <f>HYPERLINK("Melting_Curves/meltCurve_Q86TM6_2_SYVN1.pdf", "Melting_Curves/meltCurve_Q86TM6_2_SYVN1.pdf")</f>
        <v>Melting_Curves/meltCurve_Q86TM6_2_SYVN1.pdf</v>
      </c>
    </row>
    <row r="4504" spans="1:28" x14ac:dyDescent="0.25">
      <c r="A4504" t="s">
        <v>4508</v>
      </c>
      <c r="B4504">
        <v>0.99999676499088797</v>
      </c>
      <c r="C4504">
        <v>0.98556710330235797</v>
      </c>
      <c r="D4504">
        <v>0.89368138614522497</v>
      </c>
      <c r="E4504">
        <v>0.67712645297324303</v>
      </c>
      <c r="F4504">
        <v>0.35276712743035898</v>
      </c>
      <c r="G4504">
        <v>0.15893046395450999</v>
      </c>
      <c r="H4504">
        <v>7.8612211991695893E-2</v>
      </c>
      <c r="I4504">
        <v>7.1255880800700402E-2</v>
      </c>
      <c r="J4504">
        <v>5.1161617273777299E-2</v>
      </c>
      <c r="K4504">
        <v>6.6159620869606001E-2</v>
      </c>
      <c r="L4504">
        <v>1024.56929241891</v>
      </c>
      <c r="M4504">
        <v>20.025561086994301</v>
      </c>
      <c r="N4504">
        <v>51.430708348639499</v>
      </c>
      <c r="O4504">
        <v>50.661073436669902</v>
      </c>
      <c r="P4504">
        <v>-9.3934567471576996E-2</v>
      </c>
      <c r="Q4504">
        <v>4.94804160588821E-2</v>
      </c>
      <c r="R4504">
        <v>0.99956385696046202</v>
      </c>
      <c r="S4504" t="s">
        <v>11507</v>
      </c>
      <c r="T4504" t="s">
        <v>14004</v>
      </c>
      <c r="U4504" t="s">
        <v>14004</v>
      </c>
      <c r="V4504" t="s">
        <v>14004</v>
      </c>
      <c r="W4504" t="s">
        <v>18453</v>
      </c>
      <c r="X4504">
        <v>6</v>
      </c>
      <c r="Y4504" t="s">
        <v>25264</v>
      </c>
      <c r="Z4504" t="s">
        <v>32214</v>
      </c>
      <c r="AA4504">
        <v>0.41632917178932582</v>
      </c>
      <c r="AB4504" t="str">
        <f>HYPERLINK("Melting_Curves/meltCurve_Q86TN4_TRPT1.pdf", "Melting_Curves/meltCurve_Q86TN4_TRPT1.pdf")</f>
        <v>Melting_Curves/meltCurve_Q86TN4_TRPT1.pdf</v>
      </c>
    </row>
    <row r="4505" spans="1:28" x14ac:dyDescent="0.25">
      <c r="A4505" t="s">
        <v>4509</v>
      </c>
      <c r="B4505">
        <v>0.99999676499088797</v>
      </c>
      <c r="C4505">
        <v>1.0372787311427301</v>
      </c>
      <c r="D4505">
        <v>1.01792858496464</v>
      </c>
      <c r="E4505">
        <v>0.60294575304434295</v>
      </c>
      <c r="F4505">
        <v>0.26999800277895197</v>
      </c>
      <c r="G4505">
        <v>0.185385202891173</v>
      </c>
      <c r="H4505">
        <v>0.100958329794055</v>
      </c>
      <c r="I4505">
        <v>0.10746276269258501</v>
      </c>
      <c r="J4505">
        <v>0.11695049071708601</v>
      </c>
      <c r="K4505">
        <v>7.9939666619713398E-2</v>
      </c>
      <c r="L4505">
        <v>1530.9501351245401</v>
      </c>
      <c r="M4505">
        <v>30.5023196861457</v>
      </c>
      <c r="N4505">
        <v>50.619083642011503</v>
      </c>
      <c r="O4505">
        <v>49.977014396213796</v>
      </c>
      <c r="P4505">
        <v>-0.13524574989895199</v>
      </c>
      <c r="Q4505">
        <v>0.113623095045609</v>
      </c>
      <c r="R4505">
        <v>0.99243306297880896</v>
      </c>
      <c r="S4505" t="s">
        <v>11508</v>
      </c>
      <c r="T4505" t="s">
        <v>14004</v>
      </c>
      <c r="U4505" t="s">
        <v>14004</v>
      </c>
      <c r="V4505" t="s">
        <v>14004</v>
      </c>
      <c r="W4505" t="s">
        <v>18454</v>
      </c>
      <c r="X4505">
        <v>7</v>
      </c>
      <c r="Y4505" t="s">
        <v>25265</v>
      </c>
      <c r="Z4505" t="s">
        <v>32215</v>
      </c>
      <c r="AA4505">
        <v>0.42005136087314748</v>
      </c>
      <c r="AB4505" t="str">
        <f>HYPERLINK("Melting_Curves/meltCurve_Q86TP1_PRUNE.pdf", "Melting_Curves/meltCurve_Q86TP1_PRUNE.pdf")</f>
        <v>Melting_Curves/meltCurve_Q86TP1_PRUNE.pdf</v>
      </c>
    </row>
    <row r="4506" spans="1:28" x14ac:dyDescent="0.25">
      <c r="A4506" t="s">
        <v>4510</v>
      </c>
      <c r="B4506">
        <v>0.99999676499088797</v>
      </c>
      <c r="C4506">
        <v>1.00397019500193</v>
      </c>
      <c r="D4506">
        <v>1.03130458130158</v>
      </c>
      <c r="E4506">
        <v>1.1491262721975299</v>
      </c>
      <c r="F4506">
        <v>0.70542024191701003</v>
      </c>
      <c r="G4506">
        <v>0.23907942126654799</v>
      </c>
      <c r="H4506">
        <v>8.5092520779610395E-2</v>
      </c>
      <c r="I4506">
        <v>7.2838844592549204E-2</v>
      </c>
      <c r="J4506">
        <v>6.7610920172023595E-2</v>
      </c>
      <c r="K4506">
        <v>5.5904038834910401E-2</v>
      </c>
      <c r="L4506">
        <v>2225.4868287365798</v>
      </c>
      <c r="M4506">
        <v>40.899338721635999</v>
      </c>
      <c r="N4506">
        <v>54.617683455118403</v>
      </c>
      <c r="O4506">
        <v>54.2841775573673</v>
      </c>
      <c r="P4506">
        <v>-0.17502060674060399</v>
      </c>
      <c r="Q4506">
        <v>7.0808597055093694E-2</v>
      </c>
      <c r="R4506">
        <v>0.98494503129001798</v>
      </c>
      <c r="S4506" t="s">
        <v>11509</v>
      </c>
      <c r="T4506" t="s">
        <v>14004</v>
      </c>
      <c r="U4506" t="s">
        <v>14004</v>
      </c>
      <c r="V4506" t="s">
        <v>14004</v>
      </c>
      <c r="W4506" t="s">
        <v>18455</v>
      </c>
      <c r="X4506">
        <v>30</v>
      </c>
      <c r="Y4506" t="s">
        <v>25266</v>
      </c>
      <c r="Z4506" t="s">
        <v>32216</v>
      </c>
      <c r="AA4506">
        <v>0.52058116362458551</v>
      </c>
      <c r="AB4506" t="str">
        <f>HYPERLINK("Melting_Curves/meltCurve_Q86TU7_SETD3.pdf", "Melting_Curves/meltCurve_Q86TU7_SETD3.pdf")</f>
        <v>Melting_Curves/meltCurve_Q86TU7_SETD3.pdf</v>
      </c>
    </row>
    <row r="4507" spans="1:28" x14ac:dyDescent="0.25">
      <c r="A4507" t="s">
        <v>4511</v>
      </c>
      <c r="B4507">
        <v>0.99999676499088797</v>
      </c>
      <c r="C4507">
        <v>0.91809464429634502</v>
      </c>
      <c r="D4507">
        <v>0.81103373672495704</v>
      </c>
      <c r="E4507">
        <v>0.67262401576742703</v>
      </c>
      <c r="F4507">
        <v>0.429979194811206</v>
      </c>
      <c r="G4507">
        <v>0.30281825044447402</v>
      </c>
      <c r="H4507">
        <v>0.144612902324219</v>
      </c>
      <c r="I4507">
        <v>0.15057316736825099</v>
      </c>
      <c r="J4507">
        <v>0.163918557562306</v>
      </c>
      <c r="K4507">
        <v>0.15303814736761401</v>
      </c>
      <c r="L4507">
        <v>700.91487044922701</v>
      </c>
      <c r="M4507">
        <v>13.7355927074577</v>
      </c>
      <c r="N4507">
        <v>51.971262621133803</v>
      </c>
      <c r="O4507">
        <v>49.983944672890999</v>
      </c>
      <c r="P4507">
        <v>-6.1137118876758399E-2</v>
      </c>
      <c r="Q4507">
        <v>0.110212779025838</v>
      </c>
      <c r="R4507">
        <v>0.99373321393495395</v>
      </c>
      <c r="S4507" t="s">
        <v>11510</v>
      </c>
      <c r="T4507" t="s">
        <v>14004</v>
      </c>
      <c r="U4507" t="s">
        <v>14004</v>
      </c>
      <c r="V4507" t="s">
        <v>14004</v>
      </c>
      <c r="W4507" t="s">
        <v>18456</v>
      </c>
      <c r="X4507">
        <v>5</v>
      </c>
      <c r="Y4507" t="s">
        <v>25267</v>
      </c>
      <c r="Z4507" t="s">
        <v>32217</v>
      </c>
      <c r="AA4507">
        <v>0.46099582284452839</v>
      </c>
      <c r="AB4507" t="str">
        <f>HYPERLINK("Melting_Curves/meltCurve_Q86TV2_LGMN.pdf", "Melting_Curves/meltCurve_Q86TV2_LGMN.pdf")</f>
        <v>Melting_Curves/meltCurve_Q86TV2_LGMN.pdf</v>
      </c>
    </row>
    <row r="4508" spans="1:28" x14ac:dyDescent="0.25">
      <c r="A4508" t="s">
        <v>4512</v>
      </c>
      <c r="B4508">
        <v>0.99999676499088797</v>
      </c>
      <c r="C4508">
        <v>0.81503092147851097</v>
      </c>
      <c r="D4508">
        <v>0.44930438360389802</v>
      </c>
      <c r="E4508">
        <v>0.32155487492046902</v>
      </c>
      <c r="F4508">
        <v>0.22973917782356401</v>
      </c>
      <c r="G4508">
        <v>0.16135608544810101</v>
      </c>
      <c r="H4508">
        <v>6.73237764388009E-2</v>
      </c>
      <c r="I4508">
        <v>8.3227762060497104E-2</v>
      </c>
      <c r="J4508">
        <v>6.5943962461692304E-2</v>
      </c>
      <c r="K4508">
        <v>5.3524743732157203E-2</v>
      </c>
      <c r="L4508">
        <v>758.10935143171901</v>
      </c>
      <c r="M4508">
        <v>16.4921372458472</v>
      </c>
      <c r="N4508">
        <v>46.465750119951799</v>
      </c>
      <c r="O4508">
        <v>45.3080197132061</v>
      </c>
      <c r="P4508">
        <v>-8.3636593437882101E-2</v>
      </c>
      <c r="Q4508">
        <v>8.0981554402614994E-2</v>
      </c>
      <c r="R4508">
        <v>0.977667215750191</v>
      </c>
      <c r="S4508" t="s">
        <v>11511</v>
      </c>
      <c r="T4508" t="s">
        <v>14004</v>
      </c>
      <c r="U4508" t="s">
        <v>14004</v>
      </c>
      <c r="V4508" t="s">
        <v>14004</v>
      </c>
      <c r="W4508" t="s">
        <v>18457</v>
      </c>
      <c r="X4508">
        <v>4</v>
      </c>
      <c r="Y4508" t="s">
        <v>25268</v>
      </c>
      <c r="Z4508" t="s">
        <v>32218</v>
      </c>
      <c r="AA4508">
        <v>0.28575913970239858</v>
      </c>
      <c r="AB4508" t="str">
        <f>HYPERLINK("Melting_Curves/meltCurve_Q86U06_4_RBM23.pdf", "Melting_Curves/meltCurve_Q86U06_4_RBM23.pdf")</f>
        <v>Melting_Curves/meltCurve_Q86U06_4_RBM23.pdf</v>
      </c>
    </row>
    <row r="4509" spans="1:28" x14ac:dyDescent="0.25">
      <c r="A4509" t="s">
        <v>4513</v>
      </c>
      <c r="B4509">
        <v>0.99999676499088797</v>
      </c>
      <c r="C4509">
        <v>1.03322828396698</v>
      </c>
      <c r="D4509">
        <v>0.92570105950692505</v>
      </c>
      <c r="E4509">
        <v>0.75173584990723497</v>
      </c>
      <c r="F4509">
        <v>0.515333983822167</v>
      </c>
      <c r="G4509">
        <v>0.26927878951916501</v>
      </c>
      <c r="H4509">
        <v>0.120208735390994</v>
      </c>
      <c r="I4509">
        <v>0.106356619239665</v>
      </c>
      <c r="J4509">
        <v>0.109026159353018</v>
      </c>
      <c r="K4509">
        <v>7.5856294706544106E-2</v>
      </c>
      <c r="L4509">
        <v>944.03857350808198</v>
      </c>
      <c r="M4509">
        <v>17.9126722387843</v>
      </c>
      <c r="N4509">
        <v>53.137462197711301</v>
      </c>
      <c r="O4509">
        <v>52.058604223422797</v>
      </c>
      <c r="P4509">
        <v>-8.0156933040035599E-2</v>
      </c>
      <c r="Q4509">
        <v>6.8224337875473495E-2</v>
      </c>
      <c r="R4509">
        <v>0.99698420324658299</v>
      </c>
      <c r="S4509" t="s">
        <v>11512</v>
      </c>
      <c r="T4509" t="s">
        <v>14004</v>
      </c>
      <c r="U4509" t="s">
        <v>14004</v>
      </c>
      <c r="V4509" t="s">
        <v>14004</v>
      </c>
      <c r="W4509" t="s">
        <v>18458</v>
      </c>
      <c r="X4509">
        <v>10</v>
      </c>
      <c r="Y4509" t="s">
        <v>25269</v>
      </c>
      <c r="Z4509" t="s">
        <v>32219</v>
      </c>
      <c r="AA4509">
        <v>0.47820812557104342</v>
      </c>
      <c r="AB4509" t="str">
        <f>HYPERLINK("Melting_Curves/meltCurve_Q86U28_ISCA2.pdf", "Melting_Curves/meltCurve_Q86U28_ISCA2.pdf")</f>
        <v>Melting_Curves/meltCurve_Q86U28_ISCA2.pdf</v>
      </c>
    </row>
    <row r="4510" spans="1:28" x14ac:dyDescent="0.25">
      <c r="A4510" t="s">
        <v>4514</v>
      </c>
      <c r="B4510">
        <v>0.99999676499088797</v>
      </c>
      <c r="C4510">
        <v>0.94229029791575303</v>
      </c>
      <c r="D4510">
        <v>0.49573004205024801</v>
      </c>
      <c r="E4510">
        <v>0.18662934264352901</v>
      </c>
      <c r="F4510">
        <v>0.13086581886832699</v>
      </c>
      <c r="G4510">
        <v>7.47014977314574E-2</v>
      </c>
      <c r="H4510">
        <v>3.93956137087575E-2</v>
      </c>
      <c r="I4510">
        <v>5.35055406797635E-2</v>
      </c>
      <c r="J4510">
        <v>5.6331409686665099E-2</v>
      </c>
      <c r="K4510">
        <v>3.9250714750471101E-2</v>
      </c>
      <c r="L4510">
        <v>1379.42967590341</v>
      </c>
      <c r="M4510">
        <v>30.0179428597467</v>
      </c>
      <c r="N4510">
        <v>46.1673518096338</v>
      </c>
      <c r="O4510">
        <v>45.751010460564302</v>
      </c>
      <c r="P4510">
        <v>-0.153383609023937</v>
      </c>
      <c r="Q4510">
        <v>6.4904739271666595E-2</v>
      </c>
      <c r="R4510">
        <v>0.99405129150525096</v>
      </c>
      <c r="S4510" t="s">
        <v>11513</v>
      </c>
      <c r="T4510" t="s">
        <v>14004</v>
      </c>
      <c r="U4510" t="s">
        <v>14004</v>
      </c>
      <c r="V4510" t="s">
        <v>14004</v>
      </c>
      <c r="W4510" t="s">
        <v>18459</v>
      </c>
      <c r="X4510">
        <v>7</v>
      </c>
      <c r="Y4510" t="s">
        <v>25270</v>
      </c>
      <c r="Z4510" t="s">
        <v>32220</v>
      </c>
      <c r="AA4510">
        <v>0.25617350142536788</v>
      </c>
      <c r="AB4510" t="str">
        <f>HYPERLINK("Melting_Curves/meltCurve_Q86U38_NOP9.pdf", "Melting_Curves/meltCurve_Q86U38_NOP9.pdf")</f>
        <v>Melting_Curves/meltCurve_Q86U38_NOP9.pdf</v>
      </c>
    </row>
    <row r="4511" spans="1:28" x14ac:dyDescent="0.25">
      <c r="A4511" t="s">
        <v>4515</v>
      </c>
      <c r="B4511">
        <v>0.99999676499088797</v>
      </c>
      <c r="C4511">
        <v>0.961666399181201</v>
      </c>
      <c r="D4511">
        <v>0.96469120785533902</v>
      </c>
      <c r="E4511">
        <v>0.87663983983424199</v>
      </c>
      <c r="F4511">
        <v>0.33154458536677101</v>
      </c>
      <c r="G4511">
        <v>0.168835171678134</v>
      </c>
      <c r="H4511">
        <v>9.4383384664851105E-2</v>
      </c>
      <c r="I4511">
        <v>7.6865460081701295E-2</v>
      </c>
      <c r="J4511">
        <v>9.0437591298574802E-2</v>
      </c>
      <c r="K4511">
        <v>8.7737067854641596E-2</v>
      </c>
      <c r="L4511">
        <v>1963.99651559885</v>
      </c>
      <c r="M4511">
        <v>37.871160822442697</v>
      </c>
      <c r="N4511">
        <v>52.147588480000103</v>
      </c>
      <c r="O4511">
        <v>51.715983789951203</v>
      </c>
      <c r="P4511">
        <v>-0.16581707078706001</v>
      </c>
      <c r="Q4511">
        <v>9.4258467848966507E-2</v>
      </c>
      <c r="R4511">
        <v>0.99704906706584995</v>
      </c>
      <c r="S4511" t="s">
        <v>11514</v>
      </c>
      <c r="T4511" t="s">
        <v>14004</v>
      </c>
      <c r="U4511" t="s">
        <v>14004</v>
      </c>
      <c r="V4511" t="s">
        <v>14004</v>
      </c>
      <c r="W4511" t="s">
        <v>18460</v>
      </c>
      <c r="X4511">
        <v>14</v>
      </c>
      <c r="Y4511" t="s">
        <v>25271</v>
      </c>
      <c r="Z4511" t="s">
        <v>32221</v>
      </c>
      <c r="AA4511">
        <v>0.45594953981871111</v>
      </c>
      <c r="AB4511" t="str">
        <f>HYPERLINK("Melting_Curves/meltCurve_Q86U44_METTL3.pdf", "Melting_Curves/meltCurve_Q86U44_METTL3.pdf")</f>
        <v>Melting_Curves/meltCurve_Q86U44_METTL3.pdf</v>
      </c>
    </row>
    <row r="4512" spans="1:28" x14ac:dyDescent="0.25">
      <c r="A4512" t="s">
        <v>4516</v>
      </c>
      <c r="B4512">
        <v>0.99999676499088797</v>
      </c>
      <c r="C4512">
        <v>0.971349359196229</v>
      </c>
      <c r="D4512">
        <v>0.88052834479886299</v>
      </c>
      <c r="E4512">
        <v>0.61725389210956205</v>
      </c>
      <c r="F4512">
        <v>0.474908017507639</v>
      </c>
      <c r="G4512">
        <v>0.34774515981139498</v>
      </c>
      <c r="H4512">
        <v>9.9206002676175506E-2</v>
      </c>
      <c r="I4512">
        <v>9.6571145742189002E-2</v>
      </c>
      <c r="J4512">
        <v>8.5494858550198699E-2</v>
      </c>
      <c r="K4512">
        <v>8.1041412328805601E-2</v>
      </c>
      <c r="L4512">
        <v>676.84497183021995</v>
      </c>
      <c r="M4512">
        <v>12.944970973367001</v>
      </c>
      <c r="N4512">
        <v>52.504782709207902</v>
      </c>
      <c r="O4512">
        <v>51.085720029148</v>
      </c>
      <c r="P4512">
        <v>-6.1699471360124998E-2</v>
      </c>
      <c r="Q4512">
        <v>2.62176982792608E-2</v>
      </c>
      <c r="R4512">
        <v>0.98920639698101398</v>
      </c>
      <c r="S4512" t="s">
        <v>11515</v>
      </c>
      <c r="T4512" t="s">
        <v>14004</v>
      </c>
      <c r="U4512" t="s">
        <v>14004</v>
      </c>
      <c r="V4512" t="s">
        <v>14004</v>
      </c>
      <c r="W4512" t="s">
        <v>18461</v>
      </c>
      <c r="X4512">
        <v>7</v>
      </c>
      <c r="Y4512" t="s">
        <v>25272</v>
      </c>
      <c r="Z4512" t="s">
        <v>32222</v>
      </c>
      <c r="AA4512">
        <v>0.4515425305131055</v>
      </c>
      <c r="AB4512" t="str">
        <f>HYPERLINK("Melting_Curves/meltCurve_Q86U70_3_LDB1.pdf", "Melting_Curves/meltCurve_Q86U70_3_LDB1.pdf")</f>
        <v>Melting_Curves/meltCurve_Q86U70_3_LDB1.pdf</v>
      </c>
    </row>
    <row r="4513" spans="1:28" x14ac:dyDescent="0.25">
      <c r="A4513" t="s">
        <v>4517</v>
      </c>
      <c r="B4513">
        <v>0.99999676499088797</v>
      </c>
      <c r="C4513">
        <v>0.63610202483203204</v>
      </c>
      <c r="D4513">
        <v>0.34721418664756798</v>
      </c>
      <c r="E4513">
        <v>0.261573517140955</v>
      </c>
      <c r="F4513">
        <v>0.201368994204359</v>
      </c>
      <c r="G4513">
        <v>0.15018657974741501</v>
      </c>
      <c r="H4513">
        <v>7.3493110786987406E-2</v>
      </c>
      <c r="I4513">
        <v>8.9724380777445698E-2</v>
      </c>
      <c r="J4513">
        <v>8.4891524688791603E-2</v>
      </c>
      <c r="K4513">
        <v>6.6036952202265603E-2</v>
      </c>
      <c r="L4513">
        <v>894.15403421247299</v>
      </c>
      <c r="M4513">
        <v>20.2592693929032</v>
      </c>
      <c r="N4513">
        <v>44.6754844164048</v>
      </c>
      <c r="O4513">
        <v>43.712278939038598</v>
      </c>
      <c r="P4513">
        <v>-0.103288174996438</v>
      </c>
      <c r="Q4513">
        <v>0.108591378237384</v>
      </c>
      <c r="R4513">
        <v>0.96791536665187095</v>
      </c>
      <c r="S4513" t="s">
        <v>11516</v>
      </c>
      <c r="T4513" t="s">
        <v>14004</v>
      </c>
      <c r="U4513" t="s">
        <v>14004</v>
      </c>
      <c r="V4513" t="s">
        <v>14004</v>
      </c>
      <c r="W4513" t="s">
        <v>18462</v>
      </c>
      <c r="X4513">
        <v>10</v>
      </c>
      <c r="Y4513" t="s">
        <v>25273</v>
      </c>
      <c r="Z4513" t="s">
        <v>32223</v>
      </c>
      <c r="AA4513">
        <v>0.24793122523616989</v>
      </c>
      <c r="AB4513" t="str">
        <f>HYPERLINK("Melting_Curves/meltCurve_Q86U86_5_PBRM1.pdf", "Melting_Curves/meltCurve_Q86U86_5_PBRM1.pdf")</f>
        <v>Melting_Curves/meltCurve_Q86U86_5_PBRM1.pdf</v>
      </c>
    </row>
    <row r="4514" spans="1:28" x14ac:dyDescent="0.25">
      <c r="A4514" t="s">
        <v>4518</v>
      </c>
      <c r="B4514">
        <v>0.99999676499088797</v>
      </c>
      <c r="C4514">
        <v>0.91714116977748905</v>
      </c>
      <c r="D4514">
        <v>0.93928747643556298</v>
      </c>
      <c r="E4514">
        <v>0.940502044998069</v>
      </c>
      <c r="F4514">
        <v>0.60937258336100797</v>
      </c>
      <c r="G4514">
        <v>0.19669635100840499</v>
      </c>
      <c r="H4514">
        <v>7.0104563090482394E-2</v>
      </c>
      <c r="I4514">
        <v>4.5197910535054599E-2</v>
      </c>
      <c r="J4514">
        <v>3.91694264975515E-2</v>
      </c>
      <c r="K4514">
        <v>3.2796358112613902E-2</v>
      </c>
      <c r="L4514">
        <v>1634.83876294174</v>
      </c>
      <c r="M4514">
        <v>30.3542642101845</v>
      </c>
      <c r="N4514">
        <v>53.991129384492602</v>
      </c>
      <c r="O4514">
        <v>53.626480390153603</v>
      </c>
      <c r="P4514">
        <v>-0.136429163090804</v>
      </c>
      <c r="Q4514">
        <v>3.5895543951673901E-2</v>
      </c>
      <c r="R4514">
        <v>0.99424162093185298</v>
      </c>
      <c r="S4514" t="s">
        <v>11517</v>
      </c>
      <c r="T4514" t="s">
        <v>14004</v>
      </c>
      <c r="U4514" t="s">
        <v>14004</v>
      </c>
      <c r="V4514" t="s">
        <v>14004</v>
      </c>
      <c r="W4514" t="s">
        <v>18463</v>
      </c>
      <c r="X4514">
        <v>14</v>
      </c>
      <c r="Y4514" t="s">
        <v>25274</v>
      </c>
      <c r="Z4514" t="s">
        <v>32224</v>
      </c>
      <c r="AA4514">
        <v>0.48744785579930211</v>
      </c>
      <c r="AB4514" t="str">
        <f>HYPERLINK("Melting_Curves/meltCurve_Q86U90_YRDC.pdf", "Melting_Curves/meltCurve_Q86U90_YRDC.pdf")</f>
        <v>Melting_Curves/meltCurve_Q86U90_YRDC.pdf</v>
      </c>
    </row>
    <row r="4515" spans="1:28" x14ac:dyDescent="0.25">
      <c r="A4515" t="s">
        <v>4519</v>
      </c>
      <c r="B4515">
        <v>0.99999676499088797</v>
      </c>
      <c r="C4515">
        <v>0.86895464738597605</v>
      </c>
      <c r="D4515">
        <v>0.52383663141478698</v>
      </c>
      <c r="E4515">
        <v>0.321951805049565</v>
      </c>
      <c r="F4515">
        <v>0.31192884775373703</v>
      </c>
      <c r="G4515">
        <v>0.28787927197179802</v>
      </c>
      <c r="H4515">
        <v>0.11769651460910401</v>
      </c>
      <c r="I4515">
        <v>0.15320082677496899</v>
      </c>
      <c r="J4515">
        <v>0.213891169440664</v>
      </c>
      <c r="K4515">
        <v>0.118878296260249</v>
      </c>
      <c r="L4515">
        <v>927.51315950159699</v>
      </c>
      <c r="M4515">
        <v>20.254916958144499</v>
      </c>
      <c r="N4515">
        <v>46.855359629122702</v>
      </c>
      <c r="O4515">
        <v>45.352671665682401</v>
      </c>
      <c r="P4515">
        <v>-9.1082576173155599E-2</v>
      </c>
      <c r="Q4515">
        <v>0.18425558987020699</v>
      </c>
      <c r="R4515">
        <v>0.96424486907590201</v>
      </c>
      <c r="S4515" t="s">
        <v>11518</v>
      </c>
      <c r="T4515" t="s">
        <v>14004</v>
      </c>
      <c r="U4515" t="s">
        <v>14004</v>
      </c>
      <c r="V4515" t="s">
        <v>14004</v>
      </c>
      <c r="W4515" t="s">
        <v>18464</v>
      </c>
      <c r="X4515">
        <v>11</v>
      </c>
      <c r="Y4515" t="s">
        <v>25275</v>
      </c>
      <c r="Z4515" t="s">
        <v>32225</v>
      </c>
      <c r="AA4515">
        <v>0.35418755064563789</v>
      </c>
      <c r="AB4515" t="str">
        <f>HYPERLINK("Melting_Curves/meltCurve_Q86UA1_PRPF39.pdf", "Melting_Curves/meltCurve_Q86UA1_PRPF39.pdf")</f>
        <v>Melting_Curves/meltCurve_Q86UA1_PRPF39.pdf</v>
      </c>
    </row>
    <row r="4516" spans="1:28" x14ac:dyDescent="0.25">
      <c r="A4516" t="s">
        <v>4520</v>
      </c>
      <c r="B4516">
        <v>0.99999676499088797</v>
      </c>
      <c r="C4516">
        <v>0.98396815087800504</v>
      </c>
      <c r="D4516">
        <v>0.89130678634553695</v>
      </c>
      <c r="E4516">
        <v>0.47880804671146099</v>
      </c>
      <c r="F4516">
        <v>0.27728244749632502</v>
      </c>
      <c r="G4516">
        <v>0.18619900749988599</v>
      </c>
      <c r="H4516">
        <v>8.8498225231777902E-2</v>
      </c>
      <c r="I4516">
        <v>0.115338585353661</v>
      </c>
      <c r="J4516">
        <v>0.11039330471896699</v>
      </c>
      <c r="K4516">
        <v>0.10879064111070599</v>
      </c>
      <c r="L4516">
        <v>1164.00724520526</v>
      </c>
      <c r="M4516">
        <v>23.6406679538409</v>
      </c>
      <c r="N4516">
        <v>49.780430097172598</v>
      </c>
      <c r="O4516">
        <v>48.889254594333401</v>
      </c>
      <c r="P4516">
        <v>-0.107152975125943</v>
      </c>
      <c r="Q4516">
        <v>0.11363932442003399</v>
      </c>
      <c r="R4516">
        <v>0.99521145109405396</v>
      </c>
      <c r="S4516" t="s">
        <v>11519</v>
      </c>
      <c r="T4516" t="s">
        <v>14004</v>
      </c>
      <c r="U4516" t="s">
        <v>14004</v>
      </c>
      <c r="V4516" t="s">
        <v>14004</v>
      </c>
      <c r="W4516" t="s">
        <v>18465</v>
      </c>
      <c r="X4516">
        <v>1</v>
      </c>
      <c r="Y4516" t="s">
        <v>25276</v>
      </c>
      <c r="Z4516" t="s">
        <v>32226</v>
      </c>
      <c r="AA4516">
        <v>0.39538561187023508</v>
      </c>
      <c r="AB4516" t="str">
        <f>HYPERLINK("Melting_Curves/meltCurve_Q86UA6_3_RPAIN.pdf", "Melting_Curves/meltCurve_Q86UA6_3_RPAIN.pdf")</f>
        <v>Melting_Curves/meltCurve_Q86UA6_3_RPAIN.pdf</v>
      </c>
    </row>
    <row r="4517" spans="1:28" x14ac:dyDescent="0.25">
      <c r="A4517" t="s">
        <v>4521</v>
      </c>
      <c r="B4517">
        <v>0.99999676499088797</v>
      </c>
      <c r="C4517">
        <v>0.79149611613371196</v>
      </c>
      <c r="D4517">
        <v>0.39981044390520099</v>
      </c>
      <c r="E4517">
        <v>0.35052299839132001</v>
      </c>
      <c r="F4517">
        <v>8.9786518731545903E-2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765.62163712549204</v>
      </c>
      <c r="M4517">
        <v>16.6206614571852</v>
      </c>
      <c r="N4517">
        <v>46.064450503920398</v>
      </c>
      <c r="O4517">
        <v>45.413107968624701</v>
      </c>
      <c r="P4517">
        <v>-9.15032293904956E-2</v>
      </c>
      <c r="Q4517">
        <v>0</v>
      </c>
      <c r="R4517">
        <v>0.973169378909439</v>
      </c>
      <c r="S4517" t="s">
        <v>11520</v>
      </c>
      <c r="T4517" t="s">
        <v>14004</v>
      </c>
      <c r="U4517" t="s">
        <v>14004</v>
      </c>
      <c r="V4517" t="s">
        <v>14004</v>
      </c>
      <c r="W4517" t="s">
        <v>18466</v>
      </c>
      <c r="X4517">
        <v>2</v>
      </c>
      <c r="Y4517" t="s">
        <v>25277</v>
      </c>
      <c r="Z4517" t="s">
        <v>32227</v>
      </c>
      <c r="AA4517">
        <v>0.22545762211586479</v>
      </c>
      <c r="AB4517" t="str">
        <f>HYPERLINK("Melting_Curves/meltCurve_Q86UD0_SAPCD2.pdf", "Melting_Curves/meltCurve_Q86UD0_SAPCD2.pdf")</f>
        <v>Melting_Curves/meltCurve_Q86UD0_SAPCD2.pdf</v>
      </c>
    </row>
    <row r="4518" spans="1:28" x14ac:dyDescent="0.25">
      <c r="A4518" t="s">
        <v>4522</v>
      </c>
      <c r="B4518">
        <v>0.99999676499088797</v>
      </c>
      <c r="C4518">
        <v>0.97942651787823898</v>
      </c>
      <c r="D4518">
        <v>0.94806195527358295</v>
      </c>
      <c r="E4518">
        <v>1.02564979603801</v>
      </c>
      <c r="F4518">
        <v>0.93641882110047703</v>
      </c>
      <c r="G4518">
        <v>0.904196707663669</v>
      </c>
      <c r="H4518">
        <v>0.76928885338347097</v>
      </c>
      <c r="I4518">
        <v>0.74467313242189903</v>
      </c>
      <c r="J4518">
        <v>0.69769659090958303</v>
      </c>
      <c r="K4518">
        <v>0.87801655861447103</v>
      </c>
      <c r="L4518">
        <v>1862.1443137035601</v>
      </c>
      <c r="M4518">
        <v>32.861437660416399</v>
      </c>
      <c r="O4518">
        <v>56.4579383404092</v>
      </c>
      <c r="P4518">
        <v>-3.3759807378435598E-2</v>
      </c>
      <c r="Q4518">
        <v>0.76799549173597004</v>
      </c>
      <c r="R4518">
        <v>0.79117102298770203</v>
      </c>
      <c r="S4518" t="s">
        <v>11521</v>
      </c>
      <c r="T4518" t="s">
        <v>14004</v>
      </c>
      <c r="U4518" t="s">
        <v>14004</v>
      </c>
      <c r="V4518" t="s">
        <v>14004</v>
      </c>
      <c r="W4518" t="s">
        <v>18467</v>
      </c>
      <c r="X4518">
        <v>30</v>
      </c>
      <c r="Y4518" t="s">
        <v>25278</v>
      </c>
      <c r="Z4518" t="s">
        <v>32228</v>
      </c>
      <c r="AA4518">
        <v>0.89819648198885271</v>
      </c>
      <c r="AB4518" t="str">
        <f>HYPERLINK("Melting_Curves/meltCurve_Q86UE4_MTDH.pdf", "Melting_Curves/meltCurve_Q86UE4_MTDH.pdf")</f>
        <v>Melting_Curves/meltCurve_Q86UE4_MTDH.pdf</v>
      </c>
    </row>
    <row r="4519" spans="1:28" x14ac:dyDescent="0.25">
      <c r="A4519" t="s">
        <v>4523</v>
      </c>
      <c r="B4519">
        <v>0.99999676499088797</v>
      </c>
      <c r="C4519">
        <v>0.93294112001398999</v>
      </c>
      <c r="D4519">
        <v>0.92088520949300201</v>
      </c>
      <c r="E4519">
        <v>0.93034628082101001</v>
      </c>
      <c r="F4519">
        <v>0.41567397856974903</v>
      </c>
      <c r="G4519">
        <v>0.220546995069723</v>
      </c>
      <c r="H4519">
        <v>0.11099367446592399</v>
      </c>
      <c r="I4519">
        <v>0.111339273965438</v>
      </c>
      <c r="J4519">
        <v>9.6773072550620495E-2</v>
      </c>
      <c r="K4519">
        <v>0.105527003284848</v>
      </c>
      <c r="L4519">
        <v>1859.66610591372</v>
      </c>
      <c r="M4519">
        <v>35.486272876143502</v>
      </c>
      <c r="N4519">
        <v>52.788008172967899</v>
      </c>
      <c r="O4519">
        <v>52.239655768075004</v>
      </c>
      <c r="P4519">
        <v>-0.150559953023603</v>
      </c>
      <c r="Q4519">
        <v>0.113440693473241</v>
      </c>
      <c r="R4519">
        <v>0.99000956201463597</v>
      </c>
      <c r="S4519" t="s">
        <v>11522</v>
      </c>
      <c r="T4519" t="s">
        <v>14004</v>
      </c>
      <c r="U4519" t="s">
        <v>14004</v>
      </c>
      <c r="V4519" t="s">
        <v>14004</v>
      </c>
      <c r="W4519" t="s">
        <v>18468</v>
      </c>
      <c r="X4519">
        <v>17</v>
      </c>
      <c r="Y4519" t="s">
        <v>25279</v>
      </c>
      <c r="Z4519" t="s">
        <v>32229</v>
      </c>
      <c r="AA4519">
        <v>0.48412019456700578</v>
      </c>
      <c r="AB4519" t="str">
        <f>HYPERLINK("Melting_Curves/meltCurve_Q86UE8_2_TLK2.pdf", "Melting_Curves/meltCurve_Q86UE8_2_TLK2.pdf")</f>
        <v>Melting_Curves/meltCurve_Q86UE8_2_TLK2.pdf</v>
      </c>
    </row>
    <row r="4520" spans="1:28" x14ac:dyDescent="0.25">
      <c r="A4520" t="s">
        <v>4524</v>
      </c>
      <c r="B4520">
        <v>0.99999676499088797</v>
      </c>
      <c r="C4520">
        <v>0.937519673721109</v>
      </c>
      <c r="D4520">
        <v>0.93086422777725097</v>
      </c>
      <c r="E4520">
        <v>1.2350349606855</v>
      </c>
      <c r="F4520">
        <v>0.98213665171595899</v>
      </c>
      <c r="G4520">
        <v>0.92450339509774804</v>
      </c>
      <c r="H4520">
        <v>0.82578122960086198</v>
      </c>
      <c r="I4520">
        <v>0.49823808327064001</v>
      </c>
      <c r="J4520">
        <v>0.40534360884099802</v>
      </c>
      <c r="K4520">
        <v>0.57918901651279897</v>
      </c>
      <c r="L4520">
        <v>5718.7509070136603</v>
      </c>
      <c r="M4520">
        <v>93.410442867880704</v>
      </c>
      <c r="N4520">
        <v>64.003432310007099</v>
      </c>
      <c r="O4520">
        <v>61.1937084234483</v>
      </c>
      <c r="P4520">
        <v>-0.194101026233854</v>
      </c>
      <c r="Q4520">
        <v>0.491373334307802</v>
      </c>
      <c r="R4520">
        <v>0.85829456180775798</v>
      </c>
      <c r="S4520" t="s">
        <v>11523</v>
      </c>
      <c r="T4520" t="s">
        <v>14004</v>
      </c>
      <c r="U4520" t="s">
        <v>14004</v>
      </c>
      <c r="V4520" t="s">
        <v>14004</v>
      </c>
      <c r="W4520" t="s">
        <v>18469</v>
      </c>
      <c r="X4520">
        <v>1</v>
      </c>
      <c r="Y4520" t="s">
        <v>25280</v>
      </c>
      <c r="Z4520" t="s">
        <v>32230</v>
      </c>
      <c r="AA4520">
        <v>0.8515634774657046</v>
      </c>
      <c r="AB4520" t="str">
        <f>HYPERLINK("Melting_Curves/meltCurve_Q86UF1_TSPAN33.pdf", "Melting_Curves/meltCurve_Q86UF1_TSPAN33.pdf")</f>
        <v>Melting_Curves/meltCurve_Q86UF1_TSPAN33.pdf</v>
      </c>
    </row>
    <row r="4521" spans="1:28" x14ac:dyDescent="0.25">
      <c r="A4521" t="s">
        <v>4525</v>
      </c>
      <c r="B4521">
        <v>0.99999676499088797</v>
      </c>
      <c r="C4521">
        <v>0.96983113867439397</v>
      </c>
      <c r="D4521">
        <v>0.74054989404818505</v>
      </c>
      <c r="E4521">
        <v>0.48842952912878201</v>
      </c>
      <c r="F4521">
        <v>0.30235469388827302</v>
      </c>
      <c r="G4521">
        <v>0.27007173153568298</v>
      </c>
      <c r="H4521">
        <v>0.13121077015546301</v>
      </c>
      <c r="I4521">
        <v>0.148066964844833</v>
      </c>
      <c r="J4521">
        <v>0.167179410950825</v>
      </c>
      <c r="K4521">
        <v>0.15550741988098299</v>
      </c>
      <c r="L4521">
        <v>859.18409343760698</v>
      </c>
      <c r="M4521">
        <v>17.706339242086901</v>
      </c>
      <c r="N4521">
        <v>49.538092413996203</v>
      </c>
      <c r="O4521">
        <v>47.917848186452503</v>
      </c>
      <c r="P4521">
        <v>-7.8340361147807402E-2</v>
      </c>
      <c r="Q4521">
        <v>0.15200905632636499</v>
      </c>
      <c r="R4521">
        <v>0.99172487801581399</v>
      </c>
      <c r="S4521" t="s">
        <v>11524</v>
      </c>
      <c r="T4521" t="s">
        <v>14004</v>
      </c>
      <c r="U4521" t="s">
        <v>14004</v>
      </c>
      <c r="V4521" t="s">
        <v>14004</v>
      </c>
      <c r="W4521" t="s">
        <v>18470</v>
      </c>
      <c r="X4521">
        <v>10</v>
      </c>
      <c r="Y4521" t="s">
        <v>25281</v>
      </c>
      <c r="Z4521" t="s">
        <v>32231</v>
      </c>
      <c r="AA4521">
        <v>0.40829531334994779</v>
      </c>
      <c r="AB4521" t="str">
        <f>HYPERLINK("Melting_Curves/meltCurve_Q86UK7_2_ZNF598.pdf", "Melting_Curves/meltCurve_Q86UK7_2_ZNF598.pdf")</f>
        <v>Melting_Curves/meltCurve_Q86UK7_2_ZNF598.pdf</v>
      </c>
    </row>
    <row r="4522" spans="1:28" x14ac:dyDescent="0.25">
      <c r="A4522" t="s">
        <v>4526</v>
      </c>
      <c r="B4522">
        <v>0.99999676499088797</v>
      </c>
      <c r="C4522">
        <v>0.98771390594831199</v>
      </c>
      <c r="D4522">
        <v>0.95877072875999103</v>
      </c>
      <c r="E4522">
        <v>0.89406978254089398</v>
      </c>
      <c r="F4522">
        <v>0.50936175495937797</v>
      </c>
      <c r="G4522">
        <v>0.23341363464394299</v>
      </c>
      <c r="H4522">
        <v>9.9769703125122594E-2</v>
      </c>
      <c r="I4522">
        <v>0.109204928620747</v>
      </c>
      <c r="J4522">
        <v>0.106832970416558</v>
      </c>
      <c r="K4522">
        <v>6.8568745414660404E-2</v>
      </c>
      <c r="L4522">
        <v>1425.6068274854999</v>
      </c>
      <c r="M4522">
        <v>26.892269368977601</v>
      </c>
      <c r="N4522">
        <v>53.395582236892203</v>
      </c>
      <c r="O4522">
        <v>52.721236515338703</v>
      </c>
      <c r="P4522">
        <v>-0.11631525651562299</v>
      </c>
      <c r="Q4522">
        <v>8.7883234531436205E-2</v>
      </c>
      <c r="R4522">
        <v>0.99833259803087104</v>
      </c>
      <c r="S4522" t="s">
        <v>11525</v>
      </c>
      <c r="T4522" t="s">
        <v>14004</v>
      </c>
      <c r="U4522" t="s">
        <v>14004</v>
      </c>
      <c r="V4522" t="s">
        <v>14004</v>
      </c>
      <c r="W4522" t="s">
        <v>18471</v>
      </c>
      <c r="X4522">
        <v>5</v>
      </c>
      <c r="Y4522" t="s">
        <v>25282</v>
      </c>
      <c r="Z4522" t="s">
        <v>32232</v>
      </c>
      <c r="AA4522">
        <v>0.49080485874559471</v>
      </c>
      <c r="AB4522" t="str">
        <f>HYPERLINK("Melting_Curves/meltCurve_Q86UL3_AGPAT6.pdf", "Melting_Curves/meltCurve_Q86UL3_AGPAT6.pdf")</f>
        <v>Melting_Curves/meltCurve_Q86UL3_AGPAT6.pdf</v>
      </c>
    </row>
    <row r="4523" spans="1:28" x14ac:dyDescent="0.25">
      <c r="A4523" t="s">
        <v>4527</v>
      </c>
      <c r="B4523">
        <v>0.99999676499088797</v>
      </c>
      <c r="C4523">
        <v>1.0622562220849701</v>
      </c>
      <c r="D4523">
        <v>1.09380370220506</v>
      </c>
      <c r="E4523">
        <v>1.10011937603766</v>
      </c>
      <c r="F4523">
        <v>1.1272136452836701</v>
      </c>
      <c r="G4523">
        <v>0.90345670445614401</v>
      </c>
      <c r="H4523">
        <v>0.55187462743048099</v>
      </c>
      <c r="I4523">
        <v>0.42388471338417699</v>
      </c>
      <c r="J4523">
        <v>0.38066327410572898</v>
      </c>
      <c r="K4523">
        <v>0.36260925691198798</v>
      </c>
      <c r="L4523">
        <v>2441.66601480893</v>
      </c>
      <c r="M4523">
        <v>41.086557146112099</v>
      </c>
      <c r="N4523">
        <v>61.509113983330103</v>
      </c>
      <c r="O4523">
        <v>59.287109081668298</v>
      </c>
      <c r="P4523">
        <v>-0.108190643947305</v>
      </c>
      <c r="Q4523">
        <v>0.37553312005960998</v>
      </c>
      <c r="R4523">
        <v>0.957917968378594</v>
      </c>
      <c r="S4523" t="s">
        <v>11526</v>
      </c>
      <c r="T4523" t="s">
        <v>14004</v>
      </c>
      <c r="U4523" t="s">
        <v>14004</v>
      </c>
      <c r="V4523" t="s">
        <v>14004</v>
      </c>
      <c r="W4523" t="s">
        <v>18472</v>
      </c>
      <c r="X4523">
        <v>5</v>
      </c>
      <c r="Y4523" t="s">
        <v>25283</v>
      </c>
      <c r="Z4523" t="s">
        <v>32233</v>
      </c>
      <c r="AA4523">
        <v>0.78226609767335231</v>
      </c>
      <c r="AB4523" t="str">
        <f>HYPERLINK("Melting_Curves/meltCurve_Q86UN3_RTN4RL2.pdf", "Melting_Curves/meltCurve_Q86UN3_RTN4RL2.pdf")</f>
        <v>Melting_Curves/meltCurve_Q86UN3_RTN4RL2.pdf</v>
      </c>
    </row>
    <row r="4524" spans="1:28" x14ac:dyDescent="0.25">
      <c r="A4524" t="s">
        <v>4528</v>
      </c>
      <c r="B4524">
        <v>0.99999676499088797</v>
      </c>
      <c r="C4524">
        <v>1.0060693804893299</v>
      </c>
      <c r="D4524">
        <v>0.60359797978248397</v>
      </c>
      <c r="E4524">
        <v>0.30547345585014402</v>
      </c>
      <c r="F4524">
        <v>0.21223057707506701</v>
      </c>
      <c r="G4524">
        <v>0.16127217610160999</v>
      </c>
      <c r="H4524">
        <v>9.1596327207875E-2</v>
      </c>
      <c r="I4524">
        <v>0.117326065414409</v>
      </c>
      <c r="J4524">
        <v>0.12597519415044101</v>
      </c>
      <c r="K4524">
        <v>0.13082656319084701</v>
      </c>
      <c r="L4524">
        <v>1254.1369415118299</v>
      </c>
      <c r="M4524">
        <v>26.868987808516799</v>
      </c>
      <c r="N4524">
        <v>47.224657685704202</v>
      </c>
      <c r="O4524">
        <v>46.419752069112199</v>
      </c>
      <c r="P4524">
        <v>-0.12530723777973601</v>
      </c>
      <c r="Q4524">
        <v>0.13406902950479599</v>
      </c>
      <c r="R4524">
        <v>0.98787284491676297</v>
      </c>
      <c r="S4524" t="s">
        <v>11527</v>
      </c>
      <c r="T4524" t="s">
        <v>14004</v>
      </c>
      <c r="U4524" t="s">
        <v>14004</v>
      </c>
      <c r="V4524" t="s">
        <v>14004</v>
      </c>
      <c r="W4524" t="s">
        <v>18473</v>
      </c>
      <c r="X4524">
        <v>87</v>
      </c>
      <c r="Y4524" t="s">
        <v>25284</v>
      </c>
      <c r="Z4524" t="s">
        <v>32234</v>
      </c>
      <c r="AA4524">
        <v>0.33340255021058929</v>
      </c>
      <c r="AB4524" t="str">
        <f>HYPERLINK("Melting_Curves/meltCurve_Q86UP2_KTN1.pdf", "Melting_Curves/meltCurve_Q86UP2_KTN1.pdf")</f>
        <v>Melting_Curves/meltCurve_Q86UP2_KTN1.pdf</v>
      </c>
    </row>
    <row r="4525" spans="1:28" x14ac:dyDescent="0.25">
      <c r="A4525" t="s">
        <v>4529</v>
      </c>
      <c r="B4525">
        <v>0.99999676499088797</v>
      </c>
      <c r="C4525">
        <v>0.85389146529245896</v>
      </c>
      <c r="D4525">
        <v>0.62654210284430101</v>
      </c>
      <c r="E4525">
        <v>0.29931970510397499</v>
      </c>
      <c r="F4525">
        <v>0.309071724615268</v>
      </c>
      <c r="G4525">
        <v>0.194880475371774</v>
      </c>
      <c r="H4525">
        <v>9.6975627505943907E-2</v>
      </c>
      <c r="I4525">
        <v>0.135864706590477</v>
      </c>
      <c r="J4525">
        <v>0.118576620855322</v>
      </c>
      <c r="K4525">
        <v>8.95048635970008E-2</v>
      </c>
      <c r="L4525">
        <v>803.726824697099</v>
      </c>
      <c r="M4525">
        <v>17.166449413335499</v>
      </c>
      <c r="N4525">
        <v>47.576784024306498</v>
      </c>
      <c r="O4525">
        <v>46.198143621249301</v>
      </c>
      <c r="P4525">
        <v>-8.1797121245732393E-2</v>
      </c>
      <c r="Q4525">
        <v>0.119526944200117</v>
      </c>
      <c r="R4525">
        <v>0.98207660520862605</v>
      </c>
      <c r="S4525" t="s">
        <v>11528</v>
      </c>
      <c r="T4525" t="s">
        <v>14004</v>
      </c>
      <c r="U4525" t="s">
        <v>14004</v>
      </c>
      <c r="V4525" t="s">
        <v>14004</v>
      </c>
      <c r="W4525" t="s">
        <v>18474</v>
      </c>
      <c r="X4525">
        <v>8</v>
      </c>
      <c r="Y4525" t="s">
        <v>25285</v>
      </c>
      <c r="Z4525" t="s">
        <v>32235</v>
      </c>
      <c r="AA4525">
        <v>0.33785626494460608</v>
      </c>
      <c r="AB4525" t="str">
        <f>HYPERLINK("Melting_Curves/meltCurve_Q86US8_SMG6.pdf", "Melting_Curves/meltCurve_Q86US8_SMG6.pdf")</f>
        <v>Melting_Curves/meltCurve_Q86US8_SMG6.pdf</v>
      </c>
    </row>
    <row r="4526" spans="1:28" x14ac:dyDescent="0.25">
      <c r="A4526" t="s">
        <v>4530</v>
      </c>
      <c r="B4526">
        <v>0.99999676499088797</v>
      </c>
      <c r="C4526">
        <v>1.13227573875665</v>
      </c>
      <c r="D4526">
        <v>0.92466116303998103</v>
      </c>
      <c r="E4526">
        <v>0.47363797238879601</v>
      </c>
      <c r="F4526">
        <v>0.13148120417144399</v>
      </c>
      <c r="G4526">
        <v>0.12857920818156199</v>
      </c>
      <c r="H4526">
        <v>0.17763194781668001</v>
      </c>
      <c r="I4526">
        <v>0.269473615008755</v>
      </c>
      <c r="J4526">
        <v>0.36522015407924802</v>
      </c>
      <c r="K4526">
        <v>0.37914599656394199</v>
      </c>
      <c r="L4526">
        <v>2477.7399640273802</v>
      </c>
      <c r="M4526">
        <v>50.879023951028898</v>
      </c>
      <c r="N4526">
        <v>49.340621850500597</v>
      </c>
      <c r="O4526">
        <v>48.623581887145697</v>
      </c>
      <c r="P4526">
        <v>-0.19826897404896299</v>
      </c>
      <c r="Q4526">
        <v>0.24208111622379599</v>
      </c>
      <c r="R4526">
        <v>0.933627703632122</v>
      </c>
      <c r="S4526" t="s">
        <v>11529</v>
      </c>
      <c r="T4526" t="s">
        <v>14004</v>
      </c>
      <c r="U4526" t="s">
        <v>14004</v>
      </c>
      <c r="V4526" t="s">
        <v>14004</v>
      </c>
      <c r="W4526" t="s">
        <v>18475</v>
      </c>
      <c r="X4526">
        <v>2</v>
      </c>
      <c r="Y4526" t="s">
        <v>25286</v>
      </c>
      <c r="Z4526" t="s">
        <v>32236</v>
      </c>
      <c r="AA4526">
        <v>0.46341584138596709</v>
      </c>
      <c r="AB4526" t="str">
        <f>HYPERLINK("Melting_Curves/meltCurve_Q86UT8_CCDC84.pdf", "Melting_Curves/meltCurve_Q86UT8_CCDC84.pdf")</f>
        <v>Melting_Curves/meltCurve_Q86UT8_CCDC84.pdf</v>
      </c>
    </row>
    <row r="4527" spans="1:28" x14ac:dyDescent="0.25">
      <c r="A4527" t="s">
        <v>4531</v>
      </c>
      <c r="B4527">
        <v>0.99999676499088797</v>
      </c>
      <c r="C4527">
        <v>0.88023792604357698</v>
      </c>
      <c r="D4527">
        <v>0.90690502649358995</v>
      </c>
      <c r="E4527">
        <v>0.86758568046499795</v>
      </c>
      <c r="F4527">
        <v>0.72781974001583905</v>
      </c>
      <c r="G4527">
        <v>0.55578315328121897</v>
      </c>
      <c r="H4527">
        <v>0.41873201892337902</v>
      </c>
      <c r="I4527">
        <v>0.543885206267265</v>
      </c>
      <c r="J4527">
        <v>0.55493198889831297</v>
      </c>
      <c r="K4527">
        <v>0.64745343850880199</v>
      </c>
      <c r="L4527">
        <v>1020.84634504977</v>
      </c>
      <c r="M4527">
        <v>19.915938044150199</v>
      </c>
      <c r="O4527">
        <v>50.749366198044299</v>
      </c>
      <c r="P4527">
        <v>-4.57701796828371E-2</v>
      </c>
      <c r="Q4527">
        <v>0.53349306088770099</v>
      </c>
      <c r="R4527">
        <v>0.85563825918635705</v>
      </c>
      <c r="S4527" t="s">
        <v>11530</v>
      </c>
      <c r="T4527" t="s">
        <v>14004</v>
      </c>
      <c r="U4527" t="s">
        <v>14004</v>
      </c>
      <c r="V4527" t="s">
        <v>14004</v>
      </c>
      <c r="W4527" t="s">
        <v>18476</v>
      </c>
      <c r="X4527">
        <v>2</v>
      </c>
      <c r="Y4527" t="s">
        <v>25287</v>
      </c>
      <c r="Z4527" t="s">
        <v>32237</v>
      </c>
      <c r="AA4527">
        <v>0.71507605932541018</v>
      </c>
      <c r="AB4527" t="str">
        <f>HYPERLINK("Melting_Curves/meltCurve_Q86UU0_4_BCL9L.pdf", "Melting_Curves/meltCurve_Q86UU0_4_BCL9L.pdf")</f>
        <v>Melting_Curves/meltCurve_Q86UU0_4_BCL9L.pdf</v>
      </c>
    </row>
    <row r="4528" spans="1:28" x14ac:dyDescent="0.25">
      <c r="A4528" t="s">
        <v>4532</v>
      </c>
      <c r="B4528">
        <v>0.99999676499088797</v>
      </c>
      <c r="C4528">
        <v>0.96441963286003096</v>
      </c>
      <c r="D4528">
        <v>0.486815295958411</v>
      </c>
      <c r="E4528">
        <v>0.29909288110983001</v>
      </c>
      <c r="F4528">
        <v>0.21284633764863101</v>
      </c>
      <c r="G4528">
        <v>0.208096479779037</v>
      </c>
      <c r="H4528">
        <v>0.108458290934818</v>
      </c>
      <c r="I4528">
        <v>0.116179938234398</v>
      </c>
      <c r="J4528">
        <v>0.103903291598678</v>
      </c>
      <c r="K4528">
        <v>0.10134554692853801</v>
      </c>
      <c r="L4528">
        <v>1293.7694528049899</v>
      </c>
      <c r="M4528">
        <v>28.229341197756899</v>
      </c>
      <c r="N4528">
        <v>46.388060608569397</v>
      </c>
      <c r="O4528">
        <v>45.602524737455603</v>
      </c>
      <c r="P4528">
        <v>-0.13249989983811999</v>
      </c>
      <c r="Q4528">
        <v>0.14382985998846001</v>
      </c>
      <c r="R4528">
        <v>0.97653761034929099</v>
      </c>
      <c r="S4528" t="s">
        <v>11531</v>
      </c>
      <c r="T4528" t="s">
        <v>14004</v>
      </c>
      <c r="U4528" t="s">
        <v>14004</v>
      </c>
      <c r="V4528" t="s">
        <v>14004</v>
      </c>
      <c r="W4528" t="s">
        <v>18477</v>
      </c>
      <c r="X4528">
        <v>9</v>
      </c>
      <c r="Y4528" t="s">
        <v>25288</v>
      </c>
      <c r="Z4528" t="s">
        <v>32238</v>
      </c>
      <c r="AA4528">
        <v>0.31626044942167791</v>
      </c>
      <c r="AB4528" t="str">
        <f>HYPERLINK("Melting_Curves/meltCurve_Q86UV5_USP48.pdf", "Melting_Curves/meltCurve_Q86UV5_USP48.pdf")</f>
        <v>Melting_Curves/meltCurve_Q86UV5_USP48.pdf</v>
      </c>
    </row>
    <row r="4529" spans="1:28" x14ac:dyDescent="0.25">
      <c r="A4529" t="s">
        <v>4533</v>
      </c>
      <c r="B4529">
        <v>0.99999676499088797</v>
      </c>
      <c r="C4529">
        <v>0.99087497481983799</v>
      </c>
      <c r="D4529">
        <v>0.89444865805881901</v>
      </c>
      <c r="E4529">
        <v>0.74100945499748205</v>
      </c>
      <c r="F4529">
        <v>0.52100851534227999</v>
      </c>
      <c r="G4529">
        <v>0.34221851951475102</v>
      </c>
      <c r="H4529">
        <v>0.24557240111228901</v>
      </c>
      <c r="I4529">
        <v>0.215578258067948</v>
      </c>
      <c r="J4529">
        <v>0.151872563615116</v>
      </c>
      <c r="K4529">
        <v>0.25416550844276198</v>
      </c>
      <c r="L4529">
        <v>858.10350818265897</v>
      </c>
      <c r="M4529">
        <v>16.536560381464</v>
      </c>
      <c r="N4529">
        <v>53.3878205142396</v>
      </c>
      <c r="O4529">
        <v>51.150277010550397</v>
      </c>
      <c r="P4529">
        <v>-6.5837363269133503E-2</v>
      </c>
      <c r="Q4529">
        <v>0.185473686960268</v>
      </c>
      <c r="R4529">
        <v>0.99347800098870598</v>
      </c>
      <c r="S4529" t="s">
        <v>11532</v>
      </c>
      <c r="T4529" t="s">
        <v>14004</v>
      </c>
      <c r="U4529" t="s">
        <v>14004</v>
      </c>
      <c r="V4529" t="s">
        <v>14004</v>
      </c>
      <c r="W4529" t="s">
        <v>18478</v>
      </c>
      <c r="X4529">
        <v>3</v>
      </c>
      <c r="Y4529" t="s">
        <v>25289</v>
      </c>
      <c r="Z4529" t="s">
        <v>32239</v>
      </c>
      <c r="AA4529">
        <v>0.52398373380308427</v>
      </c>
      <c r="AB4529" t="str">
        <f>HYPERLINK("Melting_Curves/meltCurve_Q86UX3_ABCC5.pdf", "Melting_Curves/meltCurve_Q86UX3_ABCC5.pdf")</f>
        <v>Melting_Curves/meltCurve_Q86UX3_ABCC5.pdf</v>
      </c>
    </row>
    <row r="4530" spans="1:28" x14ac:dyDescent="0.25">
      <c r="A4530" t="s">
        <v>4534</v>
      </c>
      <c r="B4530">
        <v>0.99999676499088797</v>
      </c>
      <c r="C4530">
        <v>0.92138682321309395</v>
      </c>
      <c r="D4530">
        <v>0.85954358142685205</v>
      </c>
      <c r="E4530">
        <v>0.52210391629792097</v>
      </c>
      <c r="F4530">
        <v>0.212617699486395</v>
      </c>
      <c r="G4530">
        <v>0.141352084802741</v>
      </c>
      <c r="H4530">
        <v>6.0070184275072699E-2</v>
      </c>
      <c r="I4530">
        <v>6.13856376976906E-2</v>
      </c>
      <c r="J4530">
        <v>5.5763386309126001E-2</v>
      </c>
      <c r="K4530">
        <v>4.5216311177608798E-2</v>
      </c>
      <c r="L4530">
        <v>1031.8163304736499</v>
      </c>
      <c r="M4530">
        <v>20.825967663050701</v>
      </c>
      <c r="N4530">
        <v>49.798174330870097</v>
      </c>
      <c r="O4530">
        <v>49.094657549371497</v>
      </c>
      <c r="P4530">
        <v>-0.100719601633076</v>
      </c>
      <c r="Q4530">
        <v>5.0289711448220503E-2</v>
      </c>
      <c r="R4530">
        <v>0.99747587910048696</v>
      </c>
      <c r="S4530" t="s">
        <v>11533</v>
      </c>
      <c r="T4530" t="s">
        <v>14004</v>
      </c>
      <c r="U4530" t="s">
        <v>14004</v>
      </c>
      <c r="V4530" t="s">
        <v>14004</v>
      </c>
      <c r="W4530" t="s">
        <v>18479</v>
      </c>
      <c r="X4530">
        <v>21</v>
      </c>
      <c r="Y4530" t="s">
        <v>25290</v>
      </c>
      <c r="Z4530" t="s">
        <v>32240</v>
      </c>
      <c r="AA4530">
        <v>0.36466878730028712</v>
      </c>
      <c r="AB4530" t="str">
        <f>HYPERLINK("Melting_Curves/meltCurve_Q86UX7_2_FERMT3.pdf", "Melting_Curves/meltCurve_Q86UX7_2_FERMT3.pdf")</f>
        <v>Melting_Curves/meltCurve_Q86UX7_2_FERMT3.pdf</v>
      </c>
    </row>
    <row r="4531" spans="1:28" x14ac:dyDescent="0.25">
      <c r="A4531" t="s">
        <v>4535</v>
      </c>
      <c r="B4531">
        <v>0.99999676499088797</v>
      </c>
      <c r="C4531">
        <v>0.95214013060085301</v>
      </c>
      <c r="D4531">
        <v>0.943516189034318</v>
      </c>
      <c r="E4531">
        <v>0.94164608620650003</v>
      </c>
      <c r="F4531">
        <v>0.81359736912776903</v>
      </c>
      <c r="G4531">
        <v>0.51245281530203801</v>
      </c>
      <c r="H4531">
        <v>0.192130481553139</v>
      </c>
      <c r="I4531">
        <v>0.154188628778058</v>
      </c>
      <c r="J4531">
        <v>0.13379034964047901</v>
      </c>
      <c r="K4531">
        <v>0.118499879421283</v>
      </c>
      <c r="L4531">
        <v>1359.0277628926699</v>
      </c>
      <c r="M4531">
        <v>24.201955622118899</v>
      </c>
      <c r="N4531">
        <v>56.711352090200997</v>
      </c>
      <c r="O4531">
        <v>55.774468976963</v>
      </c>
      <c r="P4531">
        <v>-9.6994276066490803E-2</v>
      </c>
      <c r="Q4531">
        <v>0.10590343333902601</v>
      </c>
      <c r="R4531">
        <v>0.99467282208047003</v>
      </c>
      <c r="S4531" t="s">
        <v>11534</v>
      </c>
      <c r="T4531" t="s">
        <v>14004</v>
      </c>
      <c r="U4531" t="s">
        <v>14004</v>
      </c>
      <c r="V4531" t="s">
        <v>14004</v>
      </c>
      <c r="W4531" t="s">
        <v>18480</v>
      </c>
      <c r="X4531">
        <v>20</v>
      </c>
      <c r="Y4531" t="s">
        <v>25291</v>
      </c>
      <c r="Z4531" t="s">
        <v>32241</v>
      </c>
      <c r="AA4531">
        <v>0.5959680072809791</v>
      </c>
      <c r="AB4531" t="str">
        <f>HYPERLINK("Melting_Curves/meltCurve_Q86UY0_TXNDC5.pdf", "Melting_Curves/meltCurve_Q86UY0_TXNDC5.pdf")</f>
        <v>Melting_Curves/meltCurve_Q86UY0_TXNDC5.pdf</v>
      </c>
    </row>
    <row r="4532" spans="1:28" x14ac:dyDescent="0.25">
      <c r="A4532" t="s">
        <v>4536</v>
      </c>
      <c r="B4532">
        <v>0.99999676499088797</v>
      </c>
      <c r="C4532">
        <v>0.85200455473150105</v>
      </c>
      <c r="D4532">
        <v>0.72190205204842195</v>
      </c>
      <c r="E4532">
        <v>0.37270760978635298</v>
      </c>
      <c r="F4532">
        <v>0.202962231166956</v>
      </c>
      <c r="G4532">
        <v>0.125231735532667</v>
      </c>
      <c r="H4532">
        <v>6.08764191637092E-2</v>
      </c>
      <c r="I4532">
        <v>7.5011756489755305E-2</v>
      </c>
      <c r="J4532">
        <v>6.6152586783482098E-2</v>
      </c>
      <c r="K4532">
        <v>5.8507414847886297E-2</v>
      </c>
      <c r="L4532">
        <v>838.94444632890895</v>
      </c>
      <c r="M4532">
        <v>17.511268091192001</v>
      </c>
      <c r="N4532">
        <v>48.239732835399998</v>
      </c>
      <c r="O4532">
        <v>47.297146276800099</v>
      </c>
      <c r="P4532">
        <v>-8.7326398828041302E-2</v>
      </c>
      <c r="Q4532">
        <v>5.6593192436403303E-2</v>
      </c>
      <c r="R4532">
        <v>0.9965386329257</v>
      </c>
      <c r="S4532" t="s">
        <v>11535</v>
      </c>
      <c r="T4532" t="s">
        <v>14004</v>
      </c>
      <c r="U4532" t="s">
        <v>14004</v>
      </c>
      <c r="V4532" t="s">
        <v>14004</v>
      </c>
      <c r="W4532" t="s">
        <v>18481</v>
      </c>
      <c r="X4532">
        <v>4</v>
      </c>
      <c r="Y4532" t="s">
        <v>25292</v>
      </c>
      <c r="Z4532" t="s">
        <v>32242</v>
      </c>
      <c r="AA4532">
        <v>0.32308183274370061</v>
      </c>
      <c r="AB4532" t="str">
        <f>HYPERLINK("Melting_Curves/meltCurve_Q86UY6_NAA40.pdf", "Melting_Curves/meltCurve_Q86UY6_NAA40.pdf")</f>
        <v>Melting_Curves/meltCurve_Q86UY6_NAA40.pdf</v>
      </c>
    </row>
    <row r="4533" spans="1:28" x14ac:dyDescent="0.25">
      <c r="A4533" t="s">
        <v>4537</v>
      </c>
      <c r="B4533">
        <v>0.99999676499088797</v>
      </c>
      <c r="C4533">
        <v>0.959457684388767</v>
      </c>
      <c r="D4533">
        <v>0.90164646026703898</v>
      </c>
      <c r="E4533">
        <v>0.93737893582784504</v>
      </c>
      <c r="F4533">
        <v>0.65578036443975896</v>
      </c>
      <c r="G4533">
        <v>0.403315577587403</v>
      </c>
      <c r="H4533">
        <v>0.12746591059902099</v>
      </c>
      <c r="I4533">
        <v>0.13770272309522399</v>
      </c>
      <c r="J4533">
        <v>0.11940476640730099</v>
      </c>
      <c r="K4533">
        <v>8.5158922458204597E-2</v>
      </c>
      <c r="L4533">
        <v>1142.0700001380801</v>
      </c>
      <c r="M4533">
        <v>20.8705249161507</v>
      </c>
      <c r="N4533">
        <v>55.180195122093103</v>
      </c>
      <c r="O4533">
        <v>54.226709920515802</v>
      </c>
      <c r="P4533">
        <v>-8.8561371090366797E-2</v>
      </c>
      <c r="Q4533">
        <v>7.9609212475179103E-2</v>
      </c>
      <c r="R4533">
        <v>0.99021789957109596</v>
      </c>
      <c r="S4533" t="s">
        <v>11536</v>
      </c>
      <c r="T4533" t="s">
        <v>14004</v>
      </c>
      <c r="U4533" t="s">
        <v>14004</v>
      </c>
      <c r="V4533" t="s">
        <v>14004</v>
      </c>
      <c r="W4533" t="s">
        <v>18482</v>
      </c>
      <c r="X4533">
        <v>7</v>
      </c>
      <c r="Y4533" t="s">
        <v>25293</v>
      </c>
      <c r="Z4533" t="s">
        <v>32243</v>
      </c>
      <c r="AA4533">
        <v>0.54281176029543721</v>
      </c>
      <c r="AB4533" t="str">
        <f>HYPERLINK("Melting_Curves/meltCurve_Q86UY8_2_NT5DC3.pdf", "Melting_Curves/meltCurve_Q86UY8_2_NT5DC3.pdf")</f>
        <v>Melting_Curves/meltCurve_Q86UY8_2_NT5DC3.pdf</v>
      </c>
    </row>
    <row r="4534" spans="1:28" x14ac:dyDescent="0.25">
      <c r="A4534" t="s">
        <v>4538</v>
      </c>
      <c r="B4534">
        <v>0.99999676499088797</v>
      </c>
      <c r="C4534">
        <v>0.85155716004916104</v>
      </c>
      <c r="D4534">
        <v>0.42800187806697798</v>
      </c>
      <c r="E4534">
        <v>0.28255372634365999</v>
      </c>
      <c r="F4534">
        <v>0.29896515988026301</v>
      </c>
      <c r="G4534">
        <v>0.16224526165994901</v>
      </c>
      <c r="H4534">
        <v>0.11067473561796699</v>
      </c>
      <c r="I4534">
        <v>0.131084370750183</v>
      </c>
      <c r="J4534">
        <v>0.11969055725872101</v>
      </c>
      <c r="K4534">
        <v>9.2959480784498005E-2</v>
      </c>
      <c r="L4534">
        <v>1038.3913207487301</v>
      </c>
      <c r="M4534">
        <v>22.943436305260601</v>
      </c>
      <c r="N4534">
        <v>45.949523393836003</v>
      </c>
      <c r="O4534">
        <v>44.919155455075</v>
      </c>
      <c r="P4534">
        <v>-0.10906983667707</v>
      </c>
      <c r="Q4534">
        <v>0.14585939178371399</v>
      </c>
      <c r="R4534">
        <v>0.96818103181498405</v>
      </c>
      <c r="S4534" t="s">
        <v>11537</v>
      </c>
      <c r="T4534" t="s">
        <v>14004</v>
      </c>
      <c r="U4534" t="s">
        <v>14004</v>
      </c>
      <c r="V4534" t="s">
        <v>14004</v>
      </c>
      <c r="W4534" t="s">
        <v>18483</v>
      </c>
      <c r="X4534">
        <v>4</v>
      </c>
      <c r="Y4534" t="s">
        <v>25294</v>
      </c>
      <c r="Z4534" t="s">
        <v>32244</v>
      </c>
      <c r="AA4534">
        <v>0.30576541054156781</v>
      </c>
      <c r="AB4534" t="str">
        <f>HYPERLINK("Melting_Curves/meltCurve_Q86V21_AACS.pdf", "Melting_Curves/meltCurve_Q86V21_AACS.pdf")</f>
        <v>Melting_Curves/meltCurve_Q86V21_AACS.pdf</v>
      </c>
    </row>
    <row r="4535" spans="1:28" x14ac:dyDescent="0.25">
      <c r="A4535" t="s">
        <v>4539</v>
      </c>
      <c r="B4535">
        <v>0.99999676499088797</v>
      </c>
      <c r="C4535">
        <v>0.91180443345107198</v>
      </c>
      <c r="D4535">
        <v>0.95636758143813905</v>
      </c>
      <c r="E4535">
        <v>0.76905669954120603</v>
      </c>
      <c r="F4535">
        <v>0.43364177305728202</v>
      </c>
      <c r="G4535">
        <v>0.335955221541271</v>
      </c>
      <c r="H4535">
        <v>0.173731132720813</v>
      </c>
      <c r="I4535">
        <v>0.19119173241531401</v>
      </c>
      <c r="J4535">
        <v>0.20101754946881201</v>
      </c>
      <c r="K4535">
        <v>0.19637995763702501</v>
      </c>
      <c r="L4535">
        <v>1084.8346063644699</v>
      </c>
      <c r="M4535">
        <v>21.0348317218575</v>
      </c>
      <c r="N4535">
        <v>52.723129351719002</v>
      </c>
      <c r="O4535">
        <v>51.113917887571098</v>
      </c>
      <c r="P4535">
        <v>-8.3957302601499598E-2</v>
      </c>
      <c r="Q4535">
        <v>0.18396833468665999</v>
      </c>
      <c r="R4535">
        <v>0.98937050747171995</v>
      </c>
      <c r="S4535" t="s">
        <v>11538</v>
      </c>
      <c r="T4535" t="s">
        <v>14004</v>
      </c>
      <c r="U4535" t="s">
        <v>14004</v>
      </c>
      <c r="V4535" t="s">
        <v>14004</v>
      </c>
      <c r="W4535" t="s">
        <v>18484</v>
      </c>
      <c r="X4535">
        <v>2</v>
      </c>
      <c r="Y4535" t="s">
        <v>25295</v>
      </c>
      <c r="Z4535" t="s">
        <v>32245</v>
      </c>
      <c r="AA4535">
        <v>0.50907898344947033</v>
      </c>
      <c r="AB4535" t="str">
        <f>HYPERLINK("Melting_Curves/meltCurve_Q86V42_FAM124A.pdf", "Melting_Curves/meltCurve_Q86V42_FAM124A.pdf")</f>
        <v>Melting_Curves/meltCurve_Q86V42_FAM124A.pdf</v>
      </c>
    </row>
    <row r="4536" spans="1:28" x14ac:dyDescent="0.25">
      <c r="A4536" t="s">
        <v>4540</v>
      </c>
      <c r="B4536">
        <v>0.99999676499088797</v>
      </c>
      <c r="C4536">
        <v>0.92963121399195503</v>
      </c>
      <c r="D4536">
        <v>0.74339843662960703</v>
      </c>
      <c r="E4536">
        <v>0.468527610773739</v>
      </c>
      <c r="F4536">
        <v>0.36276252493664701</v>
      </c>
      <c r="G4536">
        <v>0.27090471839749403</v>
      </c>
      <c r="H4536">
        <v>0.150057649267299</v>
      </c>
      <c r="I4536">
        <v>0.157892240006926</v>
      </c>
      <c r="J4536">
        <v>0.17217795720944101</v>
      </c>
      <c r="K4536">
        <v>0.17409884646846099</v>
      </c>
      <c r="L4536">
        <v>770.424154817572</v>
      </c>
      <c r="M4536">
        <v>15.884361724418801</v>
      </c>
      <c r="N4536">
        <v>49.693674590357901</v>
      </c>
      <c r="O4536">
        <v>47.752851680832897</v>
      </c>
      <c r="P4536">
        <v>-6.9994479419916197E-2</v>
      </c>
      <c r="Q4536">
        <v>0.15837567983081799</v>
      </c>
      <c r="R4536">
        <v>0.99216556064703498</v>
      </c>
      <c r="S4536" t="s">
        <v>11539</v>
      </c>
      <c r="T4536" t="s">
        <v>14004</v>
      </c>
      <c r="U4536" t="s">
        <v>14004</v>
      </c>
      <c r="V4536" t="s">
        <v>14004</v>
      </c>
      <c r="W4536" t="s">
        <v>18485</v>
      </c>
      <c r="X4536">
        <v>20</v>
      </c>
      <c r="Y4536" t="s">
        <v>25296</v>
      </c>
      <c r="Z4536" t="s">
        <v>32246</v>
      </c>
      <c r="AA4536">
        <v>0.41583395840598503</v>
      </c>
      <c r="AB4536" t="str">
        <f>HYPERLINK("Melting_Curves/meltCurve_Q86V48_2_LUZP1.pdf", "Melting_Curves/meltCurve_Q86V48_2_LUZP1.pdf")</f>
        <v>Melting_Curves/meltCurve_Q86V48_2_LUZP1.pdf</v>
      </c>
    </row>
    <row r="4537" spans="1:28" x14ac:dyDescent="0.25">
      <c r="A4537" t="s">
        <v>4541</v>
      </c>
      <c r="B4537">
        <v>0.99999676499088797</v>
      </c>
      <c r="C4537">
        <v>0.86511273908475705</v>
      </c>
      <c r="D4537">
        <v>0.56349467732925695</v>
      </c>
      <c r="E4537">
        <v>0.33263677272251002</v>
      </c>
      <c r="F4537">
        <v>0.21500800268686299</v>
      </c>
      <c r="G4537">
        <v>0.129424392718162</v>
      </c>
      <c r="H4537">
        <v>6.0575546122372502E-2</v>
      </c>
      <c r="I4537">
        <v>5.7411552878662203E-2</v>
      </c>
      <c r="J4537">
        <v>8.3887472772694996E-2</v>
      </c>
      <c r="K4537">
        <v>3.85711811460401E-2</v>
      </c>
      <c r="L4537">
        <v>787.02002349798704</v>
      </c>
      <c r="M4537">
        <v>16.7717703639915</v>
      </c>
      <c r="N4537">
        <v>47.291965605095598</v>
      </c>
      <c r="O4537">
        <v>46.273414538283497</v>
      </c>
      <c r="P4537">
        <v>-8.5093406042562103E-2</v>
      </c>
      <c r="Q4537">
        <v>6.0968760487795398E-2</v>
      </c>
      <c r="R4537">
        <v>0.99231328516422801</v>
      </c>
      <c r="S4537" t="s">
        <v>11540</v>
      </c>
      <c r="T4537" t="s">
        <v>14004</v>
      </c>
      <c r="U4537" t="s">
        <v>14004</v>
      </c>
      <c r="V4537" t="s">
        <v>14004</v>
      </c>
      <c r="W4537" t="s">
        <v>18486</v>
      </c>
      <c r="X4537">
        <v>1</v>
      </c>
      <c r="Y4537" t="s">
        <v>25297</v>
      </c>
      <c r="Z4537" t="s">
        <v>32247</v>
      </c>
      <c r="AA4537">
        <v>0.2980007714749584</v>
      </c>
      <c r="AB4537" t="str">
        <f>HYPERLINK("Melting_Curves/meltCurve_Q86V59_2_PNMAL1.pdf", "Melting_Curves/meltCurve_Q86V59_2_PNMAL1.pdf")</f>
        <v>Melting_Curves/meltCurve_Q86V59_2_PNMAL1.pdf</v>
      </c>
    </row>
    <row r="4538" spans="1:28" x14ac:dyDescent="0.25">
      <c r="A4538" t="s">
        <v>4542</v>
      </c>
      <c r="B4538">
        <v>0.99999676499088797</v>
      </c>
      <c r="C4538">
        <v>0.97437358416268505</v>
      </c>
      <c r="D4538">
        <v>1.2089547661721201</v>
      </c>
      <c r="E4538">
        <v>1.0428451018031499</v>
      </c>
      <c r="F4538">
        <v>0.322180244383651</v>
      </c>
      <c r="G4538">
        <v>0.22485916464344499</v>
      </c>
      <c r="H4538">
        <v>8.8628324821428697E-2</v>
      </c>
      <c r="I4538">
        <v>0.11492227877632</v>
      </c>
      <c r="J4538">
        <v>0.104301401378969</v>
      </c>
      <c r="K4538">
        <v>8.2899949788563798E-2</v>
      </c>
      <c r="L4538">
        <v>9955.6863881040699</v>
      </c>
      <c r="M4538">
        <v>188.36222901791999</v>
      </c>
      <c r="N4538">
        <v>52.933404128338999</v>
      </c>
      <c r="O4538">
        <v>52.847984747085199</v>
      </c>
      <c r="P4538">
        <v>-0.78134856595038904</v>
      </c>
      <c r="Q4538">
        <v>0.12312150582715101</v>
      </c>
      <c r="R4538">
        <v>0.97050202511700401</v>
      </c>
      <c r="S4538" t="s">
        <v>11541</v>
      </c>
      <c r="T4538" t="s">
        <v>14004</v>
      </c>
      <c r="U4538" t="s">
        <v>14004</v>
      </c>
      <c r="V4538" t="s">
        <v>14004</v>
      </c>
      <c r="W4538" t="s">
        <v>18487</v>
      </c>
      <c r="X4538">
        <v>2</v>
      </c>
      <c r="Y4538" t="s">
        <v>25298</v>
      </c>
      <c r="Z4538" t="s">
        <v>32248</v>
      </c>
      <c r="AA4538">
        <v>0.49897632852258411</v>
      </c>
      <c r="AB4538" t="str">
        <f>HYPERLINK("Melting_Curves/meltCurve_Q86V85_GPR180.pdf", "Melting_Curves/meltCurve_Q86V85_GPR180.pdf")</f>
        <v>Melting_Curves/meltCurve_Q86V85_GPR180.pdf</v>
      </c>
    </row>
    <row r="4539" spans="1:28" x14ac:dyDescent="0.25">
      <c r="A4539" t="s">
        <v>4543</v>
      </c>
      <c r="B4539">
        <v>0.99999676499088797</v>
      </c>
      <c r="C4539">
        <v>0.96062941758772802</v>
      </c>
      <c r="D4539">
        <v>0.97944296090120997</v>
      </c>
      <c r="E4539">
        <v>0.83560377133312502</v>
      </c>
      <c r="F4539">
        <v>0.28108682236317101</v>
      </c>
      <c r="G4539">
        <v>0.11352721277061099</v>
      </c>
      <c r="H4539">
        <v>1.2327375026499001E-2</v>
      </c>
      <c r="I4539">
        <v>2.0494507001505E-2</v>
      </c>
      <c r="J4539">
        <v>1.17621986711085E-2</v>
      </c>
      <c r="K4539">
        <v>1.43021668471899E-2</v>
      </c>
      <c r="L4539">
        <v>1780.98609893396</v>
      </c>
      <c r="M4539">
        <v>34.400066825867803</v>
      </c>
      <c r="N4539">
        <v>51.838703490586497</v>
      </c>
      <c r="O4539">
        <v>51.598728243759197</v>
      </c>
      <c r="P4539">
        <v>-0.16310337811059999</v>
      </c>
      <c r="Q4539">
        <v>2.1409437863465101E-2</v>
      </c>
      <c r="R4539">
        <v>0.99749697517145697</v>
      </c>
      <c r="S4539" t="s">
        <v>11542</v>
      </c>
      <c r="T4539" t="s">
        <v>14004</v>
      </c>
      <c r="U4539" t="s">
        <v>14004</v>
      </c>
      <c r="V4539" t="s">
        <v>14004</v>
      </c>
      <c r="W4539" t="s">
        <v>18488</v>
      </c>
      <c r="X4539">
        <v>2</v>
      </c>
      <c r="Y4539" t="s">
        <v>25299</v>
      </c>
      <c r="Z4539" t="s">
        <v>32249</v>
      </c>
      <c r="AA4539">
        <v>0.41017280841514348</v>
      </c>
      <c r="AB4539" t="str">
        <f>HYPERLINK("Melting_Curves/meltCurve_Q86V87_FAM160B2.pdf", "Melting_Curves/meltCurve_Q86V87_FAM160B2.pdf")</f>
        <v>Melting_Curves/meltCurve_Q86V87_FAM160B2.pdf</v>
      </c>
    </row>
    <row r="4540" spans="1:28" x14ac:dyDescent="0.25">
      <c r="A4540" t="s">
        <v>4544</v>
      </c>
      <c r="B4540">
        <v>0.99999676499088797</v>
      </c>
      <c r="C4540">
        <v>1.1052252647237599</v>
      </c>
      <c r="D4540">
        <v>1.04381863788341</v>
      </c>
      <c r="E4540">
        <v>0.89746364651464505</v>
      </c>
      <c r="F4540">
        <v>0.89334841775706897</v>
      </c>
      <c r="G4540">
        <v>0.70986487731493897</v>
      </c>
      <c r="H4540">
        <v>0.51830262535235005</v>
      </c>
      <c r="I4540">
        <v>0.34425878191285603</v>
      </c>
      <c r="J4540">
        <v>0.24610751945755199</v>
      </c>
      <c r="K4540">
        <v>0.10239981903042999</v>
      </c>
      <c r="L4540">
        <v>832.19428702891503</v>
      </c>
      <c r="M4540">
        <v>13.666378554920399</v>
      </c>
      <c r="N4540">
        <v>60.893548708276803</v>
      </c>
      <c r="O4540">
        <v>59.634125122849099</v>
      </c>
      <c r="P4540">
        <v>-5.7300939562044503E-2</v>
      </c>
      <c r="Q4540">
        <v>0</v>
      </c>
      <c r="R4540">
        <v>0.98149719434049498</v>
      </c>
      <c r="S4540" t="s">
        <v>11543</v>
      </c>
      <c r="T4540" t="s">
        <v>14004</v>
      </c>
      <c r="U4540" t="s">
        <v>14004</v>
      </c>
      <c r="V4540" t="s">
        <v>14004</v>
      </c>
      <c r="W4540" t="s">
        <v>18489</v>
      </c>
      <c r="X4540">
        <v>7</v>
      </c>
      <c r="Y4540" t="s">
        <v>25300</v>
      </c>
      <c r="Z4540" t="s">
        <v>32250</v>
      </c>
      <c r="AA4540">
        <v>0.69725892418076563</v>
      </c>
      <c r="AB4540" t="str">
        <f>HYPERLINK("Melting_Curves/meltCurve_Q86V88_MDP1.pdf", "Melting_Curves/meltCurve_Q86V88_MDP1.pdf")</f>
        <v>Melting_Curves/meltCurve_Q86V88_MDP1.pdf</v>
      </c>
    </row>
    <row r="4541" spans="1:28" x14ac:dyDescent="0.25">
      <c r="A4541" t="s">
        <v>4545</v>
      </c>
      <c r="B4541">
        <v>0.99999676499088797</v>
      </c>
      <c r="C4541">
        <v>0.89749727104750798</v>
      </c>
      <c r="D4541">
        <v>1.2253797579371799</v>
      </c>
      <c r="E4541">
        <v>1.3357970791613101</v>
      </c>
      <c r="F4541">
        <v>0.78516016503970898</v>
      </c>
      <c r="G4541">
        <v>0.89657805707977001</v>
      </c>
      <c r="H4541">
        <v>0</v>
      </c>
      <c r="I4541">
        <v>0</v>
      </c>
      <c r="J4541">
        <v>0</v>
      </c>
      <c r="K4541">
        <v>0</v>
      </c>
      <c r="L4541">
        <v>7090.86711573292</v>
      </c>
      <c r="M4541">
        <v>122.680694630245</v>
      </c>
      <c r="N4541">
        <v>57.799385812137203</v>
      </c>
      <c r="O4541">
        <v>57.784017514786797</v>
      </c>
      <c r="P4541">
        <v>-0.53077262043554096</v>
      </c>
      <c r="Q4541">
        <v>0</v>
      </c>
      <c r="R4541">
        <v>0.91966734736572298</v>
      </c>
      <c r="S4541" t="s">
        <v>11544</v>
      </c>
      <c r="T4541" t="s">
        <v>14004</v>
      </c>
      <c r="U4541" t="s">
        <v>14004</v>
      </c>
      <c r="V4541" t="s">
        <v>14004</v>
      </c>
      <c r="W4541" t="s">
        <v>18490</v>
      </c>
      <c r="X4541">
        <v>1</v>
      </c>
      <c r="Y4541" t="s">
        <v>25301</v>
      </c>
      <c r="Z4541" t="s">
        <v>32251</v>
      </c>
      <c r="AA4541">
        <v>0.59373393140107167</v>
      </c>
      <c r="AB4541" t="str">
        <f>HYPERLINK("Melting_Curves/meltCurve_Q86VD7_SLC25A42.pdf", "Melting_Curves/meltCurve_Q86VD7_SLC25A42.pdf")</f>
        <v>Melting_Curves/meltCurve_Q86VD7_SLC25A42.pdf</v>
      </c>
    </row>
    <row r="4542" spans="1:28" x14ac:dyDescent="0.25">
      <c r="A4542" t="s">
        <v>4546</v>
      </c>
      <c r="B4542">
        <v>0.99999676499088797</v>
      </c>
      <c r="C4542">
        <v>0.95712699190325101</v>
      </c>
      <c r="D4542">
        <v>0.95982573130780402</v>
      </c>
      <c r="E4542">
        <v>0.82469519009609504</v>
      </c>
      <c r="F4542">
        <v>0.26708173100597199</v>
      </c>
      <c r="G4542">
        <v>0.169791683435809</v>
      </c>
      <c r="H4542">
        <v>8.5593531557002805E-2</v>
      </c>
      <c r="I4542">
        <v>8.65489671047769E-2</v>
      </c>
      <c r="J4542">
        <v>7.6105089053062402E-2</v>
      </c>
      <c r="K4542">
        <v>5.9366070782401199E-2</v>
      </c>
      <c r="L4542">
        <v>1919.96909135737</v>
      </c>
      <c r="M4542">
        <v>37.362832803423501</v>
      </c>
      <c r="N4542">
        <v>51.650839642657097</v>
      </c>
      <c r="O4542">
        <v>51.240596033036901</v>
      </c>
      <c r="P4542">
        <v>-0.16646287335125401</v>
      </c>
      <c r="Q4542">
        <v>8.6832241032520102E-2</v>
      </c>
      <c r="R4542">
        <v>0.99545798664676199</v>
      </c>
      <c r="S4542" t="s">
        <v>11545</v>
      </c>
      <c r="T4542" t="s">
        <v>14004</v>
      </c>
      <c r="U4542" t="s">
        <v>14004</v>
      </c>
      <c r="V4542" t="s">
        <v>14004</v>
      </c>
      <c r="W4542" t="s">
        <v>18491</v>
      </c>
      <c r="X4542">
        <v>22</v>
      </c>
      <c r="Y4542" t="s">
        <v>25302</v>
      </c>
      <c r="Z4542" t="s">
        <v>32252</v>
      </c>
      <c r="AA4542">
        <v>0.43716460202401791</v>
      </c>
      <c r="AB4542" t="str">
        <f>HYPERLINK("Melting_Curves/meltCurve_Q86VN1_2_VPS36.pdf", "Melting_Curves/meltCurve_Q86VN1_2_VPS36.pdf")</f>
        <v>Melting_Curves/meltCurve_Q86VN1_2_VPS36.pdf</v>
      </c>
    </row>
    <row r="4543" spans="1:28" x14ac:dyDescent="0.25">
      <c r="A4543" t="s">
        <v>4547</v>
      </c>
      <c r="B4543">
        <v>0.99999676499088797</v>
      </c>
      <c r="C4543">
        <v>1.0182988884567501</v>
      </c>
      <c r="D4543">
        <v>0.914679211112986</v>
      </c>
      <c r="E4543">
        <v>0.41348248387699699</v>
      </c>
      <c r="F4543">
        <v>0.22295369130235199</v>
      </c>
      <c r="G4543">
        <v>0.186764304811146</v>
      </c>
      <c r="H4543">
        <v>0.109505773333335</v>
      </c>
      <c r="I4543">
        <v>0.13365925008975901</v>
      </c>
      <c r="J4543">
        <v>0.12823212892608099</v>
      </c>
      <c r="K4543">
        <v>0.131483333314413</v>
      </c>
      <c r="L4543">
        <v>1724.0349497775201</v>
      </c>
      <c r="M4543">
        <v>35.444899683048902</v>
      </c>
      <c r="N4543">
        <v>49.1053304934211</v>
      </c>
      <c r="O4543">
        <v>48.485814583562799</v>
      </c>
      <c r="P4543">
        <v>-0.15668311775927099</v>
      </c>
      <c r="Q4543">
        <v>0.14268250898883</v>
      </c>
      <c r="R4543">
        <v>0.99573271613609204</v>
      </c>
      <c r="S4543" t="s">
        <v>11546</v>
      </c>
      <c r="T4543" t="s">
        <v>14004</v>
      </c>
      <c r="U4543" t="s">
        <v>14004</v>
      </c>
      <c r="V4543" t="s">
        <v>14004</v>
      </c>
      <c r="W4543" t="s">
        <v>18492</v>
      </c>
      <c r="X4543">
        <v>4</v>
      </c>
      <c r="Y4543" t="s">
        <v>25303</v>
      </c>
      <c r="Z4543" t="s">
        <v>32253</v>
      </c>
      <c r="AA4543">
        <v>0.39327708494886282</v>
      </c>
      <c r="AB4543" t="str">
        <f>HYPERLINK("Melting_Curves/meltCurve_Q86VP1_2_TAX1BP1.pdf", "Melting_Curves/meltCurve_Q86VP1_2_TAX1BP1.pdf")</f>
        <v>Melting_Curves/meltCurve_Q86VP1_2_TAX1BP1.pdf</v>
      </c>
    </row>
    <row r="4544" spans="1:28" x14ac:dyDescent="0.25">
      <c r="A4544" t="s">
        <v>4548</v>
      </c>
      <c r="B4544">
        <v>0.99999676499088797</v>
      </c>
      <c r="C4544">
        <v>1.00963549327305</v>
      </c>
      <c r="D4544">
        <v>1.06451004364818</v>
      </c>
      <c r="E4544">
        <v>1.20929211591951</v>
      </c>
      <c r="F4544">
        <v>0.933371465740643</v>
      </c>
      <c r="G4544">
        <v>0.450266563100712</v>
      </c>
      <c r="H4544">
        <v>0.13774955693458599</v>
      </c>
      <c r="I4544">
        <v>0.111053568499033</v>
      </c>
      <c r="J4544">
        <v>0.105658507582995</v>
      </c>
      <c r="K4544">
        <v>9.6091832872409605E-2</v>
      </c>
      <c r="L4544">
        <v>2658.2472559445</v>
      </c>
      <c r="M4544">
        <v>47.266935924624804</v>
      </c>
      <c r="N4544">
        <v>56.522190640071699</v>
      </c>
      <c r="O4544">
        <v>56.138629638019196</v>
      </c>
      <c r="P4544">
        <v>-0.18830335871339099</v>
      </c>
      <c r="Q4544">
        <v>0.10541391747589</v>
      </c>
      <c r="R4544">
        <v>0.975482587041964</v>
      </c>
      <c r="S4544" t="s">
        <v>11547</v>
      </c>
      <c r="T4544" t="s">
        <v>14004</v>
      </c>
      <c r="U4544" t="s">
        <v>14004</v>
      </c>
      <c r="V4544" t="s">
        <v>14004</v>
      </c>
      <c r="W4544" t="s">
        <v>18493</v>
      </c>
      <c r="X4544">
        <v>70</v>
      </c>
      <c r="Y4544" t="s">
        <v>25304</v>
      </c>
      <c r="Z4544" t="s">
        <v>32254</v>
      </c>
      <c r="AA4544">
        <v>0.5921342531196887</v>
      </c>
      <c r="AB4544" t="str">
        <f>HYPERLINK("Melting_Curves/meltCurve_Q86VP6_CAND1.pdf", "Melting_Curves/meltCurve_Q86VP6_CAND1.pdf")</f>
        <v>Melting_Curves/meltCurve_Q86VP6_CAND1.pdf</v>
      </c>
    </row>
    <row r="4545" spans="1:28" x14ac:dyDescent="0.25">
      <c r="A4545" t="s">
        <v>4549</v>
      </c>
      <c r="B4545">
        <v>0.99999676499088797</v>
      </c>
      <c r="C4545">
        <v>0.938651261947819</v>
      </c>
      <c r="D4545">
        <v>0.90105140108412196</v>
      </c>
      <c r="E4545">
        <v>0.910888248737031</v>
      </c>
      <c r="F4545">
        <v>0.79304979415008603</v>
      </c>
      <c r="G4545">
        <v>0.413632832580067</v>
      </c>
      <c r="H4545">
        <v>0.30105276554742999</v>
      </c>
      <c r="I4545">
        <v>0.25984394667952898</v>
      </c>
      <c r="J4545">
        <v>0.21925323422047499</v>
      </c>
      <c r="K4545">
        <v>0.40445158239665002</v>
      </c>
      <c r="L4545">
        <v>1811.52489179089</v>
      </c>
      <c r="M4545">
        <v>33.312437444839901</v>
      </c>
      <c r="N4545">
        <v>55.818439414260602</v>
      </c>
      <c r="O4545">
        <v>54.1849941538621</v>
      </c>
      <c r="P4545">
        <v>-0.109415759563058</v>
      </c>
      <c r="Q4545">
        <v>0.28811373537440699</v>
      </c>
      <c r="R4545">
        <v>0.95955815471169803</v>
      </c>
      <c r="S4545" t="s">
        <v>11548</v>
      </c>
      <c r="T4545" t="s">
        <v>14004</v>
      </c>
      <c r="U4545" t="s">
        <v>14004</v>
      </c>
      <c r="V4545" t="s">
        <v>14004</v>
      </c>
      <c r="W4545" t="s">
        <v>18494</v>
      </c>
      <c r="X4545">
        <v>6</v>
      </c>
      <c r="Y4545" t="s">
        <v>25305</v>
      </c>
      <c r="Z4545" t="s">
        <v>32255</v>
      </c>
      <c r="AA4545">
        <v>0.63317411313959437</v>
      </c>
      <c r="AB4545" t="str">
        <f>HYPERLINK("Melting_Curves/meltCurve_Q86VQ1_GLCCI1.pdf", "Melting_Curves/meltCurve_Q86VQ1_GLCCI1.pdf")</f>
        <v>Melting_Curves/meltCurve_Q86VQ1_GLCCI1.pdf</v>
      </c>
    </row>
    <row r="4546" spans="1:28" x14ac:dyDescent="0.25">
      <c r="A4546" t="s">
        <v>4550</v>
      </c>
      <c r="B4546">
        <v>0.99999676499088797</v>
      </c>
      <c r="C4546">
        <v>1.08233364383943</v>
      </c>
      <c r="D4546">
        <v>1.0552872731018701</v>
      </c>
      <c r="E4546">
        <v>0.67605463331047499</v>
      </c>
      <c r="F4546">
        <v>0.30128511859888601</v>
      </c>
      <c r="G4546">
        <v>0.219108591844763</v>
      </c>
      <c r="H4546">
        <v>0.20910848516116201</v>
      </c>
      <c r="I4546">
        <v>0.30643386155816699</v>
      </c>
      <c r="J4546">
        <v>0.34021772982314102</v>
      </c>
      <c r="K4546">
        <v>0.37124382736888001</v>
      </c>
      <c r="L4546">
        <v>7086.8880078655902</v>
      </c>
      <c r="M4546">
        <v>142.70854509263199</v>
      </c>
      <c r="N4546">
        <v>49.9656663666021</v>
      </c>
      <c r="O4546">
        <v>49.650121060372598</v>
      </c>
      <c r="P4546">
        <v>-0.50930615100700205</v>
      </c>
      <c r="Q4546">
        <v>0.29122361358624299</v>
      </c>
      <c r="R4546">
        <v>0.97379079384398404</v>
      </c>
      <c r="S4546" t="s">
        <v>11549</v>
      </c>
      <c r="T4546" t="s">
        <v>14004</v>
      </c>
      <c r="U4546" t="s">
        <v>14004</v>
      </c>
      <c r="V4546" t="s">
        <v>14004</v>
      </c>
      <c r="W4546" t="s">
        <v>18495</v>
      </c>
      <c r="X4546">
        <v>2</v>
      </c>
      <c r="Y4546" t="s">
        <v>25306</v>
      </c>
      <c r="Z4546" t="s">
        <v>32256</v>
      </c>
      <c r="AA4546">
        <v>0.5196362297568291</v>
      </c>
      <c r="AB4546" t="str">
        <f>HYPERLINK("Melting_Curves/meltCurve_Q86VQ2_WASF3.pdf", "Melting_Curves/meltCurve_Q86VQ2_WASF3.pdf")</f>
        <v>Melting_Curves/meltCurve_Q86VQ2_WASF3.pdf</v>
      </c>
    </row>
    <row r="4547" spans="1:28" x14ac:dyDescent="0.25">
      <c r="A4547" t="s">
        <v>4551</v>
      </c>
      <c r="B4547">
        <v>0.99999676499088797</v>
      </c>
      <c r="C4547">
        <v>0.99949000922852405</v>
      </c>
      <c r="D4547">
        <v>1.0228154518702</v>
      </c>
      <c r="E4547">
        <v>0.82585137796160202</v>
      </c>
      <c r="F4547">
        <v>0.38886291157414299</v>
      </c>
      <c r="G4547">
        <v>0.25380154910837899</v>
      </c>
      <c r="H4547">
        <v>0.10666927874514</v>
      </c>
      <c r="I4547">
        <v>0.100110103069464</v>
      </c>
      <c r="J4547">
        <v>0.10820016900531</v>
      </c>
      <c r="K4547">
        <v>6.3212212595158496E-2</v>
      </c>
      <c r="L4547">
        <v>1393.21367003452</v>
      </c>
      <c r="M4547">
        <v>26.738881651553001</v>
      </c>
      <c r="N4547">
        <v>52.529951734291103</v>
      </c>
      <c r="O4547">
        <v>51.815593842093499</v>
      </c>
      <c r="P4547">
        <v>-0.116448002062427</v>
      </c>
      <c r="Q4547">
        <v>9.7380315454662497E-2</v>
      </c>
      <c r="R4547">
        <v>0.99385886602383899</v>
      </c>
      <c r="S4547" t="s">
        <v>11550</v>
      </c>
      <c r="T4547" t="s">
        <v>14004</v>
      </c>
      <c r="U4547" t="s">
        <v>14004</v>
      </c>
      <c r="V4547" t="s">
        <v>14004</v>
      </c>
      <c r="W4547" t="s">
        <v>18496</v>
      </c>
      <c r="X4547">
        <v>5</v>
      </c>
      <c r="Y4547" t="s">
        <v>25307</v>
      </c>
      <c r="Z4547" t="s">
        <v>32257</v>
      </c>
      <c r="AA4547">
        <v>0.4688119941115495</v>
      </c>
      <c r="AB4547" t="str">
        <f>HYPERLINK("Melting_Curves/meltCurve_Q86VR2_FAM134C.pdf", "Melting_Curves/meltCurve_Q86VR2_FAM134C.pdf")</f>
        <v>Melting_Curves/meltCurve_Q86VR2_FAM134C.pdf</v>
      </c>
    </row>
    <row r="4548" spans="1:28" x14ac:dyDescent="0.25">
      <c r="A4548" t="s">
        <v>4552</v>
      </c>
      <c r="B4548">
        <v>0.99999676499088797</v>
      </c>
      <c r="C4548">
        <v>0.95630012832154598</v>
      </c>
      <c r="D4548">
        <v>0.82767620026330901</v>
      </c>
      <c r="E4548">
        <v>0.48453959240626998</v>
      </c>
      <c r="F4548">
        <v>0.319171822879881</v>
      </c>
      <c r="G4548">
        <v>0.17952334573579501</v>
      </c>
      <c r="H4548">
        <v>9.9272092744717502E-2</v>
      </c>
      <c r="I4548">
        <v>0.10565883204474601</v>
      </c>
      <c r="J4548">
        <v>0.10087633496116501</v>
      </c>
      <c r="K4548">
        <v>8.1667295080916094E-2</v>
      </c>
      <c r="L4548">
        <v>889.09545022742896</v>
      </c>
      <c r="M4548">
        <v>18.004502284202999</v>
      </c>
      <c r="N4548">
        <v>49.919686303940601</v>
      </c>
      <c r="O4548">
        <v>48.7847346673326</v>
      </c>
      <c r="P4548">
        <v>-8.4134674885025906E-2</v>
      </c>
      <c r="Q4548">
        <v>8.8164634668745204E-2</v>
      </c>
      <c r="R4548">
        <v>0.99665884451944997</v>
      </c>
      <c r="S4548" t="s">
        <v>11551</v>
      </c>
      <c r="T4548" t="s">
        <v>14004</v>
      </c>
      <c r="U4548" t="s">
        <v>14004</v>
      </c>
      <c r="V4548" t="s">
        <v>14004</v>
      </c>
      <c r="W4548" t="s">
        <v>18497</v>
      </c>
      <c r="X4548">
        <v>29</v>
      </c>
      <c r="Y4548" t="s">
        <v>25308</v>
      </c>
      <c r="Z4548" t="s">
        <v>32258</v>
      </c>
      <c r="AA4548">
        <v>0.38900259963893868</v>
      </c>
      <c r="AB4548" t="str">
        <f>HYPERLINK("Melting_Curves/meltCurve_Q86VS8_HOOK3.pdf", "Melting_Curves/meltCurve_Q86VS8_HOOK3.pdf")</f>
        <v>Melting_Curves/meltCurve_Q86VS8_HOOK3.pdf</v>
      </c>
    </row>
    <row r="4549" spans="1:28" x14ac:dyDescent="0.25">
      <c r="A4549" t="s">
        <v>4553</v>
      </c>
      <c r="B4549">
        <v>0.99999676499088797</v>
      </c>
      <c r="C4549">
        <v>0.97145032427021505</v>
      </c>
      <c r="D4549">
        <v>0.99881482902682495</v>
      </c>
      <c r="E4549">
        <v>0.88111853222178005</v>
      </c>
      <c r="F4549">
        <v>0.38792245656473701</v>
      </c>
      <c r="G4549">
        <v>0.28183038709354802</v>
      </c>
      <c r="H4549">
        <v>0.113180905459717</v>
      </c>
      <c r="I4549">
        <v>0.102659839074217</v>
      </c>
      <c r="J4549">
        <v>8.2037788448508495E-2</v>
      </c>
      <c r="K4549">
        <v>8.0957005204894503E-2</v>
      </c>
      <c r="L4549">
        <v>1459.84764767205</v>
      </c>
      <c r="M4549">
        <v>27.9045199077418</v>
      </c>
      <c r="N4549">
        <v>52.744124839808102</v>
      </c>
      <c r="O4549">
        <v>52.049343753035799</v>
      </c>
      <c r="P4549">
        <v>-0.12044173415877001</v>
      </c>
      <c r="Q4549">
        <v>0.101384456348313</v>
      </c>
      <c r="R4549">
        <v>0.99012663451314897</v>
      </c>
      <c r="S4549" t="s">
        <v>11552</v>
      </c>
      <c r="T4549" t="s">
        <v>14004</v>
      </c>
      <c r="U4549" t="s">
        <v>14004</v>
      </c>
      <c r="V4549" t="s">
        <v>14004</v>
      </c>
      <c r="W4549" t="s">
        <v>18498</v>
      </c>
      <c r="X4549">
        <v>3</v>
      </c>
      <c r="Y4549" t="s">
        <v>25309</v>
      </c>
      <c r="Z4549" t="s">
        <v>32259</v>
      </c>
      <c r="AA4549">
        <v>0.47694264532954589</v>
      </c>
      <c r="AB4549" t="str">
        <f>HYPERLINK("Melting_Curves/meltCurve_Q86VU5_COMTD1.pdf", "Melting_Curves/meltCurve_Q86VU5_COMTD1.pdf")</f>
        <v>Melting_Curves/meltCurve_Q86VU5_COMTD1.pdf</v>
      </c>
    </row>
    <row r="4550" spans="1:28" x14ac:dyDescent="0.25">
      <c r="A4550" t="s">
        <v>4554</v>
      </c>
      <c r="B4550">
        <v>0.99999676499088797</v>
      </c>
      <c r="C4550">
        <v>0.93600130935705705</v>
      </c>
      <c r="D4550">
        <v>0.84679285589409103</v>
      </c>
      <c r="E4550">
        <v>0.40386947264276701</v>
      </c>
      <c r="F4550">
        <v>0.28530894515655097</v>
      </c>
      <c r="G4550">
        <v>0.22496919407341301</v>
      </c>
      <c r="H4550">
        <v>0.101724176469608</v>
      </c>
      <c r="I4550">
        <v>0.10307259287639001</v>
      </c>
      <c r="J4550">
        <v>8.1923728769590198E-2</v>
      </c>
      <c r="K4550">
        <v>8.7011852617576296E-2</v>
      </c>
      <c r="L4550">
        <v>972.49460619563297</v>
      </c>
      <c r="M4550">
        <v>19.942673699879201</v>
      </c>
      <c r="N4550">
        <v>49.337220923473303</v>
      </c>
      <c r="O4550">
        <v>48.282139345717198</v>
      </c>
      <c r="P4550">
        <v>-9.2594458813162694E-2</v>
      </c>
      <c r="Q4550">
        <v>0.10332797676293599</v>
      </c>
      <c r="R4550">
        <v>0.98694811171430497</v>
      </c>
      <c r="S4550" t="s">
        <v>11553</v>
      </c>
      <c r="T4550" t="s">
        <v>14004</v>
      </c>
      <c r="U4550" t="s">
        <v>14004</v>
      </c>
      <c r="V4550" t="s">
        <v>14004</v>
      </c>
      <c r="W4550" t="s">
        <v>18499</v>
      </c>
      <c r="X4550">
        <v>2</v>
      </c>
      <c r="Y4550" t="s">
        <v>25310</v>
      </c>
      <c r="Z4550" t="s">
        <v>32260</v>
      </c>
      <c r="AA4550">
        <v>0.37795621834399412</v>
      </c>
      <c r="AB4550" t="str">
        <f>HYPERLINK("Melting_Curves/meltCurve_Q86VW0_SESTD1.pdf", "Melting_Curves/meltCurve_Q86VW0_SESTD1.pdf")</f>
        <v>Melting_Curves/meltCurve_Q86VW0_SESTD1.pdf</v>
      </c>
    </row>
    <row r="4551" spans="1:28" x14ac:dyDescent="0.25">
      <c r="A4551" t="s">
        <v>4555</v>
      </c>
      <c r="B4551">
        <v>0.99999676499088797</v>
      </c>
      <c r="C4551">
        <v>0.81306471826479798</v>
      </c>
      <c r="D4551">
        <v>0.78463674701782804</v>
      </c>
      <c r="E4551">
        <v>0.53275506315572996</v>
      </c>
      <c r="F4551">
        <v>0.32298853576784198</v>
      </c>
      <c r="G4551">
        <v>0.18494134762484801</v>
      </c>
      <c r="H4551">
        <v>9.4586232085326197E-2</v>
      </c>
      <c r="I4551">
        <v>0.106370193685887</v>
      </c>
      <c r="J4551">
        <v>9.8795051031401196E-2</v>
      </c>
      <c r="K4551">
        <v>6.1223490659217498E-2</v>
      </c>
      <c r="L4551">
        <v>651.34930951053002</v>
      </c>
      <c r="M4551">
        <v>13.1284511889914</v>
      </c>
      <c r="N4551">
        <v>49.974376495365597</v>
      </c>
      <c r="O4551">
        <v>48.504813497336301</v>
      </c>
      <c r="P4551">
        <v>-6.4617152050713902E-2</v>
      </c>
      <c r="Q4551">
        <v>4.5216047548645603E-2</v>
      </c>
      <c r="R4551">
        <v>0.99048253185076096</v>
      </c>
      <c r="S4551" t="s">
        <v>11554</v>
      </c>
      <c r="T4551" t="s">
        <v>14004</v>
      </c>
      <c r="U4551" t="s">
        <v>14004</v>
      </c>
      <c r="V4551" t="s">
        <v>14004</v>
      </c>
      <c r="W4551" t="s">
        <v>18500</v>
      </c>
      <c r="X4551">
        <v>3</v>
      </c>
      <c r="Y4551" t="s">
        <v>25311</v>
      </c>
      <c r="Z4551" t="s">
        <v>32261</v>
      </c>
      <c r="AA4551">
        <v>0.38032460491251868</v>
      </c>
      <c r="AB4551" t="str">
        <f>HYPERLINK("Melting_Curves/meltCurve_Q86VX2_2_COMMD7.pdf", "Melting_Curves/meltCurve_Q86VX2_2_COMMD7.pdf")</f>
        <v>Melting_Curves/meltCurve_Q86VX2_2_COMMD7.pdf</v>
      </c>
    </row>
    <row r="4552" spans="1:28" x14ac:dyDescent="0.25">
      <c r="A4552" t="s">
        <v>4556</v>
      </c>
      <c r="B4552">
        <v>0.99999676499088797</v>
      </c>
      <c r="C4552">
        <v>1.0005610712787101</v>
      </c>
      <c r="D4552">
        <v>0.93104492814097695</v>
      </c>
      <c r="E4552">
        <v>0.84539272757892603</v>
      </c>
      <c r="F4552">
        <v>0.53303402933739397</v>
      </c>
      <c r="G4552">
        <v>0.32793104403503398</v>
      </c>
      <c r="H4552">
        <v>0.14503008302074499</v>
      </c>
      <c r="I4552">
        <v>0.192230784007073</v>
      </c>
      <c r="J4552">
        <v>0.19702303526002399</v>
      </c>
      <c r="K4552">
        <v>0.18869219786895799</v>
      </c>
      <c r="L4552">
        <v>1188.71040686727</v>
      </c>
      <c r="M4552">
        <v>22.574622923642501</v>
      </c>
      <c r="N4552">
        <v>53.645828411149203</v>
      </c>
      <c r="O4552">
        <v>52.248951226247399</v>
      </c>
      <c r="P4552">
        <v>-8.9631922650185894E-2</v>
      </c>
      <c r="Q4552">
        <v>0.170204604812601</v>
      </c>
      <c r="R4552">
        <v>0.99435210338372304</v>
      </c>
      <c r="S4552" t="s">
        <v>11555</v>
      </c>
      <c r="T4552" t="s">
        <v>14004</v>
      </c>
      <c r="U4552" t="s">
        <v>14004</v>
      </c>
      <c r="V4552" t="s">
        <v>14004</v>
      </c>
      <c r="W4552" t="s">
        <v>18501</v>
      </c>
      <c r="X4552">
        <v>5</v>
      </c>
      <c r="Y4552" t="s">
        <v>25312</v>
      </c>
      <c r="Z4552" t="s">
        <v>32262</v>
      </c>
      <c r="AA4552">
        <v>0.52951059401384526</v>
      </c>
      <c r="AB4552" t="str">
        <f>HYPERLINK("Melting_Curves/meltCurve_Q86VX9_MON1A.pdf", "Melting_Curves/meltCurve_Q86VX9_MON1A.pdf")</f>
        <v>Melting_Curves/meltCurve_Q86VX9_MON1A.pdf</v>
      </c>
    </row>
    <row r="4553" spans="1:28" x14ac:dyDescent="0.25">
      <c r="A4553" t="s">
        <v>4557</v>
      </c>
      <c r="B4553">
        <v>0.99999676499088797</v>
      </c>
      <c r="C4553">
        <v>0.99444463844947395</v>
      </c>
      <c r="D4553">
        <v>0.73709511478239098</v>
      </c>
      <c r="E4553">
        <v>0.36154570170620798</v>
      </c>
      <c r="F4553">
        <v>0.22149978470783399</v>
      </c>
      <c r="G4553">
        <v>0.14319951297008099</v>
      </c>
      <c r="H4553">
        <v>6.5667739345294601E-2</v>
      </c>
      <c r="I4553">
        <v>5.3181804279894898E-2</v>
      </c>
      <c r="J4553">
        <v>3.06049537829624E-2</v>
      </c>
      <c r="K4553">
        <v>3.4423406685206298E-2</v>
      </c>
      <c r="L4553">
        <v>989.20281487388002</v>
      </c>
      <c r="M4553">
        <v>20.495636855609899</v>
      </c>
      <c r="N4553">
        <v>48.539818567697402</v>
      </c>
      <c r="O4553">
        <v>47.811650838538696</v>
      </c>
      <c r="P4553">
        <v>-0.101282115685968</v>
      </c>
      <c r="Q4553">
        <v>5.4955523644230099E-2</v>
      </c>
      <c r="R4553">
        <v>0.99219400289265902</v>
      </c>
      <c r="S4553" t="s">
        <v>11556</v>
      </c>
      <c r="T4553" t="s">
        <v>14004</v>
      </c>
      <c r="U4553" t="s">
        <v>14004</v>
      </c>
      <c r="V4553" t="s">
        <v>14004</v>
      </c>
      <c r="W4553" t="s">
        <v>18502</v>
      </c>
      <c r="X4553">
        <v>3</v>
      </c>
      <c r="Y4553" t="s">
        <v>25313</v>
      </c>
      <c r="Z4553" t="s">
        <v>32263</v>
      </c>
      <c r="AA4553">
        <v>0.32798038459848111</v>
      </c>
      <c r="AB4553" t="str">
        <f>HYPERLINK("Melting_Curves/meltCurve_Q86VY4_TSPYL5.pdf", "Melting_Curves/meltCurve_Q86VY4_TSPYL5.pdf")</f>
        <v>Melting_Curves/meltCurve_Q86VY4_TSPYL5.pdf</v>
      </c>
    </row>
    <row r="4554" spans="1:28" x14ac:dyDescent="0.25">
      <c r="A4554" t="s">
        <v>4558</v>
      </c>
      <c r="B4554">
        <v>0.99999676499088797</v>
      </c>
      <c r="C4554">
        <v>2.5210600349984902</v>
      </c>
      <c r="D4554">
        <v>1.2108466118755801</v>
      </c>
      <c r="E4554">
        <v>0.61310421109689495</v>
      </c>
      <c r="F4554">
        <v>0.37297612464568197</v>
      </c>
      <c r="G4554">
        <v>0.49179429693176402</v>
      </c>
      <c r="H4554">
        <v>0.368391645516356</v>
      </c>
      <c r="I4554">
        <v>0.53933950922997398</v>
      </c>
      <c r="J4554">
        <v>0.38649876690456197</v>
      </c>
      <c r="K4554">
        <v>0.24015183687122299</v>
      </c>
      <c r="L4554">
        <v>12370.4527235841</v>
      </c>
      <c r="M4554">
        <v>250</v>
      </c>
      <c r="N4554">
        <v>49.802154985151098</v>
      </c>
      <c r="O4554">
        <v>49.4786443940285</v>
      </c>
      <c r="P4554">
        <v>-0.75808123157329399</v>
      </c>
      <c r="Q4554">
        <v>0.39985869393217399</v>
      </c>
      <c r="R4554">
        <v>0.42745789724803901</v>
      </c>
      <c r="S4554" t="s">
        <v>11557</v>
      </c>
      <c r="T4554" t="s">
        <v>14004</v>
      </c>
      <c r="U4554" t="s">
        <v>14004</v>
      </c>
      <c r="V4554" t="s">
        <v>14004</v>
      </c>
      <c r="W4554" t="s">
        <v>18503</v>
      </c>
      <c r="X4554">
        <v>3</v>
      </c>
      <c r="Y4554" t="s">
        <v>25314</v>
      </c>
      <c r="Z4554" t="s">
        <v>32264</v>
      </c>
      <c r="AA4554">
        <v>0.58959168922181382</v>
      </c>
      <c r="AB4554" t="str">
        <f>HYPERLINK("Melting_Curves/meltCurve_Q86VZ1_P2RY8.pdf", "Melting_Curves/meltCurve_Q86VZ1_P2RY8.pdf")</f>
        <v>Melting_Curves/meltCurve_Q86VZ1_P2RY8.pdf</v>
      </c>
    </row>
    <row r="4555" spans="1:28" x14ac:dyDescent="0.25">
      <c r="A4555" t="s">
        <v>4559</v>
      </c>
      <c r="B4555">
        <v>0.99999676499088797</v>
      </c>
      <c r="C4555">
        <v>0.88923945259492099</v>
      </c>
      <c r="D4555">
        <v>0.81902890979335097</v>
      </c>
      <c r="E4555">
        <v>0.86611956392810296</v>
      </c>
      <c r="F4555">
        <v>0.49981919870446101</v>
      </c>
      <c r="G4555">
        <v>0.28270835153042201</v>
      </c>
      <c r="H4555">
        <v>0.23928655335660601</v>
      </c>
      <c r="I4555">
        <v>0.186644427354832</v>
      </c>
      <c r="J4555">
        <v>0.22133564408258999</v>
      </c>
      <c r="K4555">
        <v>0.18924632786874801</v>
      </c>
      <c r="L4555">
        <v>958.385627237064</v>
      </c>
      <c r="M4555">
        <v>18.378195237919801</v>
      </c>
      <c r="N4555">
        <v>53.410668415486199</v>
      </c>
      <c r="O4555">
        <v>51.542332405572502</v>
      </c>
      <c r="P4555">
        <v>-7.3437892206750205E-2</v>
      </c>
      <c r="Q4555">
        <v>0.176200532415665</v>
      </c>
      <c r="R4555">
        <v>0.96541149627773504</v>
      </c>
      <c r="S4555" t="s">
        <v>11558</v>
      </c>
      <c r="T4555" t="s">
        <v>14004</v>
      </c>
      <c r="U4555" t="s">
        <v>14004</v>
      </c>
      <c r="V4555" t="s">
        <v>14004</v>
      </c>
      <c r="W4555" t="s">
        <v>18504</v>
      </c>
      <c r="X4555">
        <v>1</v>
      </c>
      <c r="Y4555" t="s">
        <v>25315</v>
      </c>
      <c r="Z4555" t="s">
        <v>32265</v>
      </c>
      <c r="AA4555">
        <v>0.52298870836175615</v>
      </c>
      <c r="AB4555" t="str">
        <f>HYPERLINK("Melting_Curves/meltCurve_Q86W33_TPRA1.pdf", "Melting_Curves/meltCurve_Q86W33_TPRA1.pdf")</f>
        <v>Melting_Curves/meltCurve_Q86W33_TPRA1.pdf</v>
      </c>
    </row>
    <row r="4556" spans="1:28" x14ac:dyDescent="0.25">
      <c r="A4556" t="s">
        <v>4560</v>
      </c>
      <c r="B4556">
        <v>0.99999676499088797</v>
      </c>
      <c r="C4556">
        <v>1.03731273550753</v>
      </c>
      <c r="D4556">
        <v>0.97632014216353502</v>
      </c>
      <c r="E4556">
        <v>0.82957134294129298</v>
      </c>
      <c r="F4556">
        <v>0.56323356654601098</v>
      </c>
      <c r="G4556">
        <v>0.344066348805389</v>
      </c>
      <c r="H4556">
        <v>0.140425344721611</v>
      </c>
      <c r="I4556">
        <v>0.114855401744707</v>
      </c>
      <c r="J4556">
        <v>9.5805544844142401E-2</v>
      </c>
      <c r="K4556">
        <v>7.3880206838012399E-2</v>
      </c>
      <c r="L4556">
        <v>996.93918732069994</v>
      </c>
      <c r="M4556">
        <v>18.5479708395595</v>
      </c>
      <c r="N4556">
        <v>54.158745925396602</v>
      </c>
      <c r="O4556">
        <v>53.136134089046898</v>
      </c>
      <c r="P4556">
        <v>-8.1560423899214002E-2</v>
      </c>
      <c r="Q4556">
        <v>6.5425346693071901E-2</v>
      </c>
      <c r="R4556">
        <v>0.99744174792891604</v>
      </c>
      <c r="S4556" t="s">
        <v>11559</v>
      </c>
      <c r="T4556" t="s">
        <v>14004</v>
      </c>
      <c r="U4556" t="s">
        <v>14004</v>
      </c>
      <c r="V4556" t="s">
        <v>14004</v>
      </c>
      <c r="W4556" t="s">
        <v>18505</v>
      </c>
      <c r="X4556">
        <v>7</v>
      </c>
      <c r="Y4556" t="s">
        <v>25316</v>
      </c>
      <c r="Z4556" t="s">
        <v>32266</v>
      </c>
      <c r="AA4556">
        <v>0.50812440709892637</v>
      </c>
      <c r="AB4556" t="str">
        <f>HYPERLINK("Melting_Curves/meltCurve_Q86W42_THOC6.pdf", "Melting_Curves/meltCurve_Q86W42_THOC6.pdf")</f>
        <v>Melting_Curves/meltCurve_Q86W42_THOC6.pdf</v>
      </c>
    </row>
    <row r="4557" spans="1:28" x14ac:dyDescent="0.25">
      <c r="A4557" t="s">
        <v>4561</v>
      </c>
      <c r="B4557">
        <v>0.99999676499088797</v>
      </c>
      <c r="C4557">
        <v>1.03161505989445</v>
      </c>
      <c r="D4557">
        <v>0.84013684431399804</v>
      </c>
      <c r="E4557">
        <v>0.46907467171878198</v>
      </c>
      <c r="F4557">
        <v>0.205431982731164</v>
      </c>
      <c r="G4557">
        <v>0.130775806306311</v>
      </c>
      <c r="H4557">
        <v>5.71975110027668E-2</v>
      </c>
      <c r="I4557">
        <v>6.0579752977164503E-2</v>
      </c>
      <c r="J4557">
        <v>6.0670207930222798E-2</v>
      </c>
      <c r="K4557">
        <v>5.1224450605648397E-2</v>
      </c>
      <c r="L4557">
        <v>1168.45633522707</v>
      </c>
      <c r="M4557">
        <v>23.766958262321101</v>
      </c>
      <c r="N4557">
        <v>49.437852677793302</v>
      </c>
      <c r="O4557">
        <v>48.8189561408755</v>
      </c>
      <c r="P4557">
        <v>-0.11418063307104</v>
      </c>
      <c r="Q4557">
        <v>6.1875807444739798E-2</v>
      </c>
      <c r="R4557">
        <v>0.99652567157966399</v>
      </c>
      <c r="S4557" t="s">
        <v>11560</v>
      </c>
      <c r="T4557" t="s">
        <v>14004</v>
      </c>
      <c r="U4557" t="s">
        <v>14004</v>
      </c>
      <c r="V4557" t="s">
        <v>14004</v>
      </c>
      <c r="W4557" t="s">
        <v>18506</v>
      </c>
      <c r="X4557">
        <v>11</v>
      </c>
      <c r="Y4557" t="s">
        <v>25317</v>
      </c>
      <c r="Z4557" t="s">
        <v>32267</v>
      </c>
      <c r="AA4557">
        <v>0.35764406988890413</v>
      </c>
      <c r="AB4557" t="str">
        <f>HYPERLINK("Melting_Curves/meltCurve_Q86W50_METTL16.pdf", "Melting_Curves/meltCurve_Q86W50_METTL16.pdf")</f>
        <v>Melting_Curves/meltCurve_Q86W50_METTL16.pdf</v>
      </c>
    </row>
    <row r="4558" spans="1:28" x14ac:dyDescent="0.25">
      <c r="A4558" t="s">
        <v>4562</v>
      </c>
      <c r="B4558">
        <v>0.99999676499088797</v>
      </c>
      <c r="C4558">
        <v>0.98960710923415696</v>
      </c>
      <c r="D4558">
        <v>0.92309977737448401</v>
      </c>
      <c r="E4558">
        <v>0.52670393424092898</v>
      </c>
      <c r="F4558">
        <v>0.229462702923203</v>
      </c>
      <c r="G4558">
        <v>0.15310379326948201</v>
      </c>
      <c r="H4558">
        <v>8.5089171933130703E-2</v>
      </c>
      <c r="I4558">
        <v>7.8317870182401106E-2</v>
      </c>
      <c r="J4558">
        <v>8.1598136915605801E-2</v>
      </c>
      <c r="K4558">
        <v>6.1755434557203302E-2</v>
      </c>
      <c r="L4558">
        <v>1288.39914037932</v>
      </c>
      <c r="M4558">
        <v>25.949966946884398</v>
      </c>
      <c r="N4558">
        <v>49.997586245910099</v>
      </c>
      <c r="O4558">
        <v>49.357329592882103</v>
      </c>
      <c r="P4558">
        <v>-0.120574265042467</v>
      </c>
      <c r="Q4558">
        <v>8.26725539535835E-2</v>
      </c>
      <c r="R4558">
        <v>0.99790988079023202</v>
      </c>
      <c r="S4558" t="s">
        <v>11561</v>
      </c>
      <c r="T4558" t="s">
        <v>14004</v>
      </c>
      <c r="U4558" t="s">
        <v>14004</v>
      </c>
      <c r="V4558" t="s">
        <v>14004</v>
      </c>
      <c r="W4558" t="s">
        <v>18507</v>
      </c>
      <c r="X4558">
        <v>17</v>
      </c>
      <c r="Y4558" t="s">
        <v>25318</v>
      </c>
      <c r="Z4558" t="s">
        <v>32268</v>
      </c>
      <c r="AA4558">
        <v>0.38530208392693699</v>
      </c>
      <c r="AB4558" t="str">
        <f>HYPERLINK("Melting_Curves/meltCurve_Q86W56_PARG.pdf", "Melting_Curves/meltCurve_Q86W56_PARG.pdf")</f>
        <v>Melting_Curves/meltCurve_Q86W56_PARG.pdf</v>
      </c>
    </row>
    <row r="4559" spans="1:28" x14ac:dyDescent="0.25">
      <c r="A4559" t="s">
        <v>4563</v>
      </c>
      <c r="B4559">
        <v>0.99999676499088797</v>
      </c>
      <c r="C4559">
        <v>0.98076932201921097</v>
      </c>
      <c r="D4559">
        <v>1.07553213859928</v>
      </c>
      <c r="E4559">
        <v>1.1812098295887901</v>
      </c>
      <c r="F4559">
        <v>1.2276532342055699</v>
      </c>
      <c r="G4559">
        <v>1.07349147864371</v>
      </c>
      <c r="H4559">
        <v>0.77397839600693397</v>
      </c>
      <c r="I4559">
        <v>0.71736007112650102</v>
      </c>
      <c r="J4559">
        <v>0.61779909086406204</v>
      </c>
      <c r="K4559">
        <v>1.0910008563704501</v>
      </c>
      <c r="L4559">
        <v>5848.8499280320502</v>
      </c>
      <c r="M4559">
        <v>99.136902381114794</v>
      </c>
      <c r="O4559">
        <v>58.973710718472198</v>
      </c>
      <c r="P4559">
        <v>-8.4744855302533506E-2</v>
      </c>
      <c r="Q4559">
        <v>0.79835083572503196</v>
      </c>
      <c r="R4559">
        <v>0.40532327183820199</v>
      </c>
      <c r="S4559" t="s">
        <v>11562</v>
      </c>
      <c r="T4559" t="s">
        <v>14004</v>
      </c>
      <c r="U4559" t="s">
        <v>14004</v>
      </c>
      <c r="V4559" t="s">
        <v>14004</v>
      </c>
      <c r="W4559" t="s">
        <v>18508</v>
      </c>
      <c r="X4559">
        <v>2</v>
      </c>
      <c r="Y4559" t="s">
        <v>25319</v>
      </c>
      <c r="Z4559" t="s">
        <v>32269</v>
      </c>
      <c r="AA4559">
        <v>0.92617949217213891</v>
      </c>
      <c r="AB4559" t="str">
        <f>HYPERLINK("Melting_Curves/meltCurve_Q86W92_4_PPFIBP1.pdf", "Melting_Curves/meltCurve_Q86W92_4_PPFIBP1.pdf")</f>
        <v>Melting_Curves/meltCurve_Q86W92_4_PPFIBP1.pdf</v>
      </c>
    </row>
    <row r="4560" spans="1:28" x14ac:dyDescent="0.25">
      <c r="A4560" t="s">
        <v>4564</v>
      </c>
      <c r="B4560">
        <v>0.99999676499088797</v>
      </c>
      <c r="C4560">
        <v>1.0414546503284401</v>
      </c>
      <c r="D4560">
        <v>1.0148698851957501</v>
      </c>
      <c r="E4560">
        <v>0.98450606099606397</v>
      </c>
      <c r="F4560">
        <v>0.40985711246360901</v>
      </c>
      <c r="G4560">
        <v>0.27721178402179802</v>
      </c>
      <c r="H4560">
        <v>0.13308332201430201</v>
      </c>
      <c r="I4560">
        <v>0.12013977278966401</v>
      </c>
      <c r="J4560">
        <v>7.7739069075122499E-2</v>
      </c>
      <c r="K4560">
        <v>5.3913056742709103E-2</v>
      </c>
      <c r="L4560">
        <v>2114.09300359603</v>
      </c>
      <c r="M4560">
        <v>40.234179556383197</v>
      </c>
      <c r="N4560">
        <v>52.8983332804398</v>
      </c>
      <c r="O4560">
        <v>52.415397914324899</v>
      </c>
      <c r="P4560">
        <v>-0.16927262779333499</v>
      </c>
      <c r="Q4560">
        <v>0.117916728801457</v>
      </c>
      <c r="R4560">
        <v>0.98460207081231399</v>
      </c>
      <c r="S4560" t="s">
        <v>11563</v>
      </c>
      <c r="T4560" t="s">
        <v>14004</v>
      </c>
      <c r="U4560" t="s">
        <v>14004</v>
      </c>
      <c r="V4560" t="s">
        <v>14004</v>
      </c>
      <c r="W4560" t="s">
        <v>18509</v>
      </c>
      <c r="X4560">
        <v>5</v>
      </c>
      <c r="Y4560" t="s">
        <v>25320</v>
      </c>
      <c r="Z4560" t="s">
        <v>32270</v>
      </c>
      <c r="AA4560">
        <v>0.48992982661728862</v>
      </c>
      <c r="AB4560" t="str">
        <f>HYPERLINK("Melting_Curves/meltCurve_Q86WA6_2_BPHL.pdf", "Melting_Curves/meltCurve_Q86WA6_2_BPHL.pdf")</f>
        <v>Melting_Curves/meltCurve_Q86WA6_2_BPHL.pdf</v>
      </c>
    </row>
    <row r="4561" spans="1:28" x14ac:dyDescent="0.25">
      <c r="A4561" t="s">
        <v>4565</v>
      </c>
      <c r="B4561">
        <v>0.99999676499088797</v>
      </c>
      <c r="C4561">
        <v>0.94337829956665897</v>
      </c>
      <c r="D4561">
        <v>0.91905686455354496</v>
      </c>
      <c r="E4561">
        <v>0.66476269542161204</v>
      </c>
      <c r="F4561">
        <v>0.50404091615255597</v>
      </c>
      <c r="G4561">
        <v>0.30440866578105602</v>
      </c>
      <c r="H4561">
        <v>0.125356357791094</v>
      </c>
      <c r="I4561">
        <v>0.12135415914627901</v>
      </c>
      <c r="J4561">
        <v>0.108086472668898</v>
      </c>
      <c r="K4561">
        <v>8.7996796965775601E-2</v>
      </c>
      <c r="L4561">
        <v>750.41393931343498</v>
      </c>
      <c r="M4561">
        <v>14.3292416334317</v>
      </c>
      <c r="N4561">
        <v>52.804740496503399</v>
      </c>
      <c r="O4561">
        <v>51.381126617281197</v>
      </c>
      <c r="P4561">
        <v>-6.5844132995044893E-2</v>
      </c>
      <c r="Q4561">
        <v>5.5710754095664498E-2</v>
      </c>
      <c r="R4561">
        <v>0.99485088157351698</v>
      </c>
      <c r="S4561" t="s">
        <v>11564</v>
      </c>
      <c r="T4561" t="s">
        <v>14004</v>
      </c>
      <c r="U4561" t="s">
        <v>14004</v>
      </c>
      <c r="V4561" t="s">
        <v>14004</v>
      </c>
      <c r="W4561" t="s">
        <v>18510</v>
      </c>
      <c r="X4561">
        <v>10</v>
      </c>
      <c r="Y4561" t="s">
        <v>25321</v>
      </c>
      <c r="Z4561" t="s">
        <v>32271</v>
      </c>
      <c r="AA4561">
        <v>0.46731924960699339</v>
      </c>
      <c r="AB4561" t="str">
        <f>HYPERLINK("Melting_Curves/meltCurve_Q86WA8_LONP2.pdf", "Melting_Curves/meltCurve_Q86WA8_LONP2.pdf")</f>
        <v>Melting_Curves/meltCurve_Q86WA8_LONP2.pdf</v>
      </c>
    </row>
    <row r="4562" spans="1:28" x14ac:dyDescent="0.25">
      <c r="A4562" t="s">
        <v>4566</v>
      </c>
      <c r="B4562">
        <v>0.99999676499088797</v>
      </c>
      <c r="C4562">
        <v>1.0006422759092399</v>
      </c>
      <c r="D4562">
        <v>1.0422168854279099</v>
      </c>
      <c r="E4562">
        <v>1.0178281862158101</v>
      </c>
      <c r="F4562">
        <v>0.72341052181056797</v>
      </c>
      <c r="G4562">
        <v>0.553800869872069</v>
      </c>
      <c r="H4562">
        <v>0.43120876702932298</v>
      </c>
      <c r="I4562">
        <v>0.37835264012013797</v>
      </c>
      <c r="J4562">
        <v>0.39247249054299899</v>
      </c>
      <c r="K4562">
        <v>0.42535097536108202</v>
      </c>
      <c r="L4562">
        <v>1578.60224652696</v>
      </c>
      <c r="M4562">
        <v>29.248414944013</v>
      </c>
      <c r="N4562">
        <v>57.198300208094899</v>
      </c>
      <c r="O4562">
        <v>53.721812587159</v>
      </c>
      <c r="P4562">
        <v>-8.1130420904689901E-2</v>
      </c>
      <c r="Q4562">
        <v>0.40394139732145601</v>
      </c>
      <c r="R4562">
        <v>0.98643471695434803</v>
      </c>
      <c r="S4562" t="s">
        <v>11565</v>
      </c>
      <c r="T4562" t="s">
        <v>14004</v>
      </c>
      <c r="U4562" t="s">
        <v>14004</v>
      </c>
      <c r="V4562" t="s">
        <v>14004</v>
      </c>
      <c r="W4562" t="s">
        <v>18511</v>
      </c>
      <c r="X4562">
        <v>6</v>
      </c>
      <c r="Y4562" t="s">
        <v>25322</v>
      </c>
      <c r="Z4562" t="s">
        <v>32272</v>
      </c>
      <c r="AA4562">
        <v>0.68566027617324354</v>
      </c>
      <c r="AB4562" t="str">
        <f>HYPERLINK("Melting_Curves/meltCurve_Q86WC4_OSTM1.pdf", "Melting_Curves/meltCurve_Q86WC4_OSTM1.pdf")</f>
        <v>Melting_Curves/meltCurve_Q86WC4_OSTM1.pdf</v>
      </c>
    </row>
    <row r="4563" spans="1:28" x14ac:dyDescent="0.25">
      <c r="A4563" t="s">
        <v>4567</v>
      </c>
      <c r="B4563">
        <v>0.99999676499088797</v>
      </c>
      <c r="C4563">
        <v>0.92814735556255101</v>
      </c>
      <c r="D4563">
        <v>0.41745391203105098</v>
      </c>
      <c r="E4563">
        <v>0.24399833778289601</v>
      </c>
      <c r="F4563">
        <v>0.20081529691438901</v>
      </c>
      <c r="G4563">
        <v>0.172736554146872</v>
      </c>
      <c r="H4563">
        <v>6.2200818972693597E-2</v>
      </c>
      <c r="I4563">
        <v>6.3032215169031E-2</v>
      </c>
      <c r="J4563">
        <v>5.2090432646797802E-2</v>
      </c>
      <c r="K4563">
        <v>4.3194623208387697E-2</v>
      </c>
      <c r="L4563">
        <v>1368.4233818087901</v>
      </c>
      <c r="M4563">
        <v>30.106040464573599</v>
      </c>
      <c r="N4563">
        <v>45.8073743849613</v>
      </c>
      <c r="O4563">
        <v>45.254320525779697</v>
      </c>
      <c r="P4563">
        <v>-0.149058377967214</v>
      </c>
      <c r="Q4563">
        <v>0.10376898052445099</v>
      </c>
      <c r="R4563">
        <v>0.971297078174023</v>
      </c>
      <c r="S4563" t="s">
        <v>11566</v>
      </c>
      <c r="T4563" t="s">
        <v>14004</v>
      </c>
      <c r="U4563" t="s">
        <v>14004</v>
      </c>
      <c r="V4563" t="s">
        <v>14004</v>
      </c>
      <c r="W4563" t="s">
        <v>18512</v>
      </c>
      <c r="X4563">
        <v>17</v>
      </c>
      <c r="Y4563" t="s">
        <v>25323</v>
      </c>
      <c r="Z4563" t="s">
        <v>32273</v>
      </c>
      <c r="AA4563">
        <v>0.27223151150050978</v>
      </c>
      <c r="AB4563" t="str">
        <f>HYPERLINK("Melting_Curves/meltCurve_Q86WJ1_CHD1L.pdf", "Melting_Curves/meltCurve_Q86WJ1_CHD1L.pdf")</f>
        <v>Melting_Curves/meltCurve_Q86WJ1_CHD1L.pdf</v>
      </c>
    </row>
    <row r="4564" spans="1:28" x14ac:dyDescent="0.25">
      <c r="A4564" t="s">
        <v>4568</v>
      </c>
      <c r="B4564">
        <v>0.99999676499088797</v>
      </c>
      <c r="C4564">
        <v>1.03335494631061</v>
      </c>
      <c r="D4564">
        <v>0.99812152065934501</v>
      </c>
      <c r="E4564">
        <v>0.90702296311407904</v>
      </c>
      <c r="F4564">
        <v>0.57739552472882105</v>
      </c>
      <c r="G4564">
        <v>0.27573348854213497</v>
      </c>
      <c r="H4564">
        <v>0.115843321669962</v>
      </c>
      <c r="I4564">
        <v>0.13019451609195601</v>
      </c>
      <c r="J4564">
        <v>0.12820666506091999</v>
      </c>
      <c r="K4564">
        <v>4.8925820752486297E-2</v>
      </c>
      <c r="L4564">
        <v>1381.28281951536</v>
      </c>
      <c r="M4564">
        <v>25.777932297760501</v>
      </c>
      <c r="N4564">
        <v>54.010698842731401</v>
      </c>
      <c r="O4564">
        <v>53.264570862199797</v>
      </c>
      <c r="P4564">
        <v>-0.109843146425536</v>
      </c>
      <c r="Q4564">
        <v>9.2141495770023493E-2</v>
      </c>
      <c r="R4564">
        <v>0.99656068137326204</v>
      </c>
      <c r="S4564" t="s">
        <v>11567</v>
      </c>
      <c r="T4564" t="s">
        <v>14004</v>
      </c>
      <c r="U4564" t="s">
        <v>14004</v>
      </c>
      <c r="V4564" t="s">
        <v>14004</v>
      </c>
      <c r="W4564" t="s">
        <v>18513</v>
      </c>
      <c r="X4564">
        <v>7</v>
      </c>
      <c r="Y4564" t="s">
        <v>25324</v>
      </c>
      <c r="Z4564" t="s">
        <v>32274</v>
      </c>
      <c r="AA4564">
        <v>0.51114172538105629</v>
      </c>
      <c r="AB4564" t="str">
        <f>HYPERLINK("Melting_Curves/meltCurve_Q86WQ0_NR2C2AP.pdf", "Melting_Curves/meltCurve_Q86WQ0_NR2C2AP.pdf")</f>
        <v>Melting_Curves/meltCurve_Q86WQ0_NR2C2AP.pdf</v>
      </c>
    </row>
    <row r="4565" spans="1:28" x14ac:dyDescent="0.25">
      <c r="A4565" t="s">
        <v>4569</v>
      </c>
      <c r="B4565">
        <v>0.99999676499088797</v>
      </c>
      <c r="C4565">
        <v>0.92783463660980203</v>
      </c>
      <c r="D4565">
        <v>0.84418102510668103</v>
      </c>
      <c r="E4565">
        <v>0.58236334291093905</v>
      </c>
      <c r="F4565">
        <v>0.20794157694566801</v>
      </c>
      <c r="G4565">
        <v>0.13921435437469501</v>
      </c>
      <c r="H4565">
        <v>7.8375939603007497E-2</v>
      </c>
      <c r="I4565">
        <v>7.8669111227106001E-2</v>
      </c>
      <c r="J4565">
        <v>9.2121784758596795E-2</v>
      </c>
      <c r="K4565">
        <v>7.8555040369211904E-2</v>
      </c>
      <c r="L4565">
        <v>1085.4442184684301</v>
      </c>
      <c r="M4565">
        <v>21.849292160535501</v>
      </c>
      <c r="N4565">
        <v>50.0378390313398</v>
      </c>
      <c r="O4565">
        <v>49.268159823957198</v>
      </c>
      <c r="P4565">
        <v>-0.102825520596539</v>
      </c>
      <c r="Q4565">
        <v>7.2572609701523197E-2</v>
      </c>
      <c r="R4565">
        <v>0.99569413603713897</v>
      </c>
      <c r="S4565" t="s">
        <v>11568</v>
      </c>
      <c r="T4565" t="s">
        <v>14004</v>
      </c>
      <c r="U4565" t="s">
        <v>14004</v>
      </c>
      <c r="V4565" t="s">
        <v>14004</v>
      </c>
      <c r="W4565" t="s">
        <v>18514</v>
      </c>
      <c r="X4565">
        <v>10</v>
      </c>
      <c r="Y4565" t="s">
        <v>25325</v>
      </c>
      <c r="Z4565" t="s">
        <v>32275</v>
      </c>
      <c r="AA4565">
        <v>0.38262403399462142</v>
      </c>
      <c r="AB4565" t="str">
        <f>HYPERLINK("Melting_Curves/meltCurve_Q86WR0_CCDC25.pdf", "Melting_Curves/meltCurve_Q86WR0_CCDC25.pdf")</f>
        <v>Melting_Curves/meltCurve_Q86WR0_CCDC25.pdf</v>
      </c>
    </row>
    <row r="4566" spans="1:28" x14ac:dyDescent="0.25">
      <c r="A4566" t="s">
        <v>4570</v>
      </c>
      <c r="B4566">
        <v>0.99999676499088797</v>
      </c>
      <c r="C4566">
        <v>0.88202744604332495</v>
      </c>
      <c r="D4566">
        <v>0.89790253974454104</v>
      </c>
      <c r="E4566">
        <v>0.53538030069688602</v>
      </c>
      <c r="F4566">
        <v>0.26959749195306199</v>
      </c>
      <c r="G4566">
        <v>0.14925956627481601</v>
      </c>
      <c r="H4566">
        <v>6.4520238116012804E-2</v>
      </c>
      <c r="I4566">
        <v>6.4945548557549804E-2</v>
      </c>
      <c r="J4566">
        <v>5.3300039966727497E-2</v>
      </c>
      <c r="K4566">
        <v>5.6006890179515698E-2</v>
      </c>
      <c r="L4566">
        <v>963.30522570963501</v>
      </c>
      <c r="M4566">
        <v>19.296706163559801</v>
      </c>
      <c r="N4566">
        <v>50.1894837774461</v>
      </c>
      <c r="O4566">
        <v>49.393865064338002</v>
      </c>
      <c r="P4566">
        <v>-9.28766175976561E-2</v>
      </c>
      <c r="Q4566">
        <v>4.9089054505742302E-2</v>
      </c>
      <c r="R4566">
        <v>0.99297252066727704</v>
      </c>
      <c r="S4566" t="s">
        <v>11569</v>
      </c>
      <c r="T4566" t="s">
        <v>14004</v>
      </c>
      <c r="U4566" t="s">
        <v>14004</v>
      </c>
      <c r="V4566" t="s">
        <v>14004</v>
      </c>
      <c r="W4566" t="s">
        <v>18515</v>
      </c>
      <c r="X4566">
        <v>3</v>
      </c>
      <c r="Y4566" t="s">
        <v>25326</v>
      </c>
      <c r="Z4566" t="s">
        <v>32276</v>
      </c>
      <c r="AA4566">
        <v>0.37774529401993179</v>
      </c>
      <c r="AB4566" t="str">
        <f>HYPERLINK("Melting_Curves/meltCurve_Q86WV1_2_SKAP1.pdf", "Melting_Curves/meltCurve_Q86WV1_2_SKAP1.pdf")</f>
        <v>Melting_Curves/meltCurve_Q86WV1_2_SKAP1.pdf</v>
      </c>
    </row>
    <row r="4567" spans="1:28" x14ac:dyDescent="0.25">
      <c r="A4567" t="s">
        <v>4571</v>
      </c>
      <c r="B4567">
        <v>0.99999676499088797</v>
      </c>
      <c r="C4567">
        <v>0.96630330791480701</v>
      </c>
      <c r="D4567">
        <v>1.0059786538139699</v>
      </c>
      <c r="E4567">
        <v>0.87019312494242096</v>
      </c>
      <c r="F4567">
        <v>0.18220222538136799</v>
      </c>
      <c r="G4567">
        <v>0.120587632392627</v>
      </c>
      <c r="H4567">
        <v>4.8753556925440401E-2</v>
      </c>
      <c r="I4567">
        <v>6.0350791440440602E-2</v>
      </c>
      <c r="J4567">
        <v>4.1903053044344503E-2</v>
      </c>
      <c r="K4567">
        <v>4.1609952467653803E-2</v>
      </c>
      <c r="L4567">
        <v>2689.2045873164402</v>
      </c>
      <c r="M4567">
        <v>52.405815221524101</v>
      </c>
      <c r="N4567">
        <v>51.4415893780196</v>
      </c>
      <c r="O4567">
        <v>51.240444847572903</v>
      </c>
      <c r="P4567">
        <v>-0.24021845559530799</v>
      </c>
      <c r="Q4567">
        <v>6.0494184009367402E-2</v>
      </c>
      <c r="R4567">
        <v>0.997331466561444</v>
      </c>
      <c r="S4567" t="s">
        <v>11570</v>
      </c>
      <c r="T4567" t="s">
        <v>14004</v>
      </c>
      <c r="U4567" t="s">
        <v>14004</v>
      </c>
      <c r="V4567" t="s">
        <v>14004</v>
      </c>
      <c r="W4567" t="s">
        <v>18516</v>
      </c>
      <c r="X4567">
        <v>5</v>
      </c>
      <c r="Y4567" t="s">
        <v>25327</v>
      </c>
      <c r="Z4567" t="s">
        <v>32277</v>
      </c>
      <c r="AA4567">
        <v>0.41677937205180271</v>
      </c>
      <c r="AB4567" t="str">
        <f>HYPERLINK("Melting_Curves/meltCurve_Q86WV6_TMEM173.pdf", "Melting_Curves/meltCurve_Q86WV6_TMEM173.pdf")</f>
        <v>Melting_Curves/meltCurve_Q86WV6_TMEM173.pdf</v>
      </c>
    </row>
    <row r="4568" spans="1:28" x14ac:dyDescent="0.25">
      <c r="A4568" t="s">
        <v>4572</v>
      </c>
      <c r="B4568">
        <v>0.99999676499088797</v>
      </c>
      <c r="C4568">
        <v>0.99724193051024601</v>
      </c>
      <c r="D4568">
        <v>1.00528540194273</v>
      </c>
      <c r="E4568">
        <v>0.92646683925304396</v>
      </c>
      <c r="F4568">
        <v>0.73250503630341302</v>
      </c>
      <c r="G4568">
        <v>0.50956761568676101</v>
      </c>
      <c r="H4568">
        <v>0.22999892634778701</v>
      </c>
      <c r="I4568">
        <v>0.226026036698733</v>
      </c>
      <c r="J4568">
        <v>0.19290709522726901</v>
      </c>
      <c r="K4568">
        <v>0.18306806397314701</v>
      </c>
      <c r="L4568">
        <v>1157.8333059398301</v>
      </c>
      <c r="M4568">
        <v>20.920537070273902</v>
      </c>
      <c r="N4568">
        <v>56.437225460428003</v>
      </c>
      <c r="O4568">
        <v>54.846109611358401</v>
      </c>
      <c r="P4568">
        <v>-7.9480007275180994E-2</v>
      </c>
      <c r="Q4568">
        <v>0.16655107801947799</v>
      </c>
      <c r="R4568">
        <v>0.99649108124651298</v>
      </c>
      <c r="S4568" t="s">
        <v>11571</v>
      </c>
      <c r="T4568" t="s">
        <v>14004</v>
      </c>
      <c r="U4568" t="s">
        <v>14004</v>
      </c>
      <c r="V4568" t="s">
        <v>14004</v>
      </c>
      <c r="W4568" t="s">
        <v>18517</v>
      </c>
      <c r="X4568">
        <v>8</v>
      </c>
      <c r="Y4568" t="s">
        <v>25328</v>
      </c>
      <c r="Z4568" t="s">
        <v>32278</v>
      </c>
      <c r="AA4568">
        <v>0.60312148300196355</v>
      </c>
      <c r="AB4568" t="str">
        <f>HYPERLINK("Melting_Curves/meltCurve_Q86WV7_CCDC43.pdf", "Melting_Curves/meltCurve_Q86WV7_CCDC43.pdf")</f>
        <v>Melting_Curves/meltCurve_Q86WV7_CCDC43.pdf</v>
      </c>
    </row>
    <row r="4569" spans="1:28" x14ac:dyDescent="0.25">
      <c r="A4569" t="s">
        <v>4573</v>
      </c>
      <c r="B4569">
        <v>0.99999676499088797</v>
      </c>
      <c r="C4569">
        <v>0.95883636632623503</v>
      </c>
      <c r="D4569">
        <v>0.84311830080232997</v>
      </c>
      <c r="E4569">
        <v>0.60568292946095803</v>
      </c>
      <c r="F4569">
        <v>0.37812740857877403</v>
      </c>
      <c r="G4569">
        <v>0.29101283157012398</v>
      </c>
      <c r="H4569">
        <v>0.18063913536533999</v>
      </c>
      <c r="I4569">
        <v>0.24920589438253701</v>
      </c>
      <c r="J4569">
        <v>0.207004846170421</v>
      </c>
      <c r="K4569">
        <v>0.19044320035427301</v>
      </c>
      <c r="L4569">
        <v>900.06349767691199</v>
      </c>
      <c r="M4569">
        <v>18.120996271059099</v>
      </c>
      <c r="N4569">
        <v>51.084482519294099</v>
      </c>
      <c r="O4569">
        <v>49.0766008151544</v>
      </c>
      <c r="P4569">
        <v>-7.4100040540737697E-2</v>
      </c>
      <c r="Q4569">
        <v>0.19730598222870199</v>
      </c>
      <c r="R4569">
        <v>0.99588086901584805</v>
      </c>
      <c r="S4569" t="s">
        <v>11572</v>
      </c>
      <c r="T4569" t="s">
        <v>14004</v>
      </c>
      <c r="U4569" t="s">
        <v>14004</v>
      </c>
      <c r="V4569" t="s">
        <v>14004</v>
      </c>
      <c r="W4569" t="s">
        <v>18518</v>
      </c>
      <c r="X4569">
        <v>3</v>
      </c>
      <c r="Y4569" t="s">
        <v>25329</v>
      </c>
      <c r="Z4569" t="s">
        <v>32279</v>
      </c>
      <c r="AA4569">
        <v>0.46960570016632919</v>
      </c>
      <c r="AB4569" t="str">
        <f>HYPERLINK("Melting_Curves/meltCurve_Q86WX3_RPS19BP1.pdf", "Melting_Curves/meltCurve_Q86WX3_RPS19BP1.pdf")</f>
        <v>Melting_Curves/meltCurve_Q86WX3_RPS19BP1.pdf</v>
      </c>
    </row>
    <row r="4570" spans="1:28" x14ac:dyDescent="0.25">
      <c r="A4570" t="s">
        <v>4574</v>
      </c>
      <c r="B4570">
        <v>0.99999676499088797</v>
      </c>
      <c r="C4570">
        <v>1.0729805869898901</v>
      </c>
      <c r="D4570">
        <v>1.08626679565928</v>
      </c>
      <c r="E4570">
        <v>0.90568627155097803</v>
      </c>
      <c r="F4570">
        <v>0.49047810200056702</v>
      </c>
      <c r="G4570">
        <v>0.235650852954714</v>
      </c>
      <c r="H4570">
        <v>0.110672928700888</v>
      </c>
      <c r="I4570">
        <v>9.9870702713228204E-2</v>
      </c>
      <c r="J4570">
        <v>0.108674955362333</v>
      </c>
      <c r="K4570">
        <v>0.174649876335806</v>
      </c>
      <c r="L4570">
        <v>1752.32172856788</v>
      </c>
      <c r="M4570">
        <v>33.216518644520697</v>
      </c>
      <c r="N4570">
        <v>53.221089139506198</v>
      </c>
      <c r="O4570">
        <v>52.5644423558496</v>
      </c>
      <c r="P4570">
        <v>-0.13802555195536001</v>
      </c>
      <c r="Q4570">
        <v>0.126314027876619</v>
      </c>
      <c r="R4570">
        <v>0.98864160122380196</v>
      </c>
      <c r="S4570" t="s">
        <v>11573</v>
      </c>
      <c r="T4570" t="s">
        <v>14004</v>
      </c>
      <c r="U4570" t="s">
        <v>14004</v>
      </c>
      <c r="V4570" t="s">
        <v>14004</v>
      </c>
      <c r="W4570" t="s">
        <v>18519</v>
      </c>
      <c r="X4570">
        <v>2</v>
      </c>
      <c r="Y4570" t="s">
        <v>25330</v>
      </c>
      <c r="Z4570" t="s">
        <v>32280</v>
      </c>
      <c r="AA4570">
        <v>0.50237835067414804</v>
      </c>
      <c r="AB4570" t="str">
        <f>HYPERLINK("Melting_Curves/meltCurve_Q86X02_CDR2L.pdf", "Melting_Curves/meltCurve_Q86X02_CDR2L.pdf")</f>
        <v>Melting_Curves/meltCurve_Q86X02_CDR2L.pdf</v>
      </c>
    </row>
    <row r="4571" spans="1:28" x14ac:dyDescent="0.25">
      <c r="A4571" t="s">
        <v>4575</v>
      </c>
      <c r="B4571">
        <v>0.99999676499088797</v>
      </c>
      <c r="C4571">
        <v>0.97704428535448495</v>
      </c>
      <c r="D4571">
        <v>1.0588455725755599</v>
      </c>
      <c r="E4571">
        <v>0.739041382003506</v>
      </c>
      <c r="F4571">
        <v>0.35218563531341901</v>
      </c>
      <c r="G4571">
        <v>0.30362021050013599</v>
      </c>
      <c r="H4571">
        <v>0.13412409121893501</v>
      </c>
      <c r="I4571">
        <v>0.121852888693048</v>
      </c>
      <c r="J4571">
        <v>0.134604371958292</v>
      </c>
      <c r="K4571">
        <v>5.0123899943555802E-2</v>
      </c>
      <c r="L4571">
        <v>1249.85352343457</v>
      </c>
      <c r="M4571">
        <v>24.243622981228601</v>
      </c>
      <c r="N4571">
        <v>52.125764962093299</v>
      </c>
      <c r="O4571">
        <v>51.206983069690601</v>
      </c>
      <c r="P4571">
        <v>-0.104541648076601</v>
      </c>
      <c r="Q4571">
        <v>0.116768798689437</v>
      </c>
      <c r="R4571">
        <v>0.98102573334017296</v>
      </c>
      <c r="S4571" t="s">
        <v>11574</v>
      </c>
      <c r="T4571" t="s">
        <v>14004</v>
      </c>
      <c r="U4571" t="s">
        <v>14004</v>
      </c>
      <c r="V4571" t="s">
        <v>14004</v>
      </c>
      <c r="W4571" t="s">
        <v>18520</v>
      </c>
      <c r="X4571">
        <v>8</v>
      </c>
      <c r="Y4571" t="s">
        <v>25331</v>
      </c>
      <c r="Z4571" t="s">
        <v>32281</v>
      </c>
      <c r="AA4571">
        <v>0.46544700836254621</v>
      </c>
      <c r="AB4571" t="str">
        <f>HYPERLINK("Melting_Curves/meltCurve_Q86X10_RALGAPB.pdf", "Melting_Curves/meltCurve_Q86X10_RALGAPB.pdf")</f>
        <v>Melting_Curves/meltCurve_Q86X10_RALGAPB.pdf</v>
      </c>
    </row>
    <row r="4572" spans="1:28" x14ac:dyDescent="0.25">
      <c r="A4572" t="s">
        <v>4576</v>
      </c>
      <c r="B4572">
        <v>0.99999676499088797</v>
      </c>
      <c r="C4572">
        <v>0.92647580094475501</v>
      </c>
      <c r="D4572">
        <v>0.83007002479690695</v>
      </c>
      <c r="E4572">
        <v>0.56146463371864097</v>
      </c>
      <c r="F4572">
        <v>0.17747599726786001</v>
      </c>
      <c r="G4572">
        <v>0.143256530320932</v>
      </c>
      <c r="H4572">
        <v>7.9148344639477897E-2</v>
      </c>
      <c r="I4572">
        <v>7.799325080675E-2</v>
      </c>
      <c r="J4572">
        <v>0.121473463256452</v>
      </c>
      <c r="K4572">
        <v>6.8847482547723493E-2</v>
      </c>
      <c r="L4572">
        <v>1104.86149140929</v>
      </c>
      <c r="M4572">
        <v>22.373189311185001</v>
      </c>
      <c r="N4572">
        <v>49.763336762831898</v>
      </c>
      <c r="O4572">
        <v>48.993854291212799</v>
      </c>
      <c r="P4572">
        <v>-0.105199779556121</v>
      </c>
      <c r="Q4572">
        <v>7.8534099138412902E-2</v>
      </c>
      <c r="R4572">
        <v>0.99289569893820195</v>
      </c>
      <c r="S4572" t="s">
        <v>11575</v>
      </c>
      <c r="T4572" t="s">
        <v>14004</v>
      </c>
      <c r="U4572" t="s">
        <v>14004</v>
      </c>
      <c r="V4572" t="s">
        <v>14004</v>
      </c>
      <c r="W4572" t="s">
        <v>18521</v>
      </c>
      <c r="X4572">
        <v>2</v>
      </c>
      <c r="Y4572" t="s">
        <v>25332</v>
      </c>
      <c r="Z4572" t="s">
        <v>32282</v>
      </c>
      <c r="AA4572">
        <v>0.37701128075823898</v>
      </c>
      <c r="AB4572" t="str">
        <f>HYPERLINK("Melting_Curves/meltCurve_Q86X27_RALGPS2.pdf", "Melting_Curves/meltCurve_Q86X27_RALGPS2.pdf")</f>
        <v>Melting_Curves/meltCurve_Q86X27_RALGPS2.pdf</v>
      </c>
    </row>
    <row r="4573" spans="1:28" x14ac:dyDescent="0.25">
      <c r="A4573" t="s">
        <v>4577</v>
      </c>
      <c r="B4573">
        <v>0.99999676499088797</v>
      </c>
      <c r="C4573">
        <v>0.656905268030051</v>
      </c>
      <c r="D4573">
        <v>0.50446643772913702</v>
      </c>
      <c r="E4573">
        <v>0.414431099114485</v>
      </c>
      <c r="F4573">
        <v>0.37196890420497403</v>
      </c>
      <c r="G4573">
        <v>0.27202928143726701</v>
      </c>
      <c r="H4573">
        <v>0.19195955867706899</v>
      </c>
      <c r="I4573">
        <v>0.14126450711948299</v>
      </c>
      <c r="J4573">
        <v>0.16778929354327399</v>
      </c>
      <c r="K4573">
        <v>0.12685375584577099</v>
      </c>
      <c r="L4573">
        <v>503.19970992256498</v>
      </c>
      <c r="M4573">
        <v>10.9304029162638</v>
      </c>
      <c r="N4573">
        <v>47.436987969845298</v>
      </c>
      <c r="O4573">
        <v>44.576242946877798</v>
      </c>
      <c r="P4573">
        <v>-5.2867306185278101E-2</v>
      </c>
      <c r="Q4573">
        <v>0.13788719099386099</v>
      </c>
      <c r="R4573">
        <v>0.94434585258266301</v>
      </c>
      <c r="S4573" t="s">
        <v>11576</v>
      </c>
      <c r="T4573" t="s">
        <v>14004</v>
      </c>
      <c r="U4573" t="s">
        <v>14004</v>
      </c>
      <c r="V4573" t="s">
        <v>14004</v>
      </c>
      <c r="W4573" t="s">
        <v>18522</v>
      </c>
      <c r="X4573">
        <v>3</v>
      </c>
      <c r="Y4573" t="s">
        <v>25333</v>
      </c>
      <c r="Z4573" t="s">
        <v>32283</v>
      </c>
      <c r="AA4573">
        <v>0.35763748389206101</v>
      </c>
      <c r="AB4573" t="str">
        <f>HYPERLINK("Melting_Curves/meltCurve_Q86X53_ERICH1.pdf", "Melting_Curves/meltCurve_Q86X53_ERICH1.pdf")</f>
        <v>Melting_Curves/meltCurve_Q86X53_ERICH1.pdf</v>
      </c>
    </row>
    <row r="4574" spans="1:28" x14ac:dyDescent="0.25">
      <c r="A4574" t="s">
        <v>4578</v>
      </c>
      <c r="B4574">
        <v>0.99999676499088797</v>
      </c>
      <c r="C4574">
        <v>0.91030481686106202</v>
      </c>
      <c r="D4574">
        <v>0.97033695383666896</v>
      </c>
      <c r="E4574">
        <v>1.07229789758737</v>
      </c>
      <c r="F4574">
        <v>1.1707343004724</v>
      </c>
      <c r="G4574">
        <v>0.78382075009059504</v>
      </c>
      <c r="H4574">
        <v>0.20365058415465001</v>
      </c>
      <c r="I4574">
        <v>0.102546944860657</v>
      </c>
      <c r="J4574">
        <v>9.2729190637565601E-2</v>
      </c>
      <c r="K4574">
        <v>5.0604075729478497E-2</v>
      </c>
      <c r="L4574">
        <v>2851.50567059274</v>
      </c>
      <c r="M4574">
        <v>48.904306635058802</v>
      </c>
      <c r="N4574">
        <v>58.518398068784997</v>
      </c>
      <c r="O4574">
        <v>58.210623956046597</v>
      </c>
      <c r="P4574">
        <v>-0.193089574685262</v>
      </c>
      <c r="Q4574">
        <v>8.0665626756872805E-2</v>
      </c>
      <c r="R4574">
        <v>0.97512921513140605</v>
      </c>
      <c r="S4574" t="s">
        <v>11577</v>
      </c>
      <c r="T4574" t="s">
        <v>14004</v>
      </c>
      <c r="U4574" t="s">
        <v>14004</v>
      </c>
      <c r="V4574" t="s">
        <v>14004</v>
      </c>
      <c r="W4574" t="s">
        <v>18523</v>
      </c>
      <c r="X4574">
        <v>10</v>
      </c>
      <c r="Y4574" t="s">
        <v>25334</v>
      </c>
      <c r="Z4574" t="s">
        <v>32284</v>
      </c>
      <c r="AA4574">
        <v>0.64415715979955324</v>
      </c>
      <c r="AB4574" t="str">
        <f>HYPERLINK("Melting_Curves/meltCurve_Q86X55_1_CARM1.pdf", "Melting_Curves/meltCurve_Q86X55_1_CARM1.pdf")</f>
        <v>Melting_Curves/meltCurve_Q86X55_1_CARM1.pdf</v>
      </c>
    </row>
    <row r="4575" spans="1:28" x14ac:dyDescent="0.25">
      <c r="A4575" t="s">
        <v>4579</v>
      </c>
      <c r="B4575">
        <v>0.99999676499088797</v>
      </c>
      <c r="C4575">
        <v>0.980418208593555</v>
      </c>
      <c r="D4575">
        <v>1.01916903519841</v>
      </c>
      <c r="E4575">
        <v>0.98334966762454501</v>
      </c>
      <c r="F4575">
        <v>0.94494935222147203</v>
      </c>
      <c r="G4575">
        <v>0.793722217667306</v>
      </c>
      <c r="H4575">
        <v>0.55735053754627095</v>
      </c>
      <c r="I4575">
        <v>0.37147816332367201</v>
      </c>
      <c r="J4575">
        <v>0.21300446579069399</v>
      </c>
      <c r="K4575">
        <v>0.172738776674591</v>
      </c>
      <c r="L4575">
        <v>1072.8903235576599</v>
      </c>
      <c r="M4575">
        <v>17.571034439887001</v>
      </c>
      <c r="N4575">
        <v>61.626655391023696</v>
      </c>
      <c r="O4575">
        <v>60.285751188956397</v>
      </c>
      <c r="P4575">
        <v>-6.7435420572194801E-2</v>
      </c>
      <c r="Q4575">
        <v>7.4573686603905703E-2</v>
      </c>
      <c r="R4575">
        <v>0.99844099941767095</v>
      </c>
      <c r="S4575" t="s">
        <v>11578</v>
      </c>
      <c r="T4575" t="s">
        <v>14004</v>
      </c>
      <c r="U4575" t="s">
        <v>14004</v>
      </c>
      <c r="V4575" t="s">
        <v>14004</v>
      </c>
      <c r="W4575" t="s">
        <v>18524</v>
      </c>
      <c r="X4575">
        <v>11</v>
      </c>
      <c r="Y4575" t="s">
        <v>25335</v>
      </c>
      <c r="Z4575" t="s">
        <v>32285</v>
      </c>
      <c r="AA4575">
        <v>0.72868500994591945</v>
      </c>
      <c r="AB4575" t="str">
        <f>HYPERLINK("Melting_Curves/meltCurve_Q86X76_2_NIT1.pdf", "Melting_Curves/meltCurve_Q86X76_2_NIT1.pdf")</f>
        <v>Melting_Curves/meltCurve_Q86X76_2_NIT1.pdf</v>
      </c>
    </row>
    <row r="4576" spans="1:28" x14ac:dyDescent="0.25">
      <c r="A4576" t="s">
        <v>4580</v>
      </c>
      <c r="B4576">
        <v>0.99999676499088797</v>
      </c>
      <c r="C4576">
        <v>1.07588649386159</v>
      </c>
      <c r="D4576">
        <v>0.78920905215905701</v>
      </c>
      <c r="E4576">
        <v>0.38087946708534698</v>
      </c>
      <c r="F4576">
        <v>0.18326470883957999</v>
      </c>
      <c r="G4576">
        <v>0.13529883532898099</v>
      </c>
      <c r="H4576">
        <v>7.0329306210359904E-2</v>
      </c>
      <c r="I4576">
        <v>6.9589899049755502E-2</v>
      </c>
      <c r="J4576">
        <v>5.8936338157086002E-2</v>
      </c>
      <c r="K4576">
        <v>6.0562457764397601E-2</v>
      </c>
      <c r="L4576">
        <v>1285.49205340755</v>
      </c>
      <c r="M4576">
        <v>26.578123760799599</v>
      </c>
      <c r="N4576">
        <v>48.676420961104398</v>
      </c>
      <c r="O4576">
        <v>48.095202428162096</v>
      </c>
      <c r="P4576">
        <v>-0.12740268874827301</v>
      </c>
      <c r="Q4576">
        <v>7.7828590863720903E-2</v>
      </c>
      <c r="R4576">
        <v>0.98999381196372804</v>
      </c>
      <c r="S4576" t="s">
        <v>11579</v>
      </c>
      <c r="T4576" t="s">
        <v>14004</v>
      </c>
      <c r="U4576" t="s">
        <v>14004</v>
      </c>
      <c r="V4576" t="s">
        <v>14004</v>
      </c>
      <c r="W4576" t="s">
        <v>18525</v>
      </c>
      <c r="X4576">
        <v>4</v>
      </c>
      <c r="Y4576" t="s">
        <v>25336</v>
      </c>
      <c r="Z4576" t="s">
        <v>32286</v>
      </c>
      <c r="AA4576">
        <v>0.3421771289280246</v>
      </c>
      <c r="AB4576" t="str">
        <f>HYPERLINK("Melting_Curves/meltCurve_Q86X83_COMMD2.pdf", "Melting_Curves/meltCurve_Q86X83_COMMD2.pdf")</f>
        <v>Melting_Curves/meltCurve_Q86X83_COMMD2.pdf</v>
      </c>
    </row>
    <row r="4577" spans="1:28" x14ac:dyDescent="0.25">
      <c r="A4577" t="s">
        <v>4581</v>
      </c>
      <c r="B4577">
        <v>0.99999676499088797</v>
      </c>
      <c r="C4577">
        <v>0.93909618237717296</v>
      </c>
      <c r="D4577">
        <v>0.94168283745501802</v>
      </c>
      <c r="E4577">
        <v>1.1043272465885601</v>
      </c>
      <c r="F4577">
        <v>0.68721372010313198</v>
      </c>
      <c r="G4577">
        <v>0.763243083473367</v>
      </c>
      <c r="H4577">
        <v>0.56216204102272105</v>
      </c>
      <c r="I4577">
        <v>0.51772757313562401</v>
      </c>
      <c r="J4577">
        <v>0.42038083271353999</v>
      </c>
      <c r="K4577">
        <v>0.70221748749227597</v>
      </c>
      <c r="L4577">
        <v>1368.49436972069</v>
      </c>
      <c r="M4577">
        <v>25.4323835008523</v>
      </c>
      <c r="O4577">
        <v>53.479752708094701</v>
      </c>
      <c r="P4577">
        <v>-5.2795702802382098E-2</v>
      </c>
      <c r="Q4577">
        <v>0.55592593659357603</v>
      </c>
      <c r="R4577">
        <v>0.78423611550102601</v>
      </c>
      <c r="S4577" t="s">
        <v>11580</v>
      </c>
      <c r="T4577" t="s">
        <v>14004</v>
      </c>
      <c r="U4577" t="s">
        <v>14004</v>
      </c>
      <c r="V4577" t="s">
        <v>14004</v>
      </c>
      <c r="W4577" t="s">
        <v>18526</v>
      </c>
      <c r="X4577">
        <v>2</v>
      </c>
      <c r="Y4577" t="s">
        <v>25337</v>
      </c>
      <c r="Z4577" t="s">
        <v>32287</v>
      </c>
      <c r="AA4577">
        <v>0.76431445143892496</v>
      </c>
      <c r="AB4577" t="str">
        <f>HYPERLINK("Melting_Curves/meltCurve_Q86X95_CIR1.pdf", "Melting_Curves/meltCurve_Q86X95_CIR1.pdf")</f>
        <v>Melting_Curves/meltCurve_Q86X95_CIR1.pdf</v>
      </c>
    </row>
    <row r="4578" spans="1:28" x14ac:dyDescent="0.25">
      <c r="A4578" t="s">
        <v>4582</v>
      </c>
      <c r="B4578">
        <v>0.99999676499088797</v>
      </c>
      <c r="C4578">
        <v>1.0244459345666601</v>
      </c>
      <c r="D4578">
        <v>0.79081683952485604</v>
      </c>
      <c r="E4578">
        <v>0.32638805577315</v>
      </c>
      <c r="F4578">
        <v>0.220151224000778</v>
      </c>
      <c r="G4578">
        <v>0.23457151961712</v>
      </c>
      <c r="H4578">
        <v>0.112653824941397</v>
      </c>
      <c r="I4578">
        <v>0.16257388951297799</v>
      </c>
      <c r="J4578">
        <v>0.12363278075046499</v>
      </c>
      <c r="K4578">
        <v>9.2324683295036E-2</v>
      </c>
      <c r="L4578">
        <v>1517.45366216764</v>
      </c>
      <c r="M4578">
        <v>31.8389201162314</v>
      </c>
      <c r="N4578">
        <v>48.1987635263459</v>
      </c>
      <c r="O4578">
        <v>47.473501473271497</v>
      </c>
      <c r="P4578">
        <v>-0.14257659361556499</v>
      </c>
      <c r="Q4578">
        <v>0.14964760312698899</v>
      </c>
      <c r="R4578">
        <v>0.98733962064525305</v>
      </c>
      <c r="S4578" t="s">
        <v>11581</v>
      </c>
      <c r="T4578" t="s">
        <v>14004</v>
      </c>
      <c r="U4578" t="s">
        <v>14004</v>
      </c>
      <c r="V4578" t="s">
        <v>14004</v>
      </c>
      <c r="W4578" t="s">
        <v>18527</v>
      </c>
      <c r="X4578">
        <v>3</v>
      </c>
      <c r="Y4578" t="s">
        <v>25338</v>
      </c>
      <c r="Z4578" t="s">
        <v>32288</v>
      </c>
      <c r="AA4578">
        <v>0.37128636701322898</v>
      </c>
      <c r="AB4578" t="str">
        <f>HYPERLINK("Melting_Curves/meltCurve_Q86XI2_NCAPG2.pdf", "Melting_Curves/meltCurve_Q86XI2_NCAPG2.pdf")</f>
        <v>Melting_Curves/meltCurve_Q86XI2_NCAPG2.pdf</v>
      </c>
    </row>
    <row r="4579" spans="1:28" x14ac:dyDescent="0.25">
      <c r="A4579" t="s">
        <v>4583</v>
      </c>
      <c r="B4579">
        <v>0.99999676499088797</v>
      </c>
      <c r="C4579">
        <v>0.91441174288570204</v>
      </c>
      <c r="D4579">
        <v>0.75370237786564298</v>
      </c>
      <c r="E4579">
        <v>0.45446443212693899</v>
      </c>
      <c r="F4579">
        <v>0.23463324428603999</v>
      </c>
      <c r="G4579">
        <v>0.15577053197275201</v>
      </c>
      <c r="H4579">
        <v>6.9972057942781593E-2</v>
      </c>
      <c r="I4579">
        <v>8.5438654328116995E-2</v>
      </c>
      <c r="J4579">
        <v>6.7534204908330203E-2</v>
      </c>
      <c r="K4579">
        <v>5.5948697001568903E-2</v>
      </c>
      <c r="L4579">
        <v>842.30197411495396</v>
      </c>
      <c r="M4579">
        <v>17.283713082664299</v>
      </c>
      <c r="N4579">
        <v>49.092492337456399</v>
      </c>
      <c r="O4579">
        <v>48.095499479787797</v>
      </c>
      <c r="P4579">
        <v>-8.4517168135334095E-2</v>
      </c>
      <c r="Q4579">
        <v>5.9308595032712901E-2</v>
      </c>
      <c r="R4579">
        <v>0.99879818457577296</v>
      </c>
      <c r="S4579" t="s">
        <v>11582</v>
      </c>
      <c r="T4579" t="s">
        <v>14004</v>
      </c>
      <c r="U4579" t="s">
        <v>14004</v>
      </c>
      <c r="V4579" t="s">
        <v>14004</v>
      </c>
      <c r="W4579" t="s">
        <v>18528</v>
      </c>
      <c r="X4579">
        <v>3</v>
      </c>
      <c r="Y4579" t="s">
        <v>25339</v>
      </c>
      <c r="Z4579" t="s">
        <v>32289</v>
      </c>
      <c r="AA4579">
        <v>0.35094427474315659</v>
      </c>
      <c r="AB4579" t="str">
        <f>HYPERLINK("Melting_Curves/meltCurve_Q86XK3_3_SFR1.pdf", "Melting_Curves/meltCurve_Q86XK3_3_SFR1.pdf")</f>
        <v>Melting_Curves/meltCurve_Q86XK3_3_SFR1.pdf</v>
      </c>
    </row>
    <row r="4580" spans="1:28" x14ac:dyDescent="0.25">
      <c r="A4580" t="s">
        <v>4584</v>
      </c>
      <c r="B4580">
        <v>0.99999676499088797</v>
      </c>
      <c r="C4580">
        <v>0.80404122872292005</v>
      </c>
      <c r="D4580">
        <v>0.85725951169899195</v>
      </c>
      <c r="E4580">
        <v>0.80161147660975796</v>
      </c>
      <c r="F4580">
        <v>0.53835476836060803</v>
      </c>
      <c r="G4580">
        <v>0.49221483612539202</v>
      </c>
      <c r="H4580">
        <v>0.25446436908405701</v>
      </c>
      <c r="I4580">
        <v>0.38641755716332699</v>
      </c>
      <c r="J4580">
        <v>0.414633872378941</v>
      </c>
      <c r="K4580">
        <v>0.40224429490941299</v>
      </c>
      <c r="L4580">
        <v>639.21637834705496</v>
      </c>
      <c r="M4580">
        <v>12.637074822144401</v>
      </c>
      <c r="N4580">
        <v>55.429960299956498</v>
      </c>
      <c r="O4580">
        <v>49.366119368341003</v>
      </c>
      <c r="P4580">
        <v>-4.2603773033369E-2</v>
      </c>
      <c r="Q4580">
        <v>0.33441300418110897</v>
      </c>
      <c r="R4580">
        <v>0.89992689637405998</v>
      </c>
      <c r="S4580" t="s">
        <v>11583</v>
      </c>
      <c r="T4580" t="s">
        <v>14004</v>
      </c>
      <c r="U4580" t="s">
        <v>14004</v>
      </c>
      <c r="V4580" t="s">
        <v>14004</v>
      </c>
      <c r="W4580" t="s">
        <v>18529</v>
      </c>
      <c r="X4580">
        <v>1</v>
      </c>
      <c r="Y4580" t="s">
        <v>25340</v>
      </c>
      <c r="Z4580" t="s">
        <v>32290</v>
      </c>
      <c r="AA4580">
        <v>0.58978469204182971</v>
      </c>
      <c r="AB4580" t="str">
        <f>HYPERLINK("Melting_Curves/meltCurve_Q86XP1_DGKH.pdf", "Melting_Curves/meltCurve_Q86XP1_DGKH.pdf")</f>
        <v>Melting_Curves/meltCurve_Q86XP1_DGKH.pdf</v>
      </c>
    </row>
    <row r="4581" spans="1:28" x14ac:dyDescent="0.25">
      <c r="A4581" t="s">
        <v>4585</v>
      </c>
      <c r="B4581">
        <v>0.99999676499088797</v>
      </c>
      <c r="C4581">
        <v>1.0201482636824899</v>
      </c>
      <c r="D4581">
        <v>0.92057458732271302</v>
      </c>
      <c r="E4581">
        <v>0.302362558326635</v>
      </c>
      <c r="F4581">
        <v>0.20830464825207801</v>
      </c>
      <c r="G4581">
        <v>0.147352345907344</v>
      </c>
      <c r="H4581">
        <v>8.0361569972142305E-2</v>
      </c>
      <c r="I4581">
        <v>8.5548548128476204E-2</v>
      </c>
      <c r="J4581">
        <v>8.6109019107419499E-2</v>
      </c>
      <c r="K4581">
        <v>7.1687091479223697E-2</v>
      </c>
      <c r="L4581">
        <v>2131.3746777214101</v>
      </c>
      <c r="M4581">
        <v>44.160559597932199</v>
      </c>
      <c r="N4581">
        <v>48.533666770277897</v>
      </c>
      <c r="O4581">
        <v>48.1655632939325</v>
      </c>
      <c r="P4581">
        <v>-0.20429220358024</v>
      </c>
      <c r="Q4581">
        <v>0.108722016212405</v>
      </c>
      <c r="R4581">
        <v>0.99167073989707699</v>
      </c>
      <c r="S4581" t="s">
        <v>11584</v>
      </c>
      <c r="T4581" t="s">
        <v>14004</v>
      </c>
      <c r="U4581" t="s">
        <v>14004</v>
      </c>
      <c r="V4581" t="s">
        <v>14004</v>
      </c>
      <c r="W4581" t="s">
        <v>18530</v>
      </c>
      <c r="X4581">
        <v>27</v>
      </c>
      <c r="Y4581" t="s">
        <v>25341</v>
      </c>
      <c r="Z4581" t="s">
        <v>32291</v>
      </c>
      <c r="AA4581">
        <v>0.35668436864183722</v>
      </c>
      <c r="AB4581" t="str">
        <f>HYPERLINK("Melting_Curves/meltCurve_Q86XP3_DDX42.pdf", "Melting_Curves/meltCurve_Q86XP3_DDX42.pdf")</f>
        <v>Melting_Curves/meltCurve_Q86XP3_DDX42.pdf</v>
      </c>
    </row>
    <row r="4582" spans="1:28" x14ac:dyDescent="0.25">
      <c r="A4582" t="s">
        <v>4586</v>
      </c>
      <c r="B4582">
        <v>0.99999676499088797</v>
      </c>
      <c r="C4582">
        <v>0.89484146907374396</v>
      </c>
      <c r="D4582">
        <v>0.649262878168964</v>
      </c>
      <c r="E4582">
        <v>0.18000526879269699</v>
      </c>
      <c r="F4582">
        <v>5.2270239828145097E-2</v>
      </c>
      <c r="G4582">
        <v>3.01315960855176E-2</v>
      </c>
      <c r="H4582">
        <v>6.2290740509060097E-2</v>
      </c>
      <c r="I4582">
        <v>3.1673794812756798E-2</v>
      </c>
      <c r="J4582">
        <v>0</v>
      </c>
      <c r="K4582">
        <v>0</v>
      </c>
      <c r="L4582">
        <v>1289.8608152307299</v>
      </c>
      <c r="M4582">
        <v>27.537765381024801</v>
      </c>
      <c r="N4582">
        <v>46.911294339499896</v>
      </c>
      <c r="O4582">
        <v>46.594787396644698</v>
      </c>
      <c r="P4582">
        <v>-0.14471242363022099</v>
      </c>
      <c r="Q4582">
        <v>2.0576612069850099E-2</v>
      </c>
      <c r="R4582">
        <v>0.99698485268223602</v>
      </c>
      <c r="S4582" t="s">
        <v>11585</v>
      </c>
      <c r="T4582" t="s">
        <v>14004</v>
      </c>
      <c r="U4582" t="s">
        <v>14004</v>
      </c>
      <c r="V4582" t="s">
        <v>14004</v>
      </c>
      <c r="W4582" t="s">
        <v>18531</v>
      </c>
      <c r="X4582">
        <v>3</v>
      </c>
      <c r="Y4582" t="s">
        <v>25342</v>
      </c>
      <c r="Z4582" t="s">
        <v>32292</v>
      </c>
      <c r="AA4582">
        <v>0.25096321653824771</v>
      </c>
      <c r="AB4582" t="str">
        <f>HYPERLINK("Melting_Curves/meltCurve_Q86XZ4_SPATS2.pdf", "Melting_Curves/meltCurve_Q86XZ4_SPATS2.pdf")</f>
        <v>Melting_Curves/meltCurve_Q86XZ4_SPATS2.pdf</v>
      </c>
    </row>
    <row r="4583" spans="1:28" x14ac:dyDescent="0.25">
      <c r="A4583" t="s">
        <v>4587</v>
      </c>
      <c r="B4583">
        <v>0.99999676499088797</v>
      </c>
      <c r="C4583">
        <v>0.80395471588287903</v>
      </c>
      <c r="D4583">
        <v>0.52448581404696104</v>
      </c>
      <c r="E4583">
        <v>0.19450583844487701</v>
      </c>
      <c r="F4583">
        <v>0.17970123158971399</v>
      </c>
      <c r="G4583">
        <v>9.3740146266901095E-2</v>
      </c>
      <c r="H4583">
        <v>4.5089259366694799E-2</v>
      </c>
      <c r="I4583">
        <v>6.5129072181452002E-2</v>
      </c>
      <c r="J4583">
        <v>0.12606876962716099</v>
      </c>
      <c r="K4583">
        <v>4.3277005550728803E-2</v>
      </c>
      <c r="L4583">
        <v>984.91911489131996</v>
      </c>
      <c r="M4583">
        <v>21.521200746848201</v>
      </c>
      <c r="N4583">
        <v>46.125155615256901</v>
      </c>
      <c r="O4583">
        <v>45.375419335450999</v>
      </c>
      <c r="P4583">
        <v>-0.109406235227633</v>
      </c>
      <c r="Q4583">
        <v>7.7331610759521996E-2</v>
      </c>
      <c r="R4583">
        <v>0.98938074417202204</v>
      </c>
      <c r="S4583" t="s">
        <v>11586</v>
      </c>
      <c r="T4583" t="s">
        <v>14004</v>
      </c>
      <c r="U4583" t="s">
        <v>14004</v>
      </c>
      <c r="V4583" t="s">
        <v>14004</v>
      </c>
      <c r="W4583" t="s">
        <v>18532</v>
      </c>
      <c r="X4583">
        <v>1</v>
      </c>
      <c r="Y4583" t="s">
        <v>25343</v>
      </c>
      <c r="Z4583" t="s">
        <v>32293</v>
      </c>
      <c r="AA4583">
        <v>0.26688985451941399</v>
      </c>
      <c r="AB4583" t="str">
        <f>HYPERLINK("Melting_Curves/meltCurve_Q86Y01_DTX1.pdf", "Melting_Curves/meltCurve_Q86Y01_DTX1.pdf")</f>
        <v>Melting_Curves/meltCurve_Q86Y01_DTX1.pdf</v>
      </c>
    </row>
    <row r="4584" spans="1:28" x14ac:dyDescent="0.25">
      <c r="A4584" t="s">
        <v>4588</v>
      </c>
      <c r="B4584">
        <v>0.99999676499088797</v>
      </c>
      <c r="C4584">
        <v>0.91235799207880997</v>
      </c>
      <c r="D4584">
        <v>1.0362027965620499</v>
      </c>
      <c r="E4584">
        <v>1.2359693334538799</v>
      </c>
      <c r="F4584">
        <v>1.3307484564773999</v>
      </c>
      <c r="G4584">
        <v>1.1585310453183</v>
      </c>
      <c r="H4584">
        <v>0.65682753611456901</v>
      </c>
      <c r="I4584">
        <v>0.36420022790423601</v>
      </c>
      <c r="J4584">
        <v>0.13144134605725</v>
      </c>
      <c r="K4584">
        <v>8.0857483469813904E-2</v>
      </c>
      <c r="L4584">
        <v>2374.4701113759502</v>
      </c>
      <c r="M4584">
        <v>38.211718798182901</v>
      </c>
      <c r="N4584">
        <v>62.450274474374602</v>
      </c>
      <c r="O4584">
        <v>61.970383168010102</v>
      </c>
      <c r="P4584">
        <v>-0.140820213683058</v>
      </c>
      <c r="Q4584">
        <v>8.6493755451388196E-2</v>
      </c>
      <c r="R4584">
        <v>0.88514066475048203</v>
      </c>
      <c r="S4584" t="s">
        <v>11587</v>
      </c>
      <c r="T4584" t="s">
        <v>14004</v>
      </c>
      <c r="U4584" t="s">
        <v>14004</v>
      </c>
      <c r="V4584" t="s">
        <v>14004</v>
      </c>
      <c r="W4584" t="s">
        <v>18533</v>
      </c>
      <c r="X4584">
        <v>1</v>
      </c>
      <c r="Y4584" t="s">
        <v>25344</v>
      </c>
      <c r="Z4584" t="s">
        <v>32294</v>
      </c>
      <c r="AA4584">
        <v>0.76405064954057511</v>
      </c>
      <c r="AB4584" t="str">
        <f>HYPERLINK("Melting_Curves/meltCurve_Q86Y07_4_VRK2.pdf", "Melting_Curves/meltCurve_Q86Y07_4_VRK2.pdf")</f>
        <v>Melting_Curves/meltCurve_Q86Y07_4_VRK2.pdf</v>
      </c>
    </row>
    <row r="4585" spans="1:28" x14ac:dyDescent="0.25">
      <c r="A4585" t="s">
        <v>4589</v>
      </c>
      <c r="B4585">
        <v>0.99999676499088797</v>
      </c>
      <c r="C4585">
        <v>0.48563224584222803</v>
      </c>
      <c r="D4585">
        <v>0.20892494596043601</v>
      </c>
      <c r="E4585">
        <v>9.8968836288734402E-2</v>
      </c>
      <c r="F4585">
        <v>7.9460254378526399E-2</v>
      </c>
      <c r="G4585">
        <v>3.9260569200855702E-2</v>
      </c>
      <c r="H4585">
        <v>2.5129494042400901E-2</v>
      </c>
      <c r="I4585">
        <v>1.2341502882768699E-2</v>
      </c>
      <c r="J4585">
        <v>2.31764477465498E-2</v>
      </c>
      <c r="K4585">
        <v>1.84082069488073E-2</v>
      </c>
      <c r="L4585">
        <v>1356.39800079925</v>
      </c>
      <c r="M4585">
        <v>31.554949888894299</v>
      </c>
      <c r="N4585">
        <v>43.112874301776102</v>
      </c>
      <c r="O4585">
        <v>42.813747183217302</v>
      </c>
      <c r="P4585">
        <v>-0.17604214651745001</v>
      </c>
      <c r="Q4585">
        <v>4.4589621344170001E-2</v>
      </c>
      <c r="R4585">
        <v>0.979960559438663</v>
      </c>
      <c r="S4585" t="s">
        <v>11588</v>
      </c>
      <c r="T4585" t="s">
        <v>14004</v>
      </c>
      <c r="U4585" t="s">
        <v>14004</v>
      </c>
      <c r="V4585" t="s">
        <v>14004</v>
      </c>
      <c r="W4585" t="s">
        <v>18534</v>
      </c>
      <c r="X4585">
        <v>4</v>
      </c>
      <c r="Y4585" t="s">
        <v>25345</v>
      </c>
      <c r="Z4585" t="s">
        <v>32295</v>
      </c>
      <c r="AA4585">
        <v>0.14746545158097349</v>
      </c>
      <c r="AB4585" t="str">
        <f>HYPERLINK("Melting_Curves/meltCurve_Q86Y37_CACUL1.pdf", "Melting_Curves/meltCurve_Q86Y37_CACUL1.pdf")</f>
        <v>Melting_Curves/meltCurve_Q86Y37_CACUL1.pdf</v>
      </c>
    </row>
    <row r="4586" spans="1:28" x14ac:dyDescent="0.25">
      <c r="A4586" t="s">
        <v>4590</v>
      </c>
      <c r="B4586">
        <v>0.99999676499088797</v>
      </c>
      <c r="C4586">
        <v>0.91901689132900999</v>
      </c>
      <c r="D4586">
        <v>0.92741265194325295</v>
      </c>
      <c r="E4586">
        <v>0.90637436367034396</v>
      </c>
      <c r="F4586">
        <v>0.74979562160692104</v>
      </c>
      <c r="G4586">
        <v>0.73970756871030297</v>
      </c>
      <c r="H4586">
        <v>0.47707286739419902</v>
      </c>
      <c r="I4586">
        <v>0.362371118601788</v>
      </c>
      <c r="J4586">
        <v>0.306403176089379</v>
      </c>
      <c r="K4586">
        <v>0.26874168046680103</v>
      </c>
      <c r="L4586">
        <v>546.59453440565903</v>
      </c>
      <c r="M4586">
        <v>8.9894801184185198</v>
      </c>
      <c r="N4586">
        <v>60.984118087723601</v>
      </c>
      <c r="O4586">
        <v>58.020970642767402</v>
      </c>
      <c r="P4586">
        <v>-3.8253624019930599E-2</v>
      </c>
      <c r="Q4586">
        <v>1.3115501150951701E-2</v>
      </c>
      <c r="R4586">
        <v>0.97932863728956598</v>
      </c>
      <c r="S4586" t="s">
        <v>11589</v>
      </c>
      <c r="T4586" t="s">
        <v>14004</v>
      </c>
      <c r="U4586" t="s">
        <v>14004</v>
      </c>
      <c r="V4586" t="s">
        <v>14004</v>
      </c>
      <c r="W4586" t="s">
        <v>18535</v>
      </c>
      <c r="X4586">
        <v>5</v>
      </c>
      <c r="Y4586" t="s">
        <v>25346</v>
      </c>
      <c r="Z4586" t="s">
        <v>32296</v>
      </c>
      <c r="AA4586">
        <v>0.68147462102151413</v>
      </c>
      <c r="AB4586" t="str">
        <f>HYPERLINK("Melting_Curves/meltCurve_Q86Y39_NDUFA11.pdf", "Melting_Curves/meltCurve_Q86Y39_NDUFA11.pdf")</f>
        <v>Melting_Curves/meltCurve_Q86Y39_NDUFA11.pdf</v>
      </c>
    </row>
    <row r="4587" spans="1:28" x14ac:dyDescent="0.25">
      <c r="A4587" t="s">
        <v>4591</v>
      </c>
      <c r="B4587">
        <v>0.99999676499088797</v>
      </c>
      <c r="C4587">
        <v>0.77833047997754401</v>
      </c>
      <c r="D4587">
        <v>0.35835680980634799</v>
      </c>
      <c r="E4587">
        <v>0.224037521551848</v>
      </c>
      <c r="F4587">
        <v>0.15651531695120899</v>
      </c>
      <c r="G4587">
        <v>0.121779858980993</v>
      </c>
      <c r="H4587">
        <v>5.5704237443973799E-2</v>
      </c>
      <c r="I4587">
        <v>6.1495391884626403E-2</v>
      </c>
      <c r="J4587">
        <v>8.9771477191951998E-2</v>
      </c>
      <c r="K4587">
        <v>3.8442448695973401E-2</v>
      </c>
      <c r="L4587">
        <v>1094.0493391668599</v>
      </c>
      <c r="M4587">
        <v>24.426495733905</v>
      </c>
      <c r="N4587">
        <v>45.145629126833803</v>
      </c>
      <c r="O4587">
        <v>44.492493256696001</v>
      </c>
      <c r="P4587">
        <v>-0.12522372853005401</v>
      </c>
      <c r="Q4587">
        <v>8.7640938870317805E-2</v>
      </c>
      <c r="R4587">
        <v>0.98492945560054501</v>
      </c>
      <c r="S4587" t="s">
        <v>11590</v>
      </c>
      <c r="T4587" t="s">
        <v>14004</v>
      </c>
      <c r="U4587" t="s">
        <v>14004</v>
      </c>
      <c r="V4587" t="s">
        <v>14004</v>
      </c>
      <c r="W4587" t="s">
        <v>18536</v>
      </c>
      <c r="X4587">
        <v>17</v>
      </c>
      <c r="Y4587" t="s">
        <v>25347</v>
      </c>
      <c r="Z4587" t="s">
        <v>32297</v>
      </c>
      <c r="AA4587">
        <v>0.24313827302755009</v>
      </c>
      <c r="AB4587" t="str">
        <f>HYPERLINK("Melting_Curves/meltCurve_Q86Y56_HEATR2.pdf", "Melting_Curves/meltCurve_Q86Y56_HEATR2.pdf")</f>
        <v>Melting_Curves/meltCurve_Q86Y56_HEATR2.pdf</v>
      </c>
    </row>
    <row r="4588" spans="1:28" x14ac:dyDescent="0.25">
      <c r="A4588" t="s">
        <v>4592</v>
      </c>
      <c r="B4588">
        <v>0.99999676499088797</v>
      </c>
      <c r="C4588">
        <v>1.1047161395252101</v>
      </c>
      <c r="D4588">
        <v>0.86135981041012</v>
      </c>
      <c r="E4588">
        <v>0.38965445393119003</v>
      </c>
      <c r="F4588">
        <v>0.15739929415335499</v>
      </c>
      <c r="G4588">
        <v>8.8707167150544303E-2</v>
      </c>
      <c r="H4588">
        <v>2.3351593157715098E-2</v>
      </c>
      <c r="I4588">
        <v>5.1059176517151202E-2</v>
      </c>
      <c r="J4588">
        <v>5.1344820717208799E-2</v>
      </c>
      <c r="K4588">
        <v>4.6195257270667298E-2</v>
      </c>
      <c r="L4588">
        <v>1506.1960234778701</v>
      </c>
      <c r="M4588">
        <v>30.9023849645254</v>
      </c>
      <c r="N4588">
        <v>48.922839971232797</v>
      </c>
      <c r="O4588">
        <v>48.537719425622903</v>
      </c>
      <c r="P4588">
        <v>-0.150507518165332</v>
      </c>
      <c r="Q4588">
        <v>5.44099670776301E-2</v>
      </c>
      <c r="R4588">
        <v>0.98993553278687596</v>
      </c>
      <c r="S4588" t="s">
        <v>11591</v>
      </c>
      <c r="T4588" t="s">
        <v>14004</v>
      </c>
      <c r="U4588" t="s">
        <v>14004</v>
      </c>
      <c r="V4588" t="s">
        <v>14004</v>
      </c>
      <c r="W4588" t="s">
        <v>18537</v>
      </c>
      <c r="X4588">
        <v>3</v>
      </c>
      <c r="Y4588" t="s">
        <v>25348</v>
      </c>
      <c r="Z4588" t="s">
        <v>32298</v>
      </c>
      <c r="AA4588">
        <v>0.33530533344164132</v>
      </c>
      <c r="AB4588" t="str">
        <f>HYPERLINK("Melting_Curves/meltCurve_Q86Y79_PTRH1.pdf", "Melting_Curves/meltCurve_Q86Y79_PTRH1.pdf")</f>
        <v>Melting_Curves/meltCurve_Q86Y79_PTRH1.pdf</v>
      </c>
    </row>
    <row r="4589" spans="1:28" x14ac:dyDescent="0.25">
      <c r="A4589" t="s">
        <v>4593</v>
      </c>
      <c r="B4589">
        <v>0.99999676499088797</v>
      </c>
      <c r="C4589">
        <v>1.05698206733597</v>
      </c>
      <c r="D4589">
        <v>0.99005101064778001</v>
      </c>
      <c r="E4589">
        <v>0.94036220500145395</v>
      </c>
      <c r="F4589">
        <v>0.88978545798790498</v>
      </c>
      <c r="G4589">
        <v>0.80203357773816397</v>
      </c>
      <c r="H4589">
        <v>0.51473448532671595</v>
      </c>
      <c r="I4589">
        <v>0.473308825091106</v>
      </c>
      <c r="J4589">
        <v>0.43923611481372798</v>
      </c>
      <c r="K4589">
        <v>0.55072418081057795</v>
      </c>
      <c r="L4589">
        <v>1586.1268341703501</v>
      </c>
      <c r="M4589">
        <v>27.78213273822</v>
      </c>
      <c r="N4589">
        <v>63.572460040101603</v>
      </c>
      <c r="O4589">
        <v>56.798275896714301</v>
      </c>
      <c r="P4589">
        <v>-6.4742802912784794E-2</v>
      </c>
      <c r="Q4589">
        <v>0.47055943109111298</v>
      </c>
      <c r="R4589">
        <v>0.96258552909668604</v>
      </c>
      <c r="S4589" t="s">
        <v>11592</v>
      </c>
      <c r="T4589" t="s">
        <v>14004</v>
      </c>
      <c r="U4589" t="s">
        <v>14004</v>
      </c>
      <c r="V4589" t="s">
        <v>14004</v>
      </c>
      <c r="W4589" t="s">
        <v>18538</v>
      </c>
      <c r="X4589">
        <v>9</v>
      </c>
      <c r="Y4589" t="s">
        <v>25349</v>
      </c>
      <c r="Z4589" t="s">
        <v>32299</v>
      </c>
      <c r="AA4589">
        <v>0.77621037345973454</v>
      </c>
      <c r="AB4589" t="str">
        <f>HYPERLINK("Melting_Curves/meltCurve_Q86Y82_STX12.pdf", "Melting_Curves/meltCurve_Q86Y82_STX12.pdf")</f>
        <v>Melting_Curves/meltCurve_Q86Y82_STX12.pdf</v>
      </c>
    </row>
    <row r="4590" spans="1:28" x14ac:dyDescent="0.25">
      <c r="A4590" t="s">
        <v>4594</v>
      </c>
      <c r="B4590">
        <v>0.99999676499088797</v>
      </c>
      <c r="C4590">
        <v>0.98824181239314002</v>
      </c>
      <c r="D4590">
        <v>0.98403785465738303</v>
      </c>
      <c r="E4590">
        <v>0.96992141776700003</v>
      </c>
      <c r="F4590">
        <v>0.75430918016334803</v>
      </c>
      <c r="G4590">
        <v>0.41899969518341401</v>
      </c>
      <c r="H4590">
        <v>9.7691950176866604E-2</v>
      </c>
      <c r="I4590">
        <v>0.10767481268461999</v>
      </c>
      <c r="J4590">
        <v>8.5300684187476494E-2</v>
      </c>
      <c r="K4590">
        <v>6.0228281975920797E-2</v>
      </c>
      <c r="L4590">
        <v>1463.72596919686</v>
      </c>
      <c r="M4590">
        <v>26.376663998868001</v>
      </c>
      <c r="N4590">
        <v>55.765507676082102</v>
      </c>
      <c r="O4590">
        <v>55.177190962573597</v>
      </c>
      <c r="P4590">
        <v>-0.112288881477971</v>
      </c>
      <c r="Q4590">
        <v>6.0424362712159799E-2</v>
      </c>
      <c r="R4590">
        <v>0.99739665525994503</v>
      </c>
      <c r="S4590" t="s">
        <v>11593</v>
      </c>
      <c r="T4590" t="s">
        <v>14004</v>
      </c>
      <c r="U4590" t="s">
        <v>14004</v>
      </c>
      <c r="V4590" t="s">
        <v>14004</v>
      </c>
      <c r="W4590" t="s">
        <v>18539</v>
      </c>
      <c r="X4590">
        <v>7</v>
      </c>
      <c r="Y4590" t="s">
        <v>25350</v>
      </c>
      <c r="Z4590" t="s">
        <v>32300</v>
      </c>
      <c r="AA4590">
        <v>0.55355801792359427</v>
      </c>
      <c r="AB4590" t="str">
        <f>HYPERLINK("Melting_Curves/meltCurve_Q86YH6_PDSS2.pdf", "Melting_Curves/meltCurve_Q86YH6_PDSS2.pdf")</f>
        <v>Melting_Curves/meltCurve_Q86YH6_PDSS2.pdf</v>
      </c>
    </row>
    <row r="4591" spans="1:28" x14ac:dyDescent="0.25">
      <c r="A4591" t="s">
        <v>4595</v>
      </c>
      <c r="B4591">
        <v>0.99999676499088797</v>
      </c>
      <c r="C4591">
        <v>0.97678308058117003</v>
      </c>
      <c r="D4591">
        <v>0.83158555908937504</v>
      </c>
      <c r="E4591">
        <v>0.54923441107477999</v>
      </c>
      <c r="F4591">
        <v>0.31832121831397098</v>
      </c>
      <c r="G4591">
        <v>0.21336384682354201</v>
      </c>
      <c r="H4591">
        <v>0.119570366166113</v>
      </c>
      <c r="I4591">
        <v>0.12530920751785901</v>
      </c>
      <c r="J4591">
        <v>0.120197163893027</v>
      </c>
      <c r="K4591">
        <v>0.121815179632525</v>
      </c>
      <c r="L4591">
        <v>921.54419761315501</v>
      </c>
      <c r="M4591">
        <v>18.562509651821301</v>
      </c>
      <c r="N4591">
        <v>50.343960275789499</v>
      </c>
      <c r="O4591">
        <v>49.080037581910801</v>
      </c>
      <c r="P4591">
        <v>-8.3821592588945101E-2</v>
      </c>
      <c r="Q4591">
        <v>0.11352781208305</v>
      </c>
      <c r="R4591">
        <v>0.99857588195229596</v>
      </c>
      <c r="S4591" t="s">
        <v>11594</v>
      </c>
      <c r="T4591" t="s">
        <v>14004</v>
      </c>
      <c r="U4591" t="s">
        <v>14004</v>
      </c>
      <c r="V4591" t="s">
        <v>14004</v>
      </c>
      <c r="W4591" t="s">
        <v>18540</v>
      </c>
      <c r="X4591">
        <v>11</v>
      </c>
      <c r="Y4591" t="s">
        <v>25351</v>
      </c>
      <c r="Z4591" t="s">
        <v>32301</v>
      </c>
      <c r="AA4591">
        <v>0.41285296585422782</v>
      </c>
      <c r="AB4591" t="str">
        <f>HYPERLINK("Melting_Curves/meltCurve_Q86YM7_HOMER1.pdf", "Melting_Curves/meltCurve_Q86YM7_HOMER1.pdf")</f>
        <v>Melting_Curves/meltCurve_Q86YM7_HOMER1.pdf</v>
      </c>
    </row>
    <row r="4592" spans="1:28" x14ac:dyDescent="0.25">
      <c r="A4592" t="s">
        <v>4596</v>
      </c>
      <c r="B4592">
        <v>0.99999676499088797</v>
      </c>
      <c r="C4592">
        <v>1.2077850931680101</v>
      </c>
      <c r="D4592">
        <v>1.1676759956366201</v>
      </c>
      <c r="E4592">
        <v>1.04306694483289</v>
      </c>
      <c r="F4592">
        <v>0.74101309245018299</v>
      </c>
      <c r="G4592">
        <v>0.33920615875704901</v>
      </c>
      <c r="H4592">
        <v>9.1330390354392096E-2</v>
      </c>
      <c r="I4592">
        <v>8.3572894391093194E-2</v>
      </c>
      <c r="J4592">
        <v>7.9231732273377695E-2</v>
      </c>
      <c r="K4592">
        <v>2.08917269130557E-2</v>
      </c>
      <c r="L4592">
        <v>1740.6831045880101</v>
      </c>
      <c r="M4592">
        <v>31.5776468970857</v>
      </c>
      <c r="N4592">
        <v>55.327533651291297</v>
      </c>
      <c r="O4592">
        <v>54.904242641795904</v>
      </c>
      <c r="P4592">
        <v>-0.13589714931993099</v>
      </c>
      <c r="Q4592">
        <v>5.4864293137737302E-2</v>
      </c>
      <c r="R4592">
        <v>0.96456347437364498</v>
      </c>
      <c r="S4592" t="s">
        <v>11595</v>
      </c>
      <c r="T4592" t="s">
        <v>14004</v>
      </c>
      <c r="U4592" t="s">
        <v>14004</v>
      </c>
      <c r="V4592" t="s">
        <v>14004</v>
      </c>
      <c r="W4592" t="s">
        <v>18541</v>
      </c>
      <c r="X4592">
        <v>1</v>
      </c>
      <c r="Y4592" t="s">
        <v>25352</v>
      </c>
      <c r="Z4592" t="s">
        <v>32302</v>
      </c>
      <c r="AA4592">
        <v>0.53702965404797154</v>
      </c>
      <c r="AB4592" t="str">
        <f>HYPERLINK("Melting_Curves/meltCurve_Q86YN1_2_DOLPP1.pdf", "Melting_Curves/meltCurve_Q86YN1_2_DOLPP1.pdf")</f>
        <v>Melting_Curves/meltCurve_Q86YN1_2_DOLPP1.pdf</v>
      </c>
    </row>
    <row r="4593" spans="1:28" x14ac:dyDescent="0.25">
      <c r="A4593" t="s">
        <v>4597</v>
      </c>
      <c r="B4593">
        <v>0.99999676499088797</v>
      </c>
      <c r="C4593">
        <v>0.929628789928308</v>
      </c>
      <c r="D4593">
        <v>0.66876671598120596</v>
      </c>
      <c r="E4593">
        <v>0.463044374025323</v>
      </c>
      <c r="F4593">
        <v>0.38413550843378802</v>
      </c>
      <c r="G4593">
        <v>0.29388377505978802</v>
      </c>
      <c r="H4593">
        <v>0.22831205415585101</v>
      </c>
      <c r="I4593">
        <v>0.27686290795011997</v>
      </c>
      <c r="J4593">
        <v>0.311991926755112</v>
      </c>
      <c r="K4593">
        <v>0.33636105907613101</v>
      </c>
      <c r="L4593">
        <v>973.44612549972305</v>
      </c>
      <c r="M4593">
        <v>20.854655006743901</v>
      </c>
      <c r="N4593">
        <v>48.725497338554803</v>
      </c>
      <c r="O4593">
        <v>46.2548065186567</v>
      </c>
      <c r="P4593">
        <v>-7.9819038268614001E-2</v>
      </c>
      <c r="Q4593">
        <v>0.291877549931021</v>
      </c>
      <c r="R4593">
        <v>0.983626366244026</v>
      </c>
      <c r="S4593" t="s">
        <v>11596</v>
      </c>
      <c r="T4593" t="s">
        <v>14004</v>
      </c>
      <c r="U4593" t="s">
        <v>14004</v>
      </c>
      <c r="V4593" t="s">
        <v>14004</v>
      </c>
      <c r="W4593" t="s">
        <v>18542</v>
      </c>
      <c r="X4593">
        <v>13</v>
      </c>
      <c r="Y4593" t="s">
        <v>25353</v>
      </c>
      <c r="Z4593" t="s">
        <v>32303</v>
      </c>
      <c r="AA4593">
        <v>0.45907128326074459</v>
      </c>
      <c r="AB4593" t="str">
        <f>HYPERLINK("Melting_Curves/meltCurve_Q86YP4_GATAD2A.pdf", "Melting_Curves/meltCurve_Q86YP4_GATAD2A.pdf")</f>
        <v>Melting_Curves/meltCurve_Q86YP4_GATAD2A.pdf</v>
      </c>
    </row>
    <row r="4594" spans="1:28" x14ac:dyDescent="0.25">
      <c r="A4594" t="s">
        <v>4598</v>
      </c>
      <c r="B4594">
        <v>0.99999676499088797</v>
      </c>
      <c r="C4594">
        <v>0.57663238607763101</v>
      </c>
      <c r="D4594">
        <v>0.26988639094223099</v>
      </c>
      <c r="E4594">
        <v>0.189017184375601</v>
      </c>
      <c r="F4594">
        <v>0.18321312597348799</v>
      </c>
      <c r="G4594">
        <v>0.108094380281008</v>
      </c>
      <c r="H4594">
        <v>5.2734589684202401E-2</v>
      </c>
      <c r="I4594">
        <v>5.2377610234252303E-2</v>
      </c>
      <c r="J4594">
        <v>5.5163541242615001E-2</v>
      </c>
      <c r="K4594">
        <v>3.0139398220138801E-2</v>
      </c>
      <c r="L4594">
        <v>1131.9642779139999</v>
      </c>
      <c r="M4594">
        <v>26.0337402998884</v>
      </c>
      <c r="N4594">
        <v>43.8055033719181</v>
      </c>
      <c r="O4594">
        <v>43.226546711379797</v>
      </c>
      <c r="P4594">
        <v>-0.13735044151668799</v>
      </c>
      <c r="Q4594">
        <v>8.7781207293298094E-2</v>
      </c>
      <c r="R4594">
        <v>0.96651059580060295</v>
      </c>
      <c r="S4594" t="s">
        <v>11597</v>
      </c>
      <c r="T4594" t="s">
        <v>14004</v>
      </c>
      <c r="U4594" t="s">
        <v>14004</v>
      </c>
      <c r="V4594" t="s">
        <v>14004</v>
      </c>
      <c r="W4594" t="s">
        <v>18543</v>
      </c>
      <c r="X4594">
        <v>3</v>
      </c>
      <c r="Y4594" t="s">
        <v>25354</v>
      </c>
      <c r="Z4594" t="s">
        <v>32304</v>
      </c>
      <c r="AA4594">
        <v>0.20413184218246039</v>
      </c>
      <c r="AB4594" t="str">
        <f>HYPERLINK("Melting_Curves/meltCurve_Q86YR5_4_GPSM1.pdf", "Melting_Curves/meltCurve_Q86YR5_4_GPSM1.pdf")</f>
        <v>Melting_Curves/meltCurve_Q86YR5_4_GPSM1.pdf</v>
      </c>
    </row>
    <row r="4595" spans="1:28" x14ac:dyDescent="0.25">
      <c r="A4595" t="s">
        <v>4599</v>
      </c>
      <c r="B4595">
        <v>0.99999676499088797</v>
      </c>
      <c r="C4595">
        <v>1.1442038143620501</v>
      </c>
      <c r="D4595">
        <v>1.0934131196622601</v>
      </c>
      <c r="E4595">
        <v>1.0510208641426899</v>
      </c>
      <c r="F4595">
        <v>1.0706948750588501</v>
      </c>
      <c r="G4595">
        <v>1.0663920854166</v>
      </c>
      <c r="H4595">
        <v>0.70022449687789101</v>
      </c>
      <c r="I4595">
        <v>0.82412558834463501</v>
      </c>
      <c r="J4595">
        <v>0.55507445814203404</v>
      </c>
      <c r="K4595">
        <v>0.54123702615686098</v>
      </c>
      <c r="L4595">
        <v>1388.03128004164</v>
      </c>
      <c r="M4595">
        <v>21.977647380724601</v>
      </c>
      <c r="O4595">
        <v>62.640610966922999</v>
      </c>
      <c r="P4595">
        <v>-4.4973677319726298E-2</v>
      </c>
      <c r="Q4595">
        <v>0.48727642489335099</v>
      </c>
      <c r="R4595">
        <v>0.81875812524193903</v>
      </c>
      <c r="S4595" t="s">
        <v>11598</v>
      </c>
      <c r="T4595" t="s">
        <v>14004</v>
      </c>
      <c r="U4595" t="s">
        <v>14004</v>
      </c>
      <c r="V4595" t="s">
        <v>14004</v>
      </c>
      <c r="W4595" t="s">
        <v>18544</v>
      </c>
      <c r="X4595">
        <v>1</v>
      </c>
      <c r="Y4595" t="s">
        <v>25355</v>
      </c>
      <c r="Z4595" t="s">
        <v>32305</v>
      </c>
      <c r="AA4595">
        <v>0.88313489798366518</v>
      </c>
      <c r="AB4595" t="str">
        <f>HYPERLINK("Melting_Curves/meltCurve_Q86YS3_RAB11FIP4.pdf", "Melting_Curves/meltCurve_Q86YS3_RAB11FIP4.pdf")</f>
        <v>Melting_Curves/meltCurve_Q86YS3_RAB11FIP4.pdf</v>
      </c>
    </row>
    <row r="4596" spans="1:28" x14ac:dyDescent="0.25">
      <c r="A4596" t="s">
        <v>4600</v>
      </c>
      <c r="B4596">
        <v>0.99999676499088797</v>
      </c>
      <c r="C4596">
        <v>0.95395071037534096</v>
      </c>
      <c r="D4596">
        <v>0.912769404276915</v>
      </c>
      <c r="E4596">
        <v>1.0937281938279699</v>
      </c>
      <c r="F4596">
        <v>1.09999818985577</v>
      </c>
      <c r="G4596">
        <v>0.84782900271661199</v>
      </c>
      <c r="H4596">
        <v>0.30932118431787098</v>
      </c>
      <c r="I4596">
        <v>0.102372454770338</v>
      </c>
      <c r="J4596">
        <v>9.0583377497559001E-2</v>
      </c>
      <c r="K4596">
        <v>8.3642243883850803E-2</v>
      </c>
      <c r="L4596">
        <v>2522.4802803756102</v>
      </c>
      <c r="M4596">
        <v>42.646542351570197</v>
      </c>
      <c r="N4596">
        <v>59.391943511781598</v>
      </c>
      <c r="O4596">
        <v>59.018903450180801</v>
      </c>
      <c r="P4596">
        <v>-0.16616355764940599</v>
      </c>
      <c r="Q4596">
        <v>8.0180766650660804E-2</v>
      </c>
      <c r="R4596">
        <v>0.98264692917702101</v>
      </c>
      <c r="S4596" t="s">
        <v>11599</v>
      </c>
      <c r="T4596" t="s">
        <v>14004</v>
      </c>
      <c r="U4596" t="s">
        <v>14004</v>
      </c>
      <c r="V4596" t="s">
        <v>14004</v>
      </c>
      <c r="W4596" t="s">
        <v>18545</v>
      </c>
      <c r="X4596">
        <v>9</v>
      </c>
      <c r="Y4596" t="s">
        <v>25356</v>
      </c>
      <c r="Z4596" t="s">
        <v>32306</v>
      </c>
      <c r="AA4596">
        <v>0.67050786305528598</v>
      </c>
      <c r="AB4596" t="str">
        <f>HYPERLINK("Melting_Curves/meltCurve_Q86YS6_RAB43.pdf", "Melting_Curves/meltCurve_Q86YS6_RAB43.pdf")</f>
        <v>Melting_Curves/meltCurve_Q86YS6_RAB43.pdf</v>
      </c>
    </row>
    <row r="4597" spans="1:28" x14ac:dyDescent="0.25">
      <c r="A4597" t="s">
        <v>4601</v>
      </c>
      <c r="B4597">
        <v>0.99999676499088797</v>
      </c>
      <c r="C4597">
        <v>1.0005237049978899</v>
      </c>
      <c r="D4597">
        <v>0.97694359638772699</v>
      </c>
      <c r="E4597">
        <v>0.97193933529829502</v>
      </c>
      <c r="F4597">
        <v>0.57941780101404095</v>
      </c>
      <c r="G4597">
        <v>0.30580936220967497</v>
      </c>
      <c r="H4597">
        <v>0.133409086963232</v>
      </c>
      <c r="I4597">
        <v>0.11839232307175</v>
      </c>
      <c r="J4597">
        <v>0.114025123005855</v>
      </c>
      <c r="K4597">
        <v>9.7093691482171701E-2</v>
      </c>
      <c r="L4597">
        <v>1491.2164401643099</v>
      </c>
      <c r="M4597">
        <v>27.749369144313299</v>
      </c>
      <c r="N4597">
        <v>54.212805039396301</v>
      </c>
      <c r="O4597">
        <v>53.4619933249556</v>
      </c>
      <c r="P4597">
        <v>-0.11578431670903901</v>
      </c>
      <c r="Q4597">
        <v>0.1077267164903</v>
      </c>
      <c r="R4597">
        <v>0.99637717548360205</v>
      </c>
      <c r="S4597" t="s">
        <v>11600</v>
      </c>
      <c r="T4597" t="s">
        <v>14004</v>
      </c>
      <c r="U4597" t="s">
        <v>14004</v>
      </c>
      <c r="V4597" t="s">
        <v>14004</v>
      </c>
      <c r="W4597" t="s">
        <v>18546</v>
      </c>
      <c r="X4597">
        <v>19</v>
      </c>
      <c r="Y4597" t="s">
        <v>25357</v>
      </c>
      <c r="Z4597" t="s">
        <v>32307</v>
      </c>
      <c r="AA4597">
        <v>0.52313749616532579</v>
      </c>
      <c r="AB4597" t="str">
        <f>HYPERLINK("Melting_Curves/meltCurve_Q86YS7_C2CD5.pdf", "Melting_Curves/meltCurve_Q86YS7_C2CD5.pdf")</f>
        <v>Melting_Curves/meltCurve_Q86YS7_C2CD5.pdf</v>
      </c>
    </row>
    <row r="4598" spans="1:28" x14ac:dyDescent="0.25">
      <c r="A4598" t="s">
        <v>4602</v>
      </c>
      <c r="B4598">
        <v>0.99999676499088797</v>
      </c>
      <c r="C4598">
        <v>0.71706830008842803</v>
      </c>
      <c r="D4598">
        <v>0.80143148887047899</v>
      </c>
      <c r="E4598">
        <v>0.45061369149506503</v>
      </c>
      <c r="F4598">
        <v>0.29130961067798999</v>
      </c>
      <c r="G4598">
        <v>0.203443031690375</v>
      </c>
      <c r="H4598">
        <v>0.122956119648368</v>
      </c>
      <c r="I4598">
        <v>0.13316598159482301</v>
      </c>
      <c r="J4598">
        <v>0.17040015631738201</v>
      </c>
      <c r="K4598">
        <v>8.7732305052889606E-2</v>
      </c>
      <c r="L4598">
        <v>633.86986827720898</v>
      </c>
      <c r="M4598">
        <v>13.1092612591099</v>
      </c>
      <c r="N4598">
        <v>49.131974003634802</v>
      </c>
      <c r="O4598">
        <v>47.269185898847503</v>
      </c>
      <c r="P4598">
        <v>-6.2836760689554003E-2</v>
      </c>
      <c r="Q4598">
        <v>9.3851548608777105E-2</v>
      </c>
      <c r="R4598">
        <v>0.96000467867885897</v>
      </c>
      <c r="S4598" t="s">
        <v>11601</v>
      </c>
      <c r="T4598" t="s">
        <v>14004</v>
      </c>
      <c r="U4598" t="s">
        <v>14004</v>
      </c>
      <c r="V4598" t="s">
        <v>14004</v>
      </c>
      <c r="W4598" t="s">
        <v>18547</v>
      </c>
      <c r="X4598">
        <v>1</v>
      </c>
      <c r="Y4598" t="s">
        <v>25358</v>
      </c>
      <c r="Z4598" t="s">
        <v>32308</v>
      </c>
      <c r="AA4598">
        <v>0.37575147734076741</v>
      </c>
      <c r="AB4598" t="str">
        <f>HYPERLINK("Melting_Curves/meltCurve_Q86YT6_MIB1.pdf", "Melting_Curves/meltCurve_Q86YT6_MIB1.pdf")</f>
        <v>Melting_Curves/meltCurve_Q86YT6_MIB1.pdf</v>
      </c>
    </row>
    <row r="4599" spans="1:28" x14ac:dyDescent="0.25">
      <c r="A4599" t="s">
        <v>4603</v>
      </c>
      <c r="B4599">
        <v>0.99999676499088797</v>
      </c>
      <c r="C4599">
        <v>0.78208659542507497</v>
      </c>
      <c r="D4599">
        <v>0.31093809780758103</v>
      </c>
      <c r="E4599">
        <v>0.18876316582995301</v>
      </c>
      <c r="F4599">
        <v>0.17036668983574199</v>
      </c>
      <c r="G4599">
        <v>0.13331671149092</v>
      </c>
      <c r="H4599">
        <v>5.3902647477849598E-2</v>
      </c>
      <c r="I4599">
        <v>6.5705785156421406E-2</v>
      </c>
      <c r="J4599">
        <v>5.9420331418500498E-2</v>
      </c>
      <c r="K4599">
        <v>4.9654276492025799E-2</v>
      </c>
      <c r="L4599">
        <v>1343.51952633922</v>
      </c>
      <c r="M4599">
        <v>30.209667020640602</v>
      </c>
      <c r="N4599">
        <v>44.780650109544197</v>
      </c>
      <c r="O4599">
        <v>44.279653216828102</v>
      </c>
      <c r="P4599">
        <v>-0.154586873413146</v>
      </c>
      <c r="Q4599">
        <v>9.3666304338010903E-2</v>
      </c>
      <c r="R4599">
        <v>0.98342111531651799</v>
      </c>
      <c r="S4599" t="s">
        <v>11602</v>
      </c>
      <c r="T4599" t="s">
        <v>14004</v>
      </c>
      <c r="U4599" t="s">
        <v>14004</v>
      </c>
      <c r="V4599" t="s">
        <v>14004</v>
      </c>
      <c r="W4599" t="s">
        <v>18548</v>
      </c>
      <c r="X4599">
        <v>6</v>
      </c>
      <c r="Y4599" t="s">
        <v>25359</v>
      </c>
      <c r="Z4599" t="s">
        <v>32309</v>
      </c>
      <c r="AA4599">
        <v>0.23486299876533631</v>
      </c>
      <c r="AB4599" t="str">
        <f>HYPERLINK("Melting_Curves/meltCurve_Q86YV0_RASAL3.pdf", "Melting_Curves/meltCurve_Q86YV0_RASAL3.pdf")</f>
        <v>Melting_Curves/meltCurve_Q86YV0_RASAL3.pdf</v>
      </c>
    </row>
    <row r="4600" spans="1:28" x14ac:dyDescent="0.25">
      <c r="A4600" t="s">
        <v>4604</v>
      </c>
      <c r="B4600">
        <v>0.99999676499088797</v>
      </c>
      <c r="C4600">
        <v>0.64256495921875401</v>
      </c>
      <c r="D4600">
        <v>0.38375859598933099</v>
      </c>
      <c r="E4600">
        <v>0.236627991085991</v>
      </c>
      <c r="F4600">
        <v>0.152184091483309</v>
      </c>
      <c r="G4600">
        <v>0.10432635138504801</v>
      </c>
      <c r="H4600">
        <v>6.0022603651952403E-2</v>
      </c>
      <c r="I4600">
        <v>7.0227194481909103E-2</v>
      </c>
      <c r="J4600">
        <v>6.6883991972807394E-2</v>
      </c>
      <c r="K4600">
        <v>6.6255854915028903E-2</v>
      </c>
      <c r="L4600">
        <v>852.03813445358298</v>
      </c>
      <c r="M4600">
        <v>19.155871876895699</v>
      </c>
      <c r="N4600">
        <v>44.886005153471203</v>
      </c>
      <c r="O4600">
        <v>44.002961494026003</v>
      </c>
      <c r="P4600">
        <v>-0.100163961274074</v>
      </c>
      <c r="Q4600">
        <v>7.9688285716074905E-2</v>
      </c>
      <c r="R4600">
        <v>0.98114010546702002</v>
      </c>
      <c r="S4600" t="s">
        <v>11603</v>
      </c>
      <c r="T4600" t="s">
        <v>14004</v>
      </c>
      <c r="U4600" t="s">
        <v>14004</v>
      </c>
      <c r="V4600" t="s">
        <v>14004</v>
      </c>
      <c r="W4600" t="s">
        <v>18549</v>
      </c>
      <c r="X4600">
        <v>16</v>
      </c>
      <c r="Y4600" t="s">
        <v>25360</v>
      </c>
      <c r="Z4600" t="s">
        <v>32310</v>
      </c>
      <c r="AA4600">
        <v>0.23547393927203419</v>
      </c>
      <c r="AB4600" t="str">
        <f>HYPERLINK("Melting_Curves/meltCurve_Q8IU81_IRF2BP1.pdf", "Melting_Curves/meltCurve_Q8IU81_IRF2BP1.pdf")</f>
        <v>Melting_Curves/meltCurve_Q8IU81_IRF2BP1.pdf</v>
      </c>
    </row>
    <row r="4601" spans="1:28" x14ac:dyDescent="0.25">
      <c r="A4601" t="s">
        <v>4605</v>
      </c>
      <c r="B4601">
        <v>0.99999676499088797</v>
      </c>
      <c r="C4601">
        <v>0.97188513231876905</v>
      </c>
      <c r="D4601">
        <v>0.94478544502982498</v>
      </c>
      <c r="E4601">
        <v>0.88112664074914704</v>
      </c>
      <c r="F4601">
        <v>0.57125000058400899</v>
      </c>
      <c r="G4601">
        <v>0.29542552998773097</v>
      </c>
      <c r="H4601">
        <v>0.170582117262187</v>
      </c>
      <c r="I4601">
        <v>0.142348433537276</v>
      </c>
      <c r="J4601">
        <v>0.14691668380458101</v>
      </c>
      <c r="K4601">
        <v>9.9754208921924603E-2</v>
      </c>
      <c r="L4601">
        <v>1199.1805906771001</v>
      </c>
      <c r="M4601">
        <v>22.467738579218398</v>
      </c>
      <c r="N4601">
        <v>54.017268276107799</v>
      </c>
      <c r="O4601">
        <v>52.956021478407301</v>
      </c>
      <c r="P4601">
        <v>-9.3610504832862595E-2</v>
      </c>
      <c r="Q4601">
        <v>0.117465651152345</v>
      </c>
      <c r="R4601">
        <v>0.99795231078394797</v>
      </c>
      <c r="S4601" t="s">
        <v>11604</v>
      </c>
      <c r="T4601" t="s">
        <v>14004</v>
      </c>
      <c r="U4601" t="s">
        <v>14004</v>
      </c>
      <c r="V4601" t="s">
        <v>14004</v>
      </c>
      <c r="W4601" t="s">
        <v>18550</v>
      </c>
      <c r="X4601">
        <v>3</v>
      </c>
      <c r="Y4601" t="s">
        <v>25361</v>
      </c>
      <c r="Z4601" t="s">
        <v>32311</v>
      </c>
      <c r="AA4601">
        <v>0.52077550366782954</v>
      </c>
      <c r="AB4601" t="str">
        <f>HYPERLINK("Melting_Curves/meltCurve_Q8IU85_2_CAMK1D.pdf", "Melting_Curves/meltCurve_Q8IU85_2_CAMK1D.pdf")</f>
        <v>Melting_Curves/meltCurve_Q8IU85_2_CAMK1D.pdf</v>
      </c>
    </row>
    <row r="4602" spans="1:28" x14ac:dyDescent="0.25">
      <c r="A4602" t="s">
        <v>4606</v>
      </c>
      <c r="B4602">
        <v>0.99999676499088797</v>
      </c>
      <c r="C4602">
        <v>1.8741345399456899</v>
      </c>
      <c r="D4602">
        <v>1.24597821965776</v>
      </c>
      <c r="E4602">
        <v>0.399180563082352</v>
      </c>
      <c r="F4602">
        <v>0.192535327768386</v>
      </c>
      <c r="G4602">
        <v>0.186410707088355</v>
      </c>
      <c r="H4602">
        <v>0.154561525294649</v>
      </c>
      <c r="I4602">
        <v>0.29396922487278299</v>
      </c>
      <c r="J4602">
        <v>0.84769073743253598</v>
      </c>
      <c r="K4602">
        <v>0.17520872408368701</v>
      </c>
      <c r="L4602">
        <v>12306.265675107201</v>
      </c>
      <c r="M4602">
        <v>250</v>
      </c>
      <c r="N4602">
        <v>49.414640202825602</v>
      </c>
      <c r="O4602">
        <v>49.2219128040743</v>
      </c>
      <c r="P4602">
        <v>-0.87817083126337903</v>
      </c>
      <c r="Q4602">
        <v>0.30839603401945298</v>
      </c>
      <c r="R4602">
        <v>0.61741470488410799</v>
      </c>
      <c r="S4602" t="s">
        <v>11605</v>
      </c>
      <c r="T4602" t="s">
        <v>14004</v>
      </c>
      <c r="U4602" t="s">
        <v>14004</v>
      </c>
      <c r="V4602" t="s">
        <v>14004</v>
      </c>
      <c r="W4602" t="s">
        <v>18551</v>
      </c>
      <c r="X4602">
        <v>4</v>
      </c>
      <c r="Y4602" t="s">
        <v>25362</v>
      </c>
      <c r="Z4602" t="s">
        <v>32312</v>
      </c>
      <c r="AA4602">
        <v>0.52112544614707412</v>
      </c>
      <c r="AB4602" t="str">
        <f>HYPERLINK("Melting_Curves/meltCurve_Q8IUE6_HIST2H2AB.pdf", "Melting_Curves/meltCurve_Q8IUE6_HIST2H2AB.pdf")</f>
        <v>Melting_Curves/meltCurve_Q8IUE6_HIST2H2AB.pdf</v>
      </c>
    </row>
    <row r="4603" spans="1:28" x14ac:dyDescent="0.25">
      <c r="A4603" t="s">
        <v>4607</v>
      </c>
      <c r="B4603">
        <v>0.99999676499088797</v>
      </c>
      <c r="C4603">
        <v>0.99840570951933505</v>
      </c>
      <c r="D4603">
        <v>1.00433176659671</v>
      </c>
      <c r="E4603">
        <v>1.0554584228573101</v>
      </c>
      <c r="F4603">
        <v>0.60108156315719197</v>
      </c>
      <c r="G4603">
        <v>0.269036884504468</v>
      </c>
      <c r="H4603">
        <v>0.120933225089473</v>
      </c>
      <c r="I4603">
        <v>8.9895046441808193E-2</v>
      </c>
      <c r="J4603">
        <v>8.4708846187840595E-2</v>
      </c>
      <c r="K4603">
        <v>8.1112158556719494E-2</v>
      </c>
      <c r="L4603">
        <v>1847.1930116992901</v>
      </c>
      <c r="M4603">
        <v>34.289141143901297</v>
      </c>
      <c r="N4603">
        <v>54.202165047699403</v>
      </c>
      <c r="O4603">
        <v>53.6888368023072</v>
      </c>
      <c r="P4603">
        <v>-0.14458031879125999</v>
      </c>
      <c r="Q4603">
        <v>9.4486581937093694E-2</v>
      </c>
      <c r="R4603">
        <v>0.99200040303405101</v>
      </c>
      <c r="S4603" t="s">
        <v>11606</v>
      </c>
      <c r="T4603" t="s">
        <v>14004</v>
      </c>
      <c r="U4603" t="s">
        <v>14004</v>
      </c>
      <c r="V4603" t="s">
        <v>14004</v>
      </c>
      <c r="W4603" t="s">
        <v>18552</v>
      </c>
      <c r="X4603">
        <v>11</v>
      </c>
      <c r="Y4603" t="s">
        <v>25363</v>
      </c>
      <c r="Z4603" t="s">
        <v>32313</v>
      </c>
      <c r="AA4603">
        <v>0.51774091824317103</v>
      </c>
      <c r="AB4603" t="str">
        <f>HYPERLINK("Melting_Curves/meltCurve_Q8IUF8_MINA.pdf", "Melting_Curves/meltCurve_Q8IUF8_MINA.pdf")</f>
        <v>Melting_Curves/meltCurve_Q8IUF8_MINA.pdf</v>
      </c>
    </row>
    <row r="4604" spans="1:28" x14ac:dyDescent="0.25">
      <c r="A4604" t="s">
        <v>4608</v>
      </c>
      <c r="B4604">
        <v>0.99999676499088797</v>
      </c>
      <c r="C4604">
        <v>0.86786806433201102</v>
      </c>
      <c r="D4604">
        <v>0.45702705418304901</v>
      </c>
      <c r="E4604">
        <v>0.21958890342381501</v>
      </c>
      <c r="F4604">
        <v>0.16314672026597599</v>
      </c>
      <c r="G4604">
        <v>0.112331637420011</v>
      </c>
      <c r="H4604">
        <v>7.78472934425226E-2</v>
      </c>
      <c r="I4604">
        <v>8.2347628717367602E-2</v>
      </c>
      <c r="J4604">
        <v>6.7658608578502505E-2</v>
      </c>
      <c r="K4604">
        <v>4.4869142530486503E-2</v>
      </c>
      <c r="L4604">
        <v>1135.8545152864399</v>
      </c>
      <c r="M4604">
        <v>24.916984558508901</v>
      </c>
      <c r="N4604">
        <v>45.936779412419298</v>
      </c>
      <c r="O4604">
        <v>45.294959128624001</v>
      </c>
      <c r="P4604">
        <v>-0.12559999411452399</v>
      </c>
      <c r="Q4604">
        <v>8.6732050604266503E-2</v>
      </c>
      <c r="R4604">
        <v>0.99225016450279302</v>
      </c>
      <c r="S4604" t="s">
        <v>11607</v>
      </c>
      <c r="T4604" t="s">
        <v>14004</v>
      </c>
      <c r="U4604" t="s">
        <v>14004</v>
      </c>
      <c r="V4604" t="s">
        <v>14004</v>
      </c>
      <c r="W4604" t="s">
        <v>18553</v>
      </c>
      <c r="X4604">
        <v>2</v>
      </c>
      <c r="Y4604" t="s">
        <v>25364</v>
      </c>
      <c r="Z4604" t="s">
        <v>32314</v>
      </c>
      <c r="AA4604">
        <v>0.26548782687327488</v>
      </c>
      <c r="AB4604" t="str">
        <f>HYPERLINK("Melting_Curves/meltCurve_Q8IUH3_3_RBM45.pdf", "Melting_Curves/meltCurve_Q8IUH3_3_RBM45.pdf")</f>
        <v>Melting_Curves/meltCurve_Q8IUH3_3_RBM45.pdf</v>
      </c>
    </row>
    <row r="4605" spans="1:28" x14ac:dyDescent="0.25">
      <c r="A4605" t="s">
        <v>4609</v>
      </c>
      <c r="B4605">
        <v>0.99999676499088797</v>
      </c>
      <c r="C4605">
        <v>1.0077459907461701</v>
      </c>
      <c r="D4605">
        <v>0.98471553033889503</v>
      </c>
      <c r="E4605">
        <v>0.62942255420846005</v>
      </c>
      <c r="F4605">
        <v>0.28448646670127598</v>
      </c>
      <c r="G4605">
        <v>0.16724930816</v>
      </c>
      <c r="H4605">
        <v>7.0160971696073299E-2</v>
      </c>
      <c r="I4605">
        <v>6.3346829831003301E-2</v>
      </c>
      <c r="J4605">
        <v>5.9192831651161598E-2</v>
      </c>
      <c r="K4605">
        <v>3.9937636220552901E-2</v>
      </c>
      <c r="L4605">
        <v>1258.56684985227</v>
      </c>
      <c r="M4605">
        <v>24.822196728622</v>
      </c>
      <c r="N4605">
        <v>50.971855255080101</v>
      </c>
      <c r="O4605">
        <v>50.377632002984498</v>
      </c>
      <c r="P4605">
        <v>-0.115631446599492</v>
      </c>
      <c r="Q4605">
        <v>6.12985403786276E-2</v>
      </c>
      <c r="R4605">
        <v>0.99604871635665804</v>
      </c>
      <c r="S4605" t="s">
        <v>11608</v>
      </c>
      <c r="T4605" t="s">
        <v>14004</v>
      </c>
      <c r="U4605" t="s">
        <v>14004</v>
      </c>
      <c r="V4605" t="s">
        <v>14004</v>
      </c>
      <c r="W4605" t="s">
        <v>18554</v>
      </c>
      <c r="X4605">
        <v>6</v>
      </c>
      <c r="Y4605" t="s">
        <v>25365</v>
      </c>
      <c r="Z4605" t="s">
        <v>32315</v>
      </c>
      <c r="AA4605">
        <v>0.40477777719916419</v>
      </c>
      <c r="AB4605" t="str">
        <f>HYPERLINK("Melting_Curves/meltCurve_Q8IUH4_ZDHHC13.pdf", "Melting_Curves/meltCurve_Q8IUH4_ZDHHC13.pdf")</f>
        <v>Melting_Curves/meltCurve_Q8IUH4_ZDHHC13.pdf</v>
      </c>
    </row>
    <row r="4606" spans="1:28" x14ac:dyDescent="0.25">
      <c r="A4606" t="s">
        <v>4610</v>
      </c>
      <c r="B4606">
        <v>0.99999676499088797</v>
      </c>
      <c r="C4606">
        <v>1.09116333606352</v>
      </c>
      <c r="D4606">
        <v>1.01503378826447</v>
      </c>
      <c r="E4606">
        <v>0.91841234830810803</v>
      </c>
      <c r="F4606">
        <v>0.59460355573440205</v>
      </c>
      <c r="G4606">
        <v>0.46902049606113899</v>
      </c>
      <c r="H4606">
        <v>8.5832342050972399E-2</v>
      </c>
      <c r="I4606">
        <v>4.4815825609891898E-2</v>
      </c>
      <c r="J4606">
        <v>3.0332377849939599E-2</v>
      </c>
      <c r="K4606">
        <v>3.9602661010085201E-2</v>
      </c>
      <c r="L4606">
        <v>1057.8259137585701</v>
      </c>
      <c r="M4606">
        <v>19.157438535400299</v>
      </c>
      <c r="N4606">
        <v>55.217488230931302</v>
      </c>
      <c r="O4606">
        <v>54.626395546431198</v>
      </c>
      <c r="P4606">
        <v>-8.7678204290669803E-2</v>
      </c>
      <c r="Q4606">
        <v>0</v>
      </c>
      <c r="R4606">
        <v>0.98286802310184196</v>
      </c>
      <c r="S4606" t="s">
        <v>11609</v>
      </c>
      <c r="T4606" t="s">
        <v>14004</v>
      </c>
      <c r="U4606" t="s">
        <v>14004</v>
      </c>
      <c r="V4606" t="s">
        <v>14004</v>
      </c>
      <c r="W4606" t="s">
        <v>18555</v>
      </c>
      <c r="X4606">
        <v>2</v>
      </c>
      <c r="Y4606" t="s">
        <v>25366</v>
      </c>
      <c r="Z4606" t="s">
        <v>32316</v>
      </c>
      <c r="AA4606">
        <v>0.52133119894302171</v>
      </c>
      <c r="AB4606" t="str">
        <f>HYPERLINK("Melting_Curves/meltCurve_Q8IUH5_ZDHHC17.pdf", "Melting_Curves/meltCurve_Q8IUH5_ZDHHC17.pdf")</f>
        <v>Melting_Curves/meltCurve_Q8IUH5_ZDHHC17.pdf</v>
      </c>
    </row>
    <row r="4607" spans="1:28" x14ac:dyDescent="0.25">
      <c r="A4607" t="s">
        <v>4611</v>
      </c>
      <c r="B4607">
        <v>0.99999676499088797</v>
      </c>
      <c r="C4607">
        <v>0.95709343414953096</v>
      </c>
      <c r="D4607">
        <v>0.85184982736841797</v>
      </c>
      <c r="E4607">
        <v>0.29110778641665502</v>
      </c>
      <c r="F4607">
        <v>0.14465718551267701</v>
      </c>
      <c r="G4607">
        <v>9.6111274866131802E-2</v>
      </c>
      <c r="H4607">
        <v>4.4554371606123203E-2</v>
      </c>
      <c r="I4607">
        <v>5.82955398782838E-2</v>
      </c>
      <c r="J4607">
        <v>5.89755356771497E-2</v>
      </c>
      <c r="K4607">
        <v>4.0559259096599597E-2</v>
      </c>
      <c r="L4607">
        <v>1630.0386098276999</v>
      </c>
      <c r="M4607">
        <v>33.895461254676</v>
      </c>
      <c r="N4607">
        <v>48.2878363153349</v>
      </c>
      <c r="O4607">
        <v>47.923708623756198</v>
      </c>
      <c r="P4607">
        <v>-0.16536676388952401</v>
      </c>
      <c r="Q4607">
        <v>6.4776634603176397E-2</v>
      </c>
      <c r="R4607">
        <v>0.99651871207447296</v>
      </c>
      <c r="S4607" t="s">
        <v>11610</v>
      </c>
      <c r="T4607" t="s">
        <v>14004</v>
      </c>
      <c r="U4607" t="s">
        <v>14004</v>
      </c>
      <c r="V4607" t="s">
        <v>14004</v>
      </c>
      <c r="W4607" t="s">
        <v>18556</v>
      </c>
      <c r="X4607">
        <v>19</v>
      </c>
      <c r="Y4607" t="s">
        <v>25367</v>
      </c>
      <c r="Z4607" t="s">
        <v>32317</v>
      </c>
      <c r="AA4607">
        <v>0.32135477119704609</v>
      </c>
      <c r="AB4607" t="str">
        <f>HYPERLINK("Melting_Curves/meltCurve_Q8IUI8_CRLF3.pdf", "Melting_Curves/meltCurve_Q8IUI8_CRLF3.pdf")</f>
        <v>Melting_Curves/meltCurve_Q8IUI8_CRLF3.pdf</v>
      </c>
    </row>
    <row r="4608" spans="1:28" x14ac:dyDescent="0.25">
      <c r="A4608" t="s">
        <v>4612</v>
      </c>
      <c r="B4608">
        <v>0.99999676499088797</v>
      </c>
      <c r="C4608">
        <v>1.3984682105581701</v>
      </c>
      <c r="D4608">
        <v>1.35192643072175</v>
      </c>
      <c r="E4608">
        <v>1.1261524912268399</v>
      </c>
      <c r="F4608">
        <v>0.70069718977404105</v>
      </c>
      <c r="G4608">
        <v>0.55212405404048004</v>
      </c>
      <c r="H4608">
        <v>0.14840389902705201</v>
      </c>
      <c r="I4608">
        <v>0.30904528696633199</v>
      </c>
      <c r="J4608">
        <v>0.26306786792290099</v>
      </c>
      <c r="K4608">
        <v>0.36475253203232999</v>
      </c>
      <c r="L4608">
        <v>1761.7959265156101</v>
      </c>
      <c r="M4608">
        <v>32.196758818022303</v>
      </c>
      <c r="N4608">
        <v>56.137578621117903</v>
      </c>
      <c r="O4608">
        <v>54.509870835990299</v>
      </c>
      <c r="P4608">
        <v>-0.106572489831585</v>
      </c>
      <c r="Q4608">
        <v>0.27828460907044</v>
      </c>
      <c r="R4608">
        <v>0.81683193129785303</v>
      </c>
      <c r="S4608" t="s">
        <v>11611</v>
      </c>
      <c r="T4608" t="s">
        <v>14004</v>
      </c>
      <c r="U4608" t="s">
        <v>14004</v>
      </c>
      <c r="V4608" t="s">
        <v>14004</v>
      </c>
      <c r="W4608" t="s">
        <v>18557</v>
      </c>
      <c r="X4608">
        <v>2</v>
      </c>
      <c r="Y4608" t="s">
        <v>25368</v>
      </c>
      <c r="Z4608" t="s">
        <v>32318</v>
      </c>
      <c r="AA4608">
        <v>0.63656897497569542</v>
      </c>
      <c r="AB4608" t="str">
        <f>HYPERLINK("Melting_Curves/meltCurve_Q8IUQ4_SIAH1.pdf", "Melting_Curves/meltCurve_Q8IUQ4_SIAH1.pdf")</f>
        <v>Melting_Curves/meltCurve_Q8IUQ4_SIAH1.pdf</v>
      </c>
    </row>
    <row r="4609" spans="1:28" x14ac:dyDescent="0.25">
      <c r="A4609" t="s">
        <v>4613</v>
      </c>
      <c r="B4609">
        <v>0.99999676499088797</v>
      </c>
      <c r="C4609">
        <v>0.98345035095280697</v>
      </c>
      <c r="D4609">
        <v>0.97503780329793399</v>
      </c>
      <c r="E4609">
        <v>0.85148887033297604</v>
      </c>
      <c r="F4609">
        <v>0.364185069130672</v>
      </c>
      <c r="G4609">
        <v>0.25086438357045798</v>
      </c>
      <c r="H4609">
        <v>0.104570866979045</v>
      </c>
      <c r="I4609">
        <v>7.5864590818742195E-2</v>
      </c>
      <c r="J4609">
        <v>0.10268500129191099</v>
      </c>
      <c r="K4609">
        <v>9.4520115895992005E-2</v>
      </c>
      <c r="L4609">
        <v>1504.8242622761099</v>
      </c>
      <c r="M4609">
        <v>28.9424399608714</v>
      </c>
      <c r="N4609">
        <v>52.405514238958098</v>
      </c>
      <c r="O4609">
        <v>51.747369713230498</v>
      </c>
      <c r="P4609">
        <v>-0.12560416864162399</v>
      </c>
      <c r="Q4609">
        <v>0.101715480239313</v>
      </c>
      <c r="R4609">
        <v>0.99350694387668703</v>
      </c>
      <c r="S4609" t="s">
        <v>11612</v>
      </c>
      <c r="T4609" t="s">
        <v>14004</v>
      </c>
      <c r="U4609" t="s">
        <v>14004</v>
      </c>
      <c r="V4609" t="s">
        <v>14004</v>
      </c>
      <c r="W4609" t="s">
        <v>18558</v>
      </c>
      <c r="X4609">
        <v>5</v>
      </c>
      <c r="Y4609" t="s">
        <v>25369</v>
      </c>
      <c r="Z4609" t="s">
        <v>32319</v>
      </c>
      <c r="AA4609">
        <v>0.46700160026118243</v>
      </c>
      <c r="AB4609" t="str">
        <f>HYPERLINK("Melting_Curves/meltCurve_Q8IUR0_TRAPPC5.pdf", "Melting_Curves/meltCurve_Q8IUR0_TRAPPC5.pdf")</f>
        <v>Melting_Curves/meltCurve_Q8IUR0_TRAPPC5.pdf</v>
      </c>
    </row>
    <row r="4610" spans="1:28" x14ac:dyDescent="0.25">
      <c r="A4610" t="s">
        <v>4614</v>
      </c>
      <c r="B4610">
        <v>0.99999676499088797</v>
      </c>
      <c r="C4610">
        <v>0.77948203492027301</v>
      </c>
      <c r="D4610">
        <v>0.58539301565448298</v>
      </c>
      <c r="E4610">
        <v>0.428576411159309</v>
      </c>
      <c r="F4610">
        <v>0.31245441759122899</v>
      </c>
      <c r="G4610">
        <v>0.34070245433217899</v>
      </c>
      <c r="H4610">
        <v>0.29921935587221199</v>
      </c>
      <c r="I4610">
        <v>0.25211887316020698</v>
      </c>
      <c r="J4610">
        <v>0.28454739153729602</v>
      </c>
      <c r="K4610">
        <v>0.180176096814784</v>
      </c>
      <c r="L4610">
        <v>752.87470629450195</v>
      </c>
      <c r="M4610">
        <v>16.514228316235101</v>
      </c>
      <c r="N4610">
        <v>47.698840927024101</v>
      </c>
      <c r="O4610">
        <v>44.936678614042499</v>
      </c>
      <c r="P4610">
        <v>-6.8073081869345797E-2</v>
      </c>
      <c r="Q4610">
        <v>0.25911954234934598</v>
      </c>
      <c r="R4610">
        <v>0.973000800355317</v>
      </c>
      <c r="S4610" t="s">
        <v>11613</v>
      </c>
      <c r="T4610" t="s">
        <v>14004</v>
      </c>
      <c r="U4610" t="s">
        <v>14004</v>
      </c>
      <c r="V4610" t="s">
        <v>14004</v>
      </c>
      <c r="W4610" t="s">
        <v>18559</v>
      </c>
      <c r="X4610">
        <v>1</v>
      </c>
      <c r="Y4610" t="s">
        <v>25370</v>
      </c>
      <c r="Z4610" t="s">
        <v>32320</v>
      </c>
      <c r="AA4610">
        <v>0.41539317035625117</v>
      </c>
      <c r="AB4610" t="str">
        <f>HYPERLINK("Melting_Curves/meltCurve_Q8IUW5_RELL1.pdf", "Melting_Curves/meltCurve_Q8IUW5_RELL1.pdf")</f>
        <v>Melting_Curves/meltCurve_Q8IUW5_RELL1.pdf</v>
      </c>
    </row>
    <row r="4611" spans="1:28" x14ac:dyDescent="0.25">
      <c r="A4611" t="s">
        <v>4615</v>
      </c>
      <c r="B4611">
        <v>0.99999676499088797</v>
      </c>
      <c r="C4611">
        <v>0.99038071895888802</v>
      </c>
      <c r="D4611">
        <v>1.08740049483396</v>
      </c>
      <c r="E4611">
        <v>1.3240886318735099</v>
      </c>
      <c r="F4611">
        <v>1.08312459095862</v>
      </c>
      <c r="G4611">
        <v>1.01445341036397</v>
      </c>
      <c r="H4611">
        <v>0.52872398078448701</v>
      </c>
      <c r="I4611">
        <v>0.30460699192604701</v>
      </c>
      <c r="J4611">
        <v>0.17199392039810399</v>
      </c>
      <c r="K4611">
        <v>0.16353069680096799</v>
      </c>
      <c r="L4611">
        <v>2794.8081167032301</v>
      </c>
      <c r="M4611">
        <v>46.154275483318699</v>
      </c>
      <c r="N4611">
        <v>61.160805518026002</v>
      </c>
      <c r="O4611">
        <v>60.440263502610101</v>
      </c>
      <c r="P4611">
        <v>-0.1558211617975</v>
      </c>
      <c r="Q4611">
        <v>0.18379297361715899</v>
      </c>
      <c r="R4611">
        <v>0.92353796689128298</v>
      </c>
      <c r="S4611" t="s">
        <v>11614</v>
      </c>
      <c r="T4611" t="s">
        <v>14004</v>
      </c>
      <c r="U4611" t="s">
        <v>14004</v>
      </c>
      <c r="V4611" t="s">
        <v>14004</v>
      </c>
      <c r="W4611" t="s">
        <v>18560</v>
      </c>
      <c r="X4611">
        <v>4</v>
      </c>
      <c r="Y4611" t="s">
        <v>25371</v>
      </c>
      <c r="Z4611" t="s">
        <v>32321</v>
      </c>
      <c r="AA4611">
        <v>0.74545505475431584</v>
      </c>
      <c r="AB4611" t="str">
        <f>HYPERLINK("Melting_Curves/meltCurve_Q8IUX1_4_TMEM126B.pdf", "Melting_Curves/meltCurve_Q8IUX1_4_TMEM126B.pdf")</f>
        <v>Melting_Curves/meltCurve_Q8IUX1_4_TMEM126B.pdf</v>
      </c>
    </row>
    <row r="4612" spans="1:28" x14ac:dyDescent="0.25">
      <c r="A4612" t="s">
        <v>4616</v>
      </c>
      <c r="B4612">
        <v>0.99999676499088797</v>
      </c>
      <c r="C4612">
        <v>1.0911704775413</v>
      </c>
      <c r="D4612">
        <v>1.04127927234661</v>
      </c>
      <c r="E4612">
        <v>0.776882822372302</v>
      </c>
      <c r="F4612">
        <v>0.423481150442654</v>
      </c>
      <c r="G4612">
        <v>1.5827310507068499</v>
      </c>
      <c r="H4612">
        <v>0.28131141055993902</v>
      </c>
      <c r="I4612">
        <v>0.24329888137656999</v>
      </c>
      <c r="J4612">
        <v>0.32178320848099501</v>
      </c>
      <c r="K4612">
        <v>0.43203889977319399</v>
      </c>
      <c r="L4612">
        <v>14764.666142842299</v>
      </c>
      <c r="M4612">
        <v>250</v>
      </c>
      <c r="N4612">
        <v>59.300334360263498</v>
      </c>
      <c r="O4612">
        <v>59.054881346427997</v>
      </c>
      <c r="P4612">
        <v>-0.72020868422496598</v>
      </c>
      <c r="Q4612">
        <v>0.31949054198203902</v>
      </c>
      <c r="R4612">
        <v>0.58604307460695104</v>
      </c>
      <c r="S4612" t="s">
        <v>11615</v>
      </c>
      <c r="T4612" t="s">
        <v>14004</v>
      </c>
      <c r="U4612" t="s">
        <v>14004</v>
      </c>
      <c r="V4612" t="s">
        <v>14004</v>
      </c>
      <c r="W4612" t="s">
        <v>18561</v>
      </c>
      <c r="X4612">
        <v>4</v>
      </c>
      <c r="Y4612" t="s">
        <v>25372</v>
      </c>
      <c r="Z4612" t="s">
        <v>32322</v>
      </c>
      <c r="AA4612">
        <v>0.75188112470474588</v>
      </c>
      <c r="AB4612" t="str">
        <f>HYPERLINK("Melting_Curves/meltCurve_Q8IUX7_AEBP1.pdf", "Melting_Curves/meltCurve_Q8IUX7_AEBP1.pdf")</f>
        <v>Melting_Curves/meltCurve_Q8IUX7_AEBP1.pdf</v>
      </c>
    </row>
    <row r="4613" spans="1:28" x14ac:dyDescent="0.25">
      <c r="A4613" t="s">
        <v>4617</v>
      </c>
      <c r="B4613">
        <v>0.99999676499088797</v>
      </c>
      <c r="C4613">
        <v>0.94008511946484996</v>
      </c>
      <c r="D4613">
        <v>0.892238222782196</v>
      </c>
      <c r="E4613">
        <v>0.83735504047648401</v>
      </c>
      <c r="F4613">
        <v>0.80547013688136304</v>
      </c>
      <c r="G4613">
        <v>0.62886424538145902</v>
      </c>
      <c r="H4613">
        <v>0.31196854158123999</v>
      </c>
      <c r="I4613">
        <v>0.195592707898367</v>
      </c>
      <c r="J4613">
        <v>0.11157485959669999</v>
      </c>
      <c r="K4613">
        <v>8.8574860511362999E-2</v>
      </c>
      <c r="L4613">
        <v>797.69391585821802</v>
      </c>
      <c r="M4613">
        <v>13.7693350845302</v>
      </c>
      <c r="N4613">
        <v>57.932638851486701</v>
      </c>
      <c r="O4613">
        <v>56.751704969139404</v>
      </c>
      <c r="P4613">
        <v>-6.0664606098956297E-2</v>
      </c>
      <c r="Q4613">
        <v>0</v>
      </c>
      <c r="R4613">
        <v>0.98263145862145695</v>
      </c>
      <c r="S4613" t="s">
        <v>11616</v>
      </c>
      <c r="T4613" t="s">
        <v>14004</v>
      </c>
      <c r="U4613" t="s">
        <v>14004</v>
      </c>
      <c r="V4613" t="s">
        <v>14004</v>
      </c>
      <c r="W4613" t="s">
        <v>18562</v>
      </c>
      <c r="X4613">
        <v>5</v>
      </c>
      <c r="Y4613" t="s">
        <v>25373</v>
      </c>
      <c r="Z4613" t="s">
        <v>32323</v>
      </c>
      <c r="AA4613">
        <v>0.61143769801910763</v>
      </c>
      <c r="AB4613" t="str">
        <f>HYPERLINK("Melting_Curves/meltCurve_Q8IUZ5_AGXT2L2.pdf", "Melting_Curves/meltCurve_Q8IUZ5_AGXT2L2.pdf")</f>
        <v>Melting_Curves/meltCurve_Q8IUZ5_AGXT2L2.pdf</v>
      </c>
    </row>
    <row r="4614" spans="1:28" x14ac:dyDescent="0.25">
      <c r="A4614" t="s">
        <v>4618</v>
      </c>
      <c r="B4614">
        <v>0.99999676499088797</v>
      </c>
      <c r="C4614">
        <v>1.26691186950378</v>
      </c>
      <c r="D4614">
        <v>0.69564547369824503</v>
      </c>
      <c r="E4614">
        <v>0.17846181771248101</v>
      </c>
      <c r="F4614">
        <v>8.1838408130253601E-2</v>
      </c>
      <c r="G4614">
        <v>7.4759256722067693E-2</v>
      </c>
      <c r="H4614">
        <v>4.4300710973949496E-3</v>
      </c>
      <c r="I4614">
        <v>4.5481649081778798E-2</v>
      </c>
      <c r="J4614">
        <v>6.0630005194489002E-2</v>
      </c>
      <c r="K4614">
        <v>7.1879934324405601E-3</v>
      </c>
      <c r="L4614">
        <v>2098.1754000208098</v>
      </c>
      <c r="M4614">
        <v>44.669766624538497</v>
      </c>
      <c r="N4614">
        <v>47.0835808675712</v>
      </c>
      <c r="O4614">
        <v>46.876969434506897</v>
      </c>
      <c r="P4614">
        <v>-0.226143748446932</v>
      </c>
      <c r="Q4614">
        <v>5.0729781886369202E-2</v>
      </c>
      <c r="R4614">
        <v>0.95556257001048195</v>
      </c>
      <c r="S4614" t="s">
        <v>11617</v>
      </c>
      <c r="T4614" t="s">
        <v>14004</v>
      </c>
      <c r="U4614" t="s">
        <v>14004</v>
      </c>
      <c r="V4614" t="s">
        <v>14004</v>
      </c>
      <c r="W4614" t="s">
        <v>18563</v>
      </c>
      <c r="X4614">
        <v>1</v>
      </c>
      <c r="Y4614" t="s">
        <v>25374</v>
      </c>
      <c r="Z4614" t="s">
        <v>32324</v>
      </c>
      <c r="AA4614">
        <v>0.27378006972497099</v>
      </c>
      <c r="AB4614" t="str">
        <f>HYPERLINK("Melting_Curves/meltCurve_Q8IV04_TBC1D10C.pdf", "Melting_Curves/meltCurve_Q8IV04_TBC1D10C.pdf")</f>
        <v>Melting_Curves/meltCurve_Q8IV04_TBC1D10C.pdf</v>
      </c>
    </row>
    <row r="4615" spans="1:28" x14ac:dyDescent="0.25">
      <c r="A4615" t="s">
        <v>4619</v>
      </c>
      <c r="B4615">
        <v>0.99999676499088797</v>
      </c>
      <c r="C4615">
        <v>1.2080462829213101</v>
      </c>
      <c r="D4615">
        <v>1.14156727426201</v>
      </c>
      <c r="E4615">
        <v>1.1503327754916599</v>
      </c>
      <c r="F4615">
        <v>1.0501962034408701</v>
      </c>
      <c r="G4615">
        <v>0.78783024496015797</v>
      </c>
      <c r="H4615">
        <v>0.28625268831498002</v>
      </c>
      <c r="I4615">
        <v>0.24376785412135599</v>
      </c>
      <c r="J4615">
        <v>0.20448492718359901</v>
      </c>
      <c r="K4615">
        <v>0.243421634234187</v>
      </c>
      <c r="L4615">
        <v>3216.0209563564899</v>
      </c>
      <c r="M4615">
        <v>55.624801532890501</v>
      </c>
      <c r="N4615">
        <v>58.4694672995792</v>
      </c>
      <c r="O4615">
        <v>57.741749355169503</v>
      </c>
      <c r="P4615">
        <v>-0.18510610924262999</v>
      </c>
      <c r="Q4615">
        <v>0.23139744530310399</v>
      </c>
      <c r="R4615">
        <v>0.94694878069261001</v>
      </c>
      <c r="S4615" t="s">
        <v>11618</v>
      </c>
      <c r="T4615" t="s">
        <v>14004</v>
      </c>
      <c r="U4615" t="s">
        <v>14004</v>
      </c>
      <c r="V4615" t="s">
        <v>14004</v>
      </c>
      <c r="W4615" t="s">
        <v>18564</v>
      </c>
      <c r="X4615">
        <v>5</v>
      </c>
      <c r="Y4615" t="s">
        <v>25375</v>
      </c>
      <c r="Z4615" t="s">
        <v>32325</v>
      </c>
      <c r="AA4615">
        <v>0.68943243726400161</v>
      </c>
      <c r="AB4615" t="str">
        <f>HYPERLINK("Melting_Curves/meltCurve_Q8IV08_PLD3.pdf", "Melting_Curves/meltCurve_Q8IV08_PLD3.pdf")</f>
        <v>Melting_Curves/meltCurve_Q8IV08_PLD3.pdf</v>
      </c>
    </row>
    <row r="4616" spans="1:28" x14ac:dyDescent="0.25">
      <c r="A4616" t="s">
        <v>4620</v>
      </c>
      <c r="B4616">
        <v>0.99999676499088797</v>
      </c>
      <c r="C4616">
        <v>0.85960161059079598</v>
      </c>
      <c r="D4616">
        <v>0.86354217235404895</v>
      </c>
      <c r="E4616">
        <v>0.63049145787667404</v>
      </c>
      <c r="F4616">
        <v>0.33364648944203001</v>
      </c>
      <c r="G4616">
        <v>0.134176291471509</v>
      </c>
      <c r="H4616">
        <v>9.9167090625065304E-2</v>
      </c>
      <c r="I4616">
        <v>8.2302132804259798E-2</v>
      </c>
      <c r="J4616">
        <v>0.13819384915536001</v>
      </c>
      <c r="K4616">
        <v>0</v>
      </c>
      <c r="L4616">
        <v>846.90105998662102</v>
      </c>
      <c r="M4616">
        <v>16.7428816590769</v>
      </c>
      <c r="N4616">
        <v>50.874964224152798</v>
      </c>
      <c r="O4616">
        <v>49.877688257035302</v>
      </c>
      <c r="P4616">
        <v>-8.0077786542468998E-2</v>
      </c>
      <c r="Q4616">
        <v>4.5843418038038097E-2</v>
      </c>
      <c r="R4616">
        <v>0.98411432107824504</v>
      </c>
      <c r="S4616" t="s">
        <v>11619</v>
      </c>
      <c r="T4616" t="s">
        <v>14004</v>
      </c>
      <c r="U4616" t="s">
        <v>14004</v>
      </c>
      <c r="V4616" t="s">
        <v>14004</v>
      </c>
      <c r="W4616" t="s">
        <v>18565</v>
      </c>
      <c r="X4616">
        <v>2</v>
      </c>
      <c r="Y4616" t="s">
        <v>25376</v>
      </c>
      <c r="Z4616" t="s">
        <v>32326</v>
      </c>
      <c r="AA4616">
        <v>0.40085927681532102</v>
      </c>
      <c r="AB4616" t="str">
        <f>HYPERLINK("Melting_Curves/meltCurve_Q8IV36_2_HID1.pdf", "Melting_Curves/meltCurve_Q8IV36_2_HID1.pdf")</f>
        <v>Melting_Curves/meltCurve_Q8IV36_2_HID1.pdf</v>
      </c>
    </row>
    <row r="4617" spans="1:28" x14ac:dyDescent="0.25">
      <c r="A4617" t="s">
        <v>4621</v>
      </c>
      <c r="B4617">
        <v>0.99999676499088797</v>
      </c>
      <c r="C4617">
        <v>0.98608728121974898</v>
      </c>
      <c r="D4617">
        <v>1.0455835814516601</v>
      </c>
      <c r="E4617">
        <v>0.93452131864671895</v>
      </c>
      <c r="F4617">
        <v>0.25897367145126199</v>
      </c>
      <c r="G4617">
        <v>0.20297326736633101</v>
      </c>
      <c r="H4617">
        <v>8.6524812518267505E-2</v>
      </c>
      <c r="I4617">
        <v>9.0011402481159894E-2</v>
      </c>
      <c r="J4617">
        <v>9.3013709201095196E-2</v>
      </c>
      <c r="K4617">
        <v>7.0767067124022906E-2</v>
      </c>
      <c r="L4617">
        <v>2906.2927784374301</v>
      </c>
      <c r="M4617">
        <v>56.151184183417001</v>
      </c>
      <c r="N4617">
        <v>51.979293885985797</v>
      </c>
      <c r="O4617">
        <v>51.692833066801903</v>
      </c>
      <c r="P4617">
        <v>-0.24273173394283201</v>
      </c>
      <c r="Q4617">
        <v>0.10616432042429599</v>
      </c>
      <c r="R4617">
        <v>0.99292829335711896</v>
      </c>
      <c r="S4617" t="s">
        <v>11620</v>
      </c>
      <c r="T4617" t="s">
        <v>14004</v>
      </c>
      <c r="U4617" t="s">
        <v>14004</v>
      </c>
      <c r="V4617" t="s">
        <v>14004</v>
      </c>
      <c r="W4617" t="s">
        <v>18566</v>
      </c>
      <c r="X4617">
        <v>11</v>
      </c>
      <c r="Y4617" t="s">
        <v>25377</v>
      </c>
      <c r="Z4617" t="s">
        <v>32327</v>
      </c>
      <c r="AA4617">
        <v>0.45811499729897293</v>
      </c>
      <c r="AB4617" t="str">
        <f>HYPERLINK("Melting_Curves/meltCurve_Q8IV38_ANKMY2.pdf", "Melting_Curves/meltCurve_Q8IV38_ANKMY2.pdf")</f>
        <v>Melting_Curves/meltCurve_Q8IV38_ANKMY2.pdf</v>
      </c>
    </row>
    <row r="4618" spans="1:28" x14ac:dyDescent="0.25">
      <c r="A4618" t="s">
        <v>4622</v>
      </c>
      <c r="B4618">
        <v>0.99999676499088797</v>
      </c>
      <c r="C4618">
        <v>0.76628010794936696</v>
      </c>
      <c r="D4618">
        <v>0.424647633219147</v>
      </c>
      <c r="E4618">
        <v>0.32918900129436501</v>
      </c>
      <c r="F4618">
        <v>0.111818053499148</v>
      </c>
      <c r="G4618">
        <v>8.1406617085337904E-2</v>
      </c>
      <c r="H4618">
        <v>3.2142676597748401E-2</v>
      </c>
      <c r="I4618">
        <v>3.2968679252969098E-2</v>
      </c>
      <c r="J4618">
        <v>3.8511548155844302E-2</v>
      </c>
      <c r="K4618">
        <v>3.0673153537054399E-2</v>
      </c>
      <c r="L4618">
        <v>761.56579937984304</v>
      </c>
      <c r="M4618">
        <v>16.615092441261499</v>
      </c>
      <c r="N4618">
        <v>46.0277730218531</v>
      </c>
      <c r="O4618">
        <v>45.187250579237698</v>
      </c>
      <c r="P4618">
        <v>-8.8852110880958193E-2</v>
      </c>
      <c r="Q4618">
        <v>3.3478480198700603E-2</v>
      </c>
      <c r="R4618">
        <v>0.98197767589291896</v>
      </c>
      <c r="S4618" t="s">
        <v>11621</v>
      </c>
      <c r="T4618" t="s">
        <v>14004</v>
      </c>
      <c r="U4618" t="s">
        <v>14004</v>
      </c>
      <c r="V4618" t="s">
        <v>14004</v>
      </c>
      <c r="W4618" t="s">
        <v>18567</v>
      </c>
      <c r="X4618">
        <v>8</v>
      </c>
      <c r="Y4618" t="s">
        <v>25378</v>
      </c>
      <c r="Z4618" t="s">
        <v>32328</v>
      </c>
      <c r="AA4618">
        <v>0.2444611089167231</v>
      </c>
      <c r="AB4618" t="str">
        <f>HYPERLINK("Melting_Curves/meltCurve_Q8IV48_ERI1.pdf", "Melting_Curves/meltCurve_Q8IV48_ERI1.pdf")</f>
        <v>Melting_Curves/meltCurve_Q8IV48_ERI1.pdf</v>
      </c>
    </row>
    <row r="4619" spans="1:28" x14ac:dyDescent="0.25">
      <c r="A4619" t="s">
        <v>4623</v>
      </c>
      <c r="B4619">
        <v>0.99999676499088797</v>
      </c>
      <c r="C4619">
        <v>0.83782994853572101</v>
      </c>
      <c r="D4619">
        <v>0.86473832550557095</v>
      </c>
      <c r="E4619">
        <v>0.766656867912344</v>
      </c>
      <c r="F4619">
        <v>0.53161689158903902</v>
      </c>
      <c r="G4619">
        <v>0.51422681938189996</v>
      </c>
      <c r="H4619">
        <v>0.23551648995611299</v>
      </c>
      <c r="I4619">
        <v>0.20552046409612301</v>
      </c>
      <c r="J4619">
        <v>0.17892191624961601</v>
      </c>
      <c r="K4619">
        <v>0.17189745345455601</v>
      </c>
      <c r="L4619">
        <v>495.41062180176698</v>
      </c>
      <c r="M4619">
        <v>9.0431619120980198</v>
      </c>
      <c r="N4619">
        <v>55.025326841475703</v>
      </c>
      <c r="O4619">
        <v>52.3031244449461</v>
      </c>
      <c r="P4619">
        <v>-4.2410841989896898E-2</v>
      </c>
      <c r="Q4619">
        <v>1.95293689826018E-2</v>
      </c>
      <c r="R4619">
        <v>0.97226188935670299</v>
      </c>
      <c r="S4619" t="s">
        <v>11622</v>
      </c>
      <c r="T4619" t="s">
        <v>14004</v>
      </c>
      <c r="U4619" t="s">
        <v>14004</v>
      </c>
      <c r="V4619" t="s">
        <v>14004</v>
      </c>
      <c r="W4619" t="s">
        <v>18568</v>
      </c>
      <c r="X4619">
        <v>6</v>
      </c>
      <c r="Y4619" t="s">
        <v>25379</v>
      </c>
      <c r="Z4619" t="s">
        <v>32329</v>
      </c>
      <c r="AA4619">
        <v>0.53003277685221462</v>
      </c>
      <c r="AB4619" t="str">
        <f>HYPERLINK("Melting_Curves/meltCurve_Q8IV50_LYSMD2.pdf", "Melting_Curves/meltCurve_Q8IV50_LYSMD2.pdf")</f>
        <v>Melting_Curves/meltCurve_Q8IV50_LYSMD2.pdf</v>
      </c>
    </row>
    <row r="4620" spans="1:28" x14ac:dyDescent="0.25">
      <c r="A4620" t="s">
        <v>4624</v>
      </c>
      <c r="B4620">
        <v>0.99999676499088797</v>
      </c>
      <c r="C4620">
        <v>0.85979121003131098</v>
      </c>
      <c r="D4620">
        <v>0.74685704159119404</v>
      </c>
      <c r="E4620">
        <v>0.44452254168099598</v>
      </c>
      <c r="F4620">
        <v>0.38689436565855201</v>
      </c>
      <c r="G4620">
        <v>0.25093149372377699</v>
      </c>
      <c r="H4620">
        <v>9.5668670880368095E-2</v>
      </c>
      <c r="I4620">
        <v>9.4583657415677605E-2</v>
      </c>
      <c r="J4620">
        <v>7.6288771338423197E-2</v>
      </c>
      <c r="K4620">
        <v>9.5400523128320702E-2</v>
      </c>
      <c r="L4620">
        <v>602.21366350360495</v>
      </c>
      <c r="M4620">
        <v>12.1797876004574</v>
      </c>
      <c r="N4620">
        <v>49.873834296861098</v>
      </c>
      <c r="O4620">
        <v>48.167480223638599</v>
      </c>
      <c r="P4620">
        <v>-6.0077653949195398E-2</v>
      </c>
      <c r="Q4620">
        <v>4.9858425192620702E-2</v>
      </c>
      <c r="R4620">
        <v>0.98628888229705702</v>
      </c>
      <c r="S4620" t="s">
        <v>11623</v>
      </c>
      <c r="T4620" t="s">
        <v>14004</v>
      </c>
      <c r="U4620" t="s">
        <v>14004</v>
      </c>
      <c r="V4620" t="s">
        <v>14004</v>
      </c>
      <c r="W4620" t="s">
        <v>18569</v>
      </c>
      <c r="X4620">
        <v>7</v>
      </c>
      <c r="Y4620" t="s">
        <v>25380</v>
      </c>
      <c r="Z4620" t="s">
        <v>32330</v>
      </c>
      <c r="AA4620">
        <v>0.38212632753737491</v>
      </c>
      <c r="AB4620" t="str">
        <f>HYPERLINK("Melting_Curves/meltCurve_Q8IV53_2_DENND1C.pdf", "Melting_Curves/meltCurve_Q8IV53_2_DENND1C.pdf")</f>
        <v>Melting_Curves/meltCurve_Q8IV53_2_DENND1C.pdf</v>
      </c>
    </row>
    <row r="4621" spans="1:28" x14ac:dyDescent="0.25">
      <c r="A4621" t="s">
        <v>4625</v>
      </c>
      <c r="B4621">
        <v>0.99999676499088797</v>
      </c>
      <c r="C4621">
        <v>1.0910832149208101</v>
      </c>
      <c r="D4621">
        <v>1.0359480688404601</v>
      </c>
      <c r="E4621">
        <v>0.67338433476369897</v>
      </c>
      <c r="F4621">
        <v>0.28891360192652599</v>
      </c>
      <c r="G4621">
        <v>0.164877105425107</v>
      </c>
      <c r="H4621">
        <v>6.8901213462689598E-2</v>
      </c>
      <c r="I4621">
        <v>7.3674736145495495E-2</v>
      </c>
      <c r="J4621">
        <v>8.5235105440030406E-2</v>
      </c>
      <c r="K4621">
        <v>7.8044204474838702E-2</v>
      </c>
      <c r="L4621">
        <v>1507.11235311671</v>
      </c>
      <c r="M4621">
        <v>29.6458729639557</v>
      </c>
      <c r="N4621">
        <v>51.156477836360899</v>
      </c>
      <c r="O4621">
        <v>50.607539850386402</v>
      </c>
      <c r="P4621">
        <v>-0.13408093544438399</v>
      </c>
      <c r="Q4621">
        <v>8.4464829690293397E-2</v>
      </c>
      <c r="R4621">
        <v>0.98978936605970103</v>
      </c>
      <c r="S4621" t="s">
        <v>11624</v>
      </c>
      <c r="T4621" t="s">
        <v>14004</v>
      </c>
      <c r="U4621" t="s">
        <v>14004</v>
      </c>
      <c r="V4621" t="s">
        <v>14004</v>
      </c>
      <c r="W4621" t="s">
        <v>18570</v>
      </c>
      <c r="X4621">
        <v>8</v>
      </c>
      <c r="Y4621" t="s">
        <v>25381</v>
      </c>
      <c r="Z4621" t="s">
        <v>32331</v>
      </c>
      <c r="AA4621">
        <v>0.42107126727051081</v>
      </c>
      <c r="AB4621" t="str">
        <f>HYPERLINK("Melting_Curves/meltCurve_Q8IV63_3_VRK3.pdf", "Melting_Curves/meltCurve_Q8IV63_3_VRK3.pdf")</f>
        <v>Melting_Curves/meltCurve_Q8IV63_3_VRK3.pdf</v>
      </c>
    </row>
    <row r="4622" spans="1:28" x14ac:dyDescent="0.25">
      <c r="A4622" t="s">
        <v>4626</v>
      </c>
      <c r="B4622">
        <v>0.99999676499088797</v>
      </c>
      <c r="C4622">
        <v>0.80181892149015099</v>
      </c>
      <c r="D4622">
        <v>0.62165545952177304</v>
      </c>
      <c r="E4622">
        <v>0.248571864581036</v>
      </c>
      <c r="F4622">
        <v>0.18367075900049401</v>
      </c>
      <c r="G4622">
        <v>0.120575595578453</v>
      </c>
      <c r="H4622">
        <v>7.90652979341121E-2</v>
      </c>
      <c r="I4622">
        <v>8.3642004680802295E-2</v>
      </c>
      <c r="J4622">
        <v>7.9584441128861705E-2</v>
      </c>
      <c r="K4622">
        <v>8.9221050146034597E-2</v>
      </c>
      <c r="L4622">
        <v>901.14485011365502</v>
      </c>
      <c r="M4622">
        <v>19.4061787619607</v>
      </c>
      <c r="N4622">
        <v>46.874898822521601</v>
      </c>
      <c r="O4622">
        <v>45.951300373551703</v>
      </c>
      <c r="P4622">
        <v>-9.6812039775815595E-2</v>
      </c>
      <c r="Q4622">
        <v>8.3080100541570598E-2</v>
      </c>
      <c r="R4622">
        <v>0.99276581024687904</v>
      </c>
      <c r="S4622" t="s">
        <v>11625</v>
      </c>
      <c r="T4622" t="s">
        <v>14004</v>
      </c>
      <c r="U4622" t="s">
        <v>14004</v>
      </c>
      <c r="V4622" t="s">
        <v>14004</v>
      </c>
      <c r="W4622" t="s">
        <v>18571</v>
      </c>
      <c r="X4622">
        <v>5</v>
      </c>
      <c r="Y4622" t="s">
        <v>25382</v>
      </c>
      <c r="Z4622" t="s">
        <v>32332</v>
      </c>
      <c r="AA4622">
        <v>0.29454851363031842</v>
      </c>
      <c r="AB4622" t="str">
        <f>HYPERLINK("Melting_Curves/meltCurve_Q8IVB5_LIX1L.pdf", "Melting_Curves/meltCurve_Q8IVB5_LIX1L.pdf")</f>
        <v>Melting_Curves/meltCurve_Q8IVB5_LIX1L.pdf</v>
      </c>
    </row>
    <row r="4623" spans="1:28" x14ac:dyDescent="0.25">
      <c r="A4623" t="s">
        <v>4627</v>
      </c>
      <c r="B4623">
        <v>0.99999676499088797</v>
      </c>
      <c r="C4623">
        <v>0.91092049633166405</v>
      </c>
      <c r="D4623">
        <v>0.71528572712106797</v>
      </c>
      <c r="E4623">
        <v>0.27911375742974298</v>
      </c>
      <c r="F4623">
        <v>0.159756095747175</v>
      </c>
      <c r="G4623">
        <v>0.14850092549739199</v>
      </c>
      <c r="H4623">
        <v>7.0098472525913794E-2</v>
      </c>
      <c r="I4623">
        <v>5.5962152861409299E-2</v>
      </c>
      <c r="J4623">
        <v>4.5573531811063599E-2</v>
      </c>
      <c r="K4623">
        <v>3.9993132788809102E-2</v>
      </c>
      <c r="L4623">
        <v>1098.57966770097</v>
      </c>
      <c r="M4623">
        <v>23.167252160996501</v>
      </c>
      <c r="N4623">
        <v>47.712847440250798</v>
      </c>
      <c r="O4623">
        <v>47.070414601224797</v>
      </c>
      <c r="P4623">
        <v>-0.11488025662365201</v>
      </c>
      <c r="Q4623">
        <v>6.6377823022169796E-2</v>
      </c>
      <c r="R4623">
        <v>0.99397448576430703</v>
      </c>
      <c r="S4623" t="s">
        <v>11626</v>
      </c>
      <c r="T4623" t="s">
        <v>14004</v>
      </c>
      <c r="U4623" t="s">
        <v>14004</v>
      </c>
      <c r="V4623" t="s">
        <v>14004</v>
      </c>
      <c r="W4623" t="s">
        <v>18572</v>
      </c>
      <c r="X4623">
        <v>5</v>
      </c>
      <c r="Y4623" t="s">
        <v>25383</v>
      </c>
      <c r="Z4623" t="s">
        <v>32333</v>
      </c>
      <c r="AA4623">
        <v>0.30705262146973739</v>
      </c>
      <c r="AB4623" t="str">
        <f>HYPERLINK("Melting_Curves/meltCurve_Q8IVD9_NUDCD3.pdf", "Melting_Curves/meltCurve_Q8IVD9_NUDCD3.pdf")</f>
        <v>Melting_Curves/meltCurve_Q8IVD9_NUDCD3.pdf</v>
      </c>
    </row>
    <row r="4624" spans="1:28" x14ac:dyDescent="0.25">
      <c r="A4624" t="s">
        <v>4628</v>
      </c>
      <c r="B4624">
        <v>0.99999676499088797</v>
      </c>
      <c r="C4624">
        <v>0.65183835864182305</v>
      </c>
      <c r="D4624">
        <v>0.67149085315413504</v>
      </c>
      <c r="E4624">
        <v>0.53092081859471196</v>
      </c>
      <c r="F4624">
        <v>0.60565091273510296</v>
      </c>
      <c r="G4624">
        <v>0.31152231566078897</v>
      </c>
      <c r="H4624">
        <v>0.21876766581031701</v>
      </c>
      <c r="I4624">
        <v>0.16232946925934699</v>
      </c>
      <c r="J4624">
        <v>0.10807236739810699</v>
      </c>
      <c r="K4624">
        <v>0.14615626831841599</v>
      </c>
      <c r="L4624">
        <v>364.174179763864</v>
      </c>
      <c r="M4624">
        <v>7.1070072990366997</v>
      </c>
      <c r="N4624">
        <v>51.241563272921503</v>
      </c>
      <c r="O4624">
        <v>47.649091377325703</v>
      </c>
      <c r="P4624">
        <v>-3.7353649711665098E-2</v>
      </c>
      <c r="Q4624">
        <v>0</v>
      </c>
      <c r="R4624">
        <v>0.90935547042811404</v>
      </c>
      <c r="S4624" t="s">
        <v>11627</v>
      </c>
      <c r="T4624" t="s">
        <v>14004</v>
      </c>
      <c r="U4624" t="s">
        <v>14004</v>
      </c>
      <c r="V4624" t="s">
        <v>14004</v>
      </c>
      <c r="W4624" t="s">
        <v>18573</v>
      </c>
      <c r="X4624">
        <v>2</v>
      </c>
      <c r="Y4624" t="s">
        <v>25384</v>
      </c>
      <c r="Z4624" t="s">
        <v>32334</v>
      </c>
      <c r="AA4624">
        <v>0.43252429542410942</v>
      </c>
      <c r="AB4624" t="str">
        <f>HYPERLINK("Melting_Curves/meltCurve_Q8IVF2_3_AHNAK2.pdf", "Melting_Curves/meltCurve_Q8IVF2_3_AHNAK2.pdf")</f>
        <v>Melting_Curves/meltCurve_Q8IVF2_3_AHNAK2.pdf</v>
      </c>
    </row>
    <row r="4625" spans="1:28" x14ac:dyDescent="0.25">
      <c r="A4625" t="s">
        <v>4629</v>
      </c>
      <c r="B4625">
        <v>0.99999676499088797</v>
      </c>
      <c r="C4625">
        <v>0.98350921230980204</v>
      </c>
      <c r="D4625">
        <v>1.0663432268376201</v>
      </c>
      <c r="E4625">
        <v>1.19482436398646</v>
      </c>
      <c r="F4625">
        <v>0.84964916032071602</v>
      </c>
      <c r="G4625">
        <v>0.30040726618993902</v>
      </c>
      <c r="H4625">
        <v>9.0626219726155005E-2</v>
      </c>
      <c r="I4625">
        <v>0.116110751870611</v>
      </c>
      <c r="J4625">
        <v>8.4323801270271503E-2</v>
      </c>
      <c r="K4625">
        <v>6.4201351061508594E-2</v>
      </c>
      <c r="L4625">
        <v>2529.9841664965302</v>
      </c>
      <c r="M4625">
        <v>45.771911243869397</v>
      </c>
      <c r="N4625">
        <v>55.502249826109001</v>
      </c>
      <c r="O4625">
        <v>55.168555322119197</v>
      </c>
      <c r="P4625">
        <v>-0.189605087821658</v>
      </c>
      <c r="Q4625">
        <v>8.5882910330635498E-2</v>
      </c>
      <c r="R4625">
        <v>0.97762191419866895</v>
      </c>
      <c r="S4625" t="s">
        <v>11628</v>
      </c>
      <c r="T4625" t="s">
        <v>14004</v>
      </c>
      <c r="U4625" t="s">
        <v>14004</v>
      </c>
      <c r="V4625" t="s">
        <v>14004</v>
      </c>
      <c r="W4625" t="s">
        <v>18574</v>
      </c>
      <c r="X4625">
        <v>8</v>
      </c>
      <c r="Y4625" t="s">
        <v>25385</v>
      </c>
      <c r="Z4625" t="s">
        <v>32335</v>
      </c>
      <c r="AA4625">
        <v>0.55394041350391821</v>
      </c>
      <c r="AB4625" t="str">
        <f>HYPERLINK("Melting_Curves/meltCurve_Q8IVH4_MMAA.pdf", "Melting_Curves/meltCurve_Q8IVH4_MMAA.pdf")</f>
        <v>Melting_Curves/meltCurve_Q8IVH4_MMAA.pdf</v>
      </c>
    </row>
    <row r="4626" spans="1:28" x14ac:dyDescent="0.25">
      <c r="A4626" t="s">
        <v>4630</v>
      </c>
      <c r="B4626">
        <v>0.99999676499088797</v>
      </c>
      <c r="C4626">
        <v>0.91410758303198203</v>
      </c>
      <c r="D4626">
        <v>0.63699197883136904</v>
      </c>
      <c r="E4626">
        <v>0.36960937094921398</v>
      </c>
      <c r="F4626">
        <v>0.220009909128736</v>
      </c>
      <c r="G4626">
        <v>0.23889658777255399</v>
      </c>
      <c r="H4626">
        <v>0.10713382468056</v>
      </c>
      <c r="I4626">
        <v>5.1270171436274201E-2</v>
      </c>
      <c r="J4626">
        <v>9.6917418949430706E-2</v>
      </c>
      <c r="K4626">
        <v>8.8779239895067502E-2</v>
      </c>
      <c r="L4626">
        <v>824.79199083312005</v>
      </c>
      <c r="M4626">
        <v>17.389189957514098</v>
      </c>
      <c r="N4626">
        <v>48.022262710574402</v>
      </c>
      <c r="O4626">
        <v>46.8173462895707</v>
      </c>
      <c r="P4626">
        <v>-8.3917159960243598E-2</v>
      </c>
      <c r="Q4626">
        <v>9.63217334870657E-2</v>
      </c>
      <c r="R4626">
        <v>0.98591958279006398</v>
      </c>
      <c r="S4626" t="s">
        <v>11629</v>
      </c>
      <c r="T4626" t="s">
        <v>14004</v>
      </c>
      <c r="U4626" t="s">
        <v>14004</v>
      </c>
      <c r="V4626" t="s">
        <v>14004</v>
      </c>
      <c r="W4626" t="s">
        <v>18575</v>
      </c>
      <c r="X4626">
        <v>1</v>
      </c>
      <c r="Y4626" t="s">
        <v>25386</v>
      </c>
      <c r="Z4626" t="s">
        <v>32336</v>
      </c>
      <c r="AA4626">
        <v>0.33777712781587288</v>
      </c>
      <c r="AB4626" t="str">
        <f>HYPERLINK("Melting_Curves/meltCurve_Q8IVR6_PPM1D.pdf", "Melting_Curves/meltCurve_Q8IVR6_PPM1D.pdf")</f>
        <v>Melting_Curves/meltCurve_Q8IVR6_PPM1D.pdf</v>
      </c>
    </row>
    <row r="4627" spans="1:28" x14ac:dyDescent="0.25">
      <c r="A4627" t="s">
        <v>4631</v>
      </c>
      <c r="B4627">
        <v>0.99999676499088797</v>
      </c>
      <c r="C4627">
        <v>0.98010667480867497</v>
      </c>
      <c r="D4627">
        <v>0.93629949731579099</v>
      </c>
      <c r="E4627">
        <v>0.86409476374886596</v>
      </c>
      <c r="F4627">
        <v>0.74563230055221896</v>
      </c>
      <c r="G4627">
        <v>0.49047396314825398</v>
      </c>
      <c r="H4627">
        <v>0.21581507419599699</v>
      </c>
      <c r="I4627">
        <v>0.14458779225433499</v>
      </c>
      <c r="J4627">
        <v>0.123782326571184</v>
      </c>
      <c r="K4627">
        <v>8.5776637919754206E-2</v>
      </c>
      <c r="L4627">
        <v>906.75492367152799</v>
      </c>
      <c r="M4627">
        <v>16.1700301282408</v>
      </c>
      <c r="N4627">
        <v>56.378066659949397</v>
      </c>
      <c r="O4627">
        <v>55.239658546969103</v>
      </c>
      <c r="P4627">
        <v>-7.0152457648277405E-2</v>
      </c>
      <c r="Q4627">
        <v>4.1459799841048903E-2</v>
      </c>
      <c r="R4627">
        <v>0.99577029140233597</v>
      </c>
      <c r="S4627" t="s">
        <v>11630</v>
      </c>
      <c r="T4627" t="s">
        <v>14004</v>
      </c>
      <c r="U4627" t="s">
        <v>14004</v>
      </c>
      <c r="V4627" t="s">
        <v>14004</v>
      </c>
      <c r="W4627" t="s">
        <v>18576</v>
      </c>
      <c r="X4627">
        <v>12</v>
      </c>
      <c r="Y4627" t="s">
        <v>25387</v>
      </c>
      <c r="Z4627" t="s">
        <v>32337</v>
      </c>
      <c r="AA4627">
        <v>0.5708911194960169</v>
      </c>
      <c r="AB4627" t="str">
        <f>HYPERLINK("Melting_Curves/meltCurve_Q8IVS2_MCAT.pdf", "Melting_Curves/meltCurve_Q8IVS2_MCAT.pdf")</f>
        <v>Melting_Curves/meltCurve_Q8IVS2_MCAT.pdf</v>
      </c>
    </row>
    <row r="4628" spans="1:28" x14ac:dyDescent="0.25">
      <c r="A4628" t="s">
        <v>4632</v>
      </c>
      <c r="B4628">
        <v>0.99999676499088797</v>
      </c>
      <c r="C4628">
        <v>0.87973018104429901</v>
      </c>
      <c r="D4628">
        <v>0.87437665816287902</v>
      </c>
      <c r="E4628">
        <v>0.921891210030782</v>
      </c>
      <c r="F4628">
        <v>0.60335226466305703</v>
      </c>
      <c r="G4628">
        <v>0.31734646692423402</v>
      </c>
      <c r="H4628">
        <v>0.100130843567569</v>
      </c>
      <c r="I4628">
        <v>7.1493504502128005E-2</v>
      </c>
      <c r="J4628">
        <v>6.5217772880156094E-2</v>
      </c>
      <c r="K4628">
        <v>5.8074880514716702E-2</v>
      </c>
      <c r="L4628">
        <v>1120.99120547607</v>
      </c>
      <c r="M4628">
        <v>20.680144450967401</v>
      </c>
      <c r="N4628">
        <v>54.406603825355297</v>
      </c>
      <c r="O4628">
        <v>53.706929618395201</v>
      </c>
      <c r="P4628">
        <v>-9.2735578984336597E-2</v>
      </c>
      <c r="Q4628">
        <v>3.6679592954341901E-2</v>
      </c>
      <c r="R4628">
        <v>0.98161846233109196</v>
      </c>
      <c r="S4628" t="s">
        <v>11631</v>
      </c>
      <c r="T4628" t="s">
        <v>14004</v>
      </c>
      <c r="U4628" t="s">
        <v>14004</v>
      </c>
      <c r="V4628" t="s">
        <v>14004</v>
      </c>
      <c r="W4628" t="s">
        <v>18577</v>
      </c>
      <c r="X4628">
        <v>4</v>
      </c>
      <c r="Y4628" t="s">
        <v>25388</v>
      </c>
      <c r="Z4628" t="s">
        <v>32338</v>
      </c>
      <c r="AA4628">
        <v>0.50521415027995342</v>
      </c>
      <c r="AB4628" t="str">
        <f>HYPERLINK("Melting_Curves/meltCurve_Q8IVV7_GID4.pdf", "Melting_Curves/meltCurve_Q8IVV7_GID4.pdf")</f>
        <v>Melting_Curves/meltCurve_Q8IVV7_GID4.pdf</v>
      </c>
    </row>
    <row r="4629" spans="1:28" x14ac:dyDescent="0.25">
      <c r="A4629" t="s">
        <v>4633</v>
      </c>
      <c r="B4629">
        <v>0.99999676499088797</v>
      </c>
      <c r="C4629">
        <v>1.0793079024093699</v>
      </c>
      <c r="D4629">
        <v>0.92985203044495901</v>
      </c>
      <c r="E4629">
        <v>0.82855089280129202</v>
      </c>
      <c r="F4629">
        <v>0.59616900837506404</v>
      </c>
      <c r="G4629">
        <v>0.39727651088254201</v>
      </c>
      <c r="H4629">
        <v>0.22694837978595001</v>
      </c>
      <c r="I4629">
        <v>0.29005132321941601</v>
      </c>
      <c r="J4629">
        <v>0.27822131098778802</v>
      </c>
      <c r="K4629">
        <v>0.29398407154294398</v>
      </c>
      <c r="L4629">
        <v>1133.5624005065499</v>
      </c>
      <c r="M4629">
        <v>21.579273096433798</v>
      </c>
      <c r="N4629">
        <v>54.3982920939224</v>
      </c>
      <c r="O4629">
        <v>52.0852546463409</v>
      </c>
      <c r="P4629">
        <v>-7.6472555955776594E-2</v>
      </c>
      <c r="Q4629">
        <v>0.26169928346674198</v>
      </c>
      <c r="R4629">
        <v>0.98492085409581298</v>
      </c>
      <c r="S4629" t="s">
        <v>11632</v>
      </c>
      <c r="T4629" t="s">
        <v>14004</v>
      </c>
      <c r="U4629" t="s">
        <v>14004</v>
      </c>
      <c r="V4629" t="s">
        <v>14004</v>
      </c>
      <c r="W4629" t="s">
        <v>18578</v>
      </c>
      <c r="X4629">
        <v>2</v>
      </c>
      <c r="Y4629" t="s">
        <v>25389</v>
      </c>
      <c r="Z4629" t="s">
        <v>32339</v>
      </c>
      <c r="AA4629">
        <v>0.57896758916593782</v>
      </c>
      <c r="AB4629" t="str">
        <f>HYPERLINK("Melting_Curves/meltCurve_Q8IW19_APLF.pdf", "Melting_Curves/meltCurve_Q8IW19_APLF.pdf")</f>
        <v>Melting_Curves/meltCurve_Q8IW19_APLF.pdf</v>
      </c>
    </row>
    <row r="4630" spans="1:28" x14ac:dyDescent="0.25">
      <c r="A4630" t="s">
        <v>4634</v>
      </c>
      <c r="B4630">
        <v>0.99999676499088797</v>
      </c>
      <c r="C4630">
        <v>1.06504515493359</v>
      </c>
      <c r="D4630">
        <v>0.93319205025025398</v>
      </c>
      <c r="E4630">
        <v>0.71579988163821096</v>
      </c>
      <c r="F4630">
        <v>0.455741552807781</v>
      </c>
      <c r="G4630">
        <v>0.34615209816703502</v>
      </c>
      <c r="H4630">
        <v>0.14584288892515099</v>
      </c>
      <c r="I4630">
        <v>9.9915600355947598E-2</v>
      </c>
      <c r="J4630">
        <v>0.13593837015135499</v>
      </c>
      <c r="K4630">
        <v>9.9190279336311096E-2</v>
      </c>
      <c r="L4630">
        <v>882.23739852651397</v>
      </c>
      <c r="M4630">
        <v>16.8673566856462</v>
      </c>
      <c r="N4630">
        <v>52.936507826266002</v>
      </c>
      <c r="O4630">
        <v>51.585837175806397</v>
      </c>
      <c r="P4630">
        <v>-7.4293120247346606E-2</v>
      </c>
      <c r="Q4630">
        <v>9.1208270923185203E-2</v>
      </c>
      <c r="R4630">
        <v>0.98896450511324696</v>
      </c>
      <c r="S4630" t="s">
        <v>11633</v>
      </c>
      <c r="T4630" t="s">
        <v>14004</v>
      </c>
      <c r="U4630" t="s">
        <v>14004</v>
      </c>
      <c r="V4630" t="s">
        <v>14004</v>
      </c>
      <c r="W4630" t="s">
        <v>18579</v>
      </c>
      <c r="X4630">
        <v>3</v>
      </c>
      <c r="Y4630" t="s">
        <v>25390</v>
      </c>
      <c r="Z4630" t="s">
        <v>32340</v>
      </c>
      <c r="AA4630">
        <v>0.48070127342729913</v>
      </c>
      <c r="AB4630" t="str">
        <f>HYPERLINK("Melting_Curves/meltCurve_Q8IW41_2_MAPKAPK5.pdf", "Melting_Curves/meltCurve_Q8IW41_2_MAPKAPK5.pdf")</f>
        <v>Melting_Curves/meltCurve_Q8IW41_2_MAPKAPK5.pdf</v>
      </c>
    </row>
    <row r="4631" spans="1:28" x14ac:dyDescent="0.25">
      <c r="A4631" t="s">
        <v>4635</v>
      </c>
      <c r="B4631">
        <v>0.99999676499088797</v>
      </c>
      <c r="C4631">
        <v>0.96852279980251998</v>
      </c>
      <c r="D4631">
        <v>0.92591341890450396</v>
      </c>
      <c r="E4631">
        <v>0.94670223356577499</v>
      </c>
      <c r="F4631">
        <v>0.92059886786949197</v>
      </c>
      <c r="G4631">
        <v>0.76997825919019802</v>
      </c>
      <c r="H4631">
        <v>0.50299699802834397</v>
      </c>
      <c r="I4631">
        <v>0.48784408405540503</v>
      </c>
      <c r="J4631">
        <v>0.42962143671147301</v>
      </c>
      <c r="K4631">
        <v>0.52514597002083596</v>
      </c>
      <c r="L4631">
        <v>1747.6112110327299</v>
      </c>
      <c r="M4631">
        <v>30.682827078203601</v>
      </c>
      <c r="N4631">
        <v>62.478023990931497</v>
      </c>
      <c r="O4631">
        <v>56.717007073455299</v>
      </c>
      <c r="P4631">
        <v>-7.2117008904611202E-2</v>
      </c>
      <c r="Q4631">
        <v>0.46677189796496099</v>
      </c>
      <c r="R4631">
        <v>0.96769695096026598</v>
      </c>
      <c r="S4631" t="s">
        <v>11634</v>
      </c>
      <c r="T4631" t="s">
        <v>14004</v>
      </c>
      <c r="U4631" t="s">
        <v>14004</v>
      </c>
      <c r="V4631" t="s">
        <v>14004</v>
      </c>
      <c r="W4631" t="s">
        <v>18580</v>
      </c>
      <c r="X4631">
        <v>14</v>
      </c>
      <c r="Y4631" t="s">
        <v>25391</v>
      </c>
      <c r="Z4631" t="s">
        <v>32341</v>
      </c>
      <c r="AA4631">
        <v>0.77158851985704502</v>
      </c>
      <c r="AB4631" t="str">
        <f>HYPERLINK("Melting_Curves/meltCurve_Q8IW45_CARKD.pdf", "Melting_Curves/meltCurve_Q8IW45_CARKD.pdf")</f>
        <v>Melting_Curves/meltCurve_Q8IW45_CARKD.pdf</v>
      </c>
    </row>
    <row r="4632" spans="1:28" x14ac:dyDescent="0.25">
      <c r="A4632" t="s">
        <v>4636</v>
      </c>
      <c r="B4632">
        <v>0.99999676499088797</v>
      </c>
      <c r="C4632">
        <v>0.86991868313860798</v>
      </c>
      <c r="D4632">
        <v>0.78222203303457905</v>
      </c>
      <c r="E4632">
        <v>0.44378050718475798</v>
      </c>
      <c r="F4632">
        <v>0.24903275898055799</v>
      </c>
      <c r="G4632">
        <v>0.124192406686539</v>
      </c>
      <c r="H4632">
        <v>5.7607027535658703E-2</v>
      </c>
      <c r="I4632">
        <v>6.2271404537300602E-2</v>
      </c>
      <c r="J4632">
        <v>5.1006120860172401E-2</v>
      </c>
      <c r="K4632">
        <v>5.86990700128261E-2</v>
      </c>
      <c r="L4632">
        <v>818.17093225978704</v>
      </c>
      <c r="M4632">
        <v>16.742135381940098</v>
      </c>
      <c r="N4632">
        <v>49.121292803229103</v>
      </c>
      <c r="O4632">
        <v>48.187732279722802</v>
      </c>
      <c r="P4632">
        <v>-8.3285559815427304E-2</v>
      </c>
      <c r="Q4632">
        <v>4.1202604291058001E-2</v>
      </c>
      <c r="R4632">
        <v>0.99649555061599204</v>
      </c>
      <c r="S4632" t="s">
        <v>11635</v>
      </c>
      <c r="T4632" t="s">
        <v>14004</v>
      </c>
      <c r="U4632" t="s">
        <v>14004</v>
      </c>
      <c r="V4632" t="s">
        <v>14004</v>
      </c>
      <c r="W4632" t="s">
        <v>18581</v>
      </c>
      <c r="X4632">
        <v>6</v>
      </c>
      <c r="Y4632" t="s">
        <v>25392</v>
      </c>
      <c r="Z4632" t="s">
        <v>32342</v>
      </c>
      <c r="AA4632">
        <v>0.34388338214197539</v>
      </c>
      <c r="AB4632" t="str">
        <f>HYPERLINK("Melting_Curves/meltCurve_Q8IWA0_WDR75.pdf", "Melting_Curves/meltCurve_Q8IWA0_WDR75.pdf")</f>
        <v>Melting_Curves/meltCurve_Q8IWA0_WDR75.pdf</v>
      </c>
    </row>
    <row r="4633" spans="1:28" x14ac:dyDescent="0.25">
      <c r="A4633" t="s">
        <v>4637</v>
      </c>
      <c r="B4633">
        <v>0.99999676499088797</v>
      </c>
      <c r="C4633">
        <v>0.99417948001321899</v>
      </c>
      <c r="D4633">
        <v>0.97051698693488297</v>
      </c>
      <c r="E4633">
        <v>0.51009433742010402</v>
      </c>
      <c r="F4633">
        <v>0.236338901322585</v>
      </c>
      <c r="G4633">
        <v>0.143147227065614</v>
      </c>
      <c r="H4633">
        <v>8.0009682381427E-2</v>
      </c>
      <c r="I4633">
        <v>8.4059031544556406E-2</v>
      </c>
      <c r="J4633">
        <v>8.3118206580563805E-2</v>
      </c>
      <c r="K4633">
        <v>6.4666798561789696E-2</v>
      </c>
      <c r="L4633">
        <v>1459.0110499898999</v>
      </c>
      <c r="M4633">
        <v>29.409407647730099</v>
      </c>
      <c r="N4633">
        <v>49.944395574167302</v>
      </c>
      <c r="O4633">
        <v>49.382669571902603</v>
      </c>
      <c r="P4633">
        <v>-0.13559429621612401</v>
      </c>
      <c r="Q4633">
        <v>8.9276307634402599E-2</v>
      </c>
      <c r="R4633">
        <v>0.99524766872477299</v>
      </c>
      <c r="S4633" t="s">
        <v>11636</v>
      </c>
      <c r="T4633" t="s">
        <v>14004</v>
      </c>
      <c r="U4633" t="s">
        <v>14004</v>
      </c>
      <c r="V4633" t="s">
        <v>14004</v>
      </c>
      <c r="W4633" t="s">
        <v>18582</v>
      </c>
      <c r="X4633">
        <v>6</v>
      </c>
      <c r="Y4633" t="s">
        <v>25393</v>
      </c>
      <c r="Z4633" t="s">
        <v>32343</v>
      </c>
      <c r="AA4633">
        <v>0.38685109003613999</v>
      </c>
      <c r="AB4633" t="str">
        <f>HYPERLINK("Melting_Curves/meltCurve_Q8IWA4_MFN1.pdf", "Melting_Curves/meltCurve_Q8IWA4_MFN1.pdf")</f>
        <v>Melting_Curves/meltCurve_Q8IWA4_MFN1.pdf</v>
      </c>
    </row>
    <row r="4634" spans="1:28" x14ac:dyDescent="0.25">
      <c r="A4634" t="s">
        <v>4638</v>
      </c>
      <c r="B4634">
        <v>0.99999676499088797</v>
      </c>
      <c r="C4634">
        <v>0.94981562704772904</v>
      </c>
      <c r="D4634">
        <v>0.92406814865921005</v>
      </c>
      <c r="E4634">
        <v>0.82179019917199603</v>
      </c>
      <c r="F4634">
        <v>0.48475644514420901</v>
      </c>
      <c r="G4634">
        <v>0.29046134151422698</v>
      </c>
      <c r="H4634">
        <v>0.19890604318548399</v>
      </c>
      <c r="I4634">
        <v>0.13327387530266999</v>
      </c>
      <c r="J4634">
        <v>8.706567862339E-2</v>
      </c>
      <c r="K4634">
        <v>0.10588114401621999</v>
      </c>
      <c r="L4634">
        <v>955.99841436803695</v>
      </c>
      <c r="M4634">
        <v>18.113624294727501</v>
      </c>
      <c r="N4634">
        <v>53.387048341079101</v>
      </c>
      <c r="O4634">
        <v>52.147210308800197</v>
      </c>
      <c r="P4634">
        <v>-7.8735083373985201E-2</v>
      </c>
      <c r="Q4634">
        <v>9.3363697418922906E-2</v>
      </c>
      <c r="R4634">
        <v>0.99590829954402704</v>
      </c>
      <c r="S4634" t="s">
        <v>11637</v>
      </c>
      <c r="T4634" t="s">
        <v>14004</v>
      </c>
      <c r="U4634" t="s">
        <v>14004</v>
      </c>
      <c r="V4634" t="s">
        <v>14004</v>
      </c>
      <c r="W4634" t="s">
        <v>18583</v>
      </c>
      <c r="X4634">
        <v>3</v>
      </c>
      <c r="Y4634" t="s">
        <v>25394</v>
      </c>
      <c r="Z4634" t="s">
        <v>32344</v>
      </c>
      <c r="AA4634">
        <v>0.4942801028151359</v>
      </c>
      <c r="AB4634" t="str">
        <f>HYPERLINK("Melting_Curves/meltCurve_Q8IWB1_ITPRIP.pdf", "Melting_Curves/meltCurve_Q8IWB1_ITPRIP.pdf")</f>
        <v>Melting_Curves/meltCurve_Q8IWB1_ITPRIP.pdf</v>
      </c>
    </row>
    <row r="4635" spans="1:28" x14ac:dyDescent="0.25">
      <c r="A4635" t="s">
        <v>4639</v>
      </c>
      <c r="B4635">
        <v>0.99999676499088797</v>
      </c>
      <c r="C4635">
        <v>0.95252825625033</v>
      </c>
      <c r="D4635">
        <v>0.97905079893314295</v>
      </c>
      <c r="E4635">
        <v>1.00309311476273</v>
      </c>
      <c r="F4635">
        <v>0.86517458592056296</v>
      </c>
      <c r="G4635">
        <v>0.47658165480223003</v>
      </c>
      <c r="H4635">
        <v>0.19615838812323</v>
      </c>
      <c r="I4635">
        <v>0.109826758490163</v>
      </c>
      <c r="J4635">
        <v>8.2729056166262999E-2</v>
      </c>
      <c r="K4635">
        <v>6.0431251726248497E-2</v>
      </c>
      <c r="L4635">
        <v>1594.43788854228</v>
      </c>
      <c r="M4635">
        <v>28.269743987352498</v>
      </c>
      <c r="N4635">
        <v>56.714874300300899</v>
      </c>
      <c r="O4635">
        <v>56.120879978928997</v>
      </c>
      <c r="P4635">
        <v>-0.11681033694566299</v>
      </c>
      <c r="Q4635">
        <v>7.2443385067104002E-2</v>
      </c>
      <c r="R4635">
        <v>0.99757693446818896</v>
      </c>
      <c r="S4635" t="s">
        <v>11638</v>
      </c>
      <c r="T4635" t="s">
        <v>14004</v>
      </c>
      <c r="U4635" t="s">
        <v>14004</v>
      </c>
      <c r="V4635" t="s">
        <v>14004</v>
      </c>
      <c r="W4635" t="s">
        <v>18584</v>
      </c>
      <c r="X4635">
        <v>10</v>
      </c>
      <c r="Y4635" t="s">
        <v>25395</v>
      </c>
      <c r="Z4635" t="s">
        <v>32345</v>
      </c>
      <c r="AA4635">
        <v>0.58641199574245484</v>
      </c>
      <c r="AB4635" t="str">
        <f>HYPERLINK("Melting_Curves/meltCurve_Q8IWB7_WDFY1.pdf", "Melting_Curves/meltCurve_Q8IWB7_WDFY1.pdf")</f>
        <v>Melting_Curves/meltCurve_Q8IWB7_WDFY1.pdf</v>
      </c>
    </row>
    <row r="4636" spans="1:28" x14ac:dyDescent="0.25">
      <c r="A4636" t="s">
        <v>4640</v>
      </c>
      <c r="B4636">
        <v>0.99999676499088797</v>
      </c>
      <c r="C4636">
        <v>0.90031953870912096</v>
      </c>
      <c r="D4636">
        <v>0.51244370140113205</v>
      </c>
      <c r="E4636">
        <v>0.28069530784854402</v>
      </c>
      <c r="F4636">
        <v>0.18578682621711101</v>
      </c>
      <c r="G4636">
        <v>0.16830817834154699</v>
      </c>
      <c r="H4636">
        <v>0.11289545446753101</v>
      </c>
      <c r="I4636">
        <v>0.120619504502653</v>
      </c>
      <c r="J4636">
        <v>0.107062011647235</v>
      </c>
      <c r="K4636">
        <v>0.106003060581789</v>
      </c>
      <c r="L4636">
        <v>1114.6624560805401</v>
      </c>
      <c r="M4636">
        <v>24.284858262141601</v>
      </c>
      <c r="N4636">
        <v>46.466073870452398</v>
      </c>
      <c r="O4636">
        <v>45.591647266559903</v>
      </c>
      <c r="P4636">
        <v>-0.116101576029981</v>
      </c>
      <c r="Q4636">
        <v>0.128151060348274</v>
      </c>
      <c r="R4636">
        <v>0.99287859935550304</v>
      </c>
      <c r="S4636" t="s">
        <v>11639</v>
      </c>
      <c r="T4636" t="s">
        <v>14004</v>
      </c>
      <c r="U4636" t="s">
        <v>14004</v>
      </c>
      <c r="V4636" t="s">
        <v>14004</v>
      </c>
      <c r="W4636" t="s">
        <v>18585</v>
      </c>
      <c r="X4636">
        <v>4</v>
      </c>
      <c r="Y4636" t="s">
        <v>25396</v>
      </c>
      <c r="Z4636" t="s">
        <v>32346</v>
      </c>
      <c r="AA4636">
        <v>0.30826089479348329</v>
      </c>
      <c r="AB4636" t="str">
        <f>HYPERLINK("Melting_Curves/meltCurve_Q8IWB9_TEX2.pdf", "Melting_Curves/meltCurve_Q8IWB9_TEX2.pdf")</f>
        <v>Melting_Curves/meltCurve_Q8IWB9_TEX2.pdf</v>
      </c>
    </row>
    <row r="4637" spans="1:28" x14ac:dyDescent="0.25">
      <c r="A4637" t="s">
        <v>4641</v>
      </c>
      <c r="B4637">
        <v>0.99999676499088797</v>
      </c>
      <c r="C4637">
        <v>0.85368077138153597</v>
      </c>
      <c r="D4637">
        <v>0.78336176310859296</v>
      </c>
      <c r="E4637">
        <v>0.497831672234061</v>
      </c>
      <c r="F4637">
        <v>0.53598355134935505</v>
      </c>
      <c r="G4637">
        <v>0.477626498197322</v>
      </c>
      <c r="H4637">
        <v>0.187804923086894</v>
      </c>
      <c r="I4637">
        <v>0.24427479228490201</v>
      </c>
      <c r="J4637">
        <v>0.19539718225521599</v>
      </c>
      <c r="K4637">
        <v>0.27166867694443803</v>
      </c>
      <c r="L4637">
        <v>498.64841854863101</v>
      </c>
      <c r="M4637">
        <v>9.9358649488032995</v>
      </c>
      <c r="N4637">
        <v>52.359232342623201</v>
      </c>
      <c r="O4637">
        <v>48.2807026692779</v>
      </c>
      <c r="P4637">
        <v>-4.2778804239988297E-2</v>
      </c>
      <c r="Q4637">
        <v>0.16892524831533301</v>
      </c>
      <c r="R4637">
        <v>0.93594338581055003</v>
      </c>
      <c r="S4637" t="s">
        <v>11640</v>
      </c>
      <c r="T4637" t="s">
        <v>14004</v>
      </c>
      <c r="U4637" t="s">
        <v>14004</v>
      </c>
      <c r="V4637" t="s">
        <v>14004</v>
      </c>
      <c r="W4637" t="s">
        <v>18586</v>
      </c>
      <c r="X4637">
        <v>2</v>
      </c>
      <c r="Y4637" t="s">
        <v>25397</v>
      </c>
      <c r="Z4637" t="s">
        <v>32347</v>
      </c>
      <c r="AA4637">
        <v>0.48844695017341883</v>
      </c>
      <c r="AB4637" t="str">
        <f>HYPERLINK("Melting_Curves/meltCurve_Q8IWC1_2_MAP7D3.pdf", "Melting_Curves/meltCurve_Q8IWC1_2_MAP7D3.pdf")</f>
        <v>Melting_Curves/meltCurve_Q8IWC1_2_MAP7D3.pdf</v>
      </c>
    </row>
    <row r="4638" spans="1:28" x14ac:dyDescent="0.25">
      <c r="A4638" t="s">
        <v>4642</v>
      </c>
      <c r="B4638">
        <v>0.99999676499088797</v>
      </c>
      <c r="C4638">
        <v>0.96515807339734705</v>
      </c>
      <c r="D4638">
        <v>0.89417461979218105</v>
      </c>
      <c r="E4638">
        <v>0.77020104299282299</v>
      </c>
      <c r="F4638">
        <v>0.55926509483578402</v>
      </c>
      <c r="G4638">
        <v>0.490358557463351</v>
      </c>
      <c r="H4638">
        <v>0.34584017272002898</v>
      </c>
      <c r="I4638">
        <v>0.36507107028611502</v>
      </c>
      <c r="J4638">
        <v>0.35772831702280899</v>
      </c>
      <c r="K4638">
        <v>0.431869444813204</v>
      </c>
      <c r="L4638">
        <v>871.88262068405902</v>
      </c>
      <c r="M4638">
        <v>17.122401399127199</v>
      </c>
      <c r="N4638">
        <v>55.118711840423799</v>
      </c>
      <c r="O4638">
        <v>50.2412458532404</v>
      </c>
      <c r="P4638">
        <v>-5.4165830944768498E-2</v>
      </c>
      <c r="Q4638">
        <v>0.36429602269294098</v>
      </c>
      <c r="R4638">
        <v>0.98484649665641999</v>
      </c>
      <c r="S4638" t="s">
        <v>11641</v>
      </c>
      <c r="T4638" t="s">
        <v>14004</v>
      </c>
      <c r="U4638" t="s">
        <v>14004</v>
      </c>
      <c r="V4638" t="s">
        <v>14004</v>
      </c>
      <c r="W4638" t="s">
        <v>18587</v>
      </c>
      <c r="X4638">
        <v>10</v>
      </c>
      <c r="Y4638" t="s">
        <v>25398</v>
      </c>
      <c r="Z4638" t="s">
        <v>32348</v>
      </c>
      <c r="AA4638">
        <v>0.60743098370311632</v>
      </c>
      <c r="AB4638" t="str">
        <f>HYPERLINK("Melting_Curves/meltCurve_Q8IWD4_CCDC117.pdf", "Melting_Curves/meltCurve_Q8IWD4_CCDC117.pdf")</f>
        <v>Melting_Curves/meltCurve_Q8IWD4_CCDC117.pdf</v>
      </c>
    </row>
    <row r="4639" spans="1:28" x14ac:dyDescent="0.25">
      <c r="A4639" t="s">
        <v>4643</v>
      </c>
      <c r="B4639">
        <v>0.99999676499088797</v>
      </c>
      <c r="C4639">
        <v>1.1504769908111501</v>
      </c>
      <c r="D4639">
        <v>0.96482263002379598</v>
      </c>
      <c r="E4639">
        <v>1.42180551902705</v>
      </c>
      <c r="F4639">
        <v>2.2137985577141301</v>
      </c>
      <c r="G4639">
        <v>0.56422858471420601</v>
      </c>
      <c r="H4639">
        <v>0.32726086758108303</v>
      </c>
      <c r="I4639">
        <v>0.16143517289231099</v>
      </c>
      <c r="J4639">
        <v>5.9550847227456002E-2</v>
      </c>
      <c r="K4639">
        <v>6.4711763310411299E-2</v>
      </c>
      <c r="L4639">
        <v>14196.6743549824</v>
      </c>
      <c r="M4639">
        <v>250</v>
      </c>
      <c r="N4639">
        <v>56.869946842774901</v>
      </c>
      <c r="O4639">
        <v>56.783082011864302</v>
      </c>
      <c r="P4639">
        <v>-0.93201247581589797</v>
      </c>
      <c r="Q4639">
        <v>0.153239622803302</v>
      </c>
      <c r="R4639">
        <v>0.60418482949548602</v>
      </c>
      <c r="S4639" t="s">
        <v>11642</v>
      </c>
      <c r="T4639" t="s">
        <v>14004</v>
      </c>
      <c r="U4639" t="s">
        <v>14004</v>
      </c>
      <c r="V4639" t="s">
        <v>14004</v>
      </c>
      <c r="W4639" t="s">
        <v>18588</v>
      </c>
      <c r="X4639">
        <v>2</v>
      </c>
      <c r="Y4639" t="s">
        <v>25399</v>
      </c>
      <c r="Z4639" t="s">
        <v>32349</v>
      </c>
      <c r="AA4639">
        <v>0.62713435205410151</v>
      </c>
      <c r="AB4639" t="str">
        <f>HYPERLINK("Melting_Curves/meltCurve_Q8IWE4_DCUN1D3.pdf", "Melting_Curves/meltCurve_Q8IWE4_DCUN1D3.pdf")</f>
        <v>Melting_Curves/meltCurve_Q8IWE4_DCUN1D3.pdf</v>
      </c>
    </row>
    <row r="4640" spans="1:28" x14ac:dyDescent="0.25">
      <c r="A4640" t="s">
        <v>4644</v>
      </c>
      <c r="B4640">
        <v>0.99999676499088797</v>
      </c>
      <c r="C4640">
        <v>1.1188452653365299</v>
      </c>
      <c r="D4640">
        <v>0.99768691011600596</v>
      </c>
      <c r="E4640">
        <v>0.42391864792456202</v>
      </c>
      <c r="F4640">
        <v>8.4148769219400094E-2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2331.6486316607202</v>
      </c>
      <c r="M4640">
        <v>47.293873302937598</v>
      </c>
      <c r="N4640">
        <v>49.317444687526198</v>
      </c>
      <c r="O4640">
        <v>49.213377276409197</v>
      </c>
      <c r="P4640">
        <v>-0.238401962394136</v>
      </c>
      <c r="Q4640">
        <v>7.6893707162562896E-3</v>
      </c>
      <c r="R4640">
        <v>0.99160389246485003</v>
      </c>
      <c r="S4640" t="s">
        <v>11643</v>
      </c>
      <c r="T4640" t="s">
        <v>14004</v>
      </c>
      <c r="U4640" t="s">
        <v>14004</v>
      </c>
      <c r="V4640" t="s">
        <v>14004</v>
      </c>
      <c r="W4640" t="s">
        <v>18589</v>
      </c>
      <c r="X4640">
        <v>1</v>
      </c>
      <c r="Y4640" t="s">
        <v>25400</v>
      </c>
      <c r="Z4640" t="s">
        <v>32350</v>
      </c>
      <c r="AA4640">
        <v>0.31776201339069993</v>
      </c>
      <c r="AB4640" t="str">
        <f>HYPERLINK("Melting_Curves/meltCurve_Q8IWF6_DENND6A.pdf", "Melting_Curves/meltCurve_Q8IWF6_DENND6A.pdf")</f>
        <v>Melting_Curves/meltCurve_Q8IWF6_DENND6A.pdf</v>
      </c>
    </row>
    <row r="4641" spans="1:28" x14ac:dyDescent="0.25">
      <c r="A4641" t="s">
        <v>4645</v>
      </c>
      <c r="B4641">
        <v>0.99999676499088797</v>
      </c>
      <c r="C4641">
        <v>0.903178123361292</v>
      </c>
      <c r="D4641">
        <v>0.331349445437159</v>
      </c>
      <c r="E4641">
        <v>0.28320489010923999</v>
      </c>
      <c r="F4641">
        <v>0.235307602465921</v>
      </c>
      <c r="G4641">
        <v>0.19698892451327299</v>
      </c>
      <c r="H4641">
        <v>0.104934851043483</v>
      </c>
      <c r="I4641">
        <v>0.106207383288485</v>
      </c>
      <c r="J4641">
        <v>0.109632487665968</v>
      </c>
      <c r="K4641">
        <v>0.103336232311373</v>
      </c>
      <c r="L4641">
        <v>1997.1171730522101</v>
      </c>
      <c r="M4641">
        <v>44.655600326341101</v>
      </c>
      <c r="N4641">
        <v>45.110501952192102</v>
      </c>
      <c r="O4641">
        <v>44.633265976001603</v>
      </c>
      <c r="P4641">
        <v>-0.21025371359169501</v>
      </c>
      <c r="Q4641">
        <v>0.15940722690412601</v>
      </c>
      <c r="R4641">
        <v>0.96837032585539395</v>
      </c>
      <c r="S4641" t="s">
        <v>11644</v>
      </c>
      <c r="T4641" t="s">
        <v>14004</v>
      </c>
      <c r="U4641" t="s">
        <v>14004</v>
      </c>
      <c r="V4641" t="s">
        <v>14004</v>
      </c>
      <c r="W4641" t="s">
        <v>18590</v>
      </c>
      <c r="X4641">
        <v>20</v>
      </c>
      <c r="Y4641" t="s">
        <v>25401</v>
      </c>
      <c r="Z4641" t="s">
        <v>32351</v>
      </c>
      <c r="AA4641">
        <v>0.29392745674499232</v>
      </c>
      <c r="AB4641" t="str">
        <f>HYPERLINK("Melting_Curves/meltCurve_Q8IWJ2_GCC2.pdf", "Melting_Curves/meltCurve_Q8IWJ2_GCC2.pdf")</f>
        <v>Melting_Curves/meltCurve_Q8IWJ2_GCC2.pdf</v>
      </c>
    </row>
    <row r="4642" spans="1:28" x14ac:dyDescent="0.25">
      <c r="A4642" t="s">
        <v>4646</v>
      </c>
      <c r="B4642">
        <v>0.99999676499088797</v>
      </c>
      <c r="C4642">
        <v>1.04334286724925</v>
      </c>
      <c r="D4642">
        <v>0.973057376101788</v>
      </c>
      <c r="E4642">
        <v>0.64877692747137505</v>
      </c>
      <c r="F4642">
        <v>0.19951489660570801</v>
      </c>
      <c r="G4642">
        <v>0.15480531854044499</v>
      </c>
      <c r="H4642">
        <v>7.46866507256191E-2</v>
      </c>
      <c r="I4642">
        <v>7.0699492244448506E-2</v>
      </c>
      <c r="J4642">
        <v>5.3885238840398399E-2</v>
      </c>
      <c r="K4642">
        <v>4.4079196217935303E-2</v>
      </c>
      <c r="L4642">
        <v>1633.5307949553201</v>
      </c>
      <c r="M4642">
        <v>32.4269050086424</v>
      </c>
      <c r="N4642">
        <v>50.616792943704198</v>
      </c>
      <c r="O4642">
        <v>50.185377147587197</v>
      </c>
      <c r="P4642">
        <v>-0.14998101630013699</v>
      </c>
      <c r="Q4642">
        <v>7.1534578095890394E-2</v>
      </c>
      <c r="R4642">
        <v>0.99579185812170201</v>
      </c>
      <c r="S4642" t="s">
        <v>11645</v>
      </c>
      <c r="T4642" t="s">
        <v>14004</v>
      </c>
      <c r="U4642" t="s">
        <v>14004</v>
      </c>
      <c r="V4642" t="s">
        <v>14004</v>
      </c>
      <c r="W4642" t="s">
        <v>18591</v>
      </c>
      <c r="X4642">
        <v>22</v>
      </c>
      <c r="Y4642" t="s">
        <v>25402</v>
      </c>
      <c r="Z4642" t="s">
        <v>32352</v>
      </c>
      <c r="AA4642">
        <v>0.39759212055638732</v>
      </c>
      <c r="AB4642" t="str">
        <f>HYPERLINK("Melting_Curves/meltCurve_Q8IWS0_PHF6.pdf", "Melting_Curves/meltCurve_Q8IWS0_PHF6.pdf")</f>
        <v>Melting_Curves/meltCurve_Q8IWS0_PHF6.pdf</v>
      </c>
    </row>
    <row r="4643" spans="1:28" x14ac:dyDescent="0.25">
      <c r="A4643" t="s">
        <v>4647</v>
      </c>
      <c r="B4643">
        <v>0.99999676499088797</v>
      </c>
      <c r="C4643">
        <v>1.00674910989096</v>
      </c>
      <c r="D4643">
        <v>1.07762415197587</v>
      </c>
      <c r="E4643">
        <v>1.10466467981246</v>
      </c>
      <c r="F4643">
        <v>0.88663555212364697</v>
      </c>
      <c r="G4643">
        <v>0.498690544556111</v>
      </c>
      <c r="H4643">
        <v>0.16629420521801</v>
      </c>
      <c r="I4643">
        <v>0.14658425160211799</v>
      </c>
      <c r="J4643">
        <v>0.13706596687752301</v>
      </c>
      <c r="K4643">
        <v>0.120375989759387</v>
      </c>
      <c r="L4643">
        <v>2094.0644216641999</v>
      </c>
      <c r="M4643">
        <v>37.206140897029599</v>
      </c>
      <c r="N4643">
        <v>56.731527941421703</v>
      </c>
      <c r="O4643">
        <v>56.120910792300201</v>
      </c>
      <c r="P4643">
        <v>-0.14461304189777499</v>
      </c>
      <c r="Q4643">
        <v>0.12747810937492801</v>
      </c>
      <c r="R4643">
        <v>0.98891202301403902</v>
      </c>
      <c r="S4643" t="s">
        <v>11646</v>
      </c>
      <c r="T4643" t="s">
        <v>14004</v>
      </c>
      <c r="U4643" t="s">
        <v>14004</v>
      </c>
      <c r="V4643" t="s">
        <v>14004</v>
      </c>
      <c r="W4643" t="s">
        <v>18592</v>
      </c>
      <c r="X4643">
        <v>8</v>
      </c>
      <c r="Y4643" t="s">
        <v>25403</v>
      </c>
      <c r="Z4643" t="s">
        <v>32353</v>
      </c>
      <c r="AA4643">
        <v>0.60492720495560515</v>
      </c>
      <c r="AB4643" t="str">
        <f>HYPERLINK("Melting_Curves/meltCurve_Q8IWT6_LRRC8A.pdf", "Melting_Curves/meltCurve_Q8IWT6_LRRC8A.pdf")</f>
        <v>Melting_Curves/meltCurve_Q8IWT6_LRRC8A.pdf</v>
      </c>
    </row>
    <row r="4644" spans="1:28" x14ac:dyDescent="0.25">
      <c r="A4644" t="s">
        <v>4648</v>
      </c>
      <c r="B4644">
        <v>0.99999676499088797</v>
      </c>
      <c r="C4644">
        <v>1.1610487433202801</v>
      </c>
      <c r="D4644">
        <v>0.84840781068223603</v>
      </c>
      <c r="E4644">
        <v>0.736457468443388</v>
      </c>
      <c r="F4644">
        <v>0.44211423260001598</v>
      </c>
      <c r="G4644">
        <v>0.45655199196457802</v>
      </c>
      <c r="H4644">
        <v>0.14829191343651699</v>
      </c>
      <c r="I4644">
        <v>0.12591505300526301</v>
      </c>
      <c r="J4644">
        <v>0.124055903096189</v>
      </c>
      <c r="K4644">
        <v>6.6022776513075407E-2</v>
      </c>
      <c r="L4644">
        <v>728.16379931432698</v>
      </c>
      <c r="M4644">
        <v>13.691894522253801</v>
      </c>
      <c r="N4644">
        <v>53.6011855487736</v>
      </c>
      <c r="O4644">
        <v>52.086131081815402</v>
      </c>
      <c r="P4644">
        <v>-6.2390679119548903E-2</v>
      </c>
      <c r="Q4644">
        <v>5.0760993159044997E-2</v>
      </c>
      <c r="R4644">
        <v>0.95435504336186605</v>
      </c>
      <c r="S4644" t="s">
        <v>11647</v>
      </c>
      <c r="T4644" t="s">
        <v>14004</v>
      </c>
      <c r="U4644" t="s">
        <v>14004</v>
      </c>
      <c r="V4644" t="s">
        <v>14004</v>
      </c>
      <c r="W4644" t="s">
        <v>18593</v>
      </c>
      <c r="X4644">
        <v>5</v>
      </c>
      <c r="Y4644" t="s">
        <v>25404</v>
      </c>
      <c r="Z4644" t="s">
        <v>32354</v>
      </c>
      <c r="AA4644">
        <v>0.49069665335427992</v>
      </c>
      <c r="AB4644" t="str">
        <f>HYPERLINK("Melting_Curves/meltCurve_Q8IWV7_UBR1.pdf", "Melting_Curves/meltCurve_Q8IWV7_UBR1.pdf")</f>
        <v>Melting_Curves/meltCurve_Q8IWV7_UBR1.pdf</v>
      </c>
    </row>
    <row r="4645" spans="1:28" x14ac:dyDescent="0.25">
      <c r="A4645" t="s">
        <v>4649</v>
      </c>
      <c r="B4645">
        <v>0.99999676499088797</v>
      </c>
      <c r="C4645">
        <v>1.05073063940337</v>
      </c>
      <c r="D4645">
        <v>0.92159718855407502</v>
      </c>
      <c r="E4645">
        <v>0.72932163053786803</v>
      </c>
      <c r="F4645">
        <v>0.64455648518034403</v>
      </c>
      <c r="G4645">
        <v>0.56018635304535003</v>
      </c>
      <c r="H4645">
        <v>0.12540149682087101</v>
      </c>
      <c r="I4645">
        <v>0.10048294332798</v>
      </c>
      <c r="J4645">
        <v>9.86457140520135E-2</v>
      </c>
      <c r="K4645">
        <v>0.102411469601844</v>
      </c>
      <c r="L4645">
        <v>725.76105111853303</v>
      </c>
      <c r="M4645">
        <v>13.096192357540099</v>
      </c>
      <c r="N4645">
        <v>55.417738906023999</v>
      </c>
      <c r="O4645">
        <v>54.173341991988998</v>
      </c>
      <c r="P4645">
        <v>-6.0446891761646901E-2</v>
      </c>
      <c r="Q4645">
        <v>0</v>
      </c>
      <c r="R4645">
        <v>0.964353202343191</v>
      </c>
      <c r="S4645" t="s">
        <v>11648</v>
      </c>
      <c r="T4645" t="s">
        <v>14004</v>
      </c>
      <c r="U4645" t="s">
        <v>14004</v>
      </c>
      <c r="V4645" t="s">
        <v>14004</v>
      </c>
      <c r="W4645" t="s">
        <v>18594</v>
      </c>
      <c r="X4645">
        <v>15</v>
      </c>
      <c r="Y4645" t="s">
        <v>25405</v>
      </c>
      <c r="Z4645" t="s">
        <v>32355</v>
      </c>
      <c r="AA4645">
        <v>0.5349109325025696</v>
      </c>
      <c r="AB4645" t="str">
        <f>HYPERLINK("Melting_Curves/meltCurve_Q8IWV8_UBR2.pdf", "Melting_Curves/meltCurve_Q8IWV8_UBR2.pdf")</f>
        <v>Melting_Curves/meltCurve_Q8IWV8_UBR2.pdf</v>
      </c>
    </row>
    <row r="4646" spans="1:28" x14ac:dyDescent="0.25">
      <c r="A4646" t="s">
        <v>4650</v>
      </c>
      <c r="B4646">
        <v>0.99999676499088797</v>
      </c>
      <c r="C4646">
        <v>1.0808402028692601</v>
      </c>
      <c r="D4646">
        <v>0.97050852939864296</v>
      </c>
      <c r="E4646">
        <v>0.80796733144052502</v>
      </c>
      <c r="F4646">
        <v>0.37985012635613602</v>
      </c>
      <c r="G4646">
        <v>0.35574500551337102</v>
      </c>
      <c r="H4646">
        <v>0.166685570860169</v>
      </c>
      <c r="I4646">
        <v>0.157835881682962</v>
      </c>
      <c r="J4646">
        <v>0.14518341045552599</v>
      </c>
      <c r="K4646">
        <v>0.102366346317979</v>
      </c>
      <c r="L4646">
        <v>1182.6081791809099</v>
      </c>
      <c r="M4646">
        <v>22.781837397361599</v>
      </c>
      <c r="N4646">
        <v>52.697285373835101</v>
      </c>
      <c r="O4646">
        <v>51.515130607197896</v>
      </c>
      <c r="P4646">
        <v>-9.4615876650260597E-2</v>
      </c>
      <c r="Q4646">
        <v>0.14422106304871499</v>
      </c>
      <c r="R4646">
        <v>0.98073511888841103</v>
      </c>
      <c r="S4646" t="s">
        <v>11649</v>
      </c>
      <c r="T4646" t="s">
        <v>14004</v>
      </c>
      <c r="U4646" t="s">
        <v>14004</v>
      </c>
      <c r="V4646" t="s">
        <v>14004</v>
      </c>
      <c r="W4646" t="s">
        <v>18595</v>
      </c>
      <c r="X4646">
        <v>9</v>
      </c>
      <c r="Y4646" t="s">
        <v>25406</v>
      </c>
      <c r="Z4646" t="s">
        <v>32356</v>
      </c>
      <c r="AA4646">
        <v>0.49328774694280397</v>
      </c>
      <c r="AB4646" t="str">
        <f>HYPERLINK("Melting_Curves/meltCurve_Q8IWY9_CDAN1.pdf", "Melting_Curves/meltCurve_Q8IWY9_CDAN1.pdf")</f>
        <v>Melting_Curves/meltCurve_Q8IWY9_CDAN1.pdf</v>
      </c>
    </row>
    <row r="4647" spans="1:28" x14ac:dyDescent="0.25">
      <c r="A4647" t="s">
        <v>4651</v>
      </c>
      <c r="B4647">
        <v>0.99999676499088797</v>
      </c>
      <c r="C4647">
        <v>0.73303208570946299</v>
      </c>
      <c r="D4647">
        <v>0.36759558197299202</v>
      </c>
      <c r="E4647">
        <v>0.14376238766358601</v>
      </c>
      <c r="F4647">
        <v>0.14782854186380401</v>
      </c>
      <c r="G4647">
        <v>9.5070917906503002E-2</v>
      </c>
      <c r="H4647">
        <v>6.3211718954730503E-2</v>
      </c>
      <c r="I4647">
        <v>5.80025019321097E-2</v>
      </c>
      <c r="J4647">
        <v>1.7348057429533499E-2</v>
      </c>
      <c r="K4647">
        <v>6.05358632822246E-2</v>
      </c>
      <c r="L4647">
        <v>1097.94896306596</v>
      </c>
      <c r="M4647">
        <v>24.598755563252301</v>
      </c>
      <c r="N4647">
        <v>44.905255519793002</v>
      </c>
      <c r="O4647">
        <v>44.342496984514902</v>
      </c>
      <c r="P4647">
        <v>-0.12912463872122701</v>
      </c>
      <c r="Q4647">
        <v>6.8956928582614693E-2</v>
      </c>
      <c r="R4647">
        <v>0.99010407840438197</v>
      </c>
      <c r="S4647" t="s">
        <v>11650</v>
      </c>
      <c r="T4647" t="s">
        <v>14004</v>
      </c>
      <c r="U4647" t="s">
        <v>14004</v>
      </c>
      <c r="V4647" t="s">
        <v>14004</v>
      </c>
      <c r="W4647" t="s">
        <v>18596</v>
      </c>
      <c r="X4647">
        <v>9</v>
      </c>
      <c r="Y4647" t="s">
        <v>25407</v>
      </c>
      <c r="Z4647" t="s">
        <v>32357</v>
      </c>
      <c r="AA4647">
        <v>0.22284722943409621</v>
      </c>
      <c r="AB4647" t="str">
        <f>HYPERLINK("Melting_Curves/meltCurve_Q8IWZ3_6_ANKHD1.pdf", "Melting_Curves/meltCurve_Q8IWZ3_6_ANKHD1.pdf")</f>
        <v>Melting_Curves/meltCurve_Q8IWZ3_6_ANKHD1.pdf</v>
      </c>
    </row>
    <row r="4648" spans="1:28" x14ac:dyDescent="0.25">
      <c r="A4648" t="s">
        <v>4652</v>
      </c>
      <c r="B4648">
        <v>0.99999676499088797</v>
      </c>
      <c r="C4648">
        <v>0.89373351320591898</v>
      </c>
      <c r="D4648">
        <v>0.73955544133331996</v>
      </c>
      <c r="E4648">
        <v>0.44625850986915699</v>
      </c>
      <c r="F4648">
        <v>0.29270670682365002</v>
      </c>
      <c r="G4648">
        <v>0.175435865932626</v>
      </c>
      <c r="H4648">
        <v>0.11285133546962001</v>
      </c>
      <c r="I4648">
        <v>0.121705313108777</v>
      </c>
      <c r="J4648">
        <v>0.14322743038979299</v>
      </c>
      <c r="K4648">
        <v>0.15283969556673299</v>
      </c>
      <c r="L4648">
        <v>836.31845223096605</v>
      </c>
      <c r="M4648">
        <v>17.348285580650298</v>
      </c>
      <c r="N4648">
        <v>49.008980121987904</v>
      </c>
      <c r="O4648">
        <v>47.580685427442901</v>
      </c>
      <c r="P4648">
        <v>-7.9899373108665503E-2</v>
      </c>
      <c r="Q4648">
        <v>0.123498395870209</v>
      </c>
      <c r="R4648">
        <v>0.99643601063727505</v>
      </c>
      <c r="S4648" t="s">
        <v>11651</v>
      </c>
      <c r="T4648" t="s">
        <v>14004</v>
      </c>
      <c r="U4648" t="s">
        <v>14004</v>
      </c>
      <c r="V4648" t="s">
        <v>14004</v>
      </c>
      <c r="W4648" t="s">
        <v>18597</v>
      </c>
      <c r="X4648">
        <v>19</v>
      </c>
      <c r="Y4648" t="s">
        <v>25408</v>
      </c>
      <c r="Z4648" t="s">
        <v>32358</v>
      </c>
      <c r="AA4648">
        <v>0.37997549317350199</v>
      </c>
      <c r="AB4648" t="str">
        <f>HYPERLINK("Melting_Curves/meltCurve_Q8IWZ8_SUGP1.pdf", "Melting_Curves/meltCurve_Q8IWZ8_SUGP1.pdf")</f>
        <v>Melting_Curves/meltCurve_Q8IWZ8_SUGP1.pdf</v>
      </c>
    </row>
    <row r="4649" spans="1:28" x14ac:dyDescent="0.25">
      <c r="A4649" t="s">
        <v>4653</v>
      </c>
      <c r="B4649">
        <v>0.99999676499088797</v>
      </c>
      <c r="C4649">
        <v>1.0022451467505</v>
      </c>
      <c r="D4649">
        <v>0.94906787866420705</v>
      </c>
      <c r="E4649">
        <v>0.70398197158791498</v>
      </c>
      <c r="F4649">
        <v>0.29687160085126002</v>
      </c>
      <c r="G4649">
        <v>0.19389757610477801</v>
      </c>
      <c r="H4649">
        <v>9.5998108668230206E-2</v>
      </c>
      <c r="I4649">
        <v>9.5752521526961398E-2</v>
      </c>
      <c r="J4649">
        <v>9.5563105326841299E-2</v>
      </c>
      <c r="K4649">
        <v>9.3161180794887805E-2</v>
      </c>
      <c r="L4649">
        <v>1335.90161609861</v>
      </c>
      <c r="M4649">
        <v>26.245629239036301</v>
      </c>
      <c r="N4649">
        <v>51.321549025580502</v>
      </c>
      <c r="O4649">
        <v>50.607222423889098</v>
      </c>
      <c r="P4649">
        <v>-0.117082417386998</v>
      </c>
      <c r="Q4649">
        <v>9.6969605971805706E-2</v>
      </c>
      <c r="R4649">
        <v>0.99837129855057505</v>
      </c>
      <c r="S4649" t="s">
        <v>11652</v>
      </c>
      <c r="T4649" t="s">
        <v>14004</v>
      </c>
      <c r="U4649" t="s">
        <v>14004</v>
      </c>
      <c r="V4649" t="s">
        <v>14004</v>
      </c>
      <c r="W4649" t="s">
        <v>18598</v>
      </c>
      <c r="X4649">
        <v>24</v>
      </c>
      <c r="Y4649" t="s">
        <v>25409</v>
      </c>
      <c r="Z4649" t="s">
        <v>32359</v>
      </c>
      <c r="AA4649">
        <v>0.43247140894892921</v>
      </c>
      <c r="AB4649" t="str">
        <f>HYPERLINK("Melting_Curves/meltCurve_Q8IX12_2_CCAR1.pdf", "Melting_Curves/meltCurve_Q8IX12_2_CCAR1.pdf")</f>
        <v>Melting_Curves/meltCurve_Q8IX12_2_CCAR1.pdf</v>
      </c>
    </row>
    <row r="4650" spans="1:28" x14ac:dyDescent="0.25">
      <c r="A4650" t="s">
        <v>4654</v>
      </c>
      <c r="B4650">
        <v>0.99999676499088797</v>
      </c>
      <c r="C4650">
        <v>0.95088996915369595</v>
      </c>
      <c r="D4650">
        <v>0.84474496999600401</v>
      </c>
      <c r="E4650">
        <v>0.69216726506363302</v>
      </c>
      <c r="F4650">
        <v>0.54809393489437896</v>
      </c>
      <c r="G4650">
        <v>0.52639905682021504</v>
      </c>
      <c r="H4650">
        <v>0.19656312270971699</v>
      </c>
      <c r="I4650">
        <v>0.104195907729144</v>
      </c>
      <c r="J4650">
        <v>0.12913599882301399</v>
      </c>
      <c r="K4650">
        <v>8.6154608547133193E-2</v>
      </c>
      <c r="L4650">
        <v>568.18055209438103</v>
      </c>
      <c r="M4650">
        <v>10.442986436769599</v>
      </c>
      <c r="N4650">
        <v>54.407860679631597</v>
      </c>
      <c r="O4650">
        <v>52.526267752296398</v>
      </c>
      <c r="P4650">
        <v>-4.97241154792816E-2</v>
      </c>
      <c r="Q4650">
        <v>0</v>
      </c>
      <c r="R4650">
        <v>0.97531045820679796</v>
      </c>
      <c r="S4650" t="s">
        <v>11653</v>
      </c>
      <c r="T4650" t="s">
        <v>14004</v>
      </c>
      <c r="U4650" t="s">
        <v>14004</v>
      </c>
      <c r="V4650" t="s">
        <v>14004</v>
      </c>
      <c r="W4650" t="s">
        <v>18599</v>
      </c>
      <c r="X4650">
        <v>9</v>
      </c>
      <c r="Y4650" t="s">
        <v>25410</v>
      </c>
      <c r="Z4650" t="s">
        <v>32360</v>
      </c>
      <c r="AA4650">
        <v>0.50801793656514938</v>
      </c>
      <c r="AB4650" t="str">
        <f>HYPERLINK("Melting_Curves/meltCurve_Q8IX18_3_DHX40.pdf", "Melting_Curves/meltCurve_Q8IX18_3_DHX40.pdf")</f>
        <v>Melting_Curves/meltCurve_Q8IX18_3_DHX40.pdf</v>
      </c>
    </row>
    <row r="4651" spans="1:28" x14ac:dyDescent="0.25">
      <c r="A4651" t="s">
        <v>4655</v>
      </c>
      <c r="B4651">
        <v>0.99999676499088797</v>
      </c>
      <c r="C4651">
        <v>0.53322339111434203</v>
      </c>
      <c r="D4651">
        <v>0.366233811258034</v>
      </c>
      <c r="E4651">
        <v>0.18245202133983099</v>
      </c>
      <c r="F4651">
        <v>0.14438336930328999</v>
      </c>
      <c r="G4651">
        <v>0.121526410893082</v>
      </c>
      <c r="H4651">
        <v>0.10249469195173801</v>
      </c>
      <c r="I4651">
        <v>0.12818310713254999</v>
      </c>
      <c r="J4651">
        <v>0.191532639765019</v>
      </c>
      <c r="K4651">
        <v>0.227536903919866</v>
      </c>
      <c r="L4651">
        <v>1163.66962377391</v>
      </c>
      <c r="M4651">
        <v>26.9848078105301</v>
      </c>
      <c r="N4651">
        <v>43.739375478321001</v>
      </c>
      <c r="O4651">
        <v>42.888406056804101</v>
      </c>
      <c r="P4651">
        <v>-0.13242428561996999</v>
      </c>
      <c r="Q4651">
        <v>0.15813225666617001</v>
      </c>
      <c r="R4651">
        <v>0.95507160338522801</v>
      </c>
      <c r="S4651" t="s">
        <v>11654</v>
      </c>
      <c r="T4651" t="s">
        <v>14004</v>
      </c>
      <c r="U4651" t="s">
        <v>14004</v>
      </c>
      <c r="V4651" t="s">
        <v>14004</v>
      </c>
      <c r="W4651" t="s">
        <v>18600</v>
      </c>
      <c r="X4651">
        <v>6</v>
      </c>
      <c r="Y4651" t="s">
        <v>25411</v>
      </c>
      <c r="Z4651" t="s">
        <v>32361</v>
      </c>
      <c r="AA4651">
        <v>0.2554899713560298</v>
      </c>
      <c r="AB4651" t="str">
        <f>HYPERLINK("Melting_Curves/meltCurve_Q8IX90_SKA3.pdf", "Melting_Curves/meltCurve_Q8IX90_SKA3.pdf")</f>
        <v>Melting_Curves/meltCurve_Q8IX90_SKA3.pdf</v>
      </c>
    </row>
    <row r="4652" spans="1:28" x14ac:dyDescent="0.25">
      <c r="A4652" t="s">
        <v>4656</v>
      </c>
      <c r="B4652">
        <v>0.99999676499088797</v>
      </c>
      <c r="C4652">
        <v>1.0816921085818101</v>
      </c>
      <c r="D4652">
        <v>1.0591926657334501</v>
      </c>
      <c r="E4652">
        <v>0.95923739598375302</v>
      </c>
      <c r="F4652">
        <v>0.51920758710120096</v>
      </c>
      <c r="G4652">
        <v>0.34195936183914899</v>
      </c>
      <c r="H4652">
        <v>0.16488219227473799</v>
      </c>
      <c r="I4652">
        <v>0.152096903626916</v>
      </c>
      <c r="J4652">
        <v>0.15730865968809901</v>
      </c>
      <c r="K4652">
        <v>0.131589699587076</v>
      </c>
      <c r="L4652">
        <v>1546.1133189775601</v>
      </c>
      <c r="M4652">
        <v>29.071420302149601</v>
      </c>
      <c r="N4652">
        <v>53.866758170665797</v>
      </c>
      <c r="O4652">
        <v>52.933511374185798</v>
      </c>
      <c r="P4652">
        <v>-0.116124666690007</v>
      </c>
      <c r="Q4652">
        <v>0.15424245998195699</v>
      </c>
      <c r="R4652">
        <v>0.98536980608811497</v>
      </c>
      <c r="S4652" t="s">
        <v>11655</v>
      </c>
      <c r="T4652" t="s">
        <v>14004</v>
      </c>
      <c r="U4652" t="s">
        <v>14004</v>
      </c>
      <c r="V4652" t="s">
        <v>14004</v>
      </c>
      <c r="W4652" t="s">
        <v>18601</v>
      </c>
      <c r="X4652">
        <v>14</v>
      </c>
      <c r="Y4652" t="s">
        <v>25412</v>
      </c>
      <c r="Z4652" t="s">
        <v>32362</v>
      </c>
      <c r="AA4652">
        <v>0.5317502854881796</v>
      </c>
      <c r="AB4652" t="str">
        <f>HYPERLINK("Melting_Curves/meltCurve_Q8IXB1_DNAJC10.pdf", "Melting_Curves/meltCurve_Q8IXB1_DNAJC10.pdf")</f>
        <v>Melting_Curves/meltCurve_Q8IXB1_DNAJC10.pdf</v>
      </c>
    </row>
    <row r="4653" spans="1:28" x14ac:dyDescent="0.25">
      <c r="A4653" t="s">
        <v>4657</v>
      </c>
      <c r="B4653">
        <v>0.99999676499088797</v>
      </c>
      <c r="C4653">
        <v>1.03445372640309</v>
      </c>
      <c r="D4653">
        <v>0.87953690655933103</v>
      </c>
      <c r="E4653">
        <v>0.49349479642092198</v>
      </c>
      <c r="F4653">
        <v>0.248162752150691</v>
      </c>
      <c r="G4653">
        <v>0.19541089021138</v>
      </c>
      <c r="H4653">
        <v>0.10076595330558399</v>
      </c>
      <c r="I4653">
        <v>0.10615760010613901</v>
      </c>
      <c r="J4653">
        <v>9.7616656600363394E-2</v>
      </c>
      <c r="K4653">
        <v>8.5721344326370297E-2</v>
      </c>
      <c r="L4653">
        <v>1211.6402878884701</v>
      </c>
      <c r="M4653">
        <v>24.585107081468401</v>
      </c>
      <c r="N4653">
        <v>49.775454182315997</v>
      </c>
      <c r="O4653">
        <v>48.960910732830797</v>
      </c>
      <c r="P4653">
        <v>-0.111996337007969</v>
      </c>
      <c r="Q4653">
        <v>0.107856046979069</v>
      </c>
      <c r="R4653">
        <v>0.99431734734433797</v>
      </c>
      <c r="S4653" t="s">
        <v>11656</v>
      </c>
      <c r="T4653" t="s">
        <v>14004</v>
      </c>
      <c r="U4653" t="s">
        <v>14004</v>
      </c>
      <c r="V4653" t="s">
        <v>14004</v>
      </c>
      <c r="W4653" t="s">
        <v>18602</v>
      </c>
      <c r="X4653">
        <v>2</v>
      </c>
      <c r="Y4653" t="s">
        <v>25413</v>
      </c>
      <c r="Z4653" t="s">
        <v>32363</v>
      </c>
      <c r="AA4653">
        <v>0.39212771889730058</v>
      </c>
      <c r="AB4653" t="str">
        <f>HYPERLINK("Melting_Curves/meltCurve_Q8IXI1_RHOT2.pdf", "Melting_Curves/meltCurve_Q8IXI1_RHOT2.pdf")</f>
        <v>Melting_Curves/meltCurve_Q8IXI1_RHOT2.pdf</v>
      </c>
    </row>
    <row r="4654" spans="1:28" x14ac:dyDescent="0.25">
      <c r="A4654" t="s">
        <v>4658</v>
      </c>
      <c r="B4654">
        <v>0.99999676499088797</v>
      </c>
      <c r="C4654">
        <v>1.0285679474518299</v>
      </c>
      <c r="D4654">
        <v>1.0074076977597499</v>
      </c>
      <c r="E4654">
        <v>1.01037833052871</v>
      </c>
      <c r="F4654">
        <v>0.52797371588691</v>
      </c>
      <c r="G4654">
        <v>0.19681049120556099</v>
      </c>
      <c r="H4654">
        <v>7.1369915667716999E-2</v>
      </c>
      <c r="I4654">
        <v>6.5342985406879897E-2</v>
      </c>
      <c r="J4654">
        <v>7.3521165951939305E-2</v>
      </c>
      <c r="K4654">
        <v>5.0274755496901899E-2</v>
      </c>
      <c r="L4654">
        <v>2056.2635928865998</v>
      </c>
      <c r="M4654">
        <v>38.570741056916198</v>
      </c>
      <c r="N4654">
        <v>53.523755213918697</v>
      </c>
      <c r="O4654">
        <v>53.1687878195591</v>
      </c>
      <c r="P4654">
        <v>-0.16849753604690701</v>
      </c>
      <c r="Q4654">
        <v>7.0923914815592404E-2</v>
      </c>
      <c r="R4654">
        <v>0.99587256792754297</v>
      </c>
      <c r="S4654" t="s">
        <v>11657</v>
      </c>
      <c r="T4654" t="s">
        <v>14004</v>
      </c>
      <c r="U4654" t="s">
        <v>14004</v>
      </c>
      <c r="V4654" t="s">
        <v>14004</v>
      </c>
      <c r="W4654" t="s">
        <v>18603</v>
      </c>
      <c r="X4654">
        <v>10</v>
      </c>
      <c r="Y4654" t="s">
        <v>25414</v>
      </c>
      <c r="Z4654" t="s">
        <v>32364</v>
      </c>
      <c r="AA4654">
        <v>0.48684774669168179</v>
      </c>
      <c r="AB4654" t="str">
        <f>HYPERLINK("Melting_Curves/meltCurve_Q8IXI2_2_RHOT1.pdf", "Melting_Curves/meltCurve_Q8IXI2_2_RHOT1.pdf")</f>
        <v>Melting_Curves/meltCurve_Q8IXI2_2_RHOT1.pdf</v>
      </c>
    </row>
    <row r="4655" spans="1:28" x14ac:dyDescent="0.25">
      <c r="A4655" t="s">
        <v>4659</v>
      </c>
      <c r="B4655">
        <v>0.99999676499088797</v>
      </c>
      <c r="C4655">
        <v>1.07455383021412</v>
      </c>
      <c r="D4655">
        <v>1.048020098094</v>
      </c>
      <c r="E4655">
        <v>1.0677497216963601</v>
      </c>
      <c r="F4655">
        <v>0.37796261848771801</v>
      </c>
      <c r="G4655">
        <v>0.16216266250509301</v>
      </c>
      <c r="H4655">
        <v>8.3693813811095696E-2</v>
      </c>
      <c r="I4655">
        <v>6.7156712584924699E-2</v>
      </c>
      <c r="J4655">
        <v>6.7436249415633504E-2</v>
      </c>
      <c r="K4655">
        <v>6.7196975996746802E-2</v>
      </c>
      <c r="L4655">
        <v>9270.4960244873491</v>
      </c>
      <c r="M4655">
        <v>175.02594968130899</v>
      </c>
      <c r="N4655">
        <v>53.026182929065698</v>
      </c>
      <c r="O4655">
        <v>52.959496819637401</v>
      </c>
      <c r="P4655">
        <v>-0.75225582471736496</v>
      </c>
      <c r="Q4655">
        <v>8.9527284315570194E-2</v>
      </c>
      <c r="R4655">
        <v>0.99068585539981402</v>
      </c>
      <c r="S4655" t="s">
        <v>11658</v>
      </c>
      <c r="T4655" t="s">
        <v>14004</v>
      </c>
      <c r="U4655" t="s">
        <v>14004</v>
      </c>
      <c r="V4655" t="s">
        <v>14004</v>
      </c>
      <c r="W4655" t="s">
        <v>18604</v>
      </c>
      <c r="X4655">
        <v>9</v>
      </c>
      <c r="Y4655" t="s">
        <v>25415</v>
      </c>
      <c r="Z4655" t="s">
        <v>32365</v>
      </c>
      <c r="AA4655">
        <v>0.48321871209456663</v>
      </c>
      <c r="AB4655" t="str">
        <f>HYPERLINK("Melting_Curves/meltCurve_Q8IXJ6_2_SIRT2.pdf", "Melting_Curves/meltCurve_Q8IXJ6_2_SIRT2.pdf")</f>
        <v>Melting_Curves/meltCurve_Q8IXJ6_2_SIRT2.pdf</v>
      </c>
    </row>
    <row r="4656" spans="1:28" x14ac:dyDescent="0.25">
      <c r="A4656" t="s">
        <v>4660</v>
      </c>
      <c r="B4656">
        <v>0.99999676499088797</v>
      </c>
      <c r="C4656">
        <v>0.90593425504402503</v>
      </c>
      <c r="D4656">
        <v>0.78870213840567505</v>
      </c>
      <c r="E4656">
        <v>0.40833696715005802</v>
      </c>
      <c r="F4656">
        <v>0.276100324612366</v>
      </c>
      <c r="G4656">
        <v>0.22004208360810301</v>
      </c>
      <c r="H4656">
        <v>8.6209285182349202E-2</v>
      </c>
      <c r="I4656">
        <v>0.144184119727883</v>
      </c>
      <c r="J4656">
        <v>0.12719171145934099</v>
      </c>
      <c r="K4656">
        <v>9.8436668125877202E-2</v>
      </c>
      <c r="L4656">
        <v>906.725436062982</v>
      </c>
      <c r="M4656">
        <v>18.762954233878499</v>
      </c>
      <c r="N4656">
        <v>49.027829809074198</v>
      </c>
      <c r="O4656">
        <v>47.7864031326679</v>
      </c>
      <c r="P4656">
        <v>-8.6593596517144905E-2</v>
      </c>
      <c r="Q4656">
        <v>0.11787384717747799</v>
      </c>
      <c r="R4656">
        <v>0.99074303547784603</v>
      </c>
      <c r="S4656" t="s">
        <v>11659</v>
      </c>
      <c r="T4656" t="s">
        <v>14004</v>
      </c>
      <c r="U4656" t="s">
        <v>14004</v>
      </c>
      <c r="V4656" t="s">
        <v>14004</v>
      </c>
      <c r="W4656" t="s">
        <v>18605</v>
      </c>
      <c r="X4656">
        <v>4</v>
      </c>
      <c r="Y4656" t="s">
        <v>25416</v>
      </c>
      <c r="Z4656" t="s">
        <v>32366</v>
      </c>
      <c r="AA4656">
        <v>0.37690698191805427</v>
      </c>
      <c r="AB4656" t="str">
        <f>HYPERLINK("Melting_Curves/meltCurve_Q8IXK2_GALNT12.pdf", "Melting_Curves/meltCurve_Q8IXK2_GALNT12.pdf")</f>
        <v>Melting_Curves/meltCurve_Q8IXK2_GALNT12.pdf</v>
      </c>
    </row>
    <row r="4657" spans="1:28" x14ac:dyDescent="0.25">
      <c r="A4657" t="s">
        <v>4661</v>
      </c>
      <c r="B4657">
        <v>0.99999676499088797</v>
      </c>
      <c r="C4657">
        <v>0.92506577314151806</v>
      </c>
      <c r="D4657">
        <v>0.93741481199169396</v>
      </c>
      <c r="E4657">
        <v>1.0676094306355901</v>
      </c>
      <c r="F4657">
        <v>0.95171827326542902</v>
      </c>
      <c r="G4657">
        <v>0.735390179955278</v>
      </c>
      <c r="H4657">
        <v>0.38892895195281801</v>
      </c>
      <c r="I4657">
        <v>0.33107879815507502</v>
      </c>
      <c r="J4657">
        <v>0.24380976035697899</v>
      </c>
      <c r="K4657">
        <v>0.176589580825914</v>
      </c>
      <c r="L4657">
        <v>1525.3200970016201</v>
      </c>
      <c r="M4657">
        <v>26.139373087180601</v>
      </c>
      <c r="N4657">
        <v>59.574312250455101</v>
      </c>
      <c r="O4657">
        <v>58.015036494685901</v>
      </c>
      <c r="P4657">
        <v>-8.9282602415750006E-2</v>
      </c>
      <c r="Q4657">
        <v>0.20737577482598299</v>
      </c>
      <c r="R4657">
        <v>0.98165843367463801</v>
      </c>
      <c r="S4657" t="s">
        <v>11660</v>
      </c>
      <c r="T4657" t="s">
        <v>14004</v>
      </c>
      <c r="U4657" t="s">
        <v>14004</v>
      </c>
      <c r="V4657" t="s">
        <v>14004</v>
      </c>
      <c r="W4657" t="s">
        <v>18606</v>
      </c>
      <c r="X4657">
        <v>3</v>
      </c>
      <c r="Y4657" t="s">
        <v>25417</v>
      </c>
      <c r="Z4657" t="s">
        <v>32367</v>
      </c>
      <c r="AA4657">
        <v>0.69866040295642029</v>
      </c>
      <c r="AB4657" t="str">
        <f>HYPERLINK("Melting_Curves/meltCurve_Q8IXM6_NRM.pdf", "Melting_Curves/meltCurve_Q8IXM6_NRM.pdf")</f>
        <v>Melting_Curves/meltCurve_Q8IXM6_NRM.pdf</v>
      </c>
    </row>
    <row r="4658" spans="1:28" x14ac:dyDescent="0.25">
      <c r="A4658" t="s">
        <v>4662</v>
      </c>
      <c r="B4658">
        <v>0.99999676499088797</v>
      </c>
      <c r="C4658">
        <v>0.80962153295316397</v>
      </c>
      <c r="D4658">
        <v>0.98231977096419898</v>
      </c>
      <c r="E4658">
        <v>1.0376547656733</v>
      </c>
      <c r="F4658">
        <v>0.89024123639415098</v>
      </c>
      <c r="G4658">
        <v>0.68564056887150004</v>
      </c>
      <c r="H4658">
        <v>0.207497576621611</v>
      </c>
      <c r="I4658">
        <v>0</v>
      </c>
      <c r="J4658">
        <v>0</v>
      </c>
      <c r="K4658">
        <v>0</v>
      </c>
      <c r="L4658">
        <v>1843.1524338033801</v>
      </c>
      <c r="M4658">
        <v>31.736986666159599</v>
      </c>
      <c r="N4658">
        <v>58.0758486788922</v>
      </c>
      <c r="O4658">
        <v>57.846729749855697</v>
      </c>
      <c r="P4658">
        <v>-0.13716052917931601</v>
      </c>
      <c r="Q4658">
        <v>0</v>
      </c>
      <c r="R4658">
        <v>0.975809534221041</v>
      </c>
      <c r="S4658" t="s">
        <v>11661</v>
      </c>
      <c r="T4658" t="s">
        <v>14004</v>
      </c>
      <c r="U4658" t="s">
        <v>14004</v>
      </c>
      <c r="V4658" t="s">
        <v>14004</v>
      </c>
      <c r="W4658" t="s">
        <v>18607</v>
      </c>
      <c r="X4658">
        <v>1</v>
      </c>
      <c r="Y4658" t="s">
        <v>25418</v>
      </c>
      <c r="Z4658" t="s">
        <v>32368</v>
      </c>
      <c r="AA4658">
        <v>0.60850973772606431</v>
      </c>
      <c r="AB4658" t="str">
        <f>HYPERLINK("Melting_Curves/meltCurve_Q8IXN7_RIMKLA.pdf", "Melting_Curves/meltCurve_Q8IXN7_RIMKLA.pdf")</f>
        <v>Melting_Curves/meltCurve_Q8IXN7_RIMKLA.pdf</v>
      </c>
    </row>
    <row r="4659" spans="1:28" x14ac:dyDescent="0.25">
      <c r="A4659" t="s">
        <v>4663</v>
      </c>
      <c r="B4659">
        <v>0.99999676499088797</v>
      </c>
      <c r="C4659">
        <v>1.08292053739236</v>
      </c>
      <c r="D4659">
        <v>1.06504505021157</v>
      </c>
      <c r="E4659">
        <v>1.13556676919447</v>
      </c>
      <c r="F4659">
        <v>0.98837511441925796</v>
      </c>
      <c r="G4659">
        <v>0.60831280456742798</v>
      </c>
      <c r="H4659">
        <v>0.44928261708324901</v>
      </c>
      <c r="I4659">
        <v>0.68001444298969804</v>
      </c>
      <c r="J4659">
        <v>0.57379549944499098</v>
      </c>
      <c r="K4659">
        <v>0.89105525528639096</v>
      </c>
      <c r="L4659">
        <v>13480.797405142301</v>
      </c>
      <c r="M4659">
        <v>250</v>
      </c>
      <c r="O4659">
        <v>53.919745424890699</v>
      </c>
      <c r="P4659">
        <v>-0.41671666946416103</v>
      </c>
      <c r="Q4659">
        <v>0.640491936174026</v>
      </c>
      <c r="R4659">
        <v>0.75272361783427599</v>
      </c>
      <c r="S4659" t="s">
        <v>11662</v>
      </c>
      <c r="T4659" t="s">
        <v>14004</v>
      </c>
      <c r="U4659" t="s">
        <v>14004</v>
      </c>
      <c r="V4659" t="s">
        <v>14004</v>
      </c>
      <c r="W4659" t="s">
        <v>18608</v>
      </c>
      <c r="X4659">
        <v>7</v>
      </c>
      <c r="Y4659" t="s">
        <v>25419</v>
      </c>
      <c r="Z4659" t="s">
        <v>32369</v>
      </c>
      <c r="AA4659">
        <v>0.80737592274813097</v>
      </c>
      <c r="AB4659" t="str">
        <f>HYPERLINK("Melting_Curves/meltCurve_Q8IXQ3_C9orf40.pdf", "Melting_Curves/meltCurve_Q8IXQ3_C9orf40.pdf")</f>
        <v>Melting_Curves/meltCurve_Q8IXQ3_C9orf40.pdf</v>
      </c>
    </row>
    <row r="4660" spans="1:28" x14ac:dyDescent="0.25">
      <c r="A4660" t="s">
        <v>4664</v>
      </c>
      <c r="B4660">
        <v>0.99999676499088797</v>
      </c>
      <c r="C4660">
        <v>1.00924484431021</v>
      </c>
      <c r="D4660">
        <v>1.0250949395283599</v>
      </c>
      <c r="E4660">
        <v>1.10537502145888</v>
      </c>
      <c r="F4660">
        <v>0.985636781438749</v>
      </c>
      <c r="G4660">
        <v>0.95464351737030395</v>
      </c>
      <c r="H4660">
        <v>0.69653563637078197</v>
      </c>
      <c r="I4660">
        <v>0.72046097854025803</v>
      </c>
      <c r="J4660">
        <v>0.64399234479376499</v>
      </c>
      <c r="K4660">
        <v>0.86103542284558499</v>
      </c>
      <c r="L4660">
        <v>14290.749607879899</v>
      </c>
      <c r="M4660">
        <v>250</v>
      </c>
      <c r="O4660">
        <v>57.159354951633702</v>
      </c>
      <c r="P4660">
        <v>-0.29467397458941402</v>
      </c>
      <c r="Q4660">
        <v>0.73050607981339799</v>
      </c>
      <c r="R4660">
        <v>0.83618870778301602</v>
      </c>
      <c r="S4660" t="s">
        <v>11663</v>
      </c>
      <c r="T4660" t="s">
        <v>14004</v>
      </c>
      <c r="U4660" t="s">
        <v>14004</v>
      </c>
      <c r="V4660" t="s">
        <v>14004</v>
      </c>
      <c r="W4660" t="s">
        <v>18609</v>
      </c>
      <c r="X4660">
        <v>16</v>
      </c>
      <c r="Y4660" t="s">
        <v>25420</v>
      </c>
      <c r="Z4660" t="s">
        <v>32370</v>
      </c>
      <c r="AA4660">
        <v>0.88471057313887513</v>
      </c>
      <c r="AB4660" t="str">
        <f>HYPERLINK("Melting_Curves/meltCurve_Q8IXQ4_KIAA1704.pdf", "Melting_Curves/meltCurve_Q8IXQ4_KIAA1704.pdf")</f>
        <v>Melting_Curves/meltCurve_Q8IXQ4_KIAA1704.pdf</v>
      </c>
    </row>
    <row r="4661" spans="1:28" x14ac:dyDescent="0.25">
      <c r="A4661" t="s">
        <v>4665</v>
      </c>
      <c r="B4661">
        <v>0.99999676499088797</v>
      </c>
      <c r="C4661">
        <v>0.91096706767028202</v>
      </c>
      <c r="D4661">
        <v>0.856263676192906</v>
      </c>
      <c r="E4661">
        <v>0.56237956407872602</v>
      </c>
      <c r="F4661">
        <v>0.40658429383364098</v>
      </c>
      <c r="G4661">
        <v>0.22797524047065801</v>
      </c>
      <c r="H4661">
        <v>9.5246153163901906E-2</v>
      </c>
      <c r="I4661">
        <v>0.13360884307992801</v>
      </c>
      <c r="J4661">
        <v>0.149537019694271</v>
      </c>
      <c r="K4661">
        <v>0.114906097259174</v>
      </c>
      <c r="L4661">
        <v>783.86058953911697</v>
      </c>
      <c r="M4661">
        <v>15.5963024993384</v>
      </c>
      <c r="N4661">
        <v>50.983710246669503</v>
      </c>
      <c r="O4661">
        <v>49.4548630334412</v>
      </c>
      <c r="P4661">
        <v>-7.1012619986558306E-2</v>
      </c>
      <c r="Q4661">
        <v>9.9372456022986402E-2</v>
      </c>
      <c r="R4661">
        <v>0.99188004933789198</v>
      </c>
      <c r="S4661" t="s">
        <v>11664</v>
      </c>
      <c r="T4661" t="s">
        <v>14004</v>
      </c>
      <c r="U4661" t="s">
        <v>14004</v>
      </c>
      <c r="V4661" t="s">
        <v>14004</v>
      </c>
      <c r="W4661" t="s">
        <v>18610</v>
      </c>
      <c r="X4661">
        <v>4</v>
      </c>
      <c r="Y4661" t="s">
        <v>25421</v>
      </c>
      <c r="Z4661" t="s">
        <v>32371</v>
      </c>
      <c r="AA4661">
        <v>0.42725749054997858</v>
      </c>
      <c r="AB4661" t="str">
        <f>HYPERLINK("Melting_Curves/meltCurve_Q8IXQ5_2_KLHL7.pdf", "Melting_Curves/meltCurve_Q8IXQ5_2_KLHL7.pdf")</f>
        <v>Melting_Curves/meltCurve_Q8IXQ5_2_KLHL7.pdf</v>
      </c>
    </row>
    <row r="4662" spans="1:28" x14ac:dyDescent="0.25">
      <c r="A4662" t="s">
        <v>4666</v>
      </c>
      <c r="B4662">
        <v>0.99999676499088797</v>
      </c>
      <c r="C4662">
        <v>1.05514474206105</v>
      </c>
      <c r="D4662">
        <v>1.0525333853779599</v>
      </c>
      <c r="E4662">
        <v>1.2274836279707999</v>
      </c>
      <c r="F4662">
        <v>1.1915718017355501</v>
      </c>
      <c r="G4662">
        <v>0.97343602833903098</v>
      </c>
      <c r="H4662">
        <v>0.25086789431989598</v>
      </c>
      <c r="I4662">
        <v>5.44079106751887E-2</v>
      </c>
      <c r="J4662">
        <v>0.11889130996752099</v>
      </c>
      <c r="K4662">
        <v>0.16056122107866599</v>
      </c>
      <c r="L4662">
        <v>4819.2834358523996</v>
      </c>
      <c r="M4662">
        <v>80.966655540797206</v>
      </c>
      <c r="N4662">
        <v>59.706975743280097</v>
      </c>
      <c r="O4662">
        <v>59.485547873398502</v>
      </c>
      <c r="P4662">
        <v>-0.30249862940525402</v>
      </c>
      <c r="Q4662">
        <v>0.111026911273363</v>
      </c>
      <c r="R4662">
        <v>0.95396372564421195</v>
      </c>
      <c r="S4662" t="s">
        <v>11665</v>
      </c>
      <c r="T4662" t="s">
        <v>14004</v>
      </c>
      <c r="U4662" t="s">
        <v>14004</v>
      </c>
      <c r="V4662" t="s">
        <v>14004</v>
      </c>
      <c r="W4662" t="s">
        <v>18611</v>
      </c>
      <c r="X4662">
        <v>1</v>
      </c>
      <c r="Y4662" t="s">
        <v>25422</v>
      </c>
      <c r="Z4662" t="s">
        <v>32372</v>
      </c>
      <c r="AA4662">
        <v>0.69039310986582891</v>
      </c>
      <c r="AB4662" t="str">
        <f>HYPERLINK("Melting_Curves/meltCurve_Q8IXT5_RBM12B.pdf", "Melting_Curves/meltCurve_Q8IXT5_RBM12B.pdf")</f>
        <v>Melting_Curves/meltCurve_Q8IXT5_RBM12B.pdf</v>
      </c>
    </row>
    <row r="4663" spans="1:28" x14ac:dyDescent="0.25">
      <c r="A4663" t="s">
        <v>4667</v>
      </c>
      <c r="B4663">
        <v>0.99999676499088797</v>
      </c>
      <c r="C4663">
        <v>0.80088874118713704</v>
      </c>
      <c r="D4663">
        <v>0.69724522727442095</v>
      </c>
      <c r="E4663">
        <v>0.30032095756706401</v>
      </c>
      <c r="F4663">
        <v>0.25501834288157899</v>
      </c>
      <c r="G4663">
        <v>7.6338382329006499E-2</v>
      </c>
      <c r="H4663">
        <v>0</v>
      </c>
      <c r="I4663">
        <v>0</v>
      </c>
      <c r="J4663">
        <v>0</v>
      </c>
      <c r="K4663">
        <v>0</v>
      </c>
      <c r="L4663">
        <v>733.38802058018496</v>
      </c>
      <c r="M4663">
        <v>15.3288421440694</v>
      </c>
      <c r="N4663">
        <v>47.843667285326298</v>
      </c>
      <c r="O4663">
        <v>47.051609499444602</v>
      </c>
      <c r="P4663">
        <v>-8.1454546999682007E-2</v>
      </c>
      <c r="Q4663">
        <v>0</v>
      </c>
      <c r="R4663">
        <v>0.98461488635705396</v>
      </c>
      <c r="S4663" t="s">
        <v>11666</v>
      </c>
      <c r="T4663" t="s">
        <v>14004</v>
      </c>
      <c r="U4663" t="s">
        <v>14004</v>
      </c>
      <c r="V4663" t="s">
        <v>14004</v>
      </c>
      <c r="W4663" t="s">
        <v>18612</v>
      </c>
      <c r="X4663">
        <v>2</v>
      </c>
      <c r="Y4663" t="s">
        <v>25423</v>
      </c>
      <c r="Z4663" t="s">
        <v>32373</v>
      </c>
      <c r="AA4663">
        <v>0.28628217869818778</v>
      </c>
      <c r="AB4663" t="str">
        <f>HYPERLINK("Melting_Curves/meltCurve_Q8IY17_2_PNPLA6.pdf", "Melting_Curves/meltCurve_Q8IY17_2_PNPLA6.pdf")</f>
        <v>Melting_Curves/meltCurve_Q8IY17_2_PNPLA6.pdf</v>
      </c>
    </row>
    <row r="4664" spans="1:28" x14ac:dyDescent="0.25">
      <c r="A4664" t="s">
        <v>4668</v>
      </c>
      <c r="B4664">
        <v>0.99999676499088797</v>
      </c>
      <c r="C4664">
        <v>0.98126640695215905</v>
      </c>
      <c r="D4664">
        <v>0.99198516522177604</v>
      </c>
      <c r="E4664">
        <v>1.0058794628071299</v>
      </c>
      <c r="F4664">
        <v>0.33397874033206298</v>
      </c>
      <c r="G4664">
        <v>0.235946342687403</v>
      </c>
      <c r="H4664">
        <v>9.8428081890532801E-2</v>
      </c>
      <c r="I4664">
        <v>0.113006216462648</v>
      </c>
      <c r="J4664">
        <v>0.10639666434652501</v>
      </c>
      <c r="K4664">
        <v>8.5214672447201906E-2</v>
      </c>
      <c r="L4664">
        <v>3915.9977192091801</v>
      </c>
      <c r="M4664">
        <v>74.756257205594395</v>
      </c>
      <c r="N4664">
        <v>52.589276743362497</v>
      </c>
      <c r="O4664">
        <v>52.346096675389703</v>
      </c>
      <c r="P4664">
        <v>-0.31176688007334102</v>
      </c>
      <c r="Q4664">
        <v>0.126774045277529</v>
      </c>
      <c r="R4664">
        <v>0.99109178407213105</v>
      </c>
      <c r="S4664" t="s">
        <v>11667</v>
      </c>
      <c r="T4664" t="s">
        <v>14004</v>
      </c>
      <c r="U4664" t="s">
        <v>14004</v>
      </c>
      <c r="V4664" t="s">
        <v>14004</v>
      </c>
      <c r="W4664" t="s">
        <v>18613</v>
      </c>
      <c r="X4664">
        <v>19</v>
      </c>
      <c r="Y4664" t="s">
        <v>25424</v>
      </c>
      <c r="Z4664" t="s">
        <v>32374</v>
      </c>
      <c r="AA4664">
        <v>0.4881282915144397</v>
      </c>
      <c r="AB4664" t="str">
        <f>HYPERLINK("Melting_Curves/meltCurve_Q8IY18_SMC5.pdf", "Melting_Curves/meltCurve_Q8IY18_SMC5.pdf")</f>
        <v>Melting_Curves/meltCurve_Q8IY18_SMC5.pdf</v>
      </c>
    </row>
    <row r="4665" spans="1:28" x14ac:dyDescent="0.25">
      <c r="A4665" t="s">
        <v>4669</v>
      </c>
      <c r="B4665">
        <v>0.99999676499088797</v>
      </c>
      <c r="C4665">
        <v>0.94761304117085798</v>
      </c>
      <c r="D4665">
        <v>0.82503066833886496</v>
      </c>
      <c r="E4665">
        <v>0.613304917721186</v>
      </c>
      <c r="F4665">
        <v>0.39412101640997399</v>
      </c>
      <c r="G4665">
        <v>0.33864286597466098</v>
      </c>
      <c r="H4665">
        <v>9.1931740922103794E-2</v>
      </c>
      <c r="I4665">
        <v>0.108851333575985</v>
      </c>
      <c r="J4665">
        <v>4.12968105479595E-2</v>
      </c>
      <c r="K4665">
        <v>8.6538526581055306E-2</v>
      </c>
      <c r="L4665">
        <v>648.03564705355097</v>
      </c>
      <c r="M4665">
        <v>12.5595312839675</v>
      </c>
      <c r="N4665">
        <v>51.7788736830191</v>
      </c>
      <c r="O4665">
        <v>50.341463748679402</v>
      </c>
      <c r="P4665">
        <v>-6.1039029348479198E-2</v>
      </c>
      <c r="Q4665">
        <v>2.1564285243533599E-2</v>
      </c>
      <c r="R4665">
        <v>0.98915398350390005</v>
      </c>
      <c r="S4665" t="s">
        <v>11668</v>
      </c>
      <c r="T4665" t="s">
        <v>14004</v>
      </c>
      <c r="U4665" t="s">
        <v>14004</v>
      </c>
      <c r="V4665" t="s">
        <v>14004</v>
      </c>
      <c r="W4665" t="s">
        <v>18614</v>
      </c>
      <c r="X4665">
        <v>3</v>
      </c>
      <c r="Y4665" t="s">
        <v>25425</v>
      </c>
      <c r="Z4665" t="s">
        <v>32375</v>
      </c>
      <c r="AA4665">
        <v>0.42868295158131459</v>
      </c>
      <c r="AB4665" t="str">
        <f>HYPERLINK("Melting_Curves/meltCurve_Q8IY21_DDX60.pdf", "Melting_Curves/meltCurve_Q8IY21_DDX60.pdf")</f>
        <v>Melting_Curves/meltCurve_Q8IY21_DDX60.pdf</v>
      </c>
    </row>
    <row r="4666" spans="1:28" x14ac:dyDescent="0.25">
      <c r="A4666" t="s">
        <v>4670</v>
      </c>
      <c r="B4666">
        <v>0.99999676499088797</v>
      </c>
      <c r="C4666">
        <v>0.659990292398</v>
      </c>
      <c r="D4666">
        <v>0.22649993571120899</v>
      </c>
      <c r="E4666">
        <v>0.11772038886143001</v>
      </c>
      <c r="F4666">
        <v>9.2999823807117202E-2</v>
      </c>
      <c r="G4666">
        <v>6.6254598373882007E-2</v>
      </c>
      <c r="H4666">
        <v>4.7302376593736997E-2</v>
      </c>
      <c r="I4666">
        <v>5.3941227588983801E-2</v>
      </c>
      <c r="J4666">
        <v>8.4260508273342694E-2</v>
      </c>
      <c r="K4666">
        <v>8.9970945354432993E-2</v>
      </c>
      <c r="L4666">
        <v>1463.8267214238101</v>
      </c>
      <c r="M4666">
        <v>33.518566777934403</v>
      </c>
      <c r="N4666">
        <v>43.889573340459201</v>
      </c>
      <c r="O4666">
        <v>43.517549685951202</v>
      </c>
      <c r="P4666">
        <v>-0.177826703322114</v>
      </c>
      <c r="Q4666">
        <v>7.6505958119684594E-2</v>
      </c>
      <c r="R4666">
        <v>0.99529584248560898</v>
      </c>
      <c r="S4666" t="s">
        <v>11669</v>
      </c>
      <c r="T4666" t="s">
        <v>14004</v>
      </c>
      <c r="U4666" t="s">
        <v>14004</v>
      </c>
      <c r="V4666" t="s">
        <v>14004</v>
      </c>
      <c r="W4666" t="s">
        <v>18615</v>
      </c>
      <c r="X4666">
        <v>1</v>
      </c>
      <c r="Y4666" t="s">
        <v>25426</v>
      </c>
      <c r="Z4666" t="s">
        <v>32376</v>
      </c>
      <c r="AA4666">
        <v>0.19496989659146191</v>
      </c>
      <c r="AB4666" t="str">
        <f>HYPERLINK("Melting_Curves/meltCurve_Q8IY22_CMIP.pdf", "Melting_Curves/meltCurve_Q8IY22_CMIP.pdf")</f>
        <v>Melting_Curves/meltCurve_Q8IY22_CMIP.pdf</v>
      </c>
    </row>
    <row r="4667" spans="1:28" x14ac:dyDescent="0.25">
      <c r="A4667" t="s">
        <v>4671</v>
      </c>
      <c r="B4667">
        <v>0.99999676499088797</v>
      </c>
      <c r="C4667">
        <v>0.970047253116056</v>
      </c>
      <c r="D4667">
        <v>0.74555969358389296</v>
      </c>
      <c r="E4667">
        <v>0.33154982896031598</v>
      </c>
      <c r="F4667">
        <v>0.29049034772952798</v>
      </c>
      <c r="G4667">
        <v>0.203981964535173</v>
      </c>
      <c r="H4667">
        <v>0.1240162926491</v>
      </c>
      <c r="I4667">
        <v>0.15184026583791499</v>
      </c>
      <c r="J4667">
        <v>0.113439989413333</v>
      </c>
      <c r="K4667">
        <v>0.10579152003678401</v>
      </c>
      <c r="L4667">
        <v>1117.0890863362899</v>
      </c>
      <c r="M4667">
        <v>23.465162595534</v>
      </c>
      <c r="N4667">
        <v>48.297389073264</v>
      </c>
      <c r="O4667">
        <v>47.264553861149501</v>
      </c>
      <c r="P4667">
        <v>-0.106418044694301</v>
      </c>
      <c r="Q4667">
        <v>0.14260710641667401</v>
      </c>
      <c r="R4667">
        <v>0.98712924467149399</v>
      </c>
      <c r="S4667" t="s">
        <v>11670</v>
      </c>
      <c r="T4667" t="s">
        <v>14004</v>
      </c>
      <c r="U4667" t="s">
        <v>14004</v>
      </c>
      <c r="V4667" t="s">
        <v>14004</v>
      </c>
      <c r="W4667" t="s">
        <v>18616</v>
      </c>
      <c r="X4667">
        <v>8</v>
      </c>
      <c r="Y4667" t="s">
        <v>25427</v>
      </c>
      <c r="Z4667" t="s">
        <v>32377</v>
      </c>
      <c r="AA4667">
        <v>0.36869846295392777</v>
      </c>
      <c r="AB4667" t="str">
        <f>HYPERLINK("Melting_Curves/meltCurve_Q8IY37_DHX37.pdf", "Melting_Curves/meltCurve_Q8IY37_DHX37.pdf")</f>
        <v>Melting_Curves/meltCurve_Q8IY37_DHX37.pdf</v>
      </c>
    </row>
    <row r="4668" spans="1:28" x14ac:dyDescent="0.25">
      <c r="A4668" t="s">
        <v>4672</v>
      </c>
      <c r="B4668">
        <v>0.99999676499088797</v>
      </c>
      <c r="C4668">
        <v>0.91932287453032702</v>
      </c>
      <c r="D4668">
        <v>0.96614910877458104</v>
      </c>
      <c r="E4668">
        <v>1.01458104734517</v>
      </c>
      <c r="F4668">
        <v>0.84312556635595803</v>
      </c>
      <c r="G4668">
        <v>0.59077655820289399</v>
      </c>
      <c r="H4668">
        <v>0.313100236265627</v>
      </c>
      <c r="I4668">
        <v>0.228361643235551</v>
      </c>
      <c r="J4668">
        <v>0.204277792079986</v>
      </c>
      <c r="K4668">
        <v>0.19441334482219799</v>
      </c>
      <c r="L4668">
        <v>1374.2012681026799</v>
      </c>
      <c r="M4668">
        <v>24.242854533062999</v>
      </c>
      <c r="N4668">
        <v>57.778829972252801</v>
      </c>
      <c r="O4668">
        <v>56.303324015971299</v>
      </c>
      <c r="P4668">
        <v>-8.7833160641153402E-2</v>
      </c>
      <c r="Q4668">
        <v>0.18405263526041099</v>
      </c>
      <c r="R4668">
        <v>0.99189295013313405</v>
      </c>
      <c r="S4668" t="s">
        <v>11671</v>
      </c>
      <c r="T4668" t="s">
        <v>14004</v>
      </c>
      <c r="U4668" t="s">
        <v>14004</v>
      </c>
      <c r="V4668" t="s">
        <v>14004</v>
      </c>
      <c r="W4668" t="s">
        <v>18617</v>
      </c>
      <c r="X4668">
        <v>6</v>
      </c>
      <c r="Y4668" t="s">
        <v>25428</v>
      </c>
      <c r="Z4668" t="s">
        <v>32378</v>
      </c>
      <c r="AA4668">
        <v>0.64561993594477973</v>
      </c>
      <c r="AB4668" t="str">
        <f>HYPERLINK("Melting_Curves/meltCurve_Q8IY95_2_TMEM192.pdf", "Melting_Curves/meltCurve_Q8IY95_2_TMEM192.pdf")</f>
        <v>Melting_Curves/meltCurve_Q8IY95_2_TMEM192.pdf</v>
      </c>
    </row>
    <row r="4669" spans="1:28" x14ac:dyDescent="0.25">
      <c r="A4669" t="s">
        <v>4673</v>
      </c>
      <c r="B4669">
        <v>0.99999676499088797</v>
      </c>
      <c r="C4669">
        <v>0.95895085390272505</v>
      </c>
      <c r="D4669">
        <v>0.97676329286205799</v>
      </c>
      <c r="E4669">
        <v>1.0752890721061099</v>
      </c>
      <c r="F4669">
        <v>1.0610566858270001</v>
      </c>
      <c r="G4669">
        <v>0.99314019682434995</v>
      </c>
      <c r="H4669">
        <v>0.61218530800327298</v>
      </c>
      <c r="I4669">
        <v>0.35045819544961299</v>
      </c>
      <c r="J4669">
        <v>0.169680360223017</v>
      </c>
      <c r="K4669">
        <v>0.13495407196936299</v>
      </c>
      <c r="L4669">
        <v>2052.7982733527201</v>
      </c>
      <c r="M4669">
        <v>33.381346178010403</v>
      </c>
      <c r="N4669">
        <v>62.048794907725302</v>
      </c>
      <c r="O4669">
        <v>61.275935863694301</v>
      </c>
      <c r="P4669">
        <v>-0.118658626954806</v>
      </c>
      <c r="Q4669">
        <v>0.128748443913837</v>
      </c>
      <c r="R4669">
        <v>0.98706924942334995</v>
      </c>
      <c r="S4669" t="s">
        <v>11672</v>
      </c>
      <c r="T4669" t="s">
        <v>14004</v>
      </c>
      <c r="U4669" t="s">
        <v>14004</v>
      </c>
      <c r="V4669" t="s">
        <v>14004</v>
      </c>
      <c r="W4669" t="s">
        <v>18618</v>
      </c>
      <c r="X4669">
        <v>6</v>
      </c>
      <c r="Y4669" t="s">
        <v>25429</v>
      </c>
      <c r="Z4669" t="s">
        <v>32379</v>
      </c>
      <c r="AA4669">
        <v>0.75706904638841876</v>
      </c>
      <c r="AB4669" t="str">
        <f>HYPERLINK("Melting_Curves/meltCurve_Q8IYB1_MB21D2.pdf", "Melting_Curves/meltCurve_Q8IYB1_MB21D2.pdf")</f>
        <v>Melting_Curves/meltCurve_Q8IYB1_MB21D2.pdf</v>
      </c>
    </row>
    <row r="4670" spans="1:28" x14ac:dyDescent="0.25">
      <c r="A4670" t="s">
        <v>4674</v>
      </c>
      <c r="B4670">
        <v>0.99999676499088797</v>
      </c>
      <c r="C4670">
        <v>0.98800228024822101</v>
      </c>
      <c r="D4670">
        <v>0.97560361795881001</v>
      </c>
      <c r="E4670">
        <v>1.0035851759492</v>
      </c>
      <c r="F4670">
        <v>0.40202222144091299</v>
      </c>
      <c r="G4670">
        <v>0.21965093756993201</v>
      </c>
      <c r="H4670">
        <v>0.102304038881996</v>
      </c>
      <c r="I4670">
        <v>0.115389525449157</v>
      </c>
      <c r="J4670">
        <v>0.119686016370136</v>
      </c>
      <c r="K4670">
        <v>0.13378118104723599</v>
      </c>
      <c r="L4670">
        <v>3253.7115886116899</v>
      </c>
      <c r="M4670">
        <v>61.935800754805499</v>
      </c>
      <c r="N4670">
        <v>52.803390981439698</v>
      </c>
      <c r="O4670">
        <v>52.478932684794501</v>
      </c>
      <c r="P4670">
        <v>-0.255030803800947</v>
      </c>
      <c r="Q4670">
        <v>0.13563791641657999</v>
      </c>
      <c r="R4670">
        <v>0.99454502175411597</v>
      </c>
      <c r="S4670" t="s">
        <v>11673</v>
      </c>
      <c r="T4670" t="s">
        <v>14004</v>
      </c>
      <c r="U4670" t="s">
        <v>14004</v>
      </c>
      <c r="V4670" t="s">
        <v>14004</v>
      </c>
      <c r="W4670" t="s">
        <v>18619</v>
      </c>
      <c r="X4670">
        <v>6</v>
      </c>
      <c r="Y4670" t="s">
        <v>25430</v>
      </c>
      <c r="Z4670" t="s">
        <v>32380</v>
      </c>
      <c r="AA4670">
        <v>0.49806013948967448</v>
      </c>
      <c r="AB4670" t="str">
        <f>HYPERLINK("Melting_Curves/meltCurve_Q8IYB5_3_SMAP1.pdf", "Melting_Curves/meltCurve_Q8IYB5_3_SMAP1.pdf")</f>
        <v>Melting_Curves/meltCurve_Q8IYB5_3_SMAP1.pdf</v>
      </c>
    </row>
    <row r="4671" spans="1:28" x14ac:dyDescent="0.25">
      <c r="A4671" t="s">
        <v>4675</v>
      </c>
      <c r="B4671">
        <v>0.99999676499088797</v>
      </c>
      <c r="C4671">
        <v>0.93080778870740799</v>
      </c>
      <c r="D4671">
        <v>0.75528865923396005</v>
      </c>
      <c r="E4671">
        <v>0.75651721063573896</v>
      </c>
      <c r="F4671">
        <v>0.26075313092900199</v>
      </c>
      <c r="G4671">
        <v>0.187122258172049</v>
      </c>
      <c r="H4671">
        <v>9.4053519297365107E-2</v>
      </c>
      <c r="I4671">
        <v>0.106831633260094</v>
      </c>
      <c r="J4671">
        <v>0.11737320224955</v>
      </c>
      <c r="K4671">
        <v>8.8887992825378501E-2</v>
      </c>
      <c r="L4671">
        <v>911.12614896919797</v>
      </c>
      <c r="M4671">
        <v>18.0135702525555</v>
      </c>
      <c r="N4671">
        <v>51.048367534300098</v>
      </c>
      <c r="O4671">
        <v>49.968998940261997</v>
      </c>
      <c r="P4671">
        <v>-8.3262993345089395E-2</v>
      </c>
      <c r="Q4671">
        <v>7.61712250358417E-2</v>
      </c>
      <c r="R4671">
        <v>0.96814019622980596</v>
      </c>
      <c r="S4671" t="s">
        <v>11674</v>
      </c>
      <c r="T4671" t="s">
        <v>14004</v>
      </c>
      <c r="U4671" t="s">
        <v>14004</v>
      </c>
      <c r="V4671" t="s">
        <v>14004</v>
      </c>
      <c r="W4671" t="s">
        <v>18620</v>
      </c>
      <c r="X4671">
        <v>15</v>
      </c>
      <c r="Y4671" t="s">
        <v>25431</v>
      </c>
      <c r="Z4671" t="s">
        <v>32381</v>
      </c>
      <c r="AA4671">
        <v>0.4175951398043356</v>
      </c>
      <c r="AB4671" t="str">
        <f>HYPERLINK("Melting_Curves/meltCurve_Q8IYB7_DIS3L2.pdf", "Melting_Curves/meltCurve_Q8IYB7_DIS3L2.pdf")</f>
        <v>Melting_Curves/meltCurve_Q8IYB7_DIS3L2.pdf</v>
      </c>
    </row>
    <row r="4672" spans="1:28" x14ac:dyDescent="0.25">
      <c r="A4672" t="s">
        <v>4676</v>
      </c>
      <c r="B4672">
        <v>0.99999676499088797</v>
      </c>
      <c r="C4672">
        <v>1.01971868722706</v>
      </c>
      <c r="D4672">
        <v>0.95277114618421899</v>
      </c>
      <c r="E4672">
        <v>0.93068434241376996</v>
      </c>
      <c r="F4672">
        <v>0.48630062172863098</v>
      </c>
      <c r="G4672">
        <v>0.20763031554626399</v>
      </c>
      <c r="H4672">
        <v>7.9464310668826296E-2</v>
      </c>
      <c r="I4672">
        <v>7.4278302250993106E-2</v>
      </c>
      <c r="J4672">
        <v>7.2109885731528697E-2</v>
      </c>
      <c r="K4672">
        <v>5.0255711658720302E-2</v>
      </c>
      <c r="L4672">
        <v>1602.7040945876499</v>
      </c>
      <c r="M4672">
        <v>30.224895394490002</v>
      </c>
      <c r="N4672">
        <v>53.278698667314202</v>
      </c>
      <c r="O4672">
        <v>52.795470759434899</v>
      </c>
      <c r="P4672">
        <v>-0.13356473141886699</v>
      </c>
      <c r="Q4672">
        <v>6.6786872332728398E-2</v>
      </c>
      <c r="R4672">
        <v>0.99720534153892404</v>
      </c>
      <c r="S4672" t="s">
        <v>11675</v>
      </c>
      <c r="T4672" t="s">
        <v>14004</v>
      </c>
      <c r="U4672" t="s">
        <v>14004</v>
      </c>
      <c r="V4672" t="s">
        <v>14004</v>
      </c>
      <c r="W4672" t="s">
        <v>18621</v>
      </c>
      <c r="X4672">
        <v>25</v>
      </c>
      <c r="Y4672" t="s">
        <v>25432</v>
      </c>
      <c r="Z4672" t="s">
        <v>32382</v>
      </c>
      <c r="AA4672">
        <v>0.4779529049148542</v>
      </c>
      <c r="AB4672" t="str">
        <f>HYPERLINK("Melting_Curves/meltCurve_Q8IYB8_SUPV3L1.pdf", "Melting_Curves/meltCurve_Q8IYB8_SUPV3L1.pdf")</f>
        <v>Melting_Curves/meltCurve_Q8IYB8_SUPV3L1.pdf</v>
      </c>
    </row>
    <row r="4673" spans="1:28" x14ac:dyDescent="0.25">
      <c r="A4673" t="s">
        <v>4677</v>
      </c>
      <c r="B4673">
        <v>0.99999676499088797</v>
      </c>
      <c r="C4673">
        <v>0.93131134676720695</v>
      </c>
      <c r="D4673">
        <v>0.93391122146160799</v>
      </c>
      <c r="E4673">
        <v>0.88736334289282304</v>
      </c>
      <c r="F4673">
        <v>0.354086140151674</v>
      </c>
      <c r="G4673">
        <v>0.217054605809988</v>
      </c>
      <c r="H4673">
        <v>9.2024651800746995E-2</v>
      </c>
      <c r="I4673">
        <v>8.1489227266678996E-2</v>
      </c>
      <c r="J4673">
        <v>7.1785295777878802E-2</v>
      </c>
      <c r="K4673">
        <v>6.5176056559879195E-2</v>
      </c>
      <c r="L4673">
        <v>1678.44677291383</v>
      </c>
      <c r="M4673">
        <v>32.2274011581653</v>
      </c>
      <c r="N4673">
        <v>52.389241489356202</v>
      </c>
      <c r="O4673">
        <v>51.882057669193998</v>
      </c>
      <c r="P4673">
        <v>-0.141894904752915</v>
      </c>
      <c r="Q4673">
        <v>8.6272847092080607E-2</v>
      </c>
      <c r="R4673">
        <v>0.98952816671353505</v>
      </c>
      <c r="S4673" t="s">
        <v>11676</v>
      </c>
      <c r="T4673" t="s">
        <v>14004</v>
      </c>
      <c r="U4673" t="s">
        <v>14004</v>
      </c>
      <c r="V4673" t="s">
        <v>14004</v>
      </c>
      <c r="W4673" t="s">
        <v>18622</v>
      </c>
      <c r="X4673">
        <v>30</v>
      </c>
      <c r="Y4673" t="s">
        <v>25433</v>
      </c>
      <c r="Z4673" t="s">
        <v>32383</v>
      </c>
      <c r="AA4673">
        <v>0.45931143080310233</v>
      </c>
      <c r="AB4673" t="str">
        <f>HYPERLINK("Melting_Curves/meltCurve_Q8IYD1_GSPT2.pdf", "Melting_Curves/meltCurve_Q8IYD1_GSPT2.pdf")</f>
        <v>Melting_Curves/meltCurve_Q8IYD1_GSPT2.pdf</v>
      </c>
    </row>
    <row r="4674" spans="1:28" x14ac:dyDescent="0.25">
      <c r="A4674" t="s">
        <v>4678</v>
      </c>
      <c r="B4674">
        <v>0.99999676499088797</v>
      </c>
      <c r="C4674">
        <v>0.99515396675055401</v>
      </c>
      <c r="D4674">
        <v>0.94247039297888802</v>
      </c>
      <c r="E4674">
        <v>0.78099994923534499</v>
      </c>
      <c r="F4674">
        <v>0.71875027765995803</v>
      </c>
      <c r="G4674">
        <v>0.65286331519463503</v>
      </c>
      <c r="H4674">
        <v>0.60713091655179696</v>
      </c>
      <c r="I4674">
        <v>0.64548333739260899</v>
      </c>
      <c r="J4674">
        <v>0.69610078405774001</v>
      </c>
      <c r="K4674">
        <v>0.746624739169514</v>
      </c>
      <c r="L4674">
        <v>1373.97313105184</v>
      </c>
      <c r="M4674">
        <v>28.331768528294301</v>
      </c>
      <c r="O4674">
        <v>48.256149071962298</v>
      </c>
      <c r="P4674">
        <v>-4.8158404207249199E-2</v>
      </c>
      <c r="Q4674">
        <v>0.67189890363250704</v>
      </c>
      <c r="R4674">
        <v>0.93754671179682303</v>
      </c>
      <c r="S4674" t="s">
        <v>11677</v>
      </c>
      <c r="T4674" t="s">
        <v>14004</v>
      </c>
      <c r="U4674" t="s">
        <v>14004</v>
      </c>
      <c r="V4674" t="s">
        <v>14004</v>
      </c>
      <c r="W4674" t="s">
        <v>18623</v>
      </c>
      <c r="X4674">
        <v>2</v>
      </c>
      <c r="Y4674" t="s">
        <v>25434</v>
      </c>
      <c r="Z4674" t="s">
        <v>32384</v>
      </c>
      <c r="AA4674">
        <v>0.76705032871374967</v>
      </c>
      <c r="AB4674" t="str">
        <f>HYPERLINK("Melting_Curves/meltCurve_Q8IYH5_4_ZZZ3.pdf", "Melting_Curves/meltCurve_Q8IYH5_4_ZZZ3.pdf")</f>
        <v>Melting_Curves/meltCurve_Q8IYH5_4_ZZZ3.pdf</v>
      </c>
    </row>
    <row r="4675" spans="1:28" x14ac:dyDescent="0.25">
      <c r="A4675" t="s">
        <v>4679</v>
      </c>
      <c r="B4675">
        <v>0.99999676499088797</v>
      </c>
      <c r="C4675">
        <v>0.89804672239149297</v>
      </c>
      <c r="D4675">
        <v>0.70459175992901801</v>
      </c>
      <c r="E4675">
        <v>0.30973183061569798</v>
      </c>
      <c r="F4675">
        <v>0.14754607082024199</v>
      </c>
      <c r="G4675">
        <v>0.10466360296095201</v>
      </c>
      <c r="H4675">
        <v>5.0554749411656101E-2</v>
      </c>
      <c r="I4675">
        <v>5.75630618153063E-2</v>
      </c>
      <c r="J4675">
        <v>5.46508030112417E-2</v>
      </c>
      <c r="K4675">
        <v>3.9578541255675399E-2</v>
      </c>
      <c r="L4675">
        <v>1022.54910221299</v>
      </c>
      <c r="M4675">
        <v>21.513000461372201</v>
      </c>
      <c r="N4675">
        <v>47.778315850157497</v>
      </c>
      <c r="O4675">
        <v>47.1267149158666</v>
      </c>
      <c r="P4675">
        <v>-0.108128627494551</v>
      </c>
      <c r="Q4675">
        <v>5.2550504772118999E-2</v>
      </c>
      <c r="R4675">
        <v>0.99840856606342598</v>
      </c>
      <c r="S4675" t="s">
        <v>11678</v>
      </c>
      <c r="T4675" t="s">
        <v>14004</v>
      </c>
      <c r="U4675" t="s">
        <v>14004</v>
      </c>
      <c r="V4675" t="s">
        <v>14004</v>
      </c>
      <c r="W4675" t="s">
        <v>18624</v>
      </c>
      <c r="X4675">
        <v>19</v>
      </c>
      <c r="Y4675" t="s">
        <v>25435</v>
      </c>
      <c r="Z4675" t="s">
        <v>32385</v>
      </c>
      <c r="AA4675">
        <v>0.30204179757810479</v>
      </c>
      <c r="AB4675" t="str">
        <f>HYPERLINK("Melting_Curves/meltCurve_Q8IYI6_EXOC8.pdf", "Melting_Curves/meltCurve_Q8IYI6_EXOC8.pdf")</f>
        <v>Melting_Curves/meltCurve_Q8IYI6_EXOC8.pdf</v>
      </c>
    </row>
    <row r="4676" spans="1:28" x14ac:dyDescent="0.25">
      <c r="A4676" t="s">
        <v>4680</v>
      </c>
      <c r="B4676">
        <v>0.99999676499088797</v>
      </c>
      <c r="C4676">
        <v>0.97754804105303506</v>
      </c>
      <c r="D4676">
        <v>0.86044482157199098</v>
      </c>
      <c r="E4676">
        <v>0.55142495518907098</v>
      </c>
      <c r="F4676">
        <v>0.32186225333407198</v>
      </c>
      <c r="G4676">
        <v>0.23895111125525101</v>
      </c>
      <c r="H4676">
        <v>0.13604784643381401</v>
      </c>
      <c r="I4676">
        <v>0.15600013729763401</v>
      </c>
      <c r="J4676">
        <v>0.120956132993643</v>
      </c>
      <c r="K4676">
        <v>0.12195682799204401</v>
      </c>
      <c r="L4676">
        <v>955.741319595302</v>
      </c>
      <c r="M4676">
        <v>19.2315865390146</v>
      </c>
      <c r="N4676">
        <v>50.482173856059099</v>
      </c>
      <c r="O4676">
        <v>49.168446814159203</v>
      </c>
      <c r="P4676">
        <v>-8.5139724646485407E-2</v>
      </c>
      <c r="Q4676">
        <v>0.12934280567961101</v>
      </c>
      <c r="R4676">
        <v>0.99730603483395897</v>
      </c>
      <c r="S4676" t="s">
        <v>11679</v>
      </c>
      <c r="T4676" t="s">
        <v>14004</v>
      </c>
      <c r="U4676" t="s">
        <v>14004</v>
      </c>
      <c r="V4676" t="s">
        <v>14004</v>
      </c>
      <c r="W4676" t="s">
        <v>18625</v>
      </c>
      <c r="X4676">
        <v>9</v>
      </c>
      <c r="Y4676" t="s">
        <v>25436</v>
      </c>
      <c r="Z4676" t="s">
        <v>32386</v>
      </c>
      <c r="AA4676">
        <v>0.42386129388541688</v>
      </c>
      <c r="AB4676" t="str">
        <f>HYPERLINK("Melting_Curves/meltCurve_Q8IYJ3_SYTL1.pdf", "Melting_Curves/meltCurve_Q8IYJ3_SYTL1.pdf")</f>
        <v>Melting_Curves/meltCurve_Q8IYJ3_SYTL1.pdf</v>
      </c>
    </row>
    <row r="4677" spans="1:28" x14ac:dyDescent="0.25">
      <c r="A4677" t="s">
        <v>4681</v>
      </c>
      <c r="B4677">
        <v>0.99999676499088797</v>
      </c>
      <c r="C4677">
        <v>0.95974031483376798</v>
      </c>
      <c r="D4677">
        <v>0.94983964263193799</v>
      </c>
      <c r="E4677">
        <v>0.79187145988568897</v>
      </c>
      <c r="F4677">
        <v>0.64390964448328203</v>
      </c>
      <c r="G4677">
        <v>0.63150407205841996</v>
      </c>
      <c r="H4677">
        <v>0.39130825723936202</v>
      </c>
      <c r="I4677">
        <v>0.56719737991060604</v>
      </c>
      <c r="J4677">
        <v>0.64826470601251296</v>
      </c>
      <c r="K4677">
        <v>0.57655969370105598</v>
      </c>
      <c r="L4677">
        <v>1138.30786028432</v>
      </c>
      <c r="M4677">
        <v>22.803581594445401</v>
      </c>
      <c r="O4677">
        <v>49.538811430223703</v>
      </c>
      <c r="P4677">
        <v>-5.1192635913833003E-2</v>
      </c>
      <c r="Q4677">
        <v>0.55516229524349403</v>
      </c>
      <c r="R4677">
        <v>0.88560514519542699</v>
      </c>
      <c r="S4677" t="s">
        <v>11680</v>
      </c>
      <c r="T4677" t="s">
        <v>14004</v>
      </c>
      <c r="U4677" t="s">
        <v>14004</v>
      </c>
      <c r="V4677" t="s">
        <v>14004</v>
      </c>
      <c r="W4677" t="s">
        <v>18626</v>
      </c>
      <c r="X4677">
        <v>4</v>
      </c>
      <c r="Y4677" t="s">
        <v>25437</v>
      </c>
      <c r="Z4677" t="s">
        <v>32387</v>
      </c>
      <c r="AA4677">
        <v>0.70700263666250107</v>
      </c>
      <c r="AB4677" t="str">
        <f>HYPERLINK("Melting_Curves/meltCurve_Q8IYL3_C1orf174.pdf", "Melting_Curves/meltCurve_Q8IYL3_C1orf174.pdf")</f>
        <v>Melting_Curves/meltCurve_Q8IYL3_C1orf174.pdf</v>
      </c>
    </row>
    <row r="4678" spans="1:28" x14ac:dyDescent="0.25">
      <c r="A4678" t="s">
        <v>4682</v>
      </c>
      <c r="B4678">
        <v>0.99999676499088797</v>
      </c>
      <c r="C4678">
        <v>1.1272927491307601</v>
      </c>
      <c r="D4678">
        <v>0.88304494472859196</v>
      </c>
      <c r="E4678">
        <v>0.82143395405504005</v>
      </c>
      <c r="F4678">
        <v>0.53711450170307296</v>
      </c>
      <c r="G4678">
        <v>0.46270817513408002</v>
      </c>
      <c r="H4678">
        <v>0.25344097272454302</v>
      </c>
      <c r="I4678">
        <v>0.287985256771986</v>
      </c>
      <c r="J4678">
        <v>0.21971842830413499</v>
      </c>
      <c r="K4678">
        <v>0.24583393692164901</v>
      </c>
      <c r="L4678">
        <v>896.76025355300305</v>
      </c>
      <c r="M4678">
        <v>17.021177979024301</v>
      </c>
      <c r="N4678">
        <v>54.601827910740298</v>
      </c>
      <c r="O4678">
        <v>51.973876657140401</v>
      </c>
      <c r="P4678">
        <v>-6.34625442803982E-2</v>
      </c>
      <c r="Q4678">
        <v>0.22492033797285901</v>
      </c>
      <c r="R4678">
        <v>0.96902577844962801</v>
      </c>
      <c r="S4678" t="s">
        <v>11681</v>
      </c>
      <c r="T4678" t="s">
        <v>14004</v>
      </c>
      <c r="U4678" t="s">
        <v>14004</v>
      </c>
      <c r="V4678" t="s">
        <v>14004</v>
      </c>
      <c r="W4678" t="s">
        <v>18627</v>
      </c>
      <c r="X4678">
        <v>2</v>
      </c>
      <c r="Y4678" t="s">
        <v>25438</v>
      </c>
      <c r="Z4678" t="s">
        <v>32388</v>
      </c>
      <c r="AA4678">
        <v>0.56661199408418161</v>
      </c>
      <c r="AB4678" t="str">
        <f>HYPERLINK("Melting_Curves/meltCurve_Q8IYN2_TCEAL8.pdf", "Melting_Curves/meltCurve_Q8IYN2_TCEAL8.pdf")</f>
        <v>Melting_Curves/meltCurve_Q8IYN2_TCEAL8.pdf</v>
      </c>
    </row>
    <row r="4679" spans="1:28" x14ac:dyDescent="0.25">
      <c r="A4679" t="s">
        <v>4683</v>
      </c>
      <c r="B4679">
        <v>0.99999676499088797</v>
      </c>
      <c r="C4679">
        <v>1.0393892220086101</v>
      </c>
      <c r="D4679">
        <v>1.00399566359091</v>
      </c>
      <c r="E4679">
        <v>1.06001288429621</v>
      </c>
      <c r="F4679">
        <v>0.60969718933641703</v>
      </c>
      <c r="G4679">
        <v>0.32849279775026502</v>
      </c>
      <c r="H4679">
        <v>0.14215486874819699</v>
      </c>
      <c r="I4679">
        <v>0.14895882941651101</v>
      </c>
      <c r="J4679">
        <v>0.142645358918981</v>
      </c>
      <c r="K4679">
        <v>0.12553779215202501</v>
      </c>
      <c r="L4679">
        <v>1785.83671359245</v>
      </c>
      <c r="M4679">
        <v>33.142871964543502</v>
      </c>
      <c r="N4679">
        <v>54.429324212258997</v>
      </c>
      <c r="O4679">
        <v>53.687951602963203</v>
      </c>
      <c r="P4679">
        <v>-0.13249390484100701</v>
      </c>
      <c r="Q4679">
        <v>0.141499295995759</v>
      </c>
      <c r="R4679">
        <v>0.98827215241231903</v>
      </c>
      <c r="S4679" t="s">
        <v>11682</v>
      </c>
      <c r="T4679" t="s">
        <v>14004</v>
      </c>
      <c r="U4679" t="s">
        <v>14004</v>
      </c>
      <c r="V4679" t="s">
        <v>14004</v>
      </c>
      <c r="W4679" t="s">
        <v>18628</v>
      </c>
      <c r="X4679">
        <v>16</v>
      </c>
      <c r="Y4679" t="s">
        <v>25439</v>
      </c>
      <c r="Z4679" t="s">
        <v>32389</v>
      </c>
      <c r="AA4679">
        <v>0.54342098897089441</v>
      </c>
      <c r="AB4679" t="str">
        <f>HYPERLINK("Melting_Curves/meltCurve_Q8IYQ7_THNSL1.pdf", "Melting_Curves/meltCurve_Q8IYQ7_THNSL1.pdf")</f>
        <v>Melting_Curves/meltCurve_Q8IYQ7_THNSL1.pdf</v>
      </c>
    </row>
    <row r="4680" spans="1:28" x14ac:dyDescent="0.25">
      <c r="A4680" t="s">
        <v>4684</v>
      </c>
      <c r="B4680">
        <v>0.99999676499088797</v>
      </c>
      <c r="C4680">
        <v>1.00217511249442</v>
      </c>
      <c r="D4680">
        <v>0.80754632258159997</v>
      </c>
      <c r="E4680">
        <v>0.67073996469625397</v>
      </c>
      <c r="F4680">
        <v>0.42304102325429199</v>
      </c>
      <c r="G4680">
        <v>0.241853769016248</v>
      </c>
      <c r="H4680">
        <v>0.10527326570163301</v>
      </c>
      <c r="I4680">
        <v>0.109652074645248</v>
      </c>
      <c r="J4680">
        <v>8.7806456369549493E-2</v>
      </c>
      <c r="K4680">
        <v>7.9425465705631096E-2</v>
      </c>
      <c r="L4680">
        <v>766.7452723225</v>
      </c>
      <c r="M4680">
        <v>14.902270388902799</v>
      </c>
      <c r="N4680">
        <v>51.840112741647303</v>
      </c>
      <c r="O4680">
        <v>50.551735428005799</v>
      </c>
      <c r="P4680">
        <v>-6.9811148590033595E-2</v>
      </c>
      <c r="Q4680">
        <v>5.28399051055942E-2</v>
      </c>
      <c r="R4680">
        <v>0.99459880910644505</v>
      </c>
      <c r="S4680" t="s">
        <v>11683</v>
      </c>
      <c r="T4680" t="s">
        <v>14004</v>
      </c>
      <c r="U4680" t="s">
        <v>14004</v>
      </c>
      <c r="V4680" t="s">
        <v>14004</v>
      </c>
      <c r="W4680" t="s">
        <v>18629</v>
      </c>
      <c r="X4680">
        <v>18</v>
      </c>
      <c r="Y4680" t="s">
        <v>25440</v>
      </c>
      <c r="Z4680" t="s">
        <v>32390</v>
      </c>
      <c r="AA4680">
        <v>0.4361847961958123</v>
      </c>
      <c r="AB4680" t="str">
        <f>HYPERLINK("Melting_Curves/meltCurve_Q8IYS1_PM20D2.pdf", "Melting_Curves/meltCurve_Q8IYS1_PM20D2.pdf")</f>
        <v>Melting_Curves/meltCurve_Q8IYS1_PM20D2.pdf</v>
      </c>
    </row>
    <row r="4681" spans="1:28" x14ac:dyDescent="0.25">
      <c r="A4681" t="s">
        <v>4685</v>
      </c>
      <c r="B4681">
        <v>0.99999676499088797</v>
      </c>
      <c r="C4681">
        <v>0.98845786600258001</v>
      </c>
      <c r="D4681">
        <v>0.98907665996245397</v>
      </c>
      <c r="E4681">
        <v>0.99229948571392401</v>
      </c>
      <c r="F4681">
        <v>0.85009163000602195</v>
      </c>
      <c r="G4681">
        <v>0.79774123817102705</v>
      </c>
      <c r="H4681">
        <v>0.62116064677023197</v>
      </c>
      <c r="I4681">
        <v>0.58125440148741903</v>
      </c>
      <c r="J4681">
        <v>0.33100611052211398</v>
      </c>
      <c r="K4681">
        <v>0.18440092999400101</v>
      </c>
      <c r="L4681">
        <v>767.49886129974402</v>
      </c>
      <c r="M4681">
        <v>12.0687003362216</v>
      </c>
      <c r="N4681">
        <v>63.594160102736197</v>
      </c>
      <c r="O4681">
        <v>61.923646872110503</v>
      </c>
      <c r="P4681">
        <v>-4.8735600049366098E-2</v>
      </c>
      <c r="Q4681">
        <v>0</v>
      </c>
      <c r="R4681">
        <v>0.97513010860732197</v>
      </c>
      <c r="S4681" t="s">
        <v>11684</v>
      </c>
      <c r="T4681" t="s">
        <v>14004</v>
      </c>
      <c r="U4681" t="s">
        <v>14004</v>
      </c>
      <c r="V4681" t="s">
        <v>14004</v>
      </c>
      <c r="W4681" t="s">
        <v>18630</v>
      </c>
      <c r="X4681">
        <v>8</v>
      </c>
      <c r="Y4681" t="s">
        <v>25441</v>
      </c>
      <c r="Z4681" t="s">
        <v>32391</v>
      </c>
      <c r="AA4681">
        <v>0.76161974180777947</v>
      </c>
      <c r="AB4681" t="str">
        <f>HYPERLINK("Melting_Curves/meltCurve_Q8IYS2_KIAA2013.pdf", "Melting_Curves/meltCurve_Q8IYS2_KIAA2013.pdf")</f>
        <v>Melting_Curves/meltCurve_Q8IYS2_KIAA2013.pdf</v>
      </c>
    </row>
    <row r="4682" spans="1:28" x14ac:dyDescent="0.25">
      <c r="A4682" t="s">
        <v>4686</v>
      </c>
      <c r="B4682">
        <v>0.99999676499088797</v>
      </c>
      <c r="C4682">
        <v>1.0805509646684801</v>
      </c>
      <c r="D4682">
        <v>0.71107012414142301</v>
      </c>
      <c r="E4682">
        <v>0.23983762054806901</v>
      </c>
      <c r="F4682">
        <v>0.24479598153547499</v>
      </c>
      <c r="G4682">
        <v>0.115614627420774</v>
      </c>
      <c r="H4682">
        <v>8.8026579037653596E-2</v>
      </c>
      <c r="I4682">
        <v>7.4592266769249196E-2</v>
      </c>
      <c r="J4682">
        <v>7.09378444793963E-2</v>
      </c>
      <c r="K4682">
        <v>6.9387119933015495E-2</v>
      </c>
      <c r="L4682">
        <v>1594.9838599598299</v>
      </c>
      <c r="M4682">
        <v>33.809108129379503</v>
      </c>
      <c r="N4682">
        <v>47.505914261816599</v>
      </c>
      <c r="O4682">
        <v>47.012020568531298</v>
      </c>
      <c r="P4682">
        <v>-0.160986508970552</v>
      </c>
      <c r="Q4682">
        <v>0.104587849128552</v>
      </c>
      <c r="R4682">
        <v>0.97871467892484298</v>
      </c>
      <c r="S4682" t="s">
        <v>11685</v>
      </c>
      <c r="T4682" t="s">
        <v>14004</v>
      </c>
      <c r="U4682" t="s">
        <v>14004</v>
      </c>
      <c r="V4682" t="s">
        <v>14004</v>
      </c>
      <c r="W4682" t="s">
        <v>18631</v>
      </c>
      <c r="X4682">
        <v>2</v>
      </c>
      <c r="Y4682" t="s">
        <v>25442</v>
      </c>
      <c r="Z4682" t="s">
        <v>32392</v>
      </c>
      <c r="AA4682">
        <v>0.32294273185465561</v>
      </c>
      <c r="AB4682" t="str">
        <f>HYPERLINK("Melting_Curves/meltCurve_Q8IYT2_FTSJD1.pdf", "Melting_Curves/meltCurve_Q8IYT2_FTSJD1.pdf")</f>
        <v>Melting_Curves/meltCurve_Q8IYT2_FTSJD1.pdf</v>
      </c>
    </row>
    <row r="4683" spans="1:28" x14ac:dyDescent="0.25">
      <c r="A4683" t="s">
        <v>4687</v>
      </c>
      <c r="B4683">
        <v>0.99999676499088797</v>
      </c>
      <c r="C4683">
        <v>0.92157866406641298</v>
      </c>
      <c r="D4683">
        <v>0.929331436204478</v>
      </c>
      <c r="E4683">
        <v>0.57771777999345497</v>
      </c>
      <c r="F4683">
        <v>0.167311773771256</v>
      </c>
      <c r="G4683">
        <v>0.10848602945996</v>
      </c>
      <c r="H4683">
        <v>4.9027355923857797E-2</v>
      </c>
      <c r="I4683">
        <v>4.7848530372393797E-2</v>
      </c>
      <c r="J4683">
        <v>3.1691347626905599E-2</v>
      </c>
      <c r="K4683">
        <v>2.9314952580474701E-2</v>
      </c>
      <c r="L4683">
        <v>1396.46890021884</v>
      </c>
      <c r="M4683">
        <v>27.9476184862467</v>
      </c>
      <c r="N4683">
        <v>50.122934945423999</v>
      </c>
      <c r="O4683">
        <v>49.713642022577403</v>
      </c>
      <c r="P4683">
        <v>-0.13470558096863999</v>
      </c>
      <c r="Q4683">
        <v>4.1543151752029099E-2</v>
      </c>
      <c r="R4683">
        <v>0.99570060010463202</v>
      </c>
      <c r="S4683" t="s">
        <v>11686</v>
      </c>
      <c r="T4683" t="s">
        <v>14004</v>
      </c>
      <c r="U4683" t="s">
        <v>14004</v>
      </c>
      <c r="V4683" t="s">
        <v>14004</v>
      </c>
      <c r="W4683" t="s">
        <v>18632</v>
      </c>
      <c r="X4683">
        <v>7</v>
      </c>
      <c r="Y4683" t="s">
        <v>25443</v>
      </c>
      <c r="Z4683" t="s">
        <v>32393</v>
      </c>
      <c r="AA4683">
        <v>0.36682484158081302</v>
      </c>
      <c r="AB4683" t="str">
        <f>HYPERLINK("Melting_Curves/meltCurve_Q8IYU8_MICU2.pdf", "Melting_Curves/meltCurve_Q8IYU8_MICU2.pdf")</f>
        <v>Melting_Curves/meltCurve_Q8IYU8_MICU2.pdf</v>
      </c>
    </row>
    <row r="4684" spans="1:28" x14ac:dyDescent="0.25">
      <c r="A4684" t="s">
        <v>4688</v>
      </c>
      <c r="B4684">
        <v>0.99999676499088797</v>
      </c>
      <c r="C4684">
        <v>0.94406154171964396</v>
      </c>
      <c r="D4684">
        <v>0.83364779653738896</v>
      </c>
      <c r="E4684">
        <v>0.57971169270275202</v>
      </c>
      <c r="F4684">
        <v>0.35887616960657798</v>
      </c>
      <c r="G4684">
        <v>0.20007912977835199</v>
      </c>
      <c r="H4684">
        <v>0.10311835305789301</v>
      </c>
      <c r="I4684">
        <v>0.112824617786508</v>
      </c>
      <c r="J4684">
        <v>0.123770824066312</v>
      </c>
      <c r="K4684">
        <v>0.123969838823349</v>
      </c>
      <c r="L4684">
        <v>852.02904712428597</v>
      </c>
      <c r="M4684">
        <v>17.016286368673899</v>
      </c>
      <c r="N4684">
        <v>50.717105583316297</v>
      </c>
      <c r="O4684">
        <v>49.395194655590302</v>
      </c>
      <c r="P4684">
        <v>-7.7740169766824296E-2</v>
      </c>
      <c r="Q4684">
        <v>9.7393035972750605E-2</v>
      </c>
      <c r="R4684">
        <v>0.99788723752692499</v>
      </c>
      <c r="S4684" t="s">
        <v>11687</v>
      </c>
      <c r="T4684" t="s">
        <v>14004</v>
      </c>
      <c r="U4684" t="s">
        <v>14004</v>
      </c>
      <c r="V4684" t="s">
        <v>14004</v>
      </c>
      <c r="W4684" t="s">
        <v>18633</v>
      </c>
      <c r="X4684">
        <v>11</v>
      </c>
      <c r="Y4684" t="s">
        <v>25444</v>
      </c>
      <c r="Z4684" t="s">
        <v>32394</v>
      </c>
      <c r="AA4684">
        <v>0.41749724362523138</v>
      </c>
      <c r="AB4684" t="str">
        <f>HYPERLINK("Melting_Curves/meltCurve_Q8IYW5_RNF168.pdf", "Melting_Curves/meltCurve_Q8IYW5_RNF168.pdf")</f>
        <v>Melting_Curves/meltCurve_Q8IYW5_RNF168.pdf</v>
      </c>
    </row>
    <row r="4685" spans="1:28" x14ac:dyDescent="0.25">
      <c r="A4685" t="s">
        <v>4689</v>
      </c>
      <c r="B4685">
        <v>0.99999676499088797</v>
      </c>
      <c r="C4685">
        <v>0.96469625949743398</v>
      </c>
      <c r="D4685">
        <v>0.87921567592276995</v>
      </c>
      <c r="E4685">
        <v>0.62815617882950403</v>
      </c>
      <c r="F4685">
        <v>0.31534709804299299</v>
      </c>
      <c r="G4685">
        <v>0.25771957178711602</v>
      </c>
      <c r="H4685">
        <v>0.12964056966637</v>
      </c>
      <c r="I4685">
        <v>0.12832271905802101</v>
      </c>
      <c r="J4685">
        <v>0.10148959995680799</v>
      </c>
      <c r="K4685">
        <v>0.130694933322867</v>
      </c>
      <c r="L4685">
        <v>961.31673004617505</v>
      </c>
      <c r="M4685">
        <v>19.095024005218001</v>
      </c>
      <c r="N4685">
        <v>51.040687922385402</v>
      </c>
      <c r="O4685">
        <v>49.801436241497903</v>
      </c>
      <c r="P4685">
        <v>-8.4860205560540899E-2</v>
      </c>
      <c r="Q4685">
        <v>0.114744251878501</v>
      </c>
      <c r="R4685">
        <v>0.99618856152780899</v>
      </c>
      <c r="S4685" t="s">
        <v>11688</v>
      </c>
      <c r="T4685" t="s">
        <v>14004</v>
      </c>
      <c r="U4685" t="s">
        <v>14004</v>
      </c>
      <c r="V4685" t="s">
        <v>14004</v>
      </c>
      <c r="W4685" t="s">
        <v>18634</v>
      </c>
      <c r="X4685">
        <v>8</v>
      </c>
      <c r="Y4685" t="s">
        <v>25445</v>
      </c>
      <c r="Z4685" t="s">
        <v>32395</v>
      </c>
      <c r="AA4685">
        <v>0.43342476913368838</v>
      </c>
      <c r="AB4685" t="str">
        <f>HYPERLINK("Melting_Curves/meltCurve_Q8IZ07_ANKRD13A.pdf", "Melting_Curves/meltCurve_Q8IZ07_ANKRD13A.pdf")</f>
        <v>Melting_Curves/meltCurve_Q8IZ07_ANKRD13A.pdf</v>
      </c>
    </row>
    <row r="4686" spans="1:28" x14ac:dyDescent="0.25">
      <c r="A4686" t="s">
        <v>4690</v>
      </c>
      <c r="B4686">
        <v>0.99999676499088797</v>
      </c>
      <c r="C4686">
        <v>1.0307475307181799</v>
      </c>
      <c r="D4686">
        <v>1.00594100766136</v>
      </c>
      <c r="E4686">
        <v>0.93111709581678803</v>
      </c>
      <c r="F4686">
        <v>0.92941960455074801</v>
      </c>
      <c r="G4686">
        <v>0.69482637623605104</v>
      </c>
      <c r="H4686">
        <v>0.47388105598692498</v>
      </c>
      <c r="I4686">
        <v>0.48397158431238002</v>
      </c>
      <c r="J4686">
        <v>0.40412180863438102</v>
      </c>
      <c r="K4686">
        <v>0.50463364035329805</v>
      </c>
      <c r="L4686">
        <v>1843.4847526205299</v>
      </c>
      <c r="M4686">
        <v>32.758756703781401</v>
      </c>
      <c r="N4686">
        <v>60.685564852185102</v>
      </c>
      <c r="O4686">
        <v>56.066100480924902</v>
      </c>
      <c r="P4686">
        <v>-7.97884260851284E-2</v>
      </c>
      <c r="Q4686">
        <v>0.45377592673613099</v>
      </c>
      <c r="R4686">
        <v>0.98145409784973003</v>
      </c>
      <c r="S4686" t="s">
        <v>11689</v>
      </c>
      <c r="T4686" t="s">
        <v>14004</v>
      </c>
      <c r="U4686" t="s">
        <v>14004</v>
      </c>
      <c r="V4686" t="s">
        <v>14004</v>
      </c>
      <c r="W4686" t="s">
        <v>18635</v>
      </c>
      <c r="X4686">
        <v>16</v>
      </c>
      <c r="Y4686" t="s">
        <v>25446</v>
      </c>
      <c r="Z4686" t="s">
        <v>32396</v>
      </c>
      <c r="AA4686">
        <v>0.75319211704392164</v>
      </c>
      <c r="AB4686" t="str">
        <f>HYPERLINK("Melting_Curves/meltCurve_Q8IZ21_3_PHACTR4.pdf", "Melting_Curves/meltCurve_Q8IZ21_3_PHACTR4.pdf")</f>
        <v>Melting_Curves/meltCurve_Q8IZ21_3_PHACTR4.pdf</v>
      </c>
    </row>
    <row r="4687" spans="1:28" x14ac:dyDescent="0.25">
      <c r="A4687" t="s">
        <v>4691</v>
      </c>
      <c r="B4687">
        <v>0.99999676499088797</v>
      </c>
      <c r="C4687">
        <v>0.94450105032284504</v>
      </c>
      <c r="D4687">
        <v>0.60025631582140604</v>
      </c>
      <c r="E4687">
        <v>0.38715929134604798</v>
      </c>
      <c r="F4687">
        <v>0.31917497076502899</v>
      </c>
      <c r="G4687">
        <v>0.17158794276734399</v>
      </c>
      <c r="H4687">
        <v>0.13515406070227401</v>
      </c>
      <c r="I4687">
        <v>0.134546558757138</v>
      </c>
      <c r="J4687">
        <v>8.7835168851861004E-2</v>
      </c>
      <c r="K4687">
        <v>7.1353042796095598E-2</v>
      </c>
      <c r="L4687">
        <v>760.14160964012297</v>
      </c>
      <c r="M4687">
        <v>15.975613209868801</v>
      </c>
      <c r="N4687">
        <v>48.282745529817298</v>
      </c>
      <c r="O4687">
        <v>46.8545680484144</v>
      </c>
      <c r="P4687">
        <v>-7.6419512091049094E-2</v>
      </c>
      <c r="Q4687">
        <v>0.103553747318727</v>
      </c>
      <c r="R4687">
        <v>0.98041595876989995</v>
      </c>
      <c r="S4687" t="s">
        <v>11690</v>
      </c>
      <c r="T4687" t="s">
        <v>14004</v>
      </c>
      <c r="U4687" t="s">
        <v>14004</v>
      </c>
      <c r="V4687" t="s">
        <v>14004</v>
      </c>
      <c r="W4687" t="s">
        <v>18636</v>
      </c>
      <c r="X4687">
        <v>1</v>
      </c>
      <c r="Y4687" t="s">
        <v>25447</v>
      </c>
      <c r="Z4687" t="s">
        <v>32397</v>
      </c>
      <c r="AA4687">
        <v>0.35081256097344532</v>
      </c>
      <c r="AB4687" t="str">
        <f>HYPERLINK("Melting_Curves/meltCurve_Q8IZ40_RCOR2.pdf", "Melting_Curves/meltCurve_Q8IZ40_RCOR2.pdf")</f>
        <v>Melting_Curves/meltCurve_Q8IZ40_RCOR2.pdf</v>
      </c>
    </row>
    <row r="4688" spans="1:28" x14ac:dyDescent="0.25">
      <c r="A4688" t="s">
        <v>4692</v>
      </c>
      <c r="B4688">
        <v>0.99999676499088797</v>
      </c>
      <c r="C4688">
        <v>0.89164326183066001</v>
      </c>
      <c r="D4688">
        <v>0.92654280049511495</v>
      </c>
      <c r="E4688">
        <v>0.99857687945316198</v>
      </c>
      <c r="F4688">
        <v>0.80739599936647899</v>
      </c>
      <c r="G4688">
        <v>0.42808444156356301</v>
      </c>
      <c r="H4688">
        <v>0.121393298932805</v>
      </c>
      <c r="I4688">
        <v>8.59637155803058E-2</v>
      </c>
      <c r="J4688">
        <v>7.8035330776890899E-2</v>
      </c>
      <c r="K4688">
        <v>7.8591099913978196E-2</v>
      </c>
      <c r="L4688">
        <v>1641.9421254062099</v>
      </c>
      <c r="M4688">
        <v>29.428806466232199</v>
      </c>
      <c r="N4688">
        <v>56.065991149393497</v>
      </c>
      <c r="O4688">
        <v>55.5379750862488</v>
      </c>
      <c r="P4688">
        <v>-0.123651225733071</v>
      </c>
      <c r="Q4688">
        <v>6.6589274570493601E-2</v>
      </c>
      <c r="R4688">
        <v>0.98849838301652004</v>
      </c>
      <c r="S4688" t="s">
        <v>11691</v>
      </c>
      <c r="T4688" t="s">
        <v>14004</v>
      </c>
      <c r="U4688" t="s">
        <v>14004</v>
      </c>
      <c r="V4688" t="s">
        <v>14004</v>
      </c>
      <c r="W4688" t="s">
        <v>18637</v>
      </c>
      <c r="X4688">
        <v>10</v>
      </c>
      <c r="Y4688" t="s">
        <v>25448</v>
      </c>
      <c r="Z4688" t="s">
        <v>32398</v>
      </c>
      <c r="AA4688">
        <v>0.56443398433908032</v>
      </c>
      <c r="AB4688" t="str">
        <f>HYPERLINK("Melting_Curves/meltCurve_Q8IZ68_MTX2.pdf", "Melting_Curves/meltCurve_Q8IZ68_MTX2.pdf")</f>
        <v>Melting_Curves/meltCurve_Q8IZ68_MTX2.pdf</v>
      </c>
    </row>
    <row r="4689" spans="1:28" x14ac:dyDescent="0.25">
      <c r="A4689" t="s">
        <v>4693</v>
      </c>
      <c r="B4689">
        <v>0.99999676499088797</v>
      </c>
      <c r="C4689">
        <v>0.97200681060052696</v>
      </c>
      <c r="D4689">
        <v>0.99376585139582596</v>
      </c>
      <c r="E4689">
        <v>1.10489138439048</v>
      </c>
      <c r="F4689">
        <v>0.86399374292261799</v>
      </c>
      <c r="G4689">
        <v>0.38113784696152597</v>
      </c>
      <c r="H4689">
        <v>0.121297481989645</v>
      </c>
      <c r="I4689">
        <v>0.10142744876514501</v>
      </c>
      <c r="J4689">
        <v>8.4421741051525098E-2</v>
      </c>
      <c r="K4689">
        <v>6.4846528515885807E-2</v>
      </c>
      <c r="L4689">
        <v>2189.5435813560898</v>
      </c>
      <c r="M4689">
        <v>39.288410218191203</v>
      </c>
      <c r="N4689">
        <v>55.988391991245997</v>
      </c>
      <c r="O4689">
        <v>55.586218039411001</v>
      </c>
      <c r="P4689">
        <v>-0.16205063407498399</v>
      </c>
      <c r="Q4689">
        <v>8.2909047674015093E-2</v>
      </c>
      <c r="R4689">
        <v>0.99237986248821097</v>
      </c>
      <c r="S4689" t="s">
        <v>11692</v>
      </c>
      <c r="T4689" t="s">
        <v>14004</v>
      </c>
      <c r="U4689" t="s">
        <v>14004</v>
      </c>
      <c r="V4689" t="s">
        <v>14004</v>
      </c>
      <c r="W4689" t="s">
        <v>18638</v>
      </c>
      <c r="X4689">
        <v>8</v>
      </c>
      <c r="Y4689" t="s">
        <v>25449</v>
      </c>
      <c r="Z4689" t="s">
        <v>32399</v>
      </c>
      <c r="AA4689">
        <v>0.5674106479365939</v>
      </c>
      <c r="AB4689" t="str">
        <f>HYPERLINK("Melting_Curves/meltCurve_Q8IZ73_RPUSD2.pdf", "Melting_Curves/meltCurve_Q8IZ73_RPUSD2.pdf")</f>
        <v>Melting_Curves/meltCurve_Q8IZ73_RPUSD2.pdf</v>
      </c>
    </row>
    <row r="4690" spans="1:28" x14ac:dyDescent="0.25">
      <c r="A4690" t="s">
        <v>4694</v>
      </c>
      <c r="B4690">
        <v>0.99999676499088797</v>
      </c>
      <c r="C4690">
        <v>1.0401319132615401</v>
      </c>
      <c r="D4690">
        <v>1.09456152194861</v>
      </c>
      <c r="E4690">
        <v>1.2646710005019199</v>
      </c>
      <c r="F4690">
        <v>0.55632206874508405</v>
      </c>
      <c r="G4690">
        <v>0.269443838792364</v>
      </c>
      <c r="H4690">
        <v>0.116806240286924</v>
      </c>
      <c r="I4690">
        <v>0.11245970043353599</v>
      </c>
      <c r="J4690">
        <v>0.106174209629653</v>
      </c>
      <c r="K4690">
        <v>8.2881396507540797E-2</v>
      </c>
      <c r="L4690">
        <v>5455.2975464675101</v>
      </c>
      <c r="M4690">
        <v>102.593522619295</v>
      </c>
      <c r="N4690">
        <v>53.340605921486002</v>
      </c>
      <c r="O4690">
        <v>53.153703636822399</v>
      </c>
      <c r="P4690">
        <v>-0.41634935207334001</v>
      </c>
      <c r="Q4690">
        <v>0.13715765524802501</v>
      </c>
      <c r="R4690">
        <v>0.95144192240700698</v>
      </c>
      <c r="S4690" t="s">
        <v>11693</v>
      </c>
      <c r="T4690" t="s">
        <v>14004</v>
      </c>
      <c r="U4690" t="s">
        <v>14004</v>
      </c>
      <c r="V4690" t="s">
        <v>14004</v>
      </c>
      <c r="W4690" t="s">
        <v>18639</v>
      </c>
      <c r="X4690">
        <v>9</v>
      </c>
      <c r="Y4690" t="s">
        <v>25450</v>
      </c>
      <c r="Z4690" t="s">
        <v>32400</v>
      </c>
      <c r="AA4690">
        <v>0.51653621834188046</v>
      </c>
      <c r="AB4690" t="str">
        <f>HYPERLINK("Melting_Curves/meltCurve_Q8IZ81_ELMOD2.pdf", "Melting_Curves/meltCurve_Q8IZ81_ELMOD2.pdf")</f>
        <v>Melting_Curves/meltCurve_Q8IZ81_ELMOD2.pdf</v>
      </c>
    </row>
    <row r="4691" spans="1:28" x14ac:dyDescent="0.25">
      <c r="A4691" t="s">
        <v>4695</v>
      </c>
      <c r="B4691">
        <v>0.99999676499088797</v>
      </c>
      <c r="C4691">
        <v>1.0299057628027299</v>
      </c>
      <c r="D4691">
        <v>1.0296796209750101</v>
      </c>
      <c r="E4691">
        <v>0.97848301108715796</v>
      </c>
      <c r="F4691">
        <v>0.95258789699763402</v>
      </c>
      <c r="G4691">
        <v>0.87786969650334101</v>
      </c>
      <c r="H4691">
        <v>0.56571612163912399</v>
      </c>
      <c r="I4691">
        <v>0.38874996625355901</v>
      </c>
      <c r="J4691">
        <v>0.217445714471771</v>
      </c>
      <c r="K4691">
        <v>0.18948563923994899</v>
      </c>
      <c r="L4691">
        <v>1338.9169749402199</v>
      </c>
      <c r="M4691">
        <v>21.9317251978629</v>
      </c>
      <c r="N4691">
        <v>61.918800678002398</v>
      </c>
      <c r="O4691">
        <v>60.548562984260599</v>
      </c>
      <c r="P4691">
        <v>-7.85547673796817E-2</v>
      </c>
      <c r="Q4691">
        <v>0.132531391485328</v>
      </c>
      <c r="R4691">
        <v>0.99618356551690301</v>
      </c>
      <c r="S4691" t="s">
        <v>11694</v>
      </c>
      <c r="T4691" t="s">
        <v>14004</v>
      </c>
      <c r="U4691" t="s">
        <v>14004</v>
      </c>
      <c r="V4691" t="s">
        <v>14004</v>
      </c>
      <c r="W4691" t="s">
        <v>18640</v>
      </c>
      <c r="X4691">
        <v>16</v>
      </c>
      <c r="Y4691" t="s">
        <v>25451</v>
      </c>
      <c r="Z4691" t="s">
        <v>32401</v>
      </c>
      <c r="AA4691">
        <v>0.74661681533324331</v>
      </c>
      <c r="AB4691" t="str">
        <f>HYPERLINK("Melting_Curves/meltCurve_Q8IZ83_ALDH16A1.pdf", "Melting_Curves/meltCurve_Q8IZ83_ALDH16A1.pdf")</f>
        <v>Melting_Curves/meltCurve_Q8IZ83_ALDH16A1.pdf</v>
      </c>
    </row>
    <row r="4692" spans="1:28" x14ac:dyDescent="0.25">
      <c r="A4692" t="s">
        <v>4696</v>
      </c>
      <c r="B4692">
        <v>0.99999676499088797</v>
      </c>
      <c r="C4692">
        <v>1.33231412606774</v>
      </c>
      <c r="D4692">
        <v>0.97286666325193105</v>
      </c>
      <c r="E4692">
        <v>0.53443049378711205</v>
      </c>
      <c r="F4692">
        <v>0.34532238637177898</v>
      </c>
      <c r="G4692">
        <v>0.27577018088122501</v>
      </c>
      <c r="H4692">
        <v>0.13962449898511201</v>
      </c>
      <c r="I4692">
        <v>0.13262853101816</v>
      </c>
      <c r="J4692">
        <v>0.17026588008656501</v>
      </c>
      <c r="K4692">
        <v>9.7092732984751198E-2</v>
      </c>
      <c r="L4692">
        <v>1428.2253144194499</v>
      </c>
      <c r="M4692">
        <v>28.691780818784999</v>
      </c>
      <c r="N4692">
        <v>50.473611335488997</v>
      </c>
      <c r="O4692">
        <v>49.538273317671504</v>
      </c>
      <c r="P4692">
        <v>-0.121157179186846</v>
      </c>
      <c r="Q4692">
        <v>0.16326270569169801</v>
      </c>
      <c r="R4692">
        <v>0.92032501736417305</v>
      </c>
      <c r="S4692" t="s">
        <v>11695</v>
      </c>
      <c r="T4692" t="s">
        <v>14004</v>
      </c>
      <c r="U4692" t="s">
        <v>14004</v>
      </c>
      <c r="V4692" t="s">
        <v>14004</v>
      </c>
      <c r="W4692" t="s">
        <v>18641</v>
      </c>
      <c r="X4692">
        <v>1</v>
      </c>
      <c r="Y4692" t="s">
        <v>25452</v>
      </c>
      <c r="Z4692" t="s">
        <v>32402</v>
      </c>
      <c r="AA4692">
        <v>0.44163412374833089</v>
      </c>
      <c r="AB4692" t="str">
        <f>HYPERLINK("Melting_Curves/meltCurve_Q8IZD4_DCP1B.pdf", "Melting_Curves/meltCurve_Q8IZD4_DCP1B.pdf")</f>
        <v>Melting_Curves/meltCurve_Q8IZD4_DCP1B.pdf</v>
      </c>
    </row>
    <row r="4693" spans="1:28" x14ac:dyDescent="0.25">
      <c r="A4693" t="s">
        <v>4697</v>
      </c>
      <c r="B4693">
        <v>0.99999676499088797</v>
      </c>
      <c r="C4693">
        <v>0.98429029937083301</v>
      </c>
      <c r="D4693">
        <v>0.86594547008689704</v>
      </c>
      <c r="E4693">
        <v>0.65382396753560301</v>
      </c>
      <c r="F4693">
        <v>0.32450398022100801</v>
      </c>
      <c r="G4693">
        <v>0.17731281274540001</v>
      </c>
      <c r="H4693">
        <v>9.5547686532137299E-2</v>
      </c>
      <c r="I4693">
        <v>9.2515335640043106E-2</v>
      </c>
      <c r="J4693">
        <v>8.7462319314281695E-2</v>
      </c>
      <c r="K4693">
        <v>0.114281920178256</v>
      </c>
      <c r="L4693">
        <v>1025.5767023273199</v>
      </c>
      <c r="M4693">
        <v>20.268360538219099</v>
      </c>
      <c r="N4693">
        <v>51.068104303901599</v>
      </c>
      <c r="O4693">
        <v>50.115045048520102</v>
      </c>
      <c r="P4693">
        <v>-9.2538666197017394E-2</v>
      </c>
      <c r="Q4693">
        <v>8.4793026838624497E-2</v>
      </c>
      <c r="R4693">
        <v>0.99830589624046395</v>
      </c>
      <c r="S4693" t="s">
        <v>11696</v>
      </c>
      <c r="T4693" t="s">
        <v>14004</v>
      </c>
      <c r="U4693" t="s">
        <v>14004</v>
      </c>
      <c r="V4693" t="s">
        <v>14004</v>
      </c>
      <c r="W4693" t="s">
        <v>18642</v>
      </c>
      <c r="X4693">
        <v>3</v>
      </c>
      <c r="Y4693" t="s">
        <v>25453</v>
      </c>
      <c r="Z4693" t="s">
        <v>32403</v>
      </c>
      <c r="AA4693">
        <v>0.42056067468854552</v>
      </c>
      <c r="AB4693" t="str">
        <f>HYPERLINK("Melting_Curves/meltCurve_Q8IZE3_2_SCYL3.pdf", "Melting_Curves/meltCurve_Q8IZE3_2_SCYL3.pdf")</f>
        <v>Melting_Curves/meltCurve_Q8IZE3_2_SCYL3.pdf</v>
      </c>
    </row>
    <row r="4694" spans="1:28" x14ac:dyDescent="0.25">
      <c r="A4694" t="s">
        <v>4698</v>
      </c>
      <c r="B4694">
        <v>0.99999676499088797</v>
      </c>
      <c r="C4694">
        <v>1.0598739428931201</v>
      </c>
      <c r="D4694">
        <v>0.70217367377983197</v>
      </c>
      <c r="E4694">
        <v>0.21964251698551501</v>
      </c>
      <c r="F4694">
        <v>0.18551116277843899</v>
      </c>
      <c r="G4694">
        <v>0.13560087498926299</v>
      </c>
      <c r="H4694">
        <v>6.7838754651373304E-2</v>
      </c>
      <c r="I4694">
        <v>0.10082787948291599</v>
      </c>
      <c r="J4694">
        <v>9.7627680292509497E-2</v>
      </c>
      <c r="K4694">
        <v>6.4496873431394E-2</v>
      </c>
      <c r="L4694">
        <v>1766.65416768664</v>
      </c>
      <c r="M4694">
        <v>37.622404036323204</v>
      </c>
      <c r="N4694">
        <v>47.259726250708603</v>
      </c>
      <c r="O4694">
        <v>46.825427562796399</v>
      </c>
      <c r="P4694">
        <v>-0.17938939078295099</v>
      </c>
      <c r="Q4694">
        <v>0.106919142172909</v>
      </c>
      <c r="R4694">
        <v>0.98853455366563403</v>
      </c>
      <c r="S4694" t="s">
        <v>11697</v>
      </c>
      <c r="T4694" t="s">
        <v>14004</v>
      </c>
      <c r="U4694" t="s">
        <v>14004</v>
      </c>
      <c r="V4694" t="s">
        <v>14004</v>
      </c>
      <c r="W4694" t="s">
        <v>18643</v>
      </c>
      <c r="X4694">
        <v>10</v>
      </c>
      <c r="Y4694" t="s">
        <v>25454</v>
      </c>
      <c r="Z4694" t="s">
        <v>32404</v>
      </c>
      <c r="AA4694">
        <v>0.3173578444841631</v>
      </c>
      <c r="AB4694" t="str">
        <f>HYPERLINK("Melting_Curves/meltCurve_Q8IZH2_2_XRN1.pdf", "Melting_Curves/meltCurve_Q8IZH2_2_XRN1.pdf")</f>
        <v>Melting_Curves/meltCurve_Q8IZH2_2_XRN1.pdf</v>
      </c>
    </row>
    <row r="4695" spans="1:28" x14ac:dyDescent="0.25">
      <c r="A4695" t="s">
        <v>4699</v>
      </c>
      <c r="B4695">
        <v>0.99999676499088797</v>
      </c>
      <c r="C4695">
        <v>0.70677606981843699</v>
      </c>
      <c r="D4695">
        <v>0.59287446086651596</v>
      </c>
      <c r="E4695">
        <v>0.82238653461023203</v>
      </c>
      <c r="F4695">
        <v>0.74834135318611394</v>
      </c>
      <c r="G4695">
        <v>0.45690186076861999</v>
      </c>
      <c r="H4695">
        <v>0.167992496655956</v>
      </c>
      <c r="I4695">
        <v>8.2350850034114298E-2</v>
      </c>
      <c r="J4695">
        <v>6.72228726569149E-2</v>
      </c>
      <c r="K4695">
        <v>3.9596199879088002E-2</v>
      </c>
      <c r="L4695">
        <v>517.258866817735</v>
      </c>
      <c r="M4695">
        <v>9.5665196039224298</v>
      </c>
      <c r="N4695">
        <v>54.069702086301497</v>
      </c>
      <c r="O4695">
        <v>51.865361260186504</v>
      </c>
      <c r="P4695">
        <v>-4.6138836949457897E-2</v>
      </c>
      <c r="Q4695">
        <v>0</v>
      </c>
      <c r="R4695">
        <v>0.82466524149915899</v>
      </c>
      <c r="S4695" t="s">
        <v>11698</v>
      </c>
      <c r="T4695" t="s">
        <v>14004</v>
      </c>
      <c r="U4695" t="s">
        <v>14004</v>
      </c>
      <c r="V4695" t="s">
        <v>14004</v>
      </c>
      <c r="W4695" t="s">
        <v>18644</v>
      </c>
      <c r="X4695">
        <v>1</v>
      </c>
      <c r="Y4695" t="s">
        <v>25455</v>
      </c>
      <c r="Z4695" t="s">
        <v>32405</v>
      </c>
      <c r="AA4695">
        <v>0.49975986443781129</v>
      </c>
      <c r="AB4695" t="str">
        <f>HYPERLINK("Melting_Curves/meltCurve_Q8IZM8_ZNF654.pdf", "Melting_Curves/meltCurve_Q8IZM8_ZNF654.pdf")</f>
        <v>Melting_Curves/meltCurve_Q8IZM8_ZNF654.pdf</v>
      </c>
    </row>
    <row r="4696" spans="1:28" x14ac:dyDescent="0.25">
      <c r="A4696" t="s">
        <v>4700</v>
      </c>
      <c r="B4696">
        <v>0.99999676499088797</v>
      </c>
      <c r="C4696">
        <v>0.92157021204695799</v>
      </c>
      <c r="D4696">
        <v>0.983587001710998</v>
      </c>
      <c r="E4696">
        <v>1.04046974517275</v>
      </c>
      <c r="F4696">
        <v>0.79154818845046104</v>
      </c>
      <c r="G4696">
        <v>0.43910928404711702</v>
      </c>
      <c r="H4696">
        <v>0.21764212530801499</v>
      </c>
      <c r="I4696">
        <v>0.16509265364023601</v>
      </c>
      <c r="J4696">
        <v>0.13378193289840701</v>
      </c>
      <c r="K4696">
        <v>0.248427675842255</v>
      </c>
      <c r="L4696">
        <v>1754.1272956794</v>
      </c>
      <c r="M4696">
        <v>31.736599221144701</v>
      </c>
      <c r="N4696">
        <v>56.051897972484099</v>
      </c>
      <c r="O4696">
        <v>55.0533715217165</v>
      </c>
      <c r="P4696">
        <v>-0.118379625512932</v>
      </c>
      <c r="Q4696">
        <v>0.178593331566301</v>
      </c>
      <c r="R4696">
        <v>0.98616268605746304</v>
      </c>
      <c r="S4696" t="s">
        <v>11699</v>
      </c>
      <c r="T4696" t="s">
        <v>14004</v>
      </c>
      <c r="U4696" t="s">
        <v>14004</v>
      </c>
      <c r="V4696" t="s">
        <v>14004</v>
      </c>
      <c r="W4696" t="s">
        <v>18645</v>
      </c>
      <c r="X4696">
        <v>5</v>
      </c>
      <c r="Y4696" t="s">
        <v>25456</v>
      </c>
      <c r="Z4696" t="s">
        <v>32406</v>
      </c>
      <c r="AA4696">
        <v>0.6016367707449628</v>
      </c>
      <c r="AB4696" t="str">
        <f>HYPERLINK("Melting_Curves/meltCurve_Q8IZQ5_SELH.pdf", "Melting_Curves/meltCurve_Q8IZQ5_SELH.pdf")</f>
        <v>Melting_Curves/meltCurve_Q8IZQ5_SELH.pdf</v>
      </c>
    </row>
    <row r="4697" spans="1:28" x14ac:dyDescent="0.25">
      <c r="A4697" t="s">
        <v>4701</v>
      </c>
      <c r="B4697">
        <v>0.99999676499088797</v>
      </c>
      <c r="C4697">
        <v>0.91427190332602104</v>
      </c>
      <c r="D4697">
        <v>0.98144700288984099</v>
      </c>
      <c r="E4697">
        <v>0.86051784717167901</v>
      </c>
      <c r="F4697">
        <v>0.81999160476188504</v>
      </c>
      <c r="G4697">
        <v>0.88064265530948405</v>
      </c>
      <c r="H4697">
        <v>0.54702697925784005</v>
      </c>
      <c r="I4697">
        <v>0.64380665403066495</v>
      </c>
      <c r="J4697">
        <v>0.51598590462290905</v>
      </c>
      <c r="K4697">
        <v>0.62770931275497599</v>
      </c>
      <c r="L4697">
        <v>545.22112965309395</v>
      </c>
      <c r="M4697">
        <v>9.5436300364954807</v>
      </c>
      <c r="O4697">
        <v>54.789808725948397</v>
      </c>
      <c r="P4697">
        <v>-2.2575386669856898E-2</v>
      </c>
      <c r="Q4697">
        <v>0.48188160525539397</v>
      </c>
      <c r="R4697">
        <v>0.83151986259536403</v>
      </c>
      <c r="S4697" t="s">
        <v>11700</v>
      </c>
      <c r="T4697" t="s">
        <v>14004</v>
      </c>
      <c r="U4697" t="s">
        <v>14004</v>
      </c>
      <c r="V4697" t="s">
        <v>14004</v>
      </c>
      <c r="W4697" t="s">
        <v>18646</v>
      </c>
      <c r="X4697">
        <v>2</v>
      </c>
      <c r="Y4697" t="s">
        <v>25457</v>
      </c>
      <c r="Z4697" t="s">
        <v>32407</v>
      </c>
      <c r="AA4697">
        <v>0.78520203020831703</v>
      </c>
      <c r="AB4697" t="str">
        <f>HYPERLINK("Melting_Curves/meltCurve_Q8IZR5_3_CMTM4.pdf", "Melting_Curves/meltCurve_Q8IZR5_3_CMTM4.pdf")</f>
        <v>Melting_Curves/meltCurve_Q8IZR5_3_CMTM4.pdf</v>
      </c>
    </row>
    <row r="4698" spans="1:28" x14ac:dyDescent="0.25">
      <c r="A4698" t="s">
        <v>4702</v>
      </c>
      <c r="B4698">
        <v>0.99999676499088797</v>
      </c>
      <c r="C4698">
        <v>1.03782956303233</v>
      </c>
      <c r="D4698">
        <v>1.10150069264878</v>
      </c>
      <c r="E4698">
        <v>1.0660720405202799</v>
      </c>
      <c r="F4698">
        <v>0.760893109604033</v>
      </c>
      <c r="G4698">
        <v>0.746552071520448</v>
      </c>
      <c r="H4698">
        <v>0.52049491594294395</v>
      </c>
      <c r="I4698">
        <v>0.53213677824652195</v>
      </c>
      <c r="J4698">
        <v>0.51853198635156805</v>
      </c>
      <c r="K4698">
        <v>0.68824661455743197</v>
      </c>
      <c r="L4698">
        <v>1593.9887050202899</v>
      </c>
      <c r="M4698">
        <v>29.490879943428698</v>
      </c>
      <c r="O4698">
        <v>53.803525115186702</v>
      </c>
      <c r="P4698">
        <v>-5.8512428396516103E-2</v>
      </c>
      <c r="Q4698">
        <v>0.57299979389189803</v>
      </c>
      <c r="R4698">
        <v>0.88494232145787599</v>
      </c>
      <c r="S4698" t="s">
        <v>11701</v>
      </c>
      <c r="T4698" t="s">
        <v>14004</v>
      </c>
      <c r="U4698" t="s">
        <v>14004</v>
      </c>
      <c r="V4698" t="s">
        <v>14004</v>
      </c>
      <c r="W4698" t="s">
        <v>18647</v>
      </c>
      <c r="X4698">
        <v>5</v>
      </c>
      <c r="Y4698" t="s">
        <v>25458</v>
      </c>
      <c r="Z4698" t="s">
        <v>32408</v>
      </c>
      <c r="AA4698">
        <v>0.77588180587180822</v>
      </c>
      <c r="AB4698" t="str">
        <f>HYPERLINK("Melting_Curves/meltCurve_Q8N0T1_C8orf59.pdf", "Melting_Curves/meltCurve_Q8N0T1_C8orf59.pdf")</f>
        <v>Melting_Curves/meltCurve_Q8N0T1_C8orf59.pdf</v>
      </c>
    </row>
    <row r="4699" spans="1:28" x14ac:dyDescent="0.25">
      <c r="A4699" t="s">
        <v>4703</v>
      </c>
      <c r="B4699">
        <v>0.99999676499088797</v>
      </c>
      <c r="C4699">
        <v>1.04242072304444</v>
      </c>
      <c r="D4699">
        <v>1.44306099440844</v>
      </c>
      <c r="E4699">
        <v>0.90706471532025601</v>
      </c>
      <c r="F4699">
        <v>0.89324040480112399</v>
      </c>
      <c r="G4699">
        <v>0.77188189407777397</v>
      </c>
      <c r="H4699">
        <v>9.0714451033787294E-2</v>
      </c>
      <c r="I4699">
        <v>0</v>
      </c>
      <c r="J4699">
        <v>0</v>
      </c>
      <c r="K4699">
        <v>8.7657516972755298E-2</v>
      </c>
      <c r="L4699">
        <v>3179.7070737000399</v>
      </c>
      <c r="M4699">
        <v>54.836584570322898</v>
      </c>
      <c r="N4699">
        <v>58.040797393719799</v>
      </c>
      <c r="O4699">
        <v>57.908180857072999</v>
      </c>
      <c r="P4699">
        <v>-0.23067360148396801</v>
      </c>
      <c r="Q4699">
        <v>2.5622731836445499E-2</v>
      </c>
      <c r="R4699">
        <v>0.91153781596646399</v>
      </c>
      <c r="S4699" t="s">
        <v>11702</v>
      </c>
      <c r="T4699" t="s">
        <v>14004</v>
      </c>
      <c r="U4699" t="s">
        <v>14004</v>
      </c>
      <c r="V4699" t="s">
        <v>14004</v>
      </c>
      <c r="W4699" t="s">
        <v>18648</v>
      </c>
      <c r="X4699">
        <v>2</v>
      </c>
      <c r="Y4699" t="s">
        <v>25459</v>
      </c>
      <c r="Z4699" t="s">
        <v>32409</v>
      </c>
      <c r="AA4699">
        <v>0.61183220132816885</v>
      </c>
      <c r="AB4699" t="str">
        <f>HYPERLINK("Melting_Curves/meltCurve_Q8N0U4_FAM185A.pdf", "Melting_Curves/meltCurve_Q8N0U4_FAM185A.pdf")</f>
        <v>Melting_Curves/meltCurve_Q8N0U4_FAM185A.pdf</v>
      </c>
    </row>
    <row r="4700" spans="1:28" x14ac:dyDescent="0.25">
      <c r="A4700" t="s">
        <v>4704</v>
      </c>
      <c r="B4700">
        <v>0.99999676499088797</v>
      </c>
      <c r="C4700">
        <v>0.82268429331652804</v>
      </c>
      <c r="D4700">
        <v>0.85397831244260203</v>
      </c>
      <c r="E4700">
        <v>1.0093315298079999</v>
      </c>
      <c r="F4700">
        <v>1.0260254122615799</v>
      </c>
      <c r="G4700">
        <v>0.980759606738835</v>
      </c>
      <c r="H4700">
        <v>0.75798283682941703</v>
      </c>
      <c r="I4700">
        <v>1.08939197332274</v>
      </c>
      <c r="J4700">
        <v>1.46647653127149</v>
      </c>
      <c r="K4700">
        <v>1.1958783814757299</v>
      </c>
      <c r="L4700">
        <v>15000</v>
      </c>
      <c r="M4700">
        <v>233.380511807635</v>
      </c>
      <c r="O4700">
        <v>64.267991711632007</v>
      </c>
      <c r="P4700">
        <v>0.30065681314210602</v>
      </c>
      <c r="Q4700">
        <v>1.33117781149929</v>
      </c>
      <c r="R4700">
        <v>0.59958290866294495</v>
      </c>
      <c r="S4700" t="s">
        <v>11703</v>
      </c>
      <c r="T4700" t="s">
        <v>14004</v>
      </c>
      <c r="U4700" t="s">
        <v>14004</v>
      </c>
      <c r="V4700" t="s">
        <v>14004</v>
      </c>
      <c r="W4700" t="s">
        <v>18649</v>
      </c>
      <c r="X4700">
        <v>1</v>
      </c>
      <c r="Y4700" t="s">
        <v>25460</v>
      </c>
      <c r="Z4700" t="s">
        <v>32410</v>
      </c>
      <c r="AA4700">
        <v>1.0631820815849879</v>
      </c>
      <c r="AB4700" t="str">
        <f>HYPERLINK("Melting_Curves/meltCurve_Q8N0U8_VKORC1L1.pdf", "Melting_Curves/meltCurve_Q8N0U8_VKORC1L1.pdf")</f>
        <v>Melting_Curves/meltCurve_Q8N0U8_VKORC1L1.pdf</v>
      </c>
    </row>
    <row r="4701" spans="1:28" x14ac:dyDescent="0.25">
      <c r="A4701" t="s">
        <v>4705</v>
      </c>
      <c r="B4701">
        <v>0.99999676499088797</v>
      </c>
      <c r="C4701">
        <v>0.92737603338991303</v>
      </c>
      <c r="D4701">
        <v>0.77159690912998102</v>
      </c>
      <c r="E4701">
        <v>0.28862257226058902</v>
      </c>
      <c r="F4701">
        <v>0.186320640777667</v>
      </c>
      <c r="G4701">
        <v>0.20637025155702701</v>
      </c>
      <c r="H4701">
        <v>9.2318901959764305E-2</v>
      </c>
      <c r="I4701">
        <v>8.9908135199867498E-2</v>
      </c>
      <c r="J4701">
        <v>7.8518863304941094E-2</v>
      </c>
      <c r="K4701">
        <v>4.7896861628787001E-2</v>
      </c>
      <c r="L4701">
        <v>1269.4077734007999</v>
      </c>
      <c r="M4701">
        <v>26.6792570519573</v>
      </c>
      <c r="N4701">
        <v>47.988415350862297</v>
      </c>
      <c r="O4701">
        <v>47.3154102769563</v>
      </c>
      <c r="P4701">
        <v>-0.12666027647990999</v>
      </c>
      <c r="Q4701">
        <v>0.101485975307597</v>
      </c>
      <c r="R4701">
        <v>0.98697329995080396</v>
      </c>
      <c r="S4701" t="s">
        <v>11704</v>
      </c>
      <c r="T4701" t="s">
        <v>14004</v>
      </c>
      <c r="U4701" t="s">
        <v>14004</v>
      </c>
      <c r="V4701" t="s">
        <v>14004</v>
      </c>
      <c r="W4701" t="s">
        <v>18650</v>
      </c>
      <c r="X4701">
        <v>1</v>
      </c>
      <c r="Y4701" t="s">
        <v>25461</v>
      </c>
      <c r="Z4701" t="s">
        <v>32411</v>
      </c>
      <c r="AA4701">
        <v>0.33544130237569753</v>
      </c>
      <c r="AB4701" t="str">
        <f>HYPERLINK("Melting_Curves/meltCurve_Q8N0V3_RBFA.pdf", "Melting_Curves/meltCurve_Q8N0V3_RBFA.pdf")</f>
        <v>Melting_Curves/meltCurve_Q8N0V3_RBFA.pdf</v>
      </c>
    </row>
    <row r="4702" spans="1:28" x14ac:dyDescent="0.25">
      <c r="A4702" t="s">
        <v>4706</v>
      </c>
      <c r="B4702">
        <v>0.99999676499088797</v>
      </c>
      <c r="C4702">
        <v>1.07927315332688</v>
      </c>
      <c r="D4702">
        <v>1.06991540354726</v>
      </c>
      <c r="E4702">
        <v>0.94579879865544203</v>
      </c>
      <c r="F4702">
        <v>1.01020570632236</v>
      </c>
      <c r="G4702">
        <v>0.78207498129120701</v>
      </c>
      <c r="H4702">
        <v>0.37595832369856602</v>
      </c>
      <c r="I4702">
        <v>0.228886006662363</v>
      </c>
      <c r="J4702">
        <v>0.225939398906496</v>
      </c>
      <c r="K4702">
        <v>0.17093303140632701</v>
      </c>
      <c r="L4702">
        <v>1987.35015572974</v>
      </c>
      <c r="M4702">
        <v>33.930592710170203</v>
      </c>
      <c r="N4702">
        <v>59.409742690999302</v>
      </c>
      <c r="O4702">
        <v>58.368714330716998</v>
      </c>
      <c r="P4702">
        <v>-0.117673480220154</v>
      </c>
      <c r="Q4702">
        <v>0.190297395148771</v>
      </c>
      <c r="R4702">
        <v>0.98793144709098102</v>
      </c>
      <c r="S4702" t="s">
        <v>11705</v>
      </c>
      <c r="T4702" t="s">
        <v>14004</v>
      </c>
      <c r="U4702" t="s">
        <v>14004</v>
      </c>
      <c r="V4702" t="s">
        <v>14004</v>
      </c>
      <c r="W4702" t="s">
        <v>18651</v>
      </c>
      <c r="X4702">
        <v>6</v>
      </c>
      <c r="Y4702" t="s">
        <v>25462</v>
      </c>
      <c r="Z4702" t="s">
        <v>32412</v>
      </c>
      <c r="AA4702">
        <v>0.69582303830075931</v>
      </c>
      <c r="AB4702" t="str">
        <f>HYPERLINK("Melting_Curves/meltCurve_Q8N0W3_FUK.pdf", "Melting_Curves/meltCurve_Q8N0W3_FUK.pdf")</f>
        <v>Melting_Curves/meltCurve_Q8N0W3_FUK.pdf</v>
      </c>
    </row>
    <row r="4703" spans="1:28" x14ac:dyDescent="0.25">
      <c r="A4703" t="s">
        <v>4707</v>
      </c>
      <c r="B4703">
        <v>0.99999676499088797</v>
      </c>
      <c r="C4703">
        <v>0.97474218436119897</v>
      </c>
      <c r="D4703">
        <v>0.96294008965679001</v>
      </c>
      <c r="E4703">
        <v>0.96803914556985904</v>
      </c>
      <c r="F4703">
        <v>0.911753012917908</v>
      </c>
      <c r="G4703">
        <v>0.70809006902567295</v>
      </c>
      <c r="H4703">
        <v>0.23760465277027201</v>
      </c>
      <c r="I4703">
        <v>0.150068108975526</v>
      </c>
      <c r="J4703">
        <v>0.12603082530861201</v>
      </c>
      <c r="K4703">
        <v>0.123861682109096</v>
      </c>
      <c r="L4703">
        <v>1947.9491014232401</v>
      </c>
      <c r="M4703">
        <v>33.6898636531756</v>
      </c>
      <c r="N4703">
        <v>58.2714253203197</v>
      </c>
      <c r="O4703">
        <v>57.617459096997401</v>
      </c>
      <c r="P4703">
        <v>-0.12939105884871999</v>
      </c>
      <c r="Q4703">
        <v>0.114849157133944</v>
      </c>
      <c r="R4703">
        <v>0.99618939941440698</v>
      </c>
      <c r="S4703" t="s">
        <v>11706</v>
      </c>
      <c r="T4703" t="s">
        <v>14004</v>
      </c>
      <c r="U4703" t="s">
        <v>14004</v>
      </c>
      <c r="V4703" t="s">
        <v>14004</v>
      </c>
      <c r="W4703" t="s">
        <v>18652</v>
      </c>
      <c r="X4703">
        <v>12</v>
      </c>
      <c r="Y4703" t="s">
        <v>25463</v>
      </c>
      <c r="Z4703" t="s">
        <v>32413</v>
      </c>
      <c r="AA4703">
        <v>0.64540862858053349</v>
      </c>
      <c r="AB4703" t="str">
        <f>HYPERLINK("Melting_Curves/meltCurve_Q8N0X4_CLYBL.pdf", "Melting_Curves/meltCurve_Q8N0X4_CLYBL.pdf")</f>
        <v>Melting_Curves/meltCurve_Q8N0X4_CLYBL.pdf</v>
      </c>
    </row>
    <row r="4704" spans="1:28" x14ac:dyDescent="0.25">
      <c r="A4704" t="s">
        <v>4708</v>
      </c>
      <c r="B4704">
        <v>0.99999676499088797</v>
      </c>
      <c r="C4704">
        <v>0.97311826345048202</v>
      </c>
      <c r="D4704">
        <v>0.74063344558167199</v>
      </c>
      <c r="E4704">
        <v>0.32518041852827401</v>
      </c>
      <c r="F4704">
        <v>0.26015326530990501</v>
      </c>
      <c r="G4704">
        <v>0.19392416316911401</v>
      </c>
      <c r="H4704">
        <v>0.109453046866253</v>
      </c>
      <c r="I4704">
        <v>0.116326518835875</v>
      </c>
      <c r="J4704">
        <v>0.122892844072541</v>
      </c>
      <c r="K4704">
        <v>7.5394152725069594E-2</v>
      </c>
      <c r="L4704">
        <v>1134.34725307025</v>
      </c>
      <c r="M4704">
        <v>23.821124872195899</v>
      </c>
      <c r="N4704">
        <v>48.202661232894002</v>
      </c>
      <c r="O4704">
        <v>47.287589266934397</v>
      </c>
      <c r="P4704">
        <v>-0.11016994503635499</v>
      </c>
      <c r="Q4704">
        <v>0.125215576228599</v>
      </c>
      <c r="R4704">
        <v>0.98900037818773601</v>
      </c>
      <c r="S4704" t="s">
        <v>11707</v>
      </c>
      <c r="T4704" t="s">
        <v>14004</v>
      </c>
      <c r="U4704" t="s">
        <v>14004</v>
      </c>
      <c r="V4704" t="s">
        <v>14004</v>
      </c>
      <c r="W4704" t="s">
        <v>18653</v>
      </c>
      <c r="X4704">
        <v>2</v>
      </c>
      <c r="Y4704" t="s">
        <v>25464</v>
      </c>
      <c r="Z4704" t="s">
        <v>32414</v>
      </c>
      <c r="AA4704">
        <v>0.35598937590836682</v>
      </c>
      <c r="AB4704" t="str">
        <f>HYPERLINK("Melting_Curves/meltCurve_Q8N0X7_SPG20.pdf", "Melting_Curves/meltCurve_Q8N0X7_SPG20.pdf")</f>
        <v>Melting_Curves/meltCurve_Q8N0X7_SPG20.pdf</v>
      </c>
    </row>
    <row r="4705" spans="1:28" x14ac:dyDescent="0.25">
      <c r="A4705" t="s">
        <v>4709</v>
      </c>
      <c r="B4705">
        <v>0.99999676499088797</v>
      </c>
      <c r="C4705">
        <v>0.94673989226068</v>
      </c>
      <c r="D4705">
        <v>0.60372770674583598</v>
      </c>
      <c r="E4705">
        <v>0.26615910889580002</v>
      </c>
      <c r="F4705">
        <v>0.20827140490020901</v>
      </c>
      <c r="G4705">
        <v>0.125552670482798</v>
      </c>
      <c r="H4705">
        <v>7.0165747059623099E-2</v>
      </c>
      <c r="I4705">
        <v>5.85351170829497E-2</v>
      </c>
      <c r="J4705">
        <v>5.1058773412012197E-2</v>
      </c>
      <c r="K4705">
        <v>5.2166345049164203E-2</v>
      </c>
      <c r="L4705">
        <v>1043.0942149355101</v>
      </c>
      <c r="M4705">
        <v>22.254768382001899</v>
      </c>
      <c r="N4705">
        <v>47.216073271814501</v>
      </c>
      <c r="O4705">
        <v>46.497071366774399</v>
      </c>
      <c r="P4705">
        <v>-0.11066872574259</v>
      </c>
      <c r="Q4705">
        <v>7.5135431831984595E-2</v>
      </c>
      <c r="R4705">
        <v>0.99037117776027805</v>
      </c>
      <c r="S4705" t="s">
        <v>11708</v>
      </c>
      <c r="T4705" t="s">
        <v>14004</v>
      </c>
      <c r="U4705" t="s">
        <v>14004</v>
      </c>
      <c r="V4705" t="s">
        <v>14004</v>
      </c>
      <c r="W4705" t="s">
        <v>18654</v>
      </c>
      <c r="X4705">
        <v>15</v>
      </c>
      <c r="Y4705" t="s">
        <v>25465</v>
      </c>
      <c r="Z4705" t="s">
        <v>32415</v>
      </c>
      <c r="AA4705">
        <v>0.29767639932497192</v>
      </c>
      <c r="AB4705" t="str">
        <f>HYPERLINK("Melting_Curves/meltCurve_Q8N0Z6_TTC5.pdf", "Melting_Curves/meltCurve_Q8N0Z6_TTC5.pdf")</f>
        <v>Melting_Curves/meltCurve_Q8N0Z6_TTC5.pdf</v>
      </c>
    </row>
    <row r="4706" spans="1:28" x14ac:dyDescent="0.25">
      <c r="A4706" t="s">
        <v>4710</v>
      </c>
      <c r="B4706">
        <v>0.99999676499088797</v>
      </c>
      <c r="C4706">
        <v>0.97956993702710404</v>
      </c>
      <c r="D4706">
        <v>1.0585218369618099</v>
      </c>
      <c r="E4706">
        <v>0.939001297241987</v>
      </c>
      <c r="F4706">
        <v>0.495082255782261</v>
      </c>
      <c r="G4706">
        <v>0.19223039316454199</v>
      </c>
      <c r="H4706">
        <v>0.11987864666291</v>
      </c>
      <c r="I4706">
        <v>9.4462924785300398E-2</v>
      </c>
      <c r="J4706">
        <v>9.9431040207049098E-2</v>
      </c>
      <c r="K4706">
        <v>7.8586309457844894E-2</v>
      </c>
      <c r="L4706">
        <v>1907.3795303879599</v>
      </c>
      <c r="M4706">
        <v>36.0426101264202</v>
      </c>
      <c r="N4706">
        <v>53.246905133335098</v>
      </c>
      <c r="O4706">
        <v>52.758012183517799</v>
      </c>
      <c r="P4706">
        <v>-0.15384703517137399</v>
      </c>
      <c r="Q4706">
        <v>9.9217496145899101E-2</v>
      </c>
      <c r="R4706">
        <v>0.99667058483914805</v>
      </c>
      <c r="S4706" t="s">
        <v>11709</v>
      </c>
      <c r="T4706" t="s">
        <v>14004</v>
      </c>
      <c r="U4706" t="s">
        <v>14004</v>
      </c>
      <c r="V4706" t="s">
        <v>14004</v>
      </c>
      <c r="W4706" t="s">
        <v>18655</v>
      </c>
      <c r="X4706">
        <v>7</v>
      </c>
      <c r="Y4706" t="s">
        <v>25466</v>
      </c>
      <c r="Z4706" t="s">
        <v>32416</v>
      </c>
      <c r="AA4706">
        <v>0.49121382851316542</v>
      </c>
      <c r="AB4706" t="str">
        <f>HYPERLINK("Melting_Curves/meltCurve_Q8N108_17_MIER1.pdf", "Melting_Curves/meltCurve_Q8N108_17_MIER1.pdf")</f>
        <v>Melting_Curves/meltCurve_Q8N108_17_MIER1.pdf</v>
      </c>
    </row>
    <row r="4707" spans="1:28" x14ac:dyDescent="0.25">
      <c r="A4707" t="s">
        <v>4711</v>
      </c>
      <c r="B4707">
        <v>0.99999676499088797</v>
      </c>
      <c r="C4707">
        <v>0.93929598433530503</v>
      </c>
      <c r="D4707">
        <v>0.913970220449697</v>
      </c>
      <c r="E4707">
        <v>0.58147630798331895</v>
      </c>
      <c r="F4707">
        <v>0.33775731756536498</v>
      </c>
      <c r="G4707">
        <v>0.26328069476657301</v>
      </c>
      <c r="H4707">
        <v>0.10592765239561901</v>
      </c>
      <c r="I4707">
        <v>0.106192152930006</v>
      </c>
      <c r="J4707">
        <v>9.0704287802442093E-2</v>
      </c>
      <c r="K4707">
        <v>7.24557195847189E-2</v>
      </c>
      <c r="L4707">
        <v>873.04517311748896</v>
      </c>
      <c r="M4707">
        <v>17.2633183389982</v>
      </c>
      <c r="N4707">
        <v>51.087500703962299</v>
      </c>
      <c r="O4707">
        <v>49.908299967024199</v>
      </c>
      <c r="P4707">
        <v>-7.9570810037683501E-2</v>
      </c>
      <c r="Q4707">
        <v>7.9895818111347494E-2</v>
      </c>
      <c r="R4707">
        <v>0.99272046802524005</v>
      </c>
      <c r="S4707" t="s">
        <v>11710</v>
      </c>
      <c r="T4707" t="s">
        <v>14004</v>
      </c>
      <c r="U4707" t="s">
        <v>14004</v>
      </c>
      <c r="V4707" t="s">
        <v>14004</v>
      </c>
      <c r="W4707" t="s">
        <v>18656</v>
      </c>
      <c r="X4707">
        <v>4</v>
      </c>
      <c r="Y4707" t="s">
        <v>25467</v>
      </c>
      <c r="Z4707" t="s">
        <v>32417</v>
      </c>
      <c r="AA4707">
        <v>0.42096813172997227</v>
      </c>
      <c r="AB4707" t="str">
        <f>HYPERLINK("Melting_Curves/meltCurve_Q8N122_RPTOR.pdf", "Melting_Curves/meltCurve_Q8N122_RPTOR.pdf")</f>
        <v>Melting_Curves/meltCurve_Q8N122_RPTOR.pdf</v>
      </c>
    </row>
    <row r="4708" spans="1:28" x14ac:dyDescent="0.25">
      <c r="A4708" t="s">
        <v>4712</v>
      </c>
      <c r="B4708">
        <v>0.99999676499088797</v>
      </c>
      <c r="C4708">
        <v>1.0407936523544501</v>
      </c>
      <c r="D4708">
        <v>0.92139353041147998</v>
      </c>
      <c r="E4708">
        <v>0.89600330441084997</v>
      </c>
      <c r="F4708">
        <v>0.74389800542208595</v>
      </c>
      <c r="G4708">
        <v>0.64335172369195204</v>
      </c>
      <c r="H4708">
        <v>0.37009901032689202</v>
      </c>
      <c r="I4708">
        <v>0.46105883403276898</v>
      </c>
      <c r="J4708">
        <v>0.437467409354036</v>
      </c>
      <c r="K4708">
        <v>0.42201501168073402</v>
      </c>
      <c r="L4708">
        <v>942.68072541438698</v>
      </c>
      <c r="M4708">
        <v>17.395365516102402</v>
      </c>
      <c r="N4708">
        <v>59.611554281321801</v>
      </c>
      <c r="O4708">
        <v>53.490533938947301</v>
      </c>
      <c r="P4708">
        <v>-4.9012579810858499E-2</v>
      </c>
      <c r="Q4708">
        <v>0.39718175039652398</v>
      </c>
      <c r="R4708">
        <v>0.96571505354092901</v>
      </c>
      <c r="S4708" t="s">
        <v>11711</v>
      </c>
      <c r="T4708" t="s">
        <v>14004</v>
      </c>
      <c r="U4708" t="s">
        <v>14004</v>
      </c>
      <c r="V4708" t="s">
        <v>14004</v>
      </c>
      <c r="W4708" t="s">
        <v>18657</v>
      </c>
      <c r="X4708">
        <v>5</v>
      </c>
      <c r="Y4708" t="s">
        <v>25468</v>
      </c>
      <c r="Z4708" t="s">
        <v>32418</v>
      </c>
      <c r="AA4708">
        <v>0.69241965126568517</v>
      </c>
      <c r="AB4708" t="str">
        <f>HYPERLINK("Melting_Curves/meltCurve_Q8N129_CNPY4.pdf", "Melting_Curves/meltCurve_Q8N129_CNPY4.pdf")</f>
        <v>Melting_Curves/meltCurve_Q8N129_CNPY4.pdf</v>
      </c>
    </row>
    <row r="4709" spans="1:28" x14ac:dyDescent="0.25">
      <c r="A4709" t="s">
        <v>4713</v>
      </c>
      <c r="B4709">
        <v>0.99999676499088797</v>
      </c>
      <c r="C4709">
        <v>1.0040576346250301</v>
      </c>
      <c r="D4709">
        <v>0.98192075398701095</v>
      </c>
      <c r="E4709">
        <v>1.0200417395971599</v>
      </c>
      <c r="F4709">
        <v>1.0724747130172601</v>
      </c>
      <c r="G4709">
        <v>0.72880895391187195</v>
      </c>
      <c r="H4709">
        <v>0.221449501761673</v>
      </c>
      <c r="I4709">
        <v>5.8786877732142299E-2</v>
      </c>
      <c r="J4709">
        <v>5.5915805147540999E-2</v>
      </c>
      <c r="K4709">
        <v>4.1846774742018297E-2</v>
      </c>
      <c r="L4709">
        <v>2309.2688440235102</v>
      </c>
      <c r="M4709">
        <v>39.6114074640642</v>
      </c>
      <c r="N4709">
        <v>58.438140004735899</v>
      </c>
      <c r="O4709">
        <v>58.150091363581602</v>
      </c>
      <c r="P4709">
        <v>-0.16258643524222099</v>
      </c>
      <c r="Q4709">
        <v>4.5285650573971901E-2</v>
      </c>
      <c r="R4709">
        <v>0.99446412548429297</v>
      </c>
      <c r="S4709" t="s">
        <v>11712</v>
      </c>
      <c r="T4709" t="s">
        <v>14004</v>
      </c>
      <c r="U4709" t="s">
        <v>14004</v>
      </c>
      <c r="V4709" t="s">
        <v>14004</v>
      </c>
      <c r="W4709" t="s">
        <v>18658</v>
      </c>
      <c r="X4709">
        <v>6</v>
      </c>
      <c r="Y4709" t="s">
        <v>25469</v>
      </c>
      <c r="Z4709" t="s">
        <v>32419</v>
      </c>
      <c r="AA4709">
        <v>0.63142926333930349</v>
      </c>
      <c r="AB4709" t="str">
        <f>HYPERLINK("Melting_Curves/meltCurve_Q8N142_ADSSL1.pdf", "Melting_Curves/meltCurve_Q8N142_ADSSL1.pdf")</f>
        <v>Melting_Curves/meltCurve_Q8N142_ADSSL1.pdf</v>
      </c>
    </row>
    <row r="4710" spans="1:28" x14ac:dyDescent="0.25">
      <c r="A4710" t="s">
        <v>4714</v>
      </c>
      <c r="B4710">
        <v>0.99999676499088797</v>
      </c>
      <c r="C4710">
        <v>0.895100254425237</v>
      </c>
      <c r="D4710">
        <v>0.65745623944124798</v>
      </c>
      <c r="E4710">
        <v>0.228667659111572</v>
      </c>
      <c r="F4710">
        <v>0.15144990784645501</v>
      </c>
      <c r="G4710">
        <v>0.11236934243173401</v>
      </c>
      <c r="H4710">
        <v>5.7456208258476901E-2</v>
      </c>
      <c r="I4710">
        <v>6.0148484553546898E-2</v>
      </c>
      <c r="J4710">
        <v>6.3237167033615302E-2</v>
      </c>
      <c r="K4710">
        <v>4.8455184673722798E-2</v>
      </c>
      <c r="L4710">
        <v>1144.90587797286</v>
      </c>
      <c r="M4710">
        <v>24.427924347420401</v>
      </c>
      <c r="N4710">
        <v>47.148407659754398</v>
      </c>
      <c r="O4710">
        <v>46.558033382859598</v>
      </c>
      <c r="P4710">
        <v>-0.12232421281439899</v>
      </c>
      <c r="Q4710">
        <v>6.7445969979672005E-2</v>
      </c>
      <c r="R4710">
        <v>0.99624179961172898</v>
      </c>
      <c r="S4710" t="s">
        <v>11713</v>
      </c>
      <c r="T4710" t="s">
        <v>14004</v>
      </c>
      <c r="U4710" t="s">
        <v>14004</v>
      </c>
      <c r="V4710" t="s">
        <v>14004</v>
      </c>
      <c r="W4710" t="s">
        <v>18659</v>
      </c>
      <c r="X4710">
        <v>28</v>
      </c>
      <c r="Y4710" t="s">
        <v>25470</v>
      </c>
      <c r="Z4710" t="s">
        <v>32420</v>
      </c>
      <c r="AA4710">
        <v>0.28975137710511178</v>
      </c>
      <c r="AB4710" t="str">
        <f>HYPERLINK("Melting_Curves/meltCurve_Q8N163_KIAA1967.pdf", "Melting_Curves/meltCurve_Q8N163_KIAA1967.pdf")</f>
        <v>Melting_Curves/meltCurve_Q8N163_KIAA1967.pdf</v>
      </c>
    </row>
    <row r="4711" spans="1:28" x14ac:dyDescent="0.25">
      <c r="A4711" t="s">
        <v>4715</v>
      </c>
      <c r="B4711">
        <v>0.99999676499088797</v>
      </c>
      <c r="C4711">
        <v>0.91713961395311905</v>
      </c>
      <c r="D4711">
        <v>0.97079903001087098</v>
      </c>
      <c r="E4711">
        <v>0.98666567348685996</v>
      </c>
      <c r="F4711">
        <v>0.95110508653260595</v>
      </c>
      <c r="G4711">
        <v>0.71742127346340201</v>
      </c>
      <c r="H4711">
        <v>0.53587637771815499</v>
      </c>
      <c r="I4711">
        <v>0.51805511873730203</v>
      </c>
      <c r="J4711">
        <v>0.48609788708304102</v>
      </c>
      <c r="K4711">
        <v>0.75385467441182297</v>
      </c>
      <c r="L4711">
        <v>2682.5701219211101</v>
      </c>
      <c r="M4711">
        <v>48.001993030580003</v>
      </c>
      <c r="O4711">
        <v>55.787823158963498</v>
      </c>
      <c r="P4711">
        <v>-9.1920318251255004E-2</v>
      </c>
      <c r="Q4711">
        <v>0.57268196554532802</v>
      </c>
      <c r="R4711">
        <v>0.86404075641120603</v>
      </c>
      <c r="S4711" t="s">
        <v>11714</v>
      </c>
      <c r="T4711" t="s">
        <v>14004</v>
      </c>
      <c r="U4711" t="s">
        <v>14004</v>
      </c>
      <c r="V4711" t="s">
        <v>14004</v>
      </c>
      <c r="W4711" t="s">
        <v>18660</v>
      </c>
      <c r="X4711">
        <v>14</v>
      </c>
      <c r="Y4711" t="s">
        <v>25471</v>
      </c>
      <c r="Z4711" t="s">
        <v>32421</v>
      </c>
      <c r="AA4711">
        <v>0.80008227917518226</v>
      </c>
      <c r="AB4711" t="str">
        <f>HYPERLINK("Melting_Curves/meltCurve_Q8N183_NDUFAF2.pdf", "Melting_Curves/meltCurve_Q8N183_NDUFAF2.pdf")</f>
        <v>Melting_Curves/meltCurve_Q8N183_NDUFAF2.pdf</v>
      </c>
    </row>
    <row r="4712" spans="1:28" x14ac:dyDescent="0.25">
      <c r="A4712" t="s">
        <v>4716</v>
      </c>
      <c r="B4712">
        <v>0.99999676499088797</v>
      </c>
      <c r="C4712">
        <v>1.04656044363585</v>
      </c>
      <c r="D4712">
        <v>0.94950152411687805</v>
      </c>
      <c r="E4712">
        <v>0.43275724722405901</v>
      </c>
      <c r="F4712">
        <v>0.25897009552668399</v>
      </c>
      <c r="G4712">
        <v>0.155682479199969</v>
      </c>
      <c r="H4712">
        <v>7.1356909884061098E-2</v>
      </c>
      <c r="I4712">
        <v>7.2244530184697106E-2</v>
      </c>
      <c r="J4712">
        <v>7.2402303822979894E-2</v>
      </c>
      <c r="K4712">
        <v>6.3911987353500593E-2</v>
      </c>
      <c r="L4712">
        <v>1448.8408336171699</v>
      </c>
      <c r="M4712">
        <v>29.460098528272699</v>
      </c>
      <c r="N4712">
        <v>49.520875831993997</v>
      </c>
      <c r="O4712">
        <v>48.954832935891098</v>
      </c>
      <c r="P4712">
        <v>-0.136631315059039</v>
      </c>
      <c r="Q4712">
        <v>9.1827021157378702E-2</v>
      </c>
      <c r="R4712">
        <v>0.987368735804388</v>
      </c>
      <c r="S4712" t="s">
        <v>11715</v>
      </c>
      <c r="T4712" t="s">
        <v>14004</v>
      </c>
      <c r="U4712" t="s">
        <v>14004</v>
      </c>
      <c r="V4712" t="s">
        <v>14004</v>
      </c>
      <c r="W4712" t="s">
        <v>18661</v>
      </c>
      <c r="X4712">
        <v>10</v>
      </c>
      <c r="Y4712" t="s">
        <v>25472</v>
      </c>
      <c r="Z4712" t="s">
        <v>32422</v>
      </c>
      <c r="AA4712">
        <v>0.37547657287075847</v>
      </c>
      <c r="AB4712" t="str">
        <f>HYPERLINK("Melting_Curves/meltCurve_Q8N1B4_VPS52.pdf", "Melting_Curves/meltCurve_Q8N1B4_VPS52.pdf")</f>
        <v>Melting_Curves/meltCurve_Q8N1B4_VPS52.pdf</v>
      </c>
    </row>
    <row r="4713" spans="1:28" x14ac:dyDescent="0.25">
      <c r="A4713" t="s">
        <v>4717</v>
      </c>
      <c r="B4713">
        <v>0.99999676499088797</v>
      </c>
      <c r="C4713">
        <v>0.93203452433774703</v>
      </c>
      <c r="D4713">
        <v>0.76104672204987001</v>
      </c>
      <c r="E4713">
        <v>0.63633516386200595</v>
      </c>
      <c r="F4713">
        <v>0.27240791837754902</v>
      </c>
      <c r="G4713">
        <v>0.176214575135902</v>
      </c>
      <c r="H4713">
        <v>7.7875849011157905E-2</v>
      </c>
      <c r="I4713">
        <v>8.6307074624707297E-2</v>
      </c>
      <c r="J4713">
        <v>7.4239558728557906E-2</v>
      </c>
      <c r="K4713">
        <v>6.2094480218666703E-2</v>
      </c>
      <c r="L4713">
        <v>798.20382481390595</v>
      </c>
      <c r="M4713">
        <v>15.9233632911164</v>
      </c>
      <c r="N4713">
        <v>50.431749296243503</v>
      </c>
      <c r="O4713">
        <v>49.357218678912901</v>
      </c>
      <c r="P4713">
        <v>-7.6970069039591693E-2</v>
      </c>
      <c r="Q4713">
        <v>4.5748101515915497E-2</v>
      </c>
      <c r="R4713">
        <v>0.99124450441394496</v>
      </c>
      <c r="S4713" t="s">
        <v>11716</v>
      </c>
      <c r="T4713" t="s">
        <v>14004</v>
      </c>
      <c r="U4713" t="s">
        <v>14004</v>
      </c>
      <c r="V4713" t="s">
        <v>14004</v>
      </c>
      <c r="W4713" t="s">
        <v>18662</v>
      </c>
      <c r="X4713">
        <v>35</v>
      </c>
      <c r="Y4713" t="s">
        <v>25473</v>
      </c>
      <c r="Z4713" t="s">
        <v>32423</v>
      </c>
      <c r="AA4713">
        <v>0.38827371457623838</v>
      </c>
      <c r="AB4713" t="str">
        <f>HYPERLINK("Melting_Curves/meltCurve_Q8N1F7_NUP93.pdf", "Melting_Curves/meltCurve_Q8N1F7_NUP93.pdf")</f>
        <v>Melting_Curves/meltCurve_Q8N1F7_NUP93.pdf</v>
      </c>
    </row>
    <row r="4714" spans="1:28" x14ac:dyDescent="0.25">
      <c r="A4714" t="s">
        <v>4718</v>
      </c>
      <c r="B4714">
        <v>0.99999676499088797</v>
      </c>
      <c r="C4714">
        <v>0.82062023735152501</v>
      </c>
      <c r="D4714">
        <v>0.31918699561817099</v>
      </c>
      <c r="E4714">
        <v>0.228538294641492</v>
      </c>
      <c r="F4714">
        <v>9.9699722275400096E-2</v>
      </c>
      <c r="G4714">
        <v>0.108896255254571</v>
      </c>
      <c r="H4714">
        <v>6.4645972910999799E-2</v>
      </c>
      <c r="I4714">
        <v>0.123786688633856</v>
      </c>
      <c r="J4714">
        <v>0.13296988850545699</v>
      </c>
      <c r="K4714">
        <v>0.12339850852633701</v>
      </c>
      <c r="L4714">
        <v>1523.8778300193601</v>
      </c>
      <c r="M4714">
        <v>34.217961264090803</v>
      </c>
      <c r="N4714">
        <v>44.892310385512303</v>
      </c>
      <c r="O4714">
        <v>44.383161672238302</v>
      </c>
      <c r="P4714">
        <v>-0.169735258460188</v>
      </c>
      <c r="Q4714">
        <v>0.119367949893703</v>
      </c>
      <c r="R4714">
        <v>0.98819912216239103</v>
      </c>
      <c r="S4714" t="s">
        <v>11717</v>
      </c>
      <c r="T4714" t="s">
        <v>14004</v>
      </c>
      <c r="U4714" t="s">
        <v>14004</v>
      </c>
      <c r="V4714" t="s">
        <v>14004</v>
      </c>
      <c r="W4714" t="s">
        <v>18663</v>
      </c>
      <c r="X4714">
        <v>1</v>
      </c>
      <c r="Y4714" t="s">
        <v>25474</v>
      </c>
      <c r="Z4714" t="s">
        <v>32424</v>
      </c>
      <c r="AA4714">
        <v>0.25679083885092763</v>
      </c>
      <c r="AB4714" t="str">
        <f>HYPERLINK("Melting_Curves/meltCurve_Q8N1G1_REXO1.pdf", "Melting_Curves/meltCurve_Q8N1G1_REXO1.pdf")</f>
        <v>Melting_Curves/meltCurve_Q8N1G1_REXO1.pdf</v>
      </c>
    </row>
    <row r="4715" spans="1:28" x14ac:dyDescent="0.25">
      <c r="A4715" t="s">
        <v>4719</v>
      </c>
      <c r="B4715">
        <v>0.99999676499088797</v>
      </c>
      <c r="C4715">
        <v>1.0051078538001299</v>
      </c>
      <c r="D4715">
        <v>0.96049196880532295</v>
      </c>
      <c r="E4715">
        <v>0.74708124933433295</v>
      </c>
      <c r="F4715">
        <v>0.24982584438983199</v>
      </c>
      <c r="G4715">
        <v>0.212037530847828</v>
      </c>
      <c r="H4715">
        <v>9.8534762279437693E-2</v>
      </c>
      <c r="I4715">
        <v>8.7241108614151103E-2</v>
      </c>
      <c r="J4715">
        <v>8.3820417097448904E-2</v>
      </c>
      <c r="K4715">
        <v>6.2778826179225103E-2</v>
      </c>
      <c r="L4715">
        <v>1607.3272885876399</v>
      </c>
      <c r="M4715">
        <v>31.540522068864298</v>
      </c>
      <c r="N4715">
        <v>51.304479829568201</v>
      </c>
      <c r="O4715">
        <v>50.757163903956901</v>
      </c>
      <c r="P4715">
        <v>-0.14055363941431001</v>
      </c>
      <c r="Q4715">
        <v>9.5250773761765994E-2</v>
      </c>
      <c r="R4715">
        <v>0.99387588557905204</v>
      </c>
      <c r="S4715" t="s">
        <v>11718</v>
      </c>
      <c r="T4715" t="s">
        <v>14004</v>
      </c>
      <c r="U4715" t="s">
        <v>14004</v>
      </c>
      <c r="V4715" t="s">
        <v>14004</v>
      </c>
      <c r="W4715" t="s">
        <v>18664</v>
      </c>
      <c r="X4715">
        <v>21</v>
      </c>
      <c r="Y4715" t="s">
        <v>25475</v>
      </c>
      <c r="Z4715" t="s">
        <v>32425</v>
      </c>
      <c r="AA4715">
        <v>0.43094866242284202</v>
      </c>
      <c r="AB4715" t="str">
        <f>HYPERLINK("Melting_Curves/meltCurve_Q8N1G2_FTSJD2.pdf", "Melting_Curves/meltCurve_Q8N1G2_FTSJD2.pdf")</f>
        <v>Melting_Curves/meltCurve_Q8N1G2_FTSJD2.pdf</v>
      </c>
    </row>
    <row r="4716" spans="1:28" x14ac:dyDescent="0.25">
      <c r="A4716" t="s">
        <v>4720</v>
      </c>
      <c r="B4716">
        <v>0.99999676499088797</v>
      </c>
      <c r="C4716">
        <v>0.88439599710720795</v>
      </c>
      <c r="D4716">
        <v>0.83015299466499803</v>
      </c>
      <c r="E4716">
        <v>0.75772601502978498</v>
      </c>
      <c r="F4716">
        <v>0.43476106233626999</v>
      </c>
      <c r="G4716">
        <v>0.18115284243718799</v>
      </c>
      <c r="H4716">
        <v>7.0064743189193604E-2</v>
      </c>
      <c r="I4716">
        <v>7.6933881578782407E-2</v>
      </c>
      <c r="J4716">
        <v>7.1765012448929702E-2</v>
      </c>
      <c r="K4716">
        <v>5.1595099879822803E-2</v>
      </c>
      <c r="L4716">
        <v>836.33546447644596</v>
      </c>
      <c r="M4716">
        <v>16.082437888424899</v>
      </c>
      <c r="N4716">
        <v>52.143256775344298</v>
      </c>
      <c r="O4716">
        <v>51.218922377390101</v>
      </c>
      <c r="P4716">
        <v>-7.6843058972591305E-2</v>
      </c>
      <c r="Q4716">
        <v>2.11642825821582E-2</v>
      </c>
      <c r="R4716">
        <v>0.98585938547977903</v>
      </c>
      <c r="S4716" t="s">
        <v>11719</v>
      </c>
      <c r="T4716" t="s">
        <v>14004</v>
      </c>
      <c r="U4716" t="s">
        <v>14004</v>
      </c>
      <c r="V4716" t="s">
        <v>14004</v>
      </c>
      <c r="W4716" t="s">
        <v>18665</v>
      </c>
      <c r="X4716">
        <v>30</v>
      </c>
      <c r="Y4716" t="s">
        <v>25476</v>
      </c>
      <c r="Z4716" t="s">
        <v>32426</v>
      </c>
      <c r="AA4716">
        <v>0.43241967658413899</v>
      </c>
      <c r="AB4716" t="str">
        <f>HYPERLINK("Melting_Curves/meltCurve_Q8N1G4_LRRC47.pdf", "Melting_Curves/meltCurve_Q8N1G4_LRRC47.pdf")</f>
        <v>Melting_Curves/meltCurve_Q8N1G4_LRRC47.pdf</v>
      </c>
    </row>
    <row r="4717" spans="1:28" x14ac:dyDescent="0.25">
      <c r="A4717" t="s">
        <v>4721</v>
      </c>
      <c r="B4717">
        <v>0.99999676499088797</v>
      </c>
      <c r="C4717">
        <v>0.87234053738246298</v>
      </c>
      <c r="D4717">
        <v>0.631619274709456</v>
      </c>
      <c r="E4717">
        <v>0.33020040095005898</v>
      </c>
      <c r="F4717">
        <v>0.210078152689153</v>
      </c>
      <c r="G4717">
        <v>0.13748599031390701</v>
      </c>
      <c r="H4717">
        <v>7.3447136154707895E-2</v>
      </c>
      <c r="I4717">
        <v>5.6543944879180102E-2</v>
      </c>
      <c r="J4717">
        <v>5.3200039080303498E-2</v>
      </c>
      <c r="K4717">
        <v>5.1555827911426003E-2</v>
      </c>
      <c r="L4717">
        <v>815.21538744804502</v>
      </c>
      <c r="M4717">
        <v>17.229881154065701</v>
      </c>
      <c r="N4717">
        <v>47.6565069498253</v>
      </c>
      <c r="O4717">
        <v>46.6904825688082</v>
      </c>
      <c r="P4717">
        <v>-8.6889401479209594E-2</v>
      </c>
      <c r="Q4717">
        <v>5.8224198732568698E-2</v>
      </c>
      <c r="R4717">
        <v>0.99636216469765404</v>
      </c>
      <c r="S4717" t="s">
        <v>11720</v>
      </c>
      <c r="T4717" t="s">
        <v>14004</v>
      </c>
      <c r="U4717" t="s">
        <v>14004</v>
      </c>
      <c r="V4717" t="s">
        <v>14004</v>
      </c>
      <c r="W4717" t="s">
        <v>18666</v>
      </c>
      <c r="X4717">
        <v>8</v>
      </c>
      <c r="Y4717" t="s">
        <v>25477</v>
      </c>
      <c r="Z4717" t="s">
        <v>32427</v>
      </c>
      <c r="AA4717">
        <v>0.30663848627348378</v>
      </c>
      <c r="AB4717" t="str">
        <f>HYPERLINK("Melting_Curves/meltCurve_Q8N1K5_THEMIS.pdf", "Melting_Curves/meltCurve_Q8N1K5_THEMIS.pdf")</f>
        <v>Melting_Curves/meltCurve_Q8N1K5_THEMIS.pdf</v>
      </c>
    </row>
    <row r="4718" spans="1:28" x14ac:dyDescent="0.25">
      <c r="A4718" t="s">
        <v>4722</v>
      </c>
      <c r="B4718">
        <v>0.99999676499088797</v>
      </c>
      <c r="C4718">
        <v>1.0561431847062599</v>
      </c>
      <c r="D4718">
        <v>1.0639904777208899</v>
      </c>
      <c r="E4718">
        <v>1.05421604169271</v>
      </c>
      <c r="F4718">
        <v>0.90899475253067596</v>
      </c>
      <c r="G4718">
        <v>0.902024203115108</v>
      </c>
      <c r="H4718">
        <v>0.54712292873093404</v>
      </c>
      <c r="I4718">
        <v>0.61871577853698401</v>
      </c>
      <c r="J4718">
        <v>0.26645959857860801</v>
      </c>
      <c r="K4718">
        <v>0.27130628646600002</v>
      </c>
      <c r="L4718">
        <v>974.04611520941603</v>
      </c>
      <c r="M4718">
        <v>15.538577358028499</v>
      </c>
      <c r="N4718">
        <v>63.681079886343397</v>
      </c>
      <c r="O4718">
        <v>61.674962912953902</v>
      </c>
      <c r="P4718">
        <v>-5.6199603202130001E-2</v>
      </c>
      <c r="Q4718">
        <v>0.10781960603353</v>
      </c>
      <c r="R4718">
        <v>0.941211761328688</v>
      </c>
      <c r="S4718" t="s">
        <v>11721</v>
      </c>
      <c r="T4718" t="s">
        <v>14004</v>
      </c>
      <c r="U4718" t="s">
        <v>14004</v>
      </c>
      <c r="V4718" t="s">
        <v>14004</v>
      </c>
      <c r="W4718" t="s">
        <v>18667</v>
      </c>
      <c r="X4718">
        <v>3</v>
      </c>
      <c r="Y4718" t="s">
        <v>25478</v>
      </c>
      <c r="Z4718" t="s">
        <v>32428</v>
      </c>
      <c r="AA4718">
        <v>0.7772873549742656</v>
      </c>
      <c r="AB4718" t="str">
        <f>HYPERLINK("Melting_Curves/meltCurve_Q8N1S5_2_SLC39A11.pdf", "Melting_Curves/meltCurve_Q8N1S5_2_SLC39A11.pdf")</f>
        <v>Melting_Curves/meltCurve_Q8N1S5_2_SLC39A11.pdf</v>
      </c>
    </row>
    <row r="4719" spans="1:28" x14ac:dyDescent="0.25">
      <c r="A4719" t="s">
        <v>4723</v>
      </c>
      <c r="B4719">
        <v>0.99999676499088797</v>
      </c>
      <c r="C4719">
        <v>0.99017075873732097</v>
      </c>
      <c r="D4719">
        <v>0.72922962636143596</v>
      </c>
      <c r="E4719">
        <v>0.276086753259706</v>
      </c>
      <c r="F4719">
        <v>0.200042540850739</v>
      </c>
      <c r="G4719">
        <v>0.145948004893629</v>
      </c>
      <c r="H4719">
        <v>6.7059523280521602E-2</v>
      </c>
      <c r="I4719">
        <v>6.6623317354421799E-2</v>
      </c>
      <c r="J4719">
        <v>6.2275288794565301E-2</v>
      </c>
      <c r="K4719">
        <v>5.3155771421180199E-2</v>
      </c>
      <c r="L4719">
        <v>1277.91728412322</v>
      </c>
      <c r="M4719">
        <v>26.904737979979199</v>
      </c>
      <c r="N4719">
        <v>47.826495306352697</v>
      </c>
      <c r="O4719">
        <v>47.237776691687799</v>
      </c>
      <c r="P4719">
        <v>-0.13037479517328601</v>
      </c>
      <c r="Q4719">
        <v>8.4391217686594799E-2</v>
      </c>
      <c r="R4719">
        <v>0.99147188861330404</v>
      </c>
      <c r="S4719" t="s">
        <v>11722</v>
      </c>
      <c r="T4719" t="s">
        <v>14004</v>
      </c>
      <c r="U4719" t="s">
        <v>14004</v>
      </c>
      <c r="V4719" t="s">
        <v>14004</v>
      </c>
      <c r="W4719" t="s">
        <v>18668</v>
      </c>
      <c r="X4719">
        <v>15</v>
      </c>
      <c r="Y4719" t="s">
        <v>25479</v>
      </c>
      <c r="Z4719" t="s">
        <v>32429</v>
      </c>
      <c r="AA4719">
        <v>0.32015643902232938</v>
      </c>
      <c r="AB4719" t="str">
        <f>HYPERLINK("Melting_Curves/meltCurve_Q8N201_INTS1.pdf", "Melting_Curves/meltCurve_Q8N201_INTS1.pdf")</f>
        <v>Melting_Curves/meltCurve_Q8N201_INTS1.pdf</v>
      </c>
    </row>
    <row r="4720" spans="1:28" x14ac:dyDescent="0.25">
      <c r="A4720" t="s">
        <v>4724</v>
      </c>
      <c r="B4720">
        <v>0.99999676499088797</v>
      </c>
      <c r="C4720">
        <v>1.5598504646392699</v>
      </c>
      <c r="D4720">
        <v>1.0028730804422199</v>
      </c>
      <c r="E4720">
        <v>0.38084689443498698</v>
      </c>
      <c r="F4720">
        <v>0.63640931799243206</v>
      </c>
      <c r="G4720">
        <v>0.78826749512134797</v>
      </c>
      <c r="H4720">
        <v>0.53866271122041798</v>
      </c>
      <c r="I4720">
        <v>0.64509525112634303</v>
      </c>
      <c r="J4720">
        <v>0.512411879117317</v>
      </c>
      <c r="K4720">
        <v>0.37473614195522098</v>
      </c>
      <c r="L4720">
        <v>11839.246943975901</v>
      </c>
      <c r="M4720">
        <v>250</v>
      </c>
      <c r="O4720">
        <v>47.353957511671503</v>
      </c>
      <c r="P4720">
        <v>-0.58894830924989605</v>
      </c>
      <c r="Q4720">
        <v>0.55377547165182295</v>
      </c>
      <c r="R4720">
        <v>0.62252810633618505</v>
      </c>
      <c r="S4720" t="s">
        <v>11723</v>
      </c>
      <c r="T4720" t="s">
        <v>14004</v>
      </c>
      <c r="U4720" t="s">
        <v>14004</v>
      </c>
      <c r="V4720" t="s">
        <v>14004</v>
      </c>
      <c r="W4720" t="s">
        <v>18669</v>
      </c>
      <c r="X4720">
        <v>10</v>
      </c>
      <c r="Y4720" t="s">
        <v>25480</v>
      </c>
      <c r="Z4720" t="s">
        <v>32430</v>
      </c>
      <c r="AA4720">
        <v>0.66324150439773299</v>
      </c>
      <c r="AB4720" t="str">
        <f>HYPERLINK("Melting_Curves/meltCurve_Q8N257_HIST3H2BB.pdf", "Melting_Curves/meltCurve_Q8N257_HIST3H2BB.pdf")</f>
        <v>Melting_Curves/meltCurve_Q8N257_HIST3H2BB.pdf</v>
      </c>
    </row>
    <row r="4721" spans="1:28" x14ac:dyDescent="0.25">
      <c r="A4721" t="s">
        <v>4725</v>
      </c>
      <c r="B4721">
        <v>0.99999676499088797</v>
      </c>
      <c r="C4721">
        <v>0.89993882202493003</v>
      </c>
      <c r="D4721">
        <v>0.83335516317776404</v>
      </c>
      <c r="E4721">
        <v>0.24970574898640499</v>
      </c>
      <c r="F4721">
        <v>0.14694496979559399</v>
      </c>
      <c r="G4721">
        <v>8.2488582550660203E-2</v>
      </c>
      <c r="H4721">
        <v>4.5649555889312597E-2</v>
      </c>
      <c r="I4721">
        <v>4.71286867654599E-2</v>
      </c>
      <c r="J4721">
        <v>4.4415190095795101E-2</v>
      </c>
      <c r="K4721">
        <v>3.9140063625484701E-2</v>
      </c>
      <c r="L4721">
        <v>1589.14558134506</v>
      </c>
      <c r="M4721">
        <v>33.218250718969799</v>
      </c>
      <c r="N4721">
        <v>48.017523717496999</v>
      </c>
      <c r="O4721">
        <v>47.667154866268397</v>
      </c>
      <c r="P4721">
        <v>-0.164128518529366</v>
      </c>
      <c r="Q4721">
        <v>5.7926841741902997E-2</v>
      </c>
      <c r="R4721">
        <v>0.99127959044791003</v>
      </c>
      <c r="S4721" t="s">
        <v>11724</v>
      </c>
      <c r="T4721" t="s">
        <v>14004</v>
      </c>
      <c r="U4721" t="s">
        <v>14004</v>
      </c>
      <c r="V4721" t="s">
        <v>14004</v>
      </c>
      <c r="W4721" t="s">
        <v>18670</v>
      </c>
      <c r="X4721">
        <v>8</v>
      </c>
      <c r="Y4721" t="s">
        <v>25481</v>
      </c>
      <c r="Z4721" t="s">
        <v>32431</v>
      </c>
      <c r="AA4721">
        <v>0.30868588917856032</v>
      </c>
      <c r="AB4721" t="str">
        <f>HYPERLINK("Melting_Curves/meltCurve_Q8N2F6_3_ARMC10.pdf", "Melting_Curves/meltCurve_Q8N2F6_3_ARMC10.pdf")</f>
        <v>Melting_Curves/meltCurve_Q8N2F6_3_ARMC10.pdf</v>
      </c>
    </row>
    <row r="4722" spans="1:28" x14ac:dyDescent="0.25">
      <c r="A4722" t="s">
        <v>4726</v>
      </c>
      <c r="B4722">
        <v>0.99999676499088797</v>
      </c>
      <c r="C4722">
        <v>0.98412008759695002</v>
      </c>
      <c r="D4722">
        <v>0.82967779963683197</v>
      </c>
      <c r="E4722">
        <v>0.53959274124669498</v>
      </c>
      <c r="F4722">
        <v>0.25304584643470501</v>
      </c>
      <c r="G4722">
        <v>0.18854619567377401</v>
      </c>
      <c r="H4722">
        <v>6.4608514923422594E-2</v>
      </c>
      <c r="I4722">
        <v>0.101376087390462</v>
      </c>
      <c r="J4722">
        <v>9.6262423809353098E-2</v>
      </c>
      <c r="K4722">
        <v>5.9457997081891402E-2</v>
      </c>
      <c r="L4722">
        <v>982.23959222011899</v>
      </c>
      <c r="M4722">
        <v>19.805404956462699</v>
      </c>
      <c r="N4722">
        <v>50.016853109831104</v>
      </c>
      <c r="O4722">
        <v>49.097203503108197</v>
      </c>
      <c r="P4722">
        <v>-9.3085933657047801E-2</v>
      </c>
      <c r="Q4722">
        <v>7.6998349330415494E-2</v>
      </c>
      <c r="R4722">
        <v>0.99650110838962602</v>
      </c>
      <c r="S4722" t="s">
        <v>11725</v>
      </c>
      <c r="T4722" t="s">
        <v>14004</v>
      </c>
      <c r="U4722" t="s">
        <v>14004</v>
      </c>
      <c r="V4722" t="s">
        <v>14004</v>
      </c>
      <c r="W4722" t="s">
        <v>18671</v>
      </c>
      <c r="X4722">
        <v>3</v>
      </c>
      <c r="Y4722" t="s">
        <v>25482</v>
      </c>
      <c r="Z4722" t="s">
        <v>32432</v>
      </c>
      <c r="AA4722">
        <v>0.38531562776767547</v>
      </c>
      <c r="AB4722" t="str">
        <f>HYPERLINK("Melting_Curves/meltCurve_Q8N2G8_3_GHDC.pdf", "Melting_Curves/meltCurve_Q8N2G8_3_GHDC.pdf")</f>
        <v>Melting_Curves/meltCurve_Q8N2G8_3_GHDC.pdf</v>
      </c>
    </row>
    <row r="4723" spans="1:28" x14ac:dyDescent="0.25">
      <c r="A4723" t="s">
        <v>4727</v>
      </c>
      <c r="B4723">
        <v>0.99999676499088797</v>
      </c>
      <c r="C4723">
        <v>1.03848179641496</v>
      </c>
      <c r="D4723">
        <v>0.99404783244483497</v>
      </c>
      <c r="E4723">
        <v>0.77126576448834905</v>
      </c>
      <c r="F4723">
        <v>0.39757342100320597</v>
      </c>
      <c r="G4723">
        <v>0.32333297805058098</v>
      </c>
      <c r="H4723">
        <v>0.14781765908363101</v>
      </c>
      <c r="I4723">
        <v>0.19159754812288801</v>
      </c>
      <c r="J4723">
        <v>0.14569388959586699</v>
      </c>
      <c r="K4723">
        <v>0.11577677120718601</v>
      </c>
      <c r="L4723">
        <v>1207.2989548405901</v>
      </c>
      <c r="M4723">
        <v>23.353247154679998</v>
      </c>
      <c r="N4723">
        <v>52.509072587258203</v>
      </c>
      <c r="O4723">
        <v>51.322664310252598</v>
      </c>
      <c r="P4723">
        <v>-9.6521329924572102E-2</v>
      </c>
      <c r="Q4723">
        <v>0.15152792345261201</v>
      </c>
      <c r="R4723">
        <v>0.98924510278590305</v>
      </c>
      <c r="S4723" t="s">
        <v>11726</v>
      </c>
      <c r="T4723" t="s">
        <v>14004</v>
      </c>
      <c r="U4723" t="s">
        <v>14004</v>
      </c>
      <c r="V4723" t="s">
        <v>14004</v>
      </c>
      <c r="W4723" t="s">
        <v>18672</v>
      </c>
      <c r="X4723">
        <v>12</v>
      </c>
      <c r="Y4723" t="s">
        <v>25483</v>
      </c>
      <c r="Z4723" t="s">
        <v>32433</v>
      </c>
      <c r="AA4723">
        <v>0.49115837774908372</v>
      </c>
      <c r="AB4723" t="str">
        <f>HYPERLINK("Melting_Curves/meltCurve_Q8N2K0_ABHD12.pdf", "Melting_Curves/meltCurve_Q8N2K0_ABHD12.pdf")</f>
        <v>Melting_Curves/meltCurve_Q8N2K0_ABHD12.pdf</v>
      </c>
    </row>
    <row r="4724" spans="1:28" x14ac:dyDescent="0.25">
      <c r="A4724" t="s">
        <v>4728</v>
      </c>
      <c r="B4724">
        <v>0.99999676499088797</v>
      </c>
      <c r="C4724">
        <v>0.76463078205386104</v>
      </c>
      <c r="D4724">
        <v>0.364209718591258</v>
      </c>
      <c r="E4724">
        <v>0.21439752611414101</v>
      </c>
      <c r="F4724">
        <v>0.22923979654500501</v>
      </c>
      <c r="G4724">
        <v>0.10470323187747201</v>
      </c>
      <c r="H4724">
        <v>8.1121134725771898E-2</v>
      </c>
      <c r="I4724">
        <v>5.5666937504452597E-2</v>
      </c>
      <c r="J4724">
        <v>8.8907374601207706E-2</v>
      </c>
      <c r="K4724">
        <v>3.15537855595086E-2</v>
      </c>
      <c r="L4724">
        <v>1038.2958261922099</v>
      </c>
      <c r="M4724">
        <v>23.199922506502901</v>
      </c>
      <c r="N4724">
        <v>45.159798296540203</v>
      </c>
      <c r="O4724">
        <v>44.425749113791902</v>
      </c>
      <c r="P4724">
        <v>-0.118280711102403</v>
      </c>
      <c r="Q4724">
        <v>9.4029156412321194E-2</v>
      </c>
      <c r="R4724">
        <v>0.97485037461726098</v>
      </c>
      <c r="S4724" t="s">
        <v>11727</v>
      </c>
      <c r="T4724" t="s">
        <v>14004</v>
      </c>
      <c r="U4724" t="s">
        <v>14004</v>
      </c>
      <c r="V4724" t="s">
        <v>14004</v>
      </c>
      <c r="W4724" t="s">
        <v>18673</v>
      </c>
      <c r="X4724">
        <v>4</v>
      </c>
      <c r="Y4724" t="s">
        <v>25484</v>
      </c>
      <c r="Z4724" t="s">
        <v>32434</v>
      </c>
      <c r="AA4724">
        <v>0.24871349611512181</v>
      </c>
      <c r="AB4724" t="str">
        <f>HYPERLINK("Melting_Curves/meltCurve_Q8N2W9_PIAS4.pdf", "Melting_Curves/meltCurve_Q8N2W9_PIAS4.pdf")</f>
        <v>Melting_Curves/meltCurve_Q8N2W9_PIAS4.pdf</v>
      </c>
    </row>
    <row r="4725" spans="1:28" x14ac:dyDescent="0.25">
      <c r="A4725" t="s">
        <v>4729</v>
      </c>
      <c r="B4725">
        <v>0.99999676499088797</v>
      </c>
      <c r="C4725">
        <v>0.89999335640283895</v>
      </c>
      <c r="D4725">
        <v>0.97395972147798404</v>
      </c>
      <c r="E4725">
        <v>0.83875360725202297</v>
      </c>
      <c r="F4725">
        <v>0.36012058412689701</v>
      </c>
      <c r="G4725">
        <v>0.220442954917316</v>
      </c>
      <c r="H4725">
        <v>9.2570034525971998E-2</v>
      </c>
      <c r="I4725">
        <v>0.105552638552057</v>
      </c>
      <c r="J4725">
        <v>0.118909621108922</v>
      </c>
      <c r="K4725">
        <v>0.105723671396676</v>
      </c>
      <c r="L4725">
        <v>1591.55311806955</v>
      </c>
      <c r="M4725">
        <v>30.719537548662299</v>
      </c>
      <c r="N4725">
        <v>52.237450349763897</v>
      </c>
      <c r="O4725">
        <v>51.591086991243898</v>
      </c>
      <c r="P4725">
        <v>-0.13228906415857999</v>
      </c>
      <c r="Q4725">
        <v>0.111328283960132</v>
      </c>
      <c r="R4725">
        <v>0.99002588257166801</v>
      </c>
      <c r="S4725" t="s">
        <v>11728</v>
      </c>
      <c r="T4725" t="s">
        <v>14004</v>
      </c>
      <c r="U4725" t="s">
        <v>14004</v>
      </c>
      <c r="V4725" t="s">
        <v>14004</v>
      </c>
      <c r="W4725" t="s">
        <v>18674</v>
      </c>
      <c r="X4725">
        <v>6</v>
      </c>
      <c r="Y4725" t="s">
        <v>25485</v>
      </c>
      <c r="Z4725" t="s">
        <v>32435</v>
      </c>
      <c r="AA4725">
        <v>0.46654387568626982</v>
      </c>
      <c r="AB4725" t="str">
        <f>HYPERLINK("Melting_Curves/meltCurve_Q8N2Z9_APITD1.pdf", "Melting_Curves/meltCurve_Q8N2Z9_APITD1.pdf")</f>
        <v>Melting_Curves/meltCurve_Q8N2Z9_APITD1.pdf</v>
      </c>
    </row>
    <row r="4726" spans="1:28" x14ac:dyDescent="0.25">
      <c r="A4726" t="s">
        <v>4730</v>
      </c>
      <c r="B4726">
        <v>0.99999676499088797</v>
      </c>
      <c r="C4726">
        <v>0.89459387956335401</v>
      </c>
      <c r="D4726">
        <v>0.92267727958183798</v>
      </c>
      <c r="E4726">
        <v>0.987923764165622</v>
      </c>
      <c r="F4726">
        <v>0.94709376278754098</v>
      </c>
      <c r="G4726">
        <v>0.72685093892489205</v>
      </c>
      <c r="H4726">
        <v>0.50358431193257402</v>
      </c>
      <c r="I4726">
        <v>0.56199623872176396</v>
      </c>
      <c r="J4726">
        <v>0.58797040562663005</v>
      </c>
      <c r="K4726">
        <v>0.70361579941408503</v>
      </c>
      <c r="L4726">
        <v>2783.7753776033401</v>
      </c>
      <c r="M4726">
        <v>49.867557900024401</v>
      </c>
      <c r="O4726">
        <v>55.733822399333803</v>
      </c>
      <c r="P4726">
        <v>-9.1719841506870597E-2</v>
      </c>
      <c r="Q4726">
        <v>0.58996243828014605</v>
      </c>
      <c r="R4726">
        <v>0.87505260265128004</v>
      </c>
      <c r="S4726" t="s">
        <v>11729</v>
      </c>
      <c r="T4726" t="s">
        <v>14004</v>
      </c>
      <c r="U4726" t="s">
        <v>14004</v>
      </c>
      <c r="V4726" t="s">
        <v>14004</v>
      </c>
      <c r="W4726" t="s">
        <v>18675</v>
      </c>
      <c r="X4726">
        <v>2</v>
      </c>
      <c r="Y4726" t="s">
        <v>25486</v>
      </c>
      <c r="Z4726" t="s">
        <v>32436</v>
      </c>
      <c r="AA4726">
        <v>0.80724907161709292</v>
      </c>
      <c r="AB4726" t="str">
        <f>HYPERLINK("Melting_Curves/meltCurve_Q8N300_CCDC23.pdf", "Melting_Curves/meltCurve_Q8N300_CCDC23.pdf")</f>
        <v>Melting_Curves/meltCurve_Q8N300_CCDC23.pdf</v>
      </c>
    </row>
    <row r="4727" spans="1:28" x14ac:dyDescent="0.25">
      <c r="A4727" t="s">
        <v>4731</v>
      </c>
      <c r="B4727">
        <v>0.99999676499088797</v>
      </c>
      <c r="C4727">
        <v>0.84458946405704305</v>
      </c>
      <c r="D4727">
        <v>0.93094950230173301</v>
      </c>
      <c r="E4727">
        <v>0.54122810123631804</v>
      </c>
      <c r="F4727">
        <v>0.29835790658834399</v>
      </c>
      <c r="G4727">
        <v>0.193020951817855</v>
      </c>
      <c r="H4727">
        <v>0.106702227755784</v>
      </c>
      <c r="I4727">
        <v>6.1527788535314501E-2</v>
      </c>
      <c r="J4727">
        <v>4.6772021501711503E-2</v>
      </c>
      <c r="K4727">
        <v>6.0046721468874402E-2</v>
      </c>
      <c r="L4727">
        <v>874.36899355591504</v>
      </c>
      <c r="M4727">
        <v>17.412676178324698</v>
      </c>
      <c r="N4727">
        <v>50.526238270529603</v>
      </c>
      <c r="O4727">
        <v>49.566260419614601</v>
      </c>
      <c r="P4727">
        <v>-8.3356972866538898E-2</v>
      </c>
      <c r="Q4727">
        <v>5.09302765537945E-2</v>
      </c>
      <c r="R4727">
        <v>0.98288273728253595</v>
      </c>
      <c r="S4727" t="s">
        <v>11730</v>
      </c>
      <c r="T4727" t="s">
        <v>14004</v>
      </c>
      <c r="U4727" t="s">
        <v>14004</v>
      </c>
      <c r="V4727" t="s">
        <v>14004</v>
      </c>
      <c r="W4727" t="s">
        <v>18676</v>
      </c>
      <c r="X4727">
        <v>2</v>
      </c>
      <c r="Y4727" t="s">
        <v>25487</v>
      </c>
      <c r="Z4727" t="s">
        <v>32437</v>
      </c>
      <c r="AA4727">
        <v>0.39124585519424959</v>
      </c>
      <c r="AB4727" t="str">
        <f>HYPERLINK("Melting_Curves/meltCurve_Q8N302_AGGF1.pdf", "Melting_Curves/meltCurve_Q8N302_AGGF1.pdf")</f>
        <v>Melting_Curves/meltCurve_Q8N302_AGGF1.pdf</v>
      </c>
    </row>
    <row r="4728" spans="1:28" x14ac:dyDescent="0.25">
      <c r="A4728" t="s">
        <v>4732</v>
      </c>
      <c r="B4728">
        <v>0.99999676499088797</v>
      </c>
      <c r="C4728">
        <v>0.89692646601819404</v>
      </c>
      <c r="D4728">
        <v>0.91266958085480598</v>
      </c>
      <c r="E4728">
        <v>1.0028048663215099</v>
      </c>
      <c r="F4728">
        <v>0.86259633382989498</v>
      </c>
      <c r="G4728">
        <v>0.38326904123</v>
      </c>
      <c r="H4728">
        <v>8.6873385988947505E-2</v>
      </c>
      <c r="I4728">
        <v>7.2417416351261699E-2</v>
      </c>
      <c r="J4728">
        <v>6.2302663154342998E-2</v>
      </c>
      <c r="K4728">
        <v>4.7784085497488103E-2</v>
      </c>
      <c r="L4728">
        <v>2054.85963110183</v>
      </c>
      <c r="M4728">
        <v>36.821178635291197</v>
      </c>
      <c r="N4728">
        <v>55.980979358888902</v>
      </c>
      <c r="O4728">
        <v>55.642620863841699</v>
      </c>
      <c r="P4728">
        <v>-0.15646645372590101</v>
      </c>
      <c r="Q4728">
        <v>5.4220572753904898E-2</v>
      </c>
      <c r="R4728">
        <v>0.98911479489095699</v>
      </c>
      <c r="S4728" t="s">
        <v>11731</v>
      </c>
      <c r="T4728" t="s">
        <v>14004</v>
      </c>
      <c r="U4728" t="s">
        <v>14004</v>
      </c>
      <c r="V4728" t="s">
        <v>14004</v>
      </c>
      <c r="W4728" t="s">
        <v>18677</v>
      </c>
      <c r="X4728">
        <v>15</v>
      </c>
      <c r="Y4728" t="s">
        <v>25488</v>
      </c>
      <c r="Z4728" t="s">
        <v>32438</v>
      </c>
      <c r="AA4728">
        <v>0.55680211012574088</v>
      </c>
      <c r="AB4728" t="str">
        <f>HYPERLINK("Melting_Curves/meltCurve_Q8N335_GPD1L.pdf", "Melting_Curves/meltCurve_Q8N335_GPD1L.pdf")</f>
        <v>Melting_Curves/meltCurve_Q8N335_GPD1L.pdf</v>
      </c>
    </row>
    <row r="4729" spans="1:28" x14ac:dyDescent="0.25">
      <c r="A4729" t="s">
        <v>4733</v>
      </c>
      <c r="B4729">
        <v>0.99999676499088797</v>
      </c>
      <c r="C4729">
        <v>0.78626693731241604</v>
      </c>
      <c r="D4729">
        <v>0.52982044971440101</v>
      </c>
      <c r="E4729">
        <v>0.353371063064636</v>
      </c>
      <c r="F4729">
        <v>0.223124636733984</v>
      </c>
      <c r="G4729">
        <v>0.25855942808106103</v>
      </c>
      <c r="H4729">
        <v>9.4313191861483098E-2</v>
      </c>
      <c r="I4729">
        <v>8.2374769225740205E-2</v>
      </c>
      <c r="J4729">
        <v>4.9432364619413999E-2</v>
      </c>
      <c r="K4729">
        <v>7.0896244982910694E-2</v>
      </c>
      <c r="L4729">
        <v>646.68810319859404</v>
      </c>
      <c r="M4729">
        <v>13.870212225764501</v>
      </c>
      <c r="N4729">
        <v>47.1944138906929</v>
      </c>
      <c r="O4729">
        <v>45.6871410514606</v>
      </c>
      <c r="P4729">
        <v>-7.0052563653299704E-2</v>
      </c>
      <c r="Q4729">
        <v>7.7141099694096202E-2</v>
      </c>
      <c r="R4729">
        <v>0.97484262740961702</v>
      </c>
      <c r="S4729" t="s">
        <v>11732</v>
      </c>
      <c r="T4729" t="s">
        <v>14004</v>
      </c>
      <c r="U4729" t="s">
        <v>14004</v>
      </c>
      <c r="V4729" t="s">
        <v>14004</v>
      </c>
      <c r="W4729" t="s">
        <v>18678</v>
      </c>
      <c r="X4729">
        <v>1</v>
      </c>
      <c r="Y4729" t="s">
        <v>25489</v>
      </c>
      <c r="Z4729" t="s">
        <v>32439</v>
      </c>
      <c r="AA4729">
        <v>0.31107829118696267</v>
      </c>
      <c r="AB4729" t="str">
        <f>HYPERLINK("Melting_Curves/meltCurve_Q8N344_MIER2.pdf", "Melting_Curves/meltCurve_Q8N344_MIER2.pdf")</f>
        <v>Melting_Curves/meltCurve_Q8N344_MIER2.pdf</v>
      </c>
    </row>
    <row r="4730" spans="1:28" x14ac:dyDescent="0.25">
      <c r="A4730" t="s">
        <v>4734</v>
      </c>
      <c r="B4730">
        <v>0.99999676499088797</v>
      </c>
      <c r="C4730">
        <v>1.15305575634772</v>
      </c>
      <c r="D4730">
        <v>0.90136387774933702</v>
      </c>
      <c r="E4730">
        <v>0.64629212532241098</v>
      </c>
      <c r="F4730">
        <v>0.461601178917453</v>
      </c>
      <c r="G4730">
        <v>0.473676635208999</v>
      </c>
      <c r="H4730">
        <v>0.210561534311138</v>
      </c>
      <c r="I4730">
        <v>0.35278615519552298</v>
      </c>
      <c r="J4730">
        <v>0.208096431577485</v>
      </c>
      <c r="K4730">
        <v>0.107881194058199</v>
      </c>
      <c r="L4730">
        <v>777.49448895471801</v>
      </c>
      <c r="M4730">
        <v>15.0625610795129</v>
      </c>
      <c r="N4730">
        <v>53.355392741623199</v>
      </c>
      <c r="O4730">
        <v>50.733525910526502</v>
      </c>
      <c r="P4730">
        <v>-5.9840801667221603E-2</v>
      </c>
      <c r="Q4730">
        <v>0.19386030850970501</v>
      </c>
      <c r="R4730">
        <v>0.928442610796129</v>
      </c>
      <c r="S4730" t="s">
        <v>11733</v>
      </c>
      <c r="T4730" t="s">
        <v>14004</v>
      </c>
      <c r="U4730" t="s">
        <v>14004</v>
      </c>
      <c r="V4730" t="s">
        <v>14004</v>
      </c>
      <c r="W4730" t="s">
        <v>18679</v>
      </c>
      <c r="X4730">
        <v>3</v>
      </c>
      <c r="Y4730" t="s">
        <v>25490</v>
      </c>
      <c r="Z4730" t="s">
        <v>32440</v>
      </c>
      <c r="AA4730">
        <v>0.52418143666650618</v>
      </c>
      <c r="AB4730" t="str">
        <f>HYPERLINK("Melting_Curves/meltCurve_Q8N357_SLC35F6.pdf", "Melting_Curves/meltCurve_Q8N357_SLC35F6.pdf")</f>
        <v>Melting_Curves/meltCurve_Q8N357_SLC35F6.pdf</v>
      </c>
    </row>
    <row r="4731" spans="1:28" x14ac:dyDescent="0.25">
      <c r="A4731" t="s">
        <v>4735</v>
      </c>
      <c r="B4731">
        <v>0.99999676499088797</v>
      </c>
      <c r="C4731">
        <v>0.96429893344738704</v>
      </c>
      <c r="D4731">
        <v>1.0838496266435</v>
      </c>
      <c r="E4731">
        <v>0.95268592036133104</v>
      </c>
      <c r="F4731">
        <v>0.57409047829670001</v>
      </c>
      <c r="G4731">
        <v>0.14415321867965999</v>
      </c>
      <c r="H4731">
        <v>5.7856408078985601E-2</v>
      </c>
      <c r="I4731">
        <v>6.8220685042070905E-2</v>
      </c>
      <c r="J4731">
        <v>5.0131599518412902E-2</v>
      </c>
      <c r="K4731">
        <v>3.3172467119137398E-2</v>
      </c>
      <c r="L4731">
        <v>2052.9209646166901</v>
      </c>
      <c r="M4731">
        <v>38.376621635309903</v>
      </c>
      <c r="N4731">
        <v>53.640888521710202</v>
      </c>
      <c r="O4731">
        <v>53.349420401968302</v>
      </c>
      <c r="P4731">
        <v>-0.170869403827345</v>
      </c>
      <c r="Q4731">
        <v>4.98631324951943E-2</v>
      </c>
      <c r="R4731">
        <v>0.99527839840977705</v>
      </c>
      <c r="S4731" t="s">
        <v>11734</v>
      </c>
      <c r="T4731" t="s">
        <v>14004</v>
      </c>
      <c r="U4731" t="s">
        <v>14004</v>
      </c>
      <c r="V4731" t="s">
        <v>14004</v>
      </c>
      <c r="W4731" t="s">
        <v>18680</v>
      </c>
      <c r="X4731">
        <v>2</v>
      </c>
      <c r="Y4731" t="s">
        <v>25491</v>
      </c>
      <c r="Z4731" t="s">
        <v>32441</v>
      </c>
      <c r="AA4731">
        <v>0.48104766704040308</v>
      </c>
      <c r="AB4731" t="str">
        <f>HYPERLINK("Melting_Curves/meltCurve_Q8N371_KDM8.pdf", "Melting_Curves/meltCurve_Q8N371_KDM8.pdf")</f>
        <v>Melting_Curves/meltCurve_Q8N371_KDM8.pdf</v>
      </c>
    </row>
    <row r="4732" spans="1:28" x14ac:dyDescent="0.25">
      <c r="A4732" t="s">
        <v>4736</v>
      </c>
      <c r="B4732">
        <v>0.99999676499088797</v>
      </c>
      <c r="C4732">
        <v>0.93983269816906501</v>
      </c>
      <c r="D4732">
        <v>0.63249640034573296</v>
      </c>
      <c r="E4732">
        <v>0.223943720524345</v>
      </c>
      <c r="F4732">
        <v>0.20006144268502599</v>
      </c>
      <c r="G4732">
        <v>0.12605860389165799</v>
      </c>
      <c r="H4732">
        <v>5.7182965374783797E-2</v>
      </c>
      <c r="I4732">
        <v>2.58967752137832E-2</v>
      </c>
      <c r="J4732">
        <v>5.5208895309799097E-2</v>
      </c>
      <c r="K4732">
        <v>4.19265783668758E-2</v>
      </c>
      <c r="L4732">
        <v>1142.23365510385</v>
      </c>
      <c r="M4732">
        <v>24.3755152419442</v>
      </c>
      <c r="N4732">
        <v>47.1414048781796</v>
      </c>
      <c r="O4732">
        <v>46.547912191248798</v>
      </c>
      <c r="P4732">
        <v>-0.122050455446944</v>
      </c>
      <c r="Q4732">
        <v>6.7735224205883904E-2</v>
      </c>
      <c r="R4732">
        <v>0.98899189839059798</v>
      </c>
      <c r="S4732" t="s">
        <v>11735</v>
      </c>
      <c r="T4732" t="s">
        <v>14004</v>
      </c>
      <c r="U4732" t="s">
        <v>14004</v>
      </c>
      <c r="V4732" t="s">
        <v>14004</v>
      </c>
      <c r="W4732" t="s">
        <v>18681</v>
      </c>
      <c r="X4732">
        <v>2</v>
      </c>
      <c r="Y4732" t="s">
        <v>25492</v>
      </c>
      <c r="Z4732" t="s">
        <v>32442</v>
      </c>
      <c r="AA4732">
        <v>0.2897405121692222</v>
      </c>
      <c r="AB4732" t="str">
        <f>HYPERLINK("Melting_Curves/meltCurve_Q8N3C0_ASCC3.pdf", "Melting_Curves/meltCurve_Q8N3C0_ASCC3.pdf")</f>
        <v>Melting_Curves/meltCurve_Q8N3C0_ASCC3.pdf</v>
      </c>
    </row>
    <row r="4733" spans="1:28" x14ac:dyDescent="0.25">
      <c r="A4733" t="s">
        <v>4737</v>
      </c>
      <c r="B4733">
        <v>0.99999676499088797</v>
      </c>
      <c r="C4733">
        <v>0.92038853321400205</v>
      </c>
      <c r="D4733">
        <v>0.65836721385140895</v>
      </c>
      <c r="E4733">
        <v>0.33106866574528998</v>
      </c>
      <c r="F4733">
        <v>0.20451756089133899</v>
      </c>
      <c r="G4733">
        <v>0.19795444594380901</v>
      </c>
      <c r="H4733">
        <v>7.4723462473185107E-2</v>
      </c>
      <c r="I4733">
        <v>9.2855875103148994E-2</v>
      </c>
      <c r="J4733">
        <v>7.8683439741917202E-2</v>
      </c>
      <c r="K4733">
        <v>6.1164886270665401E-2</v>
      </c>
      <c r="L4733">
        <v>925.78535224009602</v>
      </c>
      <c r="M4733">
        <v>19.559294093530902</v>
      </c>
      <c r="N4733">
        <v>47.816295497308097</v>
      </c>
      <c r="O4733">
        <v>46.845809875907698</v>
      </c>
      <c r="P4733">
        <v>-9.5009888875783696E-2</v>
      </c>
      <c r="Q4733">
        <v>8.9812349888308204E-2</v>
      </c>
      <c r="R4733">
        <v>0.99172709904448197</v>
      </c>
      <c r="S4733" t="s">
        <v>11736</v>
      </c>
      <c r="T4733" t="s">
        <v>14004</v>
      </c>
      <c r="U4733" t="s">
        <v>14004</v>
      </c>
      <c r="V4733" t="s">
        <v>14004</v>
      </c>
      <c r="W4733" t="s">
        <v>18682</v>
      </c>
      <c r="X4733">
        <v>13</v>
      </c>
      <c r="Y4733" t="s">
        <v>25493</v>
      </c>
      <c r="Z4733" t="s">
        <v>32443</v>
      </c>
      <c r="AA4733">
        <v>0.32608906409394378</v>
      </c>
      <c r="AB4733" t="str">
        <f>HYPERLINK("Melting_Curves/meltCurve_Q8N3D4_EHBP1L1.pdf", "Melting_Curves/meltCurve_Q8N3D4_EHBP1L1.pdf")</f>
        <v>Melting_Curves/meltCurve_Q8N3D4_EHBP1L1.pdf</v>
      </c>
    </row>
    <row r="4734" spans="1:28" x14ac:dyDescent="0.25">
      <c r="A4734" t="s">
        <v>4738</v>
      </c>
      <c r="B4734">
        <v>0.99999676499088797</v>
      </c>
      <c r="C4734">
        <v>0.95158520557780901</v>
      </c>
      <c r="D4734">
        <v>0.79032876541178898</v>
      </c>
      <c r="E4734">
        <v>0.47463094246948001</v>
      </c>
      <c r="F4734">
        <v>0.29103441111836598</v>
      </c>
      <c r="G4734">
        <v>0.187271145100806</v>
      </c>
      <c r="H4734">
        <v>0.11985886275242</v>
      </c>
      <c r="I4734">
        <v>0.132641651688444</v>
      </c>
      <c r="J4734">
        <v>0.115985439673938</v>
      </c>
      <c r="K4734">
        <v>0.12611881823743101</v>
      </c>
      <c r="L4734">
        <v>923.25751426131399</v>
      </c>
      <c r="M4734">
        <v>18.918452788485499</v>
      </c>
      <c r="N4734">
        <v>49.511109326800799</v>
      </c>
      <c r="O4734">
        <v>48.266491426326098</v>
      </c>
      <c r="P4734">
        <v>-8.6363625581543202E-2</v>
      </c>
      <c r="Q4734">
        <v>0.118680571339632</v>
      </c>
      <c r="R4734">
        <v>0.998593667274153</v>
      </c>
      <c r="S4734" t="s">
        <v>11737</v>
      </c>
      <c r="T4734" t="s">
        <v>14004</v>
      </c>
      <c r="U4734" t="s">
        <v>14004</v>
      </c>
      <c r="V4734" t="s">
        <v>14004</v>
      </c>
      <c r="W4734" t="s">
        <v>18683</v>
      </c>
      <c r="X4734">
        <v>7</v>
      </c>
      <c r="Y4734" t="s">
        <v>25494</v>
      </c>
      <c r="Z4734" t="s">
        <v>32444</v>
      </c>
      <c r="AA4734">
        <v>0.39111549574245719</v>
      </c>
      <c r="AB4734" t="str">
        <f>HYPERLINK("Melting_Curves/meltCurve_Q8N3F8_MICALL1.pdf", "Melting_Curves/meltCurve_Q8N3F8_MICALL1.pdf")</f>
        <v>Melting_Curves/meltCurve_Q8N3F8_MICALL1.pdf</v>
      </c>
    </row>
    <row r="4735" spans="1:28" x14ac:dyDescent="0.25">
      <c r="A4735" t="s">
        <v>4739</v>
      </c>
      <c r="B4735">
        <v>0.99999676499088797</v>
      </c>
      <c r="C4735">
        <v>0.96817710597423101</v>
      </c>
      <c r="D4735">
        <v>0.95592067335948105</v>
      </c>
      <c r="E4735">
        <v>0.909449410190032</v>
      </c>
      <c r="F4735">
        <v>0.86750174868376995</v>
      </c>
      <c r="G4735">
        <v>0.67547429436366202</v>
      </c>
      <c r="H4735">
        <v>0.47268738951012201</v>
      </c>
      <c r="I4735">
        <v>0.48539954231658899</v>
      </c>
      <c r="J4735">
        <v>0.47793038277146299</v>
      </c>
      <c r="K4735">
        <v>0.46325633785147102</v>
      </c>
      <c r="L4735">
        <v>1173.4373824903701</v>
      </c>
      <c r="M4735">
        <v>21.139316491396698</v>
      </c>
      <c r="N4735">
        <v>62.142687534735302</v>
      </c>
      <c r="O4735">
        <v>55.020125128493603</v>
      </c>
      <c r="P4735">
        <v>-5.3057524473644001E-2</v>
      </c>
      <c r="Q4735">
        <v>0.44763487152633602</v>
      </c>
      <c r="R4735">
        <v>0.98258620291579102</v>
      </c>
      <c r="S4735" t="s">
        <v>11738</v>
      </c>
      <c r="T4735" t="s">
        <v>14004</v>
      </c>
      <c r="U4735" t="s">
        <v>14004</v>
      </c>
      <c r="V4735" t="s">
        <v>14004</v>
      </c>
      <c r="W4735" t="s">
        <v>18684</v>
      </c>
      <c r="X4735">
        <v>19</v>
      </c>
      <c r="Y4735" t="s">
        <v>25495</v>
      </c>
      <c r="Z4735" t="s">
        <v>32445</v>
      </c>
      <c r="AA4735">
        <v>0.73988089810830837</v>
      </c>
      <c r="AB4735" t="str">
        <f>HYPERLINK("Melting_Curves/meltCurve_Q8N3X1_FNBP4.pdf", "Melting_Curves/meltCurve_Q8N3X1_FNBP4.pdf")</f>
        <v>Melting_Curves/meltCurve_Q8N3X1_FNBP4.pdf</v>
      </c>
    </row>
    <row r="4736" spans="1:28" x14ac:dyDescent="0.25">
      <c r="A4736" t="s">
        <v>4740</v>
      </c>
      <c r="B4736">
        <v>0.99999676499088797</v>
      </c>
      <c r="C4736">
        <v>1.1616105051155301</v>
      </c>
      <c r="D4736">
        <v>0.89814938571490899</v>
      </c>
      <c r="E4736">
        <v>0.67913395698562895</v>
      </c>
      <c r="F4736">
        <v>0.43719089072671102</v>
      </c>
      <c r="G4736">
        <v>0.26479456229585702</v>
      </c>
      <c r="H4736">
        <v>0.177917938397226</v>
      </c>
      <c r="I4736">
        <v>0.15933365120753901</v>
      </c>
      <c r="J4736">
        <v>9.1909475630210694E-2</v>
      </c>
      <c r="K4736">
        <v>3.0000327287208299E-2</v>
      </c>
      <c r="L4736">
        <v>900.663357318728</v>
      </c>
      <c r="M4736">
        <v>17.369799382918199</v>
      </c>
      <c r="N4736">
        <v>52.402124285542399</v>
      </c>
      <c r="O4736">
        <v>51.179628564241902</v>
      </c>
      <c r="P4736">
        <v>-7.7783110980864906E-2</v>
      </c>
      <c r="Q4736">
        <v>8.33089963075654E-2</v>
      </c>
      <c r="R4736">
        <v>0.972284708615482</v>
      </c>
      <c r="S4736" t="s">
        <v>11739</v>
      </c>
      <c r="T4736" t="s">
        <v>14004</v>
      </c>
      <c r="U4736" t="s">
        <v>14004</v>
      </c>
      <c r="V4736" t="s">
        <v>14004</v>
      </c>
      <c r="W4736" t="s">
        <v>18685</v>
      </c>
      <c r="X4736">
        <v>3</v>
      </c>
      <c r="Y4736" t="s">
        <v>25496</v>
      </c>
      <c r="Z4736" t="s">
        <v>32446</v>
      </c>
      <c r="AA4736">
        <v>0.46171361665778871</v>
      </c>
      <c r="AB4736" t="str">
        <f>HYPERLINK("Melting_Curves/meltCurve_Q8N3Z3_GTPBP8.pdf", "Melting_Curves/meltCurve_Q8N3Z3_GTPBP8.pdf")</f>
        <v>Melting_Curves/meltCurve_Q8N3Z3_GTPBP8.pdf</v>
      </c>
    </row>
    <row r="4737" spans="1:28" x14ac:dyDescent="0.25">
      <c r="A4737" t="s">
        <v>4741</v>
      </c>
      <c r="B4737">
        <v>0.99999676499088797</v>
      </c>
      <c r="C4737">
        <v>0.92869801619851999</v>
      </c>
      <c r="D4737">
        <v>0.90259061464605606</v>
      </c>
      <c r="E4737">
        <v>0.50175578272372701</v>
      </c>
      <c r="F4737">
        <v>0.19667706600245</v>
      </c>
      <c r="G4737">
        <v>0.118582044095107</v>
      </c>
      <c r="H4737">
        <v>4.3641535714353599E-2</v>
      </c>
      <c r="I4737">
        <v>6.6925137117609806E-2</v>
      </c>
      <c r="J4737">
        <v>6.6744861597150304E-2</v>
      </c>
      <c r="K4737">
        <v>4.7997122798679501E-2</v>
      </c>
      <c r="L4737">
        <v>1235.80925925217</v>
      </c>
      <c r="M4737">
        <v>24.984432533319499</v>
      </c>
      <c r="N4737">
        <v>49.708360487446903</v>
      </c>
      <c r="O4737">
        <v>49.149556328044099</v>
      </c>
      <c r="P4737">
        <v>-0.119717934280769</v>
      </c>
      <c r="Q4737">
        <v>5.7972758866839398E-2</v>
      </c>
      <c r="R4737">
        <v>0.99676888768874305</v>
      </c>
      <c r="S4737" t="s">
        <v>11740</v>
      </c>
      <c r="T4737" t="s">
        <v>14004</v>
      </c>
      <c r="U4737" t="s">
        <v>14004</v>
      </c>
      <c r="V4737" t="s">
        <v>14004</v>
      </c>
      <c r="W4737" t="s">
        <v>18686</v>
      </c>
      <c r="X4737">
        <v>3</v>
      </c>
      <c r="Y4737" t="s">
        <v>25497</v>
      </c>
      <c r="Z4737" t="s">
        <v>32447</v>
      </c>
      <c r="AA4737">
        <v>0.36351259278822712</v>
      </c>
      <c r="AB4737" t="str">
        <f>HYPERLINK("Melting_Curves/meltCurve_Q8N442_GUF1.pdf", "Melting_Curves/meltCurve_Q8N442_GUF1.pdf")</f>
        <v>Melting_Curves/meltCurve_Q8N442_GUF1.pdf</v>
      </c>
    </row>
    <row r="4738" spans="1:28" x14ac:dyDescent="0.25">
      <c r="A4738" t="s">
        <v>4742</v>
      </c>
      <c r="B4738">
        <v>0.99999676499088797</v>
      </c>
      <c r="C4738">
        <v>0.98487268871434397</v>
      </c>
      <c r="D4738">
        <v>0.99500141161071498</v>
      </c>
      <c r="E4738">
        <v>0.88028573303773305</v>
      </c>
      <c r="F4738">
        <v>0.83237581323140497</v>
      </c>
      <c r="G4738">
        <v>0.58186601034215102</v>
      </c>
      <c r="H4738">
        <v>0.26228458110785102</v>
      </c>
      <c r="I4738">
        <v>0.17964511245232201</v>
      </c>
      <c r="J4738">
        <v>9.9910465611999399E-2</v>
      </c>
      <c r="K4738">
        <v>7.89640930011309E-2</v>
      </c>
      <c r="L4738">
        <v>1018.38577930776</v>
      </c>
      <c r="M4738">
        <v>17.739902084098802</v>
      </c>
      <c r="N4738">
        <v>57.633248908998397</v>
      </c>
      <c r="O4738">
        <v>56.691937577598502</v>
      </c>
      <c r="P4738">
        <v>-7.5596490185840498E-2</v>
      </c>
      <c r="Q4738">
        <v>3.3706601127048999E-2</v>
      </c>
      <c r="R4738">
        <v>0.99537879784569105</v>
      </c>
      <c r="S4738" t="s">
        <v>11741</v>
      </c>
      <c r="T4738" t="s">
        <v>14004</v>
      </c>
      <c r="U4738" t="s">
        <v>14004</v>
      </c>
      <c r="V4738" t="s">
        <v>14004</v>
      </c>
      <c r="W4738" t="s">
        <v>18687</v>
      </c>
      <c r="X4738">
        <v>2</v>
      </c>
      <c r="Y4738" t="s">
        <v>25498</v>
      </c>
      <c r="Z4738" t="s">
        <v>32448</v>
      </c>
      <c r="AA4738">
        <v>0.60730027751085414</v>
      </c>
      <c r="AB4738" t="str">
        <f>HYPERLINK("Melting_Curves/meltCurve_Q8N465_D2HGDH.pdf", "Melting_Curves/meltCurve_Q8N465_D2HGDH.pdf")</f>
        <v>Melting_Curves/meltCurve_Q8N465_D2HGDH.pdf</v>
      </c>
    </row>
    <row r="4739" spans="1:28" x14ac:dyDescent="0.25">
      <c r="A4739" t="s">
        <v>4743</v>
      </c>
      <c r="B4739">
        <v>0.99999676499088797</v>
      </c>
      <c r="C4739">
        <v>0.93320473956197203</v>
      </c>
      <c r="D4739">
        <v>0.90259245231889795</v>
      </c>
      <c r="E4739">
        <v>0.78354460650351199</v>
      </c>
      <c r="F4739">
        <v>0.61316028710553805</v>
      </c>
      <c r="G4739">
        <v>0.579925954438819</v>
      </c>
      <c r="H4739">
        <v>0.38885975360550601</v>
      </c>
      <c r="I4739">
        <v>0.416375032193121</v>
      </c>
      <c r="J4739">
        <v>0.38918090956761497</v>
      </c>
      <c r="K4739">
        <v>0.44004360669101</v>
      </c>
      <c r="L4739">
        <v>685.94449392823299</v>
      </c>
      <c r="M4739">
        <v>13.260178161708099</v>
      </c>
      <c r="N4739">
        <v>57.8472486881858</v>
      </c>
      <c r="O4739">
        <v>50.595619591484002</v>
      </c>
      <c r="P4739">
        <v>-4.0826716492696799E-2</v>
      </c>
      <c r="Q4739">
        <v>0.376987179809122</v>
      </c>
      <c r="R4739">
        <v>0.97910235597690298</v>
      </c>
      <c r="S4739" t="s">
        <v>11742</v>
      </c>
      <c r="T4739" t="s">
        <v>14004</v>
      </c>
      <c r="U4739" t="s">
        <v>14004</v>
      </c>
      <c r="V4739" t="s">
        <v>14004</v>
      </c>
      <c r="W4739" t="s">
        <v>18688</v>
      </c>
      <c r="X4739">
        <v>3</v>
      </c>
      <c r="Y4739" t="s">
        <v>25499</v>
      </c>
      <c r="Z4739" t="s">
        <v>32449</v>
      </c>
      <c r="AA4739">
        <v>0.63748973122576913</v>
      </c>
      <c r="AB4739" t="str">
        <f>HYPERLINK("Melting_Curves/meltCurve_Q8N488_RYBP.pdf", "Melting_Curves/meltCurve_Q8N488_RYBP.pdf")</f>
        <v>Melting_Curves/meltCurve_Q8N488_RYBP.pdf</v>
      </c>
    </row>
    <row r="4740" spans="1:28" x14ac:dyDescent="0.25">
      <c r="A4740" t="s">
        <v>4744</v>
      </c>
      <c r="B4740">
        <v>0.99999676499088797</v>
      </c>
      <c r="C4740">
        <v>0.93690829821742405</v>
      </c>
      <c r="D4740">
        <v>0.94766993831401802</v>
      </c>
      <c r="E4740">
        <v>0.62891592618729697</v>
      </c>
      <c r="F4740">
        <v>0.55405872356824204</v>
      </c>
      <c r="G4740">
        <v>0.495664759245182</v>
      </c>
      <c r="H4740">
        <v>0.25509635365673899</v>
      </c>
      <c r="I4740">
        <v>0.28668391390879999</v>
      </c>
      <c r="J4740">
        <v>0.23210377863803</v>
      </c>
      <c r="K4740">
        <v>0.20883531605428499</v>
      </c>
      <c r="L4740">
        <v>612.646969112698</v>
      </c>
      <c r="M4740">
        <v>11.6708971014471</v>
      </c>
      <c r="N4740">
        <v>54.491982742262202</v>
      </c>
      <c r="O4740">
        <v>51.023426298576702</v>
      </c>
      <c r="P4740">
        <v>-4.7241022304501203E-2</v>
      </c>
      <c r="Q4740">
        <v>0.17409845047632999</v>
      </c>
      <c r="R4740">
        <v>0.97065644379122995</v>
      </c>
      <c r="S4740" t="s">
        <v>11743</v>
      </c>
      <c r="T4740" t="s">
        <v>14004</v>
      </c>
      <c r="U4740" t="s">
        <v>14004</v>
      </c>
      <c r="V4740" t="s">
        <v>14004</v>
      </c>
      <c r="W4740" t="s">
        <v>18689</v>
      </c>
      <c r="X4740">
        <v>1</v>
      </c>
      <c r="Y4740" t="s">
        <v>25500</v>
      </c>
      <c r="Z4740" t="s">
        <v>32450</v>
      </c>
      <c r="AA4740">
        <v>0.54329109222530148</v>
      </c>
      <c r="AB4740" t="str">
        <f>HYPERLINK("Melting_Curves/meltCurve_Q8N490_PNKD.pdf", "Melting_Curves/meltCurve_Q8N490_PNKD.pdf")</f>
        <v>Melting_Curves/meltCurve_Q8N490_PNKD.pdf</v>
      </c>
    </row>
    <row r="4741" spans="1:28" x14ac:dyDescent="0.25">
      <c r="A4741" t="s">
        <v>4745</v>
      </c>
      <c r="B4741">
        <v>0.99999676499088797</v>
      </c>
      <c r="C4741">
        <v>1.15287154091759</v>
      </c>
      <c r="D4741">
        <v>1.0154363165248499</v>
      </c>
      <c r="E4741">
        <v>0.62381734675222</v>
      </c>
      <c r="F4741">
        <v>0.47759385604614601</v>
      </c>
      <c r="G4741">
        <v>0.44046824906187898</v>
      </c>
      <c r="H4741">
        <v>0.23887137495069199</v>
      </c>
      <c r="I4741">
        <v>0.326807056665738</v>
      </c>
      <c r="J4741">
        <v>0.30222938822558498</v>
      </c>
      <c r="K4741">
        <v>0.21398243264309699</v>
      </c>
      <c r="L4741">
        <v>1188.6257900660501</v>
      </c>
      <c r="M4741">
        <v>23.601595373713501</v>
      </c>
      <c r="N4741">
        <v>52.285582910894398</v>
      </c>
      <c r="O4741">
        <v>50.004721956526197</v>
      </c>
      <c r="P4741">
        <v>-8.3760600778627806E-2</v>
      </c>
      <c r="Q4741">
        <v>0.29015736338537201</v>
      </c>
      <c r="R4741">
        <v>0.94253689365806503</v>
      </c>
      <c r="S4741" t="s">
        <v>11744</v>
      </c>
      <c r="T4741" t="s">
        <v>14004</v>
      </c>
      <c r="U4741" t="s">
        <v>14004</v>
      </c>
      <c r="V4741" t="s">
        <v>14004</v>
      </c>
      <c r="W4741" t="s">
        <v>18690</v>
      </c>
      <c r="X4741">
        <v>3</v>
      </c>
      <c r="Y4741" t="s">
        <v>25500</v>
      </c>
      <c r="Z4741" t="s">
        <v>32451</v>
      </c>
      <c r="AA4741">
        <v>0.54247997308520035</v>
      </c>
      <c r="AB4741" t="str">
        <f>HYPERLINK("Melting_Curves/meltCurve_Q8N490_2_PNKD.pdf", "Melting_Curves/meltCurve_Q8N490_2_PNKD.pdf")</f>
        <v>Melting_Curves/meltCurve_Q8N490_2_PNKD.pdf</v>
      </c>
    </row>
    <row r="4742" spans="1:28" x14ac:dyDescent="0.25">
      <c r="A4742" t="s">
        <v>4746</v>
      </c>
      <c r="B4742">
        <v>0.99999676499088797</v>
      </c>
      <c r="C4742">
        <v>1.03820853136806</v>
      </c>
      <c r="D4742">
        <v>0.83574052303443402</v>
      </c>
      <c r="E4742">
        <v>0.77439120642151305</v>
      </c>
      <c r="F4742">
        <v>0.167613201681728</v>
      </c>
      <c r="G4742">
        <v>3.21929979937269E-2</v>
      </c>
      <c r="H4742">
        <v>0</v>
      </c>
      <c r="I4742">
        <v>0</v>
      </c>
      <c r="J4742">
        <v>0</v>
      </c>
      <c r="K4742">
        <v>9.4861832404554605E-2</v>
      </c>
      <c r="L4742">
        <v>1965.8450671588</v>
      </c>
      <c r="M4742">
        <v>38.558694265247297</v>
      </c>
      <c r="N4742">
        <v>51.035617882068898</v>
      </c>
      <c r="O4742">
        <v>50.846632839348302</v>
      </c>
      <c r="P4742">
        <v>-0.185903328181553</v>
      </c>
      <c r="Q4742">
        <v>1.9413308653239199E-2</v>
      </c>
      <c r="R4742">
        <v>0.98300130179130196</v>
      </c>
      <c r="S4742" t="s">
        <v>11745</v>
      </c>
      <c r="T4742" t="s">
        <v>14004</v>
      </c>
      <c r="U4742" t="s">
        <v>14004</v>
      </c>
      <c r="V4742" t="s">
        <v>14004</v>
      </c>
      <c r="W4742" t="s">
        <v>18691</v>
      </c>
      <c r="X4742">
        <v>13</v>
      </c>
      <c r="Y4742" t="s">
        <v>25501</v>
      </c>
      <c r="Z4742" t="s">
        <v>32452</v>
      </c>
      <c r="AA4742">
        <v>0.38213278854573701</v>
      </c>
      <c r="AB4742" t="str">
        <f>HYPERLINK("Melting_Curves/meltCurve_Q8N4C8_5_MINK1.pdf", "Melting_Curves/meltCurve_Q8N4C8_5_MINK1.pdf")</f>
        <v>Melting_Curves/meltCurve_Q8N4C8_5_MINK1.pdf</v>
      </c>
    </row>
    <row r="4743" spans="1:28" x14ac:dyDescent="0.25">
      <c r="A4743" t="s">
        <v>4747</v>
      </c>
      <c r="B4743">
        <v>0.99999676499088797</v>
      </c>
      <c r="C4743">
        <v>0.863555031181095</v>
      </c>
      <c r="D4743">
        <v>0.95735841195632199</v>
      </c>
      <c r="E4743">
        <v>0.93485802564905895</v>
      </c>
      <c r="F4743">
        <v>0.81171444808045701</v>
      </c>
      <c r="G4743">
        <v>0.80860047694061998</v>
      </c>
      <c r="H4743">
        <v>0.58941617684037195</v>
      </c>
      <c r="I4743">
        <v>0.582852028944848</v>
      </c>
      <c r="J4743">
        <v>0.64027213566247798</v>
      </c>
      <c r="K4743">
        <v>0.74941884756755495</v>
      </c>
      <c r="L4743">
        <v>862.31137711784902</v>
      </c>
      <c r="M4743">
        <v>16.162382920322401</v>
      </c>
      <c r="O4743">
        <v>52.556267597974298</v>
      </c>
      <c r="P4743">
        <v>-2.8116041945784001E-2</v>
      </c>
      <c r="Q4743">
        <v>0.63432054665211701</v>
      </c>
      <c r="R4743">
        <v>0.76658655739934001</v>
      </c>
      <c r="S4743" t="s">
        <v>11746</v>
      </c>
      <c r="T4743" t="s">
        <v>14004</v>
      </c>
      <c r="U4743" t="s">
        <v>14004</v>
      </c>
      <c r="V4743" t="s">
        <v>14004</v>
      </c>
      <c r="W4743" t="s">
        <v>18692</v>
      </c>
      <c r="X4743">
        <v>9</v>
      </c>
      <c r="Y4743" t="s">
        <v>25502</v>
      </c>
      <c r="Z4743" t="s">
        <v>32453</v>
      </c>
      <c r="AA4743">
        <v>0.80407004601423282</v>
      </c>
      <c r="AB4743" t="str">
        <f>HYPERLINK("Melting_Curves/meltCurve_Q8N4H5_TOMM5.pdf", "Melting_Curves/meltCurve_Q8N4H5_TOMM5.pdf")</f>
        <v>Melting_Curves/meltCurve_Q8N4H5_TOMM5.pdf</v>
      </c>
    </row>
    <row r="4744" spans="1:28" x14ac:dyDescent="0.25">
      <c r="A4744" t="s">
        <v>4748</v>
      </c>
      <c r="B4744">
        <v>0.99999676499088797</v>
      </c>
      <c r="C4744">
        <v>0.96121037535785403</v>
      </c>
      <c r="D4744">
        <v>0.91622669571329995</v>
      </c>
      <c r="E4744">
        <v>0.90462990142932798</v>
      </c>
      <c r="F4744">
        <v>0.73972871389193695</v>
      </c>
      <c r="G4744">
        <v>0.72528994555642401</v>
      </c>
      <c r="H4744">
        <v>0.414405205141613</v>
      </c>
      <c r="I4744">
        <v>0.18941672242631699</v>
      </c>
      <c r="J4744">
        <v>0.122306627595441</v>
      </c>
      <c r="K4744">
        <v>9.0444446927979094E-2</v>
      </c>
      <c r="L4744">
        <v>831.57722538188102</v>
      </c>
      <c r="M4744">
        <v>14.124439131121999</v>
      </c>
      <c r="N4744">
        <v>58.875061897687097</v>
      </c>
      <c r="O4744">
        <v>57.732596943172702</v>
      </c>
      <c r="P4744">
        <v>-6.1171008967155001E-2</v>
      </c>
      <c r="Q4744">
        <v>0</v>
      </c>
      <c r="R4744">
        <v>0.97799506787489698</v>
      </c>
      <c r="S4744" t="s">
        <v>11747</v>
      </c>
      <c r="T4744" t="s">
        <v>14004</v>
      </c>
      <c r="U4744" t="s">
        <v>14004</v>
      </c>
      <c r="V4744" t="s">
        <v>14004</v>
      </c>
      <c r="W4744" t="s">
        <v>18693</v>
      </c>
      <c r="X4744">
        <v>5</v>
      </c>
      <c r="Y4744" t="s">
        <v>25503</v>
      </c>
      <c r="Z4744" t="s">
        <v>32454</v>
      </c>
      <c r="AA4744">
        <v>0.63971851327733531</v>
      </c>
      <c r="AB4744" t="str">
        <f>HYPERLINK("Melting_Curves/meltCurve_Q8N4P3_HDDC3.pdf", "Melting_Curves/meltCurve_Q8N4P3_HDDC3.pdf")</f>
        <v>Melting_Curves/meltCurve_Q8N4P3_HDDC3.pdf</v>
      </c>
    </row>
    <row r="4745" spans="1:28" x14ac:dyDescent="0.25">
      <c r="A4745" t="s">
        <v>4749</v>
      </c>
      <c r="B4745">
        <v>0.99999676499088797</v>
      </c>
      <c r="C4745">
        <v>1.053960121487</v>
      </c>
      <c r="D4745">
        <v>1.0261139212560499</v>
      </c>
      <c r="E4745">
        <v>0.93284559711767301</v>
      </c>
      <c r="F4745">
        <v>0.67677260807954698</v>
      </c>
      <c r="G4745">
        <v>0.36887914847728698</v>
      </c>
      <c r="H4745">
        <v>9.6304470791737901E-2</v>
      </c>
      <c r="I4745">
        <v>9.7260661341752805E-2</v>
      </c>
      <c r="J4745">
        <v>9.6370775555616503E-2</v>
      </c>
      <c r="K4745">
        <v>7.5664666043992093E-2</v>
      </c>
      <c r="L4745">
        <v>1355.2634265520601</v>
      </c>
      <c r="M4745">
        <v>24.760093121263299</v>
      </c>
      <c r="N4745">
        <v>55.0633961742016</v>
      </c>
      <c r="O4745">
        <v>54.382479922148399</v>
      </c>
      <c r="P4745">
        <v>-0.106029869444032</v>
      </c>
      <c r="Q4745">
        <v>6.8486698739136598E-2</v>
      </c>
      <c r="R4745">
        <v>0.99543989875859995</v>
      </c>
      <c r="S4745" t="s">
        <v>11748</v>
      </c>
      <c r="T4745" t="s">
        <v>14004</v>
      </c>
      <c r="U4745" t="s">
        <v>14004</v>
      </c>
      <c r="V4745" t="s">
        <v>14004</v>
      </c>
      <c r="W4745" t="s">
        <v>18694</v>
      </c>
      <c r="X4745">
        <v>2</v>
      </c>
      <c r="Y4745" t="s">
        <v>25504</v>
      </c>
      <c r="Z4745" t="s">
        <v>32455</v>
      </c>
      <c r="AA4745">
        <v>0.53481194617812722</v>
      </c>
      <c r="AB4745" t="str">
        <f>HYPERLINK("Melting_Curves/meltCurve_Q8N4Q0_ZADH2.pdf", "Melting_Curves/meltCurve_Q8N4Q0_ZADH2.pdf")</f>
        <v>Melting_Curves/meltCurve_Q8N4Q0_ZADH2.pdf</v>
      </c>
    </row>
    <row r="4746" spans="1:28" x14ac:dyDescent="0.25">
      <c r="A4746" t="s">
        <v>4750</v>
      </c>
      <c r="B4746">
        <v>0.99999676499088797</v>
      </c>
      <c r="C4746">
        <v>0.94305612242777304</v>
      </c>
      <c r="D4746">
        <v>0.990370610500931</v>
      </c>
      <c r="E4746">
        <v>1.04929078162293</v>
      </c>
      <c r="F4746">
        <v>1.12025746245294</v>
      </c>
      <c r="G4746">
        <v>0.82515570597170596</v>
      </c>
      <c r="H4746">
        <v>0.71439969035404904</v>
      </c>
      <c r="I4746">
        <v>0.746644194340776</v>
      </c>
      <c r="J4746">
        <v>0.71545950309763195</v>
      </c>
      <c r="K4746">
        <v>1.23631269936449</v>
      </c>
      <c r="L4746">
        <v>5427.1484102417098</v>
      </c>
      <c r="M4746">
        <v>98.037587516924702</v>
      </c>
      <c r="O4746">
        <v>55.3347910087492</v>
      </c>
      <c r="P4746">
        <v>-6.80476016704811E-2</v>
      </c>
      <c r="Q4746">
        <v>0.84636909044110398</v>
      </c>
      <c r="R4746">
        <v>0.246138354873985</v>
      </c>
      <c r="S4746" t="s">
        <v>11749</v>
      </c>
      <c r="T4746" t="s">
        <v>14004</v>
      </c>
      <c r="U4746" t="s">
        <v>14004</v>
      </c>
      <c r="V4746" t="s">
        <v>14004</v>
      </c>
      <c r="W4746" t="s">
        <v>18695</v>
      </c>
      <c r="X4746">
        <v>7</v>
      </c>
      <c r="Y4746" t="s">
        <v>25505</v>
      </c>
      <c r="Z4746" t="s">
        <v>32456</v>
      </c>
      <c r="AA4746">
        <v>0.92511419476383139</v>
      </c>
      <c r="AB4746" t="str">
        <f>HYPERLINK("Melting_Curves/meltCurve_Q8N4Q1_CHCHD4.pdf", "Melting_Curves/meltCurve_Q8N4Q1_CHCHD4.pdf")</f>
        <v>Melting_Curves/meltCurve_Q8N4Q1_CHCHD4.pdf</v>
      </c>
    </row>
    <row r="4747" spans="1:28" x14ac:dyDescent="0.25">
      <c r="A4747" t="s">
        <v>4751</v>
      </c>
      <c r="B4747">
        <v>0.99999676499088797</v>
      </c>
      <c r="C4747">
        <v>0.89798210390954403</v>
      </c>
      <c r="D4747">
        <v>0.96563170691511702</v>
      </c>
      <c r="E4747">
        <v>1.19360089789154</v>
      </c>
      <c r="F4747">
        <v>0.60811613266722397</v>
      </c>
      <c r="G4747">
        <v>0.48365959040620099</v>
      </c>
      <c r="H4747">
        <v>0.21117777067205501</v>
      </c>
      <c r="I4747">
        <v>0.143902092837594</v>
      </c>
      <c r="J4747">
        <v>0.130365061096959</v>
      </c>
      <c r="K4747">
        <v>0.155560660507439</v>
      </c>
      <c r="L4747">
        <v>1400.0057726687401</v>
      </c>
      <c r="M4747">
        <v>25.443378643165701</v>
      </c>
      <c r="N4747">
        <v>55.745220139538098</v>
      </c>
      <c r="O4747">
        <v>54.687836573077902</v>
      </c>
      <c r="P4747">
        <v>-0.10000810492062299</v>
      </c>
      <c r="Q4747">
        <v>0.140183638896695</v>
      </c>
      <c r="R4747">
        <v>0.93668673694120796</v>
      </c>
      <c r="S4747" t="s">
        <v>11750</v>
      </c>
      <c r="T4747" t="s">
        <v>14004</v>
      </c>
      <c r="U4747" t="s">
        <v>14004</v>
      </c>
      <c r="V4747" t="s">
        <v>14004</v>
      </c>
      <c r="W4747" t="s">
        <v>18696</v>
      </c>
      <c r="X4747">
        <v>1</v>
      </c>
      <c r="Y4747" t="s">
        <v>25506</v>
      </c>
      <c r="Z4747" t="s">
        <v>32457</v>
      </c>
      <c r="AA4747">
        <v>0.57850230093579269</v>
      </c>
      <c r="AB4747" t="str">
        <f>HYPERLINK("Melting_Curves/meltCurve_Q8N4S0_CCDC82.pdf", "Melting_Curves/meltCurve_Q8N4S0_CCDC82.pdf")</f>
        <v>Melting_Curves/meltCurve_Q8N4S0_CCDC82.pdf</v>
      </c>
    </row>
    <row r="4748" spans="1:28" x14ac:dyDescent="0.25">
      <c r="A4748" t="s">
        <v>4752</v>
      </c>
      <c r="B4748">
        <v>0.99999676499088797</v>
      </c>
      <c r="C4748">
        <v>1.0822294042984799</v>
      </c>
      <c r="D4748">
        <v>1.02222543637979</v>
      </c>
      <c r="E4748">
        <v>0.96302927188395704</v>
      </c>
      <c r="F4748">
        <v>0.86822171067323495</v>
      </c>
      <c r="G4748">
        <v>0.78507191583323899</v>
      </c>
      <c r="H4748">
        <v>0.54437296056130302</v>
      </c>
      <c r="I4748">
        <v>0.41311455208270997</v>
      </c>
      <c r="J4748">
        <v>0.34424796922537698</v>
      </c>
      <c r="K4748">
        <v>0.27675572211340899</v>
      </c>
      <c r="L4748">
        <v>922.60202310039301</v>
      </c>
      <c r="M4748">
        <v>15.4162923909737</v>
      </c>
      <c r="N4748">
        <v>61.973100875584898</v>
      </c>
      <c r="O4748">
        <v>58.866035165270702</v>
      </c>
      <c r="P4748">
        <v>-5.2025514707448997E-2</v>
      </c>
      <c r="Q4748">
        <v>0.20544891972328699</v>
      </c>
      <c r="R4748">
        <v>0.98823263287904795</v>
      </c>
      <c r="S4748" t="s">
        <v>11751</v>
      </c>
      <c r="T4748" t="s">
        <v>14004</v>
      </c>
      <c r="U4748" t="s">
        <v>14004</v>
      </c>
      <c r="V4748" t="s">
        <v>14004</v>
      </c>
      <c r="W4748" t="s">
        <v>18697</v>
      </c>
      <c r="X4748">
        <v>5</v>
      </c>
      <c r="Y4748" t="s">
        <v>25507</v>
      </c>
      <c r="Z4748" t="s">
        <v>32458</v>
      </c>
      <c r="AA4748">
        <v>0.73724175810183146</v>
      </c>
      <c r="AB4748" t="str">
        <f>HYPERLINK("Melting_Curves/meltCurve_Q8N4T8_CBR4.pdf", "Melting_Curves/meltCurve_Q8N4T8_CBR4.pdf")</f>
        <v>Melting_Curves/meltCurve_Q8N4T8_CBR4.pdf</v>
      </c>
    </row>
    <row r="4749" spans="1:28" x14ac:dyDescent="0.25">
      <c r="A4749" t="s">
        <v>4753</v>
      </c>
      <c r="B4749">
        <v>0.99999676499088797</v>
      </c>
      <c r="C4749">
        <v>0.92100300202207996</v>
      </c>
      <c r="D4749">
        <v>1.0510757086114599</v>
      </c>
      <c r="E4749">
        <v>1.18330225610026</v>
      </c>
      <c r="F4749">
        <v>1.0786879984626101</v>
      </c>
      <c r="G4749">
        <v>0.67853195851096804</v>
      </c>
      <c r="H4749">
        <v>0.57177639819534798</v>
      </c>
      <c r="I4749">
        <v>0.59110474073416497</v>
      </c>
      <c r="J4749">
        <v>0.52876706868427803</v>
      </c>
      <c r="K4749">
        <v>0.62211533898597104</v>
      </c>
      <c r="L4749">
        <v>14133.724818602001</v>
      </c>
      <c r="M4749">
        <v>250</v>
      </c>
      <c r="O4749">
        <v>56.531302115321999</v>
      </c>
      <c r="P4749">
        <v>-0.46606842655786102</v>
      </c>
      <c r="Q4749">
        <v>0.57844087351932405</v>
      </c>
      <c r="R4749">
        <v>0.90373096511241502</v>
      </c>
      <c r="S4749" t="s">
        <v>11752</v>
      </c>
      <c r="T4749" t="s">
        <v>14004</v>
      </c>
      <c r="U4749" t="s">
        <v>14004</v>
      </c>
      <c r="V4749" t="s">
        <v>14004</v>
      </c>
      <c r="W4749" t="s">
        <v>18698</v>
      </c>
      <c r="X4749">
        <v>4</v>
      </c>
      <c r="Y4749" t="s">
        <v>25508</v>
      </c>
      <c r="Z4749" t="s">
        <v>32459</v>
      </c>
      <c r="AA4749">
        <v>0.81083062286941676</v>
      </c>
      <c r="AB4749" t="str">
        <f>HYPERLINK("Melting_Curves/meltCurve_Q8N4V1_MMGT1.pdf", "Melting_Curves/meltCurve_Q8N4V1_MMGT1.pdf")</f>
        <v>Melting_Curves/meltCurve_Q8N4V1_MMGT1.pdf</v>
      </c>
    </row>
    <row r="4750" spans="1:28" x14ac:dyDescent="0.25">
      <c r="A4750" t="s">
        <v>4754</v>
      </c>
      <c r="B4750">
        <v>0.99999676499088797</v>
      </c>
      <c r="C4750">
        <v>0.91716854352513599</v>
      </c>
      <c r="D4750">
        <v>0.94703827832378995</v>
      </c>
      <c r="E4750">
        <v>1.0075386468763501</v>
      </c>
      <c r="F4750">
        <v>0.82075896726008002</v>
      </c>
      <c r="G4750">
        <v>0.63664197060822003</v>
      </c>
      <c r="H4750">
        <v>0.32282916252224703</v>
      </c>
      <c r="I4750">
        <v>0.16727008936873899</v>
      </c>
      <c r="J4750">
        <v>0.135557982871607</v>
      </c>
      <c r="K4750">
        <v>0.120343927530304</v>
      </c>
      <c r="L4750">
        <v>1156.7264653883699</v>
      </c>
      <c r="M4750">
        <v>20.047810071393702</v>
      </c>
      <c r="N4750">
        <v>58.204786321666496</v>
      </c>
      <c r="O4750">
        <v>57.133507558604698</v>
      </c>
      <c r="P4750">
        <v>-8.0705864989097195E-2</v>
      </c>
      <c r="Q4750">
        <v>8.0027122845929693E-2</v>
      </c>
      <c r="R4750">
        <v>0.98974230739925295</v>
      </c>
      <c r="S4750" t="s">
        <v>11753</v>
      </c>
      <c r="T4750" t="s">
        <v>14004</v>
      </c>
      <c r="U4750" t="s">
        <v>14004</v>
      </c>
      <c r="V4750" t="s">
        <v>14004</v>
      </c>
      <c r="W4750" t="s">
        <v>18699</v>
      </c>
      <c r="X4750">
        <v>23</v>
      </c>
      <c r="Y4750" t="s">
        <v>25509</v>
      </c>
      <c r="Z4750" t="s">
        <v>32460</v>
      </c>
      <c r="AA4750">
        <v>0.6334418003930764</v>
      </c>
      <c r="AB4750" t="str">
        <f>HYPERLINK("Melting_Curves/meltCurve_Q8N543_OGFOD1.pdf", "Melting_Curves/meltCurve_Q8N543_OGFOD1.pdf")</f>
        <v>Melting_Curves/meltCurve_Q8N543_OGFOD1.pdf</v>
      </c>
    </row>
    <row r="4751" spans="1:28" x14ac:dyDescent="0.25">
      <c r="A4751" t="s">
        <v>4755</v>
      </c>
      <c r="B4751">
        <v>0.99999676499088797</v>
      </c>
      <c r="C4751">
        <v>0.94273470968248796</v>
      </c>
      <c r="D4751">
        <v>1.03760242528136</v>
      </c>
      <c r="E4751">
        <v>1.03855331050613</v>
      </c>
      <c r="F4751">
        <v>0.76078080052641395</v>
      </c>
      <c r="G4751">
        <v>0.75021703206922896</v>
      </c>
      <c r="H4751">
        <v>0.63019544457780197</v>
      </c>
      <c r="I4751">
        <v>0.98016113456750098</v>
      </c>
      <c r="J4751">
        <v>0.99106137753316104</v>
      </c>
      <c r="K4751">
        <v>1.17050952179266</v>
      </c>
      <c r="L4751">
        <v>15000</v>
      </c>
      <c r="M4751">
        <v>213.62694051442799</v>
      </c>
      <c r="Q4751">
        <v>1.5</v>
      </c>
      <c r="R4751">
        <v>-8.0843615898529494E-2</v>
      </c>
      <c r="S4751" t="s">
        <v>11754</v>
      </c>
      <c r="T4751" t="s">
        <v>14004</v>
      </c>
      <c r="U4751" t="s">
        <v>14004</v>
      </c>
      <c r="V4751" t="s">
        <v>14004</v>
      </c>
      <c r="W4751" t="s">
        <v>18700</v>
      </c>
      <c r="X4751">
        <v>4</v>
      </c>
      <c r="Y4751" t="s">
        <v>25510</v>
      </c>
      <c r="Z4751" t="s">
        <v>32461</v>
      </c>
      <c r="AA4751">
        <v>1.002247467533133</v>
      </c>
      <c r="AB4751" t="str">
        <f>HYPERLINK("Melting_Curves/meltCurve_Q8N567_ZCCHC9.pdf", "Melting_Curves/meltCurve_Q8N567_ZCCHC9.pdf")</f>
        <v>Melting_Curves/meltCurve_Q8N567_ZCCHC9.pdf</v>
      </c>
    </row>
    <row r="4752" spans="1:28" x14ac:dyDescent="0.25">
      <c r="A4752" t="s">
        <v>4756</v>
      </c>
      <c r="B4752">
        <v>0.99999676499088797</v>
      </c>
      <c r="C4752">
        <v>0.92739819197981499</v>
      </c>
      <c r="D4752">
        <v>0.95899980175303801</v>
      </c>
      <c r="E4752">
        <v>0.98161028388045302</v>
      </c>
      <c r="F4752">
        <v>0.651675142232085</v>
      </c>
      <c r="G4752">
        <v>0.26996935143926798</v>
      </c>
      <c r="H4752">
        <v>0.123916532819868</v>
      </c>
      <c r="I4752">
        <v>0.11261473227899201</v>
      </c>
      <c r="J4752">
        <v>0.10993954070291</v>
      </c>
      <c r="K4752">
        <v>8.5073564303546095E-2</v>
      </c>
      <c r="L4752">
        <v>1716.41039459483</v>
      </c>
      <c r="M4752">
        <v>31.748448943830201</v>
      </c>
      <c r="N4752">
        <v>54.447109333996998</v>
      </c>
      <c r="O4752">
        <v>53.8496802409989</v>
      </c>
      <c r="P4752">
        <v>-0.132599497082485</v>
      </c>
      <c r="Q4752">
        <v>0.100377732128239</v>
      </c>
      <c r="R4752">
        <v>0.99477594816419201</v>
      </c>
      <c r="S4752" t="s">
        <v>11755</v>
      </c>
      <c r="T4752" t="s">
        <v>14004</v>
      </c>
      <c r="U4752" t="s">
        <v>14004</v>
      </c>
      <c r="V4752" t="s">
        <v>14004</v>
      </c>
      <c r="W4752" t="s">
        <v>18701</v>
      </c>
      <c r="X4752">
        <v>10</v>
      </c>
      <c r="Y4752" t="s">
        <v>25511</v>
      </c>
      <c r="Z4752" t="s">
        <v>32462</v>
      </c>
      <c r="AA4752">
        <v>0.52738377979921558</v>
      </c>
      <c r="AB4752" t="str">
        <f>HYPERLINK("Melting_Curves/meltCurve_Q8N573_2_OXR1.pdf", "Melting_Curves/meltCurve_Q8N573_2_OXR1.pdf")</f>
        <v>Melting_Curves/meltCurve_Q8N573_2_OXR1.pdf</v>
      </c>
    </row>
    <row r="4753" spans="1:28" x14ac:dyDescent="0.25">
      <c r="A4753" t="s">
        <v>4757</v>
      </c>
      <c r="B4753">
        <v>0.99999676499088797</v>
      </c>
      <c r="C4753">
        <v>0.93389773829982503</v>
      </c>
      <c r="D4753">
        <v>0.820779882579459</v>
      </c>
      <c r="E4753">
        <v>0.61874170411116702</v>
      </c>
      <c r="F4753">
        <v>0.35498910150713697</v>
      </c>
      <c r="G4753">
        <v>0.18062938003738399</v>
      </c>
      <c r="H4753">
        <v>9.1606476297450196E-2</v>
      </c>
      <c r="I4753">
        <v>0.10497124307035199</v>
      </c>
      <c r="J4753">
        <v>0.10964944622084601</v>
      </c>
      <c r="K4753">
        <v>9.4054570034507595E-2</v>
      </c>
      <c r="L4753">
        <v>832.47002625308198</v>
      </c>
      <c r="M4753">
        <v>16.519478137106599</v>
      </c>
      <c r="N4753">
        <v>50.884121217658802</v>
      </c>
      <c r="O4753">
        <v>49.672141028123498</v>
      </c>
      <c r="P4753">
        <v>-7.7023865230609903E-2</v>
      </c>
      <c r="Q4753">
        <v>7.3657034591533999E-2</v>
      </c>
      <c r="R4753">
        <v>0.99730077259091798</v>
      </c>
      <c r="S4753" t="s">
        <v>11756</v>
      </c>
      <c r="T4753" t="s">
        <v>14004</v>
      </c>
      <c r="U4753" t="s">
        <v>14004</v>
      </c>
      <c r="V4753" t="s">
        <v>14004</v>
      </c>
      <c r="W4753" t="s">
        <v>18702</v>
      </c>
      <c r="X4753">
        <v>4</v>
      </c>
      <c r="Y4753" t="s">
        <v>25512</v>
      </c>
      <c r="Z4753" t="s">
        <v>32463</v>
      </c>
      <c r="AA4753">
        <v>0.41297889012950872</v>
      </c>
      <c r="AB4753" t="str">
        <f>HYPERLINK("Melting_Curves/meltCurve_Q8N584_2_TTC39C.pdf", "Melting_Curves/meltCurve_Q8N584_2_TTC39C.pdf")</f>
        <v>Melting_Curves/meltCurve_Q8N584_2_TTC39C.pdf</v>
      </c>
    </row>
    <row r="4754" spans="1:28" x14ac:dyDescent="0.25">
      <c r="A4754" t="s">
        <v>4758</v>
      </c>
      <c r="B4754">
        <v>0.99999676499088797</v>
      </c>
      <c r="C4754">
        <v>0.78683699667561502</v>
      </c>
      <c r="D4754">
        <v>0.41560991922643697</v>
      </c>
      <c r="E4754">
        <v>0.260096336293828</v>
      </c>
      <c r="F4754">
        <v>0.19708596093120001</v>
      </c>
      <c r="G4754">
        <v>0.149339145964628</v>
      </c>
      <c r="H4754">
        <v>8.3353324862614098E-2</v>
      </c>
      <c r="I4754">
        <v>7.5450247744743001E-2</v>
      </c>
      <c r="J4754">
        <v>7.4707287807456599E-2</v>
      </c>
      <c r="K4754">
        <v>7.6066487072951702E-2</v>
      </c>
      <c r="L4754">
        <v>934.85647430451195</v>
      </c>
      <c r="M4754">
        <v>20.691963037773601</v>
      </c>
      <c r="N4754">
        <v>45.673807804856303</v>
      </c>
      <c r="O4754">
        <v>44.764061476221997</v>
      </c>
      <c r="P4754">
        <v>-0.103975470145733</v>
      </c>
      <c r="Q4754">
        <v>0.100282192980996</v>
      </c>
      <c r="R4754">
        <v>0.98472644162787504</v>
      </c>
      <c r="S4754" t="s">
        <v>11757</v>
      </c>
      <c r="T4754" t="s">
        <v>14004</v>
      </c>
      <c r="U4754" t="s">
        <v>14004</v>
      </c>
      <c r="V4754" t="s">
        <v>14004</v>
      </c>
      <c r="W4754" t="s">
        <v>18703</v>
      </c>
      <c r="X4754">
        <v>10</v>
      </c>
      <c r="Y4754" t="s">
        <v>25513</v>
      </c>
      <c r="Z4754" t="s">
        <v>32464</v>
      </c>
      <c r="AA4754">
        <v>0.26941957664113558</v>
      </c>
      <c r="AB4754" t="str">
        <f>HYPERLINK("Melting_Curves/meltCurve_Q8N5A5_2_ZGPAT.pdf", "Melting_Curves/meltCurve_Q8N5A5_2_ZGPAT.pdf")</f>
        <v>Melting_Curves/meltCurve_Q8N5A5_2_ZGPAT.pdf</v>
      </c>
    </row>
    <row r="4755" spans="1:28" x14ac:dyDescent="0.25">
      <c r="A4755" t="s">
        <v>4759</v>
      </c>
      <c r="B4755">
        <v>0.99999676499088797</v>
      </c>
      <c r="C4755">
        <v>0.97750537951125904</v>
      </c>
      <c r="D4755">
        <v>0.704594999813694</v>
      </c>
      <c r="E4755">
        <v>0.30738342394239299</v>
      </c>
      <c r="F4755">
        <v>0.351948945392622</v>
      </c>
      <c r="G4755">
        <v>0.247058970929463</v>
      </c>
      <c r="H4755">
        <v>0.121563048516005</v>
      </c>
      <c r="I4755">
        <v>6.5409569522059799E-2</v>
      </c>
      <c r="J4755">
        <v>5.3068147181507298E-2</v>
      </c>
      <c r="K4755">
        <v>3.8777643047986803E-2</v>
      </c>
      <c r="L4755">
        <v>768.37841729869695</v>
      </c>
      <c r="M4755">
        <v>15.9301092618231</v>
      </c>
      <c r="N4755">
        <v>48.753443474762399</v>
      </c>
      <c r="O4755">
        <v>47.493445245204803</v>
      </c>
      <c r="P4755">
        <v>-7.7319518464308595E-2</v>
      </c>
      <c r="Q4755">
        <v>7.8003225075099297E-2</v>
      </c>
      <c r="R4755">
        <v>0.96005238403189697</v>
      </c>
      <c r="S4755" t="s">
        <v>11758</v>
      </c>
      <c r="T4755" t="s">
        <v>14004</v>
      </c>
      <c r="U4755" t="s">
        <v>14004</v>
      </c>
      <c r="V4755" t="s">
        <v>14004</v>
      </c>
      <c r="W4755" t="s">
        <v>18704</v>
      </c>
      <c r="X4755">
        <v>3</v>
      </c>
      <c r="Y4755" t="s">
        <v>25514</v>
      </c>
      <c r="Z4755" t="s">
        <v>32465</v>
      </c>
      <c r="AA4755">
        <v>0.35190896511678388</v>
      </c>
      <c r="AB4755" t="str">
        <f>HYPERLINK("Melting_Curves/meltCurve_Q8N5C6_SRBD1.pdf", "Melting_Curves/meltCurve_Q8N5C6_SRBD1.pdf")</f>
        <v>Melting_Curves/meltCurve_Q8N5C6_SRBD1.pdf</v>
      </c>
    </row>
    <row r="4756" spans="1:28" x14ac:dyDescent="0.25">
      <c r="A4756" t="s">
        <v>4760</v>
      </c>
      <c r="B4756">
        <v>0.99999676499088797</v>
      </c>
      <c r="C4756">
        <v>0.91980902876245896</v>
      </c>
      <c r="D4756">
        <v>0.84335351436956496</v>
      </c>
      <c r="E4756">
        <v>0.56536655105481703</v>
      </c>
      <c r="F4756">
        <v>0.29945550746370297</v>
      </c>
      <c r="G4756">
        <v>0.13527858497929199</v>
      </c>
      <c r="H4756">
        <v>5.8773445965752298E-2</v>
      </c>
      <c r="I4756">
        <v>6.4444953184534901E-2</v>
      </c>
      <c r="J4756">
        <v>5.1479004025449297E-2</v>
      </c>
      <c r="K4756">
        <v>4.7465156801295899E-2</v>
      </c>
      <c r="L4756">
        <v>877.05118211344995</v>
      </c>
      <c r="M4756">
        <v>17.488799049504301</v>
      </c>
      <c r="N4756">
        <v>50.353352324962898</v>
      </c>
      <c r="O4756">
        <v>49.507403445444602</v>
      </c>
      <c r="P4756">
        <v>-8.5297733643826895E-2</v>
      </c>
      <c r="Q4756">
        <v>3.4207911203157297E-2</v>
      </c>
      <c r="R4756">
        <v>0.998669847600828</v>
      </c>
      <c r="S4756" t="s">
        <v>11759</v>
      </c>
      <c r="T4756" t="s">
        <v>14004</v>
      </c>
      <c r="U4756" t="s">
        <v>14004</v>
      </c>
      <c r="V4756" t="s">
        <v>14004</v>
      </c>
      <c r="W4756" t="s">
        <v>18705</v>
      </c>
      <c r="X4756">
        <v>2</v>
      </c>
      <c r="Y4756" t="s">
        <v>25515</v>
      </c>
      <c r="Z4756" t="s">
        <v>32466</v>
      </c>
      <c r="AA4756">
        <v>0.37829690583184389</v>
      </c>
      <c r="AB4756" t="str">
        <f>HYPERLINK("Melting_Curves/meltCurve_Q8N5C7_DTWD1.pdf", "Melting_Curves/meltCurve_Q8N5C7_DTWD1.pdf")</f>
        <v>Melting_Curves/meltCurve_Q8N5C7_DTWD1.pdf</v>
      </c>
    </row>
    <row r="4757" spans="1:28" x14ac:dyDescent="0.25">
      <c r="A4757" t="s">
        <v>4761</v>
      </c>
      <c r="B4757">
        <v>0.99999676499088797</v>
      </c>
      <c r="C4757">
        <v>0.85404739941080898</v>
      </c>
      <c r="D4757">
        <v>0.78500924629935798</v>
      </c>
      <c r="E4757">
        <v>0.66207950788417902</v>
      </c>
      <c r="F4757">
        <v>0.47022406056870097</v>
      </c>
      <c r="G4757">
        <v>0.46952000477262601</v>
      </c>
      <c r="H4757">
        <v>0.28311582658399498</v>
      </c>
      <c r="I4757">
        <v>0.39041684099981899</v>
      </c>
      <c r="J4757">
        <v>0.40127706805743302</v>
      </c>
      <c r="K4757">
        <v>0.41465708522434902</v>
      </c>
      <c r="L4757">
        <v>671.18997409630504</v>
      </c>
      <c r="M4757">
        <v>13.9186958666842</v>
      </c>
      <c r="N4757">
        <v>53.151826410145603</v>
      </c>
      <c r="O4757">
        <v>47.2594916441641</v>
      </c>
      <c r="P4757">
        <v>-4.6945676949087703E-2</v>
      </c>
      <c r="Q4757">
        <v>0.36248956066084498</v>
      </c>
      <c r="R4757">
        <v>0.95439278310515596</v>
      </c>
      <c r="S4757" t="s">
        <v>11760</v>
      </c>
      <c r="T4757" t="s">
        <v>14004</v>
      </c>
      <c r="U4757" t="s">
        <v>14004</v>
      </c>
      <c r="V4757" t="s">
        <v>14004</v>
      </c>
      <c r="W4757" t="s">
        <v>18706</v>
      </c>
      <c r="X4757">
        <v>7</v>
      </c>
      <c r="Y4757" t="s">
        <v>25516</v>
      </c>
      <c r="Z4757" t="s">
        <v>32467</v>
      </c>
      <c r="AA4757">
        <v>0.55597313038483376</v>
      </c>
      <c r="AB4757" t="str">
        <f>HYPERLINK("Melting_Curves/meltCurve_Q8N5F7_NKAP.pdf", "Melting_Curves/meltCurve_Q8N5F7_NKAP.pdf")</f>
        <v>Melting_Curves/meltCurve_Q8N5F7_NKAP.pdf</v>
      </c>
    </row>
    <row r="4758" spans="1:28" x14ac:dyDescent="0.25">
      <c r="A4758" t="s">
        <v>4762</v>
      </c>
      <c r="B4758">
        <v>0.99999676499088797</v>
      </c>
      <c r="C4758">
        <v>0.94009868108222505</v>
      </c>
      <c r="D4758">
        <v>0.91916735806902305</v>
      </c>
      <c r="E4758">
        <v>0.73780878579426201</v>
      </c>
      <c r="F4758">
        <v>0.68802400316596402</v>
      </c>
      <c r="G4758">
        <v>0.62123935086186299</v>
      </c>
      <c r="H4758">
        <v>0.44901397671427501</v>
      </c>
      <c r="I4758">
        <v>0.48955174441483901</v>
      </c>
      <c r="J4758">
        <v>0.44296866806663698</v>
      </c>
      <c r="K4758">
        <v>0.42069195313808999</v>
      </c>
      <c r="L4758">
        <v>553.02764375657398</v>
      </c>
      <c r="M4758">
        <v>10.5018443975684</v>
      </c>
      <c r="N4758">
        <v>61.063324379315503</v>
      </c>
      <c r="O4758">
        <v>50.858126513035998</v>
      </c>
      <c r="P4758">
        <v>-3.1908139154350201E-2</v>
      </c>
      <c r="Q4758">
        <v>0.38215278993323698</v>
      </c>
      <c r="R4758">
        <v>0.97858686532222805</v>
      </c>
      <c r="S4758" t="s">
        <v>11761</v>
      </c>
      <c r="T4758" t="s">
        <v>14004</v>
      </c>
      <c r="U4758" t="s">
        <v>14004</v>
      </c>
      <c r="V4758" t="s">
        <v>14004</v>
      </c>
      <c r="W4758" t="s">
        <v>18707</v>
      </c>
      <c r="X4758">
        <v>3</v>
      </c>
      <c r="Y4758" t="s">
        <v>25517</v>
      </c>
      <c r="Z4758" t="s">
        <v>32468</v>
      </c>
      <c r="AA4758">
        <v>0.66378249064244799</v>
      </c>
      <c r="AB4758" t="str">
        <f>HYPERLINK("Melting_Curves/meltCurve_Q8N5G0_2_SMIM20.pdf", "Melting_Curves/meltCurve_Q8N5G0_2_SMIM20.pdf")</f>
        <v>Melting_Curves/meltCurve_Q8N5G0_2_SMIM20.pdf</v>
      </c>
    </row>
    <row r="4759" spans="1:28" x14ac:dyDescent="0.25">
      <c r="A4759" t="s">
        <v>4763</v>
      </c>
      <c r="B4759">
        <v>0.99999676499088797</v>
      </c>
      <c r="C4759">
        <v>0.91523747992403304</v>
      </c>
      <c r="D4759">
        <v>1.0369187507831401</v>
      </c>
      <c r="E4759">
        <v>1.0510029436999</v>
      </c>
      <c r="F4759">
        <v>0.74699203093100097</v>
      </c>
      <c r="G4759">
        <v>0.553588005706797</v>
      </c>
      <c r="H4759">
        <v>0.20996029999174901</v>
      </c>
      <c r="I4759">
        <v>0.17529633339771999</v>
      </c>
      <c r="J4759">
        <v>0.241835173958907</v>
      </c>
      <c r="K4759">
        <v>0.19395780758450901</v>
      </c>
      <c r="L4759">
        <v>1457.4298754455799</v>
      </c>
      <c r="M4759">
        <v>26.154327586271801</v>
      </c>
      <c r="N4759">
        <v>56.708692500931001</v>
      </c>
      <c r="O4759">
        <v>55.401536438654297</v>
      </c>
      <c r="P4759">
        <v>-9.6487312567457795E-2</v>
      </c>
      <c r="Q4759">
        <v>0.18247040708950299</v>
      </c>
      <c r="R4759">
        <v>0.976273409945427</v>
      </c>
      <c r="S4759" t="s">
        <v>11762</v>
      </c>
      <c r="T4759" t="s">
        <v>14004</v>
      </c>
      <c r="U4759" t="s">
        <v>14004</v>
      </c>
      <c r="V4759" t="s">
        <v>14004</v>
      </c>
      <c r="W4759" t="s">
        <v>18708</v>
      </c>
      <c r="X4759">
        <v>5</v>
      </c>
      <c r="Y4759" t="s">
        <v>25518</v>
      </c>
      <c r="Z4759" t="s">
        <v>32469</v>
      </c>
      <c r="AA4759">
        <v>0.61793931483021147</v>
      </c>
      <c r="AB4759" t="str">
        <f>HYPERLINK("Melting_Curves/meltCurve_Q8N5G2_TMEM57.pdf", "Melting_Curves/meltCurve_Q8N5G2_TMEM57.pdf")</f>
        <v>Melting_Curves/meltCurve_Q8N5G2_TMEM57.pdf</v>
      </c>
    </row>
    <row r="4760" spans="1:28" x14ac:dyDescent="0.25">
      <c r="A4760" t="s">
        <v>4764</v>
      </c>
      <c r="B4760">
        <v>0.99999676499088797</v>
      </c>
      <c r="C4760">
        <v>4.1537806457001798</v>
      </c>
      <c r="D4760">
        <v>4.6618866753884198</v>
      </c>
      <c r="E4760">
        <v>3.0979564031618199</v>
      </c>
      <c r="F4760">
        <v>1.1375039645831</v>
      </c>
      <c r="G4760">
        <v>2.50431225858462</v>
      </c>
      <c r="H4760">
        <v>1.4541289967346001</v>
      </c>
      <c r="I4760">
        <v>1.8186805788301901</v>
      </c>
      <c r="J4760">
        <v>2.6774536878309201</v>
      </c>
      <c r="K4760">
        <v>3.00433577766628</v>
      </c>
      <c r="L4760">
        <v>10208.415750095401</v>
      </c>
      <c r="M4760">
        <v>250</v>
      </c>
      <c r="O4760">
        <v>40.831049947794497</v>
      </c>
      <c r="P4760">
        <v>0.76534892196775295</v>
      </c>
      <c r="Q4760">
        <v>1.5</v>
      </c>
      <c r="R4760">
        <v>-0.78857832428595598</v>
      </c>
      <c r="S4760" t="s">
        <v>11763</v>
      </c>
      <c r="T4760" t="s">
        <v>14004</v>
      </c>
      <c r="U4760" t="s">
        <v>14004</v>
      </c>
      <c r="V4760" t="s">
        <v>14004</v>
      </c>
      <c r="W4760" t="s">
        <v>18709</v>
      </c>
      <c r="X4760">
        <v>1</v>
      </c>
      <c r="Y4760" t="s">
        <v>25519</v>
      </c>
      <c r="Z4760" t="s">
        <v>32470</v>
      </c>
      <c r="AA4760">
        <v>1.4860556730485279</v>
      </c>
      <c r="AB4760" t="str">
        <f>HYPERLINK("Melting_Curves/meltCurve_Q8N5I4_DHRSX.pdf", "Melting_Curves/meltCurve_Q8N5I4_DHRSX.pdf")</f>
        <v>Melting_Curves/meltCurve_Q8N5I4_DHRSX.pdf</v>
      </c>
    </row>
    <row r="4761" spans="1:28" x14ac:dyDescent="0.25">
      <c r="A4761" t="s">
        <v>4765</v>
      </c>
      <c r="B4761">
        <v>0.99999676499088797</v>
      </c>
      <c r="C4761">
        <v>0.91577100658016997</v>
      </c>
      <c r="D4761">
        <v>0.90242877160258095</v>
      </c>
      <c r="E4761">
        <v>0.78091532741527803</v>
      </c>
      <c r="F4761">
        <v>0.65089242360701705</v>
      </c>
      <c r="G4761">
        <v>0.54923690083925703</v>
      </c>
      <c r="H4761">
        <v>0.37286152345086698</v>
      </c>
      <c r="I4761">
        <v>0.414459514576695</v>
      </c>
      <c r="J4761">
        <v>0.39540198753476502</v>
      </c>
      <c r="K4761">
        <v>0.44717075159876102</v>
      </c>
      <c r="L4761">
        <v>691.94034196786595</v>
      </c>
      <c r="M4761">
        <v>13.3566851793259</v>
      </c>
      <c r="N4761">
        <v>57.797322167111297</v>
      </c>
      <c r="O4761">
        <v>50.684878358010501</v>
      </c>
      <c r="P4761">
        <v>-4.1194133822199601E-2</v>
      </c>
      <c r="Q4761">
        <v>0.37481860713030501</v>
      </c>
      <c r="R4761">
        <v>0.97606319203122904</v>
      </c>
      <c r="S4761" t="s">
        <v>11764</v>
      </c>
      <c r="T4761" t="s">
        <v>14004</v>
      </c>
      <c r="U4761" t="s">
        <v>14004</v>
      </c>
      <c r="V4761" t="s">
        <v>14004</v>
      </c>
      <c r="W4761" t="s">
        <v>18710</v>
      </c>
      <c r="X4761">
        <v>9</v>
      </c>
      <c r="Y4761" t="s">
        <v>25520</v>
      </c>
      <c r="Z4761" t="s">
        <v>32471</v>
      </c>
      <c r="AA4761">
        <v>0.63755535436174593</v>
      </c>
      <c r="AB4761" t="str">
        <f>HYPERLINK("Melting_Curves/meltCurve_Q8N5I9_C12orf45.pdf", "Melting_Curves/meltCurve_Q8N5I9_C12orf45.pdf")</f>
        <v>Melting_Curves/meltCurve_Q8N5I9_C12orf45.pdf</v>
      </c>
    </row>
    <row r="4762" spans="1:28" x14ac:dyDescent="0.25">
      <c r="A4762" t="s">
        <v>4766</v>
      </c>
      <c r="B4762">
        <v>0.99999676499088797</v>
      </c>
      <c r="C4762">
        <v>0.98580698104949505</v>
      </c>
      <c r="D4762">
        <v>1.0590615536783401</v>
      </c>
      <c r="E4762">
        <v>1.0832956019614499</v>
      </c>
      <c r="F4762">
        <v>1.0480881429201601</v>
      </c>
      <c r="G4762">
        <v>1.06564819897829</v>
      </c>
      <c r="H4762">
        <v>0.76381671530763795</v>
      </c>
      <c r="I4762">
        <v>0.63579466029723997</v>
      </c>
      <c r="J4762">
        <v>0.49474010089557202</v>
      </c>
      <c r="K4762">
        <v>0.62608199255568897</v>
      </c>
      <c r="L4762">
        <v>4174.8509633923804</v>
      </c>
      <c r="M4762">
        <v>68.852393758153895</v>
      </c>
      <c r="O4762">
        <v>60.583708022952599</v>
      </c>
      <c r="P4762">
        <v>-0.119237278446731</v>
      </c>
      <c r="Q4762">
        <v>0.58032920309658897</v>
      </c>
      <c r="R4762">
        <v>0.93447469503896297</v>
      </c>
      <c r="S4762" t="s">
        <v>11765</v>
      </c>
      <c r="T4762" t="s">
        <v>14004</v>
      </c>
      <c r="U4762" t="s">
        <v>14004</v>
      </c>
      <c r="V4762" t="s">
        <v>14004</v>
      </c>
      <c r="W4762" t="s">
        <v>18711</v>
      </c>
      <c r="X4762">
        <v>12</v>
      </c>
      <c r="Y4762" t="s">
        <v>25521</v>
      </c>
      <c r="Z4762" t="s">
        <v>32472</v>
      </c>
      <c r="AA4762">
        <v>0.86957860521315977</v>
      </c>
      <c r="AB4762" t="str">
        <f>HYPERLINK("Melting_Curves/meltCurve_Q8N5K1_CISD2.pdf", "Melting_Curves/meltCurve_Q8N5K1_CISD2.pdf")</f>
        <v>Melting_Curves/meltCurve_Q8N5K1_CISD2.pdf</v>
      </c>
    </row>
    <row r="4763" spans="1:28" x14ac:dyDescent="0.25">
      <c r="A4763" t="s">
        <v>4767</v>
      </c>
      <c r="B4763">
        <v>0.99999676499088797</v>
      </c>
      <c r="C4763">
        <v>1.05885296547622</v>
      </c>
      <c r="D4763">
        <v>0.95471004316282404</v>
      </c>
      <c r="E4763">
        <v>1.0246218146309101</v>
      </c>
      <c r="F4763">
        <v>0.84362324940117595</v>
      </c>
      <c r="G4763">
        <v>0.53171104062252705</v>
      </c>
      <c r="H4763">
        <v>0.255593306646477</v>
      </c>
      <c r="I4763">
        <v>0.28286631074946</v>
      </c>
      <c r="J4763">
        <v>0.28532195873250299</v>
      </c>
      <c r="K4763">
        <v>0.333417697582854</v>
      </c>
      <c r="L4763">
        <v>1927.3274816743001</v>
      </c>
      <c r="M4763">
        <v>34.738108868499502</v>
      </c>
      <c r="N4763">
        <v>56.849258192179299</v>
      </c>
      <c r="O4763">
        <v>55.298741275276299</v>
      </c>
      <c r="P4763">
        <v>-0.11257022615515699</v>
      </c>
      <c r="Q4763">
        <v>0.283211395018927</v>
      </c>
      <c r="R4763">
        <v>0.98698631418147997</v>
      </c>
      <c r="S4763" t="s">
        <v>11766</v>
      </c>
      <c r="T4763" t="s">
        <v>14004</v>
      </c>
      <c r="U4763" t="s">
        <v>14004</v>
      </c>
      <c r="V4763" t="s">
        <v>14004</v>
      </c>
      <c r="W4763" t="s">
        <v>18712</v>
      </c>
      <c r="X4763">
        <v>4</v>
      </c>
      <c r="Y4763" t="s">
        <v>25522</v>
      </c>
      <c r="Z4763" t="s">
        <v>32473</v>
      </c>
      <c r="AA4763">
        <v>0.65672135501958329</v>
      </c>
      <c r="AB4763" t="str">
        <f>HYPERLINK("Melting_Curves/meltCurve_Q8N5L8_RPP25L.pdf", "Melting_Curves/meltCurve_Q8N5L8_RPP25L.pdf")</f>
        <v>Melting_Curves/meltCurve_Q8N5L8_RPP25L.pdf</v>
      </c>
    </row>
    <row r="4764" spans="1:28" x14ac:dyDescent="0.25">
      <c r="A4764" t="s">
        <v>4768</v>
      </c>
      <c r="B4764">
        <v>0.99999676499088797</v>
      </c>
      <c r="C4764">
        <v>1.0027200293498699</v>
      </c>
      <c r="D4764">
        <v>1.00800239493064</v>
      </c>
      <c r="E4764">
        <v>1.0320807148545601</v>
      </c>
      <c r="F4764">
        <v>0.89460970508439697</v>
      </c>
      <c r="G4764">
        <v>0.70945253361907801</v>
      </c>
      <c r="H4764">
        <v>0.28495722436786602</v>
      </c>
      <c r="I4764">
        <v>0.14105962993551599</v>
      </c>
      <c r="J4764">
        <v>0.106193028158536</v>
      </c>
      <c r="K4764">
        <v>7.2809706611501407E-2</v>
      </c>
      <c r="L4764">
        <v>1572.65800541922</v>
      </c>
      <c r="M4764">
        <v>26.989869792179999</v>
      </c>
      <c r="N4764">
        <v>58.584158838789001</v>
      </c>
      <c r="O4764">
        <v>57.951419614638297</v>
      </c>
      <c r="P4764">
        <v>-0.108553915123213</v>
      </c>
      <c r="Q4764">
        <v>6.7681544995981904E-2</v>
      </c>
      <c r="R4764">
        <v>0.99753737389306096</v>
      </c>
      <c r="S4764" t="s">
        <v>11767</v>
      </c>
      <c r="T4764" t="s">
        <v>14004</v>
      </c>
      <c r="U4764" t="s">
        <v>14004</v>
      </c>
      <c r="V4764" t="s">
        <v>14004</v>
      </c>
      <c r="W4764" t="s">
        <v>18713</v>
      </c>
      <c r="X4764">
        <v>7</v>
      </c>
      <c r="Y4764" t="s">
        <v>25523</v>
      </c>
      <c r="Z4764" t="s">
        <v>32474</v>
      </c>
      <c r="AA4764">
        <v>0.64260218525028845</v>
      </c>
      <c r="AB4764" t="str">
        <f>HYPERLINK("Melting_Curves/meltCurve_Q8N5M1_ATPAF2.pdf", "Melting_Curves/meltCurve_Q8N5M1_ATPAF2.pdf")</f>
        <v>Melting_Curves/meltCurve_Q8N5M1_ATPAF2.pdf</v>
      </c>
    </row>
    <row r="4765" spans="1:28" x14ac:dyDescent="0.25">
      <c r="A4765" t="s">
        <v>4769</v>
      </c>
      <c r="B4765">
        <v>0.99999676499088797</v>
      </c>
      <c r="C4765">
        <v>1.3085769276764501</v>
      </c>
      <c r="D4765">
        <v>0.97324191131864002</v>
      </c>
      <c r="E4765">
        <v>0.386980867691189</v>
      </c>
      <c r="F4765">
        <v>0.31113040899540101</v>
      </c>
      <c r="G4765">
        <v>0.286768834908883</v>
      </c>
      <c r="H4765">
        <v>0.130234925408724</v>
      </c>
      <c r="I4765">
        <v>0.133612340228453</v>
      </c>
      <c r="J4765">
        <v>0.10945875915629601</v>
      </c>
      <c r="K4765">
        <v>6.2503430758152304E-2</v>
      </c>
      <c r="L4765">
        <v>2389.7957655822602</v>
      </c>
      <c r="M4765">
        <v>49.108218945639798</v>
      </c>
      <c r="N4765">
        <v>49.072940149278601</v>
      </c>
      <c r="O4765">
        <v>48.583384842410702</v>
      </c>
      <c r="P4765">
        <v>-0.21025712733910701</v>
      </c>
      <c r="Q4765">
        <v>0.16796078720340199</v>
      </c>
      <c r="R4765">
        <v>0.92080332537677601</v>
      </c>
      <c r="S4765" t="s">
        <v>11768</v>
      </c>
      <c r="T4765" t="s">
        <v>14004</v>
      </c>
      <c r="U4765" t="s">
        <v>14004</v>
      </c>
      <c r="V4765" t="s">
        <v>14004</v>
      </c>
      <c r="W4765" t="s">
        <v>18714</v>
      </c>
      <c r="X4765">
        <v>1</v>
      </c>
      <c r="Y4765" t="s">
        <v>25524</v>
      </c>
      <c r="Z4765" t="s">
        <v>32475</v>
      </c>
      <c r="AA4765">
        <v>0.41010227826260087</v>
      </c>
      <c r="AB4765" t="str">
        <f>HYPERLINK("Melting_Curves/meltCurve_Q8N5M9_JAGN1.pdf", "Melting_Curves/meltCurve_Q8N5M9_JAGN1.pdf")</f>
        <v>Melting_Curves/meltCurve_Q8N5M9_JAGN1.pdf</v>
      </c>
    </row>
    <row r="4766" spans="1:28" x14ac:dyDescent="0.25">
      <c r="A4766" t="s">
        <v>4770</v>
      </c>
      <c r="B4766">
        <v>0.99999676499088797</v>
      </c>
      <c r="C4766">
        <v>0.96186810830534697</v>
      </c>
      <c r="D4766">
        <v>1.02895293611917</v>
      </c>
      <c r="E4766">
        <v>1.06745974396782</v>
      </c>
      <c r="F4766">
        <v>1.3637550034836201</v>
      </c>
      <c r="G4766">
        <v>1.07356787725987</v>
      </c>
      <c r="H4766">
        <v>0.64613237498993503</v>
      </c>
      <c r="I4766">
        <v>0.52770581714708498</v>
      </c>
      <c r="J4766">
        <v>0.56195251951731096</v>
      </c>
      <c r="K4766">
        <v>0.42547917792932599</v>
      </c>
      <c r="L4766">
        <v>9999.0187253050008</v>
      </c>
      <c r="M4766">
        <v>165.37672722905401</v>
      </c>
      <c r="O4766">
        <v>60.453233899618503</v>
      </c>
      <c r="P4766">
        <v>-0.33851656563018001</v>
      </c>
      <c r="Q4766">
        <v>0.50502301838920505</v>
      </c>
      <c r="R4766">
        <v>0.81465498684801896</v>
      </c>
      <c r="S4766" t="s">
        <v>11769</v>
      </c>
      <c r="T4766" t="s">
        <v>14004</v>
      </c>
      <c r="U4766" t="s">
        <v>14004</v>
      </c>
      <c r="V4766" t="s">
        <v>14004</v>
      </c>
      <c r="W4766" t="s">
        <v>18715</v>
      </c>
      <c r="X4766">
        <v>6</v>
      </c>
      <c r="Y4766" t="s">
        <v>25525</v>
      </c>
      <c r="Z4766" t="s">
        <v>32476</v>
      </c>
      <c r="AA4766">
        <v>0.84275147947039453</v>
      </c>
      <c r="AB4766" t="str">
        <f>HYPERLINK("Melting_Curves/meltCurve_Q8N5N7_MRPL50.pdf", "Melting_Curves/meltCurve_Q8N5N7_MRPL50.pdf")</f>
        <v>Melting_Curves/meltCurve_Q8N5N7_MRPL50.pdf</v>
      </c>
    </row>
    <row r="4767" spans="1:28" x14ac:dyDescent="0.25">
      <c r="A4767" t="s">
        <v>4771</v>
      </c>
      <c r="B4767">
        <v>0.99999676499088797</v>
      </c>
      <c r="C4767">
        <v>0.91458308300915603</v>
      </c>
      <c r="D4767">
        <v>0.98764833369414395</v>
      </c>
      <c r="E4767">
        <v>0.95448184216863696</v>
      </c>
      <c r="F4767">
        <v>0.61624935769821798</v>
      </c>
      <c r="G4767">
        <v>0.58769360427940898</v>
      </c>
      <c r="H4767">
        <v>0.35266079133423101</v>
      </c>
      <c r="I4767">
        <v>0.35998157823652699</v>
      </c>
      <c r="J4767">
        <v>0.33380593543879</v>
      </c>
      <c r="K4767">
        <v>0.41085663824743901</v>
      </c>
      <c r="L4767">
        <v>1143.9521269063</v>
      </c>
      <c r="M4767">
        <v>21.4104530338331</v>
      </c>
      <c r="N4767">
        <v>56.750168710217402</v>
      </c>
      <c r="O4767">
        <v>52.970058048091097</v>
      </c>
      <c r="P4767">
        <v>-6.4962154341155501E-2</v>
      </c>
      <c r="Q4767">
        <v>0.35714325333921898</v>
      </c>
      <c r="R4767">
        <v>0.95881501650303202</v>
      </c>
      <c r="S4767" t="s">
        <v>11770</v>
      </c>
      <c r="T4767" t="s">
        <v>14004</v>
      </c>
      <c r="U4767" t="s">
        <v>14004</v>
      </c>
      <c r="V4767" t="s">
        <v>14004</v>
      </c>
      <c r="W4767" t="s">
        <v>18716</v>
      </c>
      <c r="X4767">
        <v>9</v>
      </c>
      <c r="Y4767" t="s">
        <v>25526</v>
      </c>
      <c r="Z4767" t="s">
        <v>32477</v>
      </c>
      <c r="AA4767">
        <v>0.65276139935151156</v>
      </c>
      <c r="AB4767" t="str">
        <f>HYPERLINK("Melting_Curves/meltCurve_Q8N5P1_ZC3H8.pdf", "Melting_Curves/meltCurve_Q8N5P1_ZC3H8.pdf")</f>
        <v>Melting_Curves/meltCurve_Q8N5P1_ZC3H8.pdf</v>
      </c>
    </row>
    <row r="4768" spans="1:28" x14ac:dyDescent="0.25">
      <c r="A4768" t="s">
        <v>4772</v>
      </c>
      <c r="B4768">
        <v>0.99999676499088797</v>
      </c>
      <c r="C4768">
        <v>0.81774925611396798</v>
      </c>
      <c r="D4768">
        <v>0.88562381469552698</v>
      </c>
      <c r="E4768">
        <v>0.95167229002086096</v>
      </c>
      <c r="F4768">
        <v>0.71723965841312998</v>
      </c>
      <c r="G4768">
        <v>0.31109552817039399</v>
      </c>
      <c r="H4768">
        <v>6.6804298607073001E-2</v>
      </c>
      <c r="I4768">
        <v>8.3828766199707805E-2</v>
      </c>
      <c r="J4768">
        <v>6.3865689104346798E-2</v>
      </c>
      <c r="K4768">
        <v>6.64839999520659E-2</v>
      </c>
      <c r="L4768">
        <v>1567.8346783511599</v>
      </c>
      <c r="M4768">
        <v>28.635259188569002</v>
      </c>
      <c r="N4768">
        <v>54.971559960969998</v>
      </c>
      <c r="O4768">
        <v>54.4869564119047</v>
      </c>
      <c r="P4768">
        <v>-0.124283975426705</v>
      </c>
      <c r="Q4768">
        <v>5.4060959962383297E-2</v>
      </c>
      <c r="R4768">
        <v>0.96903442929274597</v>
      </c>
      <c r="S4768" t="s">
        <v>11771</v>
      </c>
      <c r="T4768" t="s">
        <v>14004</v>
      </c>
      <c r="U4768" t="s">
        <v>14004</v>
      </c>
      <c r="V4768" t="s">
        <v>14004</v>
      </c>
      <c r="W4768" t="s">
        <v>18717</v>
      </c>
      <c r="X4768">
        <v>5</v>
      </c>
      <c r="Y4768" t="s">
        <v>25527</v>
      </c>
      <c r="Z4768" t="s">
        <v>32478</v>
      </c>
      <c r="AA4768">
        <v>0.52604378483852776</v>
      </c>
      <c r="AB4768" t="str">
        <f>HYPERLINK("Melting_Curves/meltCurve_Q8N5Y8_PARP16.pdf", "Melting_Curves/meltCurve_Q8N5Y8_PARP16.pdf")</f>
        <v>Melting_Curves/meltCurve_Q8N5Y8_PARP16.pdf</v>
      </c>
    </row>
    <row r="4769" spans="1:28" x14ac:dyDescent="0.25">
      <c r="A4769" t="s">
        <v>4773</v>
      </c>
      <c r="B4769">
        <v>0.99999676499088797</v>
      </c>
      <c r="C4769">
        <v>1.1455695504004499</v>
      </c>
      <c r="D4769">
        <v>0.85164935009769405</v>
      </c>
      <c r="E4769">
        <v>0.66712483537783995</v>
      </c>
      <c r="F4769">
        <v>0.76517004495420904</v>
      </c>
      <c r="G4769">
        <v>0.65792648485357097</v>
      </c>
      <c r="H4769">
        <v>0.44206743072979399</v>
      </c>
      <c r="I4769">
        <v>0.53148520194898596</v>
      </c>
      <c r="J4769">
        <v>0.29874549731002298</v>
      </c>
      <c r="K4769">
        <v>0.27151255997302598</v>
      </c>
      <c r="L4769">
        <v>415.19882241840099</v>
      </c>
      <c r="M4769">
        <v>6.8267685254903103</v>
      </c>
      <c r="N4769">
        <v>60.819243506217099</v>
      </c>
      <c r="O4769">
        <v>56.241214945935397</v>
      </c>
      <c r="P4769">
        <v>-3.0407591056285699E-2</v>
      </c>
      <c r="Q4769">
        <v>0</v>
      </c>
      <c r="R4769">
        <v>0.87891327577765399</v>
      </c>
      <c r="S4769" t="s">
        <v>11772</v>
      </c>
      <c r="T4769" t="s">
        <v>14004</v>
      </c>
      <c r="U4769" t="s">
        <v>14004</v>
      </c>
      <c r="V4769" t="s">
        <v>14004</v>
      </c>
      <c r="W4769" t="s">
        <v>18718</v>
      </c>
      <c r="X4769">
        <v>2</v>
      </c>
      <c r="Y4769" t="s">
        <v>25528</v>
      </c>
      <c r="Z4769" t="s">
        <v>32479</v>
      </c>
      <c r="AA4769">
        <v>0.65912902672530826</v>
      </c>
      <c r="AB4769" t="str">
        <f>HYPERLINK("Melting_Curves/meltCurve_Q8N5Z5_2_KCTD17.pdf", "Melting_Curves/meltCurve_Q8N5Z5_2_KCTD17.pdf")</f>
        <v>Melting_Curves/meltCurve_Q8N5Z5_2_KCTD17.pdf</v>
      </c>
    </row>
    <row r="4770" spans="1:28" x14ac:dyDescent="0.25">
      <c r="A4770" t="s">
        <v>4774</v>
      </c>
      <c r="B4770">
        <v>0.99999676499088797</v>
      </c>
      <c r="C4770">
        <v>1.12496694021135</v>
      </c>
      <c r="D4770">
        <v>1.1224935025276599</v>
      </c>
      <c r="E4770">
        <v>0.907137514660037</v>
      </c>
      <c r="F4770">
        <v>0.77172360786359095</v>
      </c>
      <c r="G4770">
        <v>0.61769674623237703</v>
      </c>
      <c r="H4770">
        <v>0.29165118880560198</v>
      </c>
      <c r="I4770">
        <v>0.24734321291814401</v>
      </c>
      <c r="J4770">
        <v>0.27306394056857303</v>
      </c>
      <c r="K4770">
        <v>0.26660659834269701</v>
      </c>
      <c r="L4770">
        <v>1207.0523290482799</v>
      </c>
      <c r="M4770">
        <v>21.582936193644802</v>
      </c>
      <c r="N4770">
        <v>57.574278415844603</v>
      </c>
      <c r="O4770">
        <v>55.452764111905203</v>
      </c>
      <c r="P4770">
        <v>-7.4882833927205794E-2</v>
      </c>
      <c r="Q4770">
        <v>0.23043653885471899</v>
      </c>
      <c r="R4770">
        <v>0.96289392555928099</v>
      </c>
      <c r="S4770" t="s">
        <v>11773</v>
      </c>
      <c r="T4770" t="s">
        <v>14004</v>
      </c>
      <c r="U4770" t="s">
        <v>14004</v>
      </c>
      <c r="V4770" t="s">
        <v>14004</v>
      </c>
      <c r="W4770" t="s">
        <v>18719</v>
      </c>
      <c r="X4770">
        <v>4</v>
      </c>
      <c r="Y4770" t="s">
        <v>25529</v>
      </c>
      <c r="Z4770" t="s">
        <v>32480</v>
      </c>
      <c r="AA4770">
        <v>0.6478964265218583</v>
      </c>
      <c r="AB4770" t="str">
        <f>HYPERLINK("Melting_Curves/meltCurve_Q8N608_4_DPP10.pdf", "Melting_Curves/meltCurve_Q8N608_4_DPP10.pdf")</f>
        <v>Melting_Curves/meltCurve_Q8N608_4_DPP10.pdf</v>
      </c>
    </row>
    <row r="4771" spans="1:28" x14ac:dyDescent="0.25">
      <c r="A4771" t="s">
        <v>4775</v>
      </c>
      <c r="B4771">
        <v>0.99999676499088797</v>
      </c>
      <c r="C4771">
        <v>0.81752047724174504</v>
      </c>
      <c r="D4771">
        <v>0.63194106269498096</v>
      </c>
      <c r="E4771">
        <v>0.636845101144907</v>
      </c>
      <c r="F4771">
        <v>0.34398674578648603</v>
      </c>
      <c r="G4771">
        <v>0.43292508888257097</v>
      </c>
      <c r="H4771">
        <v>0.53751346750814599</v>
      </c>
      <c r="I4771">
        <v>1.2375368338261501</v>
      </c>
      <c r="J4771">
        <v>1.29521316780291</v>
      </c>
      <c r="K4771">
        <v>1.2440854485597601</v>
      </c>
      <c r="L4771">
        <v>15000</v>
      </c>
      <c r="M4771">
        <v>236.36940893822501</v>
      </c>
      <c r="O4771">
        <v>63.455452362425099</v>
      </c>
      <c r="P4771">
        <v>0.25115974281964898</v>
      </c>
      <c r="Q4771">
        <v>1.2697041633723101</v>
      </c>
      <c r="R4771">
        <v>-0.114541378804733</v>
      </c>
      <c r="S4771" t="s">
        <v>11774</v>
      </c>
      <c r="T4771" t="s">
        <v>14004</v>
      </c>
      <c r="U4771" t="s">
        <v>14004</v>
      </c>
      <c r="V4771" t="s">
        <v>14004</v>
      </c>
      <c r="W4771" t="s">
        <v>18720</v>
      </c>
      <c r="X4771">
        <v>1</v>
      </c>
      <c r="Y4771" t="s">
        <v>25530</v>
      </c>
      <c r="Z4771" t="s">
        <v>32481</v>
      </c>
      <c r="AA4771">
        <v>1.058762007613685</v>
      </c>
      <c r="AB4771" t="str">
        <f>HYPERLINK("Melting_Curves/meltCurve_Q8N655_C10orf12.pdf", "Melting_Curves/meltCurve_Q8N655_C10orf12.pdf")</f>
        <v>Melting_Curves/meltCurve_Q8N655_C10orf12.pdf</v>
      </c>
    </row>
    <row r="4772" spans="1:28" x14ac:dyDescent="0.25">
      <c r="A4772" t="s">
        <v>4776</v>
      </c>
      <c r="B4772">
        <v>0.99999676499088797</v>
      </c>
      <c r="C4772">
        <v>1.0141452479926401</v>
      </c>
      <c r="D4772">
        <v>1.00454643722357</v>
      </c>
      <c r="E4772">
        <v>0.83592827534164804</v>
      </c>
      <c r="F4772">
        <v>0.56995462465881896</v>
      </c>
      <c r="G4772">
        <v>0.30660895783034797</v>
      </c>
      <c r="H4772">
        <v>0.139755472577168</v>
      </c>
      <c r="I4772">
        <v>0.12818933765558199</v>
      </c>
      <c r="J4772">
        <v>0.104564369071121</v>
      </c>
      <c r="K4772">
        <v>9.2647819291122605E-2</v>
      </c>
      <c r="L4772">
        <v>1123.15848060037</v>
      </c>
      <c r="M4772">
        <v>21.002602841557799</v>
      </c>
      <c r="N4772">
        <v>53.985593047984899</v>
      </c>
      <c r="O4772">
        <v>52.999379781597597</v>
      </c>
      <c r="P4772">
        <v>-9.0181836506987301E-2</v>
      </c>
      <c r="Q4772">
        <v>8.9740785803114495E-2</v>
      </c>
      <c r="R4772">
        <v>0.99847452078230303</v>
      </c>
      <c r="S4772" t="s">
        <v>11775</v>
      </c>
      <c r="T4772" t="s">
        <v>14004</v>
      </c>
      <c r="U4772" t="s">
        <v>14004</v>
      </c>
      <c r="V4772" t="s">
        <v>14004</v>
      </c>
      <c r="W4772" t="s">
        <v>18721</v>
      </c>
      <c r="X4772">
        <v>3</v>
      </c>
      <c r="Y4772" t="s">
        <v>25531</v>
      </c>
      <c r="Z4772" t="s">
        <v>32482</v>
      </c>
      <c r="AA4772">
        <v>0.51013585807931827</v>
      </c>
      <c r="AB4772" t="str">
        <f>HYPERLINK("Melting_Curves/meltCurve_Q8N668_COMMD1.pdf", "Melting_Curves/meltCurve_Q8N668_COMMD1.pdf")</f>
        <v>Melting_Curves/meltCurve_Q8N668_COMMD1.pdf</v>
      </c>
    </row>
    <row r="4773" spans="1:28" x14ac:dyDescent="0.25">
      <c r="A4773" t="s">
        <v>4777</v>
      </c>
      <c r="B4773">
        <v>0.99999676499088797</v>
      </c>
      <c r="C4773">
        <v>1.0190654134181001</v>
      </c>
      <c r="D4773">
        <v>0.97708789898574899</v>
      </c>
      <c r="E4773">
        <v>0.96907492322790401</v>
      </c>
      <c r="F4773">
        <v>0.56991612460615204</v>
      </c>
      <c r="G4773">
        <v>0.28593646480280599</v>
      </c>
      <c r="H4773">
        <v>0.10708675800815801</v>
      </c>
      <c r="I4773">
        <v>8.5262057874061298E-2</v>
      </c>
      <c r="J4773">
        <v>8.2857020885578295E-2</v>
      </c>
      <c r="K4773">
        <v>6.7631353294841601E-2</v>
      </c>
      <c r="L4773">
        <v>1472.6783047274801</v>
      </c>
      <c r="M4773">
        <v>27.379316432750802</v>
      </c>
      <c r="N4773">
        <v>54.114844877553402</v>
      </c>
      <c r="O4773">
        <v>53.503508222242601</v>
      </c>
      <c r="P4773">
        <v>-0.118183547453068</v>
      </c>
      <c r="Q4773">
        <v>7.6211514203114006E-2</v>
      </c>
      <c r="R4773">
        <v>0.99641810219932803</v>
      </c>
      <c r="S4773" t="s">
        <v>11776</v>
      </c>
      <c r="T4773" t="s">
        <v>14004</v>
      </c>
      <c r="U4773" t="s">
        <v>14004</v>
      </c>
      <c r="V4773" t="s">
        <v>14004</v>
      </c>
      <c r="W4773" t="s">
        <v>18722</v>
      </c>
      <c r="X4773">
        <v>13</v>
      </c>
      <c r="Y4773" t="s">
        <v>25532</v>
      </c>
      <c r="Z4773" t="s">
        <v>32483</v>
      </c>
      <c r="AA4773">
        <v>0.50799514174288063</v>
      </c>
      <c r="AB4773" t="str">
        <f>HYPERLINK("Melting_Curves/meltCurve_Q8N684_CPSF7.pdf", "Melting_Curves/meltCurve_Q8N684_CPSF7.pdf")</f>
        <v>Melting_Curves/meltCurve_Q8N684_CPSF7.pdf</v>
      </c>
    </row>
    <row r="4774" spans="1:28" x14ac:dyDescent="0.25">
      <c r="A4774" t="s">
        <v>4778</v>
      </c>
      <c r="B4774">
        <v>0.99999676499088797</v>
      </c>
      <c r="C4774">
        <v>1.03181729113068</v>
      </c>
      <c r="D4774">
        <v>1.0227370148533801</v>
      </c>
      <c r="E4774">
        <v>0.94595367989274204</v>
      </c>
      <c r="F4774">
        <v>0.86611747686088303</v>
      </c>
      <c r="G4774">
        <v>0.80692407242535003</v>
      </c>
      <c r="H4774">
        <v>0.63256912013058597</v>
      </c>
      <c r="I4774">
        <v>0.612038763750545</v>
      </c>
      <c r="J4774">
        <v>0.46401790752044397</v>
      </c>
      <c r="K4774">
        <v>0.32500563478462102</v>
      </c>
      <c r="L4774">
        <v>599.42296298785197</v>
      </c>
      <c r="M4774">
        <v>9.1414239414265808</v>
      </c>
      <c r="N4774">
        <v>65.572162218874794</v>
      </c>
      <c r="O4774">
        <v>62.6628889242876</v>
      </c>
      <c r="P4774">
        <v>-3.6495611641360302E-2</v>
      </c>
      <c r="Q4774">
        <v>0</v>
      </c>
      <c r="R4774">
        <v>0.98163711665253905</v>
      </c>
      <c r="S4774" t="s">
        <v>11777</v>
      </c>
      <c r="T4774" t="s">
        <v>14004</v>
      </c>
      <c r="U4774" t="s">
        <v>14004</v>
      </c>
      <c r="V4774" t="s">
        <v>14004</v>
      </c>
      <c r="W4774" t="s">
        <v>18723</v>
      </c>
      <c r="X4774">
        <v>3</v>
      </c>
      <c r="Y4774" t="s">
        <v>25533</v>
      </c>
      <c r="Z4774" t="s">
        <v>32484</v>
      </c>
      <c r="AA4774">
        <v>0.78215433815072932</v>
      </c>
      <c r="AB4774" t="str">
        <f>HYPERLINK("Melting_Curves/meltCurve_Q8N697_SLC15A4.pdf", "Melting_Curves/meltCurve_Q8N697_SLC15A4.pdf")</f>
        <v>Melting_Curves/meltCurve_Q8N697_SLC15A4.pdf</v>
      </c>
    </row>
    <row r="4775" spans="1:28" x14ac:dyDescent="0.25">
      <c r="A4775" t="s">
        <v>4779</v>
      </c>
      <c r="B4775">
        <v>0.99999676499088797</v>
      </c>
      <c r="C4775">
        <v>0.93555666524626602</v>
      </c>
      <c r="D4775">
        <v>0.82158215847120097</v>
      </c>
      <c r="E4775">
        <v>0.41547934526080699</v>
      </c>
      <c r="F4775">
        <v>0.217256352700095</v>
      </c>
      <c r="G4775">
        <v>0.14180735029302499</v>
      </c>
      <c r="H4775">
        <v>7.8227174992197293E-2</v>
      </c>
      <c r="I4775">
        <v>7.7741936751636195E-2</v>
      </c>
      <c r="J4775">
        <v>9.5869270642274906E-2</v>
      </c>
      <c r="K4775">
        <v>8.8061306430476605E-2</v>
      </c>
      <c r="L4775">
        <v>1096.5100826103701</v>
      </c>
      <c r="M4775">
        <v>22.575886308346401</v>
      </c>
      <c r="N4775">
        <v>48.986809081438302</v>
      </c>
      <c r="O4775">
        <v>48.193707134372502</v>
      </c>
      <c r="P4775">
        <v>-0.10687814376231999</v>
      </c>
      <c r="Q4775">
        <v>8.7389328831857793E-2</v>
      </c>
      <c r="R4775">
        <v>0.99782190183978003</v>
      </c>
      <c r="S4775" t="s">
        <v>11778</v>
      </c>
      <c r="T4775" t="s">
        <v>14004</v>
      </c>
      <c r="U4775" t="s">
        <v>14004</v>
      </c>
      <c r="V4775" t="s">
        <v>14004</v>
      </c>
      <c r="W4775" t="s">
        <v>18724</v>
      </c>
      <c r="X4775">
        <v>19</v>
      </c>
      <c r="Y4775" t="s">
        <v>25534</v>
      </c>
      <c r="Z4775" t="s">
        <v>32485</v>
      </c>
      <c r="AA4775">
        <v>0.35807484119655292</v>
      </c>
      <c r="AB4775" t="str">
        <f>HYPERLINK("Melting_Curves/meltCurve_Q8N6H7_ARFGAP2.pdf", "Melting_Curves/meltCurve_Q8N6H7_ARFGAP2.pdf")</f>
        <v>Melting_Curves/meltCurve_Q8N6H7_ARFGAP2.pdf</v>
      </c>
    </row>
    <row r="4776" spans="1:28" x14ac:dyDescent="0.25">
      <c r="A4776" t="s">
        <v>4780</v>
      </c>
      <c r="B4776">
        <v>0.99999676499088797</v>
      </c>
      <c r="C4776">
        <v>0.87649243946507505</v>
      </c>
      <c r="D4776">
        <v>0.57974221920715296</v>
      </c>
      <c r="E4776">
        <v>0.27211173897930702</v>
      </c>
      <c r="F4776">
        <v>0.297731495483468</v>
      </c>
      <c r="G4776">
        <v>0.16090465776910001</v>
      </c>
      <c r="H4776">
        <v>9.6604667863791294E-2</v>
      </c>
      <c r="I4776">
        <v>8.1125735633893706E-2</v>
      </c>
      <c r="J4776">
        <v>6.3138261852222197E-2</v>
      </c>
      <c r="K4776">
        <v>7.0801115476612594E-2</v>
      </c>
      <c r="L4776">
        <v>822.416914517245</v>
      </c>
      <c r="M4776">
        <v>17.6071560461179</v>
      </c>
      <c r="N4776">
        <v>47.250532124154603</v>
      </c>
      <c r="O4776">
        <v>46.119223908037597</v>
      </c>
      <c r="P4776">
        <v>-8.67313924698071E-2</v>
      </c>
      <c r="Q4776">
        <v>9.1331214789927201E-2</v>
      </c>
      <c r="R4776">
        <v>0.97914829928889002</v>
      </c>
      <c r="S4776" t="s">
        <v>11779</v>
      </c>
      <c r="T4776" t="s">
        <v>14004</v>
      </c>
      <c r="U4776" t="s">
        <v>14004</v>
      </c>
      <c r="V4776" t="s">
        <v>14004</v>
      </c>
      <c r="W4776" t="s">
        <v>18725</v>
      </c>
      <c r="X4776">
        <v>13</v>
      </c>
      <c r="Y4776" t="s">
        <v>25535</v>
      </c>
      <c r="Z4776" t="s">
        <v>32486</v>
      </c>
      <c r="AA4776">
        <v>0.31241422294278343</v>
      </c>
      <c r="AB4776" t="str">
        <f>HYPERLINK("Melting_Curves/meltCurve_Q8N6M0_OTUD6B.pdf", "Melting_Curves/meltCurve_Q8N6M0_OTUD6B.pdf")</f>
        <v>Melting_Curves/meltCurve_Q8N6M0_OTUD6B.pdf</v>
      </c>
    </row>
    <row r="4777" spans="1:28" x14ac:dyDescent="0.25">
      <c r="A4777" t="s">
        <v>4781</v>
      </c>
      <c r="B4777">
        <v>0.99999676499088797</v>
      </c>
      <c r="C4777">
        <v>0.93552218924444497</v>
      </c>
      <c r="D4777">
        <v>0.94613916836242395</v>
      </c>
      <c r="E4777">
        <v>0.91788082111431502</v>
      </c>
      <c r="F4777">
        <v>0.79501368414409701</v>
      </c>
      <c r="G4777">
        <v>0.76665422308809805</v>
      </c>
      <c r="H4777">
        <v>0.467929686330955</v>
      </c>
      <c r="I4777">
        <v>0.41895822714382303</v>
      </c>
      <c r="J4777">
        <v>0.38289321544834798</v>
      </c>
      <c r="K4777">
        <v>0.54745525551488505</v>
      </c>
      <c r="L4777">
        <v>953.00435731119296</v>
      </c>
      <c r="M4777">
        <v>17.0493527365009</v>
      </c>
      <c r="N4777">
        <v>62.254823018837897</v>
      </c>
      <c r="O4777">
        <v>55.144807544055297</v>
      </c>
      <c r="P4777">
        <v>-4.5424521824568201E-2</v>
      </c>
      <c r="Q4777">
        <v>0.41234754773619497</v>
      </c>
      <c r="R4777">
        <v>0.92111857735492797</v>
      </c>
      <c r="S4777" t="s">
        <v>11780</v>
      </c>
      <c r="T4777" t="s">
        <v>14004</v>
      </c>
      <c r="U4777" t="s">
        <v>14004</v>
      </c>
      <c r="V4777" t="s">
        <v>14004</v>
      </c>
      <c r="W4777" t="s">
        <v>18726</v>
      </c>
      <c r="X4777">
        <v>9</v>
      </c>
      <c r="Y4777" t="s">
        <v>25536</v>
      </c>
      <c r="Z4777" t="s">
        <v>32487</v>
      </c>
      <c r="AA4777">
        <v>0.73301328898852347</v>
      </c>
      <c r="AB4777" t="str">
        <f>HYPERLINK("Melting_Curves/meltCurve_Q8N6N3_C1orf52.pdf", "Melting_Curves/meltCurve_Q8N6N3_C1orf52.pdf")</f>
        <v>Melting_Curves/meltCurve_Q8N6N3_C1orf52.pdf</v>
      </c>
    </row>
    <row r="4778" spans="1:28" x14ac:dyDescent="0.25">
      <c r="A4778" t="s">
        <v>4782</v>
      </c>
      <c r="B4778">
        <v>0.99999676499088797</v>
      </c>
      <c r="C4778">
        <v>0.85730762624429802</v>
      </c>
      <c r="D4778">
        <v>0.84298119043104203</v>
      </c>
      <c r="E4778">
        <v>0.69226624491440203</v>
      </c>
      <c r="F4778">
        <v>0.49190353306985701</v>
      </c>
      <c r="G4778">
        <v>0.31997626547032598</v>
      </c>
      <c r="H4778">
        <v>0.11005351243108701</v>
      </c>
      <c r="I4778">
        <v>0.12528432953183599</v>
      </c>
      <c r="J4778">
        <v>0.115103718688669</v>
      </c>
      <c r="K4778">
        <v>0.12467005230543</v>
      </c>
      <c r="L4778">
        <v>632.08191444597503</v>
      </c>
      <c r="M4778">
        <v>12.095719284304799</v>
      </c>
      <c r="N4778">
        <v>52.630599114744001</v>
      </c>
      <c r="O4778">
        <v>50.8898354930528</v>
      </c>
      <c r="P4778">
        <v>-5.6987748522037397E-2</v>
      </c>
      <c r="Q4778">
        <v>4.1175043374367101E-2</v>
      </c>
      <c r="R4778">
        <v>0.98581471181067304</v>
      </c>
      <c r="S4778" t="s">
        <v>11781</v>
      </c>
      <c r="T4778" t="s">
        <v>14004</v>
      </c>
      <c r="U4778" t="s">
        <v>14004</v>
      </c>
      <c r="V4778" t="s">
        <v>14004</v>
      </c>
      <c r="W4778" t="s">
        <v>18727</v>
      </c>
      <c r="X4778">
        <v>3</v>
      </c>
      <c r="Y4778" t="s">
        <v>25537</v>
      </c>
      <c r="Z4778" t="s">
        <v>32488</v>
      </c>
      <c r="AA4778">
        <v>0.46145742496091641</v>
      </c>
      <c r="AB4778" t="str">
        <f>HYPERLINK("Melting_Curves/meltCurve_Q8N6N7_ACBD7.pdf", "Melting_Curves/meltCurve_Q8N6N7_ACBD7.pdf")</f>
        <v>Melting_Curves/meltCurve_Q8N6N7_ACBD7.pdf</v>
      </c>
    </row>
    <row r="4779" spans="1:28" x14ac:dyDescent="0.25">
      <c r="A4779" t="s">
        <v>4783</v>
      </c>
      <c r="B4779">
        <v>0.99999676499088797</v>
      </c>
      <c r="C4779">
        <v>1.0281216776672899</v>
      </c>
      <c r="D4779">
        <v>1.2286738611400301</v>
      </c>
      <c r="E4779">
        <v>1.2516532121615001</v>
      </c>
      <c r="F4779">
        <v>1.0288465843442001</v>
      </c>
      <c r="G4779">
        <v>0.87593176351200497</v>
      </c>
      <c r="H4779">
        <v>0.330349955380216</v>
      </c>
      <c r="I4779">
        <v>0.38583346243462802</v>
      </c>
      <c r="J4779">
        <v>0.373098930210851</v>
      </c>
      <c r="K4779">
        <v>0.32103718790514901</v>
      </c>
      <c r="L4779">
        <v>14281.7591734941</v>
      </c>
      <c r="M4779">
        <v>250</v>
      </c>
      <c r="N4779">
        <v>57.407488849496502</v>
      </c>
      <c r="O4779">
        <v>57.123359780674903</v>
      </c>
      <c r="P4779">
        <v>-0.70835722844401094</v>
      </c>
      <c r="Q4779">
        <v>0.35257984250794899</v>
      </c>
      <c r="R4779">
        <v>0.91015772205509604</v>
      </c>
      <c r="S4779" t="s">
        <v>11782</v>
      </c>
      <c r="T4779" t="s">
        <v>14004</v>
      </c>
      <c r="U4779" t="s">
        <v>14004</v>
      </c>
      <c r="V4779" t="s">
        <v>14004</v>
      </c>
      <c r="W4779" t="s">
        <v>18728</v>
      </c>
      <c r="X4779">
        <v>4</v>
      </c>
      <c r="Y4779" t="s">
        <v>25538</v>
      </c>
      <c r="Z4779" t="s">
        <v>32489</v>
      </c>
      <c r="AA4779">
        <v>0.72225771074259937</v>
      </c>
      <c r="AB4779" t="str">
        <f>HYPERLINK("Melting_Curves/meltCurve_Q8N6Q8_METTL25.pdf", "Melting_Curves/meltCurve_Q8N6Q8_METTL25.pdf")</f>
        <v>Melting_Curves/meltCurve_Q8N6Q8_METTL25.pdf</v>
      </c>
    </row>
    <row r="4780" spans="1:28" x14ac:dyDescent="0.25">
      <c r="A4780" t="s">
        <v>4784</v>
      </c>
      <c r="B4780">
        <v>0.99999676499088797</v>
      </c>
      <c r="C4780">
        <v>1.0687987459346699</v>
      </c>
      <c r="D4780">
        <v>1.11464572571193</v>
      </c>
      <c r="E4780">
        <v>1.05703706992253</v>
      </c>
      <c r="F4780">
        <v>0.82243925492602898</v>
      </c>
      <c r="G4780">
        <v>0.53676622747801195</v>
      </c>
      <c r="H4780">
        <v>0.40458572077048999</v>
      </c>
      <c r="I4780">
        <v>0.30796032317076799</v>
      </c>
      <c r="J4780">
        <v>0.24209746118189401</v>
      </c>
      <c r="K4780">
        <v>0.22752780183690299</v>
      </c>
      <c r="L4780">
        <v>1365.2832365092399</v>
      </c>
      <c r="M4780">
        <v>24.3504301342868</v>
      </c>
      <c r="N4780">
        <v>57.723056884490603</v>
      </c>
      <c r="O4780">
        <v>55.694104071921302</v>
      </c>
      <c r="P4780">
        <v>-8.1843831577772599E-2</v>
      </c>
      <c r="Q4780">
        <v>0.25124108885923502</v>
      </c>
      <c r="R4780">
        <v>0.97363950786714104</v>
      </c>
      <c r="S4780" t="s">
        <v>11783</v>
      </c>
      <c r="T4780" t="s">
        <v>14004</v>
      </c>
      <c r="U4780" t="s">
        <v>14004</v>
      </c>
      <c r="V4780" t="s">
        <v>14004</v>
      </c>
      <c r="W4780" t="s">
        <v>18729</v>
      </c>
      <c r="X4780">
        <v>3</v>
      </c>
      <c r="Y4780" t="s">
        <v>25539</v>
      </c>
      <c r="Z4780" t="s">
        <v>32490</v>
      </c>
      <c r="AA4780">
        <v>0.65944987586292159</v>
      </c>
      <c r="AB4780" t="str">
        <f>HYPERLINK("Melting_Curves/meltCurve_Q8N6S5_ARL6IP6.pdf", "Melting_Curves/meltCurve_Q8N6S5_ARL6IP6.pdf")</f>
        <v>Melting_Curves/meltCurve_Q8N6S5_ARL6IP6.pdf</v>
      </c>
    </row>
    <row r="4781" spans="1:28" x14ac:dyDescent="0.25">
      <c r="A4781" t="s">
        <v>4785</v>
      </c>
      <c r="B4781">
        <v>0.99999676499088797</v>
      </c>
      <c r="C4781">
        <v>1.0172869975271801</v>
      </c>
      <c r="D4781">
        <v>0.96835915529688199</v>
      </c>
      <c r="E4781">
        <v>0.44073789194481</v>
      </c>
      <c r="F4781">
        <v>0.27978649828302299</v>
      </c>
      <c r="G4781">
        <v>0.23189991228561499</v>
      </c>
      <c r="H4781">
        <v>0.115589358327926</v>
      </c>
      <c r="I4781">
        <v>0.12790612730159001</v>
      </c>
      <c r="J4781">
        <v>0.13547313183755</v>
      </c>
      <c r="K4781">
        <v>0.104102254237595</v>
      </c>
      <c r="L4781">
        <v>1739.1250372544901</v>
      </c>
      <c r="M4781">
        <v>35.536171393707697</v>
      </c>
      <c r="N4781">
        <v>49.4476466957762</v>
      </c>
      <c r="O4781">
        <v>48.785369879616503</v>
      </c>
      <c r="P4781">
        <v>-0.154252310490368</v>
      </c>
      <c r="Q4781">
        <v>0.152949726475576</v>
      </c>
      <c r="R4781">
        <v>0.98522351401356101</v>
      </c>
      <c r="S4781" t="s">
        <v>11784</v>
      </c>
      <c r="T4781" t="s">
        <v>14004</v>
      </c>
      <c r="U4781" t="s">
        <v>14004</v>
      </c>
      <c r="V4781" t="s">
        <v>14004</v>
      </c>
      <c r="W4781" t="s">
        <v>18730</v>
      </c>
      <c r="X4781">
        <v>9</v>
      </c>
      <c r="Y4781" t="s">
        <v>25540</v>
      </c>
      <c r="Z4781" t="s">
        <v>32491</v>
      </c>
      <c r="AA4781">
        <v>0.40900576536395439</v>
      </c>
      <c r="AB4781" t="str">
        <f>HYPERLINK("Melting_Curves/meltCurve_Q8N6T3_ARFGAP1.pdf", "Melting_Curves/meltCurve_Q8N6T3_ARFGAP1.pdf")</f>
        <v>Melting_Curves/meltCurve_Q8N6T3_ARFGAP1.pdf</v>
      </c>
    </row>
    <row r="4782" spans="1:28" x14ac:dyDescent="0.25">
      <c r="A4782" t="s">
        <v>4786</v>
      </c>
      <c r="B4782">
        <v>0.99999676499088797</v>
      </c>
      <c r="C4782">
        <v>1.1597814002711699</v>
      </c>
      <c r="D4782">
        <v>1.0469343656202501</v>
      </c>
      <c r="E4782">
        <v>0.58912125965119699</v>
      </c>
      <c r="F4782">
        <v>0.41316310363132502</v>
      </c>
      <c r="G4782">
        <v>0.25357985772525599</v>
      </c>
      <c r="H4782">
        <v>0.15486007282745601</v>
      </c>
      <c r="I4782">
        <v>0.11390050312758999</v>
      </c>
      <c r="J4782">
        <v>0.111152893049474</v>
      </c>
      <c r="K4782">
        <v>0.106920323575902</v>
      </c>
      <c r="L4782">
        <v>1149.5139335215899</v>
      </c>
      <c r="M4782">
        <v>22.557225810232001</v>
      </c>
      <c r="N4782">
        <v>51.621933256500299</v>
      </c>
      <c r="O4782">
        <v>50.564458423196299</v>
      </c>
      <c r="P4782">
        <v>-9.7521168100914699E-2</v>
      </c>
      <c r="Q4782">
        <v>0.12560066070088</v>
      </c>
      <c r="R4782">
        <v>0.96325664089656904</v>
      </c>
      <c r="S4782" t="s">
        <v>11785</v>
      </c>
      <c r="T4782" t="s">
        <v>14004</v>
      </c>
      <c r="U4782" t="s">
        <v>14004</v>
      </c>
      <c r="V4782" t="s">
        <v>14004</v>
      </c>
      <c r="W4782" t="s">
        <v>18731</v>
      </c>
      <c r="X4782">
        <v>3</v>
      </c>
      <c r="Y4782" t="s">
        <v>25541</v>
      </c>
      <c r="Z4782" t="s">
        <v>32492</v>
      </c>
      <c r="AA4782">
        <v>0.45469632232689983</v>
      </c>
      <c r="AB4782" t="str">
        <f>HYPERLINK("Melting_Curves/meltCurve_Q8N6T7_SIRT6.pdf", "Melting_Curves/meltCurve_Q8N6T7_SIRT6.pdf")</f>
        <v>Melting_Curves/meltCurve_Q8N6T7_SIRT6.pdf</v>
      </c>
    </row>
    <row r="4783" spans="1:28" x14ac:dyDescent="0.25">
      <c r="A4783" t="s">
        <v>4787</v>
      </c>
      <c r="B4783">
        <v>0.99999676499088797</v>
      </c>
      <c r="C4783">
        <v>1.0460602788252</v>
      </c>
      <c r="D4783">
        <v>1.0845438588421901</v>
      </c>
      <c r="E4783">
        <v>1.1163277212327301</v>
      </c>
      <c r="F4783">
        <v>0.95793334709202504</v>
      </c>
      <c r="G4783">
        <v>0.35371354774772201</v>
      </c>
      <c r="H4783">
        <v>0.14338072647805999</v>
      </c>
      <c r="I4783">
        <v>0.185175455237545</v>
      </c>
      <c r="J4783">
        <v>0.21850148205067901</v>
      </c>
      <c r="K4783">
        <v>9.9320452160425496E-2</v>
      </c>
      <c r="L4783">
        <v>3580.0042159659301</v>
      </c>
      <c r="M4783">
        <v>64.245805930020396</v>
      </c>
      <c r="N4783">
        <v>56.062125447338303</v>
      </c>
      <c r="O4783">
        <v>55.669632949988298</v>
      </c>
      <c r="P4783">
        <v>-0.24212235622353001</v>
      </c>
      <c r="Q4783">
        <v>0.16079450097492201</v>
      </c>
      <c r="R4783">
        <v>0.98296320050533703</v>
      </c>
      <c r="S4783" t="s">
        <v>11786</v>
      </c>
      <c r="T4783" t="s">
        <v>14004</v>
      </c>
      <c r="U4783" t="s">
        <v>14004</v>
      </c>
      <c r="V4783" t="s">
        <v>14004</v>
      </c>
      <c r="W4783" t="s">
        <v>18732</v>
      </c>
      <c r="X4783">
        <v>25</v>
      </c>
      <c r="Y4783" t="s">
        <v>25542</v>
      </c>
      <c r="Z4783" t="s">
        <v>32493</v>
      </c>
      <c r="AA4783">
        <v>0.60188396531995203</v>
      </c>
      <c r="AB4783" t="str">
        <f>HYPERLINK("Melting_Curves/meltCurve_Q8N766_3_EMC1.pdf", "Melting_Curves/meltCurve_Q8N766_3_EMC1.pdf")</f>
        <v>Melting_Curves/meltCurve_Q8N766_3_EMC1.pdf</v>
      </c>
    </row>
    <row r="4784" spans="1:28" x14ac:dyDescent="0.25">
      <c r="A4784" t="s">
        <v>4788</v>
      </c>
      <c r="B4784">
        <v>0.99999676499088797</v>
      </c>
      <c r="C4784">
        <v>1.01683029582189</v>
      </c>
      <c r="D4784">
        <v>0.98237226806812294</v>
      </c>
      <c r="E4784">
        <v>0.780401839719707</v>
      </c>
      <c r="F4784">
        <v>0.28015034174312298</v>
      </c>
      <c r="G4784">
        <v>0.194712312325834</v>
      </c>
      <c r="H4784">
        <v>9.5896267254080902E-2</v>
      </c>
      <c r="I4784">
        <v>7.8180830331335605E-2</v>
      </c>
      <c r="J4784">
        <v>7.4759824344144701E-2</v>
      </c>
      <c r="K4784">
        <v>7.4018257555335601E-2</v>
      </c>
      <c r="L4784">
        <v>1654.11120912409</v>
      </c>
      <c r="M4784">
        <v>32.2632176150506</v>
      </c>
      <c r="N4784">
        <v>51.588477528148097</v>
      </c>
      <c r="O4784">
        <v>51.073475493922103</v>
      </c>
      <c r="P4784">
        <v>-0.14363596744676199</v>
      </c>
      <c r="Q4784">
        <v>9.0486879708211898E-2</v>
      </c>
      <c r="R4784">
        <v>0.99621017503082199</v>
      </c>
      <c r="S4784" t="s">
        <v>11787</v>
      </c>
      <c r="T4784" t="s">
        <v>14004</v>
      </c>
      <c r="U4784" t="s">
        <v>14004</v>
      </c>
      <c r="V4784" t="s">
        <v>14004</v>
      </c>
      <c r="W4784" t="s">
        <v>18733</v>
      </c>
      <c r="X4784">
        <v>26</v>
      </c>
      <c r="Y4784" t="s">
        <v>25543</v>
      </c>
      <c r="Z4784" t="s">
        <v>32494</v>
      </c>
      <c r="AA4784">
        <v>0.43710357379569909</v>
      </c>
      <c r="AB4784" t="str">
        <f>HYPERLINK("Melting_Curves/meltCurve_Q8N806_UBR7.pdf", "Melting_Curves/meltCurve_Q8N806_UBR7.pdf")</f>
        <v>Melting_Curves/meltCurve_Q8N806_UBR7.pdf</v>
      </c>
    </row>
    <row r="4785" spans="1:28" x14ac:dyDescent="0.25">
      <c r="A4785" t="s">
        <v>4789</v>
      </c>
      <c r="B4785">
        <v>0.99999676499088797</v>
      </c>
      <c r="C4785">
        <v>0.97949932854149002</v>
      </c>
      <c r="D4785">
        <v>0.72986405401176802</v>
      </c>
      <c r="E4785">
        <v>0.42404455650293699</v>
      </c>
      <c r="F4785">
        <v>0.27089935445729402</v>
      </c>
      <c r="G4785">
        <v>0.23758385396819301</v>
      </c>
      <c r="H4785">
        <v>0.113479369242572</v>
      </c>
      <c r="I4785">
        <v>0.15328087474128099</v>
      </c>
      <c r="J4785">
        <v>0.15626843202968499</v>
      </c>
      <c r="K4785">
        <v>0.117764150978653</v>
      </c>
      <c r="L4785">
        <v>966.08925570142299</v>
      </c>
      <c r="M4785">
        <v>20.114958647371701</v>
      </c>
      <c r="N4785">
        <v>48.857671755204997</v>
      </c>
      <c r="O4785">
        <v>47.561266629646703</v>
      </c>
      <c r="P4785">
        <v>-9.0444252583727097E-2</v>
      </c>
      <c r="Q4785">
        <v>0.14461542693862101</v>
      </c>
      <c r="R4785">
        <v>0.99129317666330397</v>
      </c>
      <c r="S4785" t="s">
        <v>11788</v>
      </c>
      <c r="T4785" t="s">
        <v>14004</v>
      </c>
      <c r="U4785" t="s">
        <v>14004</v>
      </c>
      <c r="V4785" t="s">
        <v>14004</v>
      </c>
      <c r="W4785" t="s">
        <v>18734</v>
      </c>
      <c r="X4785">
        <v>5</v>
      </c>
      <c r="Y4785" t="s">
        <v>25544</v>
      </c>
      <c r="Z4785" t="s">
        <v>32495</v>
      </c>
      <c r="AA4785">
        <v>0.38553019774535358</v>
      </c>
      <c r="AB4785" t="str">
        <f>HYPERLINK("Melting_Curves/meltCurve_Q8N8A6_DDX51.pdf", "Melting_Curves/meltCurve_Q8N8A6_DDX51.pdf")</f>
        <v>Melting_Curves/meltCurve_Q8N8A6_DDX51.pdf</v>
      </c>
    </row>
    <row r="4786" spans="1:28" x14ac:dyDescent="0.25">
      <c r="A4786" t="s">
        <v>4790</v>
      </c>
      <c r="B4786">
        <v>0.99999676499088797</v>
      </c>
      <c r="C4786">
        <v>1.0661629410445399</v>
      </c>
      <c r="D4786">
        <v>1.11988749868305</v>
      </c>
      <c r="E4786">
        <v>0.93766710582936696</v>
      </c>
      <c r="F4786">
        <v>0.41401157552808499</v>
      </c>
      <c r="G4786">
        <v>0.30138536496875801</v>
      </c>
      <c r="H4786">
        <v>0.14250698426656</v>
      </c>
      <c r="I4786">
        <v>0.127881581075735</v>
      </c>
      <c r="J4786">
        <v>0.114353352981706</v>
      </c>
      <c r="K4786">
        <v>9.1481050900715094E-2</v>
      </c>
      <c r="L4786">
        <v>1888.15598862807</v>
      </c>
      <c r="M4786">
        <v>36.010960633341398</v>
      </c>
      <c r="N4786">
        <v>52.906286022610203</v>
      </c>
      <c r="O4786">
        <v>52.2718986649529</v>
      </c>
      <c r="P4786">
        <v>-0.14850500487660001</v>
      </c>
      <c r="Q4786">
        <v>0.13774967041956199</v>
      </c>
      <c r="R4786">
        <v>0.977896081428419</v>
      </c>
      <c r="S4786" t="s">
        <v>11789</v>
      </c>
      <c r="T4786" t="s">
        <v>14004</v>
      </c>
      <c r="U4786" t="s">
        <v>14004</v>
      </c>
      <c r="V4786" t="s">
        <v>14004</v>
      </c>
      <c r="W4786" t="s">
        <v>18735</v>
      </c>
      <c r="X4786">
        <v>4</v>
      </c>
      <c r="Y4786" t="s">
        <v>25545</v>
      </c>
      <c r="Z4786" t="s">
        <v>32496</v>
      </c>
      <c r="AA4786">
        <v>0.49894524339043939</v>
      </c>
      <c r="AB4786" t="str">
        <f>HYPERLINK("Melting_Curves/meltCurve_Q8N8R3_SLC25A29.pdf", "Melting_Curves/meltCurve_Q8N8R3_SLC25A29.pdf")</f>
        <v>Melting_Curves/meltCurve_Q8N8R3_SLC25A29.pdf</v>
      </c>
    </row>
    <row r="4787" spans="1:28" x14ac:dyDescent="0.25">
      <c r="A4787" t="s">
        <v>4791</v>
      </c>
      <c r="B4787">
        <v>0.99999676499088797</v>
      </c>
      <c r="C4787">
        <v>1.0063633475834199</v>
      </c>
      <c r="D4787">
        <v>1.02761795400096</v>
      </c>
      <c r="E4787">
        <v>0.87688988889418396</v>
      </c>
      <c r="F4787">
        <v>0.61160700153879699</v>
      </c>
      <c r="G4787">
        <v>0.27015225467312898</v>
      </c>
      <c r="H4787">
        <v>0.20497888528611999</v>
      </c>
      <c r="I4787">
        <v>0</v>
      </c>
      <c r="J4787">
        <v>6.5517094432481701E-2</v>
      </c>
      <c r="K4787">
        <v>7.7095290114791201E-2</v>
      </c>
      <c r="L4787">
        <v>1202.7088901933901</v>
      </c>
      <c r="M4787">
        <v>22.255532436177901</v>
      </c>
      <c r="N4787">
        <v>54.308627162264898</v>
      </c>
      <c r="O4787">
        <v>53.6102619436274</v>
      </c>
      <c r="P4787">
        <v>-9.8393861043862899E-2</v>
      </c>
      <c r="Q4787">
        <v>5.1955687102376302E-2</v>
      </c>
      <c r="R4787">
        <v>0.99054168580160395</v>
      </c>
      <c r="S4787" t="s">
        <v>11790</v>
      </c>
      <c r="T4787" t="s">
        <v>14004</v>
      </c>
      <c r="U4787" t="s">
        <v>14004</v>
      </c>
      <c r="V4787" t="s">
        <v>14004</v>
      </c>
      <c r="W4787" t="s">
        <v>18736</v>
      </c>
      <c r="X4787">
        <v>3</v>
      </c>
      <c r="Y4787" t="s">
        <v>25546</v>
      </c>
      <c r="Z4787" t="s">
        <v>32497</v>
      </c>
      <c r="AA4787">
        <v>0.5064482998256582</v>
      </c>
      <c r="AB4787" t="str">
        <f>HYPERLINK("Melting_Curves/meltCurve_Q8N8R5_C2orf69.pdf", "Melting_Curves/meltCurve_Q8N8R5_C2orf69.pdf")</f>
        <v>Melting_Curves/meltCurve_Q8N8R5_C2orf69.pdf</v>
      </c>
    </row>
    <row r="4788" spans="1:28" x14ac:dyDescent="0.25">
      <c r="A4788" t="s">
        <v>4792</v>
      </c>
      <c r="B4788">
        <v>0.99999676499088797</v>
      </c>
      <c r="C4788">
        <v>0.89206704248704305</v>
      </c>
      <c r="D4788">
        <v>1.0312197183426299</v>
      </c>
      <c r="E4788">
        <v>1.0526447544650701</v>
      </c>
      <c r="F4788">
        <v>0.88026301823780895</v>
      </c>
      <c r="G4788">
        <v>0.76728472497900502</v>
      </c>
      <c r="H4788">
        <v>0.49157328122055999</v>
      </c>
      <c r="I4788">
        <v>0.39156346409595799</v>
      </c>
      <c r="J4788">
        <v>0.39642176707899801</v>
      </c>
      <c r="K4788">
        <v>0.42318493141573099</v>
      </c>
      <c r="L4788">
        <v>1554.95328937608</v>
      </c>
      <c r="M4788">
        <v>27.078520649578198</v>
      </c>
      <c r="N4788">
        <v>60.765695087292201</v>
      </c>
      <c r="O4788">
        <v>57.1134243037273</v>
      </c>
      <c r="P4788">
        <v>-7.26329489640508E-2</v>
      </c>
      <c r="Q4788">
        <v>0.38722268027182299</v>
      </c>
      <c r="R4788">
        <v>0.96785355310558197</v>
      </c>
      <c r="S4788" t="s">
        <v>11791</v>
      </c>
      <c r="T4788" t="s">
        <v>14004</v>
      </c>
      <c r="U4788" t="s">
        <v>14004</v>
      </c>
      <c r="V4788" t="s">
        <v>14004</v>
      </c>
      <c r="W4788" t="s">
        <v>18737</v>
      </c>
      <c r="X4788">
        <v>9</v>
      </c>
      <c r="Y4788" t="s">
        <v>25547</v>
      </c>
      <c r="Z4788" t="s">
        <v>32498</v>
      </c>
      <c r="AA4788">
        <v>0.74794091640906302</v>
      </c>
      <c r="AB4788" t="str">
        <f>HYPERLINK("Melting_Curves/meltCurve_Q8N8S7_2_ENAH.pdf", "Melting_Curves/meltCurve_Q8N8S7_2_ENAH.pdf")</f>
        <v>Melting_Curves/meltCurve_Q8N8S7_2_ENAH.pdf</v>
      </c>
    </row>
    <row r="4789" spans="1:28" x14ac:dyDescent="0.25">
      <c r="A4789" t="s">
        <v>4793</v>
      </c>
      <c r="B4789">
        <v>0.99999676499088797</v>
      </c>
      <c r="C4789">
        <v>0.897251390770339</v>
      </c>
      <c r="D4789">
        <v>0.85320975591431103</v>
      </c>
      <c r="E4789">
        <v>0.89917315035204104</v>
      </c>
      <c r="F4789">
        <v>0.87179697980870297</v>
      </c>
      <c r="G4789">
        <v>0.76123968595217395</v>
      </c>
      <c r="H4789">
        <v>0.48105186776193398</v>
      </c>
      <c r="I4789">
        <v>0.286461165174837</v>
      </c>
      <c r="J4789">
        <v>0.118536873044032</v>
      </c>
      <c r="K4789">
        <v>0.117201406098851</v>
      </c>
      <c r="L4789">
        <v>932.78131095977005</v>
      </c>
      <c r="M4789">
        <v>15.4758210941649</v>
      </c>
      <c r="N4789">
        <v>60.273461852908099</v>
      </c>
      <c r="O4789">
        <v>59.293966434757401</v>
      </c>
      <c r="P4789">
        <v>-6.5256240269372698E-2</v>
      </c>
      <c r="Q4789">
        <v>0</v>
      </c>
      <c r="R4789">
        <v>0.96370325309009996</v>
      </c>
      <c r="S4789" t="s">
        <v>11792</v>
      </c>
      <c r="T4789" t="s">
        <v>14004</v>
      </c>
      <c r="U4789" t="s">
        <v>14004</v>
      </c>
      <c r="V4789" t="s">
        <v>14004</v>
      </c>
      <c r="W4789" t="s">
        <v>18738</v>
      </c>
      <c r="X4789">
        <v>1</v>
      </c>
      <c r="Y4789" t="s">
        <v>25548</v>
      </c>
      <c r="Z4789" t="s">
        <v>32499</v>
      </c>
      <c r="AA4789">
        <v>0.68197434684462266</v>
      </c>
      <c r="AB4789" t="str">
        <f>HYPERLINK("Melting_Curves/meltCurve_Q8N8Y2_ATP6V0D2.pdf", "Melting_Curves/meltCurve_Q8N8Y2_ATP6V0D2.pdf")</f>
        <v>Melting_Curves/meltCurve_Q8N8Y2_ATP6V0D2.pdf</v>
      </c>
    </row>
    <row r="4790" spans="1:28" x14ac:dyDescent="0.25">
      <c r="A4790" t="s">
        <v>4794</v>
      </c>
      <c r="B4790">
        <v>0.99999676499088797</v>
      </c>
      <c r="C4790">
        <v>0.92407030641111798</v>
      </c>
      <c r="D4790">
        <v>0.87512386136259401</v>
      </c>
      <c r="E4790">
        <v>0.77824434469284398</v>
      </c>
      <c r="F4790">
        <v>0.45917166058543102</v>
      </c>
      <c r="G4790">
        <v>0.32425573386212603</v>
      </c>
      <c r="H4790">
        <v>0.21519326109462</v>
      </c>
      <c r="I4790">
        <v>0.29883901732330798</v>
      </c>
      <c r="J4790">
        <v>0.34127046815370499</v>
      </c>
      <c r="K4790">
        <v>0.31973930146457302</v>
      </c>
      <c r="L4790">
        <v>1157.1369381724501</v>
      </c>
      <c r="M4790">
        <v>22.810139313854101</v>
      </c>
      <c r="N4790">
        <v>52.671204577785602</v>
      </c>
      <c r="O4790">
        <v>50.343999348984603</v>
      </c>
      <c r="P4790">
        <v>-8.1060992769363002E-2</v>
      </c>
      <c r="Q4790">
        <v>0.28437881511455199</v>
      </c>
      <c r="R4790">
        <v>0.97358003438283203</v>
      </c>
      <c r="S4790" t="s">
        <v>11793</v>
      </c>
      <c r="T4790" t="s">
        <v>14004</v>
      </c>
      <c r="U4790" t="s">
        <v>14004</v>
      </c>
      <c r="V4790" t="s">
        <v>14004</v>
      </c>
      <c r="W4790" t="s">
        <v>18739</v>
      </c>
      <c r="X4790">
        <v>1</v>
      </c>
      <c r="Y4790" t="s">
        <v>25549</v>
      </c>
      <c r="Z4790" t="s">
        <v>32500</v>
      </c>
      <c r="AA4790">
        <v>0.54802899083705336</v>
      </c>
      <c r="AB4790" t="str">
        <f>HYPERLINK("Melting_Curves/meltCurve_Q8N8Z6_2_DCBLD1.pdf", "Melting_Curves/meltCurve_Q8N8Z6_2_DCBLD1.pdf")</f>
        <v>Melting_Curves/meltCurve_Q8N8Z6_2_DCBLD1.pdf</v>
      </c>
    </row>
    <row r="4791" spans="1:28" x14ac:dyDescent="0.25">
      <c r="A4791" t="s">
        <v>4795</v>
      </c>
      <c r="B4791">
        <v>0.99999676499088797</v>
      </c>
      <c r="C4791">
        <v>0.88557664209721199</v>
      </c>
      <c r="D4791">
        <v>0.93315736793942095</v>
      </c>
      <c r="E4791">
        <v>0.62842481011344897</v>
      </c>
      <c r="F4791">
        <v>0.65054145168492195</v>
      </c>
      <c r="G4791">
        <v>0.34073890399944501</v>
      </c>
      <c r="H4791">
        <v>0.15510432624241499</v>
      </c>
      <c r="I4791">
        <v>0.176716647045109</v>
      </c>
      <c r="J4791">
        <v>0.15174650378958399</v>
      </c>
      <c r="K4791">
        <v>0.13856221529100701</v>
      </c>
      <c r="L4791">
        <v>642.32411437337396</v>
      </c>
      <c r="M4791">
        <v>12.0763341517318</v>
      </c>
      <c r="N4791">
        <v>53.805805614525397</v>
      </c>
      <c r="O4791">
        <v>51.793185819181602</v>
      </c>
      <c r="P4791">
        <v>-5.4533976091189103E-2</v>
      </c>
      <c r="Q4791">
        <v>6.4675056229940006E-2</v>
      </c>
      <c r="R4791">
        <v>0.96571137968954701</v>
      </c>
      <c r="S4791" t="s">
        <v>11794</v>
      </c>
      <c r="T4791" t="s">
        <v>14004</v>
      </c>
      <c r="U4791" t="s">
        <v>14004</v>
      </c>
      <c r="V4791" t="s">
        <v>14004</v>
      </c>
      <c r="W4791" t="s">
        <v>18740</v>
      </c>
      <c r="X4791">
        <v>4</v>
      </c>
      <c r="Y4791" t="s">
        <v>25550</v>
      </c>
      <c r="Z4791" t="s">
        <v>32501</v>
      </c>
      <c r="AA4791">
        <v>0.50191735529113735</v>
      </c>
      <c r="AB4791" t="str">
        <f>HYPERLINK("Melting_Curves/meltCurve_Q8N954_GPATCH11.pdf", "Melting_Curves/meltCurve_Q8N954_GPATCH11.pdf")</f>
        <v>Melting_Curves/meltCurve_Q8N954_GPATCH11.pdf</v>
      </c>
    </row>
    <row r="4792" spans="1:28" x14ac:dyDescent="0.25">
      <c r="A4792" t="s">
        <v>4796</v>
      </c>
      <c r="B4792">
        <v>0.99999676499088797</v>
      </c>
      <c r="C4792">
        <v>0.53467358411259702</v>
      </c>
      <c r="D4792">
        <v>0.36641292797700398</v>
      </c>
      <c r="E4792">
        <v>0.29824823832809599</v>
      </c>
      <c r="F4792">
        <v>0.228335604406981</v>
      </c>
      <c r="G4792">
        <v>0.16677420708373999</v>
      </c>
      <c r="H4792">
        <v>0.11494966696006199</v>
      </c>
      <c r="I4792">
        <v>8.8679988157965697E-2</v>
      </c>
      <c r="J4792">
        <v>8.4135390855871406E-2</v>
      </c>
      <c r="K4792">
        <v>9.3035887530533504E-2</v>
      </c>
      <c r="L4792">
        <v>789.41254975624099</v>
      </c>
      <c r="M4792">
        <v>18.049331925018201</v>
      </c>
      <c r="N4792">
        <v>44.449759767320401</v>
      </c>
      <c r="O4792">
        <v>43.210114958645697</v>
      </c>
      <c r="P4792">
        <v>-9.1300648914977606E-2</v>
      </c>
      <c r="Q4792">
        <v>0.12574737305346401</v>
      </c>
      <c r="R4792">
        <v>0.93722891130441599</v>
      </c>
      <c r="S4792" t="s">
        <v>11795</v>
      </c>
      <c r="T4792" t="s">
        <v>14004</v>
      </c>
      <c r="U4792" t="s">
        <v>14004</v>
      </c>
      <c r="V4792" t="s">
        <v>14004</v>
      </c>
      <c r="W4792" t="s">
        <v>18741</v>
      </c>
      <c r="X4792">
        <v>2</v>
      </c>
      <c r="Y4792" t="s">
        <v>25551</v>
      </c>
      <c r="Z4792" t="s">
        <v>32502</v>
      </c>
      <c r="AA4792">
        <v>0.25696968720040009</v>
      </c>
      <c r="AB4792" t="str">
        <f>HYPERLINK("Melting_Curves/meltCurve_Q8N960_CEP120.pdf", "Melting_Curves/meltCurve_Q8N960_CEP120.pdf")</f>
        <v>Melting_Curves/meltCurve_Q8N960_CEP120.pdf</v>
      </c>
    </row>
    <row r="4793" spans="1:28" x14ac:dyDescent="0.25">
      <c r="A4793" t="s">
        <v>4797</v>
      </c>
      <c r="B4793">
        <v>0.99999676499088797</v>
      </c>
      <c r="C4793">
        <v>0.99133191718143499</v>
      </c>
      <c r="D4793">
        <v>0.95277317386323102</v>
      </c>
      <c r="E4793">
        <v>0.63378777992131796</v>
      </c>
      <c r="F4793">
        <v>0.48516640762440599</v>
      </c>
      <c r="G4793">
        <v>0.31270111300195502</v>
      </c>
      <c r="H4793">
        <v>0.18992887494902799</v>
      </c>
      <c r="I4793">
        <v>0.167905180581638</v>
      </c>
      <c r="J4793">
        <v>0.13383190478399001</v>
      </c>
      <c r="K4793">
        <v>0.117732813238611</v>
      </c>
      <c r="L4793">
        <v>813.83341981937997</v>
      </c>
      <c r="M4793">
        <v>15.727579569204901</v>
      </c>
      <c r="N4793">
        <v>52.636447912550402</v>
      </c>
      <c r="O4793">
        <v>50.930728897445498</v>
      </c>
      <c r="P4793">
        <v>-6.8185932717355305E-2</v>
      </c>
      <c r="Q4793">
        <v>0.116846329425358</v>
      </c>
      <c r="R4793">
        <v>0.99155570358678502</v>
      </c>
      <c r="S4793" t="s">
        <v>11796</v>
      </c>
      <c r="T4793" t="s">
        <v>14004</v>
      </c>
      <c r="U4793" t="s">
        <v>14004</v>
      </c>
      <c r="V4793" t="s">
        <v>14004</v>
      </c>
      <c r="W4793" t="s">
        <v>18742</v>
      </c>
      <c r="X4793">
        <v>1</v>
      </c>
      <c r="Y4793" t="s">
        <v>25552</v>
      </c>
      <c r="Z4793" t="s">
        <v>32503</v>
      </c>
      <c r="AA4793">
        <v>0.48109635911314969</v>
      </c>
      <c r="AB4793" t="str">
        <f>HYPERLINK("Melting_Curves/meltCurve_Q8N983_4_MRPL43.pdf", "Melting_Curves/meltCurve_Q8N983_4_MRPL43.pdf")</f>
        <v>Melting_Curves/meltCurve_Q8N983_4_MRPL43.pdf</v>
      </c>
    </row>
    <row r="4794" spans="1:28" x14ac:dyDescent="0.25">
      <c r="A4794" t="s">
        <v>4798</v>
      </c>
      <c r="B4794">
        <v>0.99999676499088797</v>
      </c>
      <c r="C4794">
        <v>0.92182436420700897</v>
      </c>
      <c r="D4794">
        <v>1.1428439455844399</v>
      </c>
      <c r="E4794">
        <v>1.24242891226842</v>
      </c>
      <c r="F4794">
        <v>0.84291250188748101</v>
      </c>
      <c r="G4794">
        <v>0.424362978587705</v>
      </c>
      <c r="H4794">
        <v>0.233077052279411</v>
      </c>
      <c r="I4794">
        <v>0.29274583235177398</v>
      </c>
      <c r="J4794">
        <v>0.32261674118826</v>
      </c>
      <c r="K4794">
        <v>0.48327146591949999</v>
      </c>
      <c r="L4794">
        <v>2980.8220260625599</v>
      </c>
      <c r="M4794">
        <v>54.716103238915402</v>
      </c>
      <c r="N4794">
        <v>55.617752163527499</v>
      </c>
      <c r="O4794">
        <v>54.405346754047699</v>
      </c>
      <c r="P4794">
        <v>-0.16667840631969699</v>
      </c>
      <c r="Q4794">
        <v>0.33707338817478899</v>
      </c>
      <c r="R4794">
        <v>0.90568607537726598</v>
      </c>
      <c r="S4794" t="s">
        <v>11797</v>
      </c>
      <c r="T4794" t="s">
        <v>14004</v>
      </c>
      <c r="U4794" t="s">
        <v>14004</v>
      </c>
      <c r="V4794" t="s">
        <v>14004</v>
      </c>
      <c r="W4794" t="s">
        <v>18743</v>
      </c>
      <c r="X4794">
        <v>5</v>
      </c>
      <c r="Y4794" t="s">
        <v>25553</v>
      </c>
      <c r="Z4794" t="s">
        <v>32504</v>
      </c>
      <c r="AA4794">
        <v>0.65832984851620535</v>
      </c>
      <c r="AB4794" t="str">
        <f>HYPERLINK("Melting_Curves/meltCurve_Q8N999_C12orf29.pdf", "Melting_Curves/meltCurve_Q8N999_C12orf29.pdf")</f>
        <v>Melting_Curves/meltCurve_Q8N999_C12orf29.pdf</v>
      </c>
    </row>
    <row r="4795" spans="1:28" x14ac:dyDescent="0.25">
      <c r="A4795" t="s">
        <v>4799</v>
      </c>
      <c r="B4795">
        <v>0.99999676499088797</v>
      </c>
      <c r="C4795">
        <v>0.87492256884979502</v>
      </c>
      <c r="D4795">
        <v>1.0406818341069299</v>
      </c>
      <c r="E4795">
        <v>1.2565155089952</v>
      </c>
      <c r="F4795">
        <v>0.97829576633874304</v>
      </c>
      <c r="G4795">
        <v>0.65968487739951298</v>
      </c>
      <c r="H4795">
        <v>0.51213057116134697</v>
      </c>
      <c r="I4795">
        <v>0.40601389913067898</v>
      </c>
      <c r="J4795">
        <v>0.33581072105811599</v>
      </c>
      <c r="K4795">
        <v>0.52082577297951704</v>
      </c>
      <c r="L4795">
        <v>2658.6796788730398</v>
      </c>
      <c r="M4795">
        <v>47.155097973587402</v>
      </c>
      <c r="N4795">
        <v>58.971634931072302</v>
      </c>
      <c r="O4795">
        <v>56.280475302435498</v>
      </c>
      <c r="P4795">
        <v>-0.11793438865944</v>
      </c>
      <c r="Q4795">
        <v>0.43697317311497502</v>
      </c>
      <c r="R4795">
        <v>0.87983189372745696</v>
      </c>
      <c r="S4795" t="s">
        <v>11798</v>
      </c>
      <c r="T4795" t="s">
        <v>14004</v>
      </c>
      <c r="U4795" t="s">
        <v>14004</v>
      </c>
      <c r="V4795" t="s">
        <v>14004</v>
      </c>
      <c r="W4795" t="s">
        <v>18744</v>
      </c>
      <c r="X4795">
        <v>1</v>
      </c>
      <c r="Y4795" t="s">
        <v>25554</v>
      </c>
      <c r="Z4795" t="s">
        <v>32505</v>
      </c>
      <c r="AA4795">
        <v>0.74598739593132912</v>
      </c>
      <c r="AB4795" t="str">
        <f>HYPERLINK("Melting_Curves/meltCurve_Q8N9A8_2_CNEP1R1.pdf", "Melting_Curves/meltCurve_Q8N9A8_2_CNEP1R1.pdf")</f>
        <v>Melting_Curves/meltCurve_Q8N9A8_2_CNEP1R1.pdf</v>
      </c>
    </row>
    <row r="4796" spans="1:28" x14ac:dyDescent="0.25">
      <c r="A4796" t="s">
        <v>4800</v>
      </c>
      <c r="B4796">
        <v>0.99999676499088797</v>
      </c>
      <c r="C4796">
        <v>0.92802501659007197</v>
      </c>
      <c r="D4796">
        <v>0.87133505871118599</v>
      </c>
      <c r="E4796">
        <v>0.622079288824682</v>
      </c>
      <c r="F4796">
        <v>0.32308071081236001</v>
      </c>
      <c r="G4796">
        <v>0.15452819988838701</v>
      </c>
      <c r="H4796">
        <v>6.1941680346282398E-2</v>
      </c>
      <c r="I4796">
        <v>5.6514701299309897E-2</v>
      </c>
      <c r="J4796">
        <v>5.5961877310785002E-2</v>
      </c>
      <c r="K4796">
        <v>4.0694691341275603E-2</v>
      </c>
      <c r="L4796">
        <v>907.90967365216204</v>
      </c>
      <c r="M4796">
        <v>17.895139306459399</v>
      </c>
      <c r="N4796">
        <v>50.919054961757702</v>
      </c>
      <c r="O4796">
        <v>50.114152073446903</v>
      </c>
      <c r="P4796">
        <v>-8.6480204029484795E-2</v>
      </c>
      <c r="Q4796">
        <v>3.1320580633924899E-2</v>
      </c>
      <c r="R4796">
        <v>0.99866448547729403</v>
      </c>
      <c r="S4796" t="s">
        <v>11799</v>
      </c>
      <c r="T4796" t="s">
        <v>14004</v>
      </c>
      <c r="U4796" t="s">
        <v>14004</v>
      </c>
      <c r="V4796" t="s">
        <v>14004</v>
      </c>
      <c r="W4796" t="s">
        <v>18745</v>
      </c>
      <c r="X4796">
        <v>5</v>
      </c>
      <c r="Y4796" t="s">
        <v>25555</v>
      </c>
      <c r="Z4796" t="s">
        <v>32506</v>
      </c>
      <c r="AA4796">
        <v>0.39449374462934489</v>
      </c>
      <c r="AB4796" t="str">
        <f>HYPERLINK("Melting_Curves/meltCurve_Q8N9F7_GDPD1.pdf", "Melting_Curves/meltCurve_Q8N9F7_GDPD1.pdf")</f>
        <v>Melting_Curves/meltCurve_Q8N9F7_GDPD1.pdf</v>
      </c>
    </row>
    <row r="4797" spans="1:28" x14ac:dyDescent="0.25">
      <c r="A4797" t="s">
        <v>4801</v>
      </c>
      <c r="B4797">
        <v>0.99999676499088797</v>
      </c>
      <c r="C4797">
        <v>0.84740888358615696</v>
      </c>
      <c r="D4797">
        <v>0.50805844012530299</v>
      </c>
      <c r="E4797">
        <v>0.35955492492670799</v>
      </c>
      <c r="F4797">
        <v>0.157106381465975</v>
      </c>
      <c r="G4797">
        <v>0.108977801046285</v>
      </c>
      <c r="H4797">
        <v>9.4301474449111994E-2</v>
      </c>
      <c r="I4797">
        <v>9.9901653565587306E-2</v>
      </c>
      <c r="J4797">
        <v>9.3555836975595996E-2</v>
      </c>
      <c r="K4797">
        <v>4.6602197376562501E-2</v>
      </c>
      <c r="L4797">
        <v>822.59341562274597</v>
      </c>
      <c r="M4797">
        <v>17.734386961574099</v>
      </c>
      <c r="N4797">
        <v>46.8404086279278</v>
      </c>
      <c r="O4797">
        <v>45.806353049373797</v>
      </c>
      <c r="P4797">
        <v>-8.9115924468654198E-2</v>
      </c>
      <c r="Q4797">
        <v>7.9333559606141801E-2</v>
      </c>
      <c r="R4797">
        <v>0.98828209444609805</v>
      </c>
      <c r="S4797" t="s">
        <v>11800</v>
      </c>
      <c r="T4797" t="s">
        <v>14004</v>
      </c>
      <c r="U4797" t="s">
        <v>14004</v>
      </c>
      <c r="V4797" t="s">
        <v>14004</v>
      </c>
      <c r="W4797" t="s">
        <v>18746</v>
      </c>
      <c r="X4797">
        <v>1</v>
      </c>
      <c r="Y4797" t="s">
        <v>25556</v>
      </c>
      <c r="Z4797" t="s">
        <v>32507</v>
      </c>
      <c r="AA4797">
        <v>0.29343411803664732</v>
      </c>
      <c r="AB4797" t="str">
        <f>HYPERLINK("Melting_Curves/meltCurve_Q8N9M1_C19orf47.pdf", "Melting_Curves/meltCurve_Q8N9M1_C19orf47.pdf")</f>
        <v>Melting_Curves/meltCurve_Q8N9M1_C19orf47.pdf</v>
      </c>
    </row>
    <row r="4798" spans="1:28" x14ac:dyDescent="0.25">
      <c r="A4798" t="s">
        <v>4802</v>
      </c>
      <c r="B4798">
        <v>0.99999676499088797</v>
      </c>
      <c r="C4798">
        <v>0.98269605865375997</v>
      </c>
      <c r="D4798">
        <v>0.86232953420404301</v>
      </c>
      <c r="E4798">
        <v>0.61654141293481202</v>
      </c>
      <c r="F4798">
        <v>0.20908639672801799</v>
      </c>
      <c r="G4798">
        <v>0.144744913600729</v>
      </c>
      <c r="H4798">
        <v>4.2443485785652602E-2</v>
      </c>
      <c r="I4798">
        <v>5.2506898704578302E-2</v>
      </c>
      <c r="J4798">
        <v>6.4255310041631999E-2</v>
      </c>
      <c r="K4798">
        <v>4.0883066839809003E-2</v>
      </c>
      <c r="L4798">
        <v>1149.2048963339</v>
      </c>
      <c r="M4798">
        <v>22.910806737475401</v>
      </c>
      <c r="N4798">
        <v>50.374485903010303</v>
      </c>
      <c r="O4798">
        <v>49.782492865041398</v>
      </c>
      <c r="P4798">
        <v>-0.109708699222449</v>
      </c>
      <c r="Q4798">
        <v>4.6481625921765697E-2</v>
      </c>
      <c r="R4798">
        <v>0.99633498468023796</v>
      </c>
      <c r="S4798" t="s">
        <v>11801</v>
      </c>
      <c r="T4798" t="s">
        <v>14004</v>
      </c>
      <c r="U4798" t="s">
        <v>14004</v>
      </c>
      <c r="V4798" t="s">
        <v>14004</v>
      </c>
      <c r="W4798" t="s">
        <v>18747</v>
      </c>
      <c r="X4798">
        <v>3</v>
      </c>
      <c r="Y4798" t="s">
        <v>25557</v>
      </c>
      <c r="Z4798" t="s">
        <v>32508</v>
      </c>
      <c r="AA4798">
        <v>0.37956469048309821</v>
      </c>
      <c r="AB4798" t="str">
        <f>HYPERLINK("Melting_Curves/meltCurve_Q8N9M5_TMEM102.pdf", "Melting_Curves/meltCurve_Q8N9M5_TMEM102.pdf")</f>
        <v>Melting_Curves/meltCurve_Q8N9M5_TMEM102.pdf</v>
      </c>
    </row>
    <row r="4799" spans="1:28" x14ac:dyDescent="0.25">
      <c r="A4799" t="s">
        <v>4803</v>
      </c>
      <c r="B4799">
        <v>0.99999676499088797</v>
      </c>
      <c r="C4799">
        <v>0.94351030804743596</v>
      </c>
      <c r="D4799">
        <v>0.90829794385555196</v>
      </c>
      <c r="E4799">
        <v>0.75905481596815205</v>
      </c>
      <c r="F4799">
        <v>0.52247837159146904</v>
      </c>
      <c r="G4799">
        <v>0.18688306803742999</v>
      </c>
      <c r="H4799">
        <v>7.19515909859611E-2</v>
      </c>
      <c r="I4799">
        <v>8.7795594814426503E-2</v>
      </c>
      <c r="J4799">
        <v>9.1382242267652403E-2</v>
      </c>
      <c r="K4799">
        <v>4.9688210375421801E-2</v>
      </c>
      <c r="L4799">
        <v>998.62728554856994</v>
      </c>
      <c r="M4799">
        <v>18.983271144486</v>
      </c>
      <c r="N4799">
        <v>52.847561188529603</v>
      </c>
      <c r="O4799">
        <v>52.032309167148497</v>
      </c>
      <c r="P4799">
        <v>-8.7417021321927094E-2</v>
      </c>
      <c r="Q4799">
        <v>4.1613524076664701E-2</v>
      </c>
      <c r="R4799">
        <v>0.99285260559170896</v>
      </c>
      <c r="S4799" t="s">
        <v>11802</v>
      </c>
      <c r="T4799" t="s">
        <v>14004</v>
      </c>
      <c r="U4799" t="s">
        <v>14004</v>
      </c>
      <c r="V4799" t="s">
        <v>14004</v>
      </c>
      <c r="W4799" t="s">
        <v>18748</v>
      </c>
      <c r="X4799">
        <v>12</v>
      </c>
      <c r="Y4799" t="s">
        <v>25558</v>
      </c>
      <c r="Z4799" t="s">
        <v>32509</v>
      </c>
      <c r="AA4799">
        <v>0.45877684803132007</v>
      </c>
      <c r="AB4799" t="str">
        <f>HYPERLINK("Melting_Curves/meltCurve_Q8N9N7_LRRC57.pdf", "Melting_Curves/meltCurve_Q8N9N7_LRRC57.pdf")</f>
        <v>Melting_Curves/meltCurve_Q8N9N7_LRRC57.pdf</v>
      </c>
    </row>
    <row r="4800" spans="1:28" x14ac:dyDescent="0.25">
      <c r="A4800" t="s">
        <v>4804</v>
      </c>
      <c r="B4800">
        <v>0.99999676499088797</v>
      </c>
      <c r="C4800">
        <v>0.94821739164396601</v>
      </c>
      <c r="D4800">
        <v>1.0254581280489301</v>
      </c>
      <c r="E4800">
        <v>1.12494259065678</v>
      </c>
      <c r="F4800">
        <v>0.96549443370897403</v>
      </c>
      <c r="G4800">
        <v>0.62174653520410195</v>
      </c>
      <c r="H4800">
        <v>0.359323739003098</v>
      </c>
      <c r="I4800">
        <v>0.25119316289612598</v>
      </c>
      <c r="J4800">
        <v>0.245964316834028</v>
      </c>
      <c r="K4800">
        <v>0.29418570000618499</v>
      </c>
      <c r="L4800">
        <v>2226.6709197676701</v>
      </c>
      <c r="M4800">
        <v>39.201405339071997</v>
      </c>
      <c r="N4800">
        <v>57.949547849178302</v>
      </c>
      <c r="O4800">
        <v>56.653586901869602</v>
      </c>
      <c r="P4800">
        <v>-0.126258162371535</v>
      </c>
      <c r="Q4800">
        <v>0.27013213856482099</v>
      </c>
      <c r="R4800">
        <v>0.98055105532811904</v>
      </c>
      <c r="S4800" t="s">
        <v>11803</v>
      </c>
      <c r="T4800" t="s">
        <v>14004</v>
      </c>
      <c r="U4800" t="s">
        <v>14004</v>
      </c>
      <c r="V4800" t="s">
        <v>14004</v>
      </c>
      <c r="W4800" t="s">
        <v>18749</v>
      </c>
      <c r="X4800">
        <v>8</v>
      </c>
      <c r="Y4800" t="s">
        <v>25559</v>
      </c>
      <c r="Z4800" t="s">
        <v>32510</v>
      </c>
      <c r="AA4800">
        <v>0.68182769004588262</v>
      </c>
      <c r="AB4800" t="str">
        <f>HYPERLINK("Melting_Curves/meltCurve_Q8N9N8_EIF1AD.pdf", "Melting_Curves/meltCurve_Q8N9N8_EIF1AD.pdf")</f>
        <v>Melting_Curves/meltCurve_Q8N9N8_EIF1AD.pdf</v>
      </c>
    </row>
    <row r="4801" spans="1:28" x14ac:dyDescent="0.25">
      <c r="A4801" t="s">
        <v>4805</v>
      </c>
      <c r="B4801">
        <v>0.99999676499088797</v>
      </c>
      <c r="C4801">
        <v>1.10163278184219</v>
      </c>
      <c r="D4801">
        <v>0.89559545052340295</v>
      </c>
      <c r="E4801">
        <v>0.58139204566446401</v>
      </c>
      <c r="F4801">
        <v>0.36936652302766698</v>
      </c>
      <c r="G4801">
        <v>0.35505373191207701</v>
      </c>
      <c r="H4801">
        <v>0.21253478996317399</v>
      </c>
      <c r="I4801">
        <v>0.412067633450028</v>
      </c>
      <c r="J4801">
        <v>0.40461143824247298</v>
      </c>
      <c r="K4801">
        <v>0.14326971258076901</v>
      </c>
      <c r="L4801">
        <v>1477.68151210868</v>
      </c>
      <c r="M4801">
        <v>30.1841208686333</v>
      </c>
      <c r="N4801">
        <v>50.520890276874297</v>
      </c>
      <c r="O4801">
        <v>48.742238849391903</v>
      </c>
      <c r="P4801">
        <v>-0.107791258432194</v>
      </c>
      <c r="Q4801">
        <v>0.30374628342962701</v>
      </c>
      <c r="R4801">
        <v>0.93059000231246303</v>
      </c>
      <c r="S4801" t="s">
        <v>11804</v>
      </c>
      <c r="T4801" t="s">
        <v>14004</v>
      </c>
      <c r="U4801" t="s">
        <v>14004</v>
      </c>
      <c r="V4801" t="s">
        <v>14004</v>
      </c>
      <c r="W4801" t="s">
        <v>18750</v>
      </c>
      <c r="X4801">
        <v>1</v>
      </c>
      <c r="Y4801" t="s">
        <v>25560</v>
      </c>
      <c r="Z4801" t="s">
        <v>32511</v>
      </c>
      <c r="AA4801">
        <v>0.51577687635846636</v>
      </c>
      <c r="AB4801" t="str">
        <f>HYPERLINK("Melting_Curves/meltCurve_Q8N9Q2_SREK1IP1.pdf", "Melting_Curves/meltCurve_Q8N9Q2_SREK1IP1.pdf")</f>
        <v>Melting_Curves/meltCurve_Q8N9Q2_SREK1IP1.pdf</v>
      </c>
    </row>
    <row r="4802" spans="1:28" x14ac:dyDescent="0.25">
      <c r="A4802" t="s">
        <v>4806</v>
      </c>
      <c r="B4802">
        <v>0.99999676499088797</v>
      </c>
      <c r="C4802">
        <v>0.97953507961959396</v>
      </c>
      <c r="D4802">
        <v>1.1012276099532901</v>
      </c>
      <c r="E4802">
        <v>1.21949393604963</v>
      </c>
      <c r="F4802">
        <v>0.38892746309910098</v>
      </c>
      <c r="G4802">
        <v>0.28173658397010198</v>
      </c>
      <c r="H4802">
        <v>0.12080520332101501</v>
      </c>
      <c r="I4802">
        <v>0.123520143008285</v>
      </c>
      <c r="J4802">
        <v>0.13538505562631001</v>
      </c>
      <c r="K4802">
        <v>9.2326529075197603E-2</v>
      </c>
      <c r="L4802">
        <v>13249.873956850801</v>
      </c>
      <c r="M4802">
        <v>250</v>
      </c>
      <c r="N4802">
        <v>53.075676907107699</v>
      </c>
      <c r="O4802">
        <v>52.9961042262563</v>
      </c>
      <c r="P4802">
        <v>-1.0015421536051199</v>
      </c>
      <c r="Q4802">
        <v>0.15075468348543899</v>
      </c>
      <c r="R4802">
        <v>0.95903046337512299</v>
      </c>
      <c r="S4802" t="s">
        <v>11805</v>
      </c>
      <c r="T4802" t="s">
        <v>14004</v>
      </c>
      <c r="U4802" t="s">
        <v>14004</v>
      </c>
      <c r="V4802" t="s">
        <v>14004</v>
      </c>
      <c r="W4802" t="s">
        <v>18751</v>
      </c>
      <c r="X4802">
        <v>11</v>
      </c>
      <c r="Y4802" t="s">
        <v>25561</v>
      </c>
      <c r="Z4802" t="s">
        <v>32512</v>
      </c>
      <c r="AA4802">
        <v>0.51882570620237745</v>
      </c>
      <c r="AB4802" t="str">
        <f>HYPERLINK("Melting_Curves/meltCurve_Q8N9R8_SCAI.pdf", "Melting_Curves/meltCurve_Q8N9R8_SCAI.pdf")</f>
        <v>Melting_Curves/meltCurve_Q8N9R8_SCAI.pdf</v>
      </c>
    </row>
    <row r="4803" spans="1:28" x14ac:dyDescent="0.25">
      <c r="A4803" t="s">
        <v>4807</v>
      </c>
      <c r="B4803">
        <v>0.99999676499088797</v>
      </c>
      <c r="C4803">
        <v>0.97972453139805105</v>
      </c>
      <c r="D4803">
        <v>0.96649041835771698</v>
      </c>
      <c r="E4803">
        <v>0.96564926231076997</v>
      </c>
      <c r="F4803">
        <v>0.59445558689997002</v>
      </c>
      <c r="G4803">
        <v>0.42110223801496599</v>
      </c>
      <c r="H4803">
        <v>0.17273864481638701</v>
      </c>
      <c r="I4803">
        <v>0.160719547684612</v>
      </c>
      <c r="J4803">
        <v>0.114608765370879</v>
      </c>
      <c r="K4803">
        <v>9.3139944067766003E-2</v>
      </c>
      <c r="L4803">
        <v>1110.11357903674</v>
      </c>
      <c r="M4803">
        <v>20.359450791846299</v>
      </c>
      <c r="N4803">
        <v>55.110359287380902</v>
      </c>
      <c r="O4803">
        <v>54.007839973646199</v>
      </c>
      <c r="P4803">
        <v>-8.5092418360476998E-2</v>
      </c>
      <c r="Q4803">
        <v>9.71231849399221E-2</v>
      </c>
      <c r="R4803">
        <v>0.99079535415772602</v>
      </c>
      <c r="S4803" t="s">
        <v>11806</v>
      </c>
      <c r="T4803" t="s">
        <v>14004</v>
      </c>
      <c r="U4803" t="s">
        <v>14004</v>
      </c>
      <c r="V4803" t="s">
        <v>14004</v>
      </c>
      <c r="W4803" t="s">
        <v>18752</v>
      </c>
      <c r="X4803">
        <v>6</v>
      </c>
      <c r="Y4803" t="s">
        <v>25562</v>
      </c>
      <c r="Z4803" t="s">
        <v>32513</v>
      </c>
      <c r="AA4803">
        <v>0.54610862809564176</v>
      </c>
      <c r="AB4803" t="str">
        <f>HYPERLINK("Melting_Curves/meltCurve_Q8N9V3_2_WDSUB1.pdf", "Melting_Curves/meltCurve_Q8N9V3_2_WDSUB1.pdf")</f>
        <v>Melting_Curves/meltCurve_Q8N9V3_2_WDSUB1.pdf</v>
      </c>
    </row>
    <row r="4804" spans="1:28" x14ac:dyDescent="0.25">
      <c r="A4804" t="s">
        <v>4808</v>
      </c>
      <c r="B4804">
        <v>0.99999676499088797</v>
      </c>
      <c r="C4804">
        <v>1.04034582390068</v>
      </c>
      <c r="D4804">
        <v>0.90447002942250398</v>
      </c>
      <c r="E4804">
        <v>0.81055769317151605</v>
      </c>
      <c r="F4804">
        <v>0.45828772984430399</v>
      </c>
      <c r="G4804">
        <v>0.245398603535985</v>
      </c>
      <c r="H4804">
        <v>0.14452483465416299</v>
      </c>
      <c r="I4804">
        <v>0.17083398239046199</v>
      </c>
      <c r="J4804">
        <v>0.16932754310412501</v>
      </c>
      <c r="K4804">
        <v>0.12232650587548501</v>
      </c>
      <c r="L4804">
        <v>1211.5354496836601</v>
      </c>
      <c r="M4804">
        <v>23.2876986331155</v>
      </c>
      <c r="N4804">
        <v>52.769604356641601</v>
      </c>
      <c r="O4804">
        <v>51.645625970677003</v>
      </c>
      <c r="P4804">
        <v>-9.6938728780144506E-2</v>
      </c>
      <c r="Q4804">
        <v>0.140082978221622</v>
      </c>
      <c r="R4804">
        <v>0.99428886697193997</v>
      </c>
      <c r="S4804" t="s">
        <v>11807</v>
      </c>
      <c r="T4804" t="s">
        <v>14004</v>
      </c>
      <c r="U4804" t="s">
        <v>14004</v>
      </c>
      <c r="V4804" t="s">
        <v>14004</v>
      </c>
      <c r="W4804" t="s">
        <v>18753</v>
      </c>
      <c r="X4804">
        <v>6</v>
      </c>
      <c r="Y4804" t="s">
        <v>25563</v>
      </c>
      <c r="Z4804" t="s">
        <v>32514</v>
      </c>
      <c r="AA4804">
        <v>0.49374732149666939</v>
      </c>
      <c r="AB4804" t="str">
        <f>HYPERLINK("Melting_Curves/meltCurve_Q8NAF0_ZNF579.pdf", "Melting_Curves/meltCurve_Q8NAF0_ZNF579.pdf")</f>
        <v>Melting_Curves/meltCurve_Q8NAF0_ZNF579.pdf</v>
      </c>
    </row>
    <row r="4805" spans="1:28" x14ac:dyDescent="0.25">
      <c r="A4805" t="s">
        <v>4809</v>
      </c>
      <c r="B4805">
        <v>0.99999676499088797</v>
      </c>
      <c r="C4805">
        <v>1.14873375099583</v>
      </c>
      <c r="D4805">
        <v>1.12348165032696</v>
      </c>
      <c r="E4805">
        <v>0.90350564732312899</v>
      </c>
      <c r="F4805">
        <v>0.873715170634912</v>
      </c>
      <c r="G4805">
        <v>0.70039302815374205</v>
      </c>
      <c r="H4805">
        <v>0.48054214752798502</v>
      </c>
      <c r="I4805">
        <v>0.21255251136115799</v>
      </c>
      <c r="J4805">
        <v>0.14511440228745601</v>
      </c>
      <c r="K4805">
        <v>0.13241939561441901</v>
      </c>
      <c r="L4805">
        <v>1009.03499940013</v>
      </c>
      <c r="M4805">
        <v>16.948399088921398</v>
      </c>
      <c r="N4805">
        <v>59.787850671812897</v>
      </c>
      <c r="O4805">
        <v>58.725401890505999</v>
      </c>
      <c r="P4805">
        <v>-6.9666911453560701E-2</v>
      </c>
      <c r="Q4805">
        <v>3.4490134410268103E-2</v>
      </c>
      <c r="R4805">
        <v>0.96594748028524902</v>
      </c>
      <c r="S4805" t="s">
        <v>11808</v>
      </c>
      <c r="T4805" t="s">
        <v>14004</v>
      </c>
      <c r="U4805" t="s">
        <v>14004</v>
      </c>
      <c r="V4805" t="s">
        <v>14004</v>
      </c>
      <c r="W4805" t="s">
        <v>18754</v>
      </c>
      <c r="X4805">
        <v>4</v>
      </c>
      <c r="Y4805" t="s">
        <v>25564</v>
      </c>
      <c r="Z4805" t="s">
        <v>32515</v>
      </c>
      <c r="AA4805">
        <v>0.67223829398020596</v>
      </c>
      <c r="AB4805" t="str">
        <f>HYPERLINK("Melting_Curves/meltCurve_Q8NAT1_GTDC2.pdf", "Melting_Curves/meltCurve_Q8NAT1_GTDC2.pdf")</f>
        <v>Melting_Curves/meltCurve_Q8NAT1_GTDC2.pdf</v>
      </c>
    </row>
    <row r="4806" spans="1:28" x14ac:dyDescent="0.25">
      <c r="A4806" t="s">
        <v>4810</v>
      </c>
      <c r="B4806">
        <v>0.99999676499088797</v>
      </c>
      <c r="C4806">
        <v>0.827017579525549</v>
      </c>
      <c r="D4806">
        <v>0.78900788303993097</v>
      </c>
      <c r="E4806">
        <v>0.66750175293687797</v>
      </c>
      <c r="F4806">
        <v>0.28983145981602998</v>
      </c>
      <c r="G4806">
        <v>0.202314252680832</v>
      </c>
      <c r="H4806">
        <v>0.122644478425691</v>
      </c>
      <c r="I4806">
        <v>0.108862801607812</v>
      </c>
      <c r="J4806">
        <v>9.2620631042336102E-2</v>
      </c>
      <c r="K4806">
        <v>8.7204187262709607E-2</v>
      </c>
      <c r="L4806">
        <v>702.45114783159704</v>
      </c>
      <c r="M4806">
        <v>13.973052551241</v>
      </c>
      <c r="N4806">
        <v>50.702311436863098</v>
      </c>
      <c r="O4806">
        <v>49.275768073379197</v>
      </c>
      <c r="P4806">
        <v>-6.6935847074720001E-2</v>
      </c>
      <c r="Q4806">
        <v>5.5932681609366E-2</v>
      </c>
      <c r="R4806">
        <v>0.97988451605775195</v>
      </c>
      <c r="S4806" t="s">
        <v>11809</v>
      </c>
      <c r="T4806" t="s">
        <v>14004</v>
      </c>
      <c r="U4806" t="s">
        <v>14004</v>
      </c>
      <c r="V4806" t="s">
        <v>14004</v>
      </c>
      <c r="W4806" t="s">
        <v>18755</v>
      </c>
      <c r="X4806">
        <v>4</v>
      </c>
      <c r="Y4806" t="s">
        <v>25565</v>
      </c>
      <c r="Z4806" t="s">
        <v>32516</v>
      </c>
      <c r="AA4806">
        <v>0.40437024562935109</v>
      </c>
      <c r="AB4806" t="str">
        <f>HYPERLINK("Melting_Curves/meltCurve_Q8NAV1_PRPF38A.pdf", "Melting_Curves/meltCurve_Q8NAV1_PRPF38A.pdf")</f>
        <v>Melting_Curves/meltCurve_Q8NAV1_PRPF38A.pdf</v>
      </c>
    </row>
    <row r="4807" spans="1:28" x14ac:dyDescent="0.25">
      <c r="A4807" t="s">
        <v>4811</v>
      </c>
      <c r="B4807">
        <v>0.99999676499088797</v>
      </c>
      <c r="C4807">
        <v>0.94449291691413495</v>
      </c>
      <c r="D4807">
        <v>0.86242510846199405</v>
      </c>
      <c r="E4807">
        <v>0.71949078756107199</v>
      </c>
      <c r="F4807">
        <v>0.45076895745607298</v>
      </c>
      <c r="G4807">
        <v>0.282850848693325</v>
      </c>
      <c r="H4807">
        <v>0.22450048648123599</v>
      </c>
      <c r="I4807">
        <v>0.212620192935427</v>
      </c>
      <c r="J4807">
        <v>0.21804434858094701</v>
      </c>
      <c r="K4807">
        <v>0.291873646365087</v>
      </c>
      <c r="L4807">
        <v>955.22958233092697</v>
      </c>
      <c r="M4807">
        <v>18.855703567776501</v>
      </c>
      <c r="N4807">
        <v>52.259971440923998</v>
      </c>
      <c r="O4807">
        <v>50.100488749981899</v>
      </c>
      <c r="P4807">
        <v>-7.3459571012616395E-2</v>
      </c>
      <c r="Q4807">
        <v>0.219289969520193</v>
      </c>
      <c r="R4807">
        <v>0.98946927087893499</v>
      </c>
      <c r="S4807" t="s">
        <v>11810</v>
      </c>
      <c r="T4807" t="s">
        <v>14004</v>
      </c>
      <c r="U4807" t="s">
        <v>14004</v>
      </c>
      <c r="V4807" t="s">
        <v>14004</v>
      </c>
      <c r="W4807" t="s">
        <v>18756</v>
      </c>
      <c r="X4807">
        <v>4</v>
      </c>
      <c r="Y4807" t="s">
        <v>25566</v>
      </c>
      <c r="Z4807" t="s">
        <v>32517</v>
      </c>
      <c r="AA4807">
        <v>0.50882052836749425</v>
      </c>
      <c r="AB4807" t="str">
        <f>HYPERLINK("Melting_Curves/meltCurve_Q8NB15_2_ZNF511.pdf", "Melting_Curves/meltCurve_Q8NB15_2_ZNF511.pdf")</f>
        <v>Melting_Curves/meltCurve_Q8NB15_2_ZNF511.pdf</v>
      </c>
    </row>
    <row r="4808" spans="1:28" x14ac:dyDescent="0.25">
      <c r="A4808" t="s">
        <v>4812</v>
      </c>
      <c r="B4808">
        <v>0.99999676499088797</v>
      </c>
      <c r="C4808">
        <v>0.98034867117504099</v>
      </c>
      <c r="D4808">
        <v>0.978264618385706</v>
      </c>
      <c r="E4808">
        <v>0.77574564185365003</v>
      </c>
      <c r="F4808">
        <v>0.31947938959050498</v>
      </c>
      <c r="G4808">
        <v>0.206315259250444</v>
      </c>
      <c r="H4808">
        <v>0.116217459693456</v>
      </c>
      <c r="I4808">
        <v>0.110426725768944</v>
      </c>
      <c r="J4808">
        <v>0.103153669547912</v>
      </c>
      <c r="K4808">
        <v>8.6656576847427794E-2</v>
      </c>
      <c r="L4808">
        <v>1514.1170708618499</v>
      </c>
      <c r="M4808">
        <v>29.493277380513302</v>
      </c>
      <c r="N4808">
        <v>51.767972984550397</v>
      </c>
      <c r="O4808">
        <v>51.103420368318098</v>
      </c>
      <c r="P4808">
        <v>-0.12859964830932</v>
      </c>
      <c r="Q4808">
        <v>0.108700479235362</v>
      </c>
      <c r="R4808">
        <v>0.99747749254227502</v>
      </c>
      <c r="S4808" t="s">
        <v>11811</v>
      </c>
      <c r="T4808" t="s">
        <v>14004</v>
      </c>
      <c r="U4808" t="s">
        <v>14004</v>
      </c>
      <c r="V4808" t="s">
        <v>14004</v>
      </c>
      <c r="W4808" t="s">
        <v>18757</v>
      </c>
      <c r="X4808">
        <v>22</v>
      </c>
      <c r="Y4808" t="s">
        <v>25567</v>
      </c>
      <c r="Z4808" t="s">
        <v>32518</v>
      </c>
      <c r="AA4808">
        <v>0.45137318086322892</v>
      </c>
      <c r="AB4808" t="str">
        <f>HYPERLINK("Melting_Curves/meltCurve_Q8NB16_MLKL.pdf", "Melting_Curves/meltCurve_Q8NB16_MLKL.pdf")</f>
        <v>Melting_Curves/meltCurve_Q8NB16_MLKL.pdf</v>
      </c>
    </row>
    <row r="4809" spans="1:28" x14ac:dyDescent="0.25">
      <c r="A4809" t="s">
        <v>4813</v>
      </c>
      <c r="B4809">
        <v>0.99999676499088797</v>
      </c>
      <c r="C4809">
        <v>0.96005114636316202</v>
      </c>
      <c r="D4809">
        <v>1.0116138431458099</v>
      </c>
      <c r="E4809">
        <v>0.97159799128522195</v>
      </c>
      <c r="F4809">
        <v>0.94843780472964501</v>
      </c>
      <c r="G4809">
        <v>0.63177922590665903</v>
      </c>
      <c r="H4809">
        <v>0.31518276669150502</v>
      </c>
      <c r="I4809">
        <v>0.26341942427782999</v>
      </c>
      <c r="J4809">
        <v>0.214547973824598</v>
      </c>
      <c r="K4809">
        <v>0.21311420696752401</v>
      </c>
      <c r="L4809">
        <v>1852.0986460854699</v>
      </c>
      <c r="M4809">
        <v>32.458387389589397</v>
      </c>
      <c r="N4809">
        <v>58.098135720872399</v>
      </c>
      <c r="O4809">
        <v>56.845422332382398</v>
      </c>
      <c r="P4809">
        <v>-0.11135342272793899</v>
      </c>
      <c r="Q4809">
        <v>0.21993623584844599</v>
      </c>
      <c r="R4809">
        <v>0.99729241396300605</v>
      </c>
      <c r="S4809" t="s">
        <v>11812</v>
      </c>
      <c r="T4809" t="s">
        <v>14004</v>
      </c>
      <c r="U4809" t="s">
        <v>14004</v>
      </c>
      <c r="V4809" t="s">
        <v>14004</v>
      </c>
      <c r="W4809" t="s">
        <v>18758</v>
      </c>
      <c r="X4809">
        <v>5</v>
      </c>
      <c r="Y4809" t="s">
        <v>25568</v>
      </c>
      <c r="Z4809" t="s">
        <v>32519</v>
      </c>
      <c r="AA4809">
        <v>0.66806179412928823</v>
      </c>
      <c r="AB4809" t="str">
        <f>HYPERLINK("Melting_Curves/meltCurve_Q8NB37_PDDC1.pdf", "Melting_Curves/meltCurve_Q8NB37_PDDC1.pdf")</f>
        <v>Melting_Curves/meltCurve_Q8NB37_PDDC1.pdf</v>
      </c>
    </row>
    <row r="4810" spans="1:28" x14ac:dyDescent="0.25">
      <c r="A4810" t="s">
        <v>4814</v>
      </c>
      <c r="B4810">
        <v>0.99999676499088797</v>
      </c>
      <c r="C4810">
        <v>1.02924328963268</v>
      </c>
      <c r="D4810">
        <v>1.00950877160331</v>
      </c>
      <c r="E4810">
        <v>0.77815600329483403</v>
      </c>
      <c r="F4810">
        <v>0.39804856241571501</v>
      </c>
      <c r="G4810">
        <v>0.24449891112815</v>
      </c>
      <c r="H4810">
        <v>9.3257586904877496E-2</v>
      </c>
      <c r="I4810">
        <v>4.8954704102676903E-2</v>
      </c>
      <c r="J4810">
        <v>2.5490989719884501E-2</v>
      </c>
      <c r="K4810">
        <v>4.9611165388483203E-2</v>
      </c>
      <c r="L4810">
        <v>1146.9244712013401</v>
      </c>
      <c r="M4810">
        <v>21.914575857673402</v>
      </c>
      <c r="N4810">
        <v>52.552472352442102</v>
      </c>
      <c r="O4810">
        <v>51.906213569520702</v>
      </c>
      <c r="P4810">
        <v>-0.100999262508441</v>
      </c>
      <c r="Q4810">
        <v>4.3126627518880398E-2</v>
      </c>
      <c r="R4810">
        <v>0.99431320577536797</v>
      </c>
      <c r="S4810" t="s">
        <v>11813</v>
      </c>
      <c r="T4810" t="s">
        <v>14004</v>
      </c>
      <c r="U4810" t="s">
        <v>14004</v>
      </c>
      <c r="V4810" t="s">
        <v>14004</v>
      </c>
      <c r="W4810" t="s">
        <v>18759</v>
      </c>
      <c r="X4810">
        <v>1</v>
      </c>
      <c r="Y4810" t="s">
        <v>25569</v>
      </c>
      <c r="Z4810" t="s">
        <v>32520</v>
      </c>
      <c r="AA4810">
        <v>0.44781305292125329</v>
      </c>
      <c r="AB4810" t="str">
        <f>HYPERLINK("Melting_Curves/meltCurve_Q8NB42_2_ZNF527.pdf", "Melting_Curves/meltCurve_Q8NB42_2_ZNF527.pdf")</f>
        <v>Melting_Curves/meltCurve_Q8NB42_2_ZNF527.pdf</v>
      </c>
    </row>
    <row r="4811" spans="1:28" x14ac:dyDescent="0.25">
      <c r="A4811" t="s">
        <v>4815</v>
      </c>
      <c r="B4811">
        <v>0.99999676499088797</v>
      </c>
      <c r="C4811">
        <v>1.0886947171827399</v>
      </c>
      <c r="D4811">
        <v>0.87794517852433496</v>
      </c>
      <c r="E4811">
        <v>0.51946253169687295</v>
      </c>
      <c r="F4811">
        <v>0.35666993483058201</v>
      </c>
      <c r="G4811">
        <v>0.23102821596857601</v>
      </c>
      <c r="H4811">
        <v>0.106535061216829</v>
      </c>
      <c r="I4811">
        <v>8.0145238821515599E-2</v>
      </c>
      <c r="J4811">
        <v>0.100792475670377</v>
      </c>
      <c r="K4811">
        <v>6.58077411564887E-2</v>
      </c>
      <c r="L4811">
        <v>948.26131518449995</v>
      </c>
      <c r="M4811">
        <v>18.900388831511901</v>
      </c>
      <c r="N4811">
        <v>50.681227261152898</v>
      </c>
      <c r="O4811">
        <v>49.620020537192097</v>
      </c>
      <c r="P4811">
        <v>-8.6987031281013996E-2</v>
      </c>
      <c r="Q4811">
        <v>8.6554141919730307E-2</v>
      </c>
      <c r="R4811">
        <v>0.981866640696195</v>
      </c>
      <c r="S4811" t="s">
        <v>11814</v>
      </c>
      <c r="T4811" t="s">
        <v>14004</v>
      </c>
      <c r="U4811" t="s">
        <v>14004</v>
      </c>
      <c r="V4811" t="s">
        <v>14004</v>
      </c>
      <c r="W4811" t="s">
        <v>18760</v>
      </c>
      <c r="X4811">
        <v>4</v>
      </c>
      <c r="Y4811" t="s">
        <v>25570</v>
      </c>
      <c r="Z4811" t="s">
        <v>32521</v>
      </c>
      <c r="AA4811">
        <v>0.41042781253501509</v>
      </c>
      <c r="AB4811" t="str">
        <f>HYPERLINK("Melting_Curves/meltCurve_Q8NB46_ANKRD52.pdf", "Melting_Curves/meltCurve_Q8NB46_ANKRD52.pdf")</f>
        <v>Melting_Curves/meltCurve_Q8NB46_ANKRD52.pdf</v>
      </c>
    </row>
    <row r="4812" spans="1:28" x14ac:dyDescent="0.25">
      <c r="A4812" t="s">
        <v>4816</v>
      </c>
      <c r="B4812">
        <v>0.99999676499088797</v>
      </c>
      <c r="C4812">
        <v>0.97401594967235605</v>
      </c>
      <c r="D4812">
        <v>0.97377173417916496</v>
      </c>
      <c r="E4812">
        <v>1.02382719637095</v>
      </c>
      <c r="F4812">
        <v>0.86271038221498297</v>
      </c>
      <c r="G4812">
        <v>0.39964248693995402</v>
      </c>
      <c r="H4812">
        <v>0.13252668777795601</v>
      </c>
      <c r="I4812">
        <v>0.104876233793454</v>
      </c>
      <c r="J4812">
        <v>9.0213783827466906E-2</v>
      </c>
      <c r="K4812">
        <v>8.7068079790948202E-2</v>
      </c>
      <c r="L4812">
        <v>2047.00251577668</v>
      </c>
      <c r="M4812">
        <v>36.708173177267298</v>
      </c>
      <c r="N4812">
        <v>56.070177238051102</v>
      </c>
      <c r="O4812">
        <v>55.599496411776499</v>
      </c>
      <c r="P4812">
        <v>-0.15007610738057101</v>
      </c>
      <c r="Q4812">
        <v>9.0760358239556499E-2</v>
      </c>
      <c r="R4812">
        <v>0.99851287873519101</v>
      </c>
      <c r="S4812" t="s">
        <v>11815</v>
      </c>
      <c r="T4812" t="s">
        <v>14004</v>
      </c>
      <c r="U4812" t="s">
        <v>14004</v>
      </c>
      <c r="V4812" t="s">
        <v>14004</v>
      </c>
      <c r="W4812" t="s">
        <v>18761</v>
      </c>
      <c r="X4812">
        <v>17</v>
      </c>
      <c r="Y4812" t="s">
        <v>25571</v>
      </c>
      <c r="Z4812" t="s">
        <v>32522</v>
      </c>
      <c r="AA4812">
        <v>0.57266702558692484</v>
      </c>
      <c r="AB4812" t="str">
        <f>HYPERLINK("Melting_Curves/meltCurve_Q8NB49_3_ATP11C.pdf", "Melting_Curves/meltCurve_Q8NB49_3_ATP11C.pdf")</f>
        <v>Melting_Curves/meltCurve_Q8NB49_3_ATP11C.pdf</v>
      </c>
    </row>
    <row r="4813" spans="1:28" x14ac:dyDescent="0.25">
      <c r="A4813" t="s">
        <v>4817</v>
      </c>
      <c r="B4813">
        <v>0.99999676499088797</v>
      </c>
      <c r="C4813">
        <v>1.08459674653045</v>
      </c>
      <c r="D4813">
        <v>1.0933215531113301</v>
      </c>
      <c r="E4813">
        <v>1.3449744237399901</v>
      </c>
      <c r="F4813">
        <v>1.4454973927415899</v>
      </c>
      <c r="G4813">
        <v>1.3030003485059001</v>
      </c>
      <c r="H4813">
        <v>0.211735148860589</v>
      </c>
      <c r="I4813">
        <v>0.15618611831779</v>
      </c>
      <c r="J4813">
        <v>0.124676008069717</v>
      </c>
      <c r="K4813">
        <v>0.120789514811372</v>
      </c>
      <c r="L4813">
        <v>15000</v>
      </c>
      <c r="M4813">
        <v>249.02553767712701</v>
      </c>
      <c r="N4813">
        <v>60.310261272118197</v>
      </c>
      <c r="O4813">
        <v>60.230901286525899</v>
      </c>
      <c r="P4813">
        <v>-0.895242895742419</v>
      </c>
      <c r="Q4813">
        <v>0.133883425712985</v>
      </c>
      <c r="R4813">
        <v>0.85057677050301705</v>
      </c>
      <c r="S4813" t="s">
        <v>11816</v>
      </c>
      <c r="T4813" t="s">
        <v>14004</v>
      </c>
      <c r="U4813" t="s">
        <v>14004</v>
      </c>
      <c r="V4813" t="s">
        <v>14004</v>
      </c>
      <c r="W4813" t="s">
        <v>18762</v>
      </c>
      <c r="X4813">
        <v>27</v>
      </c>
      <c r="Y4813" t="s">
        <v>25572</v>
      </c>
      <c r="Z4813" t="s">
        <v>32523</v>
      </c>
      <c r="AA4813">
        <v>0.71816515645060575</v>
      </c>
      <c r="AB4813" t="str">
        <f>HYPERLINK("Melting_Curves/meltCurve_Q8NB90_SPATA5.pdf", "Melting_Curves/meltCurve_Q8NB90_SPATA5.pdf")</f>
        <v>Melting_Curves/meltCurve_Q8NB90_SPATA5.pdf</v>
      </c>
    </row>
    <row r="4814" spans="1:28" x14ac:dyDescent="0.25">
      <c r="A4814" t="s">
        <v>4818</v>
      </c>
      <c r="B4814">
        <v>0.99999676499088797</v>
      </c>
      <c r="C4814">
        <v>1.1270344101101399</v>
      </c>
      <c r="D4814">
        <v>0.96373198875426003</v>
      </c>
      <c r="E4814">
        <v>0.56340954618213301</v>
      </c>
      <c r="F4814">
        <v>0.18125613514470701</v>
      </c>
      <c r="G4814">
        <v>0.14126042159440699</v>
      </c>
      <c r="H4814">
        <v>5.9105260987387297E-2</v>
      </c>
      <c r="I4814">
        <v>7.68110898815276E-2</v>
      </c>
      <c r="J4814">
        <v>6.4993658869143406E-2</v>
      </c>
      <c r="K4814">
        <v>4.8615649411012499E-2</v>
      </c>
      <c r="L4814">
        <v>1690.0893558901901</v>
      </c>
      <c r="M4814">
        <v>33.912004392787701</v>
      </c>
      <c r="N4814">
        <v>50.078858092905698</v>
      </c>
      <c r="O4814">
        <v>49.665149488637198</v>
      </c>
      <c r="P4814">
        <v>-0.15783500554204</v>
      </c>
      <c r="Q4814">
        <v>7.5387268545203001E-2</v>
      </c>
      <c r="R4814">
        <v>0.98810207459708299</v>
      </c>
      <c r="S4814" t="s">
        <v>11817</v>
      </c>
      <c r="T4814" t="s">
        <v>14004</v>
      </c>
      <c r="U4814" t="s">
        <v>14004</v>
      </c>
      <c r="V4814" t="s">
        <v>14004</v>
      </c>
      <c r="W4814" t="s">
        <v>18763</v>
      </c>
      <c r="X4814">
        <v>4</v>
      </c>
      <c r="Y4814" t="s">
        <v>25573</v>
      </c>
      <c r="Z4814" t="s">
        <v>32524</v>
      </c>
      <c r="AA4814">
        <v>0.38303246561106719</v>
      </c>
      <c r="AB4814" t="str">
        <f>HYPERLINK("Melting_Curves/meltCurve_Q8NBA8_DTWD2.pdf", "Melting_Curves/meltCurve_Q8NBA8_DTWD2.pdf")</f>
        <v>Melting_Curves/meltCurve_Q8NBA8_DTWD2.pdf</v>
      </c>
    </row>
    <row r="4815" spans="1:28" x14ac:dyDescent="0.25">
      <c r="A4815" t="s">
        <v>4819</v>
      </c>
      <c r="B4815">
        <v>0.99999676499088797</v>
      </c>
      <c r="C4815">
        <v>1.0086394878198599</v>
      </c>
      <c r="D4815">
        <v>0.93604928154782596</v>
      </c>
      <c r="E4815">
        <v>0.79271167064928605</v>
      </c>
      <c r="F4815">
        <v>0.18719386967611601</v>
      </c>
      <c r="G4815">
        <v>0.11155373106732699</v>
      </c>
      <c r="H4815">
        <v>5.0813171674184497E-2</v>
      </c>
      <c r="I4815">
        <v>4.5685813429114E-2</v>
      </c>
      <c r="J4815">
        <v>4.7429923144826497E-2</v>
      </c>
      <c r="K4815">
        <v>3.97204741454735E-2</v>
      </c>
      <c r="L4815">
        <v>2131.4271376419401</v>
      </c>
      <c r="M4815">
        <v>41.759908310199599</v>
      </c>
      <c r="N4815">
        <v>51.1800642774541</v>
      </c>
      <c r="O4815">
        <v>50.923407898980301</v>
      </c>
      <c r="P4815">
        <v>-0.193945922957378</v>
      </c>
      <c r="Q4815">
        <v>5.3985460320968501E-2</v>
      </c>
      <c r="R4815">
        <v>0.99689328513183695</v>
      </c>
      <c r="S4815" t="s">
        <v>11818</v>
      </c>
      <c r="T4815" t="s">
        <v>14004</v>
      </c>
      <c r="U4815" t="s">
        <v>14004</v>
      </c>
      <c r="V4815" t="s">
        <v>14004</v>
      </c>
      <c r="W4815" t="s">
        <v>18764</v>
      </c>
      <c r="X4815">
        <v>14</v>
      </c>
      <c r="Y4815" t="s">
        <v>25574</v>
      </c>
      <c r="Z4815" t="s">
        <v>32525</v>
      </c>
      <c r="AA4815">
        <v>0.40517997353890362</v>
      </c>
      <c r="AB4815" t="str">
        <f>HYPERLINK("Melting_Curves/meltCurve_Q8NBF2_NHLRC2.pdf", "Melting_Curves/meltCurve_Q8NBF2_NHLRC2.pdf")</f>
        <v>Melting_Curves/meltCurve_Q8NBF2_NHLRC2.pdf</v>
      </c>
    </row>
    <row r="4816" spans="1:28" x14ac:dyDescent="0.25">
      <c r="A4816" t="s">
        <v>4820</v>
      </c>
      <c r="B4816">
        <v>0.99999676499088797</v>
      </c>
      <c r="C4816">
        <v>0.902916094720703</v>
      </c>
      <c r="D4816">
        <v>0.96988113688336897</v>
      </c>
      <c r="E4816">
        <v>0.96290066461063994</v>
      </c>
      <c r="F4816">
        <v>0.59160881056667602</v>
      </c>
      <c r="G4816">
        <v>0.214116568425813</v>
      </c>
      <c r="H4816">
        <v>8.3005255829309899E-2</v>
      </c>
      <c r="I4816">
        <v>5.8845046736109803E-2</v>
      </c>
      <c r="J4816">
        <v>5.0525705858926899E-2</v>
      </c>
      <c r="K4816">
        <v>7.0045363846392303E-2</v>
      </c>
      <c r="L4816">
        <v>1706.6030096940301</v>
      </c>
      <c r="M4816">
        <v>31.763395302274098</v>
      </c>
      <c r="N4816">
        <v>53.9437614450854</v>
      </c>
      <c r="O4816">
        <v>53.516989337101201</v>
      </c>
      <c r="P4816">
        <v>-0.13955266263382901</v>
      </c>
      <c r="Q4816">
        <v>5.94960672454415E-2</v>
      </c>
      <c r="R4816">
        <v>0.99338907828925704</v>
      </c>
      <c r="S4816" t="s">
        <v>11819</v>
      </c>
      <c r="T4816" t="s">
        <v>14004</v>
      </c>
      <c r="U4816" t="s">
        <v>14004</v>
      </c>
      <c r="V4816" t="s">
        <v>14004</v>
      </c>
      <c r="W4816" t="s">
        <v>18765</v>
      </c>
      <c r="X4816">
        <v>3</v>
      </c>
      <c r="Y4816" t="s">
        <v>25575</v>
      </c>
      <c r="Z4816" t="s">
        <v>32526</v>
      </c>
      <c r="AA4816">
        <v>0.49539922982954993</v>
      </c>
      <c r="AB4816" t="str">
        <f>HYPERLINK("Melting_Curves/meltCurve_Q8NBF6_AVL9.pdf", "Melting_Curves/meltCurve_Q8NBF6_AVL9.pdf")</f>
        <v>Melting_Curves/meltCurve_Q8NBF6_AVL9.pdf</v>
      </c>
    </row>
    <row r="4817" spans="1:28" x14ac:dyDescent="0.25">
      <c r="A4817" t="s">
        <v>4821</v>
      </c>
      <c r="B4817">
        <v>0.99999676499088797</v>
      </c>
      <c r="C4817">
        <v>0.97754808477566002</v>
      </c>
      <c r="D4817">
        <v>0.91179547351506396</v>
      </c>
      <c r="E4817">
        <v>0.84805511504740805</v>
      </c>
      <c r="F4817">
        <v>0.67858126493549198</v>
      </c>
      <c r="G4817">
        <v>0.44642888530570501</v>
      </c>
      <c r="H4817">
        <v>0.19678039707309899</v>
      </c>
      <c r="I4817">
        <v>0.283050922753525</v>
      </c>
      <c r="J4817">
        <v>0.377881251416326</v>
      </c>
      <c r="K4817">
        <v>0.35058011015500301</v>
      </c>
      <c r="L4817">
        <v>1171.3760552080601</v>
      </c>
      <c r="M4817">
        <v>22.076299602087499</v>
      </c>
      <c r="N4817">
        <v>55.288986015205097</v>
      </c>
      <c r="O4817">
        <v>52.630719194346497</v>
      </c>
      <c r="P4817">
        <v>-7.3967969906789804E-2</v>
      </c>
      <c r="Q4817">
        <v>0.29464596221898998</v>
      </c>
      <c r="R4817">
        <v>0.95866117141363505</v>
      </c>
      <c r="S4817" t="s">
        <v>11820</v>
      </c>
      <c r="T4817" t="s">
        <v>14004</v>
      </c>
      <c r="U4817" t="s">
        <v>14004</v>
      </c>
      <c r="V4817" t="s">
        <v>14004</v>
      </c>
      <c r="W4817" t="s">
        <v>18766</v>
      </c>
      <c r="X4817">
        <v>5</v>
      </c>
      <c r="Y4817" t="s">
        <v>25576</v>
      </c>
      <c r="Z4817" t="s">
        <v>32527</v>
      </c>
      <c r="AA4817">
        <v>0.60987881192795357</v>
      </c>
      <c r="AB4817" t="str">
        <f>HYPERLINK("Melting_Curves/meltCurve_Q8NBI6_XXYLT1.pdf", "Melting_Curves/meltCurve_Q8NBI6_XXYLT1.pdf")</f>
        <v>Melting_Curves/meltCurve_Q8NBI6_XXYLT1.pdf</v>
      </c>
    </row>
    <row r="4818" spans="1:28" x14ac:dyDescent="0.25">
      <c r="A4818" t="s">
        <v>4822</v>
      </c>
      <c r="B4818">
        <v>0.99999676499088797</v>
      </c>
      <c r="C4818">
        <v>0.92302859741964105</v>
      </c>
      <c r="D4818">
        <v>1.0081581145035301</v>
      </c>
      <c r="E4818">
        <v>0.92493229482904205</v>
      </c>
      <c r="F4818">
        <v>0.81689221856622296</v>
      </c>
      <c r="G4818">
        <v>0.84820229352713405</v>
      </c>
      <c r="H4818">
        <v>0.63972655651283505</v>
      </c>
      <c r="I4818">
        <v>0.67886507077098701</v>
      </c>
      <c r="J4818">
        <v>0.61003440787516705</v>
      </c>
      <c r="K4818">
        <v>0.89888361064101796</v>
      </c>
      <c r="L4818">
        <v>1044.8384156981499</v>
      </c>
      <c r="M4818">
        <v>19.926975786572999</v>
      </c>
      <c r="O4818">
        <v>51.913884690167997</v>
      </c>
      <c r="P4818">
        <v>-2.7359573332189399E-2</v>
      </c>
      <c r="Q4818">
        <v>0.71490008853697495</v>
      </c>
      <c r="R4818">
        <v>0.64001317543574698</v>
      </c>
      <c r="S4818" t="s">
        <v>11821</v>
      </c>
      <c r="T4818" t="s">
        <v>14004</v>
      </c>
      <c r="U4818" t="s">
        <v>14004</v>
      </c>
      <c r="V4818" t="s">
        <v>14004</v>
      </c>
      <c r="W4818" t="s">
        <v>18767</v>
      </c>
      <c r="X4818">
        <v>8</v>
      </c>
      <c r="Y4818" t="s">
        <v>25577</v>
      </c>
      <c r="Z4818" t="s">
        <v>32528</v>
      </c>
      <c r="AA4818">
        <v>0.83702082956193213</v>
      </c>
      <c r="AB4818" t="str">
        <f>HYPERLINK("Melting_Curves/meltCurve_Q8NBJ4_2_GOLM1.pdf", "Melting_Curves/meltCurve_Q8NBJ4_2_GOLM1.pdf")</f>
        <v>Melting_Curves/meltCurve_Q8NBJ4_2_GOLM1.pdf</v>
      </c>
    </row>
    <row r="4819" spans="1:28" x14ac:dyDescent="0.25">
      <c r="A4819" t="s">
        <v>4823</v>
      </c>
      <c r="B4819">
        <v>0.99999676499088797</v>
      </c>
      <c r="C4819">
        <v>0.99958018486688105</v>
      </c>
      <c r="D4819">
        <v>1.0044118695236099</v>
      </c>
      <c r="E4819">
        <v>0.79873569599689598</v>
      </c>
      <c r="F4819">
        <v>0.37075583106245302</v>
      </c>
      <c r="G4819">
        <v>0.29355158882943899</v>
      </c>
      <c r="H4819">
        <v>0.16006100230380399</v>
      </c>
      <c r="I4819">
        <v>0.14946371771709299</v>
      </c>
      <c r="J4819">
        <v>0.141131765738854</v>
      </c>
      <c r="K4819">
        <v>0.14969013732938999</v>
      </c>
      <c r="L4819">
        <v>1445.65157078996</v>
      </c>
      <c r="M4819">
        <v>28.045569467984901</v>
      </c>
      <c r="N4819">
        <v>52.255632031372897</v>
      </c>
      <c r="O4819">
        <v>51.286584089879703</v>
      </c>
      <c r="P4819">
        <v>-0.115074020669091</v>
      </c>
      <c r="Q4819">
        <v>0.15826944673110999</v>
      </c>
      <c r="R4819">
        <v>0.993567120059477</v>
      </c>
      <c r="S4819" t="s">
        <v>11822</v>
      </c>
      <c r="T4819" t="s">
        <v>14004</v>
      </c>
      <c r="U4819" t="s">
        <v>14004</v>
      </c>
      <c r="V4819" t="s">
        <v>14004</v>
      </c>
      <c r="W4819" t="s">
        <v>18768</v>
      </c>
      <c r="X4819">
        <v>14</v>
      </c>
      <c r="Y4819" t="s">
        <v>25578</v>
      </c>
      <c r="Z4819" t="s">
        <v>32529</v>
      </c>
      <c r="AA4819">
        <v>0.48834198719742428</v>
      </c>
      <c r="AB4819" t="str">
        <f>HYPERLINK("Melting_Curves/meltCurve_Q8NBJ5_COLGALT1.pdf", "Melting_Curves/meltCurve_Q8NBJ5_COLGALT1.pdf")</f>
        <v>Melting_Curves/meltCurve_Q8NBJ5_COLGALT1.pdf</v>
      </c>
    </row>
    <row r="4820" spans="1:28" x14ac:dyDescent="0.25">
      <c r="A4820" t="s">
        <v>4824</v>
      </c>
      <c r="B4820">
        <v>0.99999676499088797</v>
      </c>
      <c r="C4820">
        <v>1.40911043954059</v>
      </c>
      <c r="D4820">
        <v>1.17004326575636</v>
      </c>
      <c r="E4820">
        <v>0.70529326377077195</v>
      </c>
      <c r="F4820">
        <v>0.73689599046610199</v>
      </c>
      <c r="G4820">
        <v>0.45360523073366699</v>
      </c>
      <c r="H4820">
        <v>0.23984157668044501</v>
      </c>
      <c r="I4820">
        <v>0.23320557834332001</v>
      </c>
      <c r="J4820">
        <v>0.19056238039827</v>
      </c>
      <c r="K4820">
        <v>0.16967329853149499</v>
      </c>
      <c r="L4820">
        <v>1019.82357417295</v>
      </c>
      <c r="M4820">
        <v>18.6660118081512</v>
      </c>
      <c r="N4820">
        <v>55.811380427510699</v>
      </c>
      <c r="O4820">
        <v>54.019831392397002</v>
      </c>
      <c r="P4820">
        <v>-7.2342140394589E-2</v>
      </c>
      <c r="Q4820">
        <v>0.162597105493689</v>
      </c>
      <c r="R4820">
        <v>0.86203124076222404</v>
      </c>
      <c r="S4820" t="s">
        <v>11823</v>
      </c>
      <c r="T4820" t="s">
        <v>14004</v>
      </c>
      <c r="U4820" t="s">
        <v>14004</v>
      </c>
      <c r="V4820" t="s">
        <v>14004</v>
      </c>
      <c r="W4820" t="s">
        <v>18769</v>
      </c>
      <c r="X4820">
        <v>1</v>
      </c>
      <c r="Y4820" t="s">
        <v>25579</v>
      </c>
      <c r="Z4820" t="s">
        <v>32530</v>
      </c>
      <c r="AA4820">
        <v>0.58359032964878732</v>
      </c>
      <c r="AB4820" t="str">
        <f>HYPERLINK("Melting_Curves/meltCurve_Q8NBK3_4_SUMF1.pdf", "Melting_Curves/meltCurve_Q8NBK3_4_SUMF1.pdf")</f>
        <v>Melting_Curves/meltCurve_Q8NBK3_4_SUMF1.pdf</v>
      </c>
    </row>
    <row r="4821" spans="1:28" x14ac:dyDescent="0.25">
      <c r="A4821" t="s">
        <v>4825</v>
      </c>
      <c r="B4821">
        <v>0.99999676499088797</v>
      </c>
      <c r="C4821">
        <v>0.93140750775900705</v>
      </c>
      <c r="D4821">
        <v>0.90577688129311695</v>
      </c>
      <c r="E4821">
        <v>0.76198328351959499</v>
      </c>
      <c r="F4821">
        <v>0.29242925687275101</v>
      </c>
      <c r="G4821">
        <v>0.20544165621577001</v>
      </c>
      <c r="H4821">
        <v>0.123457830774946</v>
      </c>
      <c r="I4821">
        <v>0.104467362731232</v>
      </c>
      <c r="J4821">
        <v>9.6314500753160406E-2</v>
      </c>
      <c r="K4821">
        <v>8.2714980667783905E-2</v>
      </c>
      <c r="L4821">
        <v>1328.1196918790199</v>
      </c>
      <c r="M4821">
        <v>25.9821755529968</v>
      </c>
      <c r="N4821">
        <v>51.560756712134399</v>
      </c>
      <c r="O4821">
        <v>50.816631380761997</v>
      </c>
      <c r="P4821">
        <v>-0.11500697833243199</v>
      </c>
      <c r="Q4821">
        <v>0.100275247449398</v>
      </c>
      <c r="R4821">
        <v>0.99124921520495002</v>
      </c>
      <c r="S4821" t="s">
        <v>11824</v>
      </c>
      <c r="T4821" t="s">
        <v>14004</v>
      </c>
      <c r="U4821" t="s">
        <v>14004</v>
      </c>
      <c r="V4821" t="s">
        <v>14004</v>
      </c>
      <c r="W4821" t="s">
        <v>18770</v>
      </c>
      <c r="X4821">
        <v>13</v>
      </c>
      <c r="Y4821" t="s">
        <v>25580</v>
      </c>
      <c r="Z4821" t="s">
        <v>32531</v>
      </c>
      <c r="AA4821">
        <v>0.44121431579862869</v>
      </c>
      <c r="AB4821" t="str">
        <f>HYPERLINK("Melting_Curves/meltCurve_Q8NBL1_POGLUT1.pdf", "Melting_Curves/meltCurve_Q8NBL1_POGLUT1.pdf")</f>
        <v>Melting_Curves/meltCurve_Q8NBL1_POGLUT1.pdf</v>
      </c>
    </row>
    <row r="4822" spans="1:28" x14ac:dyDescent="0.25">
      <c r="A4822" t="s">
        <v>4826</v>
      </c>
      <c r="B4822">
        <v>0.99999676499088797</v>
      </c>
      <c r="C4822">
        <v>1.07647217590835</v>
      </c>
      <c r="D4822">
        <v>0.93422879361792799</v>
      </c>
      <c r="E4822">
        <v>0.61870724259375098</v>
      </c>
      <c r="F4822">
        <v>0.341939223590978</v>
      </c>
      <c r="G4822">
        <v>0.24619333704267299</v>
      </c>
      <c r="H4822">
        <v>8.6748853688274993E-2</v>
      </c>
      <c r="I4822">
        <v>0.101372261321952</v>
      </c>
      <c r="J4822">
        <v>0.11627240265101201</v>
      </c>
      <c r="K4822">
        <v>0.10689557357799501</v>
      </c>
      <c r="L4822">
        <v>1100.8282733815799</v>
      </c>
      <c r="M4822">
        <v>21.735433805251301</v>
      </c>
      <c r="N4822">
        <v>51.207523901334802</v>
      </c>
      <c r="O4822">
        <v>50.223844116188999</v>
      </c>
      <c r="P4822">
        <v>-9.6735920002609499E-2</v>
      </c>
      <c r="Q4822">
        <v>0.10591407859843099</v>
      </c>
      <c r="R4822">
        <v>0.98889840640499005</v>
      </c>
      <c r="S4822" t="s">
        <v>11825</v>
      </c>
      <c r="T4822" t="s">
        <v>14004</v>
      </c>
      <c r="U4822" t="s">
        <v>14004</v>
      </c>
      <c r="V4822" t="s">
        <v>14004</v>
      </c>
      <c r="W4822" t="s">
        <v>18771</v>
      </c>
      <c r="X4822">
        <v>5</v>
      </c>
      <c r="Y4822" t="s">
        <v>25581</v>
      </c>
      <c r="Z4822" t="s">
        <v>32532</v>
      </c>
      <c r="AA4822">
        <v>0.4338049678861865</v>
      </c>
      <c r="AB4822" t="str">
        <f>HYPERLINK("Melting_Curves/meltCurve_Q8NBM4_4_UBAC2.pdf", "Melting_Curves/meltCurve_Q8NBM4_4_UBAC2.pdf")</f>
        <v>Melting_Curves/meltCurve_Q8NBM4_4_UBAC2.pdf</v>
      </c>
    </row>
    <row r="4823" spans="1:28" x14ac:dyDescent="0.25">
      <c r="A4823" t="s">
        <v>4827</v>
      </c>
      <c r="B4823">
        <v>0.99999676499088797</v>
      </c>
      <c r="C4823">
        <v>1.0711207675236301</v>
      </c>
      <c r="D4823">
        <v>1.07507300926037</v>
      </c>
      <c r="E4823">
        <v>1.0896233361200101</v>
      </c>
      <c r="F4823">
        <v>0.96938176627956596</v>
      </c>
      <c r="G4823">
        <v>0.802326223863702</v>
      </c>
      <c r="H4823">
        <v>0.39092259003785601</v>
      </c>
      <c r="I4823">
        <v>0.24591886819240899</v>
      </c>
      <c r="J4823">
        <v>0.20344705331090701</v>
      </c>
      <c r="K4823">
        <v>0.184000329529699</v>
      </c>
      <c r="L4823">
        <v>1920.9587151266301</v>
      </c>
      <c r="M4823">
        <v>32.678026054092399</v>
      </c>
      <c r="N4823">
        <v>59.638153655826699</v>
      </c>
      <c r="O4823">
        <v>58.565585135644</v>
      </c>
      <c r="P4823">
        <v>-0.113435219628849</v>
      </c>
      <c r="Q4823">
        <v>0.186808989907707</v>
      </c>
      <c r="R4823">
        <v>0.98644868383850404</v>
      </c>
      <c r="S4823" t="s">
        <v>11826</v>
      </c>
      <c r="T4823" t="s">
        <v>14004</v>
      </c>
      <c r="U4823" t="s">
        <v>14004</v>
      </c>
      <c r="V4823" t="s">
        <v>14004</v>
      </c>
      <c r="W4823" t="s">
        <v>18772</v>
      </c>
      <c r="X4823">
        <v>6</v>
      </c>
      <c r="Y4823" t="s">
        <v>25582</v>
      </c>
      <c r="Z4823" t="s">
        <v>32533</v>
      </c>
      <c r="AA4823">
        <v>0.70056356517017326</v>
      </c>
      <c r="AB4823" t="str">
        <f>HYPERLINK("Melting_Curves/meltCurve_Q8NBM8_PCYOX1L.pdf", "Melting_Curves/meltCurve_Q8NBM8_PCYOX1L.pdf")</f>
        <v>Melting_Curves/meltCurve_Q8NBM8_PCYOX1L.pdf</v>
      </c>
    </row>
    <row r="4824" spans="1:28" x14ac:dyDescent="0.25">
      <c r="A4824" t="s">
        <v>4828</v>
      </c>
      <c r="B4824">
        <v>0.99999676499088797</v>
      </c>
      <c r="C4824">
        <v>0.93825863284811895</v>
      </c>
      <c r="D4824">
        <v>0.99641286296736797</v>
      </c>
      <c r="E4824">
        <v>1.17442868958441</v>
      </c>
      <c r="F4824">
        <v>1.19186938667098</v>
      </c>
      <c r="G4824">
        <v>0.90603283135212198</v>
      </c>
      <c r="H4824">
        <v>0.71181306033609104</v>
      </c>
      <c r="I4824">
        <v>0.47515893674368398</v>
      </c>
      <c r="J4824">
        <v>0.37832025295273403</v>
      </c>
      <c r="K4824">
        <v>0.46247087488733502</v>
      </c>
      <c r="L4824">
        <v>2331.7991716113702</v>
      </c>
      <c r="M4824">
        <v>38.423957557745602</v>
      </c>
      <c r="N4824">
        <v>63.551170069549201</v>
      </c>
      <c r="O4824">
        <v>60.5224002493337</v>
      </c>
      <c r="P4824">
        <v>-9.3396298319183002E-2</v>
      </c>
      <c r="Q4824">
        <v>0.41155940265475999</v>
      </c>
      <c r="R4824">
        <v>0.90036021265116395</v>
      </c>
      <c r="S4824" t="s">
        <v>11827</v>
      </c>
      <c r="T4824" t="s">
        <v>14004</v>
      </c>
      <c r="U4824" t="s">
        <v>14004</v>
      </c>
      <c r="V4824" t="s">
        <v>14004</v>
      </c>
      <c r="W4824" t="s">
        <v>18773</v>
      </c>
      <c r="X4824">
        <v>8</v>
      </c>
      <c r="Y4824" t="s">
        <v>25583</v>
      </c>
      <c r="Z4824" t="s">
        <v>32534</v>
      </c>
      <c r="AA4824">
        <v>0.81972425775113378</v>
      </c>
      <c r="AB4824" t="str">
        <f>HYPERLINK("Melting_Curves/meltCurve_Q8NBN3_TMEM87A.pdf", "Melting_Curves/meltCurve_Q8NBN3_TMEM87A.pdf")</f>
        <v>Melting_Curves/meltCurve_Q8NBN3_TMEM87A.pdf</v>
      </c>
    </row>
    <row r="4825" spans="1:28" x14ac:dyDescent="0.25">
      <c r="A4825" t="s">
        <v>4829</v>
      </c>
      <c r="B4825">
        <v>0.99999676499088797</v>
      </c>
      <c r="C4825">
        <v>0.922817766207921</v>
      </c>
      <c r="D4825">
        <v>0.62743846870710196</v>
      </c>
      <c r="E4825">
        <v>0.46559707757679802</v>
      </c>
      <c r="F4825">
        <v>0.420777453812889</v>
      </c>
      <c r="G4825">
        <v>0.14077167175074801</v>
      </c>
      <c r="H4825">
        <v>0.113033627672555</v>
      </c>
      <c r="I4825">
        <v>0.13235534767065399</v>
      </c>
      <c r="J4825">
        <v>0.10533591421893999</v>
      </c>
      <c r="K4825">
        <v>0.17565209041557001</v>
      </c>
      <c r="L4825">
        <v>674.08831494338597</v>
      </c>
      <c r="M4825">
        <v>13.9404028722827</v>
      </c>
      <c r="N4825">
        <v>49.212608330734099</v>
      </c>
      <c r="O4825">
        <v>47.392555805747797</v>
      </c>
      <c r="P4825">
        <v>-6.5615682692385505E-2</v>
      </c>
      <c r="Q4825">
        <v>0.107837207143716</v>
      </c>
      <c r="R4825">
        <v>0.96664722843288398</v>
      </c>
      <c r="S4825" t="s">
        <v>11828</v>
      </c>
      <c r="T4825" t="s">
        <v>14004</v>
      </c>
      <c r="U4825" t="s">
        <v>14004</v>
      </c>
      <c r="V4825" t="s">
        <v>14004</v>
      </c>
      <c r="W4825" t="s">
        <v>18774</v>
      </c>
      <c r="X4825">
        <v>2</v>
      </c>
      <c r="Y4825" t="s">
        <v>25584</v>
      </c>
      <c r="Z4825" t="s">
        <v>32535</v>
      </c>
      <c r="AA4825">
        <v>0.38230426308871163</v>
      </c>
      <c r="AB4825" t="str">
        <f>HYPERLINK("Melting_Curves/meltCurve_Q8NBP0_TTC13.pdf", "Melting_Curves/meltCurve_Q8NBP0_TTC13.pdf")</f>
        <v>Melting_Curves/meltCurve_Q8NBP0_TTC13.pdf</v>
      </c>
    </row>
    <row r="4826" spans="1:28" x14ac:dyDescent="0.25">
      <c r="A4826" t="s">
        <v>4830</v>
      </c>
      <c r="B4826">
        <v>0.99999676499088797</v>
      </c>
      <c r="C4826">
        <v>0.94494735447450695</v>
      </c>
      <c r="D4826">
        <v>1.0046877706097701</v>
      </c>
      <c r="E4826">
        <v>0.57835611463143799</v>
      </c>
      <c r="F4826">
        <v>0.233367642538477</v>
      </c>
      <c r="G4826">
        <v>0.151768889286684</v>
      </c>
      <c r="H4826">
        <v>6.21695837943462E-2</v>
      </c>
      <c r="I4826">
        <v>7.8090967909318201E-2</v>
      </c>
      <c r="J4826">
        <v>6.4090535789106701E-2</v>
      </c>
      <c r="K4826">
        <v>5.9837059862488599E-2</v>
      </c>
      <c r="L4826">
        <v>1468.5449969166</v>
      </c>
      <c r="M4826">
        <v>29.3064044555456</v>
      </c>
      <c r="N4826">
        <v>50.395776748825</v>
      </c>
      <c r="O4826">
        <v>49.878449268179402</v>
      </c>
      <c r="P4826">
        <v>-0.13564629805687101</v>
      </c>
      <c r="Q4826">
        <v>7.6545976356572107E-2</v>
      </c>
      <c r="R4826">
        <v>0.99308237126820198</v>
      </c>
      <c r="S4826" t="s">
        <v>11829</v>
      </c>
      <c r="T4826" t="s">
        <v>14004</v>
      </c>
      <c r="U4826" t="s">
        <v>14004</v>
      </c>
      <c r="V4826" t="s">
        <v>14004</v>
      </c>
      <c r="W4826" t="s">
        <v>18775</v>
      </c>
      <c r="X4826">
        <v>10</v>
      </c>
      <c r="Y4826" t="s">
        <v>25585</v>
      </c>
      <c r="Z4826" t="s">
        <v>32536</v>
      </c>
      <c r="AA4826">
        <v>0.39374999247316211</v>
      </c>
      <c r="AB4826" t="str">
        <f>HYPERLINK("Melting_Curves/meltCurve_Q8NBU5_ATAD1.pdf", "Melting_Curves/meltCurve_Q8NBU5_ATAD1.pdf")</f>
        <v>Melting_Curves/meltCurve_Q8NBU5_ATAD1.pdf</v>
      </c>
    </row>
    <row r="4827" spans="1:28" x14ac:dyDescent="0.25">
      <c r="A4827" t="s">
        <v>4831</v>
      </c>
      <c r="B4827">
        <v>0.99999676499088797</v>
      </c>
      <c r="C4827">
        <v>0.97030703299719401</v>
      </c>
      <c r="D4827">
        <v>0.93730767200387799</v>
      </c>
      <c r="E4827">
        <v>0.82055518466030297</v>
      </c>
      <c r="F4827">
        <v>0.37298572616036701</v>
      </c>
      <c r="G4827">
        <v>0.20568032813067</v>
      </c>
      <c r="H4827">
        <v>9.2761157584198894E-2</v>
      </c>
      <c r="I4827">
        <v>9.2861376088856099E-2</v>
      </c>
      <c r="J4827">
        <v>7.7439664655775495E-2</v>
      </c>
      <c r="K4827">
        <v>7.0138872438122293E-2</v>
      </c>
      <c r="L4827">
        <v>1349.9770922963901</v>
      </c>
      <c r="M4827">
        <v>25.988591246583798</v>
      </c>
      <c r="N4827">
        <v>52.296104256243503</v>
      </c>
      <c r="O4827">
        <v>51.640331179122803</v>
      </c>
      <c r="P4827">
        <v>-0.115744760016345</v>
      </c>
      <c r="Q4827">
        <v>8.0053007251249503E-2</v>
      </c>
      <c r="R4827">
        <v>0.99681189223837696</v>
      </c>
      <c r="S4827" t="s">
        <v>11830</v>
      </c>
      <c r="T4827" t="s">
        <v>14004</v>
      </c>
      <c r="U4827" t="s">
        <v>14004</v>
      </c>
      <c r="V4827" t="s">
        <v>14004</v>
      </c>
      <c r="W4827" t="s">
        <v>18776</v>
      </c>
      <c r="X4827">
        <v>19</v>
      </c>
      <c r="Y4827" t="s">
        <v>25586</v>
      </c>
      <c r="Z4827" t="s">
        <v>32537</v>
      </c>
      <c r="AA4827">
        <v>0.45413171458579349</v>
      </c>
      <c r="AB4827" t="str">
        <f>HYPERLINK("Melting_Curves/meltCurve_Q8NBX0_SCCPDH.pdf", "Melting_Curves/meltCurve_Q8NBX0_SCCPDH.pdf")</f>
        <v>Melting_Curves/meltCurve_Q8NBX0_SCCPDH.pdf</v>
      </c>
    </row>
    <row r="4828" spans="1:28" x14ac:dyDescent="0.25">
      <c r="A4828" t="s">
        <v>4832</v>
      </c>
      <c r="B4828">
        <v>0.99999676499088797</v>
      </c>
      <c r="C4828">
        <v>0.90667156963372897</v>
      </c>
      <c r="D4828">
        <v>0.68333040226567299</v>
      </c>
      <c r="E4828">
        <v>0.50091841197515397</v>
      </c>
      <c r="F4828">
        <v>0.42340024848095298</v>
      </c>
      <c r="G4828">
        <v>0.33477796492367301</v>
      </c>
      <c r="H4828">
        <v>0.28507736459413502</v>
      </c>
      <c r="I4828">
        <v>0.32006067407276301</v>
      </c>
      <c r="J4828">
        <v>0.33249536601454199</v>
      </c>
      <c r="K4828">
        <v>0.299193290267669</v>
      </c>
      <c r="L4828">
        <v>831.21764408817103</v>
      </c>
      <c r="M4828">
        <v>17.728814146156999</v>
      </c>
      <c r="N4828">
        <v>49.583338235174601</v>
      </c>
      <c r="O4828">
        <v>46.300794680438997</v>
      </c>
      <c r="P4828">
        <v>-6.6105981413811105E-2</v>
      </c>
      <c r="Q4828">
        <v>0.30946314428328497</v>
      </c>
      <c r="R4828">
        <v>0.99110353667324802</v>
      </c>
      <c r="S4828" t="s">
        <v>11831</v>
      </c>
      <c r="T4828" t="s">
        <v>14004</v>
      </c>
      <c r="U4828" t="s">
        <v>14004</v>
      </c>
      <c r="V4828" t="s">
        <v>14004</v>
      </c>
      <c r="W4828" t="s">
        <v>18777</v>
      </c>
      <c r="X4828">
        <v>3</v>
      </c>
      <c r="Y4828" t="s">
        <v>25587</v>
      </c>
      <c r="Z4828" t="s">
        <v>32538</v>
      </c>
      <c r="AA4828">
        <v>0.48118988335036561</v>
      </c>
      <c r="AB4828" t="str">
        <f>HYPERLINK("Melting_Curves/meltCurve_Q8NBZ0_INO80E.pdf", "Melting_Curves/meltCurve_Q8NBZ0_INO80E.pdf")</f>
        <v>Melting_Curves/meltCurve_Q8NBZ0_INO80E.pdf</v>
      </c>
    </row>
    <row r="4829" spans="1:28" x14ac:dyDescent="0.25">
      <c r="A4829" t="s">
        <v>4833</v>
      </c>
      <c r="B4829">
        <v>0.99999676499088797</v>
      </c>
      <c r="C4829">
        <v>0.99696037375341795</v>
      </c>
      <c r="D4829">
        <v>1.0451754976049299</v>
      </c>
      <c r="E4829">
        <v>0.98413920979776404</v>
      </c>
      <c r="F4829">
        <v>0.96281596466559705</v>
      </c>
      <c r="G4829">
        <v>1.01331553920914</v>
      </c>
      <c r="H4829">
        <v>0.60834347629781704</v>
      </c>
      <c r="I4829">
        <v>0.20554924586951601</v>
      </c>
      <c r="J4829">
        <v>9.5860353426269598E-2</v>
      </c>
      <c r="K4829">
        <v>6.9712028125839098E-2</v>
      </c>
      <c r="L4829">
        <v>2775.0589333695302</v>
      </c>
      <c r="M4829">
        <v>45.292359318383298</v>
      </c>
      <c r="N4829">
        <v>61.494509413646298</v>
      </c>
      <c r="O4829">
        <v>61.150828392867098</v>
      </c>
      <c r="P4829">
        <v>-0.17105096031112399</v>
      </c>
      <c r="Q4829">
        <v>7.6233142662344794E-2</v>
      </c>
      <c r="R4829">
        <v>0.99649776502542098</v>
      </c>
      <c r="S4829" t="s">
        <v>11832</v>
      </c>
      <c r="T4829" t="s">
        <v>14004</v>
      </c>
      <c r="U4829" t="s">
        <v>14004</v>
      </c>
      <c r="V4829" t="s">
        <v>14004</v>
      </c>
      <c r="W4829" t="s">
        <v>18778</v>
      </c>
      <c r="X4829">
        <v>6</v>
      </c>
      <c r="Y4829" t="s">
        <v>25588</v>
      </c>
      <c r="Z4829" t="s">
        <v>32539</v>
      </c>
      <c r="AA4829">
        <v>0.73402587668644792</v>
      </c>
      <c r="AB4829" t="str">
        <f>HYPERLINK("Melting_Curves/meltCurve_Q8NBZ7_UXS1.pdf", "Melting_Curves/meltCurve_Q8NBZ7_UXS1.pdf")</f>
        <v>Melting_Curves/meltCurve_Q8NBZ7_UXS1.pdf</v>
      </c>
    </row>
    <row r="4830" spans="1:28" x14ac:dyDescent="0.25">
      <c r="A4830" t="s">
        <v>4834</v>
      </c>
      <c r="B4830">
        <v>0.99999676499088797</v>
      </c>
      <c r="C4830">
        <v>1.00938378958963</v>
      </c>
      <c r="D4830">
        <v>0.97050380339540199</v>
      </c>
      <c r="E4830">
        <v>0.88740576308069496</v>
      </c>
      <c r="F4830">
        <v>0.80542875759702204</v>
      </c>
      <c r="G4830">
        <v>0.72790386719139</v>
      </c>
      <c r="H4830">
        <v>0.54149774038888698</v>
      </c>
      <c r="I4830">
        <v>0.59343334466014097</v>
      </c>
      <c r="J4830">
        <v>0.57771631633118503</v>
      </c>
      <c r="K4830">
        <v>0.68673320700017304</v>
      </c>
      <c r="L4830">
        <v>1001.45980079132</v>
      </c>
      <c r="M4830">
        <v>18.901015314100299</v>
      </c>
      <c r="O4830">
        <v>52.402036288083202</v>
      </c>
      <c r="P4830">
        <v>-3.6442505381255298E-2</v>
      </c>
      <c r="Q4830">
        <v>0.59587702466861503</v>
      </c>
      <c r="R4830">
        <v>0.93492802774362704</v>
      </c>
      <c r="S4830" t="s">
        <v>11833</v>
      </c>
      <c r="T4830" t="s">
        <v>14004</v>
      </c>
      <c r="U4830" t="s">
        <v>14004</v>
      </c>
      <c r="V4830" t="s">
        <v>14004</v>
      </c>
      <c r="W4830" t="s">
        <v>18779</v>
      </c>
      <c r="X4830">
        <v>30</v>
      </c>
      <c r="Y4830" t="s">
        <v>25589</v>
      </c>
      <c r="Z4830" t="s">
        <v>32540</v>
      </c>
      <c r="AA4830">
        <v>0.77690045329511792</v>
      </c>
      <c r="AB4830" t="str">
        <f>HYPERLINK("Melting_Curves/meltCurve_Q8NC51_SERBP1.pdf", "Melting_Curves/meltCurve_Q8NC51_SERBP1.pdf")</f>
        <v>Melting_Curves/meltCurve_Q8NC51_SERBP1.pdf</v>
      </c>
    </row>
    <row r="4831" spans="1:28" x14ac:dyDescent="0.25">
      <c r="A4831" t="s">
        <v>4835</v>
      </c>
      <c r="B4831">
        <v>0.99999676499088797</v>
      </c>
      <c r="C4831">
        <v>1.5733699429199099</v>
      </c>
      <c r="D4831">
        <v>0.84043699907691405</v>
      </c>
      <c r="E4831">
        <v>0.26764930600391001</v>
      </c>
      <c r="F4831">
        <v>0.14603085468547</v>
      </c>
      <c r="G4831">
        <v>0.16996047345812099</v>
      </c>
      <c r="H4831">
        <v>0.121862163467404</v>
      </c>
      <c r="I4831">
        <v>0.41958289289742301</v>
      </c>
      <c r="J4831">
        <v>0.59939160530088698</v>
      </c>
      <c r="K4831">
        <v>0.12331171105538601</v>
      </c>
      <c r="L4831">
        <v>11559.0860628135</v>
      </c>
      <c r="M4831">
        <v>250</v>
      </c>
      <c r="N4831">
        <v>46.375612936539603</v>
      </c>
      <c r="O4831">
        <v>46.233363568821503</v>
      </c>
      <c r="P4831">
        <v>-0.99499276645638701</v>
      </c>
      <c r="Q4831">
        <v>0.26396985311205401</v>
      </c>
      <c r="R4831">
        <v>0.74854127191797903</v>
      </c>
      <c r="S4831" t="s">
        <v>11834</v>
      </c>
      <c r="T4831" t="s">
        <v>14004</v>
      </c>
      <c r="U4831" t="s">
        <v>14004</v>
      </c>
      <c r="V4831" t="s">
        <v>14004</v>
      </c>
      <c r="W4831" t="s">
        <v>18780</v>
      </c>
      <c r="X4831">
        <v>31</v>
      </c>
      <c r="Y4831" t="s">
        <v>25589</v>
      </c>
      <c r="Z4831" t="s">
        <v>32541</v>
      </c>
      <c r="AA4831">
        <v>0.41703415676629052</v>
      </c>
      <c r="AB4831" t="str">
        <f>HYPERLINK("Melting_Curves/meltCurve_Q8NC51_2_SERBP1.pdf", "Melting_Curves/meltCurve_Q8NC51_2_SERBP1.pdf")</f>
        <v>Melting_Curves/meltCurve_Q8NC51_2_SERBP1.pdf</v>
      </c>
    </row>
    <row r="4832" spans="1:28" x14ac:dyDescent="0.25">
      <c r="A4832" t="s">
        <v>4836</v>
      </c>
      <c r="B4832">
        <v>0.99999676499088797</v>
      </c>
      <c r="C4832">
        <v>0.92488443907418405</v>
      </c>
      <c r="D4832">
        <v>1.0118183283645601</v>
      </c>
      <c r="E4832">
        <v>1.03364421516362</v>
      </c>
      <c r="F4832">
        <v>0.85375794725564402</v>
      </c>
      <c r="G4832">
        <v>0.62562734875971704</v>
      </c>
      <c r="H4832">
        <v>0.545864963914372</v>
      </c>
      <c r="I4832">
        <v>0.41697556910591899</v>
      </c>
      <c r="J4832">
        <v>0.376779050251425</v>
      </c>
      <c r="K4832">
        <v>0.65362564624234298</v>
      </c>
      <c r="L4832">
        <v>1823.0452940886601</v>
      </c>
      <c r="M4832">
        <v>33.204206061096102</v>
      </c>
      <c r="N4832">
        <v>62.844218448377397</v>
      </c>
      <c r="O4832">
        <v>54.706048863968299</v>
      </c>
      <c r="P4832">
        <v>-7.7013069940112894E-2</v>
      </c>
      <c r="Q4832">
        <v>0.49246641844315697</v>
      </c>
      <c r="R4832">
        <v>0.90258377974699699</v>
      </c>
      <c r="S4832" t="s">
        <v>11835</v>
      </c>
      <c r="T4832" t="s">
        <v>14004</v>
      </c>
      <c r="U4832" t="s">
        <v>14004</v>
      </c>
      <c r="V4832" t="s">
        <v>14004</v>
      </c>
      <c r="W4832" t="s">
        <v>18781</v>
      </c>
      <c r="X4832">
        <v>1</v>
      </c>
      <c r="Y4832" t="s">
        <v>25590</v>
      </c>
      <c r="Z4832" t="s">
        <v>32542</v>
      </c>
      <c r="AA4832">
        <v>0.74737901655259931</v>
      </c>
      <c r="AB4832" t="str">
        <f>HYPERLINK("Melting_Curves/meltCurve_Q8NC54_KCT2.pdf", "Melting_Curves/meltCurve_Q8NC54_KCT2.pdf")</f>
        <v>Melting_Curves/meltCurve_Q8NC54_KCT2.pdf</v>
      </c>
    </row>
    <row r="4833" spans="1:28" x14ac:dyDescent="0.25">
      <c r="A4833" t="s">
        <v>4837</v>
      </c>
      <c r="B4833">
        <v>0.99999676499088797</v>
      </c>
      <c r="C4833">
        <v>0.94459473774000502</v>
      </c>
      <c r="D4833">
        <v>0.75129903113838004</v>
      </c>
      <c r="E4833">
        <v>0.41402768354577502</v>
      </c>
      <c r="F4833">
        <v>0.27881754032848899</v>
      </c>
      <c r="G4833">
        <v>0.20670356178834301</v>
      </c>
      <c r="H4833">
        <v>9.4191758771176901E-2</v>
      </c>
      <c r="I4833">
        <v>0.108256352826596</v>
      </c>
      <c r="J4833">
        <v>9.3331761432315197E-2</v>
      </c>
      <c r="K4833">
        <v>7.8842381268216397E-2</v>
      </c>
      <c r="L4833">
        <v>858.07568965330904</v>
      </c>
      <c r="M4833">
        <v>17.705881052518698</v>
      </c>
      <c r="N4833">
        <v>49.042415763147702</v>
      </c>
      <c r="O4833">
        <v>47.857237802576201</v>
      </c>
      <c r="P4833">
        <v>-8.37648809069092E-2</v>
      </c>
      <c r="Q4833">
        <v>9.4415071078890495E-2</v>
      </c>
      <c r="R4833">
        <v>0.99389646214838001</v>
      </c>
      <c r="S4833" t="s">
        <v>11836</v>
      </c>
      <c r="T4833" t="s">
        <v>14004</v>
      </c>
      <c r="U4833" t="s">
        <v>14004</v>
      </c>
      <c r="V4833" t="s">
        <v>14004</v>
      </c>
      <c r="W4833" t="s">
        <v>18782</v>
      </c>
      <c r="X4833">
        <v>8</v>
      </c>
      <c r="Y4833" t="s">
        <v>25591</v>
      </c>
      <c r="Z4833" t="s">
        <v>32543</v>
      </c>
      <c r="AA4833">
        <v>0.36628248406231229</v>
      </c>
      <c r="AB4833" t="str">
        <f>HYPERLINK("Melting_Curves/meltCurve_Q8NC56_LEMD2.pdf", "Melting_Curves/meltCurve_Q8NC56_LEMD2.pdf")</f>
        <v>Melting_Curves/meltCurve_Q8NC56_LEMD2.pdf</v>
      </c>
    </row>
    <row r="4834" spans="1:28" x14ac:dyDescent="0.25">
      <c r="A4834" t="s">
        <v>4838</v>
      </c>
      <c r="B4834">
        <v>0.99999676499088797</v>
      </c>
      <c r="C4834">
        <v>1.0058473013162299</v>
      </c>
      <c r="D4834">
        <v>0.92624339722291105</v>
      </c>
      <c r="E4834">
        <v>0.53350841512334302</v>
      </c>
      <c r="F4834">
        <v>0.21035548612267099</v>
      </c>
      <c r="G4834">
        <v>0.128071477825978</v>
      </c>
      <c r="H4834">
        <v>7.6154175364784193E-2</v>
      </c>
      <c r="I4834">
        <v>7.4544743099316205E-2</v>
      </c>
      <c r="J4834">
        <v>6.4480251638765307E-2</v>
      </c>
      <c r="K4834">
        <v>5.3912108565223098E-2</v>
      </c>
      <c r="L4834">
        <v>1365.3882030657701</v>
      </c>
      <c r="M4834">
        <v>27.476398877028899</v>
      </c>
      <c r="N4834">
        <v>49.976055452237503</v>
      </c>
      <c r="O4834">
        <v>49.432138251746998</v>
      </c>
      <c r="P4834">
        <v>-0.128952469270985</v>
      </c>
      <c r="Q4834">
        <v>7.2027248238706501E-2</v>
      </c>
      <c r="R4834">
        <v>0.99868416449726505</v>
      </c>
      <c r="S4834" t="s">
        <v>11837</v>
      </c>
      <c r="T4834" t="s">
        <v>14004</v>
      </c>
      <c r="U4834" t="s">
        <v>14004</v>
      </c>
      <c r="V4834" t="s">
        <v>14004</v>
      </c>
      <c r="W4834" t="s">
        <v>18783</v>
      </c>
      <c r="X4834">
        <v>10</v>
      </c>
      <c r="Y4834" t="s">
        <v>25592</v>
      </c>
      <c r="Z4834" t="s">
        <v>32544</v>
      </c>
      <c r="AA4834">
        <v>0.3786866094315075</v>
      </c>
      <c r="AB4834" t="str">
        <f>HYPERLINK("Melting_Curves/meltCurve_Q8NC60_NOA1.pdf", "Melting_Curves/meltCurve_Q8NC60_NOA1.pdf")</f>
        <v>Melting_Curves/meltCurve_Q8NC60_NOA1.pdf</v>
      </c>
    </row>
    <row r="4835" spans="1:28" x14ac:dyDescent="0.25">
      <c r="A4835" t="s">
        <v>4839</v>
      </c>
      <c r="B4835">
        <v>0.99999676499088797</v>
      </c>
      <c r="C4835">
        <v>0.95259694853034205</v>
      </c>
      <c r="D4835">
        <v>0.98669952530342697</v>
      </c>
      <c r="E4835">
        <v>0.73920566987146197</v>
      </c>
      <c r="F4835">
        <v>0.38864730657537799</v>
      </c>
      <c r="G4835">
        <v>0.24017266183733799</v>
      </c>
      <c r="H4835">
        <v>0.20479718416666201</v>
      </c>
      <c r="I4835">
        <v>0.15767913756393601</v>
      </c>
      <c r="J4835">
        <v>0.125962491726375</v>
      </c>
      <c r="K4835">
        <v>9.91704013890366E-2</v>
      </c>
      <c r="L4835">
        <v>1201.69840044393</v>
      </c>
      <c r="M4835">
        <v>23.380790392974099</v>
      </c>
      <c r="N4835">
        <v>52.120581667770701</v>
      </c>
      <c r="O4835">
        <v>51.025294775998702</v>
      </c>
      <c r="P4835">
        <v>-9.8677405142977598E-2</v>
      </c>
      <c r="Q4835">
        <v>0.138617151122509</v>
      </c>
      <c r="R4835">
        <v>0.99425421981230599</v>
      </c>
      <c r="S4835" t="s">
        <v>11838</v>
      </c>
      <c r="T4835" t="s">
        <v>14004</v>
      </c>
      <c r="U4835" t="s">
        <v>14004</v>
      </c>
      <c r="V4835" t="s">
        <v>14004</v>
      </c>
      <c r="W4835" t="s">
        <v>18784</v>
      </c>
      <c r="X4835">
        <v>2</v>
      </c>
      <c r="Y4835" t="s">
        <v>25593</v>
      </c>
      <c r="Z4835" t="s">
        <v>32545</v>
      </c>
      <c r="AA4835">
        <v>0.47474965815222331</v>
      </c>
      <c r="AB4835" t="str">
        <f>HYPERLINK("Melting_Curves/meltCurve_Q8NC96_NECAP1.pdf", "Melting_Curves/meltCurve_Q8NC96_NECAP1.pdf")</f>
        <v>Melting_Curves/meltCurve_Q8NC96_NECAP1.pdf</v>
      </c>
    </row>
    <row r="4836" spans="1:28" x14ac:dyDescent="0.25">
      <c r="A4836" t="s">
        <v>4840</v>
      </c>
      <c r="B4836">
        <v>0.99999676499088797</v>
      </c>
      <c r="C4836">
        <v>1.0132667388399701</v>
      </c>
      <c r="D4836">
        <v>0.96986345669665297</v>
      </c>
      <c r="E4836">
        <v>1.1155997195893099</v>
      </c>
      <c r="F4836">
        <v>0.41830464966907899</v>
      </c>
      <c r="G4836">
        <v>0.25223424449125598</v>
      </c>
      <c r="H4836">
        <v>9.3393479632196505E-2</v>
      </c>
      <c r="I4836">
        <v>7.7062927731858105E-2</v>
      </c>
      <c r="J4836">
        <v>8.2255816292580899E-2</v>
      </c>
      <c r="K4836">
        <v>6.64812018567109E-2</v>
      </c>
      <c r="L4836">
        <v>7264.0304861914101</v>
      </c>
      <c r="M4836">
        <v>137.19016040948401</v>
      </c>
      <c r="N4836">
        <v>53.048954369346497</v>
      </c>
      <c r="O4836">
        <v>52.937381903431302</v>
      </c>
      <c r="P4836">
        <v>-0.57386416157981401</v>
      </c>
      <c r="Q4836">
        <v>0.11425534099764099</v>
      </c>
      <c r="R4836">
        <v>0.97954133179802105</v>
      </c>
      <c r="S4836" t="s">
        <v>11839</v>
      </c>
      <c r="T4836" t="s">
        <v>14004</v>
      </c>
      <c r="U4836" t="s">
        <v>14004</v>
      </c>
      <c r="V4836" t="s">
        <v>14004</v>
      </c>
      <c r="W4836" t="s">
        <v>18785</v>
      </c>
      <c r="X4836">
        <v>11</v>
      </c>
      <c r="Y4836" t="s">
        <v>25594</v>
      </c>
      <c r="Z4836" t="s">
        <v>32546</v>
      </c>
      <c r="AA4836">
        <v>0.49683467658423353</v>
      </c>
      <c r="AB4836" t="str">
        <f>HYPERLINK("Melting_Curves/meltCurve_Q8NCA5_2_FAM98A.pdf", "Melting_Curves/meltCurve_Q8NCA5_2_FAM98A.pdf")</f>
        <v>Melting_Curves/meltCurve_Q8NCA5_2_FAM98A.pdf</v>
      </c>
    </row>
    <row r="4837" spans="1:28" x14ac:dyDescent="0.25">
      <c r="A4837" t="s">
        <v>4841</v>
      </c>
      <c r="B4837">
        <v>0.99999676499088797</v>
      </c>
      <c r="C4837">
        <v>0.92452392718020204</v>
      </c>
      <c r="D4837">
        <v>1.05447161288916</v>
      </c>
      <c r="E4837">
        <v>1.0621082621518101</v>
      </c>
      <c r="F4837">
        <v>1.0335683989717499</v>
      </c>
      <c r="G4837">
        <v>0.83191612195583398</v>
      </c>
      <c r="H4837">
        <v>0.62061148615450201</v>
      </c>
      <c r="I4837">
        <v>0.61873660893901905</v>
      </c>
      <c r="J4837">
        <v>0.52824870512825906</v>
      </c>
      <c r="K4837">
        <v>0.56622707465060296</v>
      </c>
      <c r="L4837">
        <v>2441.4932624909702</v>
      </c>
      <c r="M4837">
        <v>42.4254446203783</v>
      </c>
      <c r="O4837">
        <v>57.4204565340006</v>
      </c>
      <c r="P4837">
        <v>-7.9323545323795402E-2</v>
      </c>
      <c r="Q4837">
        <v>0.57056100988984304</v>
      </c>
      <c r="R4837">
        <v>0.95680317153745997</v>
      </c>
      <c r="S4837" t="s">
        <v>11840</v>
      </c>
      <c r="T4837" t="s">
        <v>14004</v>
      </c>
      <c r="U4837" t="s">
        <v>14004</v>
      </c>
      <c r="V4837" t="s">
        <v>14004</v>
      </c>
      <c r="W4837" t="s">
        <v>18786</v>
      </c>
      <c r="X4837">
        <v>6</v>
      </c>
      <c r="Y4837" t="s">
        <v>25595</v>
      </c>
      <c r="Z4837" t="s">
        <v>32547</v>
      </c>
      <c r="AA4837">
        <v>0.82325343316668986</v>
      </c>
      <c r="AB4837" t="str">
        <f>HYPERLINK("Melting_Curves/meltCurve_Q8NCC3_PLA2G15.pdf", "Melting_Curves/meltCurve_Q8NCC3_PLA2G15.pdf")</f>
        <v>Melting_Curves/meltCurve_Q8NCC3_PLA2G15.pdf</v>
      </c>
    </row>
    <row r="4838" spans="1:28" x14ac:dyDescent="0.25">
      <c r="A4838" t="s">
        <v>4842</v>
      </c>
      <c r="B4838">
        <v>0.99999676499088797</v>
      </c>
      <c r="C4838">
        <v>0.88481296417742605</v>
      </c>
      <c r="D4838">
        <v>1.07169845269997</v>
      </c>
      <c r="E4838">
        <v>0.76106869044931003</v>
      </c>
      <c r="F4838">
        <v>0.34534161672411701</v>
      </c>
      <c r="G4838">
        <v>0.27630013303391798</v>
      </c>
      <c r="H4838">
        <v>8.35717832710174E-2</v>
      </c>
      <c r="I4838">
        <v>0.10235898589719</v>
      </c>
      <c r="J4838">
        <v>9.7211595958822006E-2</v>
      </c>
      <c r="K4838">
        <v>6.10885602479041E-2</v>
      </c>
      <c r="L4838">
        <v>1311.09253398026</v>
      </c>
      <c r="M4838">
        <v>25.364227344587899</v>
      </c>
      <c r="N4838">
        <v>52.1177660668071</v>
      </c>
      <c r="O4838">
        <v>51.372520231836901</v>
      </c>
      <c r="P4838">
        <v>-0.111850291715204</v>
      </c>
      <c r="Q4838">
        <v>9.3848463932619003E-2</v>
      </c>
      <c r="R4838">
        <v>0.97539851844127201</v>
      </c>
      <c r="S4838" t="s">
        <v>11841</v>
      </c>
      <c r="T4838" t="s">
        <v>14004</v>
      </c>
      <c r="U4838" t="s">
        <v>14004</v>
      </c>
      <c r="V4838" t="s">
        <v>14004</v>
      </c>
      <c r="W4838" t="s">
        <v>18787</v>
      </c>
      <c r="X4838">
        <v>2</v>
      </c>
      <c r="Y4838" t="s">
        <v>25596</v>
      </c>
      <c r="Z4838" t="s">
        <v>32548</v>
      </c>
      <c r="AA4838">
        <v>0.45498244919671132</v>
      </c>
      <c r="AB4838" t="str">
        <f>HYPERLINK("Melting_Curves/meltCurve_Q8NCE0_2_TSEN2.pdf", "Melting_Curves/meltCurve_Q8NCE0_2_TSEN2.pdf")</f>
        <v>Melting_Curves/meltCurve_Q8NCE0_2_TSEN2.pdf</v>
      </c>
    </row>
    <row r="4839" spans="1:28" x14ac:dyDescent="0.25">
      <c r="A4839" t="s">
        <v>4843</v>
      </c>
      <c r="B4839">
        <v>0.99999676499088797</v>
      </c>
      <c r="C4839">
        <v>0.93506564879408804</v>
      </c>
      <c r="D4839">
        <v>0.95060146746260898</v>
      </c>
      <c r="E4839">
        <v>0.60975398365115197</v>
      </c>
      <c r="F4839">
        <v>0.23509462567248199</v>
      </c>
      <c r="G4839">
        <v>0.14390632198804501</v>
      </c>
      <c r="H4839">
        <v>7.5863606638033404E-2</v>
      </c>
      <c r="I4839">
        <v>6.2934898228069996E-2</v>
      </c>
      <c r="J4839">
        <v>6.7494312356122493E-2</v>
      </c>
      <c r="K4839">
        <v>3.9653822083174202E-2</v>
      </c>
      <c r="L4839">
        <v>1294.26843341426</v>
      </c>
      <c r="M4839">
        <v>25.734482279501101</v>
      </c>
      <c r="N4839">
        <v>50.5572715230565</v>
      </c>
      <c r="O4839">
        <v>49.992420945534697</v>
      </c>
      <c r="P4839">
        <v>-0.120599155032202</v>
      </c>
      <c r="Q4839">
        <v>6.2896080885041603E-2</v>
      </c>
      <c r="R4839">
        <v>0.99632515028311397</v>
      </c>
      <c r="S4839" t="s">
        <v>11842</v>
      </c>
      <c r="T4839" t="s">
        <v>14004</v>
      </c>
      <c r="U4839" t="s">
        <v>14004</v>
      </c>
      <c r="V4839" t="s">
        <v>14004</v>
      </c>
      <c r="W4839" t="s">
        <v>18788</v>
      </c>
      <c r="X4839">
        <v>5</v>
      </c>
      <c r="Y4839" t="s">
        <v>25597</v>
      </c>
      <c r="Z4839" t="s">
        <v>32549</v>
      </c>
      <c r="AA4839">
        <v>0.39234978984346802</v>
      </c>
      <c r="AB4839" t="str">
        <f>HYPERLINK("Melting_Curves/meltCurve_Q8NCE2_2_MTMR14.pdf", "Melting_Curves/meltCurve_Q8NCE2_2_MTMR14.pdf")</f>
        <v>Melting_Curves/meltCurve_Q8NCE2_2_MTMR14.pdf</v>
      </c>
    </row>
    <row r="4840" spans="1:28" x14ac:dyDescent="0.25">
      <c r="A4840" t="s">
        <v>4844</v>
      </c>
      <c r="B4840">
        <v>0.99999676499088797</v>
      </c>
      <c r="C4840">
        <v>0.92036392719374305</v>
      </c>
      <c r="D4840">
        <v>0.85194083260031095</v>
      </c>
      <c r="E4840">
        <v>0.57246488373233995</v>
      </c>
      <c r="F4840">
        <v>0.32420307700156198</v>
      </c>
      <c r="G4840">
        <v>0.207633496286172</v>
      </c>
      <c r="H4840">
        <v>0.11298352706671901</v>
      </c>
      <c r="I4840">
        <v>9.6245436621761701E-2</v>
      </c>
      <c r="J4840">
        <v>0.10818455670890401</v>
      </c>
      <c r="K4840">
        <v>0.133457633429376</v>
      </c>
      <c r="L4840">
        <v>882.39590575331999</v>
      </c>
      <c r="M4840">
        <v>17.6731266000311</v>
      </c>
      <c r="N4840">
        <v>50.554804207790802</v>
      </c>
      <c r="O4840">
        <v>49.302583062673101</v>
      </c>
      <c r="P4840">
        <v>-8.0811437104282194E-2</v>
      </c>
      <c r="Q4840">
        <v>9.8291624655927806E-2</v>
      </c>
      <c r="R4840">
        <v>0.99724552224540797</v>
      </c>
      <c r="S4840" t="s">
        <v>11843</v>
      </c>
      <c r="T4840" t="s">
        <v>14004</v>
      </c>
      <c r="U4840" t="s">
        <v>14004</v>
      </c>
      <c r="V4840" t="s">
        <v>14004</v>
      </c>
      <c r="W4840" t="s">
        <v>18789</v>
      </c>
      <c r="X4840">
        <v>4</v>
      </c>
      <c r="Y4840" t="s">
        <v>25598</v>
      </c>
      <c r="Z4840" t="s">
        <v>32550</v>
      </c>
      <c r="AA4840">
        <v>0.41265476884623509</v>
      </c>
      <c r="AB4840" t="str">
        <f>HYPERLINK("Melting_Curves/meltCurve_Q8NCF5_NFATC2IP.pdf", "Melting_Curves/meltCurve_Q8NCF5_NFATC2IP.pdf")</f>
        <v>Melting_Curves/meltCurve_Q8NCF5_NFATC2IP.pdf</v>
      </c>
    </row>
    <row r="4841" spans="1:28" x14ac:dyDescent="0.25">
      <c r="A4841" t="s">
        <v>4845</v>
      </c>
      <c r="B4841">
        <v>0.99999676499088797</v>
      </c>
      <c r="C4841">
        <v>1.0840512482470099</v>
      </c>
      <c r="D4841">
        <v>0.97924530413424504</v>
      </c>
      <c r="E4841">
        <v>1.1841939996534401</v>
      </c>
      <c r="F4841">
        <v>1.03496319573505</v>
      </c>
      <c r="G4841">
        <v>0.46059573083187899</v>
      </c>
      <c r="H4841">
        <v>0.103106329247715</v>
      </c>
      <c r="I4841">
        <v>8.8512659481371603E-2</v>
      </c>
      <c r="J4841">
        <v>6.6973920920749705E-2</v>
      </c>
      <c r="K4841">
        <v>4.4398568405241402E-2</v>
      </c>
      <c r="L4841">
        <v>14180.8233470253</v>
      </c>
      <c r="M4841">
        <v>250</v>
      </c>
      <c r="N4841">
        <v>56.760604659654199</v>
      </c>
      <c r="O4841">
        <v>56.719663504278799</v>
      </c>
      <c r="P4841">
        <v>-1.01844326202656</v>
      </c>
      <c r="Q4841">
        <v>7.5747855658342994E-2</v>
      </c>
      <c r="R4841">
        <v>0.97961938833747997</v>
      </c>
      <c r="S4841" t="s">
        <v>11844</v>
      </c>
      <c r="T4841" t="s">
        <v>14004</v>
      </c>
      <c r="U4841" t="s">
        <v>14004</v>
      </c>
      <c r="V4841" t="s">
        <v>14004</v>
      </c>
      <c r="W4841" t="s">
        <v>18790</v>
      </c>
      <c r="X4841">
        <v>4</v>
      </c>
      <c r="Y4841" t="s">
        <v>25599</v>
      </c>
      <c r="Z4841" t="s">
        <v>32551</v>
      </c>
      <c r="AA4841">
        <v>0.59105785605048111</v>
      </c>
      <c r="AB4841" t="str">
        <f>HYPERLINK("Melting_Curves/meltCurve_Q8NCG7_4_DAGLB.pdf", "Melting_Curves/meltCurve_Q8NCG7_4_DAGLB.pdf")</f>
        <v>Melting_Curves/meltCurve_Q8NCG7_4_DAGLB.pdf</v>
      </c>
    </row>
    <row r="4842" spans="1:28" x14ac:dyDescent="0.25">
      <c r="A4842" t="s">
        <v>4846</v>
      </c>
      <c r="B4842">
        <v>0.99999676499088797</v>
      </c>
      <c r="C4842">
        <v>0.92750193688709204</v>
      </c>
      <c r="D4842">
        <v>0.79861882862403899</v>
      </c>
      <c r="E4842">
        <v>0.575879619607087</v>
      </c>
      <c r="F4842">
        <v>0.36997895335429798</v>
      </c>
      <c r="G4842">
        <v>0.26705023517064402</v>
      </c>
      <c r="H4842">
        <v>0.15903639878369999</v>
      </c>
      <c r="I4842">
        <v>0.23453480163226301</v>
      </c>
      <c r="J4842">
        <v>0.251076198133871</v>
      </c>
      <c r="K4842">
        <v>0.29853646826651298</v>
      </c>
      <c r="L4842">
        <v>911.44201615902102</v>
      </c>
      <c r="M4842">
        <v>18.6804600219604</v>
      </c>
      <c r="N4842">
        <v>50.432757309063597</v>
      </c>
      <c r="O4842">
        <v>48.242375737353299</v>
      </c>
      <c r="P4842">
        <v>-7.4757020877289901E-2</v>
      </c>
      <c r="Q4842">
        <v>0.227791474923214</v>
      </c>
      <c r="R4842">
        <v>0.98432040777737895</v>
      </c>
      <c r="S4842" t="s">
        <v>11845</v>
      </c>
      <c r="T4842" t="s">
        <v>14004</v>
      </c>
      <c r="U4842" t="s">
        <v>14004</v>
      </c>
      <c r="V4842" t="s">
        <v>14004</v>
      </c>
      <c r="W4842" t="s">
        <v>18791</v>
      </c>
      <c r="X4842">
        <v>12</v>
      </c>
      <c r="Y4842" t="s">
        <v>25600</v>
      </c>
      <c r="Z4842" t="s">
        <v>32552</v>
      </c>
      <c r="AA4842">
        <v>0.46653935580359163</v>
      </c>
      <c r="AB4842" t="str">
        <f>HYPERLINK("Melting_Curves/meltCurve_Q8NCN4_RNF169.pdf", "Melting_Curves/meltCurve_Q8NCN4_RNF169.pdf")</f>
        <v>Melting_Curves/meltCurve_Q8NCN4_RNF169.pdf</v>
      </c>
    </row>
    <row r="4843" spans="1:28" x14ac:dyDescent="0.25">
      <c r="A4843" t="s">
        <v>4847</v>
      </c>
      <c r="B4843">
        <v>0.99999676499088797</v>
      </c>
      <c r="C4843">
        <v>1.0278206182943599</v>
      </c>
      <c r="D4843">
        <v>0.99112297067788802</v>
      </c>
      <c r="E4843">
        <v>1.0502482435918901</v>
      </c>
      <c r="F4843">
        <v>0.71228842937069303</v>
      </c>
      <c r="G4843">
        <v>0.23625977430939901</v>
      </c>
      <c r="H4843">
        <v>9.6597134712219299E-2</v>
      </c>
      <c r="I4843">
        <v>0.10381569241954</v>
      </c>
      <c r="J4843">
        <v>9.8532444542423894E-2</v>
      </c>
      <c r="K4843">
        <v>6.5425237873700803E-2</v>
      </c>
      <c r="L4843">
        <v>2192.2884343331898</v>
      </c>
      <c r="M4843">
        <v>40.360808347727499</v>
      </c>
      <c r="N4843">
        <v>54.584241679006098</v>
      </c>
      <c r="O4843">
        <v>54.184427968119202</v>
      </c>
      <c r="P4843">
        <v>-0.169538458611148</v>
      </c>
      <c r="Q4843">
        <v>8.9579627588766406E-2</v>
      </c>
      <c r="R4843">
        <v>0.99625566996763004</v>
      </c>
      <c r="S4843" t="s">
        <v>11846</v>
      </c>
      <c r="T4843" t="s">
        <v>14004</v>
      </c>
      <c r="U4843" t="s">
        <v>14004</v>
      </c>
      <c r="V4843" t="s">
        <v>14004</v>
      </c>
      <c r="W4843" t="s">
        <v>18792</v>
      </c>
      <c r="X4843">
        <v>17</v>
      </c>
      <c r="Y4843" t="s">
        <v>25601</v>
      </c>
      <c r="Z4843" t="s">
        <v>32553</v>
      </c>
      <c r="AA4843">
        <v>0.52741964715799572</v>
      </c>
      <c r="AB4843" t="str">
        <f>HYPERLINK("Melting_Curves/meltCurve_Q8NCN5_PDPR.pdf", "Melting_Curves/meltCurve_Q8NCN5_PDPR.pdf")</f>
        <v>Melting_Curves/meltCurve_Q8NCN5_PDPR.pdf</v>
      </c>
    </row>
    <row r="4844" spans="1:28" x14ac:dyDescent="0.25">
      <c r="A4844" t="s">
        <v>4848</v>
      </c>
      <c r="B4844">
        <v>0.99999676499088797</v>
      </c>
      <c r="C4844">
        <v>0.965747824366612</v>
      </c>
      <c r="D4844">
        <v>1.05433553764368</v>
      </c>
      <c r="E4844">
        <v>1.0025100540845999</v>
      </c>
      <c r="F4844">
        <v>0.84790664062529897</v>
      </c>
      <c r="G4844">
        <v>0.89578032406896602</v>
      </c>
      <c r="H4844">
        <v>0.45710077786514602</v>
      </c>
      <c r="I4844">
        <v>0.47497914596630197</v>
      </c>
      <c r="J4844">
        <v>0.44515912083189901</v>
      </c>
      <c r="K4844">
        <v>0.26275126743821398</v>
      </c>
      <c r="L4844">
        <v>1222.85108784662</v>
      </c>
      <c r="M4844">
        <v>20.665460248574501</v>
      </c>
      <c r="N4844">
        <v>62.051011277972002</v>
      </c>
      <c r="O4844">
        <v>58.627924589395597</v>
      </c>
      <c r="P4844">
        <v>-6.09620683322422E-2</v>
      </c>
      <c r="Q4844">
        <v>0.308222041134108</v>
      </c>
      <c r="R4844">
        <v>0.93936723172223202</v>
      </c>
      <c r="S4844" t="s">
        <v>11847</v>
      </c>
      <c r="T4844" t="s">
        <v>14004</v>
      </c>
      <c r="U4844" t="s">
        <v>14004</v>
      </c>
      <c r="V4844" t="s">
        <v>14004</v>
      </c>
      <c r="W4844" t="s">
        <v>18793</v>
      </c>
      <c r="X4844">
        <v>3</v>
      </c>
      <c r="Y4844" t="s">
        <v>25602</v>
      </c>
      <c r="Z4844" t="s">
        <v>32554</v>
      </c>
      <c r="AA4844">
        <v>0.75700197709797179</v>
      </c>
      <c r="AB4844" t="str">
        <f>HYPERLINK("Melting_Curves/meltCurve_Q8NCR0_B3GALNT2.pdf", "Melting_Curves/meltCurve_Q8NCR0_B3GALNT2.pdf")</f>
        <v>Melting_Curves/meltCurve_Q8NCR0_B3GALNT2.pdf</v>
      </c>
    </row>
    <row r="4845" spans="1:28" x14ac:dyDescent="0.25">
      <c r="A4845" t="s">
        <v>4849</v>
      </c>
      <c r="B4845">
        <v>0.99999676499088797</v>
      </c>
      <c r="C4845">
        <v>1.0621037551521899</v>
      </c>
      <c r="D4845">
        <v>1.0838653057566701</v>
      </c>
      <c r="E4845">
        <v>1.1135720504240101</v>
      </c>
      <c r="F4845">
        <v>1.0556451782189</v>
      </c>
      <c r="G4845">
        <v>0.98860243341521403</v>
      </c>
      <c r="H4845">
        <v>0.67535354161073302</v>
      </c>
      <c r="I4845">
        <v>0.50849995920406299</v>
      </c>
      <c r="J4845">
        <v>0.26926238653467799</v>
      </c>
      <c r="K4845">
        <v>0.20312193271962101</v>
      </c>
      <c r="L4845">
        <v>1603.5612226969999</v>
      </c>
      <c r="M4845">
        <v>25.604190372115401</v>
      </c>
      <c r="N4845">
        <v>63.5344790170859</v>
      </c>
      <c r="O4845">
        <v>62.250556742682399</v>
      </c>
      <c r="P4845">
        <v>-8.7107087362172195E-2</v>
      </c>
      <c r="Q4845">
        <v>0.15288875344944999</v>
      </c>
      <c r="R4845">
        <v>0.96826409000226299</v>
      </c>
      <c r="S4845" t="s">
        <v>11848</v>
      </c>
      <c r="T4845" t="s">
        <v>14004</v>
      </c>
      <c r="U4845" t="s">
        <v>14004</v>
      </c>
      <c r="V4845" t="s">
        <v>14004</v>
      </c>
      <c r="W4845" t="s">
        <v>18794</v>
      </c>
      <c r="X4845">
        <v>15</v>
      </c>
      <c r="Y4845" t="s">
        <v>25603</v>
      </c>
      <c r="Z4845" t="s">
        <v>32555</v>
      </c>
      <c r="AA4845">
        <v>0.79471825827751863</v>
      </c>
      <c r="AB4845" t="str">
        <f>HYPERLINK("Melting_Curves/meltCurve_Q8NCW5_APOA1BP.pdf", "Melting_Curves/meltCurve_Q8NCW5_APOA1BP.pdf")</f>
        <v>Melting_Curves/meltCurve_Q8NCW5_APOA1BP.pdf</v>
      </c>
    </row>
    <row r="4846" spans="1:28" x14ac:dyDescent="0.25">
      <c r="A4846" t="s">
        <v>4850</v>
      </c>
      <c r="B4846">
        <v>0.99999676499088797</v>
      </c>
      <c r="C4846">
        <v>1.0412852642757999</v>
      </c>
      <c r="D4846">
        <v>0.89242079591204404</v>
      </c>
      <c r="E4846">
        <v>0.358629072479553</v>
      </c>
      <c r="F4846">
        <v>0.32320336728534799</v>
      </c>
      <c r="G4846">
        <v>0.15911015427179201</v>
      </c>
      <c r="H4846">
        <v>8.2720430585177404E-2</v>
      </c>
      <c r="I4846">
        <v>9.2247103112653495E-2</v>
      </c>
      <c r="J4846">
        <v>8.6142679466185396E-2</v>
      </c>
      <c r="K4846">
        <v>7.2378976269476397E-2</v>
      </c>
      <c r="L4846">
        <v>1311.0896500122701</v>
      </c>
      <c r="M4846">
        <v>26.9424565459124</v>
      </c>
      <c r="N4846">
        <v>49.110898417741097</v>
      </c>
      <c r="O4846">
        <v>48.396890165301102</v>
      </c>
      <c r="P4846">
        <v>-0.12400332842584801</v>
      </c>
      <c r="Q4846">
        <v>0.109017645474243</v>
      </c>
      <c r="R4846">
        <v>0.976061609198978</v>
      </c>
      <c r="S4846" t="s">
        <v>11849</v>
      </c>
      <c r="T4846" t="s">
        <v>14004</v>
      </c>
      <c r="U4846" t="s">
        <v>14004</v>
      </c>
      <c r="V4846" t="s">
        <v>14004</v>
      </c>
      <c r="W4846" t="s">
        <v>18795</v>
      </c>
      <c r="X4846">
        <v>6</v>
      </c>
      <c r="Y4846" t="s">
        <v>25604</v>
      </c>
      <c r="Z4846" t="s">
        <v>32556</v>
      </c>
      <c r="AA4846">
        <v>0.373037922225324</v>
      </c>
      <c r="AB4846" t="str">
        <f>HYPERLINK("Melting_Curves/meltCurve_Q8ND04_SMG8.pdf", "Melting_Curves/meltCurve_Q8ND04_SMG8.pdf")</f>
        <v>Melting_Curves/meltCurve_Q8ND04_SMG8.pdf</v>
      </c>
    </row>
    <row r="4847" spans="1:28" x14ac:dyDescent="0.25">
      <c r="A4847" t="s">
        <v>4851</v>
      </c>
      <c r="B4847">
        <v>0.99999676499088797</v>
      </c>
      <c r="C4847">
        <v>0.91509547722951101</v>
      </c>
      <c r="D4847">
        <v>0.67049276200384</v>
      </c>
      <c r="E4847">
        <v>0.340525185668896</v>
      </c>
      <c r="F4847">
        <v>0.23880287605909201</v>
      </c>
      <c r="G4847">
        <v>0.164504133224813</v>
      </c>
      <c r="H4847">
        <v>0.117659469818896</v>
      </c>
      <c r="I4847">
        <v>9.4483246971102594E-2</v>
      </c>
      <c r="J4847">
        <v>8.5985584330665596E-2</v>
      </c>
      <c r="K4847">
        <v>0.101651706216355</v>
      </c>
      <c r="L4847">
        <v>924.18993992667095</v>
      </c>
      <c r="M4847">
        <v>19.5161179712733</v>
      </c>
      <c r="N4847">
        <v>47.934692341853399</v>
      </c>
      <c r="O4847">
        <v>46.866421170157103</v>
      </c>
      <c r="P4847">
        <v>-9.3168493774850106E-2</v>
      </c>
      <c r="Q4847">
        <v>0.105084873135319</v>
      </c>
      <c r="R4847">
        <v>0.99584512252397805</v>
      </c>
      <c r="S4847" t="s">
        <v>11850</v>
      </c>
      <c r="T4847" t="s">
        <v>14004</v>
      </c>
      <c r="U4847" t="s">
        <v>14004</v>
      </c>
      <c r="V4847" t="s">
        <v>14004</v>
      </c>
      <c r="W4847" t="s">
        <v>18796</v>
      </c>
      <c r="X4847">
        <v>17</v>
      </c>
      <c r="Y4847" t="s">
        <v>25605</v>
      </c>
      <c r="Z4847" t="s">
        <v>32557</v>
      </c>
      <c r="AA4847">
        <v>0.33813669968174681</v>
      </c>
      <c r="AB4847" t="str">
        <f>HYPERLINK("Melting_Curves/meltCurve_Q8ND24_RNF214.pdf", "Melting_Curves/meltCurve_Q8ND24_RNF214.pdf")</f>
        <v>Melting_Curves/meltCurve_Q8ND24_RNF214.pdf</v>
      </c>
    </row>
    <row r="4848" spans="1:28" x14ac:dyDescent="0.25">
      <c r="A4848" t="s">
        <v>4852</v>
      </c>
      <c r="B4848">
        <v>0.99999676499088797</v>
      </c>
      <c r="C4848">
        <v>1.34535880057954</v>
      </c>
      <c r="D4848">
        <v>1.2282740377814001</v>
      </c>
      <c r="E4848">
        <v>1.0456626661075401</v>
      </c>
      <c r="F4848">
        <v>0.74412902387323199</v>
      </c>
      <c r="G4848">
        <v>0.469736249914671</v>
      </c>
      <c r="H4848">
        <v>0.41939284055399501</v>
      </c>
      <c r="I4848">
        <v>0.42969087112054999</v>
      </c>
      <c r="J4848">
        <v>0</v>
      </c>
      <c r="K4848">
        <v>0.114710063969558</v>
      </c>
      <c r="L4848">
        <v>922.03194587532596</v>
      </c>
      <c r="M4848">
        <v>16.0054119247879</v>
      </c>
      <c r="N4848">
        <v>58.200672308868199</v>
      </c>
      <c r="O4848">
        <v>56.730734766953702</v>
      </c>
      <c r="P4848">
        <v>-6.5229491675770301E-2</v>
      </c>
      <c r="Q4848">
        <v>7.5256058280055202E-2</v>
      </c>
      <c r="R4848">
        <v>0.85443380579432304</v>
      </c>
      <c r="S4848" t="s">
        <v>11851</v>
      </c>
      <c r="T4848" t="s">
        <v>14004</v>
      </c>
      <c r="U4848" t="s">
        <v>14004</v>
      </c>
      <c r="V4848" t="s">
        <v>14004</v>
      </c>
      <c r="W4848" t="s">
        <v>18797</v>
      </c>
      <c r="X4848">
        <v>2</v>
      </c>
      <c r="Y4848" t="s">
        <v>25606</v>
      </c>
      <c r="Z4848" t="s">
        <v>32558</v>
      </c>
      <c r="AA4848">
        <v>0.63097151709924915</v>
      </c>
      <c r="AB4848" t="str">
        <f>HYPERLINK("Melting_Curves/meltCurve_Q8ND25_ZNRF1.pdf", "Melting_Curves/meltCurve_Q8ND25_ZNRF1.pdf")</f>
        <v>Melting_Curves/meltCurve_Q8ND25_ZNRF1.pdf</v>
      </c>
    </row>
    <row r="4849" spans="1:28" x14ac:dyDescent="0.25">
      <c r="A4849" t="s">
        <v>4853</v>
      </c>
      <c r="B4849">
        <v>0.99999676499088797</v>
      </c>
      <c r="C4849">
        <v>0.918006550463491</v>
      </c>
      <c r="D4849">
        <v>0.89830553504358801</v>
      </c>
      <c r="E4849">
        <v>0.73041074926419203</v>
      </c>
      <c r="F4849">
        <v>0.32191007178182401</v>
      </c>
      <c r="G4849">
        <v>0.19472362005225799</v>
      </c>
      <c r="H4849">
        <v>9.6982462959616905E-2</v>
      </c>
      <c r="I4849">
        <v>9.9156008777410695E-2</v>
      </c>
      <c r="J4849">
        <v>0.108377068055141</v>
      </c>
      <c r="K4849">
        <v>0.12779990925682</v>
      </c>
      <c r="L4849">
        <v>1185.1048251832499</v>
      </c>
      <c r="M4849">
        <v>23.232563725092501</v>
      </c>
      <c r="N4849">
        <v>51.509350294782202</v>
      </c>
      <c r="O4849">
        <v>50.637057449418499</v>
      </c>
      <c r="P4849">
        <v>-0.103148123324536</v>
      </c>
      <c r="Q4849">
        <v>0.10074050916610799</v>
      </c>
      <c r="R4849">
        <v>0.99252145171180395</v>
      </c>
      <c r="S4849" t="s">
        <v>11852</v>
      </c>
      <c r="T4849" t="s">
        <v>14004</v>
      </c>
      <c r="U4849" t="s">
        <v>14004</v>
      </c>
      <c r="V4849" t="s">
        <v>14004</v>
      </c>
      <c r="W4849" t="s">
        <v>18798</v>
      </c>
      <c r="X4849">
        <v>12</v>
      </c>
      <c r="Y4849" t="s">
        <v>25607</v>
      </c>
      <c r="Z4849" t="s">
        <v>32559</v>
      </c>
      <c r="AA4849">
        <v>0.44016121547671982</v>
      </c>
      <c r="AB4849" t="str">
        <f>HYPERLINK("Melting_Curves/meltCurve_Q8ND56_2_LSM14A.pdf", "Melting_Curves/meltCurve_Q8ND56_2_LSM14A.pdf")</f>
        <v>Melting_Curves/meltCurve_Q8ND56_2_LSM14A.pdf</v>
      </c>
    </row>
    <row r="4850" spans="1:28" x14ac:dyDescent="0.25">
      <c r="A4850" t="s">
        <v>4854</v>
      </c>
      <c r="B4850">
        <v>0.99999676499088797</v>
      </c>
      <c r="C4850">
        <v>0.78016564197758298</v>
      </c>
      <c r="D4850">
        <v>0.72221748929357299</v>
      </c>
      <c r="E4850">
        <v>0.53334926563463503</v>
      </c>
      <c r="F4850">
        <v>0.24027760981547999</v>
      </c>
      <c r="G4850">
        <v>0.114772671659283</v>
      </c>
      <c r="H4850">
        <v>7.2631004814489405E-2</v>
      </c>
      <c r="I4850">
        <v>9.1887081883090402E-2</v>
      </c>
      <c r="J4850">
        <v>8.2106782376861795E-2</v>
      </c>
      <c r="K4850">
        <v>6.6620722238448504E-2</v>
      </c>
      <c r="L4850">
        <v>667.08110180256404</v>
      </c>
      <c r="M4850">
        <v>13.666852136411499</v>
      </c>
      <c r="N4850">
        <v>49.083369343248201</v>
      </c>
      <c r="O4850">
        <v>47.800688870759799</v>
      </c>
      <c r="P4850">
        <v>-6.8870272976994107E-2</v>
      </c>
      <c r="Q4850">
        <v>3.6626951268255901E-2</v>
      </c>
      <c r="R4850">
        <v>0.98235722523742297</v>
      </c>
      <c r="S4850" t="s">
        <v>11853</v>
      </c>
      <c r="T4850" t="s">
        <v>14004</v>
      </c>
      <c r="U4850" t="s">
        <v>14004</v>
      </c>
      <c r="V4850" t="s">
        <v>14004</v>
      </c>
      <c r="W4850" t="s">
        <v>18799</v>
      </c>
      <c r="X4850">
        <v>3</v>
      </c>
      <c r="Y4850" t="s">
        <v>25608</v>
      </c>
      <c r="Z4850" t="s">
        <v>32560</v>
      </c>
      <c r="AA4850">
        <v>0.34802416306069522</v>
      </c>
      <c r="AB4850" t="str">
        <f>HYPERLINK("Melting_Curves/meltCurve_Q8ND76_3_CCNY.pdf", "Melting_Curves/meltCurve_Q8ND76_3_CCNY.pdf")</f>
        <v>Melting_Curves/meltCurve_Q8ND76_3_CCNY.pdf</v>
      </c>
    </row>
    <row r="4851" spans="1:28" x14ac:dyDescent="0.25">
      <c r="A4851" t="s">
        <v>4855</v>
      </c>
      <c r="B4851">
        <v>0.99999676499088797</v>
      </c>
      <c r="C4851">
        <v>0.94113248367776403</v>
      </c>
      <c r="D4851">
        <v>0.609292480722188</v>
      </c>
      <c r="E4851">
        <v>0.41666887669934899</v>
      </c>
      <c r="F4851">
        <v>0.28571197304853302</v>
      </c>
      <c r="G4851">
        <v>0.21348738256895999</v>
      </c>
      <c r="H4851">
        <v>0.11893124412048001</v>
      </c>
      <c r="I4851">
        <v>0.115390253509913</v>
      </c>
      <c r="J4851">
        <v>0.10829371643237</v>
      </c>
      <c r="K4851">
        <v>9.5714638650332695E-2</v>
      </c>
      <c r="L4851">
        <v>763.24056677114004</v>
      </c>
      <c r="M4851">
        <v>16.013566229505599</v>
      </c>
      <c r="N4851">
        <v>48.405826045287498</v>
      </c>
      <c r="O4851">
        <v>46.9374322520273</v>
      </c>
      <c r="P4851">
        <v>-7.5996832258552499E-2</v>
      </c>
      <c r="Q4851">
        <v>0.109051114294155</v>
      </c>
      <c r="R4851">
        <v>0.98592767572594897</v>
      </c>
      <c r="S4851" t="s">
        <v>11854</v>
      </c>
      <c r="T4851" t="s">
        <v>14004</v>
      </c>
      <c r="U4851" t="s">
        <v>14004</v>
      </c>
      <c r="V4851" t="s">
        <v>14004</v>
      </c>
      <c r="W4851" t="s">
        <v>18800</v>
      </c>
      <c r="X4851">
        <v>2</v>
      </c>
      <c r="Y4851" t="s">
        <v>25609</v>
      </c>
      <c r="Z4851" t="s">
        <v>32561</v>
      </c>
      <c r="AA4851">
        <v>0.35701402451846309</v>
      </c>
      <c r="AB4851" t="str">
        <f>HYPERLINK("Melting_Curves/meltCurve_Q8ND83_SLAIN1.pdf", "Melting_Curves/meltCurve_Q8ND83_SLAIN1.pdf")</f>
        <v>Melting_Curves/meltCurve_Q8ND83_SLAIN1.pdf</v>
      </c>
    </row>
    <row r="4852" spans="1:28" x14ac:dyDescent="0.25">
      <c r="A4852" t="s">
        <v>4856</v>
      </c>
      <c r="B4852">
        <v>0.99999676499088797</v>
      </c>
      <c r="C4852">
        <v>0.94293774438721301</v>
      </c>
      <c r="D4852">
        <v>0.92222876444706603</v>
      </c>
      <c r="E4852">
        <v>0.87021674178063002</v>
      </c>
      <c r="F4852">
        <v>0.69290177030816003</v>
      </c>
      <c r="G4852">
        <v>0.66544344531772504</v>
      </c>
      <c r="H4852">
        <v>0.44219010208500797</v>
      </c>
      <c r="I4852">
        <v>0.449277469041165</v>
      </c>
      <c r="J4852">
        <v>0.49207746324442198</v>
      </c>
      <c r="K4852">
        <v>0.50668157256701196</v>
      </c>
      <c r="L4852">
        <v>764.54935455000805</v>
      </c>
      <c r="M4852">
        <v>14.443835409249999</v>
      </c>
      <c r="N4852">
        <v>62.6308976607327</v>
      </c>
      <c r="O4852">
        <v>51.9489667372303</v>
      </c>
      <c r="P4852">
        <v>-3.8471880363070601E-2</v>
      </c>
      <c r="Q4852">
        <v>0.44659010597093102</v>
      </c>
      <c r="R4852">
        <v>0.95982253863846401</v>
      </c>
      <c r="S4852" t="s">
        <v>11855</v>
      </c>
      <c r="T4852" t="s">
        <v>14004</v>
      </c>
      <c r="U4852" t="s">
        <v>14004</v>
      </c>
      <c r="V4852" t="s">
        <v>14004</v>
      </c>
      <c r="W4852" t="s">
        <v>18801</v>
      </c>
      <c r="X4852">
        <v>1</v>
      </c>
      <c r="Y4852" t="s">
        <v>25610</v>
      </c>
      <c r="Z4852" t="s">
        <v>32562</v>
      </c>
      <c r="AA4852">
        <v>0.69773813650651684</v>
      </c>
      <c r="AB4852" t="str">
        <f>HYPERLINK("Melting_Curves/meltCurve_Q8NDC0_MAPK1IP1L.pdf", "Melting_Curves/meltCurve_Q8NDC0_MAPK1IP1L.pdf")</f>
        <v>Melting_Curves/meltCurve_Q8NDC0_MAPK1IP1L.pdf</v>
      </c>
    </row>
    <row r="4853" spans="1:28" x14ac:dyDescent="0.25">
      <c r="A4853" t="s">
        <v>4857</v>
      </c>
      <c r="B4853">
        <v>0.99999676499088797</v>
      </c>
      <c r="C4853">
        <v>0.98270122319453102</v>
      </c>
      <c r="D4853">
        <v>0.99302679694745299</v>
      </c>
      <c r="E4853">
        <v>0.73413101956142501</v>
      </c>
      <c r="F4853">
        <v>0.50680257497812597</v>
      </c>
      <c r="G4853">
        <v>0.44074938533222502</v>
      </c>
      <c r="H4853">
        <v>0.31218319575704501</v>
      </c>
      <c r="I4853">
        <v>0.380602825031716</v>
      </c>
      <c r="J4853">
        <v>0.44186836901175902</v>
      </c>
      <c r="K4853">
        <v>0.34955428387138099</v>
      </c>
      <c r="L4853">
        <v>1360.66755059916</v>
      </c>
      <c r="M4853">
        <v>27.010466050760002</v>
      </c>
      <c r="N4853">
        <v>53.148718936969402</v>
      </c>
      <c r="O4853">
        <v>50.1018746685221</v>
      </c>
      <c r="P4853">
        <v>-8.3853250466355306E-2</v>
      </c>
      <c r="Q4853">
        <v>0.37784663357295001</v>
      </c>
      <c r="R4853">
        <v>0.981946864872279</v>
      </c>
      <c r="S4853" t="s">
        <v>11856</v>
      </c>
      <c r="T4853" t="s">
        <v>14004</v>
      </c>
      <c r="U4853" t="s">
        <v>14004</v>
      </c>
      <c r="V4853" t="s">
        <v>14004</v>
      </c>
      <c r="W4853" t="s">
        <v>18802</v>
      </c>
      <c r="X4853">
        <v>12</v>
      </c>
      <c r="Y4853" t="s">
        <v>25611</v>
      </c>
      <c r="Z4853" t="s">
        <v>32563</v>
      </c>
      <c r="AA4853">
        <v>0.59780186856434669</v>
      </c>
      <c r="AB4853" t="str">
        <f>HYPERLINK("Melting_Curves/meltCurve_Q8NDD1_2_C1orf131.pdf", "Melting_Curves/meltCurve_Q8NDD1_2_C1orf131.pdf")</f>
        <v>Melting_Curves/meltCurve_Q8NDD1_2_C1orf131.pdf</v>
      </c>
    </row>
    <row r="4854" spans="1:28" x14ac:dyDescent="0.25">
      <c r="A4854" t="s">
        <v>4858</v>
      </c>
      <c r="B4854">
        <v>0.99999676499088797</v>
      </c>
      <c r="C4854">
        <v>0.95798969602310802</v>
      </c>
      <c r="D4854">
        <v>0.92792480559272705</v>
      </c>
      <c r="E4854">
        <v>0.87438647530007496</v>
      </c>
      <c r="F4854">
        <v>0.64458925202723205</v>
      </c>
      <c r="G4854">
        <v>0.613320879644218</v>
      </c>
      <c r="H4854">
        <v>0.41636505917081701</v>
      </c>
      <c r="I4854">
        <v>0.41840062417297802</v>
      </c>
      <c r="J4854">
        <v>0.41208668891801498</v>
      </c>
      <c r="K4854">
        <v>0.447856277055459</v>
      </c>
      <c r="L4854">
        <v>824.18296977313696</v>
      </c>
      <c r="M4854">
        <v>15.580910387456001</v>
      </c>
      <c r="N4854">
        <v>58.882220832650901</v>
      </c>
      <c r="O4854">
        <v>52.0485979759546</v>
      </c>
      <c r="P4854">
        <v>-4.51015153780824E-2</v>
      </c>
      <c r="Q4854">
        <v>0.397399443884282</v>
      </c>
      <c r="R4854">
        <v>0.97810748622723398</v>
      </c>
      <c r="S4854" t="s">
        <v>11857</v>
      </c>
      <c r="T4854" t="s">
        <v>14004</v>
      </c>
      <c r="U4854" t="s">
        <v>14004</v>
      </c>
      <c r="V4854" t="s">
        <v>14004</v>
      </c>
      <c r="W4854" t="s">
        <v>18803</v>
      </c>
      <c r="X4854">
        <v>13</v>
      </c>
      <c r="Y4854" t="s">
        <v>25611</v>
      </c>
      <c r="Z4854" t="s">
        <v>32564</v>
      </c>
      <c r="AA4854">
        <v>0.6687916121037295</v>
      </c>
      <c r="AB4854" t="str">
        <f>HYPERLINK("Melting_Curves/meltCurve_Q8NDD1_3_C1orf131.pdf", "Melting_Curves/meltCurve_Q8NDD1_3_C1orf131.pdf")</f>
        <v>Melting_Curves/meltCurve_Q8NDD1_3_C1orf131.pdf</v>
      </c>
    </row>
    <row r="4855" spans="1:28" x14ac:dyDescent="0.25">
      <c r="A4855" t="s">
        <v>4859</v>
      </c>
      <c r="B4855">
        <v>0.99999676499088797</v>
      </c>
      <c r="C4855">
        <v>0.84288893344989602</v>
      </c>
      <c r="D4855">
        <v>0.41152844303199099</v>
      </c>
      <c r="E4855">
        <v>0.223093478181113</v>
      </c>
      <c r="F4855">
        <v>0.12210555034713901</v>
      </c>
      <c r="G4855">
        <v>8.7227027208081107E-2</v>
      </c>
      <c r="H4855">
        <v>4.6831086666394302E-2</v>
      </c>
      <c r="I4855">
        <v>3.6721125265551997E-2</v>
      </c>
      <c r="J4855">
        <v>5.1413515829093502E-2</v>
      </c>
      <c r="K4855">
        <v>3.6307620739160697E-2</v>
      </c>
      <c r="L4855">
        <v>1078.5322561855</v>
      </c>
      <c r="M4855">
        <v>23.740225792917201</v>
      </c>
      <c r="N4855">
        <v>45.677835253907901</v>
      </c>
      <c r="O4855">
        <v>45.111912241144402</v>
      </c>
      <c r="P4855">
        <v>-0.123632308804177</v>
      </c>
      <c r="Q4855">
        <v>6.0295758726985602E-2</v>
      </c>
      <c r="R4855">
        <v>0.99111125706048098</v>
      </c>
      <c r="S4855" t="s">
        <v>11858</v>
      </c>
      <c r="T4855" t="s">
        <v>14004</v>
      </c>
      <c r="U4855" t="s">
        <v>14004</v>
      </c>
      <c r="V4855" t="s">
        <v>14004</v>
      </c>
      <c r="W4855" t="s">
        <v>18804</v>
      </c>
      <c r="X4855">
        <v>7</v>
      </c>
      <c r="Y4855" t="s">
        <v>25612</v>
      </c>
      <c r="Z4855" t="s">
        <v>32565</v>
      </c>
      <c r="AA4855">
        <v>0.240575881626932</v>
      </c>
      <c r="AB4855" t="str">
        <f>HYPERLINK("Melting_Curves/meltCurve_Q8NDI1_3_EHBP1.pdf", "Melting_Curves/meltCurve_Q8NDI1_3_EHBP1.pdf")</f>
        <v>Melting_Curves/meltCurve_Q8NDI1_3_EHBP1.pdf</v>
      </c>
    </row>
    <row r="4856" spans="1:28" x14ac:dyDescent="0.25">
      <c r="A4856" t="s">
        <v>4860</v>
      </c>
      <c r="B4856">
        <v>0.99999676499088797</v>
      </c>
      <c r="C4856">
        <v>0.90525829624151499</v>
      </c>
      <c r="D4856">
        <v>0.59998409126680596</v>
      </c>
      <c r="E4856">
        <v>0.26800750159397901</v>
      </c>
      <c r="F4856">
        <v>0.162107831444116</v>
      </c>
      <c r="G4856">
        <v>9.5751505491178404E-2</v>
      </c>
      <c r="H4856">
        <v>4.5441833515679902E-2</v>
      </c>
      <c r="I4856">
        <v>3.3948784938001603E-2</v>
      </c>
      <c r="J4856">
        <v>3.0489511764733301E-2</v>
      </c>
      <c r="K4856">
        <v>3.0368055312225101E-2</v>
      </c>
      <c r="L4856">
        <v>964.12185291651701</v>
      </c>
      <c r="M4856">
        <v>20.543342971253701</v>
      </c>
      <c r="N4856">
        <v>47.139450141553198</v>
      </c>
      <c r="O4856">
        <v>46.493195214068798</v>
      </c>
      <c r="P4856">
        <v>-0.10567344825035201</v>
      </c>
      <c r="Q4856">
        <v>4.3397671810711198E-2</v>
      </c>
      <c r="R4856">
        <v>0.99615073689380595</v>
      </c>
      <c r="S4856" t="s">
        <v>11859</v>
      </c>
      <c r="T4856" t="s">
        <v>14004</v>
      </c>
      <c r="U4856" t="s">
        <v>14004</v>
      </c>
      <c r="V4856" t="s">
        <v>14004</v>
      </c>
      <c r="W4856" t="s">
        <v>18805</v>
      </c>
      <c r="X4856">
        <v>10</v>
      </c>
      <c r="Y4856" t="s">
        <v>25613</v>
      </c>
      <c r="Z4856" t="s">
        <v>32566</v>
      </c>
      <c r="AA4856">
        <v>0.27764097986976771</v>
      </c>
      <c r="AB4856" t="str">
        <f>HYPERLINK("Melting_Curves/meltCurve_Q8NDT2_RBM15B.pdf", "Melting_Curves/meltCurve_Q8NDT2_RBM15B.pdf")</f>
        <v>Melting_Curves/meltCurve_Q8NDT2_RBM15B.pdf</v>
      </c>
    </row>
    <row r="4857" spans="1:28" x14ac:dyDescent="0.25">
      <c r="A4857" t="s">
        <v>4861</v>
      </c>
      <c r="B4857">
        <v>0.99999676499088797</v>
      </c>
      <c r="C4857">
        <v>1.15283282018636</v>
      </c>
      <c r="D4857">
        <v>0.93780871593777104</v>
      </c>
      <c r="E4857">
        <v>1.0629680061673401</v>
      </c>
      <c r="F4857">
        <v>0.49170836693591402</v>
      </c>
      <c r="G4857">
        <v>0.26223210711973899</v>
      </c>
      <c r="H4857">
        <v>7.5699527204394101E-2</v>
      </c>
      <c r="I4857">
        <v>9.4170567726515705E-2</v>
      </c>
      <c r="J4857">
        <v>4.4719721060463201E-2</v>
      </c>
      <c r="K4857">
        <v>5.4688119837571499E-2</v>
      </c>
      <c r="L4857">
        <v>1942.0897688398099</v>
      </c>
      <c r="M4857">
        <v>36.4559435131737</v>
      </c>
      <c r="N4857">
        <v>53.5294662046417</v>
      </c>
      <c r="O4857">
        <v>53.112725106808803</v>
      </c>
      <c r="P4857">
        <v>-0.157809846274379</v>
      </c>
      <c r="Q4857">
        <v>8.0349370411856594E-2</v>
      </c>
      <c r="R4857">
        <v>0.97157128248618796</v>
      </c>
      <c r="S4857" t="s">
        <v>11860</v>
      </c>
      <c r="T4857" t="s">
        <v>14004</v>
      </c>
      <c r="U4857" t="s">
        <v>14004</v>
      </c>
      <c r="V4857" t="s">
        <v>14004</v>
      </c>
      <c r="W4857" t="s">
        <v>18806</v>
      </c>
      <c r="X4857">
        <v>2</v>
      </c>
      <c r="Y4857" t="s">
        <v>25614</v>
      </c>
      <c r="Z4857" t="s">
        <v>32567</v>
      </c>
      <c r="AA4857">
        <v>0.49128203934930942</v>
      </c>
      <c r="AB4857" t="str">
        <f>HYPERLINK("Melting_Curves/meltCurve_Q8NDV3_2_SMC1B.pdf", "Melting_Curves/meltCurve_Q8NDV3_2_SMC1B.pdf")</f>
        <v>Melting_Curves/meltCurve_Q8NDV3_2_SMC1B.pdf</v>
      </c>
    </row>
    <row r="4858" spans="1:28" x14ac:dyDescent="0.25">
      <c r="A4858" t="s">
        <v>4862</v>
      </c>
      <c r="B4858">
        <v>0.99999676499088797</v>
      </c>
      <c r="C4858">
        <v>0.93523775198180903</v>
      </c>
      <c r="D4858">
        <v>0.89101772226013298</v>
      </c>
      <c r="E4858">
        <v>0.75554664345580103</v>
      </c>
      <c r="F4858">
        <v>0.33924993632321498</v>
      </c>
      <c r="G4858">
        <v>0.16117016030384301</v>
      </c>
      <c r="H4858">
        <v>7.9794442121023407E-2</v>
      </c>
      <c r="I4858">
        <v>8.2775413629017497E-2</v>
      </c>
      <c r="J4858">
        <v>0.10599456769441</v>
      </c>
      <c r="K4858">
        <v>6.8269526864497901E-2</v>
      </c>
      <c r="L4858">
        <v>1206.59628584349</v>
      </c>
      <c r="M4858">
        <v>23.496143471886999</v>
      </c>
      <c r="N4858">
        <v>51.702509059904003</v>
      </c>
      <c r="O4858">
        <v>50.985292717831101</v>
      </c>
      <c r="P4858">
        <v>-0.106750604856859</v>
      </c>
      <c r="Q4858">
        <v>7.3444785388814798E-2</v>
      </c>
      <c r="R4858">
        <v>0.99400501477701997</v>
      </c>
      <c r="S4858" t="s">
        <v>11861</v>
      </c>
      <c r="T4858" t="s">
        <v>14004</v>
      </c>
      <c r="U4858" t="s">
        <v>14004</v>
      </c>
      <c r="V4858" t="s">
        <v>14004</v>
      </c>
      <c r="W4858" t="s">
        <v>18807</v>
      </c>
      <c r="X4858">
        <v>4</v>
      </c>
      <c r="Y4858" t="s">
        <v>25615</v>
      </c>
      <c r="Z4858" t="s">
        <v>32568</v>
      </c>
      <c r="AA4858">
        <v>0.4335605300392204</v>
      </c>
      <c r="AB4858" t="str">
        <f>HYPERLINK("Melting_Curves/meltCurve_Q8NDZ4_C3orf58.pdf", "Melting_Curves/meltCurve_Q8NDZ4_C3orf58.pdf")</f>
        <v>Melting_Curves/meltCurve_Q8NDZ4_C3orf58.pdf</v>
      </c>
    </row>
    <row r="4859" spans="1:28" x14ac:dyDescent="0.25">
      <c r="A4859" t="s">
        <v>4863</v>
      </c>
      <c r="B4859">
        <v>0.99999676499088797</v>
      </c>
      <c r="C4859">
        <v>1.01895317035265</v>
      </c>
      <c r="D4859">
        <v>1.0516663715465799</v>
      </c>
      <c r="E4859">
        <v>1.1423402396409399</v>
      </c>
      <c r="F4859">
        <v>1.0575205738603</v>
      </c>
      <c r="G4859">
        <v>0.98753603364494502</v>
      </c>
      <c r="H4859">
        <v>0.71242259967339705</v>
      </c>
      <c r="I4859">
        <v>0.56516581617501505</v>
      </c>
      <c r="J4859">
        <v>0.29936250399771303</v>
      </c>
      <c r="K4859">
        <v>0.29449663083259098</v>
      </c>
      <c r="L4859">
        <v>1681.18743525983</v>
      </c>
      <c r="M4859">
        <v>26.851777243004399</v>
      </c>
      <c r="N4859">
        <v>64.130962971496899</v>
      </c>
      <c r="O4859">
        <v>62.265771740763398</v>
      </c>
      <c r="P4859">
        <v>-8.2419466457104795E-2</v>
      </c>
      <c r="Q4859">
        <v>0.23552801699209899</v>
      </c>
      <c r="R4859">
        <v>0.96087246082739297</v>
      </c>
      <c r="S4859" t="s">
        <v>11862</v>
      </c>
      <c r="T4859" t="s">
        <v>14004</v>
      </c>
      <c r="U4859" t="s">
        <v>14004</v>
      </c>
      <c r="V4859" t="s">
        <v>14004</v>
      </c>
      <c r="W4859" t="s">
        <v>18808</v>
      </c>
      <c r="X4859">
        <v>1</v>
      </c>
      <c r="Y4859" t="s">
        <v>25616</v>
      </c>
      <c r="Z4859" t="s">
        <v>32569</v>
      </c>
      <c r="AA4859">
        <v>0.81445731567586532</v>
      </c>
      <c r="AB4859" t="str">
        <f>HYPERLINK("Melting_Curves/meltCurve_Q8NE00_TMEM104.pdf", "Melting_Curves/meltCurve_Q8NE00_TMEM104.pdf")</f>
        <v>Melting_Curves/meltCurve_Q8NE00_TMEM104.pdf</v>
      </c>
    </row>
    <row r="4860" spans="1:28" x14ac:dyDescent="0.25">
      <c r="A4860" t="s">
        <v>4864</v>
      </c>
      <c r="B4860">
        <v>0.99999676499088797</v>
      </c>
      <c r="C4860">
        <v>0.97200786164017206</v>
      </c>
      <c r="D4860">
        <v>0.98256605186025803</v>
      </c>
      <c r="E4860">
        <v>1.01014651025811</v>
      </c>
      <c r="F4860">
        <v>0.38526112830147702</v>
      </c>
      <c r="G4860">
        <v>0.23026192692359199</v>
      </c>
      <c r="H4860">
        <v>0.10326118397671</v>
      </c>
      <c r="I4860">
        <v>0.12128101005441599</v>
      </c>
      <c r="J4860">
        <v>0.19985301150788101</v>
      </c>
      <c r="K4860">
        <v>6.5081645090830906E-2</v>
      </c>
      <c r="L4860">
        <v>3739.8046774309701</v>
      </c>
      <c r="M4860">
        <v>71.206587247442698</v>
      </c>
      <c r="N4860">
        <v>52.769362420853902</v>
      </c>
      <c r="O4860">
        <v>52.479098276288397</v>
      </c>
      <c r="P4860">
        <v>-0.29083286273699799</v>
      </c>
      <c r="Q4860">
        <v>0.14262728455573001</v>
      </c>
      <c r="R4860">
        <v>0.98779153787815599</v>
      </c>
      <c r="S4860" t="s">
        <v>11863</v>
      </c>
      <c r="T4860" t="s">
        <v>14004</v>
      </c>
      <c r="U4860" t="s">
        <v>14004</v>
      </c>
      <c r="V4860" t="s">
        <v>14004</v>
      </c>
      <c r="W4860" t="s">
        <v>18809</v>
      </c>
      <c r="X4860">
        <v>4</v>
      </c>
      <c r="Y4860" t="s">
        <v>25617</v>
      </c>
      <c r="Z4860" t="s">
        <v>32570</v>
      </c>
      <c r="AA4860">
        <v>0.50142800280216249</v>
      </c>
      <c r="AB4860" t="str">
        <f>HYPERLINK("Melting_Curves/meltCurve_Q8NE01_CNNM3.pdf", "Melting_Curves/meltCurve_Q8NE01_CNNM3.pdf")</f>
        <v>Melting_Curves/meltCurve_Q8NE01_CNNM3.pdf</v>
      </c>
    </row>
    <row r="4861" spans="1:28" x14ac:dyDescent="0.25">
      <c r="A4861" t="s">
        <v>4865</v>
      </c>
      <c r="B4861">
        <v>0.99999676499088797</v>
      </c>
      <c r="C4861">
        <v>1.0039446726558601</v>
      </c>
      <c r="D4861">
        <v>0.97824165940163299</v>
      </c>
      <c r="E4861">
        <v>0.95278881913250402</v>
      </c>
      <c r="F4861">
        <v>0.47393309410108603</v>
      </c>
      <c r="G4861">
        <v>0.20146370725979501</v>
      </c>
      <c r="H4861">
        <v>9.1593453745768605E-2</v>
      </c>
      <c r="I4861">
        <v>8.2661123065209605E-2</v>
      </c>
      <c r="J4861">
        <v>7.6962786592934901E-2</v>
      </c>
      <c r="K4861">
        <v>6.3495737043974806E-2</v>
      </c>
      <c r="L4861">
        <v>1830.6902540461199</v>
      </c>
      <c r="M4861">
        <v>34.598958311834501</v>
      </c>
      <c r="N4861">
        <v>53.187613325572599</v>
      </c>
      <c r="O4861">
        <v>52.735899151928997</v>
      </c>
      <c r="P4861">
        <v>-0.150547114380226</v>
      </c>
      <c r="Q4861">
        <v>8.2144946823695095E-2</v>
      </c>
      <c r="R4861">
        <v>0.99757728349367003</v>
      </c>
      <c r="S4861" t="s">
        <v>11864</v>
      </c>
      <c r="T4861" t="s">
        <v>14004</v>
      </c>
      <c r="U4861" t="s">
        <v>14004</v>
      </c>
      <c r="V4861" t="s">
        <v>14004</v>
      </c>
      <c r="W4861" t="s">
        <v>18810</v>
      </c>
      <c r="X4861">
        <v>46</v>
      </c>
      <c r="Y4861" t="s">
        <v>25618</v>
      </c>
      <c r="Z4861" t="s">
        <v>32571</v>
      </c>
      <c r="AA4861">
        <v>0.48166403018884069</v>
      </c>
      <c r="AB4861" t="str">
        <f>HYPERLINK("Melting_Curves/meltCurve_Q8NE71_ABCF1.pdf", "Melting_Curves/meltCurve_Q8NE71_ABCF1.pdf")</f>
        <v>Melting_Curves/meltCurve_Q8NE71_ABCF1.pdf</v>
      </c>
    </row>
    <row r="4862" spans="1:28" x14ac:dyDescent="0.25">
      <c r="A4862" t="s">
        <v>4866</v>
      </c>
      <c r="B4862">
        <v>0.99999676499088797</v>
      </c>
      <c r="C4862">
        <v>0.976656949676044</v>
      </c>
      <c r="D4862">
        <v>0.96943011556338698</v>
      </c>
      <c r="E4862">
        <v>0.96818186372653003</v>
      </c>
      <c r="F4862">
        <v>0.35360598235908303</v>
      </c>
      <c r="G4862">
        <v>0.200884129302215</v>
      </c>
      <c r="H4862">
        <v>8.4576120184078604E-2</v>
      </c>
      <c r="I4862">
        <v>7.5046639131100407E-2</v>
      </c>
      <c r="J4862">
        <v>5.9784659460956097E-2</v>
      </c>
      <c r="K4862">
        <v>2.8165929635788001E-2</v>
      </c>
      <c r="L4862">
        <v>2460.66245221701</v>
      </c>
      <c r="M4862">
        <v>47.018726237805403</v>
      </c>
      <c r="N4862">
        <v>52.534355503351897</v>
      </c>
      <c r="O4862">
        <v>52.239264933475901</v>
      </c>
      <c r="P4862">
        <v>-0.20652032288336</v>
      </c>
      <c r="Q4862">
        <v>8.2199037549646595E-2</v>
      </c>
      <c r="R4862">
        <v>0.99127480037286697</v>
      </c>
      <c r="S4862" t="s">
        <v>11865</v>
      </c>
      <c r="T4862" t="s">
        <v>14004</v>
      </c>
      <c r="U4862" t="s">
        <v>14004</v>
      </c>
      <c r="V4862" t="s">
        <v>14004</v>
      </c>
      <c r="W4862" t="s">
        <v>18811</v>
      </c>
      <c r="X4862">
        <v>6</v>
      </c>
      <c r="Y4862" t="s">
        <v>25619</v>
      </c>
      <c r="Z4862" t="s">
        <v>32572</v>
      </c>
      <c r="AA4862">
        <v>0.46192470775745098</v>
      </c>
      <c r="AB4862" t="str">
        <f>HYPERLINK("Melting_Curves/meltCurve_Q8NE86_3_MCU.pdf", "Melting_Curves/meltCurve_Q8NE86_3_MCU.pdf")</f>
        <v>Melting_Curves/meltCurve_Q8NE86_3_MCU.pdf</v>
      </c>
    </row>
    <row r="4863" spans="1:28" x14ac:dyDescent="0.25">
      <c r="A4863" t="s">
        <v>4867</v>
      </c>
      <c r="B4863">
        <v>0.99999676499088797</v>
      </c>
      <c r="C4863">
        <v>1.06910155438609</v>
      </c>
      <c r="D4863">
        <v>1.0917577940302501</v>
      </c>
      <c r="E4863">
        <v>0.98042802530107098</v>
      </c>
      <c r="F4863">
        <v>0.41450150338271002</v>
      </c>
      <c r="G4863">
        <v>0.19839505113220901</v>
      </c>
      <c r="H4863">
        <v>9.5974959771114296E-2</v>
      </c>
      <c r="I4863">
        <v>8.3087614133469406E-2</v>
      </c>
      <c r="J4863">
        <v>9.97083677625068E-2</v>
      </c>
      <c r="K4863">
        <v>8.0702292751794094E-2</v>
      </c>
      <c r="L4863">
        <v>2540.0453627885199</v>
      </c>
      <c r="M4863">
        <v>48.312911967202901</v>
      </c>
      <c r="N4863">
        <v>52.831613924501298</v>
      </c>
      <c r="O4863">
        <v>52.485031501548001</v>
      </c>
      <c r="P4863">
        <v>-0.20605014077192599</v>
      </c>
      <c r="Q4863">
        <v>0.104625415183554</v>
      </c>
      <c r="R4863">
        <v>0.98943289133164702</v>
      </c>
      <c r="S4863" t="s">
        <v>11866</v>
      </c>
      <c r="T4863" t="s">
        <v>14004</v>
      </c>
      <c r="U4863" t="s">
        <v>14004</v>
      </c>
      <c r="V4863" t="s">
        <v>14004</v>
      </c>
      <c r="W4863" t="s">
        <v>18812</v>
      </c>
      <c r="X4863">
        <v>17</v>
      </c>
      <c r="Y4863" t="s">
        <v>25620</v>
      </c>
      <c r="Z4863" t="s">
        <v>32573</v>
      </c>
      <c r="AA4863">
        <v>0.48215744680035511</v>
      </c>
      <c r="AB4863" t="str">
        <f>HYPERLINK("Melting_Curves/meltCurve_Q8NEB9_PIK3C3.pdf", "Melting_Curves/meltCurve_Q8NEB9_PIK3C3.pdf")</f>
        <v>Melting_Curves/meltCurve_Q8NEB9_PIK3C3.pdf</v>
      </c>
    </row>
    <row r="4864" spans="1:28" x14ac:dyDescent="0.25">
      <c r="A4864" t="s">
        <v>4868</v>
      </c>
      <c r="B4864">
        <v>0.99999676499088797</v>
      </c>
      <c r="C4864">
        <v>1.03241359652958</v>
      </c>
      <c r="D4864">
        <v>0.56265007691536595</v>
      </c>
      <c r="E4864">
        <v>0.232848999632529</v>
      </c>
      <c r="F4864">
        <v>0.166869671871854</v>
      </c>
      <c r="G4864">
        <v>0.13051952073370501</v>
      </c>
      <c r="H4864">
        <v>7.9165038098038196E-2</v>
      </c>
      <c r="I4864">
        <v>7.9996337580900398E-2</v>
      </c>
      <c r="J4864">
        <v>8.0439254516424905E-2</v>
      </c>
      <c r="K4864">
        <v>0.12658662918133401</v>
      </c>
      <c r="L4864">
        <v>1701.2751740572201</v>
      </c>
      <c r="M4864">
        <v>36.813142728396897</v>
      </c>
      <c r="N4864">
        <v>46.545360314902602</v>
      </c>
      <c r="O4864">
        <v>46.078060626509199</v>
      </c>
      <c r="P4864">
        <v>-0.17669697419692401</v>
      </c>
      <c r="Q4864">
        <v>0.11533434647233499</v>
      </c>
      <c r="R4864">
        <v>0.98737587662015203</v>
      </c>
      <c r="S4864" t="s">
        <v>11867</v>
      </c>
      <c r="T4864" t="s">
        <v>14004</v>
      </c>
      <c r="U4864" t="s">
        <v>14004</v>
      </c>
      <c r="V4864" t="s">
        <v>14004</v>
      </c>
      <c r="W4864" t="s">
        <v>18813</v>
      </c>
      <c r="X4864">
        <v>4</v>
      </c>
      <c r="Y4864" t="s">
        <v>25621</v>
      </c>
      <c r="Z4864" t="s">
        <v>32574</v>
      </c>
      <c r="AA4864">
        <v>0.30200156149903212</v>
      </c>
      <c r="AB4864" t="str">
        <f>HYPERLINK("Melting_Curves/meltCurve_Q8NEC7_GSTCD.pdf", "Melting_Curves/meltCurve_Q8NEC7_GSTCD.pdf")</f>
        <v>Melting_Curves/meltCurve_Q8NEC7_GSTCD.pdf</v>
      </c>
    </row>
    <row r="4865" spans="1:28" x14ac:dyDescent="0.25">
      <c r="A4865" t="s">
        <v>4869</v>
      </c>
      <c r="B4865">
        <v>0.99999676499088797</v>
      </c>
      <c r="C4865">
        <v>1.00177197585603</v>
      </c>
      <c r="D4865">
        <v>1.0231165626602501</v>
      </c>
      <c r="E4865">
        <v>1.0268618664682201</v>
      </c>
      <c r="F4865">
        <v>0.55231701557050605</v>
      </c>
      <c r="G4865">
        <v>0.38636895830757201</v>
      </c>
      <c r="H4865">
        <v>0.32528630151989701</v>
      </c>
      <c r="I4865">
        <v>0.444513127349977</v>
      </c>
      <c r="J4865">
        <v>0.58672813738265694</v>
      </c>
      <c r="K4865">
        <v>0.54737303432679696</v>
      </c>
      <c r="L4865">
        <v>13217.114640223601</v>
      </c>
      <c r="M4865">
        <v>250</v>
      </c>
      <c r="N4865">
        <v>53.397784995637501</v>
      </c>
      <c r="O4865">
        <v>52.865073946686003</v>
      </c>
      <c r="P4865">
        <v>-0.64071848006487997</v>
      </c>
      <c r="Q4865">
        <v>0.45805390920389399</v>
      </c>
      <c r="R4865">
        <v>0.93528281034402305</v>
      </c>
      <c r="S4865" t="s">
        <v>11868</v>
      </c>
      <c r="T4865" t="s">
        <v>14004</v>
      </c>
      <c r="U4865" t="s">
        <v>14004</v>
      </c>
      <c r="V4865" t="s">
        <v>14004</v>
      </c>
      <c r="W4865" t="s">
        <v>18814</v>
      </c>
      <c r="X4865">
        <v>4</v>
      </c>
      <c r="Y4865" t="s">
        <v>25622</v>
      </c>
      <c r="Z4865" t="s">
        <v>32575</v>
      </c>
      <c r="AA4865">
        <v>0.69057121981746661</v>
      </c>
      <c r="AB4865" t="str">
        <f>HYPERLINK("Melting_Curves/meltCurve_Q8NEF9_SRFBP1.pdf", "Melting_Curves/meltCurve_Q8NEF9_SRFBP1.pdf")</f>
        <v>Melting_Curves/meltCurve_Q8NEF9_SRFBP1.pdf</v>
      </c>
    </row>
    <row r="4866" spans="1:28" x14ac:dyDescent="0.25">
      <c r="A4866" t="s">
        <v>4870</v>
      </c>
      <c r="B4866">
        <v>0.99999676499088797</v>
      </c>
      <c r="C4866">
        <v>0.92505589075004901</v>
      </c>
      <c r="D4866">
        <v>0.74187454057165303</v>
      </c>
      <c r="E4866">
        <v>0.36520601914553602</v>
      </c>
      <c r="F4866">
        <v>0.16849699383712</v>
      </c>
      <c r="G4866">
        <v>0.124970376838761</v>
      </c>
      <c r="H4866">
        <v>7.4775681513986794E-2</v>
      </c>
      <c r="I4866">
        <v>8.61045257856006E-2</v>
      </c>
      <c r="J4866">
        <v>6.4673431329093201E-2</v>
      </c>
      <c r="K4866">
        <v>0.10342957716184099</v>
      </c>
      <c r="L4866">
        <v>1071.4576364096899</v>
      </c>
      <c r="M4866">
        <v>22.387987519718799</v>
      </c>
      <c r="N4866">
        <v>48.245728121093997</v>
      </c>
      <c r="O4866">
        <v>47.481663553917599</v>
      </c>
      <c r="P4866">
        <v>-0.10818794444326101</v>
      </c>
      <c r="Q4866">
        <v>8.2215572592404196E-2</v>
      </c>
      <c r="R4866">
        <v>0.99875900515525196</v>
      </c>
      <c r="S4866" t="s">
        <v>11869</v>
      </c>
      <c r="T4866" t="s">
        <v>14004</v>
      </c>
      <c r="U4866" t="s">
        <v>14004</v>
      </c>
      <c r="V4866" t="s">
        <v>14004</v>
      </c>
      <c r="W4866" t="s">
        <v>18815</v>
      </c>
      <c r="X4866">
        <v>3</v>
      </c>
      <c r="Y4866" t="s">
        <v>25623</v>
      </c>
      <c r="Z4866" t="s">
        <v>32576</v>
      </c>
      <c r="AA4866">
        <v>0.33290942062966361</v>
      </c>
      <c r="AB4866" t="str">
        <f>HYPERLINK("Melting_Curves/meltCurve_Q8NEL9_2_DDHD1.pdf", "Melting_Curves/meltCurve_Q8NEL9_2_DDHD1.pdf")</f>
        <v>Melting_Curves/meltCurve_Q8NEL9_2_DDHD1.pdf</v>
      </c>
    </row>
    <row r="4867" spans="1:28" x14ac:dyDescent="0.25">
      <c r="A4867" t="s">
        <v>4871</v>
      </c>
      <c r="B4867">
        <v>0.99999676499088797</v>
      </c>
      <c r="C4867">
        <v>0.563166765825729</v>
      </c>
      <c r="D4867">
        <v>0.32922162641793601</v>
      </c>
      <c r="E4867">
        <v>9.29289763159791E-2</v>
      </c>
      <c r="F4867">
        <v>8.28702358495053E-2</v>
      </c>
      <c r="G4867">
        <v>3.16019102546218E-2</v>
      </c>
      <c r="H4867">
        <v>1.5152248398036401E-2</v>
      </c>
      <c r="I4867">
        <v>2.5404533057560501E-2</v>
      </c>
      <c r="J4867">
        <v>3.2038926965813702E-2</v>
      </c>
      <c r="K4867">
        <v>2.4509502605769701E-2</v>
      </c>
      <c r="L4867">
        <v>994.31057488217698</v>
      </c>
      <c r="M4867">
        <v>22.6614444960478</v>
      </c>
      <c r="N4867">
        <v>44.006909661287096</v>
      </c>
      <c r="O4867">
        <v>43.539345194674198</v>
      </c>
      <c r="P4867">
        <v>-0.12590537869906801</v>
      </c>
      <c r="Q4867">
        <v>3.2412718261160503E-2</v>
      </c>
      <c r="R4867">
        <v>0.98056944553341896</v>
      </c>
      <c r="S4867" t="s">
        <v>11870</v>
      </c>
      <c r="T4867" t="s">
        <v>14004</v>
      </c>
      <c r="U4867" t="s">
        <v>14004</v>
      </c>
      <c r="V4867" t="s">
        <v>14004</v>
      </c>
      <c r="W4867" t="s">
        <v>18816</v>
      </c>
      <c r="X4867">
        <v>2</v>
      </c>
      <c r="Y4867" t="s">
        <v>25624</v>
      </c>
      <c r="Z4867" t="s">
        <v>32577</v>
      </c>
      <c r="AA4867">
        <v>0.1718044823751467</v>
      </c>
      <c r="AB4867" t="str">
        <f>HYPERLINK("Melting_Curves/meltCurve_Q8NEM2_SHCBP1.pdf", "Melting_Curves/meltCurve_Q8NEM2_SHCBP1.pdf")</f>
        <v>Melting_Curves/meltCurve_Q8NEM2_SHCBP1.pdf</v>
      </c>
    </row>
    <row r="4868" spans="1:28" x14ac:dyDescent="0.25">
      <c r="A4868" t="s">
        <v>4872</v>
      </c>
      <c r="B4868">
        <v>0.99999676499088797</v>
      </c>
      <c r="C4868">
        <v>0.98993718311939205</v>
      </c>
      <c r="D4868">
        <v>0.88634299639355096</v>
      </c>
      <c r="E4868">
        <v>0.63044364445840995</v>
      </c>
      <c r="F4868">
        <v>0.19063771650472899</v>
      </c>
      <c r="G4868">
        <v>0.12782268189561299</v>
      </c>
      <c r="H4868">
        <v>4.3792199172869598E-2</v>
      </c>
      <c r="I4868">
        <v>2.2311007119634699E-2</v>
      </c>
      <c r="J4868">
        <v>4.3887901664426597E-2</v>
      </c>
      <c r="K4868">
        <v>4.5192286261570402E-2</v>
      </c>
      <c r="L4868">
        <v>1283.7576562038701</v>
      </c>
      <c r="M4868">
        <v>25.531060428084999</v>
      </c>
      <c r="N4868">
        <v>50.440684974676898</v>
      </c>
      <c r="O4868">
        <v>49.976754901199101</v>
      </c>
      <c r="P4868">
        <v>-0.122793467010477</v>
      </c>
      <c r="Q4868">
        <v>3.8544789320908698E-2</v>
      </c>
      <c r="R4868">
        <v>0.99671596843044397</v>
      </c>
      <c r="S4868" t="s">
        <v>11871</v>
      </c>
      <c r="T4868" t="s">
        <v>14004</v>
      </c>
      <c r="U4868" t="s">
        <v>14004</v>
      </c>
      <c r="V4868" t="s">
        <v>14004</v>
      </c>
      <c r="W4868" t="s">
        <v>18817</v>
      </c>
      <c r="X4868">
        <v>5</v>
      </c>
      <c r="Y4868" t="s">
        <v>25625</v>
      </c>
      <c r="Z4868" t="s">
        <v>32578</v>
      </c>
      <c r="AA4868">
        <v>0.37633727350720919</v>
      </c>
      <c r="AB4868" t="str">
        <f>HYPERLINK("Melting_Curves/meltCurve_Q8NEN9_PDZD8.pdf", "Melting_Curves/meltCurve_Q8NEN9_PDZD8.pdf")</f>
        <v>Melting_Curves/meltCurve_Q8NEN9_PDZD8.pdf</v>
      </c>
    </row>
    <row r="4869" spans="1:28" x14ac:dyDescent="0.25">
      <c r="A4869" t="s">
        <v>4873</v>
      </c>
      <c r="B4869">
        <v>0.99999676499088797</v>
      </c>
      <c r="C4869">
        <v>1.01611861167837</v>
      </c>
      <c r="D4869">
        <v>0.76756290936202198</v>
      </c>
      <c r="E4869">
        <v>0.17846768740993399</v>
      </c>
      <c r="F4869">
        <v>5.2460369386314903E-2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1744.7834584567699</v>
      </c>
      <c r="M4869">
        <v>36.7143584867976</v>
      </c>
      <c r="N4869">
        <v>47.535048422592801</v>
      </c>
      <c r="O4869">
        <v>47.382861967899998</v>
      </c>
      <c r="P4869">
        <v>-0.19282895898325</v>
      </c>
      <c r="Q4869">
        <v>4.5572021645942902E-3</v>
      </c>
      <c r="R4869">
        <v>0.99874766768817103</v>
      </c>
      <c r="S4869" t="s">
        <v>11872</v>
      </c>
      <c r="T4869" t="s">
        <v>14004</v>
      </c>
      <c r="U4869" t="s">
        <v>14004</v>
      </c>
      <c r="V4869" t="s">
        <v>14004</v>
      </c>
      <c r="W4869" t="s">
        <v>18818</v>
      </c>
      <c r="X4869">
        <v>2</v>
      </c>
      <c r="Y4869" t="s">
        <v>25626</v>
      </c>
      <c r="Z4869" t="s">
        <v>32579</v>
      </c>
      <c r="AA4869">
        <v>0.25810485455182708</v>
      </c>
      <c r="AB4869" t="str">
        <f>HYPERLINK("Melting_Curves/meltCurve_Q8NEZ2_2_VPS37A.pdf", "Melting_Curves/meltCurve_Q8NEZ2_2_VPS37A.pdf")</f>
        <v>Melting_Curves/meltCurve_Q8NEZ2_2_VPS37A.pdf</v>
      </c>
    </row>
    <row r="4870" spans="1:28" x14ac:dyDescent="0.25">
      <c r="A4870" t="s">
        <v>4874</v>
      </c>
      <c r="B4870">
        <v>0.99999676499088797</v>
      </c>
      <c r="C4870">
        <v>0.97855233453088797</v>
      </c>
      <c r="D4870">
        <v>0.87570277058850099</v>
      </c>
      <c r="E4870">
        <v>0.64074977378653697</v>
      </c>
      <c r="F4870">
        <v>0.315682690732491</v>
      </c>
      <c r="G4870">
        <v>0.176242110412205</v>
      </c>
      <c r="H4870">
        <v>8.1178309638865798E-2</v>
      </c>
      <c r="I4870">
        <v>7.9826839248410497E-2</v>
      </c>
      <c r="J4870">
        <v>7.5092716533604303E-2</v>
      </c>
      <c r="K4870">
        <v>6.13097383013812E-2</v>
      </c>
      <c r="L4870">
        <v>990.96565938203798</v>
      </c>
      <c r="M4870">
        <v>19.548835225025499</v>
      </c>
      <c r="N4870">
        <v>51.027527838190998</v>
      </c>
      <c r="O4870">
        <v>50.170288400696201</v>
      </c>
      <c r="P4870">
        <v>-9.1537297774203302E-2</v>
      </c>
      <c r="Q4870">
        <v>6.0345235277581101E-2</v>
      </c>
      <c r="R4870">
        <v>0.99937209544467098</v>
      </c>
      <c r="S4870" t="s">
        <v>11873</v>
      </c>
      <c r="T4870" t="s">
        <v>14004</v>
      </c>
      <c r="U4870" t="s">
        <v>14004</v>
      </c>
      <c r="V4870" t="s">
        <v>14004</v>
      </c>
      <c r="W4870" t="s">
        <v>18819</v>
      </c>
      <c r="X4870">
        <v>8</v>
      </c>
      <c r="Y4870" t="s">
        <v>25627</v>
      </c>
      <c r="Z4870" t="s">
        <v>32580</v>
      </c>
      <c r="AA4870">
        <v>0.40886094132448858</v>
      </c>
      <c r="AB4870" t="str">
        <f>HYPERLINK("Melting_Curves/meltCurve_Q8NEZ5_FBXO22.pdf", "Melting_Curves/meltCurve_Q8NEZ5_FBXO22.pdf")</f>
        <v>Melting_Curves/meltCurve_Q8NEZ5_FBXO22.pdf</v>
      </c>
    </row>
    <row r="4871" spans="1:28" x14ac:dyDescent="0.25">
      <c r="A4871" t="s">
        <v>4875</v>
      </c>
      <c r="B4871">
        <v>0.99999676499088797</v>
      </c>
      <c r="C4871">
        <v>1.0136877547613901</v>
      </c>
      <c r="D4871">
        <v>1.00992544601698</v>
      </c>
      <c r="E4871">
        <v>0.83046111584598403</v>
      </c>
      <c r="F4871">
        <v>0.28325698899433399</v>
      </c>
      <c r="G4871">
        <v>0.14451816257841499</v>
      </c>
      <c r="H4871">
        <v>8.8073953277311698E-2</v>
      </c>
      <c r="I4871">
        <v>7.8091340204438406E-2</v>
      </c>
      <c r="J4871">
        <v>6.5670996927787398E-2</v>
      </c>
      <c r="K4871">
        <v>6.6781295971453103E-2</v>
      </c>
      <c r="L4871">
        <v>1958.4284634916601</v>
      </c>
      <c r="M4871">
        <v>38.019516064700703</v>
      </c>
      <c r="N4871">
        <v>51.752451174674199</v>
      </c>
      <c r="O4871">
        <v>51.369246694131398</v>
      </c>
      <c r="P4871">
        <v>-0.17000138658134301</v>
      </c>
      <c r="Q4871">
        <v>8.1227552799427893E-2</v>
      </c>
      <c r="R4871">
        <v>0.99854622582623798</v>
      </c>
      <c r="S4871" t="s">
        <v>11874</v>
      </c>
      <c r="T4871" t="s">
        <v>14004</v>
      </c>
      <c r="U4871" t="s">
        <v>14004</v>
      </c>
      <c r="V4871" t="s">
        <v>14004</v>
      </c>
      <c r="W4871" t="s">
        <v>18820</v>
      </c>
      <c r="X4871">
        <v>10</v>
      </c>
      <c r="Y4871" t="s">
        <v>25628</v>
      </c>
      <c r="Z4871" t="s">
        <v>32581</v>
      </c>
      <c r="AA4871">
        <v>0.43738710766576072</v>
      </c>
      <c r="AB4871" t="str">
        <f>HYPERLINK("Melting_Curves/meltCurve_Q8NF37_LPCAT1.pdf", "Melting_Curves/meltCurve_Q8NF37_LPCAT1.pdf")</f>
        <v>Melting_Curves/meltCurve_Q8NF37_LPCAT1.pdf</v>
      </c>
    </row>
    <row r="4872" spans="1:28" x14ac:dyDescent="0.25">
      <c r="A4872" t="s">
        <v>4876</v>
      </c>
      <c r="B4872">
        <v>0.99999676499088797</v>
      </c>
      <c r="C4872">
        <v>0.93943154995299105</v>
      </c>
      <c r="D4872">
        <v>0.961715535229269</v>
      </c>
      <c r="E4872">
        <v>1.0265980005497299</v>
      </c>
      <c r="F4872">
        <v>0.93683171750808303</v>
      </c>
      <c r="G4872">
        <v>0.84416888765208697</v>
      </c>
      <c r="H4872">
        <v>0.64051032585495604</v>
      </c>
      <c r="I4872">
        <v>0.66056264866095304</v>
      </c>
      <c r="J4872">
        <v>0.59436704457929901</v>
      </c>
      <c r="K4872">
        <v>0.73794082268235095</v>
      </c>
      <c r="L4872">
        <v>2273.98943238733</v>
      </c>
      <c r="M4872">
        <v>40.050154112968002</v>
      </c>
      <c r="O4872">
        <v>56.637538536289</v>
      </c>
      <c r="P4872">
        <v>-6.1204908104276298E-2</v>
      </c>
      <c r="Q4872">
        <v>0.653785282766703</v>
      </c>
      <c r="R4872">
        <v>0.91588863107473995</v>
      </c>
      <c r="S4872" t="s">
        <v>11875</v>
      </c>
      <c r="T4872" t="s">
        <v>14004</v>
      </c>
      <c r="U4872" t="s">
        <v>14004</v>
      </c>
      <c r="V4872" t="s">
        <v>14004</v>
      </c>
      <c r="W4872" t="s">
        <v>18821</v>
      </c>
      <c r="X4872">
        <v>90</v>
      </c>
      <c r="Y4872" t="s">
        <v>25629</v>
      </c>
      <c r="Z4872" t="s">
        <v>32582</v>
      </c>
      <c r="AA4872">
        <v>0.84875988959192372</v>
      </c>
      <c r="AB4872" t="str">
        <f>HYPERLINK("Melting_Curves/meltCurve_Q8NFC6_BOD1L1.pdf", "Melting_Curves/meltCurve_Q8NFC6_BOD1L1.pdf")</f>
        <v>Melting_Curves/meltCurve_Q8NFC6_BOD1L1.pdf</v>
      </c>
    </row>
    <row r="4873" spans="1:28" x14ac:dyDescent="0.25">
      <c r="A4873" t="s">
        <v>4877</v>
      </c>
      <c r="B4873">
        <v>0.99999676499088797</v>
      </c>
      <c r="C4873">
        <v>0.96864130777633095</v>
      </c>
      <c r="D4873">
        <v>0.90227142156832996</v>
      </c>
      <c r="E4873">
        <v>0.62137326909792501</v>
      </c>
      <c r="F4873">
        <v>0.32824897095017402</v>
      </c>
      <c r="G4873">
        <v>0.23527341134089799</v>
      </c>
      <c r="H4873">
        <v>0.13597631640715199</v>
      </c>
      <c r="I4873">
        <v>0.123673240319377</v>
      </c>
      <c r="J4873">
        <v>0.119981528686399</v>
      </c>
      <c r="K4873">
        <v>0.11214369063284001</v>
      </c>
      <c r="L4873">
        <v>1009.3858071252899</v>
      </c>
      <c r="M4873">
        <v>20.032570404064099</v>
      </c>
      <c r="N4873">
        <v>51.059196486824902</v>
      </c>
      <c r="O4873">
        <v>49.893185212437302</v>
      </c>
      <c r="P4873">
        <v>-8.87491126186669E-2</v>
      </c>
      <c r="Q4873">
        <v>0.11587327282313099</v>
      </c>
      <c r="R4873">
        <v>0.99844469929478397</v>
      </c>
      <c r="S4873" t="s">
        <v>11876</v>
      </c>
      <c r="T4873" t="s">
        <v>14004</v>
      </c>
      <c r="U4873" t="s">
        <v>14004</v>
      </c>
      <c r="V4873" t="s">
        <v>14004</v>
      </c>
      <c r="W4873" t="s">
        <v>18822</v>
      </c>
      <c r="X4873">
        <v>6</v>
      </c>
      <c r="Y4873" t="s">
        <v>25630</v>
      </c>
      <c r="Z4873" t="s">
        <v>32583</v>
      </c>
      <c r="AA4873">
        <v>0.43424836138291317</v>
      </c>
      <c r="AB4873" t="str">
        <f>HYPERLINK("Melting_Curves/meltCurve_Q8NFF5_2_FLAD1.pdf", "Melting_Curves/meltCurve_Q8NFF5_2_FLAD1.pdf")</f>
        <v>Melting_Curves/meltCurve_Q8NFF5_2_FLAD1.pdf</v>
      </c>
    </row>
    <row r="4874" spans="1:28" x14ac:dyDescent="0.25">
      <c r="A4874" t="s">
        <v>4878</v>
      </c>
      <c r="B4874">
        <v>0.99999676499088797</v>
      </c>
      <c r="C4874">
        <v>1.05498084884099</v>
      </c>
      <c r="D4874">
        <v>0.99559757365709201</v>
      </c>
      <c r="E4874">
        <v>0.93656261046187095</v>
      </c>
      <c r="F4874">
        <v>0.86705084580469305</v>
      </c>
      <c r="G4874">
        <v>0.77739732510111603</v>
      </c>
      <c r="H4874">
        <v>0.41981460756148398</v>
      </c>
      <c r="I4874">
        <v>0.18298488098864599</v>
      </c>
      <c r="J4874">
        <v>9.5168958409703894E-2</v>
      </c>
      <c r="K4874">
        <v>6.1401239787722099E-2</v>
      </c>
      <c r="L4874">
        <v>1194.9552111871301</v>
      </c>
      <c r="M4874">
        <v>20.001126990602899</v>
      </c>
      <c r="N4874">
        <v>59.744394840459499</v>
      </c>
      <c r="O4874">
        <v>59.1567857433174</v>
      </c>
      <c r="P4874">
        <v>-8.4528671634108293E-2</v>
      </c>
      <c r="Q4874">
        <v>0</v>
      </c>
      <c r="R4874">
        <v>0.99280474202564495</v>
      </c>
      <c r="S4874" t="s">
        <v>11877</v>
      </c>
      <c r="T4874" t="s">
        <v>14004</v>
      </c>
      <c r="U4874" t="s">
        <v>14004</v>
      </c>
      <c r="V4874" t="s">
        <v>14004</v>
      </c>
      <c r="W4874" t="s">
        <v>18823</v>
      </c>
      <c r="X4874">
        <v>8</v>
      </c>
      <c r="Y4874" t="s">
        <v>25631</v>
      </c>
      <c r="Z4874" t="s">
        <v>32584</v>
      </c>
      <c r="AA4874">
        <v>0.66699122483920992</v>
      </c>
      <c r="AB4874" t="str">
        <f>HYPERLINK("Melting_Curves/meltCurve_Q8NFH3_NUP43.pdf", "Melting_Curves/meltCurve_Q8NFH3_NUP43.pdf")</f>
        <v>Melting_Curves/meltCurve_Q8NFH3_NUP43.pdf</v>
      </c>
    </row>
    <row r="4875" spans="1:28" x14ac:dyDescent="0.25">
      <c r="A4875" t="s">
        <v>4879</v>
      </c>
      <c r="B4875">
        <v>0.99999676499088797</v>
      </c>
      <c r="C4875">
        <v>0.92942155233728796</v>
      </c>
      <c r="D4875">
        <v>0.99322112841157595</v>
      </c>
      <c r="E4875">
        <v>1.0492482629632101</v>
      </c>
      <c r="F4875">
        <v>0.94135262062190805</v>
      </c>
      <c r="G4875">
        <v>0.71172594522005805</v>
      </c>
      <c r="H4875">
        <v>0.32509449787411498</v>
      </c>
      <c r="I4875">
        <v>0.2018364291101</v>
      </c>
      <c r="J4875">
        <v>0.17489518097606399</v>
      </c>
      <c r="K4875">
        <v>0.19667503695545899</v>
      </c>
      <c r="L4875">
        <v>1868.42426984235</v>
      </c>
      <c r="M4875">
        <v>32.282124980907099</v>
      </c>
      <c r="N4875">
        <v>58.668567093020499</v>
      </c>
      <c r="O4875">
        <v>57.657245260665398</v>
      </c>
      <c r="P4875">
        <v>-0.115287190706195</v>
      </c>
      <c r="Q4875">
        <v>0.17637279357107799</v>
      </c>
      <c r="R4875">
        <v>0.99343792933386499</v>
      </c>
      <c r="S4875" t="s">
        <v>11878</v>
      </c>
      <c r="T4875" t="s">
        <v>14004</v>
      </c>
      <c r="U4875" t="s">
        <v>14004</v>
      </c>
      <c r="V4875" t="s">
        <v>14004</v>
      </c>
      <c r="W4875" t="s">
        <v>18824</v>
      </c>
      <c r="X4875">
        <v>7</v>
      </c>
      <c r="Y4875" t="s">
        <v>25632</v>
      </c>
      <c r="Z4875" t="s">
        <v>32585</v>
      </c>
      <c r="AA4875">
        <v>0.67199294711043733</v>
      </c>
      <c r="AB4875" t="str">
        <f>HYPERLINK("Melting_Curves/meltCurve_Q8NFH4_NUP37.pdf", "Melting_Curves/meltCurve_Q8NFH4_NUP37.pdf")</f>
        <v>Melting_Curves/meltCurve_Q8NFH4_NUP37.pdf</v>
      </c>
    </row>
    <row r="4876" spans="1:28" x14ac:dyDescent="0.25">
      <c r="A4876" t="s">
        <v>4880</v>
      </c>
      <c r="B4876">
        <v>0.99999676499088797</v>
      </c>
      <c r="C4876">
        <v>0.99594554530774804</v>
      </c>
      <c r="D4876">
        <v>1.0106786111563499</v>
      </c>
      <c r="E4876">
        <v>0.94421908543588995</v>
      </c>
      <c r="F4876">
        <v>0.75164869744040697</v>
      </c>
      <c r="G4876">
        <v>0.38384537643566302</v>
      </c>
      <c r="H4876">
        <v>0.11583672009404</v>
      </c>
      <c r="I4876">
        <v>0.102711211617807</v>
      </c>
      <c r="J4876">
        <v>0.111620733146508</v>
      </c>
      <c r="K4876">
        <v>8.6958717197460705E-2</v>
      </c>
      <c r="L4876">
        <v>1515.1870859044</v>
      </c>
      <c r="M4876">
        <v>27.472038104340498</v>
      </c>
      <c r="N4876">
        <v>55.521527579304902</v>
      </c>
      <c r="O4876">
        <v>54.864031836228399</v>
      </c>
      <c r="P4876">
        <v>-0.114770686094056</v>
      </c>
      <c r="Q4876">
        <v>8.3180602064273898E-2</v>
      </c>
      <c r="R4876">
        <v>0.99857888311760701</v>
      </c>
      <c r="S4876" t="s">
        <v>11879</v>
      </c>
      <c r="T4876" t="s">
        <v>14004</v>
      </c>
      <c r="U4876" t="s">
        <v>14004</v>
      </c>
      <c r="V4876" t="s">
        <v>14004</v>
      </c>
      <c r="W4876" t="s">
        <v>18825</v>
      </c>
      <c r="X4876">
        <v>14</v>
      </c>
      <c r="Y4876" t="s">
        <v>25633</v>
      </c>
      <c r="Z4876" t="s">
        <v>32586</v>
      </c>
      <c r="AA4876">
        <v>0.5534566904501812</v>
      </c>
      <c r="AB4876" t="str">
        <f>HYPERLINK("Melting_Curves/meltCurve_Q8NFI3_ENGASE.pdf", "Melting_Curves/meltCurve_Q8NFI3_ENGASE.pdf")</f>
        <v>Melting_Curves/meltCurve_Q8NFI3_ENGASE.pdf</v>
      </c>
    </row>
    <row r="4877" spans="1:28" x14ac:dyDescent="0.25">
      <c r="A4877" t="s">
        <v>4881</v>
      </c>
      <c r="B4877">
        <v>0.99999676499088797</v>
      </c>
      <c r="C4877">
        <v>0.92431706378564504</v>
      </c>
      <c r="D4877">
        <v>1.04271310190945</v>
      </c>
      <c r="E4877">
        <v>1.0019870942054601</v>
      </c>
      <c r="F4877">
        <v>0.74330233229297205</v>
      </c>
      <c r="G4877">
        <v>0.44578072744703601</v>
      </c>
      <c r="H4877">
        <v>0.20336035380114301</v>
      </c>
      <c r="I4877">
        <v>0.183578344115295</v>
      </c>
      <c r="J4877">
        <v>0.13571594759755901</v>
      </c>
      <c r="K4877">
        <v>0.19358246057572101</v>
      </c>
      <c r="L4877">
        <v>1492.8550065501499</v>
      </c>
      <c r="M4877">
        <v>27.069702606578399</v>
      </c>
      <c r="N4877">
        <v>55.940057491293999</v>
      </c>
      <c r="O4877">
        <v>54.850238733125202</v>
      </c>
      <c r="P4877">
        <v>-0.103751620388079</v>
      </c>
      <c r="Q4877">
        <v>0.15909769114832001</v>
      </c>
      <c r="R4877">
        <v>0.99041319956474305</v>
      </c>
      <c r="S4877" t="s">
        <v>11880</v>
      </c>
      <c r="T4877" t="s">
        <v>14004</v>
      </c>
      <c r="U4877" t="s">
        <v>14004</v>
      </c>
      <c r="V4877" t="s">
        <v>14004</v>
      </c>
      <c r="W4877" t="s">
        <v>18826</v>
      </c>
      <c r="X4877">
        <v>9</v>
      </c>
      <c r="Y4877" t="s">
        <v>25634</v>
      </c>
      <c r="Z4877" t="s">
        <v>32587</v>
      </c>
      <c r="AA4877">
        <v>0.59046415195330759</v>
      </c>
      <c r="AB4877" t="str">
        <f>HYPERLINK("Melting_Curves/meltCurve_Q8NFQ8_TOR1AIP2.pdf", "Melting_Curves/meltCurve_Q8NFQ8_TOR1AIP2.pdf")</f>
        <v>Melting_Curves/meltCurve_Q8NFQ8_TOR1AIP2.pdf</v>
      </c>
    </row>
    <row r="4878" spans="1:28" x14ac:dyDescent="0.25">
      <c r="A4878" t="s">
        <v>4882</v>
      </c>
      <c r="B4878">
        <v>0.99999676499088797</v>
      </c>
      <c r="C4878">
        <v>0.922115844910945</v>
      </c>
      <c r="D4878">
        <v>0.98861585917363803</v>
      </c>
      <c r="E4878">
        <v>0.93448453990403502</v>
      </c>
      <c r="F4878">
        <v>0.61002759808725004</v>
      </c>
      <c r="G4878">
        <v>0.41286438560382699</v>
      </c>
      <c r="H4878">
        <v>0.23358243799599501</v>
      </c>
      <c r="I4878">
        <v>0.29079482225202502</v>
      </c>
      <c r="J4878">
        <v>0.32134842901119398</v>
      </c>
      <c r="K4878">
        <v>0.35497926401190899</v>
      </c>
      <c r="L4878">
        <v>1667.5228732191099</v>
      </c>
      <c r="M4878">
        <v>31.515177399197</v>
      </c>
      <c r="N4878">
        <v>54.528047123447301</v>
      </c>
      <c r="O4878">
        <v>52.7000652372923</v>
      </c>
      <c r="P4878">
        <v>-0.104122484474291</v>
      </c>
      <c r="Q4878">
        <v>0.30354416572811899</v>
      </c>
      <c r="R4878">
        <v>0.98123252600560096</v>
      </c>
      <c r="S4878" t="s">
        <v>11881</v>
      </c>
      <c r="T4878" t="s">
        <v>14004</v>
      </c>
      <c r="U4878" t="s">
        <v>14004</v>
      </c>
      <c r="V4878" t="s">
        <v>14004</v>
      </c>
      <c r="W4878" t="s">
        <v>18827</v>
      </c>
      <c r="X4878">
        <v>8</v>
      </c>
      <c r="Y4878" t="s">
        <v>25635</v>
      </c>
      <c r="Z4878" t="s">
        <v>32588</v>
      </c>
      <c r="AA4878">
        <v>0.60738670416795038</v>
      </c>
      <c r="AB4878" t="str">
        <f>HYPERLINK("Melting_Curves/meltCurve_Q8NFU3_TSTD1.pdf", "Melting_Curves/meltCurve_Q8NFU3_TSTD1.pdf")</f>
        <v>Melting_Curves/meltCurve_Q8NFU3_TSTD1.pdf</v>
      </c>
    </row>
    <row r="4879" spans="1:28" x14ac:dyDescent="0.25">
      <c r="A4879" t="s">
        <v>4883</v>
      </c>
      <c r="B4879">
        <v>0.99999676499088797</v>
      </c>
      <c r="C4879">
        <v>0.91595709280510196</v>
      </c>
      <c r="D4879">
        <v>0.74710397082838298</v>
      </c>
      <c r="E4879">
        <v>0.35650596712254201</v>
      </c>
      <c r="F4879">
        <v>0.126247977178506</v>
      </c>
      <c r="G4879">
        <v>0.102443147064844</v>
      </c>
      <c r="H4879">
        <v>0</v>
      </c>
      <c r="I4879">
        <v>0</v>
      </c>
      <c r="J4879">
        <v>0</v>
      </c>
      <c r="K4879">
        <v>0</v>
      </c>
      <c r="L4879">
        <v>978.27169100644198</v>
      </c>
      <c r="M4879">
        <v>20.262093043091699</v>
      </c>
      <c r="N4879">
        <v>48.294329636866003</v>
      </c>
      <c r="O4879">
        <v>47.817979344074899</v>
      </c>
      <c r="P4879">
        <v>-0.105638656907347</v>
      </c>
      <c r="Q4879">
        <v>2.8135876673033998E-3</v>
      </c>
      <c r="R4879">
        <v>0.997174348591925</v>
      </c>
      <c r="S4879" t="s">
        <v>11882</v>
      </c>
      <c r="T4879" t="s">
        <v>14004</v>
      </c>
      <c r="U4879" t="s">
        <v>14004</v>
      </c>
      <c r="V4879" t="s">
        <v>14004</v>
      </c>
      <c r="W4879" t="s">
        <v>18828</v>
      </c>
      <c r="X4879">
        <v>1</v>
      </c>
      <c r="Y4879" t="s">
        <v>25636</v>
      </c>
      <c r="Z4879" t="s">
        <v>32589</v>
      </c>
      <c r="AA4879">
        <v>0.29178389776001012</v>
      </c>
      <c r="AB4879" t="str">
        <f>HYPERLINK("Melting_Curves/meltCurve_Q8NFU5_IPMK.pdf", "Melting_Curves/meltCurve_Q8NFU5_IPMK.pdf")</f>
        <v>Melting_Curves/meltCurve_Q8NFU5_IPMK.pdf</v>
      </c>
    </row>
    <row r="4880" spans="1:28" x14ac:dyDescent="0.25">
      <c r="A4880" t="s">
        <v>4884</v>
      </c>
      <c r="B4880">
        <v>0.99999676499088797</v>
      </c>
      <c r="C4880">
        <v>0.97691892336179098</v>
      </c>
      <c r="D4880">
        <v>0.87305393884353899</v>
      </c>
      <c r="E4880">
        <v>0.55243285357592797</v>
      </c>
      <c r="F4880">
        <v>0.283865824109928</v>
      </c>
      <c r="G4880">
        <v>0.20144645848015699</v>
      </c>
      <c r="H4880">
        <v>8.9904711615131305E-2</v>
      </c>
      <c r="I4880">
        <v>7.7684529013221607E-2</v>
      </c>
      <c r="J4880">
        <v>7.5416036933358493E-2</v>
      </c>
      <c r="K4880">
        <v>6.6287468511376901E-2</v>
      </c>
      <c r="L4880">
        <v>969.75247387431898</v>
      </c>
      <c r="M4880">
        <v>19.397784780439899</v>
      </c>
      <c r="N4880">
        <v>50.397961149701402</v>
      </c>
      <c r="O4880">
        <v>49.470741630830503</v>
      </c>
      <c r="P4880">
        <v>-9.0955201867786495E-2</v>
      </c>
      <c r="Q4880">
        <v>7.2171477372996007E-2</v>
      </c>
      <c r="R4880">
        <v>0.99754995914129896</v>
      </c>
      <c r="S4880" t="s">
        <v>11883</v>
      </c>
      <c r="T4880" t="s">
        <v>14004</v>
      </c>
      <c r="U4880" t="s">
        <v>14004</v>
      </c>
      <c r="V4880" t="s">
        <v>14004</v>
      </c>
      <c r="W4880" t="s">
        <v>18829</v>
      </c>
      <c r="X4880">
        <v>5</v>
      </c>
      <c r="Y4880" t="s">
        <v>25637</v>
      </c>
      <c r="Z4880" t="s">
        <v>32590</v>
      </c>
      <c r="AA4880">
        <v>0.39493782172951247</v>
      </c>
      <c r="AB4880" t="str">
        <f>HYPERLINK("Melting_Curves/meltCurve_Q8NFV4_4_ABHD11.pdf", "Melting_Curves/meltCurve_Q8NFV4_4_ABHD11.pdf")</f>
        <v>Melting_Curves/meltCurve_Q8NFV4_4_ABHD11.pdf</v>
      </c>
    </row>
    <row r="4881" spans="1:28" x14ac:dyDescent="0.25">
      <c r="A4881" t="s">
        <v>4885</v>
      </c>
      <c r="B4881">
        <v>0.99999676499088797</v>
      </c>
      <c r="C4881">
        <v>0.96846364599589496</v>
      </c>
      <c r="D4881">
        <v>0.99506828876527498</v>
      </c>
      <c r="E4881">
        <v>0.96857210729778798</v>
      </c>
      <c r="F4881">
        <v>0.16832248212836401</v>
      </c>
      <c r="G4881">
        <v>0.130264253416562</v>
      </c>
      <c r="H4881">
        <v>7.0436201412560101E-2</v>
      </c>
      <c r="I4881">
        <v>5.9095529916761202E-2</v>
      </c>
      <c r="J4881">
        <v>6.5840974004504602E-2</v>
      </c>
      <c r="K4881">
        <v>6.22619253853934E-2</v>
      </c>
      <c r="L4881">
        <v>4035.1214255780401</v>
      </c>
      <c r="M4881">
        <v>78.0477939836545</v>
      </c>
      <c r="N4881">
        <v>51.8120069878672</v>
      </c>
      <c r="O4881">
        <v>51.666734682470299</v>
      </c>
      <c r="P4881">
        <v>-0.34848319319557097</v>
      </c>
      <c r="Q4881">
        <v>7.7232806772659604E-2</v>
      </c>
      <c r="R4881">
        <v>0.99766187117336202</v>
      </c>
      <c r="S4881" t="s">
        <v>11884</v>
      </c>
      <c r="T4881" t="s">
        <v>14004</v>
      </c>
      <c r="U4881" t="s">
        <v>14004</v>
      </c>
      <c r="V4881" t="s">
        <v>14004</v>
      </c>
      <c r="W4881" t="s">
        <v>18830</v>
      </c>
      <c r="X4881">
        <v>13</v>
      </c>
      <c r="Y4881" t="s">
        <v>25638</v>
      </c>
      <c r="Z4881" t="s">
        <v>32591</v>
      </c>
      <c r="AA4881">
        <v>0.43799272675219753</v>
      </c>
      <c r="AB4881" t="str">
        <f>HYPERLINK("Melting_Curves/meltCurve_Q8NFW8_CMAS.pdf", "Melting_Curves/meltCurve_Q8NFW8_CMAS.pdf")</f>
        <v>Melting_Curves/meltCurve_Q8NFW8_CMAS.pdf</v>
      </c>
    </row>
    <row r="4882" spans="1:28" x14ac:dyDescent="0.25">
      <c r="A4882" t="s">
        <v>4886</v>
      </c>
      <c r="B4882">
        <v>0.99999676499088797</v>
      </c>
      <c r="C4882">
        <v>0.94177892642331695</v>
      </c>
      <c r="D4882">
        <v>0.91977578525682302</v>
      </c>
      <c r="E4882">
        <v>0.69424666250894895</v>
      </c>
      <c r="F4882">
        <v>0.32747842731793902</v>
      </c>
      <c r="G4882">
        <v>0.243908738855348</v>
      </c>
      <c r="H4882">
        <v>0.117623185442617</v>
      </c>
      <c r="I4882">
        <v>0.12865296218632799</v>
      </c>
      <c r="J4882">
        <v>0.142267810842062</v>
      </c>
      <c r="K4882">
        <v>0.10282259406001799</v>
      </c>
      <c r="L4882">
        <v>1102.0535677521</v>
      </c>
      <c r="M4882">
        <v>21.677523841251102</v>
      </c>
      <c r="N4882">
        <v>51.477163275712599</v>
      </c>
      <c r="O4882">
        <v>50.411830407445599</v>
      </c>
      <c r="P4882">
        <v>-9.4829744242827294E-2</v>
      </c>
      <c r="Q4882">
        <v>0.117901507293076</v>
      </c>
      <c r="R4882">
        <v>0.99498017992833998</v>
      </c>
      <c r="S4882" t="s">
        <v>11885</v>
      </c>
      <c r="T4882" t="s">
        <v>14004</v>
      </c>
      <c r="U4882" t="s">
        <v>14004</v>
      </c>
      <c r="V4882" t="s">
        <v>14004</v>
      </c>
      <c r="W4882" t="s">
        <v>18831</v>
      </c>
      <c r="X4882">
        <v>10</v>
      </c>
      <c r="Y4882" t="s">
        <v>25639</v>
      </c>
      <c r="Z4882" t="s">
        <v>32592</v>
      </c>
      <c r="AA4882">
        <v>0.4470971825073175</v>
      </c>
      <c r="AB4882" t="str">
        <f>HYPERLINK("Melting_Curves/meltCurve_Q8NFY9_KBTBD8.pdf", "Melting_Curves/meltCurve_Q8NFY9_KBTBD8.pdf")</f>
        <v>Melting_Curves/meltCurve_Q8NFY9_KBTBD8.pdf</v>
      </c>
    </row>
    <row r="4883" spans="1:28" x14ac:dyDescent="0.25">
      <c r="A4883" t="s">
        <v>4887</v>
      </c>
      <c r="B4883">
        <v>0.99999676499088797</v>
      </c>
      <c r="C4883">
        <v>1.09302737323466</v>
      </c>
      <c r="D4883">
        <v>1.06464970430729</v>
      </c>
      <c r="E4883">
        <v>1.0149281136527299</v>
      </c>
      <c r="F4883">
        <v>0.97113800953155505</v>
      </c>
      <c r="G4883">
        <v>0.90383349518922596</v>
      </c>
      <c r="H4883">
        <v>0.58402681856250505</v>
      </c>
      <c r="I4883">
        <v>0.63384381445042004</v>
      </c>
      <c r="J4883">
        <v>0.62520730912261202</v>
      </c>
      <c r="K4883">
        <v>0.65392580163152503</v>
      </c>
      <c r="L4883">
        <v>14260.6178685635</v>
      </c>
      <c r="M4883">
        <v>250</v>
      </c>
      <c r="O4883">
        <v>57.038810712835399</v>
      </c>
      <c r="P4883">
        <v>-0.41172515347786998</v>
      </c>
      <c r="Q4883">
        <v>0.62425092207164701</v>
      </c>
      <c r="R4883">
        <v>0.95647449485722902</v>
      </c>
      <c r="S4883" t="s">
        <v>11886</v>
      </c>
      <c r="T4883" t="s">
        <v>14004</v>
      </c>
      <c r="U4883" t="s">
        <v>14004</v>
      </c>
      <c r="V4883" t="s">
        <v>14004</v>
      </c>
      <c r="W4883" t="s">
        <v>18832</v>
      </c>
      <c r="X4883">
        <v>6</v>
      </c>
      <c r="Y4883" t="s">
        <v>25640</v>
      </c>
      <c r="Z4883" t="s">
        <v>32593</v>
      </c>
      <c r="AA4883">
        <v>0.83774496920682273</v>
      </c>
      <c r="AB4883" t="str">
        <f>HYPERLINK("Melting_Curves/meltCurve_Q8NFZ8_CADM4.pdf", "Melting_Curves/meltCurve_Q8NFZ8_CADM4.pdf")</f>
        <v>Melting_Curves/meltCurve_Q8NFZ8_CADM4.pdf</v>
      </c>
    </row>
    <row r="4884" spans="1:28" x14ac:dyDescent="0.25">
      <c r="A4884" t="s">
        <v>4888</v>
      </c>
      <c r="B4884">
        <v>0.99999676499088797</v>
      </c>
      <c r="C4884">
        <v>0.90624569167204505</v>
      </c>
      <c r="D4884">
        <v>0.88124794559106501</v>
      </c>
      <c r="E4884">
        <v>0.868572938730095</v>
      </c>
      <c r="F4884">
        <v>0.94702822549042398</v>
      </c>
      <c r="G4884">
        <v>0.78271279059927001</v>
      </c>
      <c r="H4884">
        <v>0.64409593260493603</v>
      </c>
      <c r="I4884">
        <v>0.57388823923022003</v>
      </c>
      <c r="J4884">
        <v>0.486831717851259</v>
      </c>
      <c r="K4884">
        <v>0.58152441652939701</v>
      </c>
      <c r="L4884">
        <v>421.113085522809</v>
      </c>
      <c r="M4884">
        <v>6.6793070194244804</v>
      </c>
      <c r="O4884">
        <v>58.116389671448303</v>
      </c>
      <c r="P4884">
        <v>-2.1450090315799301E-2</v>
      </c>
      <c r="Q4884">
        <v>0.25509339975253997</v>
      </c>
      <c r="R4884">
        <v>0.88397815644128497</v>
      </c>
      <c r="S4884" t="s">
        <v>11887</v>
      </c>
      <c r="T4884" t="s">
        <v>14004</v>
      </c>
      <c r="U4884" t="s">
        <v>14004</v>
      </c>
      <c r="V4884" t="s">
        <v>14004</v>
      </c>
      <c r="W4884" t="s">
        <v>18833</v>
      </c>
      <c r="X4884">
        <v>5</v>
      </c>
      <c r="Y4884" t="s">
        <v>25641</v>
      </c>
      <c r="Z4884" t="s">
        <v>32594</v>
      </c>
      <c r="AA4884">
        <v>0.77811453189188129</v>
      </c>
      <c r="AB4884" t="str">
        <f>HYPERLINK("Melting_Curves/meltCurve_Q8NG11_2_TSPAN14.pdf", "Melting_Curves/meltCurve_Q8NG11_2_TSPAN14.pdf")</f>
        <v>Melting_Curves/meltCurve_Q8NG11_2_TSPAN14.pdf</v>
      </c>
    </row>
    <row r="4885" spans="1:28" x14ac:dyDescent="0.25">
      <c r="A4885" t="s">
        <v>4889</v>
      </c>
      <c r="B4885">
        <v>0.99999676499088797</v>
      </c>
      <c r="C4885">
        <v>1.0942444449314599</v>
      </c>
      <c r="D4885">
        <v>1.01983946542533</v>
      </c>
      <c r="E4885">
        <v>0.92214658535605398</v>
      </c>
      <c r="F4885">
        <v>0.36267214091917099</v>
      </c>
      <c r="G4885">
        <v>0.228868805541455</v>
      </c>
      <c r="H4885">
        <v>9.6504090584610999E-2</v>
      </c>
      <c r="I4885">
        <v>9.4707285046464099E-2</v>
      </c>
      <c r="J4885">
        <v>9.0780177090409697E-2</v>
      </c>
      <c r="K4885">
        <v>6.79718860604685E-2</v>
      </c>
      <c r="L4885">
        <v>2053.5908460455798</v>
      </c>
      <c r="M4885">
        <v>39.358338330824502</v>
      </c>
      <c r="N4885">
        <v>52.488103443212196</v>
      </c>
      <c r="O4885">
        <v>52.042626950038297</v>
      </c>
      <c r="P4885">
        <v>-0.16938549226830199</v>
      </c>
      <c r="Q4885">
        <v>0.104104013308374</v>
      </c>
      <c r="R4885">
        <v>0.98868322488789895</v>
      </c>
      <c r="S4885" t="s">
        <v>11888</v>
      </c>
      <c r="T4885" t="s">
        <v>14004</v>
      </c>
      <c r="U4885" t="s">
        <v>14004</v>
      </c>
      <c r="V4885" t="s">
        <v>14004</v>
      </c>
      <c r="W4885" t="s">
        <v>18834</v>
      </c>
      <c r="X4885">
        <v>3</v>
      </c>
      <c r="Y4885" t="s">
        <v>25642</v>
      </c>
      <c r="Z4885" t="s">
        <v>32595</v>
      </c>
      <c r="AA4885">
        <v>0.4710772667423927</v>
      </c>
      <c r="AB4885" t="str">
        <f>HYPERLINK("Melting_Curves/meltCurve_Q8NG68_TTL.pdf", "Melting_Curves/meltCurve_Q8NG68_TTL.pdf")</f>
        <v>Melting_Curves/meltCurve_Q8NG68_TTL.pdf</v>
      </c>
    </row>
    <row r="4886" spans="1:28" x14ac:dyDescent="0.25">
      <c r="A4886" t="s">
        <v>4890</v>
      </c>
      <c r="B4886">
        <v>0.99999676499088797</v>
      </c>
      <c r="C4886">
        <v>0.98204994516147404</v>
      </c>
      <c r="D4886">
        <v>0.96760374357712697</v>
      </c>
      <c r="E4886">
        <v>0.80492819841595797</v>
      </c>
      <c r="F4886">
        <v>0.710058593477221</v>
      </c>
      <c r="G4886">
        <v>0.77874421171501895</v>
      </c>
      <c r="H4886">
        <v>0.41598017391674202</v>
      </c>
      <c r="I4886">
        <v>0.51585255701825605</v>
      </c>
      <c r="J4886">
        <v>0.57267535182095597</v>
      </c>
      <c r="K4886">
        <v>0.39861258074158101</v>
      </c>
      <c r="L4886">
        <v>583.32093730441102</v>
      </c>
      <c r="M4886">
        <v>10.6352571198624</v>
      </c>
      <c r="N4886">
        <v>64.4745491125732</v>
      </c>
      <c r="O4886">
        <v>53.015279373200599</v>
      </c>
      <c r="P4886">
        <v>-3.02116328948565E-2</v>
      </c>
      <c r="Q4886">
        <v>0.39782812763600101</v>
      </c>
      <c r="R4886">
        <v>0.88384093352273896</v>
      </c>
      <c r="S4886" t="s">
        <v>11889</v>
      </c>
      <c r="T4886" t="s">
        <v>14004</v>
      </c>
      <c r="U4886" t="s">
        <v>14004</v>
      </c>
      <c r="V4886" t="s">
        <v>14004</v>
      </c>
      <c r="W4886" t="s">
        <v>18835</v>
      </c>
      <c r="X4886">
        <v>3</v>
      </c>
      <c r="Y4886" t="s">
        <v>25643</v>
      </c>
      <c r="Z4886" t="s">
        <v>32596</v>
      </c>
      <c r="AA4886">
        <v>0.71137945654807677</v>
      </c>
      <c r="AB4886" t="str">
        <f>HYPERLINK("Melting_Curves/meltCurve_Q8NHG7_SVIP.pdf", "Melting_Curves/meltCurve_Q8NHG7_SVIP.pdf")</f>
        <v>Melting_Curves/meltCurve_Q8NHG7_SVIP.pdf</v>
      </c>
    </row>
    <row r="4887" spans="1:28" x14ac:dyDescent="0.25">
      <c r="A4887" t="s">
        <v>4891</v>
      </c>
      <c r="B4887">
        <v>0.99999676499088797</v>
      </c>
      <c r="C4887">
        <v>1.0056891206545999</v>
      </c>
      <c r="D4887">
        <v>0.95482061986658595</v>
      </c>
      <c r="E4887">
        <v>1.0244585154882899</v>
      </c>
      <c r="F4887">
        <v>0.83451741611978203</v>
      </c>
      <c r="G4887">
        <v>0.74094171466610703</v>
      </c>
      <c r="H4887">
        <v>0.44124394883203599</v>
      </c>
      <c r="I4887">
        <v>0.44967049702453099</v>
      </c>
      <c r="J4887">
        <v>0.38107903029274098</v>
      </c>
      <c r="K4887">
        <v>0.41120745794596503</v>
      </c>
      <c r="L4887">
        <v>1294.0660738727599</v>
      </c>
      <c r="M4887">
        <v>22.7980540569149</v>
      </c>
      <c r="N4887">
        <v>60.6004622979519</v>
      </c>
      <c r="O4887">
        <v>56.330803859936303</v>
      </c>
      <c r="P4887">
        <v>-6.2529332343431498E-2</v>
      </c>
      <c r="Q4887">
        <v>0.38200696923685201</v>
      </c>
      <c r="R4887">
        <v>0.97966951515584699</v>
      </c>
      <c r="S4887" t="s">
        <v>11890</v>
      </c>
      <c r="T4887" t="s">
        <v>14004</v>
      </c>
      <c r="U4887" t="s">
        <v>14004</v>
      </c>
      <c r="V4887" t="s">
        <v>14004</v>
      </c>
      <c r="W4887" t="s">
        <v>18836</v>
      </c>
      <c r="X4887">
        <v>5</v>
      </c>
      <c r="Y4887" t="s">
        <v>25644</v>
      </c>
      <c r="Z4887" t="s">
        <v>32597</v>
      </c>
      <c r="AA4887">
        <v>0.73373980522615123</v>
      </c>
      <c r="AB4887" t="str">
        <f>HYPERLINK("Melting_Curves/meltCurve_Q8NHG8_ZNRF2.pdf", "Melting_Curves/meltCurve_Q8NHG8_ZNRF2.pdf")</f>
        <v>Melting_Curves/meltCurve_Q8NHG8_ZNRF2.pdf</v>
      </c>
    </row>
    <row r="4888" spans="1:28" x14ac:dyDescent="0.25">
      <c r="A4888" t="s">
        <v>4892</v>
      </c>
      <c r="B4888">
        <v>0.99999676499088797</v>
      </c>
      <c r="C4888">
        <v>0.90046488208067799</v>
      </c>
      <c r="D4888">
        <v>0.84799207767326201</v>
      </c>
      <c r="E4888">
        <v>0.54788349405040504</v>
      </c>
      <c r="F4888">
        <v>0.19479268543098399</v>
      </c>
      <c r="G4888">
        <v>0.160109384832132</v>
      </c>
      <c r="H4888">
        <v>6.0748584105710601E-2</v>
      </c>
      <c r="I4888">
        <v>6.9103625904047894E-2</v>
      </c>
      <c r="J4888">
        <v>5.3491233964297898E-2</v>
      </c>
      <c r="K4888">
        <v>3.5619389292515402E-2</v>
      </c>
      <c r="L4888">
        <v>986.46631158579498</v>
      </c>
      <c r="M4888">
        <v>19.8835912073427</v>
      </c>
      <c r="N4888">
        <v>49.858551248352001</v>
      </c>
      <c r="O4888">
        <v>49.118423725339497</v>
      </c>
      <c r="P4888">
        <v>-9.6468393210185702E-2</v>
      </c>
      <c r="Q4888">
        <v>4.6808257101663801E-2</v>
      </c>
      <c r="R4888">
        <v>0.99366688356688404</v>
      </c>
      <c r="S4888" t="s">
        <v>11891</v>
      </c>
      <c r="T4888" t="s">
        <v>14004</v>
      </c>
      <c r="U4888" t="s">
        <v>14004</v>
      </c>
      <c r="V4888" t="s">
        <v>14004</v>
      </c>
      <c r="W4888" t="s">
        <v>18837</v>
      </c>
      <c r="X4888">
        <v>4</v>
      </c>
      <c r="Y4888" t="s">
        <v>25645</v>
      </c>
      <c r="Z4888" t="s">
        <v>32598</v>
      </c>
      <c r="AA4888">
        <v>0.36566126193582732</v>
      </c>
      <c r="AB4888" t="str">
        <f>HYPERLINK("Melting_Curves/meltCurve_Q8NHP6_MOSPD2.pdf", "Melting_Curves/meltCurve_Q8NHP6_MOSPD2.pdf")</f>
        <v>Melting_Curves/meltCurve_Q8NHP6_MOSPD2.pdf</v>
      </c>
    </row>
    <row r="4889" spans="1:28" x14ac:dyDescent="0.25">
      <c r="A4889" t="s">
        <v>4893</v>
      </c>
      <c r="B4889">
        <v>0.99999676499088797</v>
      </c>
      <c r="C4889">
        <v>0.99316933442515498</v>
      </c>
      <c r="D4889">
        <v>1.02382010670159</v>
      </c>
      <c r="E4889">
        <v>1.25227812337387</v>
      </c>
      <c r="F4889">
        <v>1.2559173480502901</v>
      </c>
      <c r="G4889">
        <v>1.01778629270868</v>
      </c>
      <c r="H4889">
        <v>0.62221926412935502</v>
      </c>
      <c r="I4889">
        <v>0.396473059005712</v>
      </c>
      <c r="J4889">
        <v>0.25488275178131797</v>
      </c>
      <c r="K4889">
        <v>0.264770628772312</v>
      </c>
      <c r="L4889">
        <v>2690.6645002865098</v>
      </c>
      <c r="M4889">
        <v>44.183437577016498</v>
      </c>
      <c r="N4889">
        <v>61.987268377612303</v>
      </c>
      <c r="O4889">
        <v>60.773227356208601</v>
      </c>
      <c r="P4889">
        <v>-0.132674038414312</v>
      </c>
      <c r="Q4889">
        <v>0.27004156247947098</v>
      </c>
      <c r="R4889">
        <v>0.899967387322954</v>
      </c>
      <c r="S4889" t="s">
        <v>11892</v>
      </c>
      <c r="T4889" t="s">
        <v>14004</v>
      </c>
      <c r="U4889" t="s">
        <v>14004</v>
      </c>
      <c r="V4889" t="s">
        <v>14004</v>
      </c>
      <c r="W4889" t="s">
        <v>18838</v>
      </c>
      <c r="X4889">
        <v>11</v>
      </c>
      <c r="Y4889" t="s">
        <v>25646</v>
      </c>
      <c r="Z4889" t="s">
        <v>32599</v>
      </c>
      <c r="AA4889">
        <v>0.78088602936390394</v>
      </c>
      <c r="AB4889" t="str">
        <f>HYPERLINK("Melting_Curves/meltCurve_Q8NHP8_PLBD2.pdf", "Melting_Curves/meltCurve_Q8NHP8_PLBD2.pdf")</f>
        <v>Melting_Curves/meltCurve_Q8NHP8_PLBD2.pdf</v>
      </c>
    </row>
    <row r="4890" spans="1:28" x14ac:dyDescent="0.25">
      <c r="A4890" t="s">
        <v>4894</v>
      </c>
      <c r="B4890">
        <v>0.99999676499088797</v>
      </c>
      <c r="C4890">
        <v>1.0098089313629901</v>
      </c>
      <c r="D4890">
        <v>0.95445917946029701</v>
      </c>
      <c r="E4890">
        <v>0.49993878642330702</v>
      </c>
      <c r="F4890">
        <v>0.27912249362276498</v>
      </c>
      <c r="G4890">
        <v>0.21866383357175001</v>
      </c>
      <c r="H4890">
        <v>0.114522332848203</v>
      </c>
      <c r="I4890">
        <v>0.158708599708132</v>
      </c>
      <c r="J4890">
        <v>0.161802721615419</v>
      </c>
      <c r="K4890">
        <v>0.131308960061361</v>
      </c>
      <c r="L4890">
        <v>1523.43344912513</v>
      </c>
      <c r="M4890">
        <v>30.937822718194301</v>
      </c>
      <c r="N4890">
        <v>49.857186406100602</v>
      </c>
      <c r="O4890">
        <v>49.037416370348403</v>
      </c>
      <c r="P4890">
        <v>-0.132692826934763</v>
      </c>
      <c r="Q4890">
        <v>0.15871573090812699</v>
      </c>
      <c r="R4890">
        <v>0.99251821123301998</v>
      </c>
      <c r="S4890" t="s">
        <v>11893</v>
      </c>
      <c r="T4890" t="s">
        <v>14004</v>
      </c>
      <c r="U4890" t="s">
        <v>14004</v>
      </c>
      <c r="V4890" t="s">
        <v>14004</v>
      </c>
      <c r="W4890" t="s">
        <v>18839</v>
      </c>
      <c r="X4890">
        <v>9</v>
      </c>
      <c r="Y4890" t="s">
        <v>25647</v>
      </c>
      <c r="Z4890" t="s">
        <v>32600</v>
      </c>
      <c r="AA4890">
        <v>0.4227100500483445</v>
      </c>
      <c r="AB4890" t="str">
        <f>HYPERLINK("Melting_Curves/meltCurve_Q8NHQ9_DDX55.pdf", "Melting_Curves/meltCurve_Q8NHQ9_DDX55.pdf")</f>
        <v>Melting_Curves/meltCurve_Q8NHQ9_DDX55.pdf</v>
      </c>
    </row>
    <row r="4891" spans="1:28" x14ac:dyDescent="0.25">
      <c r="A4891" t="s">
        <v>4895</v>
      </c>
      <c r="B4891">
        <v>0.99999676499088797</v>
      </c>
      <c r="C4891">
        <v>0.89150393049193999</v>
      </c>
      <c r="D4891">
        <v>0.61534648160164895</v>
      </c>
      <c r="E4891">
        <v>0.35138792769771499</v>
      </c>
      <c r="F4891">
        <v>0.25130094743887899</v>
      </c>
      <c r="G4891">
        <v>0.17113479641867599</v>
      </c>
      <c r="H4891">
        <v>8.8855495910144494E-2</v>
      </c>
      <c r="I4891">
        <v>9.7589538660469904E-2</v>
      </c>
      <c r="J4891">
        <v>8.4260445442918094E-2</v>
      </c>
      <c r="K4891">
        <v>6.2520200065163595E-2</v>
      </c>
      <c r="L4891">
        <v>792.93711279790898</v>
      </c>
      <c r="M4891">
        <v>16.769508364544699</v>
      </c>
      <c r="N4891">
        <v>47.816324356496601</v>
      </c>
      <c r="O4891">
        <v>46.627393178673699</v>
      </c>
      <c r="P4891">
        <v>-8.2267669091795295E-2</v>
      </c>
      <c r="Q4891">
        <v>8.5082751888336805E-2</v>
      </c>
      <c r="R4891">
        <v>0.99256252240503995</v>
      </c>
      <c r="S4891" t="s">
        <v>11894</v>
      </c>
      <c r="T4891" t="s">
        <v>14004</v>
      </c>
      <c r="U4891" t="s">
        <v>14004</v>
      </c>
      <c r="V4891" t="s">
        <v>14004</v>
      </c>
      <c r="W4891" t="s">
        <v>18840</v>
      </c>
      <c r="X4891">
        <v>10</v>
      </c>
      <c r="Y4891" t="s">
        <v>25648</v>
      </c>
      <c r="Z4891" t="s">
        <v>32601</v>
      </c>
      <c r="AA4891">
        <v>0.32661875417696018</v>
      </c>
      <c r="AB4891" t="str">
        <f>HYPERLINK("Melting_Curves/meltCurve_Q8NHU6_TDRD7.pdf", "Melting_Curves/meltCurve_Q8NHU6_TDRD7.pdf")</f>
        <v>Melting_Curves/meltCurve_Q8NHU6_TDRD7.pdf</v>
      </c>
    </row>
    <row r="4892" spans="1:28" x14ac:dyDescent="0.25">
      <c r="A4892" t="s">
        <v>4896</v>
      </c>
      <c r="B4892">
        <v>0.99999676499088797</v>
      </c>
      <c r="C4892">
        <v>0.93439705909284398</v>
      </c>
      <c r="D4892">
        <v>0.93351038569354305</v>
      </c>
      <c r="E4892">
        <v>0.79962978752339897</v>
      </c>
      <c r="F4892">
        <v>0.46039592898739201</v>
      </c>
      <c r="G4892">
        <v>0.21958445656120801</v>
      </c>
      <c r="H4892">
        <v>9.9859106854379695E-2</v>
      </c>
      <c r="I4892">
        <v>8.6186111501131396E-2</v>
      </c>
      <c r="J4892">
        <v>7.8064243609732506E-2</v>
      </c>
      <c r="K4892">
        <v>7.8443455707583598E-2</v>
      </c>
      <c r="L4892">
        <v>1102.5331124202</v>
      </c>
      <c r="M4892">
        <v>21.024428093657502</v>
      </c>
      <c r="N4892">
        <v>52.789538962635397</v>
      </c>
      <c r="O4892">
        <v>51.973063900561698</v>
      </c>
      <c r="P4892">
        <v>-9.4572715374800498E-2</v>
      </c>
      <c r="Q4892">
        <v>6.4877779211934605E-2</v>
      </c>
      <c r="R4892">
        <v>0.99716850860748996</v>
      </c>
      <c r="S4892" t="s">
        <v>11895</v>
      </c>
      <c r="T4892" t="s">
        <v>14004</v>
      </c>
      <c r="U4892" t="s">
        <v>14004</v>
      </c>
      <c r="V4892" t="s">
        <v>14004</v>
      </c>
      <c r="W4892" t="s">
        <v>18841</v>
      </c>
      <c r="X4892">
        <v>9</v>
      </c>
      <c r="Y4892" t="s">
        <v>25649</v>
      </c>
      <c r="Z4892" t="s">
        <v>32602</v>
      </c>
      <c r="AA4892">
        <v>0.46447649237448912</v>
      </c>
      <c r="AB4892" t="str">
        <f>HYPERLINK("Melting_Curves/meltCurve_Q8NHV1_GIMAP7.pdf", "Melting_Curves/meltCurve_Q8NHV1_GIMAP7.pdf")</f>
        <v>Melting_Curves/meltCurve_Q8NHV1_GIMAP7.pdf</v>
      </c>
    </row>
    <row r="4893" spans="1:28" x14ac:dyDescent="0.25">
      <c r="A4893" t="s">
        <v>4897</v>
      </c>
      <c r="B4893">
        <v>0.99999676499088797</v>
      </c>
      <c r="C4893">
        <v>1.02613000990906</v>
      </c>
      <c r="D4893">
        <v>1.0906966981753401</v>
      </c>
      <c r="E4893">
        <v>1.1590382068353799</v>
      </c>
      <c r="F4893">
        <v>0.961038926405543</v>
      </c>
      <c r="G4893">
        <v>0.49935427472947302</v>
      </c>
      <c r="H4893">
        <v>0.24076056536378401</v>
      </c>
      <c r="I4893">
        <v>0.173749865080531</v>
      </c>
      <c r="J4893">
        <v>0.13912881086466899</v>
      </c>
      <c r="K4893">
        <v>0.147907264801313</v>
      </c>
      <c r="L4893">
        <v>2561.2134959315799</v>
      </c>
      <c r="M4893">
        <v>45.441174584770501</v>
      </c>
      <c r="N4893">
        <v>56.865362568685804</v>
      </c>
      <c r="O4893">
        <v>56.254444495467901</v>
      </c>
      <c r="P4893">
        <v>-0.16857410562019901</v>
      </c>
      <c r="Q4893">
        <v>0.165247736302021</v>
      </c>
      <c r="R4893">
        <v>0.97807138817280004</v>
      </c>
      <c r="S4893" t="s">
        <v>11896</v>
      </c>
      <c r="T4893" t="s">
        <v>14004</v>
      </c>
      <c r="U4893" t="s">
        <v>14004</v>
      </c>
      <c r="V4893" t="s">
        <v>14004</v>
      </c>
      <c r="W4893" t="s">
        <v>18842</v>
      </c>
      <c r="X4893">
        <v>15</v>
      </c>
      <c r="Y4893" t="s">
        <v>25650</v>
      </c>
      <c r="Z4893" t="s">
        <v>32603</v>
      </c>
      <c r="AA4893">
        <v>0.62306474429443626</v>
      </c>
      <c r="AB4893" t="str">
        <f>HYPERLINK("Melting_Curves/meltCurve_Q8NHV4_NEDD1.pdf", "Melting_Curves/meltCurve_Q8NHV4_NEDD1.pdf")</f>
        <v>Melting_Curves/meltCurve_Q8NHV4_NEDD1.pdf</v>
      </c>
    </row>
    <row r="4894" spans="1:28" x14ac:dyDescent="0.25">
      <c r="A4894" t="s">
        <v>4898</v>
      </c>
      <c r="B4894">
        <v>0.99999676499088797</v>
      </c>
      <c r="C4894">
        <v>0.94441941593577605</v>
      </c>
      <c r="D4894">
        <v>0.79392556583804497</v>
      </c>
      <c r="E4894">
        <v>0.55828640398514295</v>
      </c>
      <c r="F4894">
        <v>0.50805845309648501</v>
      </c>
      <c r="G4894">
        <v>0.39009334814316998</v>
      </c>
      <c r="H4894">
        <v>0.30104572739407998</v>
      </c>
      <c r="I4894">
        <v>0.30489668442690399</v>
      </c>
      <c r="J4894">
        <v>0.33394981744181201</v>
      </c>
      <c r="K4894">
        <v>0.28657881500836702</v>
      </c>
      <c r="L4894">
        <v>725.12826512944503</v>
      </c>
      <c r="M4894">
        <v>14.8547616301656</v>
      </c>
      <c r="N4894">
        <v>51.946158482029603</v>
      </c>
      <c r="O4894">
        <v>47.955494112632699</v>
      </c>
      <c r="P4894">
        <v>-5.4538711361950501E-2</v>
      </c>
      <c r="Q4894">
        <v>0.29580642973013099</v>
      </c>
      <c r="R4894">
        <v>0.98729554068310998</v>
      </c>
      <c r="S4894" t="s">
        <v>11897</v>
      </c>
      <c r="T4894" t="s">
        <v>14004</v>
      </c>
      <c r="U4894" t="s">
        <v>14004</v>
      </c>
      <c r="V4894" t="s">
        <v>14004</v>
      </c>
      <c r="W4894" t="s">
        <v>18843</v>
      </c>
      <c r="X4894">
        <v>4</v>
      </c>
      <c r="Y4894" t="s">
        <v>25651</v>
      </c>
      <c r="Z4894" t="s">
        <v>32604</v>
      </c>
      <c r="AA4894">
        <v>0.52053966516587669</v>
      </c>
      <c r="AB4894" t="str">
        <f>HYPERLINK("Melting_Curves/meltCurve_Q8NHZ8_CDC26.pdf", "Melting_Curves/meltCurve_Q8NHZ8_CDC26.pdf")</f>
        <v>Melting_Curves/meltCurve_Q8NHZ8_CDC26.pdf</v>
      </c>
    </row>
    <row r="4895" spans="1:28" x14ac:dyDescent="0.25">
      <c r="A4895" t="s">
        <v>4899</v>
      </c>
      <c r="B4895">
        <v>0.99999676499088797</v>
      </c>
      <c r="C4895">
        <v>0.90247225402119202</v>
      </c>
      <c r="D4895">
        <v>0.85325558506429999</v>
      </c>
      <c r="E4895">
        <v>0.59921409252497904</v>
      </c>
      <c r="F4895">
        <v>0.28637994544739798</v>
      </c>
      <c r="G4895">
        <v>0.18091927462069801</v>
      </c>
      <c r="H4895">
        <v>9.4299051641564893E-2</v>
      </c>
      <c r="I4895">
        <v>8.9980511033704802E-2</v>
      </c>
      <c r="J4895">
        <v>9.0496136044762601E-2</v>
      </c>
      <c r="K4895">
        <v>8.1242641982885097E-2</v>
      </c>
      <c r="L4895">
        <v>904.82330068060605</v>
      </c>
      <c r="M4895">
        <v>18.062191547420198</v>
      </c>
      <c r="N4895">
        <v>50.5273088786439</v>
      </c>
      <c r="O4895">
        <v>49.492941362731301</v>
      </c>
      <c r="P4895">
        <v>-8.4706587155576205E-2</v>
      </c>
      <c r="Q4895">
        <v>7.1613471120711494E-2</v>
      </c>
      <c r="R4895">
        <v>0.996400639437094</v>
      </c>
      <c r="S4895" t="s">
        <v>11898</v>
      </c>
      <c r="T4895" t="s">
        <v>14004</v>
      </c>
      <c r="U4895" t="s">
        <v>14004</v>
      </c>
      <c r="V4895" t="s">
        <v>14004</v>
      </c>
      <c r="W4895" t="s">
        <v>18844</v>
      </c>
      <c r="X4895">
        <v>9</v>
      </c>
      <c r="Y4895" t="s">
        <v>25652</v>
      </c>
      <c r="Z4895" t="s">
        <v>32605</v>
      </c>
      <c r="AA4895">
        <v>0.3997218982537698</v>
      </c>
      <c r="AB4895" t="str">
        <f>HYPERLINK("Melting_Curves/meltCurve_Q8NI08_2_NCOA7.pdf", "Melting_Curves/meltCurve_Q8NI08_2_NCOA7.pdf")</f>
        <v>Melting_Curves/meltCurve_Q8NI08_2_NCOA7.pdf</v>
      </c>
    </row>
    <row r="4896" spans="1:28" x14ac:dyDescent="0.25">
      <c r="A4896" t="s">
        <v>4900</v>
      </c>
      <c r="B4896">
        <v>0.99999676499088797</v>
      </c>
      <c r="C4896">
        <v>0.87710246568387895</v>
      </c>
      <c r="D4896">
        <v>0.97460763975881903</v>
      </c>
      <c r="E4896">
        <v>1.1200645479178699</v>
      </c>
      <c r="F4896">
        <v>1.1929341966061799</v>
      </c>
      <c r="G4896">
        <v>0.80495871207022296</v>
      </c>
      <c r="H4896">
        <v>0.75152795727344102</v>
      </c>
      <c r="I4896">
        <v>0.54014072697348903</v>
      </c>
      <c r="J4896">
        <v>0.54106535138899603</v>
      </c>
      <c r="K4896">
        <v>0.88049680530393304</v>
      </c>
      <c r="L4896">
        <v>14175.4751856721</v>
      </c>
      <c r="M4896">
        <v>250</v>
      </c>
      <c r="O4896">
        <v>56.6982940324447</v>
      </c>
      <c r="P4896">
        <v>-0.35460990458077901</v>
      </c>
      <c r="Q4896">
        <v>0.67830769733268703</v>
      </c>
      <c r="R4896">
        <v>0.64759854344411205</v>
      </c>
      <c r="S4896" t="s">
        <v>11899</v>
      </c>
      <c r="T4896" t="s">
        <v>14004</v>
      </c>
      <c r="U4896" t="s">
        <v>14004</v>
      </c>
      <c r="V4896" t="s">
        <v>14004</v>
      </c>
      <c r="W4896" t="s">
        <v>18845</v>
      </c>
      <c r="X4896">
        <v>1</v>
      </c>
      <c r="Y4896" t="s">
        <v>25653</v>
      </c>
      <c r="Z4896" t="s">
        <v>32606</v>
      </c>
      <c r="AA4896">
        <v>0.85743547286828137</v>
      </c>
      <c r="AB4896" t="str">
        <f>HYPERLINK("Melting_Curves/meltCurve_Q8NI22_2_MCFD2.pdf", "Melting_Curves/meltCurve_Q8NI22_2_MCFD2.pdf")</f>
        <v>Melting_Curves/meltCurve_Q8NI22_2_MCFD2.pdf</v>
      </c>
    </row>
    <row r="4897" spans="1:28" x14ac:dyDescent="0.25">
      <c r="A4897" t="s">
        <v>4901</v>
      </c>
      <c r="B4897">
        <v>0.99999676499088797</v>
      </c>
      <c r="C4897">
        <v>0.99663003614839896</v>
      </c>
      <c r="D4897">
        <v>0.92705518920477603</v>
      </c>
      <c r="E4897">
        <v>0.55233078092792298</v>
      </c>
      <c r="F4897">
        <v>0.23093204731343001</v>
      </c>
      <c r="G4897">
        <v>0.165579844662752</v>
      </c>
      <c r="H4897">
        <v>8.7587712607545207E-2</v>
      </c>
      <c r="I4897">
        <v>8.0010386520544804E-2</v>
      </c>
      <c r="J4897">
        <v>7.0468124653726594E-2</v>
      </c>
      <c r="K4897">
        <v>6.0655682344437502E-2</v>
      </c>
      <c r="L4897">
        <v>1277.4797633175101</v>
      </c>
      <c r="M4897">
        <v>25.633786391722499</v>
      </c>
      <c r="N4897">
        <v>50.1811007809712</v>
      </c>
      <c r="O4897">
        <v>49.535456473621601</v>
      </c>
      <c r="P4897">
        <v>-0.118911824036203</v>
      </c>
      <c r="Q4897">
        <v>8.0856951295397397E-2</v>
      </c>
      <c r="R4897">
        <v>0.99754818881051999</v>
      </c>
      <c r="S4897" t="s">
        <v>11900</v>
      </c>
      <c r="T4897" t="s">
        <v>14004</v>
      </c>
      <c r="U4897" t="s">
        <v>14004</v>
      </c>
      <c r="V4897" t="s">
        <v>14004</v>
      </c>
      <c r="W4897" t="s">
        <v>18846</v>
      </c>
      <c r="X4897">
        <v>35</v>
      </c>
      <c r="Y4897" t="s">
        <v>25654</v>
      </c>
      <c r="Z4897" t="s">
        <v>32607</v>
      </c>
      <c r="AA4897">
        <v>0.39000385434521079</v>
      </c>
      <c r="AB4897" t="str">
        <f>HYPERLINK("Melting_Curves/meltCurve_Q8NI27_THOC2.pdf", "Melting_Curves/meltCurve_Q8NI27_THOC2.pdf")</f>
        <v>Melting_Curves/meltCurve_Q8NI27_THOC2.pdf</v>
      </c>
    </row>
    <row r="4898" spans="1:28" x14ac:dyDescent="0.25">
      <c r="A4898" t="s">
        <v>4902</v>
      </c>
      <c r="B4898">
        <v>0.99999676499088797</v>
      </c>
      <c r="C4898">
        <v>0.99839205696427802</v>
      </c>
      <c r="D4898">
        <v>1.0302523833783901</v>
      </c>
      <c r="E4898">
        <v>0.55496780596649997</v>
      </c>
      <c r="F4898">
        <v>0.20403549429645301</v>
      </c>
      <c r="G4898">
        <v>0.15001462891310399</v>
      </c>
      <c r="H4898">
        <v>7.85708577128231E-2</v>
      </c>
      <c r="I4898">
        <v>8.2178774358207002E-2</v>
      </c>
      <c r="J4898">
        <v>7.5613328815523698E-2</v>
      </c>
      <c r="K4898">
        <v>6.1648800608520703E-2</v>
      </c>
      <c r="L4898">
        <v>1840.28919816697</v>
      </c>
      <c r="M4898">
        <v>36.952393583937202</v>
      </c>
      <c r="N4898">
        <v>50.076657698932301</v>
      </c>
      <c r="O4898">
        <v>49.656444472682303</v>
      </c>
      <c r="P4898">
        <v>-0.16895456747585</v>
      </c>
      <c r="Q4898">
        <v>9.1841319867234802E-2</v>
      </c>
      <c r="R4898">
        <v>0.99355290766503201</v>
      </c>
      <c r="S4898" t="s">
        <v>11901</v>
      </c>
      <c r="T4898" t="s">
        <v>14004</v>
      </c>
      <c r="U4898" t="s">
        <v>14004</v>
      </c>
      <c r="V4898" t="s">
        <v>14004</v>
      </c>
      <c r="W4898" t="s">
        <v>18847</v>
      </c>
      <c r="X4898">
        <v>18</v>
      </c>
      <c r="Y4898" t="s">
        <v>25655</v>
      </c>
      <c r="Z4898" t="s">
        <v>32608</v>
      </c>
      <c r="AA4898">
        <v>0.39222643552727221</v>
      </c>
      <c r="AB4898" t="str">
        <f>HYPERLINK("Melting_Curves/meltCurve_Q8NI36_WDR36.pdf", "Melting_Curves/meltCurve_Q8NI36_WDR36.pdf")</f>
        <v>Melting_Curves/meltCurve_Q8NI36_WDR36.pdf</v>
      </c>
    </row>
    <row r="4899" spans="1:28" x14ac:dyDescent="0.25">
      <c r="A4899" t="s">
        <v>4903</v>
      </c>
      <c r="B4899">
        <v>0.99999676499088797</v>
      </c>
      <c r="C4899">
        <v>1.01303074849782</v>
      </c>
      <c r="D4899">
        <v>0.87030112696320305</v>
      </c>
      <c r="E4899">
        <v>0.73753589569848499</v>
      </c>
      <c r="F4899">
        <v>0.374167306567672</v>
      </c>
      <c r="G4899">
        <v>0.26816446241492597</v>
      </c>
      <c r="H4899">
        <v>0.13864736779808001</v>
      </c>
      <c r="I4899">
        <v>0.116083934014007</v>
      </c>
      <c r="J4899">
        <v>8.7130449629365003E-2</v>
      </c>
      <c r="K4899">
        <v>7.1054533541831E-2</v>
      </c>
      <c r="L4899">
        <v>914.30064338923899</v>
      </c>
      <c r="M4899">
        <v>17.703031702630302</v>
      </c>
      <c r="N4899">
        <v>52.141491221621997</v>
      </c>
      <c r="O4899">
        <v>51.001061687836497</v>
      </c>
      <c r="P4899">
        <v>-8.0070651932821701E-2</v>
      </c>
      <c r="Q4899">
        <v>7.7339249625885398E-2</v>
      </c>
      <c r="R4899">
        <v>0.99423316426484099</v>
      </c>
      <c r="S4899" t="s">
        <v>11902</v>
      </c>
      <c r="T4899" t="s">
        <v>14004</v>
      </c>
      <c r="U4899" t="s">
        <v>14004</v>
      </c>
      <c r="V4899" t="s">
        <v>14004</v>
      </c>
      <c r="W4899" t="s">
        <v>18848</v>
      </c>
      <c r="X4899">
        <v>6</v>
      </c>
      <c r="Y4899" t="s">
        <v>25656</v>
      </c>
      <c r="Z4899" t="s">
        <v>32609</v>
      </c>
      <c r="AA4899">
        <v>0.45141037626125802</v>
      </c>
      <c r="AB4899" t="str">
        <f>HYPERLINK("Melting_Curves/meltCurve_Q8NI37_PPTC7.pdf", "Melting_Curves/meltCurve_Q8NI37_PPTC7.pdf")</f>
        <v>Melting_Curves/meltCurve_Q8NI37_PPTC7.pdf</v>
      </c>
    </row>
    <row r="4900" spans="1:28" x14ac:dyDescent="0.25">
      <c r="A4900" t="s">
        <v>4904</v>
      </c>
      <c r="B4900">
        <v>0.99999676499088797</v>
      </c>
      <c r="C4900">
        <v>0.99724541122178401</v>
      </c>
      <c r="D4900">
        <v>0.955744566205882</v>
      </c>
      <c r="E4900">
        <v>0.84528418118642901</v>
      </c>
      <c r="F4900">
        <v>0.66318460378028998</v>
      </c>
      <c r="G4900">
        <v>0.63820458065234398</v>
      </c>
      <c r="H4900">
        <v>0.40738747138369802</v>
      </c>
      <c r="I4900">
        <v>0.51737918876676503</v>
      </c>
      <c r="J4900">
        <v>0.49140251827791898</v>
      </c>
      <c r="K4900">
        <v>0.545039215447093</v>
      </c>
      <c r="L4900">
        <v>1003.9726163617501</v>
      </c>
      <c r="M4900">
        <v>19.409446488495501</v>
      </c>
      <c r="N4900">
        <v>65.711358111712102</v>
      </c>
      <c r="O4900">
        <v>51.186288758173497</v>
      </c>
      <c r="P4900">
        <v>-4.8162412741659201E-2</v>
      </c>
      <c r="Q4900">
        <v>0.49196596827528499</v>
      </c>
      <c r="R4900">
        <v>0.95555257065389898</v>
      </c>
      <c r="S4900" t="s">
        <v>11903</v>
      </c>
      <c r="T4900" t="s">
        <v>14004</v>
      </c>
      <c r="U4900" t="s">
        <v>14004</v>
      </c>
      <c r="V4900" t="s">
        <v>14004</v>
      </c>
      <c r="W4900" t="s">
        <v>18849</v>
      </c>
      <c r="X4900">
        <v>9</v>
      </c>
      <c r="Y4900" t="s">
        <v>25657</v>
      </c>
      <c r="Z4900" t="s">
        <v>32610</v>
      </c>
      <c r="AA4900">
        <v>0.69796795586731397</v>
      </c>
      <c r="AB4900" t="str">
        <f>HYPERLINK("Melting_Curves/meltCurve_Q8TA86_RP9.pdf", "Melting_Curves/meltCurve_Q8TA86_RP9.pdf")</f>
        <v>Melting_Curves/meltCurve_Q8TA86_RP9.pdf</v>
      </c>
    </row>
    <row r="4901" spans="1:28" x14ac:dyDescent="0.25">
      <c r="A4901" t="s">
        <v>4905</v>
      </c>
      <c r="B4901">
        <v>0.99999676499088797</v>
      </c>
      <c r="C4901">
        <v>0.85225699436152202</v>
      </c>
      <c r="D4901">
        <v>0.90914077386792003</v>
      </c>
      <c r="E4901">
        <v>1.2081337800999801</v>
      </c>
      <c r="F4901">
        <v>1.37141273646217</v>
      </c>
      <c r="G4901">
        <v>1.2214051867903299</v>
      </c>
      <c r="H4901">
        <v>0.89182843925009203</v>
      </c>
      <c r="I4901">
        <v>0.53052618505430105</v>
      </c>
      <c r="J4901">
        <v>0.35192191622725</v>
      </c>
      <c r="K4901">
        <v>0.36079126288275798</v>
      </c>
      <c r="L4901">
        <v>3439.3199947363</v>
      </c>
      <c r="M4901">
        <v>54.754211038443799</v>
      </c>
      <c r="N4901">
        <v>64.212118192526006</v>
      </c>
      <c r="O4901">
        <v>62.730178055677499</v>
      </c>
      <c r="P4901">
        <v>-0.142220967992474</v>
      </c>
      <c r="Q4901">
        <v>0.34824802313458902</v>
      </c>
      <c r="R4901">
        <v>0.77247038483590602</v>
      </c>
      <c r="S4901" t="s">
        <v>11904</v>
      </c>
      <c r="T4901" t="s">
        <v>14004</v>
      </c>
      <c r="U4901" t="s">
        <v>14004</v>
      </c>
      <c r="V4901" t="s">
        <v>14004</v>
      </c>
      <c r="W4901" t="s">
        <v>18850</v>
      </c>
      <c r="X4901">
        <v>9</v>
      </c>
      <c r="Y4901" t="s">
        <v>25658</v>
      </c>
      <c r="Z4901" t="s">
        <v>32611</v>
      </c>
      <c r="AA4901">
        <v>0.84526702692470557</v>
      </c>
      <c r="AB4901" t="str">
        <f>HYPERLINK("Melting_Curves/meltCurve_Q8TAA3_5_PSMA8.pdf", "Melting_Curves/meltCurve_Q8TAA3_5_PSMA8.pdf")</f>
        <v>Melting_Curves/meltCurve_Q8TAA3_5_PSMA8.pdf</v>
      </c>
    </row>
    <row r="4902" spans="1:28" x14ac:dyDescent="0.25">
      <c r="A4902" t="s">
        <v>4906</v>
      </c>
      <c r="B4902">
        <v>0.99999676499088797</v>
      </c>
      <c r="C4902">
        <v>0.82870803533077797</v>
      </c>
      <c r="D4902">
        <v>0.66234755774155596</v>
      </c>
      <c r="E4902">
        <v>0.26701251087356798</v>
      </c>
      <c r="F4902">
        <v>0.209202187431132</v>
      </c>
      <c r="G4902">
        <v>0.14046421365150999</v>
      </c>
      <c r="H4902">
        <v>6.6842881451590799E-2</v>
      </c>
      <c r="I4902">
        <v>9.6667076826280299E-2</v>
      </c>
      <c r="J4902">
        <v>8.6755851058670203E-2</v>
      </c>
      <c r="K4902">
        <v>7.2778946310342596E-2</v>
      </c>
      <c r="L4902">
        <v>902.47272431294698</v>
      </c>
      <c r="M4902">
        <v>19.2634966639509</v>
      </c>
      <c r="N4902">
        <v>47.304197027216901</v>
      </c>
      <c r="O4902">
        <v>46.352744933534296</v>
      </c>
      <c r="P4902">
        <v>-9.5107510720172594E-2</v>
      </c>
      <c r="Q4902">
        <v>8.46256343087992E-2</v>
      </c>
      <c r="R4902">
        <v>0.99083994598410097</v>
      </c>
      <c r="S4902" t="s">
        <v>11905</v>
      </c>
      <c r="T4902" t="s">
        <v>14004</v>
      </c>
      <c r="U4902" t="s">
        <v>14004</v>
      </c>
      <c r="V4902" t="s">
        <v>14004</v>
      </c>
      <c r="W4902" t="s">
        <v>18851</v>
      </c>
      <c r="X4902">
        <v>4</v>
      </c>
      <c r="Y4902" t="s">
        <v>25659</v>
      </c>
      <c r="Z4902" t="s">
        <v>32612</v>
      </c>
      <c r="AA4902">
        <v>0.3082583089108536</v>
      </c>
      <c r="AB4902" t="str">
        <f>HYPERLINK("Melting_Curves/meltCurve_Q8TAA5_GRPEL2.pdf", "Melting_Curves/meltCurve_Q8TAA5_GRPEL2.pdf")</f>
        <v>Melting_Curves/meltCurve_Q8TAA5_GRPEL2.pdf</v>
      </c>
    </row>
    <row r="4903" spans="1:28" x14ac:dyDescent="0.25">
      <c r="A4903" t="s">
        <v>4907</v>
      </c>
      <c r="B4903">
        <v>0.99999676499088797</v>
      </c>
      <c r="C4903">
        <v>1.0848250262918899</v>
      </c>
      <c r="D4903">
        <v>1.1139254558734499</v>
      </c>
      <c r="E4903">
        <v>1.30596503274122</v>
      </c>
      <c r="F4903">
        <v>1.1133387610979</v>
      </c>
      <c r="G4903">
        <v>1.00004559483945</v>
      </c>
      <c r="H4903">
        <v>0.75794012526605703</v>
      </c>
      <c r="I4903">
        <v>0.26962685953385801</v>
      </c>
      <c r="J4903">
        <v>0.12997403014751399</v>
      </c>
      <c r="K4903">
        <v>0.12837623716348801</v>
      </c>
      <c r="L4903">
        <v>3153.6848335426998</v>
      </c>
      <c r="M4903">
        <v>50.889330424853497</v>
      </c>
      <c r="N4903">
        <v>62.308262821537099</v>
      </c>
      <c r="O4903">
        <v>61.8759620643728</v>
      </c>
      <c r="P4903">
        <v>-0.18088572670330999</v>
      </c>
      <c r="Q4903">
        <v>0.120250210474054</v>
      </c>
      <c r="R4903">
        <v>0.929365287611854</v>
      </c>
      <c r="S4903" t="s">
        <v>11906</v>
      </c>
      <c r="T4903" t="s">
        <v>14004</v>
      </c>
      <c r="U4903" t="s">
        <v>14004</v>
      </c>
      <c r="V4903" t="s">
        <v>14004</v>
      </c>
      <c r="W4903" t="s">
        <v>18852</v>
      </c>
      <c r="X4903">
        <v>7</v>
      </c>
      <c r="Y4903" t="s">
        <v>25660</v>
      </c>
      <c r="Z4903" t="s">
        <v>32613</v>
      </c>
      <c r="AA4903">
        <v>0.7667443750242503</v>
      </c>
      <c r="AB4903" t="str">
        <f>HYPERLINK("Melting_Curves/meltCurve_Q8TAA9_2_VANGL1.pdf", "Melting_Curves/meltCurve_Q8TAA9_2_VANGL1.pdf")</f>
        <v>Melting_Curves/meltCurve_Q8TAA9_2_VANGL1.pdf</v>
      </c>
    </row>
    <row r="4904" spans="1:28" x14ac:dyDescent="0.25">
      <c r="A4904" t="s">
        <v>4908</v>
      </c>
      <c r="B4904">
        <v>0.99999676499088797</v>
      </c>
      <c r="C4904">
        <v>1.0097593190876799</v>
      </c>
      <c r="D4904">
        <v>1.12268175618502</v>
      </c>
      <c r="E4904">
        <v>1.3211733232981999</v>
      </c>
      <c r="F4904">
        <v>1.2129593891291499</v>
      </c>
      <c r="G4904">
        <v>0.97453763474099497</v>
      </c>
      <c r="H4904">
        <v>0.52311243713716704</v>
      </c>
      <c r="I4904">
        <v>0.244846358986649</v>
      </c>
      <c r="J4904">
        <v>0.25975391287469402</v>
      </c>
      <c r="K4904">
        <v>0.21508357099164899</v>
      </c>
      <c r="L4904">
        <v>3781.42816365306</v>
      </c>
      <c r="M4904">
        <v>62.698988071198599</v>
      </c>
      <c r="N4904">
        <v>60.9203367699102</v>
      </c>
      <c r="O4904">
        <v>60.2495698315198</v>
      </c>
      <c r="P4904">
        <v>-0.199549729905761</v>
      </c>
      <c r="Q4904">
        <v>0.23298403813670701</v>
      </c>
      <c r="R4904">
        <v>0.90176389681866598</v>
      </c>
      <c r="S4904" t="s">
        <v>11907</v>
      </c>
      <c r="T4904" t="s">
        <v>14004</v>
      </c>
      <c r="U4904" t="s">
        <v>14004</v>
      </c>
      <c r="V4904" t="s">
        <v>14004</v>
      </c>
      <c r="W4904" t="s">
        <v>18853</v>
      </c>
      <c r="X4904">
        <v>2</v>
      </c>
      <c r="Y4904" t="s">
        <v>25661</v>
      </c>
      <c r="Z4904" t="s">
        <v>32614</v>
      </c>
      <c r="AA4904">
        <v>0.75356427470381948</v>
      </c>
      <c r="AB4904" t="str">
        <f>HYPERLINK("Melting_Curves/meltCurve_Q8TAC1_RFESD.pdf", "Melting_Curves/meltCurve_Q8TAC1_RFESD.pdf")</f>
        <v>Melting_Curves/meltCurve_Q8TAC1_RFESD.pdf</v>
      </c>
    </row>
    <row r="4905" spans="1:28" x14ac:dyDescent="0.25">
      <c r="A4905" t="s">
        <v>4909</v>
      </c>
      <c r="B4905">
        <v>0.99999676499088797</v>
      </c>
      <c r="C4905">
        <v>0.82402157890057703</v>
      </c>
      <c r="D4905">
        <v>0.54073396391580397</v>
      </c>
      <c r="E4905">
        <v>0.290471916216897</v>
      </c>
      <c r="F4905">
        <v>0.18469093751764801</v>
      </c>
      <c r="G4905">
        <v>0.105203088594644</v>
      </c>
      <c r="H4905">
        <v>6.1392335701971203E-2</v>
      </c>
      <c r="I4905">
        <v>5.4131429848886199E-2</v>
      </c>
      <c r="J4905">
        <v>3.2704764747814703E-2</v>
      </c>
      <c r="K4905">
        <v>3.7652549832209503E-2</v>
      </c>
      <c r="L4905">
        <v>796.59061591939201</v>
      </c>
      <c r="M4905">
        <v>17.1209404003618</v>
      </c>
      <c r="N4905">
        <v>46.801306070470602</v>
      </c>
      <c r="O4905">
        <v>45.906438215196097</v>
      </c>
      <c r="P4905">
        <v>-8.8796706080864304E-2</v>
      </c>
      <c r="Q4905">
        <v>4.76936773108627E-2</v>
      </c>
      <c r="R4905">
        <v>0.99453021965705102</v>
      </c>
      <c r="S4905" t="s">
        <v>11908</v>
      </c>
      <c r="T4905" t="s">
        <v>14004</v>
      </c>
      <c r="U4905" t="s">
        <v>14004</v>
      </c>
      <c r="V4905" t="s">
        <v>14004</v>
      </c>
      <c r="W4905" t="s">
        <v>18854</v>
      </c>
      <c r="X4905">
        <v>6</v>
      </c>
      <c r="Y4905" t="s">
        <v>25662</v>
      </c>
      <c r="Z4905" t="s">
        <v>32615</v>
      </c>
      <c r="AA4905">
        <v>0.2750219000036751</v>
      </c>
      <c r="AB4905" t="str">
        <f>HYPERLINK("Melting_Curves/meltCurve_Q8TAD8_SNIP1.pdf", "Melting_Curves/meltCurve_Q8TAD8_SNIP1.pdf")</f>
        <v>Melting_Curves/meltCurve_Q8TAD8_SNIP1.pdf</v>
      </c>
    </row>
    <row r="4906" spans="1:28" x14ac:dyDescent="0.25">
      <c r="A4906" t="s">
        <v>4910</v>
      </c>
      <c r="B4906">
        <v>0.99999676499088797</v>
      </c>
      <c r="C4906">
        <v>0.88648954525024504</v>
      </c>
      <c r="D4906">
        <v>0.90027882483980404</v>
      </c>
      <c r="E4906">
        <v>0.79155274965002198</v>
      </c>
      <c r="F4906">
        <v>0.83463284564691198</v>
      </c>
      <c r="G4906">
        <v>0.79990345448189804</v>
      </c>
      <c r="H4906">
        <v>0.59982565088954498</v>
      </c>
      <c r="I4906">
        <v>0.67135333591223401</v>
      </c>
      <c r="J4906">
        <v>0.68726962238840295</v>
      </c>
      <c r="K4906">
        <v>0.63585122657988002</v>
      </c>
      <c r="L4906">
        <v>352.899407757934</v>
      </c>
      <c r="M4906">
        <v>6.5774392262646098</v>
      </c>
      <c r="O4906">
        <v>49.342588782053802</v>
      </c>
      <c r="P4906">
        <v>-1.4719403005461901E-2</v>
      </c>
      <c r="Q4906">
        <v>0.55933758329707195</v>
      </c>
      <c r="R4906">
        <v>0.84975990102092802</v>
      </c>
      <c r="S4906" t="s">
        <v>11909</v>
      </c>
      <c r="T4906" t="s">
        <v>14004</v>
      </c>
      <c r="U4906" t="s">
        <v>14004</v>
      </c>
      <c r="V4906" t="s">
        <v>14004</v>
      </c>
      <c r="W4906" t="s">
        <v>18855</v>
      </c>
      <c r="X4906">
        <v>6</v>
      </c>
      <c r="Y4906" t="s">
        <v>25663</v>
      </c>
      <c r="Z4906" t="s">
        <v>32616</v>
      </c>
      <c r="AA4906">
        <v>0.77733152357634649</v>
      </c>
      <c r="AB4906" t="str">
        <f>HYPERLINK("Melting_Curves/meltCurve_Q8TAE8_GADD45GIP1.pdf", "Melting_Curves/meltCurve_Q8TAE8_GADD45GIP1.pdf")</f>
        <v>Melting_Curves/meltCurve_Q8TAE8_GADD45GIP1.pdf</v>
      </c>
    </row>
    <row r="4907" spans="1:28" x14ac:dyDescent="0.25">
      <c r="A4907" t="s">
        <v>4911</v>
      </c>
      <c r="B4907">
        <v>0.99999676499088797</v>
      </c>
      <c r="C4907">
        <v>1.0166261867034101</v>
      </c>
      <c r="D4907">
        <v>0.99436443963869303</v>
      </c>
      <c r="E4907">
        <v>0.98345717503263497</v>
      </c>
      <c r="F4907">
        <v>0.82032965152239301</v>
      </c>
      <c r="G4907">
        <v>0.71194418087021505</v>
      </c>
      <c r="H4907">
        <v>0.216528538871648</v>
      </c>
      <c r="I4907">
        <v>0.119716738158029</v>
      </c>
      <c r="J4907">
        <v>9.3473485078143195E-2</v>
      </c>
      <c r="K4907">
        <v>8.05486303548031E-2</v>
      </c>
      <c r="L4907">
        <v>1510.05067095396</v>
      </c>
      <c r="M4907">
        <v>26.0881592542151</v>
      </c>
      <c r="N4907">
        <v>58.143381808441397</v>
      </c>
      <c r="O4907">
        <v>57.545712964192603</v>
      </c>
      <c r="P4907">
        <v>-0.107080671917229</v>
      </c>
      <c r="Q4907">
        <v>5.5209141375010998E-2</v>
      </c>
      <c r="R4907">
        <v>0.98960252549260996</v>
      </c>
      <c r="S4907" t="s">
        <v>11910</v>
      </c>
      <c r="T4907" t="s">
        <v>14004</v>
      </c>
      <c r="U4907" t="s">
        <v>14004</v>
      </c>
      <c r="V4907" t="s">
        <v>14004</v>
      </c>
      <c r="W4907" t="s">
        <v>18856</v>
      </c>
      <c r="X4907">
        <v>23</v>
      </c>
      <c r="Y4907" t="s">
        <v>25664</v>
      </c>
      <c r="Z4907" t="s">
        <v>32617</v>
      </c>
      <c r="AA4907">
        <v>0.62615395086616632</v>
      </c>
      <c r="AB4907" t="str">
        <f>HYPERLINK("Melting_Curves/meltCurve_Q8TAF3_WDR48.pdf", "Melting_Curves/meltCurve_Q8TAF3_WDR48.pdf")</f>
        <v>Melting_Curves/meltCurve_Q8TAF3_WDR48.pdf</v>
      </c>
    </row>
    <row r="4908" spans="1:28" x14ac:dyDescent="0.25">
      <c r="A4908" t="s">
        <v>4912</v>
      </c>
      <c r="B4908">
        <v>0.99999676499088797</v>
      </c>
      <c r="C4908">
        <v>0.96428891225945901</v>
      </c>
      <c r="D4908">
        <v>0.95857751714670303</v>
      </c>
      <c r="E4908">
        <v>0.85772555145607599</v>
      </c>
      <c r="F4908">
        <v>0.77693814836986697</v>
      </c>
      <c r="G4908">
        <v>0.64270653964556901</v>
      </c>
      <c r="H4908">
        <v>0.37446405529086102</v>
      </c>
      <c r="I4908">
        <v>0.20230593949372999</v>
      </c>
      <c r="J4908">
        <v>0.157629929950831</v>
      </c>
      <c r="K4908">
        <v>0.10967582503060901</v>
      </c>
      <c r="L4908">
        <v>754.85609052000905</v>
      </c>
      <c r="M4908">
        <v>12.925237529495099</v>
      </c>
      <c r="N4908">
        <v>58.401719069683701</v>
      </c>
      <c r="O4908">
        <v>57.056748130399598</v>
      </c>
      <c r="P4908">
        <v>-5.6643487559432999E-2</v>
      </c>
      <c r="Q4908">
        <v>0</v>
      </c>
      <c r="R4908">
        <v>0.99318879464846599</v>
      </c>
      <c r="S4908" t="s">
        <v>11911</v>
      </c>
      <c r="T4908" t="s">
        <v>14004</v>
      </c>
      <c r="U4908" t="s">
        <v>14004</v>
      </c>
      <c r="V4908" t="s">
        <v>14004</v>
      </c>
      <c r="W4908" t="s">
        <v>18857</v>
      </c>
      <c r="X4908">
        <v>6</v>
      </c>
      <c r="Y4908" t="s">
        <v>25665</v>
      </c>
      <c r="Z4908" t="s">
        <v>32618</v>
      </c>
      <c r="AA4908">
        <v>0.62506004711157293</v>
      </c>
      <c r="AB4908" t="str">
        <f>HYPERLINK("Melting_Curves/meltCurve_Q8TAP6_CEP76.pdf", "Melting_Curves/meltCurve_Q8TAP6_CEP76.pdf")</f>
        <v>Melting_Curves/meltCurve_Q8TAP6_CEP76.pdf</v>
      </c>
    </row>
    <row r="4909" spans="1:28" x14ac:dyDescent="0.25">
      <c r="A4909" t="s">
        <v>4913</v>
      </c>
      <c r="B4909">
        <v>0.99999676499088797</v>
      </c>
      <c r="C4909">
        <v>1.0229242565011201</v>
      </c>
      <c r="D4909">
        <v>0.880342836120108</v>
      </c>
      <c r="E4909">
        <v>0.82165111865602602</v>
      </c>
      <c r="F4909">
        <v>0.59738550892254605</v>
      </c>
      <c r="G4909">
        <v>0.374345043039846</v>
      </c>
      <c r="H4909">
        <v>0.170487464847312</v>
      </c>
      <c r="I4909">
        <v>0.175902163312117</v>
      </c>
      <c r="J4909">
        <v>0.17425790125093099</v>
      </c>
      <c r="K4909">
        <v>0.208720004765197</v>
      </c>
      <c r="L4909">
        <v>947.47121524776799</v>
      </c>
      <c r="M4909">
        <v>17.8022565054832</v>
      </c>
      <c r="N4909">
        <v>54.306836927831597</v>
      </c>
      <c r="O4909">
        <v>52.5640297924027</v>
      </c>
      <c r="P4909">
        <v>-7.2003806492752995E-2</v>
      </c>
      <c r="Q4909">
        <v>0.14963247019832801</v>
      </c>
      <c r="R4909">
        <v>0.988794435434589</v>
      </c>
      <c r="S4909" t="s">
        <v>11912</v>
      </c>
      <c r="T4909" t="s">
        <v>14004</v>
      </c>
      <c r="U4909" t="s">
        <v>14004</v>
      </c>
      <c r="V4909" t="s">
        <v>14004</v>
      </c>
      <c r="W4909" t="s">
        <v>18858</v>
      </c>
      <c r="X4909">
        <v>2</v>
      </c>
      <c r="Y4909" t="s">
        <v>25666</v>
      </c>
      <c r="Z4909" t="s">
        <v>32619</v>
      </c>
      <c r="AA4909">
        <v>0.53852211566572328</v>
      </c>
      <c r="AB4909" t="str">
        <f>HYPERLINK("Melting_Curves/meltCurve_Q8TAP8_PPP1R35.pdf", "Melting_Curves/meltCurve_Q8TAP8_PPP1R35.pdf")</f>
        <v>Melting_Curves/meltCurve_Q8TAP8_PPP1R35.pdf</v>
      </c>
    </row>
    <row r="4910" spans="1:28" x14ac:dyDescent="0.25">
      <c r="A4910" t="s">
        <v>4914</v>
      </c>
      <c r="B4910">
        <v>0.99999676499088797</v>
      </c>
      <c r="C4910">
        <v>0.93963870255647397</v>
      </c>
      <c r="D4910">
        <v>0.87515698956698296</v>
      </c>
      <c r="E4910">
        <v>0.66484313688638497</v>
      </c>
      <c r="F4910">
        <v>0.52561030675527098</v>
      </c>
      <c r="G4910">
        <v>0.52673225748237296</v>
      </c>
      <c r="H4910">
        <v>0.345254688921937</v>
      </c>
      <c r="I4910">
        <v>0.482688690122407</v>
      </c>
      <c r="J4910">
        <v>0.46332379441535498</v>
      </c>
      <c r="K4910">
        <v>0.45495930266120599</v>
      </c>
      <c r="L4910">
        <v>937.05807666418104</v>
      </c>
      <c r="M4910">
        <v>19.2572441608026</v>
      </c>
      <c r="N4910">
        <v>54.786209329846201</v>
      </c>
      <c r="O4910">
        <v>48.144410261879003</v>
      </c>
      <c r="P4910">
        <v>-5.5805359813361599E-2</v>
      </c>
      <c r="Q4910">
        <v>0.44195239212731902</v>
      </c>
      <c r="R4910">
        <v>0.96455778017398397</v>
      </c>
      <c r="S4910" t="s">
        <v>11913</v>
      </c>
      <c r="T4910" t="s">
        <v>14004</v>
      </c>
      <c r="U4910" t="s">
        <v>14004</v>
      </c>
      <c r="V4910" t="s">
        <v>14004</v>
      </c>
      <c r="W4910" t="s">
        <v>18859</v>
      </c>
      <c r="X4910">
        <v>2</v>
      </c>
      <c r="Y4910" t="s">
        <v>25667</v>
      </c>
      <c r="Z4910" t="s">
        <v>32620</v>
      </c>
      <c r="AA4910">
        <v>0.61152366164629635</v>
      </c>
      <c r="AB4910" t="str">
        <f>HYPERLINK("Melting_Curves/meltCurve_Q8TAP9_MPLKIP.pdf", "Melting_Curves/meltCurve_Q8TAP9_MPLKIP.pdf")</f>
        <v>Melting_Curves/meltCurve_Q8TAP9_MPLKIP.pdf</v>
      </c>
    </row>
    <row r="4911" spans="1:28" x14ac:dyDescent="0.25">
      <c r="A4911" t="s">
        <v>4915</v>
      </c>
      <c r="B4911">
        <v>0.99999676499088797</v>
      </c>
      <c r="C4911">
        <v>0.95137345993157296</v>
      </c>
      <c r="D4911">
        <v>0.72377253899102501</v>
      </c>
      <c r="E4911">
        <v>0.33044566060618902</v>
      </c>
      <c r="F4911">
        <v>0.269097200064352</v>
      </c>
      <c r="G4911">
        <v>0.17618594033041901</v>
      </c>
      <c r="H4911">
        <v>0.100894162273726</v>
      </c>
      <c r="I4911">
        <v>8.8945830557047995E-2</v>
      </c>
      <c r="J4911">
        <v>7.6189764816028599E-2</v>
      </c>
      <c r="K4911">
        <v>6.7142999927067806E-2</v>
      </c>
      <c r="L4911">
        <v>960.39114705019597</v>
      </c>
      <c r="M4911">
        <v>20.089890348556899</v>
      </c>
      <c r="N4911">
        <v>48.313180136959502</v>
      </c>
      <c r="O4911">
        <v>47.338594724018698</v>
      </c>
      <c r="P4911">
        <v>-9.5989755688330597E-2</v>
      </c>
      <c r="Q4911">
        <v>9.5291170068653994E-2</v>
      </c>
      <c r="R4911">
        <v>0.98913846337881495</v>
      </c>
      <c r="S4911" t="s">
        <v>11914</v>
      </c>
      <c r="T4911" t="s">
        <v>14004</v>
      </c>
      <c r="U4911" t="s">
        <v>14004</v>
      </c>
      <c r="V4911" t="s">
        <v>14004</v>
      </c>
      <c r="W4911" t="s">
        <v>18860</v>
      </c>
      <c r="X4911">
        <v>26</v>
      </c>
      <c r="Y4911" t="s">
        <v>25668</v>
      </c>
      <c r="Z4911" t="s">
        <v>32621</v>
      </c>
      <c r="AA4911">
        <v>0.34344691986102449</v>
      </c>
      <c r="AB4911" t="str">
        <f>HYPERLINK("Melting_Curves/meltCurve_Q8TAQ2_SMARCC2.pdf", "Melting_Curves/meltCurve_Q8TAQ2_SMARCC2.pdf")</f>
        <v>Melting_Curves/meltCurve_Q8TAQ2_SMARCC2.pdf</v>
      </c>
    </row>
    <row r="4912" spans="1:28" x14ac:dyDescent="0.25">
      <c r="A4912" t="s">
        <v>4916</v>
      </c>
      <c r="B4912">
        <v>0.99999676499088797</v>
      </c>
      <c r="C4912">
        <v>1.03522633944424</v>
      </c>
      <c r="D4912">
        <v>1.0473975236750901</v>
      </c>
      <c r="E4912">
        <v>0.92928910971781997</v>
      </c>
      <c r="F4912">
        <v>0.40914202062538502</v>
      </c>
      <c r="G4912">
        <v>0.178601790249305</v>
      </c>
      <c r="H4912">
        <v>8.2154688111904794E-2</v>
      </c>
      <c r="I4912">
        <v>8.3918623647994295E-2</v>
      </c>
      <c r="J4912">
        <v>8.5716516915347304E-2</v>
      </c>
      <c r="K4912">
        <v>7.5296504335936099E-2</v>
      </c>
      <c r="L4912">
        <v>2060.2692645985198</v>
      </c>
      <c r="M4912">
        <v>39.269720679584999</v>
      </c>
      <c r="N4912">
        <v>52.729257734735498</v>
      </c>
      <c r="O4912">
        <v>52.329077640026199</v>
      </c>
      <c r="P4912">
        <v>-0.17082803401820601</v>
      </c>
      <c r="Q4912">
        <v>8.9450779545723905E-2</v>
      </c>
      <c r="R4912">
        <v>0.99629372939762195</v>
      </c>
      <c r="S4912" t="s">
        <v>11915</v>
      </c>
      <c r="T4912" t="s">
        <v>14004</v>
      </c>
      <c r="U4912" t="s">
        <v>14004</v>
      </c>
      <c r="V4912" t="s">
        <v>14004</v>
      </c>
      <c r="W4912" t="s">
        <v>18861</v>
      </c>
      <c r="X4912">
        <v>28</v>
      </c>
      <c r="Y4912" t="s">
        <v>25669</v>
      </c>
      <c r="Z4912" t="s">
        <v>32622</v>
      </c>
      <c r="AA4912">
        <v>0.47119528868658012</v>
      </c>
      <c r="AB4912" t="str">
        <f>HYPERLINK("Melting_Curves/meltCurve_Q8TAT6_NPLOC4.pdf", "Melting_Curves/meltCurve_Q8TAT6_NPLOC4.pdf")</f>
        <v>Melting_Curves/meltCurve_Q8TAT6_NPLOC4.pdf</v>
      </c>
    </row>
    <row r="4913" spans="1:28" x14ac:dyDescent="0.25">
      <c r="A4913" t="s">
        <v>4917</v>
      </c>
      <c r="B4913">
        <v>0.99999676499088797</v>
      </c>
      <c r="C4913">
        <v>1.0877329311119199</v>
      </c>
      <c r="D4913">
        <v>1.13052453001086</v>
      </c>
      <c r="E4913">
        <v>1.1144688021210001</v>
      </c>
      <c r="F4913">
        <v>0.32653183880937903</v>
      </c>
      <c r="G4913">
        <v>0.19982960448806</v>
      </c>
      <c r="H4913">
        <v>0.11597650947987601</v>
      </c>
      <c r="I4913">
        <v>9.4754503151365202E-2</v>
      </c>
      <c r="J4913">
        <v>0.10919798826130001</v>
      </c>
      <c r="K4913">
        <v>9.7014889881319594E-2</v>
      </c>
      <c r="L4913">
        <v>13236.2471351557</v>
      </c>
      <c r="M4913">
        <v>250</v>
      </c>
      <c r="N4913">
        <v>53.005055943679103</v>
      </c>
      <c r="O4913">
        <v>52.941600539046497</v>
      </c>
      <c r="P4913">
        <v>-1.03492021118221</v>
      </c>
      <c r="Q4913">
        <v>0.12335468455928</v>
      </c>
      <c r="R4913">
        <v>0.97845838337465196</v>
      </c>
      <c r="S4913" t="s">
        <v>11916</v>
      </c>
      <c r="T4913" t="s">
        <v>14004</v>
      </c>
      <c r="U4913" t="s">
        <v>14004</v>
      </c>
      <c r="V4913" t="s">
        <v>14004</v>
      </c>
      <c r="W4913" t="s">
        <v>18862</v>
      </c>
      <c r="X4913">
        <v>8</v>
      </c>
      <c r="Y4913" t="s">
        <v>25670</v>
      </c>
      <c r="Z4913" t="s">
        <v>32623</v>
      </c>
      <c r="AA4913">
        <v>0.50170825911747607</v>
      </c>
      <c r="AB4913" t="str">
        <f>HYPERLINK("Melting_Curves/meltCurve_Q8TAV0_FAM76A.pdf", "Melting_Curves/meltCurve_Q8TAV0_FAM76A.pdf")</f>
        <v>Melting_Curves/meltCurve_Q8TAV0_FAM76A.pdf</v>
      </c>
    </row>
    <row r="4914" spans="1:28" x14ac:dyDescent="0.25">
      <c r="A4914" t="s">
        <v>4918</v>
      </c>
      <c r="B4914">
        <v>0.99999676499088797</v>
      </c>
      <c r="C4914">
        <v>0.95899705392681001</v>
      </c>
      <c r="D4914">
        <v>0.92862017266833397</v>
      </c>
      <c r="E4914">
        <v>0.613804864239751</v>
      </c>
      <c r="F4914">
        <v>3.3344475729073002</v>
      </c>
      <c r="G4914">
        <v>0.46035338395249098</v>
      </c>
      <c r="H4914">
        <v>0.33952502771391802</v>
      </c>
      <c r="I4914">
        <v>0.230625190894308</v>
      </c>
      <c r="J4914">
        <v>0.30960095844406899</v>
      </c>
      <c r="K4914">
        <v>0.16308099187001401</v>
      </c>
      <c r="L4914">
        <v>14143.520382758001</v>
      </c>
      <c r="M4914">
        <v>250</v>
      </c>
      <c r="N4914">
        <v>56.741341679130798</v>
      </c>
      <c r="O4914">
        <v>56.570461171383002</v>
      </c>
      <c r="P4914">
        <v>-0.816782493222451</v>
      </c>
      <c r="Q4914">
        <v>0.26070780385626502</v>
      </c>
      <c r="R4914">
        <v>0.28130695785163101</v>
      </c>
      <c r="S4914" t="s">
        <v>11917</v>
      </c>
      <c r="T4914" t="s">
        <v>14004</v>
      </c>
      <c r="U4914" t="s">
        <v>14004</v>
      </c>
      <c r="V4914" t="s">
        <v>14004</v>
      </c>
      <c r="W4914" t="s">
        <v>18863</v>
      </c>
      <c r="X4914">
        <v>1</v>
      </c>
      <c r="Y4914" t="s">
        <v>25671</v>
      </c>
      <c r="Z4914" t="s">
        <v>32624</v>
      </c>
      <c r="AA4914">
        <v>0.66921751016032638</v>
      </c>
      <c r="AB4914" t="str">
        <f>HYPERLINK("Melting_Curves/meltCurve_Q8TAY7_FAM110D.pdf", "Melting_Curves/meltCurve_Q8TAY7_FAM110D.pdf")</f>
        <v>Melting_Curves/meltCurve_Q8TAY7_FAM110D.pdf</v>
      </c>
    </row>
    <row r="4915" spans="1:28" x14ac:dyDescent="0.25">
      <c r="A4915" t="s">
        <v>4919</v>
      </c>
      <c r="B4915">
        <v>0.99999676499088797</v>
      </c>
      <c r="C4915">
        <v>0.90818182087468402</v>
      </c>
      <c r="D4915">
        <v>0.99788992735962601</v>
      </c>
      <c r="E4915">
        <v>0.98497722319547398</v>
      </c>
      <c r="F4915">
        <v>0.29641929154749003</v>
      </c>
      <c r="G4915">
        <v>0.15469475289748899</v>
      </c>
      <c r="H4915">
        <v>6.9744444591211402E-2</v>
      </c>
      <c r="I4915">
        <v>0.10235086850616699</v>
      </c>
      <c r="J4915">
        <v>0.101557082883135</v>
      </c>
      <c r="K4915">
        <v>6.0093492105894201E-2</v>
      </c>
      <c r="L4915">
        <v>3596.2301836321699</v>
      </c>
      <c r="M4915">
        <v>68.842408284565195</v>
      </c>
      <c r="N4915">
        <v>52.402000845686302</v>
      </c>
      <c r="O4915">
        <v>52.194559295334898</v>
      </c>
      <c r="P4915">
        <v>-0.29788641239151897</v>
      </c>
      <c r="Q4915">
        <v>9.6600665621721399E-2</v>
      </c>
      <c r="R4915">
        <v>0.99221692858544097</v>
      </c>
      <c r="S4915" t="s">
        <v>11918</v>
      </c>
      <c r="T4915" t="s">
        <v>14004</v>
      </c>
      <c r="U4915" t="s">
        <v>14004</v>
      </c>
      <c r="V4915" t="s">
        <v>14004</v>
      </c>
      <c r="W4915" t="s">
        <v>18864</v>
      </c>
      <c r="X4915">
        <v>6</v>
      </c>
      <c r="Y4915" t="s">
        <v>25672</v>
      </c>
      <c r="Z4915" t="s">
        <v>32625</v>
      </c>
      <c r="AA4915">
        <v>0.46624025338862968</v>
      </c>
      <c r="AB4915" t="str">
        <f>HYPERLINK("Melting_Curves/meltCurve_Q8TB03_CXorf38.pdf", "Melting_Curves/meltCurve_Q8TB03_CXorf38.pdf")</f>
        <v>Melting_Curves/meltCurve_Q8TB03_CXorf38.pdf</v>
      </c>
    </row>
    <row r="4916" spans="1:28" x14ac:dyDescent="0.25">
      <c r="A4916" t="s">
        <v>4920</v>
      </c>
      <c r="B4916">
        <v>0.99999676499088797</v>
      </c>
      <c r="C4916">
        <v>1.06356797718749</v>
      </c>
      <c r="D4916">
        <v>1.3784479219427801</v>
      </c>
      <c r="E4916">
        <v>1.1496185419605001</v>
      </c>
      <c r="F4916">
        <v>0.39104295960909202</v>
      </c>
      <c r="G4916">
        <v>9.6408692937492199E-2</v>
      </c>
      <c r="H4916">
        <v>0.25448773524955098</v>
      </c>
      <c r="I4916">
        <v>0.21569323100636101</v>
      </c>
      <c r="J4916">
        <v>0.21398522178441801</v>
      </c>
      <c r="K4916">
        <v>0.110695504264299</v>
      </c>
      <c r="L4916">
        <v>13244.0630155488</v>
      </c>
      <c r="M4916">
        <v>250</v>
      </c>
      <c r="N4916">
        <v>53.069834513700499</v>
      </c>
      <c r="O4916">
        <v>52.972882545818997</v>
      </c>
      <c r="P4916">
        <v>-0.96953645381653897</v>
      </c>
      <c r="Q4916">
        <v>0.17825406770135299</v>
      </c>
      <c r="R4916">
        <v>0.91522324138950795</v>
      </c>
      <c r="S4916" t="s">
        <v>11919</v>
      </c>
      <c r="T4916" t="s">
        <v>14004</v>
      </c>
      <c r="U4916" t="s">
        <v>14004</v>
      </c>
      <c r="V4916" t="s">
        <v>14004</v>
      </c>
      <c r="W4916" t="s">
        <v>18865</v>
      </c>
      <c r="X4916">
        <v>2</v>
      </c>
      <c r="Y4916" t="s">
        <v>25673</v>
      </c>
      <c r="Z4916" t="s">
        <v>32626</v>
      </c>
      <c r="AA4916">
        <v>0.53376987909299367</v>
      </c>
      <c r="AB4916" t="str">
        <f>HYPERLINK("Melting_Curves/meltCurve_Q8TB22_3_SPATA20.pdf", "Melting_Curves/meltCurve_Q8TB22_3_SPATA20.pdf")</f>
        <v>Melting_Curves/meltCurve_Q8TB22_3_SPATA20.pdf</v>
      </c>
    </row>
    <row r="4917" spans="1:28" x14ac:dyDescent="0.25">
      <c r="A4917" t="s">
        <v>4921</v>
      </c>
      <c r="B4917">
        <v>0.99999676499088797</v>
      </c>
      <c r="C4917">
        <v>0.92419866784332705</v>
      </c>
      <c r="D4917">
        <v>0.99659000403721099</v>
      </c>
      <c r="E4917">
        <v>0.91851907352738005</v>
      </c>
      <c r="F4917">
        <v>0.71360917293813297</v>
      </c>
      <c r="G4917">
        <v>0.415681233366611</v>
      </c>
      <c r="H4917">
        <v>0.11978299795776701</v>
      </c>
      <c r="I4917">
        <v>0.134592610289099</v>
      </c>
      <c r="J4917">
        <v>0.16281188010185299</v>
      </c>
      <c r="K4917">
        <v>0.11202260242496399</v>
      </c>
      <c r="L4917">
        <v>1332.30431617464</v>
      </c>
      <c r="M4917">
        <v>24.2704470335274</v>
      </c>
      <c r="N4917">
        <v>55.454325363868499</v>
      </c>
      <c r="O4917">
        <v>54.525502895549899</v>
      </c>
      <c r="P4917">
        <v>-9.9183204153555499E-2</v>
      </c>
      <c r="Q4917">
        <v>0.10872144108751</v>
      </c>
      <c r="R4917">
        <v>0.99059418714661795</v>
      </c>
      <c r="S4917" t="s">
        <v>11920</v>
      </c>
      <c r="T4917" t="s">
        <v>14004</v>
      </c>
      <c r="U4917" t="s">
        <v>14004</v>
      </c>
      <c r="V4917" t="s">
        <v>14004</v>
      </c>
      <c r="W4917" t="s">
        <v>18866</v>
      </c>
      <c r="X4917">
        <v>9</v>
      </c>
      <c r="Y4917" t="s">
        <v>25674</v>
      </c>
      <c r="Z4917" t="s">
        <v>32627</v>
      </c>
      <c r="AA4917">
        <v>0.55990073799431239</v>
      </c>
      <c r="AB4917" t="str">
        <f>HYPERLINK("Melting_Curves/meltCurve_Q8TB36_GDAP1.pdf", "Melting_Curves/meltCurve_Q8TB36_GDAP1.pdf")</f>
        <v>Melting_Curves/meltCurve_Q8TB36_GDAP1.pdf</v>
      </c>
    </row>
    <row r="4918" spans="1:28" x14ac:dyDescent="0.25">
      <c r="A4918" t="s">
        <v>4922</v>
      </c>
      <c r="B4918">
        <v>0.99999676499088797</v>
      </c>
      <c r="C4918">
        <v>1.02251206169145</v>
      </c>
      <c r="D4918">
        <v>0.96997774286721095</v>
      </c>
      <c r="E4918">
        <v>0.94434225688231299</v>
      </c>
      <c r="F4918">
        <v>0.78572086068179003</v>
      </c>
      <c r="G4918">
        <v>0.582511956324129</v>
      </c>
      <c r="H4918">
        <v>0.13203844955291599</v>
      </c>
      <c r="I4918">
        <v>8.4575411986239094E-2</v>
      </c>
      <c r="J4918">
        <v>6.4714285925304801E-2</v>
      </c>
      <c r="K4918">
        <v>4.68075608170722E-2</v>
      </c>
      <c r="L4918">
        <v>1303.94319251706</v>
      </c>
      <c r="M4918">
        <v>22.933354541302201</v>
      </c>
      <c r="N4918">
        <v>56.948074682738003</v>
      </c>
      <c r="O4918">
        <v>56.430910957567797</v>
      </c>
      <c r="P4918">
        <v>-9.9790204155348602E-2</v>
      </c>
      <c r="Q4918">
        <v>1.7824420231247799E-2</v>
      </c>
      <c r="R4918">
        <v>0.99202519219192298</v>
      </c>
      <c r="S4918" t="s">
        <v>11921</v>
      </c>
      <c r="T4918" t="s">
        <v>14004</v>
      </c>
      <c r="U4918" t="s">
        <v>14004</v>
      </c>
      <c r="V4918" t="s">
        <v>14004</v>
      </c>
      <c r="W4918" t="s">
        <v>18867</v>
      </c>
      <c r="X4918">
        <v>10</v>
      </c>
      <c r="Y4918" t="s">
        <v>25675</v>
      </c>
      <c r="Z4918" t="s">
        <v>32628</v>
      </c>
      <c r="AA4918">
        <v>0.57984848559955759</v>
      </c>
      <c r="AB4918" t="str">
        <f>HYPERLINK("Melting_Curves/meltCurve_Q8TB37_NUBPL.pdf", "Melting_Curves/meltCurve_Q8TB37_NUBPL.pdf")</f>
        <v>Melting_Curves/meltCurve_Q8TB37_NUBPL.pdf</v>
      </c>
    </row>
    <row r="4919" spans="1:28" x14ac:dyDescent="0.25">
      <c r="A4919" t="s">
        <v>4923</v>
      </c>
      <c r="B4919">
        <v>0.99999676499088797</v>
      </c>
      <c r="C4919">
        <v>0.98501524393528295</v>
      </c>
      <c r="D4919">
        <v>1.02500168671005</v>
      </c>
      <c r="E4919">
        <v>0.59934396085187003</v>
      </c>
      <c r="F4919">
        <v>0.22024245677215001</v>
      </c>
      <c r="G4919">
        <v>0.197942551586512</v>
      </c>
      <c r="H4919">
        <v>9.4776151632487399E-2</v>
      </c>
      <c r="I4919">
        <v>8.7502878877590104E-2</v>
      </c>
      <c r="J4919">
        <v>9.3578704123898904E-2</v>
      </c>
      <c r="K4919">
        <v>0.102416029959879</v>
      </c>
      <c r="L4919">
        <v>1777.4793907313799</v>
      </c>
      <c r="M4919">
        <v>35.552953766715497</v>
      </c>
      <c r="N4919">
        <v>50.359780365493698</v>
      </c>
      <c r="O4919">
        <v>49.837879582239701</v>
      </c>
      <c r="P4919">
        <v>-0.15811106067531799</v>
      </c>
      <c r="Q4919">
        <v>0.113446977334862</v>
      </c>
      <c r="R4919">
        <v>0.99256717696603503</v>
      </c>
      <c r="S4919" t="s">
        <v>11922</v>
      </c>
      <c r="T4919" t="s">
        <v>14004</v>
      </c>
      <c r="U4919" t="s">
        <v>14004</v>
      </c>
      <c r="V4919" t="s">
        <v>14004</v>
      </c>
      <c r="W4919" t="s">
        <v>18868</v>
      </c>
      <c r="X4919">
        <v>4</v>
      </c>
      <c r="Y4919" t="s">
        <v>25676</v>
      </c>
      <c r="Z4919" t="s">
        <v>32629</v>
      </c>
      <c r="AA4919">
        <v>0.41271336448685181</v>
      </c>
      <c r="AB4919" t="str">
        <f>HYPERLINK("Melting_Curves/meltCurve_Q8TB52_FBXO30.pdf", "Melting_Curves/meltCurve_Q8TB52_FBXO30.pdf")</f>
        <v>Melting_Curves/meltCurve_Q8TB52_FBXO30.pdf</v>
      </c>
    </row>
    <row r="4920" spans="1:28" x14ac:dyDescent="0.25">
      <c r="A4920" t="s">
        <v>4924</v>
      </c>
      <c r="B4920">
        <v>0.99999676499088797</v>
      </c>
      <c r="C4920">
        <v>1.0641893231358099</v>
      </c>
      <c r="D4920">
        <v>1.0998868915537101</v>
      </c>
      <c r="E4920">
        <v>1.2965144339268</v>
      </c>
      <c r="F4920">
        <v>1.31036255122344</v>
      </c>
      <c r="G4920">
        <v>1.16334951764908</v>
      </c>
      <c r="H4920">
        <v>0.57910249632284605</v>
      </c>
      <c r="I4920">
        <v>0.201033897847713</v>
      </c>
      <c r="J4920">
        <v>0.143463361651509</v>
      </c>
      <c r="K4920">
        <v>0.12934243087724601</v>
      </c>
      <c r="L4920">
        <v>5432.5273868084896</v>
      </c>
      <c r="M4920">
        <v>89.327395206366106</v>
      </c>
      <c r="N4920">
        <v>61.067782635936297</v>
      </c>
      <c r="O4920">
        <v>60.785457919689001</v>
      </c>
      <c r="P4920">
        <v>-0.31077864793635901</v>
      </c>
      <c r="Q4920">
        <v>0.15408615900456399</v>
      </c>
      <c r="R4920">
        <v>0.89297898523862296</v>
      </c>
      <c r="S4920" t="s">
        <v>11923</v>
      </c>
      <c r="T4920" t="s">
        <v>14004</v>
      </c>
      <c r="U4920" t="s">
        <v>14004</v>
      </c>
      <c r="V4920" t="s">
        <v>14004</v>
      </c>
      <c r="W4920" t="s">
        <v>18869</v>
      </c>
      <c r="X4920">
        <v>9</v>
      </c>
      <c r="Y4920" t="s">
        <v>25677</v>
      </c>
      <c r="Z4920" t="s">
        <v>32630</v>
      </c>
      <c r="AA4920">
        <v>0.74174325109760797</v>
      </c>
      <c r="AB4920" t="str">
        <f>HYPERLINK("Melting_Curves/meltCurve_Q8TB61_3_SLC35B2.pdf", "Melting_Curves/meltCurve_Q8TB61_3_SLC35B2.pdf")</f>
        <v>Melting_Curves/meltCurve_Q8TB61_3_SLC35B2.pdf</v>
      </c>
    </row>
    <row r="4921" spans="1:28" x14ac:dyDescent="0.25">
      <c r="A4921" t="s">
        <v>4925</v>
      </c>
      <c r="B4921">
        <v>0.99999676499088797</v>
      </c>
      <c r="C4921">
        <v>0.96524815505208805</v>
      </c>
      <c r="D4921">
        <v>0.95019495519611297</v>
      </c>
      <c r="E4921">
        <v>0.73874276278818296</v>
      </c>
      <c r="F4921">
        <v>0.36900746293188902</v>
      </c>
      <c r="G4921">
        <v>0.20645254979609001</v>
      </c>
      <c r="H4921">
        <v>0.12254980835203801</v>
      </c>
      <c r="I4921">
        <v>0.140275122512034</v>
      </c>
      <c r="J4921">
        <v>0.147729512601111</v>
      </c>
      <c r="K4921">
        <v>0.11367438601194101</v>
      </c>
      <c r="L4921">
        <v>1277.75037151013</v>
      </c>
      <c r="M4921">
        <v>24.937151035329101</v>
      </c>
      <c r="N4921">
        <v>51.843047115752597</v>
      </c>
      <c r="O4921">
        <v>50.912734011567601</v>
      </c>
      <c r="P4921">
        <v>-0.107010100002101</v>
      </c>
      <c r="Q4921">
        <v>0.12610662876894899</v>
      </c>
      <c r="R4921">
        <v>0.99853965965491298</v>
      </c>
      <c r="S4921" t="s">
        <v>11924</v>
      </c>
      <c r="T4921" t="s">
        <v>14004</v>
      </c>
      <c r="U4921" t="s">
        <v>14004</v>
      </c>
      <c r="V4921" t="s">
        <v>14004</v>
      </c>
      <c r="W4921" t="s">
        <v>18870</v>
      </c>
      <c r="X4921">
        <v>23</v>
      </c>
      <c r="Y4921" t="s">
        <v>25678</v>
      </c>
      <c r="Z4921" t="s">
        <v>32631</v>
      </c>
      <c r="AA4921">
        <v>0.46144547252869028</v>
      </c>
      <c r="AB4921" t="str">
        <f>HYPERLINK("Melting_Curves/meltCurve_Q8TB72_3_PUM2.pdf", "Melting_Curves/meltCurve_Q8TB72_3_PUM2.pdf")</f>
        <v>Melting_Curves/meltCurve_Q8TB72_3_PUM2.pdf</v>
      </c>
    </row>
    <row r="4922" spans="1:28" x14ac:dyDescent="0.25">
      <c r="A4922" t="s">
        <v>4926</v>
      </c>
      <c r="B4922">
        <v>0.99999676499088797</v>
      </c>
      <c r="C4922">
        <v>1.05702801865148</v>
      </c>
      <c r="D4922">
        <v>0.99117985965899702</v>
      </c>
      <c r="E4922">
        <v>0.87233564656706897</v>
      </c>
      <c r="F4922">
        <v>0.75655832828468095</v>
      </c>
      <c r="G4922">
        <v>0.58526570906596498</v>
      </c>
      <c r="H4922">
        <v>0.34966117866895502</v>
      </c>
      <c r="I4922">
        <v>0.265342538583484</v>
      </c>
      <c r="J4922">
        <v>0.25477452341754903</v>
      </c>
      <c r="K4922">
        <v>0.34582118849959298</v>
      </c>
      <c r="L4922">
        <v>1008.52273145427</v>
      </c>
      <c r="M4922">
        <v>18.236277505937501</v>
      </c>
      <c r="N4922">
        <v>57.568015709774002</v>
      </c>
      <c r="O4922">
        <v>54.6509682462179</v>
      </c>
      <c r="P4922">
        <v>-6.2067860541237398E-2</v>
      </c>
      <c r="Q4922">
        <v>0.25600842854494499</v>
      </c>
      <c r="R4922">
        <v>0.98184960648898101</v>
      </c>
      <c r="S4922" t="s">
        <v>11925</v>
      </c>
      <c r="T4922" t="s">
        <v>14004</v>
      </c>
      <c r="U4922" t="s">
        <v>14004</v>
      </c>
      <c r="V4922" t="s">
        <v>14004</v>
      </c>
      <c r="W4922" t="s">
        <v>18871</v>
      </c>
      <c r="X4922">
        <v>4</v>
      </c>
      <c r="Y4922" t="s">
        <v>25679</v>
      </c>
      <c r="Z4922" t="s">
        <v>32632</v>
      </c>
      <c r="AA4922">
        <v>0.64668961990715168</v>
      </c>
      <c r="AB4922" t="str">
        <f>HYPERLINK("Melting_Curves/meltCurve_Q8TB96_ITFG1.pdf", "Melting_Curves/meltCurve_Q8TB96_ITFG1.pdf")</f>
        <v>Melting_Curves/meltCurve_Q8TB96_ITFG1.pdf</v>
      </c>
    </row>
    <row r="4923" spans="1:28" x14ac:dyDescent="0.25">
      <c r="A4923" t="s">
        <v>4927</v>
      </c>
      <c r="B4923">
        <v>0.99999676499088797</v>
      </c>
      <c r="C4923">
        <v>0.95668072602628196</v>
      </c>
      <c r="D4923">
        <v>0.87747784550585095</v>
      </c>
      <c r="E4923">
        <v>0.67496880778565504</v>
      </c>
      <c r="F4923">
        <v>0.40178714708053298</v>
      </c>
      <c r="G4923">
        <v>0.227677981963465</v>
      </c>
      <c r="H4923">
        <v>0.141035504458947</v>
      </c>
      <c r="I4923">
        <v>0.14738768340247199</v>
      </c>
      <c r="J4923">
        <v>0.14674992130932901</v>
      </c>
      <c r="K4923">
        <v>0.151702340875949</v>
      </c>
      <c r="L4923">
        <v>943.32629690916497</v>
      </c>
      <c r="M4923">
        <v>18.551024506438299</v>
      </c>
      <c r="N4923">
        <v>51.674655823759103</v>
      </c>
      <c r="O4923">
        <v>50.270538258421801</v>
      </c>
      <c r="P4923">
        <v>-8.0443789507073496E-2</v>
      </c>
      <c r="Q4923">
        <v>0.12807534085646899</v>
      </c>
      <c r="R4923">
        <v>0.99842202895840004</v>
      </c>
      <c r="S4923" t="s">
        <v>11926</v>
      </c>
      <c r="T4923" t="s">
        <v>14004</v>
      </c>
      <c r="U4923" t="s">
        <v>14004</v>
      </c>
      <c r="V4923" t="s">
        <v>14004</v>
      </c>
      <c r="W4923" t="s">
        <v>18872</v>
      </c>
      <c r="X4923">
        <v>30</v>
      </c>
      <c r="Y4923" t="s">
        <v>25680</v>
      </c>
      <c r="Z4923" t="s">
        <v>32633</v>
      </c>
      <c r="AA4923">
        <v>0.45735958227403362</v>
      </c>
      <c r="AB4923" t="str">
        <f>HYPERLINK("Melting_Curves/meltCurve_Q8TBA6_2_GOLGA5.pdf", "Melting_Curves/meltCurve_Q8TBA6_2_GOLGA5.pdf")</f>
        <v>Melting_Curves/meltCurve_Q8TBA6_2_GOLGA5.pdf</v>
      </c>
    </row>
    <row r="4924" spans="1:28" x14ac:dyDescent="0.25">
      <c r="A4924" t="s">
        <v>4928</v>
      </c>
      <c r="B4924">
        <v>0.99999676499088797</v>
      </c>
      <c r="C4924">
        <v>0.94343267865840597</v>
      </c>
      <c r="D4924">
        <v>0.94257634176621496</v>
      </c>
      <c r="E4924">
        <v>0.67179047664324598</v>
      </c>
      <c r="F4924">
        <v>0.37054259571121601</v>
      </c>
      <c r="G4924">
        <v>0.30509077608408502</v>
      </c>
      <c r="H4924">
        <v>0.106623905171604</v>
      </c>
      <c r="I4924">
        <v>8.2152261553942896E-2</v>
      </c>
      <c r="J4924">
        <v>8.2740852310295404E-2</v>
      </c>
      <c r="K4924">
        <v>7.0543087575970595E-2</v>
      </c>
      <c r="L4924">
        <v>863.27260503484194</v>
      </c>
      <c r="M4924">
        <v>16.724822862822901</v>
      </c>
      <c r="N4924">
        <v>52.0206695991156</v>
      </c>
      <c r="O4924">
        <v>50.895256649437499</v>
      </c>
      <c r="P4924">
        <v>-7.7150000042198005E-2</v>
      </c>
      <c r="Q4924">
        <v>6.0962175550059602E-2</v>
      </c>
      <c r="R4924">
        <v>0.99131293406201604</v>
      </c>
      <c r="S4924" t="s">
        <v>11927</v>
      </c>
      <c r="T4924" t="s">
        <v>14004</v>
      </c>
      <c r="U4924" t="s">
        <v>14004</v>
      </c>
      <c r="V4924" t="s">
        <v>14004</v>
      </c>
      <c r="W4924" t="s">
        <v>18873</v>
      </c>
      <c r="X4924">
        <v>12</v>
      </c>
      <c r="Y4924" t="s">
        <v>25681</v>
      </c>
      <c r="Z4924" t="s">
        <v>32634</v>
      </c>
      <c r="AA4924">
        <v>0.44237714105104742</v>
      </c>
      <c r="AB4924" t="str">
        <f>HYPERLINK("Melting_Curves/meltCurve_Q8TBB5_3_KLHDC4.pdf", "Melting_Curves/meltCurve_Q8TBB5_3_KLHDC4.pdf")</f>
        <v>Melting_Curves/meltCurve_Q8TBB5_3_KLHDC4.pdf</v>
      </c>
    </row>
    <row r="4925" spans="1:28" x14ac:dyDescent="0.25">
      <c r="A4925" t="s">
        <v>4929</v>
      </c>
      <c r="B4925">
        <v>0.99999676499088797</v>
      </c>
      <c r="C4925">
        <v>0.96437166509594596</v>
      </c>
      <c r="D4925">
        <v>0.94570893560814895</v>
      </c>
      <c r="E4925">
        <v>0.80210584859422296</v>
      </c>
      <c r="F4925">
        <v>0.28846787892182602</v>
      </c>
      <c r="G4925">
        <v>0.19308121135440401</v>
      </c>
      <c r="H4925">
        <v>9.0275820886476593E-2</v>
      </c>
      <c r="I4925">
        <v>8.4648563605999802E-2</v>
      </c>
      <c r="J4925">
        <v>6.9083152073065104E-2</v>
      </c>
      <c r="K4925">
        <v>6.4376640606732996E-2</v>
      </c>
      <c r="L4925">
        <v>1603.8740333011899</v>
      </c>
      <c r="M4925">
        <v>31.196025389148598</v>
      </c>
      <c r="N4925">
        <v>51.720071015170198</v>
      </c>
      <c r="O4925">
        <v>51.202888719102603</v>
      </c>
      <c r="P4925">
        <v>-0.139431268558523</v>
      </c>
      <c r="Q4925">
        <v>8.4595702520145005E-2</v>
      </c>
      <c r="R4925">
        <v>0.994611158073341</v>
      </c>
      <c r="S4925" t="s">
        <v>11928</v>
      </c>
      <c r="T4925" t="s">
        <v>14004</v>
      </c>
      <c r="U4925" t="s">
        <v>14004</v>
      </c>
      <c r="V4925" t="s">
        <v>14004</v>
      </c>
      <c r="W4925" t="s">
        <v>18874</v>
      </c>
      <c r="X4925">
        <v>15</v>
      </c>
      <c r="Y4925" t="s">
        <v>25682</v>
      </c>
      <c r="Z4925" t="s">
        <v>32635</v>
      </c>
      <c r="AA4925">
        <v>0.43819809293210688</v>
      </c>
      <c r="AB4925" t="str">
        <f>HYPERLINK("Melting_Curves/meltCurve_Q8TBC4_UBA3.pdf", "Melting_Curves/meltCurve_Q8TBC4_UBA3.pdf")</f>
        <v>Melting_Curves/meltCurve_Q8TBC4_UBA3.pdf</v>
      </c>
    </row>
    <row r="4926" spans="1:28" x14ac:dyDescent="0.25">
      <c r="A4926" t="s">
        <v>4930</v>
      </c>
      <c r="B4926">
        <v>0.99999676499088797</v>
      </c>
      <c r="C4926">
        <v>0.98836531147560303</v>
      </c>
      <c r="D4926">
        <v>0.93383486896883605</v>
      </c>
      <c r="E4926">
        <v>0.87199533609559998</v>
      </c>
      <c r="F4926">
        <v>0.39467500075939199</v>
      </c>
      <c r="G4926">
        <v>0.207853629628658</v>
      </c>
      <c r="H4926">
        <v>9.7612454199271906E-2</v>
      </c>
      <c r="I4926">
        <v>9.5172037212208405E-2</v>
      </c>
      <c r="J4926">
        <v>7.1826225585176998E-2</v>
      </c>
      <c r="K4926">
        <v>6.1941159612098499E-2</v>
      </c>
      <c r="L4926">
        <v>1493.1522316743799</v>
      </c>
      <c r="M4926">
        <v>28.570951781692699</v>
      </c>
      <c r="N4926">
        <v>52.588267003119803</v>
      </c>
      <c r="O4926">
        <v>52.007182988908603</v>
      </c>
      <c r="P4926">
        <v>-0.12616287263668599</v>
      </c>
      <c r="Q4926">
        <v>8.1399339064670201E-2</v>
      </c>
      <c r="R4926">
        <v>0.99563715530873398</v>
      </c>
      <c r="S4926" t="s">
        <v>11929</v>
      </c>
      <c r="T4926" t="s">
        <v>14004</v>
      </c>
      <c r="U4926" t="s">
        <v>14004</v>
      </c>
      <c r="V4926" t="s">
        <v>14004</v>
      </c>
      <c r="W4926" t="s">
        <v>18875</v>
      </c>
      <c r="X4926">
        <v>5</v>
      </c>
      <c r="Y4926" t="s">
        <v>25683</v>
      </c>
      <c r="Z4926" t="s">
        <v>32636</v>
      </c>
      <c r="AA4926">
        <v>0.46332547145546332</v>
      </c>
      <c r="AB4926" t="str">
        <f>HYPERLINK("Melting_Curves/meltCurve_Q8TBE9_NANP.pdf", "Melting_Curves/meltCurve_Q8TBE9_NANP.pdf")</f>
        <v>Melting_Curves/meltCurve_Q8TBE9_NANP.pdf</v>
      </c>
    </row>
    <row r="4927" spans="1:28" x14ac:dyDescent="0.25">
      <c r="A4927" t="s">
        <v>4931</v>
      </c>
      <c r="B4927">
        <v>0.99999676499088797</v>
      </c>
      <c r="C4927">
        <v>0.97582259740351396</v>
      </c>
      <c r="D4927">
        <v>1.07594840043386</v>
      </c>
      <c r="E4927">
        <v>0.87316933609579495</v>
      </c>
      <c r="F4927">
        <v>0.57543749699973201</v>
      </c>
      <c r="G4927">
        <v>0.61715113914576003</v>
      </c>
      <c r="H4927">
        <v>0.31963305436439599</v>
      </c>
      <c r="I4927">
        <v>0.21950582831260099</v>
      </c>
      <c r="J4927">
        <v>0.22283413867660801</v>
      </c>
      <c r="K4927">
        <v>0.196056968824462</v>
      </c>
      <c r="L4927">
        <v>792.70777737939602</v>
      </c>
      <c r="M4927">
        <v>14.2954329691698</v>
      </c>
      <c r="N4927">
        <v>56.841169622529101</v>
      </c>
      <c r="O4927">
        <v>54.4005699202906</v>
      </c>
      <c r="P4927">
        <v>-5.6015276168079497E-2</v>
      </c>
      <c r="Q4927">
        <v>0.147450419462407</v>
      </c>
      <c r="R4927">
        <v>0.96054091291980803</v>
      </c>
      <c r="S4927" t="s">
        <v>11930</v>
      </c>
      <c r="T4927" t="s">
        <v>14004</v>
      </c>
      <c r="U4927" t="s">
        <v>14004</v>
      </c>
      <c r="V4927" t="s">
        <v>14004</v>
      </c>
      <c r="W4927" t="s">
        <v>18876</v>
      </c>
      <c r="X4927">
        <v>2</v>
      </c>
      <c r="Y4927" t="s">
        <v>25684</v>
      </c>
      <c r="Z4927" t="s">
        <v>32637</v>
      </c>
      <c r="AA4927">
        <v>0.60317308410120418</v>
      </c>
      <c r="AB4927" t="str">
        <f>HYPERLINK("Melting_Curves/meltCurve_Q8TBF4_ZCRB1.pdf", "Melting_Curves/meltCurve_Q8TBF4_ZCRB1.pdf")</f>
        <v>Melting_Curves/meltCurve_Q8TBF4_ZCRB1.pdf</v>
      </c>
    </row>
    <row r="4928" spans="1:28" x14ac:dyDescent="0.25">
      <c r="A4928" t="s">
        <v>4932</v>
      </c>
      <c r="B4928">
        <v>0.99999676499088797</v>
      </c>
      <c r="C4928">
        <v>1.0397699068147199</v>
      </c>
      <c r="D4928">
        <v>1.0710990722338001</v>
      </c>
      <c r="E4928">
        <v>0.80969232204229302</v>
      </c>
      <c r="F4928">
        <v>0.45314561988291002</v>
      </c>
      <c r="G4928">
        <v>0.30991279412960698</v>
      </c>
      <c r="H4928">
        <v>0.15086859175634901</v>
      </c>
      <c r="I4928">
        <v>0.139564584169279</v>
      </c>
      <c r="J4928">
        <v>0.146234056867657</v>
      </c>
      <c r="K4928">
        <v>9.0496736548482906E-2</v>
      </c>
      <c r="L4928">
        <v>1255.2821791676499</v>
      </c>
      <c r="M4928">
        <v>23.9459478505789</v>
      </c>
      <c r="N4928">
        <v>53.078466785012502</v>
      </c>
      <c r="O4928">
        <v>52.059998462059902</v>
      </c>
      <c r="P4928">
        <v>-0.100245713009651</v>
      </c>
      <c r="Q4928">
        <v>0.128251938705333</v>
      </c>
      <c r="R4928">
        <v>0.98748071370661095</v>
      </c>
      <c r="S4928" t="s">
        <v>11931</v>
      </c>
      <c r="T4928" t="s">
        <v>14004</v>
      </c>
      <c r="U4928" t="s">
        <v>14004</v>
      </c>
      <c r="V4928" t="s">
        <v>14004</v>
      </c>
      <c r="W4928" t="s">
        <v>18877</v>
      </c>
      <c r="X4928">
        <v>6</v>
      </c>
      <c r="Y4928" t="s">
        <v>21997</v>
      </c>
      <c r="Z4928" t="s">
        <v>32638</v>
      </c>
      <c r="AA4928">
        <v>0.49786760132766772</v>
      </c>
      <c r="AB4928" t="str">
        <f>HYPERLINK("Melting_Curves/meltCurve_Q8TBM8_DNAJB14.pdf", "Melting_Curves/meltCurve_Q8TBM8_DNAJB14.pdf")</f>
        <v>Melting_Curves/meltCurve_Q8TBM8_DNAJB14.pdf</v>
      </c>
    </row>
    <row r="4929" spans="1:28" x14ac:dyDescent="0.25">
      <c r="A4929" t="s">
        <v>4933</v>
      </c>
      <c r="B4929">
        <v>0.99999676499088797</v>
      </c>
      <c r="C4929">
        <v>1.06760099598071</v>
      </c>
      <c r="D4929">
        <v>1.0274889779544201</v>
      </c>
      <c r="E4929">
        <v>0.93450161660651898</v>
      </c>
      <c r="F4929">
        <v>0.436348695613761</v>
      </c>
      <c r="G4929">
        <v>0.21740097519736201</v>
      </c>
      <c r="H4929">
        <v>0.10057019840273899</v>
      </c>
      <c r="I4929">
        <v>0.14009059208680699</v>
      </c>
      <c r="J4929">
        <v>0.134262121797425</v>
      </c>
      <c r="K4929">
        <v>0.120059296450194</v>
      </c>
      <c r="L4929">
        <v>2075.7358841105902</v>
      </c>
      <c r="M4929">
        <v>39.563119880152598</v>
      </c>
      <c r="N4929">
        <v>52.874598294016103</v>
      </c>
      <c r="O4929">
        <v>52.332925118128998</v>
      </c>
      <c r="P4929">
        <v>-0.16412783574692699</v>
      </c>
      <c r="Q4929">
        <v>0.13158808844351999</v>
      </c>
      <c r="R4929">
        <v>0.99442042118858898</v>
      </c>
      <c r="S4929" t="s">
        <v>11932</v>
      </c>
      <c r="T4929" t="s">
        <v>14004</v>
      </c>
      <c r="U4929" t="s">
        <v>14004</v>
      </c>
      <c r="V4929" t="s">
        <v>14004</v>
      </c>
      <c r="W4929" t="s">
        <v>18878</v>
      </c>
      <c r="X4929">
        <v>2</v>
      </c>
      <c r="Y4929" t="s">
        <v>25685</v>
      </c>
      <c r="Z4929" t="s">
        <v>32639</v>
      </c>
      <c r="AA4929">
        <v>0.49567215444761459</v>
      </c>
      <c r="AB4929" t="str">
        <f>HYPERLINK("Melting_Curves/meltCurve_Q8TBN0_RAB3IL1.pdf", "Melting_Curves/meltCurve_Q8TBN0_RAB3IL1.pdf")</f>
        <v>Melting_Curves/meltCurve_Q8TBN0_RAB3IL1.pdf</v>
      </c>
    </row>
    <row r="4930" spans="1:28" x14ac:dyDescent="0.25">
      <c r="A4930" t="s">
        <v>4934</v>
      </c>
      <c r="B4930">
        <v>0.99999676499088797</v>
      </c>
      <c r="C4930">
        <v>1.1604302973792</v>
      </c>
      <c r="D4930">
        <v>1.1417809239573899</v>
      </c>
      <c r="E4930">
        <v>1.13933280368984</v>
      </c>
      <c r="F4930">
        <v>0.970547005766497</v>
      </c>
      <c r="G4930">
        <v>0.83515634829894903</v>
      </c>
      <c r="H4930">
        <v>0.43874647332925698</v>
      </c>
      <c r="I4930">
        <v>0.21914702282425599</v>
      </c>
      <c r="J4930">
        <v>0.12059413115975599</v>
      </c>
      <c r="K4930">
        <v>6.1961004447913498E-2</v>
      </c>
      <c r="L4930">
        <v>1643.26610102265</v>
      </c>
      <c r="M4930">
        <v>27.378501552179898</v>
      </c>
      <c r="N4930">
        <v>60.303429350294302</v>
      </c>
      <c r="O4930">
        <v>59.702841322016099</v>
      </c>
      <c r="P4930">
        <v>-0.10773157631821501</v>
      </c>
      <c r="Q4930">
        <v>6.03107469672369E-2</v>
      </c>
      <c r="R4930">
        <v>0.96332793184749599</v>
      </c>
      <c r="S4930" t="s">
        <v>11933</v>
      </c>
      <c r="T4930" t="s">
        <v>14004</v>
      </c>
      <c r="U4930" t="s">
        <v>14004</v>
      </c>
      <c r="V4930" t="s">
        <v>14004</v>
      </c>
      <c r="W4930" t="s">
        <v>18879</v>
      </c>
      <c r="X4930">
        <v>4</v>
      </c>
      <c r="Y4930" t="s">
        <v>25686</v>
      </c>
      <c r="Z4930" t="s">
        <v>32640</v>
      </c>
      <c r="AA4930">
        <v>0.69376623533496462</v>
      </c>
      <c r="AB4930" t="str">
        <f>HYPERLINK("Melting_Curves/meltCurve_Q8TBP6_SLC25A40.pdf", "Melting_Curves/meltCurve_Q8TBP6_SLC25A40.pdf")</f>
        <v>Melting_Curves/meltCurve_Q8TBP6_SLC25A40.pdf</v>
      </c>
    </row>
    <row r="4931" spans="1:28" x14ac:dyDescent="0.25">
      <c r="A4931" t="s">
        <v>4935</v>
      </c>
      <c r="B4931">
        <v>0.99999676499088797</v>
      </c>
      <c r="C4931">
        <v>1.21403963933633</v>
      </c>
      <c r="D4931">
        <v>1.2092986374568799</v>
      </c>
      <c r="E4931">
        <v>1.3608679265079</v>
      </c>
      <c r="F4931">
        <v>0.92324994713005204</v>
      </c>
      <c r="G4931">
        <v>0.68420151997661105</v>
      </c>
      <c r="H4931">
        <v>0.36971734913590998</v>
      </c>
      <c r="I4931">
        <v>0.57407886345108805</v>
      </c>
      <c r="J4931">
        <v>0.53197319626461903</v>
      </c>
      <c r="K4931">
        <v>0.50371982501268198</v>
      </c>
      <c r="L4931">
        <v>3010.8890720821601</v>
      </c>
      <c r="M4931">
        <v>53.6820554055926</v>
      </c>
      <c r="N4931">
        <v>61.532847679663199</v>
      </c>
      <c r="O4931">
        <v>56.009743389287401</v>
      </c>
      <c r="P4931">
        <v>-0.120841062990941</v>
      </c>
      <c r="Q4931">
        <v>0.49567686622541701</v>
      </c>
      <c r="R4931">
        <v>0.77505123818103505</v>
      </c>
      <c r="S4931" t="s">
        <v>11934</v>
      </c>
      <c r="T4931" t="s">
        <v>14004</v>
      </c>
      <c r="U4931" t="s">
        <v>14004</v>
      </c>
      <c r="V4931" t="s">
        <v>14004</v>
      </c>
      <c r="W4931" t="s">
        <v>18880</v>
      </c>
      <c r="X4931">
        <v>1</v>
      </c>
      <c r="Y4931" t="s">
        <v>25687</v>
      </c>
      <c r="Z4931" t="s">
        <v>32641</v>
      </c>
      <c r="AA4931">
        <v>0.76720009113241827</v>
      </c>
      <c r="AB4931" t="str">
        <f>HYPERLINK("Melting_Curves/meltCurve_Q8TBQ9_TMEM167A.pdf", "Melting_Curves/meltCurve_Q8TBQ9_TMEM167A.pdf")</f>
        <v>Melting_Curves/meltCurve_Q8TBQ9_TMEM167A.pdf</v>
      </c>
    </row>
    <row r="4932" spans="1:28" x14ac:dyDescent="0.25">
      <c r="A4932" t="s">
        <v>4936</v>
      </c>
      <c r="B4932">
        <v>0.99999676499088797</v>
      </c>
      <c r="C4932">
        <v>0.953469686228818</v>
      </c>
      <c r="D4932">
        <v>0.91153350564903401</v>
      </c>
      <c r="E4932">
        <v>0.59310240326050401</v>
      </c>
      <c r="F4932">
        <v>0.34552051643639697</v>
      </c>
      <c r="G4932">
        <v>0.21576347568979801</v>
      </c>
      <c r="H4932">
        <v>0.11250360096925401</v>
      </c>
      <c r="I4932">
        <v>9.3356985764238204E-2</v>
      </c>
      <c r="J4932">
        <v>9.6609871656933202E-2</v>
      </c>
      <c r="K4932">
        <v>7.99206712773598E-2</v>
      </c>
      <c r="L4932">
        <v>937.452573688298</v>
      </c>
      <c r="M4932">
        <v>18.546731217824199</v>
      </c>
      <c r="N4932">
        <v>51.043180869026699</v>
      </c>
      <c r="O4932">
        <v>49.968810529487001</v>
      </c>
      <c r="P4932">
        <v>-8.5119271657105006E-2</v>
      </c>
      <c r="Q4932">
        <v>8.2723110997643595E-2</v>
      </c>
      <c r="R4932">
        <v>0.99742367108460905</v>
      </c>
      <c r="S4932" t="s">
        <v>11935</v>
      </c>
      <c r="T4932" t="s">
        <v>14004</v>
      </c>
      <c r="U4932" t="s">
        <v>14004</v>
      </c>
      <c r="V4932" t="s">
        <v>14004</v>
      </c>
      <c r="W4932" t="s">
        <v>18881</v>
      </c>
      <c r="X4932">
        <v>12</v>
      </c>
      <c r="Y4932" t="s">
        <v>25688</v>
      </c>
      <c r="Z4932" t="s">
        <v>32642</v>
      </c>
      <c r="AA4932">
        <v>0.41985743710970769</v>
      </c>
      <c r="AB4932" t="str">
        <f>HYPERLINK("Melting_Curves/meltCurve_Q8TBX8_PIP4K2C.pdf", "Melting_Curves/meltCurve_Q8TBX8_PIP4K2C.pdf")</f>
        <v>Melting_Curves/meltCurve_Q8TBX8_PIP4K2C.pdf</v>
      </c>
    </row>
    <row r="4933" spans="1:28" x14ac:dyDescent="0.25">
      <c r="A4933" t="s">
        <v>4937</v>
      </c>
      <c r="B4933">
        <v>0.99999676499088797</v>
      </c>
      <c r="C4933">
        <v>0.85366369323651503</v>
      </c>
      <c r="D4933">
        <v>0.85385057345459103</v>
      </c>
      <c r="E4933">
        <v>0.73465528806067204</v>
      </c>
      <c r="F4933">
        <v>0.40029992851169299</v>
      </c>
      <c r="G4933">
        <v>0.15642261828189699</v>
      </c>
      <c r="H4933">
        <v>8.5331957251795501E-2</v>
      </c>
      <c r="I4933">
        <v>8.6518223775482406E-2</v>
      </c>
      <c r="J4933">
        <v>6.9036516513990107E-2</v>
      </c>
      <c r="K4933">
        <v>8.3300107644852503E-2</v>
      </c>
      <c r="L4933">
        <v>887.39332531269804</v>
      </c>
      <c r="M4933">
        <v>17.227360570812799</v>
      </c>
      <c r="N4933">
        <v>51.790380016005599</v>
      </c>
      <c r="O4933">
        <v>50.831641575569002</v>
      </c>
      <c r="P4933">
        <v>-8.0968840990078894E-2</v>
      </c>
      <c r="Q4933">
        <v>4.4418276493568901E-2</v>
      </c>
      <c r="R4933">
        <v>0.98309392568478904</v>
      </c>
      <c r="S4933" t="s">
        <v>11936</v>
      </c>
      <c r="T4933" t="s">
        <v>14004</v>
      </c>
      <c r="U4933" t="s">
        <v>14004</v>
      </c>
      <c r="V4933" t="s">
        <v>14004</v>
      </c>
      <c r="W4933" t="s">
        <v>18882</v>
      </c>
      <c r="X4933">
        <v>4</v>
      </c>
      <c r="Y4933" t="s">
        <v>25689</v>
      </c>
      <c r="Z4933" t="s">
        <v>32643</v>
      </c>
      <c r="AA4933">
        <v>0.42833513767254011</v>
      </c>
      <c r="AB4933" t="str">
        <f>HYPERLINK("Melting_Curves/meltCurve_Q8TBZ3_WDR20.pdf", "Melting_Curves/meltCurve_Q8TBZ3_WDR20.pdf")</f>
        <v>Melting_Curves/meltCurve_Q8TBZ3_WDR20.pdf</v>
      </c>
    </row>
    <row r="4934" spans="1:28" x14ac:dyDescent="0.25">
      <c r="A4934" t="s">
        <v>4938</v>
      </c>
      <c r="B4934">
        <v>0.99999676499088797</v>
      </c>
      <c r="C4934">
        <v>0.93570843924681002</v>
      </c>
      <c r="D4934">
        <v>0.93972394003667403</v>
      </c>
      <c r="E4934">
        <v>0.98057227508237599</v>
      </c>
      <c r="F4934">
        <v>0.22898923405608201</v>
      </c>
      <c r="G4934">
        <v>0.116761049922309</v>
      </c>
      <c r="H4934">
        <v>6.2951868380562506E-2</v>
      </c>
      <c r="I4934">
        <v>6.8406959174973705E-2</v>
      </c>
      <c r="J4934">
        <v>6.7901896342736107E-2</v>
      </c>
      <c r="K4934">
        <v>6.8011347845390702E-2</v>
      </c>
      <c r="L4934">
        <v>3886.8802802913501</v>
      </c>
      <c r="M4934">
        <v>74.672667870737797</v>
      </c>
      <c r="N4934">
        <v>52.167878975897899</v>
      </c>
      <c r="O4934">
        <v>52.014953230118799</v>
      </c>
      <c r="P4934">
        <v>-0.33152668365941301</v>
      </c>
      <c r="Q4934">
        <v>7.6270209482759699E-2</v>
      </c>
      <c r="R4934">
        <v>0.99466136749880596</v>
      </c>
      <c r="S4934" t="s">
        <v>11937</v>
      </c>
      <c r="T4934" t="s">
        <v>14004</v>
      </c>
      <c r="U4934" t="s">
        <v>14004</v>
      </c>
      <c r="V4934" t="s">
        <v>14004</v>
      </c>
      <c r="W4934" t="s">
        <v>18883</v>
      </c>
      <c r="X4934">
        <v>5</v>
      </c>
      <c r="Y4934" t="s">
        <v>25690</v>
      </c>
      <c r="Z4934" t="s">
        <v>32644</v>
      </c>
      <c r="AA4934">
        <v>0.44831889556841897</v>
      </c>
      <c r="AB4934" t="str">
        <f>HYPERLINK("Melting_Curves/meltCurve_Q8TBZ6_TRMT10A.pdf", "Melting_Curves/meltCurve_Q8TBZ6_TRMT10A.pdf")</f>
        <v>Melting_Curves/meltCurve_Q8TBZ6_TRMT10A.pdf</v>
      </c>
    </row>
    <row r="4935" spans="1:28" x14ac:dyDescent="0.25">
      <c r="A4935" t="s">
        <v>4939</v>
      </c>
      <c r="B4935">
        <v>0.99999676499088797</v>
      </c>
      <c r="C4935">
        <v>1.0194543973980701</v>
      </c>
      <c r="D4935">
        <v>0.76265332240149997</v>
      </c>
      <c r="E4935">
        <v>0.317018562324897</v>
      </c>
      <c r="F4935">
        <v>0.19733461671515401</v>
      </c>
      <c r="G4935">
        <v>0.14373661291715001</v>
      </c>
      <c r="H4935">
        <v>7.55459406291836E-2</v>
      </c>
      <c r="I4935">
        <v>7.8272328938649702E-2</v>
      </c>
      <c r="J4935">
        <v>8.0330545083031293E-2</v>
      </c>
      <c r="K4935">
        <v>6.1511868485398503E-2</v>
      </c>
      <c r="L4935">
        <v>1311.88884212742</v>
      </c>
      <c r="M4935">
        <v>27.436422202311501</v>
      </c>
      <c r="N4935">
        <v>48.170719630954103</v>
      </c>
      <c r="O4935">
        <v>47.563739116769298</v>
      </c>
      <c r="P4935">
        <v>-0.13100593057415</v>
      </c>
      <c r="Q4935">
        <v>9.1561715636706995E-2</v>
      </c>
      <c r="R4935">
        <v>0.99306068184833995</v>
      </c>
      <c r="S4935" t="s">
        <v>11938</v>
      </c>
      <c r="T4935" t="s">
        <v>14004</v>
      </c>
      <c r="U4935" t="s">
        <v>14004</v>
      </c>
      <c r="V4935" t="s">
        <v>14004</v>
      </c>
      <c r="W4935" t="s">
        <v>18884</v>
      </c>
      <c r="X4935">
        <v>17</v>
      </c>
      <c r="Y4935" t="s">
        <v>25691</v>
      </c>
      <c r="Z4935" t="s">
        <v>32645</v>
      </c>
      <c r="AA4935">
        <v>0.33481928824592638</v>
      </c>
      <c r="AB4935" t="str">
        <f>HYPERLINK("Melting_Curves/meltCurve_Q8TC07_2_TBC1D15.pdf", "Melting_Curves/meltCurve_Q8TC07_2_TBC1D15.pdf")</f>
        <v>Melting_Curves/meltCurve_Q8TC07_2_TBC1D15.pdf</v>
      </c>
    </row>
    <row r="4936" spans="1:28" x14ac:dyDescent="0.25">
      <c r="A4936" t="s">
        <v>4940</v>
      </c>
      <c r="B4936">
        <v>0.99999676499088797</v>
      </c>
      <c r="C4936">
        <v>0.90106967496570101</v>
      </c>
      <c r="D4936">
        <v>0.69650375180298896</v>
      </c>
      <c r="E4936">
        <v>0.31248797917731302</v>
      </c>
      <c r="F4936">
        <v>0.268554738432354</v>
      </c>
      <c r="G4936">
        <v>0.179836155943144</v>
      </c>
      <c r="H4936">
        <v>8.3967590477876095E-2</v>
      </c>
      <c r="I4936">
        <v>5.1220317794682002E-2</v>
      </c>
      <c r="J4936">
        <v>9.3163811096655502E-2</v>
      </c>
      <c r="K4936">
        <v>3.4903544653889298E-2</v>
      </c>
      <c r="L4936">
        <v>837.55060149108294</v>
      </c>
      <c r="M4936">
        <v>17.561930744725601</v>
      </c>
      <c r="N4936">
        <v>48.1235444427451</v>
      </c>
      <c r="O4936">
        <v>47.085784924194002</v>
      </c>
      <c r="P4936">
        <v>-8.6444919712790197E-2</v>
      </c>
      <c r="Q4936">
        <v>7.2970823477597702E-2</v>
      </c>
      <c r="R4936">
        <v>0.98578460346984798</v>
      </c>
      <c r="S4936" t="s">
        <v>11939</v>
      </c>
      <c r="T4936" t="s">
        <v>14004</v>
      </c>
      <c r="U4936" t="s">
        <v>14004</v>
      </c>
      <c r="V4936" t="s">
        <v>14004</v>
      </c>
      <c r="W4936" t="s">
        <v>18885</v>
      </c>
      <c r="X4936">
        <v>11</v>
      </c>
      <c r="Y4936" t="s">
        <v>25692</v>
      </c>
      <c r="Z4936" t="s">
        <v>32646</v>
      </c>
      <c r="AA4936">
        <v>0.32814050930570687</v>
      </c>
      <c r="AB4936" t="str">
        <f>HYPERLINK("Melting_Curves/meltCurve_Q8TC12_RDH11.pdf", "Melting_Curves/meltCurve_Q8TC12_RDH11.pdf")</f>
        <v>Melting_Curves/meltCurve_Q8TC12_RDH11.pdf</v>
      </c>
    </row>
    <row r="4937" spans="1:28" x14ac:dyDescent="0.25">
      <c r="A4937" t="s">
        <v>4941</v>
      </c>
      <c r="B4937">
        <v>0.99999676499088797</v>
      </c>
      <c r="C4937">
        <v>1.02947979314766</v>
      </c>
      <c r="D4937">
        <v>1.00939255600069</v>
      </c>
      <c r="E4937">
        <v>1.07292633297648</v>
      </c>
      <c r="F4937">
        <v>1.18824009242591</v>
      </c>
      <c r="G4937">
        <v>1.00585184801057</v>
      </c>
      <c r="H4937">
        <v>0.41480671835208999</v>
      </c>
      <c r="I4937">
        <v>0.180557829685943</v>
      </c>
      <c r="J4937">
        <v>0.255306379758105</v>
      </c>
      <c r="K4937">
        <v>0.160951605561827</v>
      </c>
      <c r="L4937">
        <v>15000</v>
      </c>
      <c r="M4937">
        <v>247.70780002536799</v>
      </c>
      <c r="N4937">
        <v>60.679487217468697</v>
      </c>
      <c r="O4937">
        <v>60.5512715289141</v>
      </c>
      <c r="P4937">
        <v>-0.81926129214546295</v>
      </c>
      <c r="Q4937">
        <v>0.198938218797896</v>
      </c>
      <c r="R4937">
        <v>0.970713588728921</v>
      </c>
      <c r="S4937" t="s">
        <v>11940</v>
      </c>
      <c r="T4937" t="s">
        <v>14004</v>
      </c>
      <c r="U4937" t="s">
        <v>14004</v>
      </c>
      <c r="V4937" t="s">
        <v>14004</v>
      </c>
      <c r="W4937" t="s">
        <v>18886</v>
      </c>
      <c r="X4937">
        <v>8</v>
      </c>
      <c r="Y4937" t="s">
        <v>25693</v>
      </c>
      <c r="Z4937" t="s">
        <v>32647</v>
      </c>
      <c r="AA4937">
        <v>0.7478916033165568</v>
      </c>
      <c r="AB4937" t="str">
        <f>HYPERLINK("Melting_Curves/meltCurve_Q8TC24_SEC61A2.pdf", "Melting_Curves/meltCurve_Q8TC24_SEC61A2.pdf")</f>
        <v>Melting_Curves/meltCurve_Q8TC24_SEC61A2.pdf</v>
      </c>
    </row>
    <row r="4938" spans="1:28" x14ac:dyDescent="0.25">
      <c r="A4938" t="s">
        <v>4942</v>
      </c>
      <c r="B4938">
        <v>0.99999676499088797</v>
      </c>
      <c r="C4938">
        <v>0.86490795069988302</v>
      </c>
      <c r="D4938">
        <v>0.97978923775059301</v>
      </c>
      <c r="E4938">
        <v>1.0130785171919101</v>
      </c>
      <c r="F4938">
        <v>0.95711904985812901</v>
      </c>
      <c r="G4938">
        <v>0.325229703458561</v>
      </c>
      <c r="H4938">
        <v>0.11324272773551</v>
      </c>
      <c r="I4938">
        <v>0.11240936803688401</v>
      </c>
      <c r="J4938">
        <v>0.107707799310493</v>
      </c>
      <c r="K4938">
        <v>0.10513443628991501</v>
      </c>
      <c r="L4938">
        <v>3463.6885180567501</v>
      </c>
      <c r="M4938">
        <v>62.115203374808502</v>
      </c>
      <c r="N4938">
        <v>55.982248572600703</v>
      </c>
      <c r="O4938">
        <v>55.704620448337899</v>
      </c>
      <c r="P4938">
        <v>-0.24859203165268201</v>
      </c>
      <c r="Q4938">
        <v>0.108255692135813</v>
      </c>
      <c r="R4938">
        <v>0.988852154408144</v>
      </c>
      <c r="S4938" t="s">
        <v>11941</v>
      </c>
      <c r="T4938" t="s">
        <v>14004</v>
      </c>
      <c r="U4938" t="s">
        <v>14004</v>
      </c>
      <c r="V4938" t="s">
        <v>14004</v>
      </c>
      <c r="W4938" t="s">
        <v>18887</v>
      </c>
      <c r="X4938">
        <v>7</v>
      </c>
      <c r="Y4938" t="s">
        <v>25694</v>
      </c>
      <c r="Z4938" t="s">
        <v>32648</v>
      </c>
      <c r="AA4938">
        <v>0.57820627145742454</v>
      </c>
      <c r="AB4938" t="str">
        <f>HYPERLINK("Melting_Curves/meltCurve_Q8TCA0_LRRC20.pdf", "Melting_Curves/meltCurve_Q8TCA0_LRRC20.pdf")</f>
        <v>Melting_Curves/meltCurve_Q8TCA0_LRRC20.pdf</v>
      </c>
    </row>
    <row r="4939" spans="1:28" x14ac:dyDescent="0.25">
      <c r="A4939" t="s">
        <v>4943</v>
      </c>
      <c r="B4939">
        <v>0.99999676499088797</v>
      </c>
      <c r="C4939">
        <v>0.91542823263211703</v>
      </c>
      <c r="D4939">
        <v>0.93794924294814797</v>
      </c>
      <c r="E4939">
        <v>0.98985953135498905</v>
      </c>
      <c r="F4939">
        <v>0.91931754007822397</v>
      </c>
      <c r="G4939">
        <v>0.76928721624950402</v>
      </c>
      <c r="H4939">
        <v>0.738123781074705</v>
      </c>
      <c r="I4939">
        <v>0.60951971473730604</v>
      </c>
      <c r="J4939">
        <v>0.48202969516006</v>
      </c>
      <c r="K4939">
        <v>0.74683940854995601</v>
      </c>
      <c r="L4939">
        <v>1180.62964284805</v>
      </c>
      <c r="M4939">
        <v>20.954353348151901</v>
      </c>
      <c r="O4939">
        <v>55.837312422742102</v>
      </c>
      <c r="P4939">
        <v>-3.6491695848575097E-2</v>
      </c>
      <c r="Q4939">
        <v>0.61105112061205902</v>
      </c>
      <c r="R4939">
        <v>0.80363348548950098</v>
      </c>
      <c r="S4939" t="s">
        <v>11942</v>
      </c>
      <c r="T4939" t="s">
        <v>14004</v>
      </c>
      <c r="U4939" t="s">
        <v>14004</v>
      </c>
      <c r="V4939" t="s">
        <v>14004</v>
      </c>
      <c r="W4939" t="s">
        <v>18888</v>
      </c>
      <c r="X4939">
        <v>1</v>
      </c>
      <c r="Y4939" t="s">
        <v>25695</v>
      </c>
      <c r="Z4939" t="s">
        <v>32649</v>
      </c>
      <c r="AA4939">
        <v>0.82757234937639457</v>
      </c>
      <c r="AB4939" t="str">
        <f>HYPERLINK("Melting_Curves/meltCurve_Q8TCD1_C18orf32.pdf", "Melting_Curves/meltCurve_Q8TCD1_C18orf32.pdf")</f>
        <v>Melting_Curves/meltCurve_Q8TCD1_C18orf32.pdf</v>
      </c>
    </row>
    <row r="4940" spans="1:28" x14ac:dyDescent="0.25">
      <c r="A4940" t="s">
        <v>4944</v>
      </c>
      <c r="B4940">
        <v>0.99999676499088797</v>
      </c>
      <c r="C4940">
        <v>1.0344278805387499</v>
      </c>
      <c r="D4940">
        <v>0.91316807926261101</v>
      </c>
      <c r="E4940">
        <v>0.81835191173516397</v>
      </c>
      <c r="F4940">
        <v>0.86756308752452505</v>
      </c>
      <c r="G4940">
        <v>0.73018923056052498</v>
      </c>
      <c r="H4940">
        <v>0.39853449644803901</v>
      </c>
      <c r="I4940">
        <v>0.23402440377189601</v>
      </c>
      <c r="J4940">
        <v>0.212082023664493</v>
      </c>
      <c r="K4940">
        <v>0.18577363114307399</v>
      </c>
      <c r="L4940">
        <v>851.10281420430101</v>
      </c>
      <c r="M4940">
        <v>14.452564777333899</v>
      </c>
      <c r="N4940">
        <v>59.484537007628603</v>
      </c>
      <c r="O4940">
        <v>57.796382272804202</v>
      </c>
      <c r="P4940">
        <v>-5.8313644962091599E-2</v>
      </c>
      <c r="Q4940">
        <v>6.7314654094405499E-2</v>
      </c>
      <c r="R4940">
        <v>0.96827423500101795</v>
      </c>
      <c r="S4940" t="s">
        <v>11943</v>
      </c>
      <c r="T4940" t="s">
        <v>14004</v>
      </c>
      <c r="U4940" t="s">
        <v>14004</v>
      </c>
      <c r="V4940" t="s">
        <v>14004</v>
      </c>
      <c r="W4940" t="s">
        <v>18889</v>
      </c>
      <c r="X4940">
        <v>5</v>
      </c>
      <c r="Y4940" t="s">
        <v>25696</v>
      </c>
      <c r="Z4940" t="s">
        <v>32650</v>
      </c>
      <c r="AA4940">
        <v>0.66451164826642739</v>
      </c>
      <c r="AB4940" t="str">
        <f>HYPERLINK("Melting_Curves/meltCurve_Q8TCD5_NT5C.pdf", "Melting_Curves/meltCurve_Q8TCD5_NT5C.pdf")</f>
        <v>Melting_Curves/meltCurve_Q8TCD5_NT5C.pdf</v>
      </c>
    </row>
    <row r="4941" spans="1:28" x14ac:dyDescent="0.25">
      <c r="A4941" t="s">
        <v>4945</v>
      </c>
      <c r="B4941">
        <v>0.99999676499088797</v>
      </c>
      <c r="C4941">
        <v>0.89841961356440503</v>
      </c>
      <c r="D4941">
        <v>0.90345941758135095</v>
      </c>
      <c r="E4941">
        <v>0.40933081157675799</v>
      </c>
      <c r="F4941">
        <v>0.11379860863376801</v>
      </c>
      <c r="G4941">
        <v>0.15037906676967799</v>
      </c>
      <c r="H4941">
        <v>6.4217089012064105E-2</v>
      </c>
      <c r="I4941">
        <v>6.6961273608932004E-2</v>
      </c>
      <c r="J4941">
        <v>8.1129151478101097E-2</v>
      </c>
      <c r="K4941">
        <v>7.8620907880570398E-2</v>
      </c>
      <c r="L4941">
        <v>1619.7685210130901</v>
      </c>
      <c r="M4941">
        <v>33.246039842385898</v>
      </c>
      <c r="N4941">
        <v>48.985847153951603</v>
      </c>
      <c r="O4941">
        <v>48.545408500979498</v>
      </c>
      <c r="P4941">
        <v>-0.15711073612614901</v>
      </c>
      <c r="Q4941">
        <v>8.2360701724974603E-2</v>
      </c>
      <c r="R4941">
        <v>0.99066801891080702</v>
      </c>
      <c r="S4941" t="s">
        <v>11944</v>
      </c>
      <c r="T4941" t="s">
        <v>14004</v>
      </c>
      <c r="U4941" t="s">
        <v>14004</v>
      </c>
      <c r="V4941" t="s">
        <v>14004</v>
      </c>
      <c r="W4941" t="s">
        <v>18890</v>
      </c>
      <c r="X4941">
        <v>3</v>
      </c>
      <c r="Y4941" t="s">
        <v>25697</v>
      </c>
      <c r="Z4941" t="s">
        <v>32651</v>
      </c>
      <c r="AA4941">
        <v>0.35361675441544532</v>
      </c>
      <c r="AB4941" t="str">
        <f>HYPERLINK("Melting_Curves/meltCurve_Q8TCE6_2_FAM45A.pdf", "Melting_Curves/meltCurve_Q8TCE6_2_FAM45A.pdf")</f>
        <v>Melting_Curves/meltCurve_Q8TCE6_2_FAM45A.pdf</v>
      </c>
    </row>
    <row r="4942" spans="1:28" x14ac:dyDescent="0.25">
      <c r="A4942" t="s">
        <v>4946</v>
      </c>
      <c r="B4942">
        <v>0.99999676499088797</v>
      </c>
      <c r="C4942">
        <v>0.91752458953525395</v>
      </c>
      <c r="D4942">
        <v>0.52482702678292104</v>
      </c>
      <c r="E4942">
        <v>0.35194167760246198</v>
      </c>
      <c r="F4942">
        <v>0.28764265449663301</v>
      </c>
      <c r="G4942">
        <v>0.190027344769962</v>
      </c>
      <c r="H4942">
        <v>0.101848313256899</v>
      </c>
      <c r="I4942">
        <v>7.79889149810927E-2</v>
      </c>
      <c r="J4942">
        <v>9.0470690274971802E-2</v>
      </c>
      <c r="K4942">
        <v>7.3321563866439399E-2</v>
      </c>
      <c r="L4942">
        <v>768.45738715601794</v>
      </c>
      <c r="M4942">
        <v>16.389551272982299</v>
      </c>
      <c r="N4942">
        <v>47.508025922351599</v>
      </c>
      <c r="O4942">
        <v>46.2056900113963</v>
      </c>
      <c r="P4942">
        <v>-8.0132526309832003E-2</v>
      </c>
      <c r="Q4942">
        <v>9.6420983557501699E-2</v>
      </c>
      <c r="R4942">
        <v>0.974258088257275</v>
      </c>
      <c r="S4942" t="s">
        <v>11945</v>
      </c>
      <c r="T4942" t="s">
        <v>14004</v>
      </c>
      <c r="U4942" t="s">
        <v>14004</v>
      </c>
      <c r="V4942" t="s">
        <v>14004</v>
      </c>
      <c r="W4942" t="s">
        <v>18891</v>
      </c>
      <c r="X4942">
        <v>5</v>
      </c>
      <c r="Y4942" t="s">
        <v>25698</v>
      </c>
      <c r="Z4942" t="s">
        <v>32652</v>
      </c>
      <c r="AA4942">
        <v>0.32438240632842319</v>
      </c>
      <c r="AB4942" t="str">
        <f>HYPERLINK("Melting_Curves/meltCurve_Q8TCG1_KIAA1524.pdf", "Melting_Curves/meltCurve_Q8TCG1_KIAA1524.pdf")</f>
        <v>Melting_Curves/meltCurve_Q8TCG1_KIAA1524.pdf</v>
      </c>
    </row>
    <row r="4943" spans="1:28" x14ac:dyDescent="0.25">
      <c r="A4943" t="s">
        <v>4947</v>
      </c>
      <c r="B4943">
        <v>0.99999676499088797</v>
      </c>
      <c r="C4943">
        <v>0.87502490833462998</v>
      </c>
      <c r="D4943">
        <v>0.81307878065702799</v>
      </c>
      <c r="E4943">
        <v>0.76005736043905603</v>
      </c>
      <c r="F4943">
        <v>0.28024228742720902</v>
      </c>
      <c r="G4943">
        <v>0.16436016288375399</v>
      </c>
      <c r="H4943">
        <v>0.101456671394261</v>
      </c>
      <c r="I4943">
        <v>0.13142394879442801</v>
      </c>
      <c r="J4943">
        <v>0.127830255871174</v>
      </c>
      <c r="K4943">
        <v>8.5684527473154901E-2</v>
      </c>
      <c r="L4943">
        <v>1058.53799116857</v>
      </c>
      <c r="M4943">
        <v>20.854588160297901</v>
      </c>
      <c r="N4943">
        <v>51.254547372292002</v>
      </c>
      <c r="O4943">
        <v>50.298260675401103</v>
      </c>
      <c r="P4943">
        <v>-9.4176913168724397E-2</v>
      </c>
      <c r="Q4943">
        <v>9.1460922345370801E-2</v>
      </c>
      <c r="R4943">
        <v>0.97078897531581498</v>
      </c>
      <c r="S4943" t="s">
        <v>11946</v>
      </c>
      <c r="T4943" t="s">
        <v>14004</v>
      </c>
      <c r="U4943" t="s">
        <v>14004</v>
      </c>
      <c r="V4943" t="s">
        <v>14004</v>
      </c>
      <c r="W4943" t="s">
        <v>18892</v>
      </c>
      <c r="X4943">
        <v>5</v>
      </c>
      <c r="Y4943" t="s">
        <v>25699</v>
      </c>
      <c r="Z4943" t="s">
        <v>32653</v>
      </c>
      <c r="AA4943">
        <v>0.42891844644483762</v>
      </c>
      <c r="AB4943" t="str">
        <f>HYPERLINK("Melting_Curves/meltCurve_Q8TCG2_PI4K2B.pdf", "Melting_Curves/meltCurve_Q8TCG2_PI4K2B.pdf")</f>
        <v>Melting_Curves/meltCurve_Q8TCG2_PI4K2B.pdf</v>
      </c>
    </row>
    <row r="4944" spans="1:28" x14ac:dyDescent="0.25">
      <c r="A4944" t="s">
        <v>4948</v>
      </c>
      <c r="B4944">
        <v>0.99999676499088797</v>
      </c>
      <c r="C4944">
        <v>1.1066921157490299</v>
      </c>
      <c r="D4944">
        <v>1.190747061815</v>
      </c>
      <c r="E4944">
        <v>1.0269272854374401</v>
      </c>
      <c r="F4944">
        <v>0.46090702691129798</v>
      </c>
      <c r="G4944">
        <v>0.30346316988919603</v>
      </c>
      <c r="H4944">
        <v>0.13366349647061701</v>
      </c>
      <c r="I4944">
        <v>0.116924593041503</v>
      </c>
      <c r="J4944">
        <v>0.118975986082185</v>
      </c>
      <c r="K4944">
        <v>0.108804689470778</v>
      </c>
      <c r="L4944">
        <v>2421.55136456524</v>
      </c>
      <c r="M4944">
        <v>45.889207497927899</v>
      </c>
      <c r="N4944">
        <v>53.167771655400202</v>
      </c>
      <c r="O4944">
        <v>52.6695986801655</v>
      </c>
      <c r="P4944">
        <v>-0.186138099387409</v>
      </c>
      <c r="Q4944">
        <v>0.14543677825218601</v>
      </c>
      <c r="R4944">
        <v>0.96264907375634101</v>
      </c>
      <c r="S4944" t="s">
        <v>11947</v>
      </c>
      <c r="T4944" t="s">
        <v>14004</v>
      </c>
      <c r="U4944" t="s">
        <v>14004</v>
      </c>
      <c r="V4944" t="s">
        <v>14004</v>
      </c>
      <c r="W4944" t="s">
        <v>18893</v>
      </c>
      <c r="X4944">
        <v>19</v>
      </c>
      <c r="Y4944" t="s">
        <v>25700</v>
      </c>
      <c r="Z4944" t="s">
        <v>32654</v>
      </c>
      <c r="AA4944">
        <v>0.51154537169226766</v>
      </c>
      <c r="AB4944" t="str">
        <f>HYPERLINK("Melting_Curves/meltCurve_Q8TCJ2_STT3B.pdf", "Melting_Curves/meltCurve_Q8TCJ2_STT3B.pdf")</f>
        <v>Melting_Curves/meltCurve_Q8TCJ2_STT3B.pdf</v>
      </c>
    </row>
    <row r="4945" spans="1:28" x14ac:dyDescent="0.25">
      <c r="A4945" t="s">
        <v>4949</v>
      </c>
      <c r="B4945">
        <v>0.99999676499088797</v>
      </c>
      <c r="C4945">
        <v>0.96190994331567803</v>
      </c>
      <c r="D4945">
        <v>0.952521032196739</v>
      </c>
      <c r="E4945">
        <v>0.68609449606226403</v>
      </c>
      <c r="F4945">
        <v>0.30311099868229402</v>
      </c>
      <c r="G4945">
        <v>0.171907992741057</v>
      </c>
      <c r="H4945">
        <v>9.0907031924690296E-2</v>
      </c>
      <c r="I4945">
        <v>8.7542605213475705E-2</v>
      </c>
      <c r="J4945">
        <v>8.1835800854502497E-2</v>
      </c>
      <c r="K4945">
        <v>6.09233342125119E-2</v>
      </c>
      <c r="L4945">
        <v>1245.3187614419101</v>
      </c>
      <c r="M4945">
        <v>24.452459803676</v>
      </c>
      <c r="N4945">
        <v>51.280470834737898</v>
      </c>
      <c r="O4945">
        <v>50.591220981939301</v>
      </c>
      <c r="P4945">
        <v>-0.11149219197277301</v>
      </c>
      <c r="Q4945">
        <v>7.7321132942514498E-2</v>
      </c>
      <c r="R4945">
        <v>0.99848410623899098</v>
      </c>
      <c r="S4945" t="s">
        <v>11948</v>
      </c>
      <c r="T4945" t="s">
        <v>14004</v>
      </c>
      <c r="U4945" t="s">
        <v>14004</v>
      </c>
      <c r="V4945" t="s">
        <v>14004</v>
      </c>
      <c r="W4945" t="s">
        <v>18894</v>
      </c>
      <c r="X4945">
        <v>24</v>
      </c>
      <c r="Y4945" t="s">
        <v>25701</v>
      </c>
      <c r="Z4945" t="s">
        <v>32655</v>
      </c>
      <c r="AA4945">
        <v>0.42212698114725011</v>
      </c>
      <c r="AB4945" t="str">
        <f>HYPERLINK("Melting_Curves/meltCurve_Q8TCS8_PNPT1.pdf", "Melting_Curves/meltCurve_Q8TCS8_PNPT1.pdf")</f>
        <v>Melting_Curves/meltCurve_Q8TCS8_PNPT1.pdf</v>
      </c>
    </row>
    <row r="4946" spans="1:28" x14ac:dyDescent="0.25">
      <c r="A4946" t="s">
        <v>4950</v>
      </c>
      <c r="B4946">
        <v>0.99999676499088797</v>
      </c>
      <c r="C4946">
        <v>1.0175624706245401</v>
      </c>
      <c r="D4946">
        <v>1.0746546692696399</v>
      </c>
      <c r="E4946">
        <v>0.77385060074661705</v>
      </c>
      <c r="F4946">
        <v>0.55523607834847399</v>
      </c>
      <c r="G4946">
        <v>0.43218887318416299</v>
      </c>
      <c r="H4946">
        <v>0.23893320128675999</v>
      </c>
      <c r="I4946">
        <v>0.18289540824624501</v>
      </c>
      <c r="J4946">
        <v>0.13858075088720301</v>
      </c>
      <c r="K4946">
        <v>0.105810014234842</v>
      </c>
      <c r="L4946">
        <v>859.476047941464</v>
      </c>
      <c r="M4946">
        <v>15.9366260741837</v>
      </c>
      <c r="N4946">
        <v>54.748991068786196</v>
      </c>
      <c r="O4946">
        <v>53.103123951973302</v>
      </c>
      <c r="P4946">
        <v>-6.7082630200562696E-2</v>
      </c>
      <c r="Q4946">
        <v>0.105955445312192</v>
      </c>
      <c r="R4946">
        <v>0.98145135174191001</v>
      </c>
      <c r="S4946" t="s">
        <v>11949</v>
      </c>
      <c r="T4946" t="s">
        <v>14004</v>
      </c>
      <c r="U4946" t="s">
        <v>14004</v>
      </c>
      <c r="V4946" t="s">
        <v>14004</v>
      </c>
      <c r="W4946" t="s">
        <v>18895</v>
      </c>
      <c r="X4946">
        <v>1</v>
      </c>
      <c r="Y4946" t="s">
        <v>25702</v>
      </c>
      <c r="Z4946" t="s">
        <v>32656</v>
      </c>
      <c r="AA4946">
        <v>0.53814103532709212</v>
      </c>
      <c r="AB4946" t="str">
        <f>HYPERLINK("Melting_Curves/meltCurve_Q8TCT6_3_SPPL3.pdf", "Melting_Curves/meltCurve_Q8TCT6_3_SPPL3.pdf")</f>
        <v>Melting_Curves/meltCurve_Q8TCT6_3_SPPL3.pdf</v>
      </c>
    </row>
    <row r="4947" spans="1:28" x14ac:dyDescent="0.25">
      <c r="A4947" t="s">
        <v>4951</v>
      </c>
      <c r="B4947">
        <v>0.99999676499088797</v>
      </c>
      <c r="C4947">
        <v>0.94381472704939096</v>
      </c>
      <c r="D4947">
        <v>1.59450370702039</v>
      </c>
      <c r="E4947">
        <v>0.92211400876469196</v>
      </c>
      <c r="F4947">
        <v>0.33917052953848698</v>
      </c>
      <c r="G4947">
        <v>0.85718193843381396</v>
      </c>
      <c r="H4947">
        <v>0.26419799433755797</v>
      </c>
      <c r="I4947">
        <v>0.39370003696092498</v>
      </c>
      <c r="J4947">
        <v>0.31196244996016098</v>
      </c>
      <c r="K4947">
        <v>0.14966077312687501</v>
      </c>
      <c r="L4947">
        <v>882.18615723684195</v>
      </c>
      <c r="M4947">
        <v>15.9093064602373</v>
      </c>
      <c r="N4947">
        <v>57.629567581958</v>
      </c>
      <c r="O4947">
        <v>54.5970221346968</v>
      </c>
      <c r="P4947">
        <v>-5.6390440372323297E-2</v>
      </c>
      <c r="Q4947">
        <v>0.22598676689855099</v>
      </c>
      <c r="R4947">
        <v>0.63762541076893797</v>
      </c>
      <c r="S4947" t="s">
        <v>11950</v>
      </c>
      <c r="T4947" t="s">
        <v>14004</v>
      </c>
      <c r="U4947" t="s">
        <v>14004</v>
      </c>
      <c r="V4947" t="s">
        <v>14004</v>
      </c>
      <c r="W4947" t="s">
        <v>18896</v>
      </c>
      <c r="X4947">
        <v>2</v>
      </c>
      <c r="Y4947" t="s">
        <v>25703</v>
      </c>
      <c r="Z4947" t="s">
        <v>32657</v>
      </c>
      <c r="AA4947">
        <v>0.6382051485108613</v>
      </c>
      <c r="AB4947" t="str">
        <f>HYPERLINK("Melting_Curves/meltCurve_Q8TCT8_SPPL2A.pdf", "Melting_Curves/meltCurve_Q8TCT8_SPPL2A.pdf")</f>
        <v>Melting_Curves/meltCurve_Q8TCT8_SPPL2A.pdf</v>
      </c>
    </row>
    <row r="4948" spans="1:28" x14ac:dyDescent="0.25">
      <c r="A4948" t="s">
        <v>4952</v>
      </c>
      <c r="B4948">
        <v>0.99999676499088797</v>
      </c>
      <c r="C4948">
        <v>1.16376349422374</v>
      </c>
      <c r="D4948">
        <v>1.1825162626266601</v>
      </c>
      <c r="E4948">
        <v>1.1661967917191001</v>
      </c>
      <c r="F4948">
        <v>1.0957782488161301</v>
      </c>
      <c r="G4948">
        <v>0.78040942620304099</v>
      </c>
      <c r="H4948">
        <v>0.45671865146213902</v>
      </c>
      <c r="I4948">
        <v>0.18915563274766001</v>
      </c>
      <c r="J4948">
        <v>0.14001641936414799</v>
      </c>
      <c r="K4948">
        <v>0.13795585075011599</v>
      </c>
      <c r="L4948">
        <v>1829.59172025307</v>
      </c>
      <c r="M4948">
        <v>30.7263658301544</v>
      </c>
      <c r="N4948">
        <v>60.072986795271603</v>
      </c>
      <c r="O4948">
        <v>59.294171632119102</v>
      </c>
      <c r="P4948">
        <v>-0.114213341777437</v>
      </c>
      <c r="Q4948">
        <v>0.118392925540733</v>
      </c>
      <c r="R4948">
        <v>0.94229924881451699</v>
      </c>
      <c r="S4948" t="s">
        <v>11951</v>
      </c>
      <c r="T4948" t="s">
        <v>14004</v>
      </c>
      <c r="U4948" t="s">
        <v>14004</v>
      </c>
      <c r="V4948" t="s">
        <v>14004</v>
      </c>
      <c r="W4948" t="s">
        <v>18897</v>
      </c>
      <c r="X4948">
        <v>7</v>
      </c>
      <c r="Y4948" t="s">
        <v>25704</v>
      </c>
      <c r="Z4948" t="s">
        <v>32658</v>
      </c>
      <c r="AA4948">
        <v>0.69807558580602347</v>
      </c>
      <c r="AB4948" t="str">
        <f>HYPERLINK("Melting_Curves/meltCurve_Q8TCT9_5_HM13.pdf", "Melting_Curves/meltCurve_Q8TCT9_5_HM13.pdf")</f>
        <v>Melting_Curves/meltCurve_Q8TCT9_5_HM13.pdf</v>
      </c>
    </row>
    <row r="4949" spans="1:28" x14ac:dyDescent="0.25">
      <c r="A4949" t="s">
        <v>4953</v>
      </c>
      <c r="B4949">
        <v>0.99999676499088797</v>
      </c>
      <c r="C4949">
        <v>1.08548131985497</v>
      </c>
      <c r="D4949">
        <v>1.0663080714667501</v>
      </c>
      <c r="E4949">
        <v>1.0901253926030201</v>
      </c>
      <c r="F4949">
        <v>0.56844255832870605</v>
      </c>
      <c r="G4949">
        <v>0.298447579024812</v>
      </c>
      <c r="H4949">
        <v>0.172159182939118</v>
      </c>
      <c r="I4949">
        <v>0.14123806396487801</v>
      </c>
      <c r="J4949">
        <v>0.16382974533012901</v>
      </c>
      <c r="K4949">
        <v>8.7253435978928706E-2</v>
      </c>
      <c r="L4949">
        <v>2196.7302408553801</v>
      </c>
      <c r="M4949">
        <v>41.127669137500803</v>
      </c>
      <c r="N4949">
        <v>53.8935301667684</v>
      </c>
      <c r="O4949">
        <v>53.286653110033903</v>
      </c>
      <c r="P4949">
        <v>-0.16331062493005899</v>
      </c>
      <c r="Q4949">
        <v>0.15363446325730401</v>
      </c>
      <c r="R4949">
        <v>0.97747543851539598</v>
      </c>
      <c r="S4949" t="s">
        <v>11952</v>
      </c>
      <c r="T4949" t="s">
        <v>14004</v>
      </c>
      <c r="U4949" t="s">
        <v>14004</v>
      </c>
      <c r="V4949" t="s">
        <v>14004</v>
      </c>
      <c r="W4949" t="s">
        <v>18898</v>
      </c>
      <c r="X4949">
        <v>1</v>
      </c>
      <c r="Y4949" t="s">
        <v>25705</v>
      </c>
      <c r="Z4949" t="s">
        <v>32659</v>
      </c>
      <c r="AA4949">
        <v>0.5349807354439895</v>
      </c>
      <c r="AB4949" t="str">
        <f>HYPERLINK("Melting_Curves/meltCurve_Q8TCY9_URGCP.pdf", "Melting_Curves/meltCurve_Q8TCY9_URGCP.pdf")</f>
        <v>Melting_Curves/meltCurve_Q8TCY9_URGCP.pdf</v>
      </c>
    </row>
    <row r="4950" spans="1:28" x14ac:dyDescent="0.25">
      <c r="A4950" t="s">
        <v>4954</v>
      </c>
      <c r="B4950">
        <v>0.99999676499088797</v>
      </c>
      <c r="C4950">
        <v>0.90312207241239495</v>
      </c>
      <c r="D4950">
        <v>1.1620220966527099</v>
      </c>
      <c r="E4950">
        <v>1.44028962767684</v>
      </c>
      <c r="F4950">
        <v>1.48712736055689</v>
      </c>
      <c r="G4950">
        <v>1.11108338101008</v>
      </c>
      <c r="H4950">
        <v>0.99401342731745501</v>
      </c>
      <c r="I4950">
        <v>0.70007867880010899</v>
      </c>
      <c r="J4950">
        <v>0.64849318290271096</v>
      </c>
      <c r="K4950">
        <v>1.0630831706834101</v>
      </c>
      <c r="L4950">
        <v>15000</v>
      </c>
      <c r="M4950">
        <v>243.323353115538</v>
      </c>
      <c r="O4950">
        <v>61.642199799066603</v>
      </c>
      <c r="P4950">
        <v>-0.193532999184234</v>
      </c>
      <c r="Q4950">
        <v>0.80388565914430699</v>
      </c>
      <c r="R4950">
        <v>0.13340199050732099</v>
      </c>
      <c r="S4950" t="s">
        <v>11953</v>
      </c>
      <c r="T4950" t="s">
        <v>14004</v>
      </c>
      <c r="U4950" t="s">
        <v>14004</v>
      </c>
      <c r="V4950" t="s">
        <v>14004</v>
      </c>
      <c r="W4950" t="s">
        <v>18899</v>
      </c>
      <c r="X4950">
        <v>1</v>
      </c>
      <c r="Y4950" t="s">
        <v>25706</v>
      </c>
      <c r="Z4950" t="s">
        <v>32660</v>
      </c>
      <c r="AA4950">
        <v>0.94541347077738724</v>
      </c>
      <c r="AB4950" t="str">
        <f>HYPERLINK("Melting_Curves/meltCurve_Q8TCZ2_6_CD99L2.pdf", "Melting_Curves/meltCurve_Q8TCZ2_6_CD99L2.pdf")</f>
        <v>Melting_Curves/meltCurve_Q8TCZ2_6_CD99L2.pdf</v>
      </c>
    </row>
    <row r="4951" spans="1:28" x14ac:dyDescent="0.25">
      <c r="A4951" t="s">
        <v>4955</v>
      </c>
      <c r="B4951">
        <v>0.99999676499088797</v>
      </c>
      <c r="C4951">
        <v>0.71152705871567801</v>
      </c>
      <c r="D4951">
        <v>0.651194474755593</v>
      </c>
      <c r="E4951">
        <v>0.51937520657866199</v>
      </c>
      <c r="F4951">
        <v>0.34645570009717203</v>
      </c>
      <c r="G4951">
        <v>0.255946237389581</v>
      </c>
      <c r="H4951">
        <v>7.1910191889126202E-2</v>
      </c>
      <c r="I4951">
        <v>3.68216357933836E-2</v>
      </c>
      <c r="J4951">
        <v>2.7175361935362099E-2</v>
      </c>
      <c r="K4951">
        <v>1.66460462593555E-2</v>
      </c>
      <c r="L4951">
        <v>504.68496901444502</v>
      </c>
      <c r="M4951">
        <v>10.261592333531199</v>
      </c>
      <c r="N4951">
        <v>49.181959559941603</v>
      </c>
      <c r="O4951">
        <v>47.423957158579398</v>
      </c>
      <c r="P4951">
        <v>-5.4118816493305098E-2</v>
      </c>
      <c r="Q4951">
        <v>0</v>
      </c>
      <c r="R4951">
        <v>0.97038086783409006</v>
      </c>
      <c r="S4951" t="s">
        <v>11954</v>
      </c>
      <c r="T4951" t="s">
        <v>14004</v>
      </c>
      <c r="U4951" t="s">
        <v>14004</v>
      </c>
      <c r="V4951" t="s">
        <v>14004</v>
      </c>
      <c r="W4951" t="s">
        <v>18900</v>
      </c>
      <c r="X4951">
        <v>1</v>
      </c>
      <c r="Y4951" t="s">
        <v>25707</v>
      </c>
      <c r="Z4951" t="s">
        <v>32661</v>
      </c>
      <c r="AA4951">
        <v>0.35252006749593912</v>
      </c>
      <c r="AB4951" t="str">
        <f>HYPERLINK("Melting_Curves/meltCurve_Q8TD08_2_MAPK15.pdf", "Melting_Curves/meltCurve_Q8TD08_2_MAPK15.pdf")</f>
        <v>Melting_Curves/meltCurve_Q8TD08_2_MAPK15.pdf</v>
      </c>
    </row>
    <row r="4952" spans="1:28" x14ac:dyDescent="0.25">
      <c r="A4952" t="s">
        <v>4956</v>
      </c>
      <c r="B4952">
        <v>0.99999676499088797</v>
      </c>
      <c r="C4952">
        <v>0.93303753366074305</v>
      </c>
      <c r="D4952">
        <v>0.81462262079373104</v>
      </c>
      <c r="E4952">
        <v>0.33263958848761099</v>
      </c>
      <c r="F4952">
        <v>0.25410115509217202</v>
      </c>
      <c r="G4952">
        <v>0.165299142982023</v>
      </c>
      <c r="H4952">
        <v>0.10026679086191299</v>
      </c>
      <c r="I4952">
        <v>0.10615780081060799</v>
      </c>
      <c r="J4952">
        <v>9.9051402013513701E-2</v>
      </c>
      <c r="K4952">
        <v>8.5253322368795903E-2</v>
      </c>
      <c r="L4952">
        <v>1191.1739580099299</v>
      </c>
      <c r="M4952">
        <v>24.8099086346663</v>
      </c>
      <c r="N4952">
        <v>48.510435501094598</v>
      </c>
      <c r="O4952">
        <v>47.703358379913197</v>
      </c>
      <c r="P4952">
        <v>-0.115395459855182</v>
      </c>
      <c r="Q4952">
        <v>0.112503822586489</v>
      </c>
      <c r="R4952">
        <v>0.99011246155435895</v>
      </c>
      <c r="S4952" t="s">
        <v>11955</v>
      </c>
      <c r="T4952" t="s">
        <v>14004</v>
      </c>
      <c r="U4952" t="s">
        <v>14004</v>
      </c>
      <c r="V4952" t="s">
        <v>14004</v>
      </c>
      <c r="W4952" t="s">
        <v>18901</v>
      </c>
      <c r="X4952">
        <v>22</v>
      </c>
      <c r="Y4952" t="s">
        <v>25708</v>
      </c>
      <c r="Z4952" t="s">
        <v>32662</v>
      </c>
      <c r="AA4952">
        <v>0.35749738584887158</v>
      </c>
      <c r="AB4952" t="str">
        <f>HYPERLINK("Melting_Curves/meltCurve_Q8TD16_2_BICD2.pdf", "Melting_Curves/meltCurve_Q8TD16_2_BICD2.pdf")</f>
        <v>Melting_Curves/meltCurve_Q8TD16_2_BICD2.pdf</v>
      </c>
    </row>
    <row r="4953" spans="1:28" x14ac:dyDescent="0.25">
      <c r="A4953" t="s">
        <v>4957</v>
      </c>
      <c r="B4953">
        <v>0.99999676499088797</v>
      </c>
      <c r="C4953">
        <v>1.08901420866958</v>
      </c>
      <c r="D4953">
        <v>1.09081990850593</v>
      </c>
      <c r="E4953">
        <v>1.0496646475673601</v>
      </c>
      <c r="F4953">
        <v>0.34106211771863398</v>
      </c>
      <c r="G4953">
        <v>0.230083790601498</v>
      </c>
      <c r="H4953">
        <v>9.7433168573313703E-2</v>
      </c>
      <c r="I4953">
        <v>9.7617980277476604E-2</v>
      </c>
      <c r="J4953">
        <v>9.8607613219294094E-2</v>
      </c>
      <c r="K4953">
        <v>7.9287848563088695E-2</v>
      </c>
      <c r="L4953">
        <v>8877.2011447663608</v>
      </c>
      <c r="M4953">
        <v>167.959544452334</v>
      </c>
      <c r="N4953">
        <v>52.940214926241801</v>
      </c>
      <c r="O4953">
        <v>52.845703389799901</v>
      </c>
      <c r="P4953">
        <v>-0.69874674539375103</v>
      </c>
      <c r="Q4953">
        <v>0.12060315748746001</v>
      </c>
      <c r="R4953">
        <v>0.98310491816973899</v>
      </c>
      <c r="S4953" t="s">
        <v>11956</v>
      </c>
      <c r="T4953" t="s">
        <v>14004</v>
      </c>
      <c r="U4953" t="s">
        <v>14004</v>
      </c>
      <c r="V4953" t="s">
        <v>14004</v>
      </c>
      <c r="W4953" t="s">
        <v>18902</v>
      </c>
      <c r="X4953">
        <v>27</v>
      </c>
      <c r="Y4953" t="s">
        <v>25709</v>
      </c>
      <c r="Z4953" t="s">
        <v>32663</v>
      </c>
      <c r="AA4953">
        <v>0.49755301221845222</v>
      </c>
      <c r="AB4953" t="str">
        <f>HYPERLINK("Melting_Curves/meltCurve_Q8TD19_NEK9.pdf", "Melting_Curves/meltCurve_Q8TD19_NEK9.pdf")</f>
        <v>Melting_Curves/meltCurve_Q8TD19_NEK9.pdf</v>
      </c>
    </row>
    <row r="4954" spans="1:28" x14ac:dyDescent="0.25">
      <c r="A4954" t="s">
        <v>4958</v>
      </c>
      <c r="B4954">
        <v>0.99999676499088797</v>
      </c>
      <c r="C4954">
        <v>0.93748127741141996</v>
      </c>
      <c r="D4954">
        <v>0.86786721725649496</v>
      </c>
      <c r="E4954">
        <v>0.414314984347329</v>
      </c>
      <c r="F4954">
        <v>0.29547062988329797</v>
      </c>
      <c r="G4954">
        <v>0.165837782873962</v>
      </c>
      <c r="H4954">
        <v>6.3935419694909304E-2</v>
      </c>
      <c r="I4954">
        <v>9.6712218572126696E-2</v>
      </c>
      <c r="J4954">
        <v>4.2661996337706801E-2</v>
      </c>
      <c r="K4954">
        <v>3.99251437717974E-2</v>
      </c>
      <c r="L4954">
        <v>939.93956614233105</v>
      </c>
      <c r="M4954">
        <v>19.0980943366758</v>
      </c>
      <c r="N4954">
        <v>49.555557671990599</v>
      </c>
      <c r="O4954">
        <v>48.686322189642503</v>
      </c>
      <c r="P4954">
        <v>-9.2062897754474807E-2</v>
      </c>
      <c r="Q4954">
        <v>6.1261563128889397E-2</v>
      </c>
      <c r="R4954">
        <v>0.98760953476508295</v>
      </c>
      <c r="S4954" t="s">
        <v>11957</v>
      </c>
      <c r="T4954" t="s">
        <v>14004</v>
      </c>
      <c r="U4954" t="s">
        <v>14004</v>
      </c>
      <c r="V4954" t="s">
        <v>14004</v>
      </c>
      <c r="W4954" t="s">
        <v>18903</v>
      </c>
      <c r="X4954">
        <v>6</v>
      </c>
      <c r="Y4954" t="s">
        <v>25710</v>
      </c>
      <c r="Z4954" t="s">
        <v>32664</v>
      </c>
      <c r="AA4954">
        <v>0.36405372161309463</v>
      </c>
      <c r="AB4954" t="str">
        <f>HYPERLINK("Melting_Curves/meltCurve_Q8TD30_GPT2.pdf", "Melting_Curves/meltCurve_Q8TD30_GPT2.pdf")</f>
        <v>Melting_Curves/meltCurve_Q8TD30_GPT2.pdf</v>
      </c>
    </row>
    <row r="4955" spans="1:28" x14ac:dyDescent="0.25">
      <c r="A4955" t="s">
        <v>4959</v>
      </c>
      <c r="B4955">
        <v>0.99999676499088797</v>
      </c>
      <c r="C4955">
        <v>0.86802971835322595</v>
      </c>
      <c r="D4955">
        <v>0.83009393450782798</v>
      </c>
      <c r="E4955">
        <v>0.60864029730631997</v>
      </c>
      <c r="F4955">
        <v>0.430750909247545</v>
      </c>
      <c r="G4955">
        <v>0.34565257549109502</v>
      </c>
      <c r="H4955">
        <v>0.23465448645092399</v>
      </c>
      <c r="I4955">
        <v>0.32803531742574499</v>
      </c>
      <c r="J4955">
        <v>0.30122142281971298</v>
      </c>
      <c r="K4955">
        <v>0.361810413482611</v>
      </c>
      <c r="L4955">
        <v>816.93332407022899</v>
      </c>
      <c r="M4955">
        <v>16.778145353350801</v>
      </c>
      <c r="N4955">
        <v>51.424284009768698</v>
      </c>
      <c r="O4955">
        <v>48.014419271855203</v>
      </c>
      <c r="P4955">
        <v>-6.1585424980217698E-2</v>
      </c>
      <c r="Q4955">
        <v>0.29508394881882699</v>
      </c>
      <c r="R4955">
        <v>0.97530943099668599</v>
      </c>
      <c r="S4955" t="s">
        <v>11958</v>
      </c>
      <c r="T4955" t="s">
        <v>14004</v>
      </c>
      <c r="U4955" t="s">
        <v>14004</v>
      </c>
      <c r="V4955" t="s">
        <v>14004</v>
      </c>
      <c r="W4955" t="s">
        <v>18904</v>
      </c>
      <c r="X4955">
        <v>2</v>
      </c>
      <c r="Y4955" t="s">
        <v>25711</v>
      </c>
      <c r="Z4955" t="s">
        <v>32665</v>
      </c>
      <c r="AA4955">
        <v>0.51342983301236678</v>
      </c>
      <c r="AB4955" t="str">
        <f>HYPERLINK("Melting_Curves/meltCurve_Q8TD55_2_PLEKHO2.pdf", "Melting_Curves/meltCurve_Q8TD55_2_PLEKHO2.pdf")</f>
        <v>Melting_Curves/meltCurve_Q8TD55_2_PLEKHO2.pdf</v>
      </c>
    </row>
    <row r="4956" spans="1:28" x14ac:dyDescent="0.25">
      <c r="A4956" t="s">
        <v>4960</v>
      </c>
      <c r="B4956">
        <v>0.99999676499088797</v>
      </c>
      <c r="C4956">
        <v>0.68305384104220501</v>
      </c>
      <c r="D4956">
        <v>0.81720049631936897</v>
      </c>
      <c r="E4956">
        <v>0.49066756865142802</v>
      </c>
      <c r="F4956">
        <v>0.49519971336795998</v>
      </c>
      <c r="G4956">
        <v>0.14376277813266999</v>
      </c>
      <c r="H4956">
        <v>0</v>
      </c>
      <c r="I4956">
        <v>0</v>
      </c>
      <c r="J4956">
        <v>0</v>
      </c>
      <c r="K4956">
        <v>0</v>
      </c>
      <c r="L4956">
        <v>612.39282726639999</v>
      </c>
      <c r="M4956">
        <v>12.237707027254</v>
      </c>
      <c r="N4956">
        <v>50.041468136626101</v>
      </c>
      <c r="O4956">
        <v>48.761512447741701</v>
      </c>
      <c r="P4956">
        <v>-6.2756678260136201E-2</v>
      </c>
      <c r="Q4956">
        <v>0</v>
      </c>
      <c r="R4956">
        <v>0.92651821079046104</v>
      </c>
      <c r="S4956" t="s">
        <v>11959</v>
      </c>
      <c r="T4956" t="s">
        <v>14004</v>
      </c>
      <c r="U4956" t="s">
        <v>14004</v>
      </c>
      <c r="V4956" t="s">
        <v>14004</v>
      </c>
      <c r="W4956" t="s">
        <v>18905</v>
      </c>
      <c r="X4956">
        <v>1</v>
      </c>
      <c r="Y4956" t="s">
        <v>25712</v>
      </c>
      <c r="Z4956" t="s">
        <v>32666</v>
      </c>
      <c r="AA4956">
        <v>0.36820269793966881</v>
      </c>
      <c r="AB4956" t="str">
        <f>HYPERLINK("Melting_Curves/meltCurve_Q8TDB6_DTX3L.pdf", "Melting_Curves/meltCurve_Q8TDB6_DTX3L.pdf")</f>
        <v>Melting_Curves/meltCurve_Q8TDB6_DTX3L.pdf</v>
      </c>
    </row>
    <row r="4957" spans="1:28" x14ac:dyDescent="0.25">
      <c r="A4957" t="s">
        <v>4961</v>
      </c>
      <c r="B4957">
        <v>0.99999676499088797</v>
      </c>
      <c r="C4957">
        <v>0.79295151512805295</v>
      </c>
      <c r="D4957">
        <v>0.389413462592131</v>
      </c>
      <c r="E4957">
        <v>0.34545231499174001</v>
      </c>
      <c r="F4957">
        <v>0.30127586441584497</v>
      </c>
      <c r="G4957">
        <v>0.172108074455249</v>
      </c>
      <c r="H4957">
        <v>9.0170455464590599E-2</v>
      </c>
      <c r="I4957">
        <v>9.3915516013398204E-2</v>
      </c>
      <c r="J4957">
        <v>0.104219503140893</v>
      </c>
      <c r="K4957">
        <v>8.1979380317937306E-2</v>
      </c>
      <c r="L4957">
        <v>737.72841034139003</v>
      </c>
      <c r="M4957">
        <v>16.221360128238299</v>
      </c>
      <c r="N4957">
        <v>46.212726707168997</v>
      </c>
      <c r="O4957">
        <v>44.804500913368997</v>
      </c>
      <c r="P4957">
        <v>-8.0240024627397294E-2</v>
      </c>
      <c r="Q4957">
        <v>0.113552232448315</v>
      </c>
      <c r="R4957">
        <v>0.95230932951328595</v>
      </c>
      <c r="S4957" t="s">
        <v>11960</v>
      </c>
      <c r="T4957" t="s">
        <v>14004</v>
      </c>
      <c r="U4957" t="s">
        <v>14004</v>
      </c>
      <c r="V4957" t="s">
        <v>14004</v>
      </c>
      <c r="W4957" t="s">
        <v>18906</v>
      </c>
      <c r="X4957">
        <v>1</v>
      </c>
      <c r="Y4957" t="s">
        <v>25713</v>
      </c>
      <c r="Z4957" t="s">
        <v>32667</v>
      </c>
      <c r="AA4957">
        <v>0.29836948863267732</v>
      </c>
      <c r="AB4957" t="str">
        <f>HYPERLINK("Melting_Curves/meltCurve_Q8TDC3_BRSK1.pdf", "Melting_Curves/meltCurve_Q8TDC3_BRSK1.pdf")</f>
        <v>Melting_Curves/meltCurve_Q8TDC3_BRSK1.pdf</v>
      </c>
    </row>
    <row r="4958" spans="1:28" x14ac:dyDescent="0.25">
      <c r="A4958" t="s">
        <v>4962</v>
      </c>
      <c r="B4958">
        <v>0.99999676499088797</v>
      </c>
      <c r="C4958">
        <v>0.93895838561469902</v>
      </c>
      <c r="D4958">
        <v>0.67215538135696595</v>
      </c>
      <c r="E4958">
        <v>0.246374553327525</v>
      </c>
      <c r="F4958">
        <v>0.15786092534586399</v>
      </c>
      <c r="G4958">
        <v>0.118870117222427</v>
      </c>
      <c r="H4958">
        <v>7.2411676999789898E-2</v>
      </c>
      <c r="I4958">
        <v>7.6519556262911903E-2</v>
      </c>
      <c r="J4958">
        <v>4.2762244703836598E-2</v>
      </c>
      <c r="K4958">
        <v>4.82930543076645E-2</v>
      </c>
      <c r="L4958">
        <v>1215.5399280163199</v>
      </c>
      <c r="M4958">
        <v>25.833741480233702</v>
      </c>
      <c r="N4958">
        <v>47.342784292112</v>
      </c>
      <c r="O4958">
        <v>46.773175844638502</v>
      </c>
      <c r="P4958">
        <v>-0.12796483725142699</v>
      </c>
      <c r="Q4958">
        <v>7.3265823196340799E-2</v>
      </c>
      <c r="R4958">
        <v>0.99614607942299205</v>
      </c>
      <c r="S4958" t="s">
        <v>11961</v>
      </c>
      <c r="T4958" t="s">
        <v>14004</v>
      </c>
      <c r="U4958" t="s">
        <v>14004</v>
      </c>
      <c r="V4958" t="s">
        <v>14004</v>
      </c>
      <c r="W4958" t="s">
        <v>18907</v>
      </c>
      <c r="X4958">
        <v>4</v>
      </c>
      <c r="Y4958" t="s">
        <v>25714</v>
      </c>
      <c r="Z4958" t="s">
        <v>32668</v>
      </c>
      <c r="AA4958">
        <v>0.2988139485775147</v>
      </c>
      <c r="AB4958" t="str">
        <f>HYPERLINK("Melting_Curves/meltCurve_Q8TDD1_DDX54.pdf", "Melting_Curves/meltCurve_Q8TDD1_DDX54.pdf")</f>
        <v>Melting_Curves/meltCurve_Q8TDD1_DDX54.pdf</v>
      </c>
    </row>
    <row r="4959" spans="1:28" x14ac:dyDescent="0.25">
      <c r="A4959" t="s">
        <v>4963</v>
      </c>
      <c r="B4959">
        <v>0.99999676499088797</v>
      </c>
      <c r="C4959">
        <v>1.0852464377317499</v>
      </c>
      <c r="D4959">
        <v>0.97932125430661099</v>
      </c>
      <c r="E4959">
        <v>0.56182943248892703</v>
      </c>
      <c r="F4959">
        <v>0.50458682361771201</v>
      </c>
      <c r="G4959">
        <v>0.40673018420179202</v>
      </c>
      <c r="H4959">
        <v>0.24149834163605499</v>
      </c>
      <c r="I4959">
        <v>0.303722405489809</v>
      </c>
      <c r="J4959">
        <v>0.302830720600053</v>
      </c>
      <c r="K4959">
        <v>0.30286801689321802</v>
      </c>
      <c r="L4959">
        <v>1204.3303063912599</v>
      </c>
      <c r="M4959">
        <v>24.281010435082099</v>
      </c>
      <c r="N4959">
        <v>51.651809742659601</v>
      </c>
      <c r="O4959">
        <v>49.266919337577903</v>
      </c>
      <c r="P4959">
        <v>-8.5085163814669698E-2</v>
      </c>
      <c r="Q4959">
        <v>0.30944874104036701</v>
      </c>
      <c r="R4959">
        <v>0.95792184973307304</v>
      </c>
      <c r="S4959" t="s">
        <v>11962</v>
      </c>
      <c r="T4959" t="s">
        <v>14004</v>
      </c>
      <c r="U4959" t="s">
        <v>14004</v>
      </c>
      <c r="V4959" t="s">
        <v>14004</v>
      </c>
      <c r="W4959" t="s">
        <v>18908</v>
      </c>
      <c r="X4959">
        <v>8</v>
      </c>
      <c r="Y4959" t="s">
        <v>25715</v>
      </c>
      <c r="Z4959" t="s">
        <v>32669</v>
      </c>
      <c r="AA4959">
        <v>0.53694080444711101</v>
      </c>
      <c r="AB4959" t="str">
        <f>HYPERLINK("Melting_Curves/meltCurve_Q8TDH9_BLOC1S5.pdf", "Melting_Curves/meltCurve_Q8TDH9_BLOC1S5.pdf")</f>
        <v>Melting_Curves/meltCurve_Q8TDH9_BLOC1S5.pdf</v>
      </c>
    </row>
    <row r="4960" spans="1:28" x14ac:dyDescent="0.25">
      <c r="A4960" t="s">
        <v>4964</v>
      </c>
      <c r="B4960">
        <v>0.99999676499088797</v>
      </c>
      <c r="C4960">
        <v>0.65839368244373497</v>
      </c>
      <c r="D4960">
        <v>1.3600727336742799</v>
      </c>
      <c r="E4960">
        <v>0.55451684738467699</v>
      </c>
      <c r="F4960">
        <v>0.268401796536892</v>
      </c>
      <c r="G4960">
        <v>0.15956641838680999</v>
      </c>
      <c r="H4960">
        <v>0.293707505890971</v>
      </c>
      <c r="I4960">
        <v>0.56721851718854399</v>
      </c>
      <c r="J4960">
        <v>0.64217746203000803</v>
      </c>
      <c r="K4960">
        <v>0.85854091739828597</v>
      </c>
      <c r="L4960">
        <v>12320.441052444899</v>
      </c>
      <c r="M4960">
        <v>250</v>
      </c>
      <c r="N4960">
        <v>49.811243775452397</v>
      </c>
      <c r="O4960">
        <v>49.278610515195901</v>
      </c>
      <c r="P4960">
        <v>-0.67862172401992205</v>
      </c>
      <c r="Q4960">
        <v>0.46493543074940202</v>
      </c>
      <c r="R4960">
        <v>0.495324687951953</v>
      </c>
      <c r="S4960" t="s">
        <v>11963</v>
      </c>
      <c r="T4960" t="s">
        <v>14004</v>
      </c>
      <c r="U4960" t="s">
        <v>14004</v>
      </c>
      <c r="V4960" t="s">
        <v>14004</v>
      </c>
      <c r="W4960" t="s">
        <v>18909</v>
      </c>
      <c r="X4960">
        <v>13</v>
      </c>
      <c r="Y4960" t="s">
        <v>25716</v>
      </c>
      <c r="Z4960" t="s">
        <v>32670</v>
      </c>
      <c r="AA4960">
        <v>0.63052648009707724</v>
      </c>
      <c r="AB4960" t="str">
        <f>HYPERLINK("Melting_Curves/meltCurve_Q8TDI0_CHD5.pdf", "Melting_Curves/meltCurve_Q8TDI0_CHD5.pdf")</f>
        <v>Melting_Curves/meltCurve_Q8TDI0_CHD5.pdf</v>
      </c>
    </row>
    <row r="4961" spans="1:28" x14ac:dyDescent="0.25">
      <c r="A4961" t="s">
        <v>4965</v>
      </c>
      <c r="B4961">
        <v>0.99999676499088797</v>
      </c>
      <c r="C4961">
        <v>0.82454183536467496</v>
      </c>
      <c r="D4961">
        <v>0.94282181081172201</v>
      </c>
      <c r="E4961">
        <v>1.1720769584381401</v>
      </c>
      <c r="F4961">
        <v>0.59859304095254495</v>
      </c>
      <c r="G4961">
        <v>0.98199918126193997</v>
      </c>
      <c r="H4961">
        <v>2.0968011244301401</v>
      </c>
      <c r="I4961">
        <v>3.1673493140589102</v>
      </c>
      <c r="J4961">
        <v>2.6846930707755599</v>
      </c>
      <c r="K4961">
        <v>4.35667592540391</v>
      </c>
      <c r="L4961">
        <v>14582.445534592</v>
      </c>
      <c r="M4961">
        <v>250</v>
      </c>
      <c r="O4961">
        <v>58.326069226456099</v>
      </c>
      <c r="P4961">
        <v>0.53578118682054698</v>
      </c>
      <c r="Q4961">
        <v>1.5</v>
      </c>
      <c r="R4961">
        <v>8.3756279280659804E-2</v>
      </c>
      <c r="S4961" t="s">
        <v>11964</v>
      </c>
      <c r="T4961" t="s">
        <v>14004</v>
      </c>
      <c r="U4961" t="s">
        <v>14004</v>
      </c>
      <c r="V4961" t="s">
        <v>14004</v>
      </c>
      <c r="W4961" t="s">
        <v>18910</v>
      </c>
      <c r="X4961">
        <v>1</v>
      </c>
      <c r="Y4961" t="s">
        <v>25717</v>
      </c>
      <c r="Z4961" t="s">
        <v>32671</v>
      </c>
      <c r="AA4961">
        <v>1.1944524470972779</v>
      </c>
      <c r="AB4961" t="str">
        <f>HYPERLINK("Melting_Curves/meltCurve_Q8TDJ6_DMXL2.pdf", "Melting_Curves/meltCurve_Q8TDJ6_DMXL2.pdf")</f>
        <v>Melting_Curves/meltCurve_Q8TDJ6_DMXL2.pdf</v>
      </c>
    </row>
    <row r="4962" spans="1:28" x14ac:dyDescent="0.25">
      <c r="A4962" t="s">
        <v>4966</v>
      </c>
      <c r="B4962">
        <v>0.99999676499088797</v>
      </c>
      <c r="C4962">
        <v>1.0297987235879</v>
      </c>
      <c r="D4962">
        <v>1.04729624609353</v>
      </c>
      <c r="E4962">
        <v>1.14006999293195</v>
      </c>
      <c r="F4962">
        <v>1.27097804119389</v>
      </c>
      <c r="G4962">
        <v>1.0152888489370899</v>
      </c>
      <c r="H4962">
        <v>0.73286242022887504</v>
      </c>
      <c r="I4962">
        <v>0.59403465576065795</v>
      </c>
      <c r="J4962">
        <v>0.41979822863499699</v>
      </c>
      <c r="K4962">
        <v>0.242658791040958</v>
      </c>
      <c r="L4962">
        <v>1545.0922575807899</v>
      </c>
      <c r="M4962">
        <v>24.235980847533199</v>
      </c>
      <c r="N4962">
        <v>65.047505757422002</v>
      </c>
      <c r="O4962">
        <v>63.322744172267697</v>
      </c>
      <c r="P4962">
        <v>-7.7367759721888293E-2</v>
      </c>
      <c r="Q4962">
        <v>0.191439767094566</v>
      </c>
      <c r="R4962">
        <v>0.88969954568420895</v>
      </c>
      <c r="S4962" t="s">
        <v>11965</v>
      </c>
      <c r="T4962" t="s">
        <v>14004</v>
      </c>
      <c r="U4962" t="s">
        <v>14004</v>
      </c>
      <c r="V4962" t="s">
        <v>14004</v>
      </c>
      <c r="W4962" t="s">
        <v>18911</v>
      </c>
      <c r="X4962">
        <v>17</v>
      </c>
      <c r="Y4962" t="s">
        <v>25718</v>
      </c>
      <c r="Z4962" t="s">
        <v>32672</v>
      </c>
      <c r="AA4962">
        <v>0.83115280632468302</v>
      </c>
      <c r="AB4962" t="str">
        <f>HYPERLINK("Melting_Curves/meltCurve_Q8TDQ7_GNPDA2.pdf", "Melting_Curves/meltCurve_Q8TDQ7_GNPDA2.pdf")</f>
        <v>Melting_Curves/meltCurve_Q8TDQ7_GNPDA2.pdf</v>
      </c>
    </row>
    <row r="4963" spans="1:28" x14ac:dyDescent="0.25">
      <c r="A4963" t="s">
        <v>4967</v>
      </c>
      <c r="B4963">
        <v>0.99999676499088797</v>
      </c>
      <c r="C4963">
        <v>1.01426105082986</v>
      </c>
      <c r="D4963">
        <v>1.0164879029819101</v>
      </c>
      <c r="E4963">
        <v>1.0226756744824299</v>
      </c>
      <c r="F4963">
        <v>0.86657883356884402</v>
      </c>
      <c r="G4963">
        <v>0.48830509318416099</v>
      </c>
      <c r="H4963">
        <v>0.15753433928487501</v>
      </c>
      <c r="I4963">
        <v>0.105161688866416</v>
      </c>
      <c r="J4963">
        <v>0.110760746728483</v>
      </c>
      <c r="K4963">
        <v>8.0983391328213999E-2</v>
      </c>
      <c r="L4963">
        <v>1814.6328049987901</v>
      </c>
      <c r="M4963">
        <v>32.226115642469999</v>
      </c>
      <c r="N4963">
        <v>56.6531659211593</v>
      </c>
      <c r="O4963">
        <v>56.093886007307397</v>
      </c>
      <c r="P4963">
        <v>-0.13087029817340601</v>
      </c>
      <c r="Q4963">
        <v>8.8815084413987999E-2</v>
      </c>
      <c r="R4963">
        <v>0.99863617384164005</v>
      </c>
      <c r="S4963" t="s">
        <v>11966</v>
      </c>
      <c r="T4963" t="s">
        <v>14004</v>
      </c>
      <c r="U4963" t="s">
        <v>14004</v>
      </c>
      <c r="V4963" t="s">
        <v>14004</v>
      </c>
      <c r="W4963" t="s">
        <v>18912</v>
      </c>
      <c r="X4963">
        <v>4</v>
      </c>
      <c r="Y4963" t="s">
        <v>25719</v>
      </c>
      <c r="Z4963" t="s">
        <v>32673</v>
      </c>
      <c r="AA4963">
        <v>0.58950639325171028</v>
      </c>
      <c r="AB4963" t="str">
        <f>HYPERLINK("Melting_Curves/meltCurve_Q8TDW0_LRRC8C.pdf", "Melting_Curves/meltCurve_Q8TDW0_LRRC8C.pdf")</f>
        <v>Melting_Curves/meltCurve_Q8TDW0_LRRC8C.pdf</v>
      </c>
    </row>
    <row r="4964" spans="1:28" x14ac:dyDescent="0.25">
      <c r="A4964" t="s">
        <v>4968</v>
      </c>
      <c r="B4964">
        <v>0.99999676499088797</v>
      </c>
      <c r="C4964">
        <v>1.0252725939449101</v>
      </c>
      <c r="D4964">
        <v>1.0416531128478399</v>
      </c>
      <c r="E4964">
        <v>1.0394997318215899</v>
      </c>
      <c r="F4964">
        <v>0.38043630602448503</v>
      </c>
      <c r="G4964">
        <v>0.22821484542854201</v>
      </c>
      <c r="H4964">
        <v>0.10623423372846801</v>
      </c>
      <c r="I4964">
        <v>8.8548295839110405E-2</v>
      </c>
      <c r="J4964">
        <v>0.10831493168485</v>
      </c>
      <c r="K4964">
        <v>7.2554827964073504E-2</v>
      </c>
      <c r="L4964">
        <v>5246.27096579926</v>
      </c>
      <c r="M4964">
        <v>99.478513179420602</v>
      </c>
      <c r="N4964">
        <v>52.884350279534303</v>
      </c>
      <c r="O4964">
        <v>52.716426159675102</v>
      </c>
      <c r="P4964">
        <v>-0.41490640478861401</v>
      </c>
      <c r="Q4964">
        <v>0.12051833068660101</v>
      </c>
      <c r="R4964">
        <v>0.98967468741295495</v>
      </c>
      <c r="S4964" t="s">
        <v>11967</v>
      </c>
      <c r="T4964" t="s">
        <v>14004</v>
      </c>
      <c r="U4964" t="s">
        <v>14004</v>
      </c>
      <c r="V4964" t="s">
        <v>14004</v>
      </c>
      <c r="W4964" t="s">
        <v>18913</v>
      </c>
      <c r="X4964">
        <v>8</v>
      </c>
      <c r="Y4964" t="s">
        <v>25720</v>
      </c>
      <c r="Z4964" t="s">
        <v>32674</v>
      </c>
      <c r="AA4964">
        <v>0.49445303196454238</v>
      </c>
      <c r="AB4964" t="str">
        <f>HYPERLINK("Melting_Curves/meltCurve_Q8TDX7_NEK7.pdf", "Melting_Curves/meltCurve_Q8TDX7_NEK7.pdf")</f>
        <v>Melting_Curves/meltCurve_Q8TDX7_NEK7.pdf</v>
      </c>
    </row>
    <row r="4965" spans="1:28" x14ac:dyDescent="0.25">
      <c r="A4965" t="s">
        <v>4969</v>
      </c>
      <c r="B4965">
        <v>0.99999676499088797</v>
      </c>
      <c r="C4965">
        <v>0.85416675523733998</v>
      </c>
      <c r="D4965">
        <v>1.0187875277936</v>
      </c>
      <c r="E4965">
        <v>1.26479556782476</v>
      </c>
      <c r="F4965">
        <v>1.7226006030407</v>
      </c>
      <c r="G4965">
        <v>1.1300859410810999</v>
      </c>
      <c r="H4965">
        <v>1.1678315194764699</v>
      </c>
      <c r="I4965">
        <v>0.80178996878795294</v>
      </c>
      <c r="J4965">
        <v>0.70643517957536395</v>
      </c>
      <c r="K4965">
        <v>0.88345780852260403</v>
      </c>
      <c r="L4965">
        <v>15000</v>
      </c>
      <c r="M4965">
        <v>237.630654973639</v>
      </c>
      <c r="O4965">
        <v>63.118698144336499</v>
      </c>
      <c r="P4965">
        <v>-0.19322944073148501</v>
      </c>
      <c r="Q4965">
        <v>0.79470004449494902</v>
      </c>
      <c r="R4965">
        <v>0.12129531530709201</v>
      </c>
      <c r="S4965" t="s">
        <v>11968</v>
      </c>
      <c r="T4965" t="s">
        <v>14004</v>
      </c>
      <c r="U4965" t="s">
        <v>14004</v>
      </c>
      <c r="V4965" t="s">
        <v>14004</v>
      </c>
      <c r="W4965" t="s">
        <v>18914</v>
      </c>
      <c r="X4965">
        <v>4</v>
      </c>
      <c r="Y4965" t="s">
        <v>25721</v>
      </c>
      <c r="Z4965" t="s">
        <v>32675</v>
      </c>
      <c r="AA4965">
        <v>0.9529647366520444</v>
      </c>
      <c r="AB4965" t="str">
        <f>HYPERLINK("Melting_Curves/meltCurve_Q8TDY2_2_RB1CC1.pdf", "Melting_Curves/meltCurve_Q8TDY2_2_RB1CC1.pdf")</f>
        <v>Melting_Curves/meltCurve_Q8TDY2_2_RB1CC1.pdf</v>
      </c>
    </row>
    <row r="4966" spans="1:28" x14ac:dyDescent="0.25">
      <c r="A4966" t="s">
        <v>4970</v>
      </c>
      <c r="B4966">
        <v>0.99999676499088797</v>
      </c>
      <c r="C4966">
        <v>0.86645995569610801</v>
      </c>
      <c r="D4966">
        <v>0.487335769106576</v>
      </c>
      <c r="E4966">
        <v>0.25060423763901402</v>
      </c>
      <c r="F4966">
        <v>0.167778559328322</v>
      </c>
      <c r="G4966">
        <v>0.12321599794641901</v>
      </c>
      <c r="H4966">
        <v>5.8793790000732697E-2</v>
      </c>
      <c r="I4966">
        <v>6.7315393189991093E-2</v>
      </c>
      <c r="J4966">
        <v>5.1550135916526699E-2</v>
      </c>
      <c r="K4966">
        <v>3.7497279817919803E-2</v>
      </c>
      <c r="L4966">
        <v>974.29389157251103</v>
      </c>
      <c r="M4966">
        <v>21.189151541113699</v>
      </c>
      <c r="N4966">
        <v>46.315390702756403</v>
      </c>
      <c r="O4966">
        <v>45.577120091264497</v>
      </c>
      <c r="P4966">
        <v>-0.10798142235563001</v>
      </c>
      <c r="Q4966">
        <v>7.0967046476611798E-2</v>
      </c>
      <c r="R4966">
        <v>0.99091067960443602</v>
      </c>
      <c r="S4966" t="s">
        <v>11969</v>
      </c>
      <c r="T4966" t="s">
        <v>14004</v>
      </c>
      <c r="U4966" t="s">
        <v>14004</v>
      </c>
      <c r="V4966" t="s">
        <v>14004</v>
      </c>
      <c r="W4966" t="s">
        <v>18915</v>
      </c>
      <c r="X4966">
        <v>19</v>
      </c>
      <c r="Y4966" t="s">
        <v>25722</v>
      </c>
      <c r="Z4966" t="s">
        <v>32676</v>
      </c>
      <c r="AA4966">
        <v>0.26877145585111589</v>
      </c>
      <c r="AB4966" t="str">
        <f>HYPERLINK("Melting_Curves/meltCurve_Q8TDZ2_MICAL1.pdf", "Melting_Curves/meltCurve_Q8TDZ2_MICAL1.pdf")</f>
        <v>Melting_Curves/meltCurve_Q8TDZ2_MICAL1.pdf</v>
      </c>
    </row>
    <row r="4967" spans="1:28" x14ac:dyDescent="0.25">
      <c r="A4967" t="s">
        <v>4971</v>
      </c>
      <c r="B4967">
        <v>0.99999676499088797</v>
      </c>
      <c r="C4967">
        <v>0.99148294009651705</v>
      </c>
      <c r="D4967">
        <v>0.95009644560279505</v>
      </c>
      <c r="E4967">
        <v>0.89839887817295006</v>
      </c>
      <c r="F4967">
        <v>0.584514286735624</v>
      </c>
      <c r="G4967">
        <v>0.23926505145674701</v>
      </c>
      <c r="H4967">
        <v>8.6647942109941894E-2</v>
      </c>
      <c r="I4967">
        <v>0.102726665631686</v>
      </c>
      <c r="J4967">
        <v>8.1656188759872794E-2</v>
      </c>
      <c r="K4967">
        <v>4.66203030739262E-2</v>
      </c>
      <c r="L4967">
        <v>1380.9084296656499</v>
      </c>
      <c r="M4967">
        <v>25.7527575780855</v>
      </c>
      <c r="N4967">
        <v>53.904906480318303</v>
      </c>
      <c r="O4967">
        <v>53.301571375407697</v>
      </c>
      <c r="P4967">
        <v>-0.11314843796653599</v>
      </c>
      <c r="Q4967">
        <v>6.3258738875251103E-2</v>
      </c>
      <c r="R4967">
        <v>0.99816805062380298</v>
      </c>
      <c r="S4967" t="s">
        <v>11970</v>
      </c>
      <c r="T4967" t="s">
        <v>14004</v>
      </c>
      <c r="U4967" t="s">
        <v>14004</v>
      </c>
      <c r="V4967" t="s">
        <v>14004</v>
      </c>
      <c r="W4967" t="s">
        <v>18916</v>
      </c>
      <c r="X4967">
        <v>9</v>
      </c>
      <c r="Y4967" t="s">
        <v>25723</v>
      </c>
      <c r="Z4967" t="s">
        <v>32677</v>
      </c>
      <c r="AA4967">
        <v>0.49678762615508121</v>
      </c>
      <c r="AB4967" t="str">
        <f>HYPERLINK("Melting_Curves/meltCurve_Q8TE04_2_PANK1.pdf", "Melting_Curves/meltCurve_Q8TE04_2_PANK1.pdf")</f>
        <v>Melting_Curves/meltCurve_Q8TE04_2_PANK1.pdf</v>
      </c>
    </row>
    <row r="4968" spans="1:28" x14ac:dyDescent="0.25">
      <c r="A4968" t="s">
        <v>4972</v>
      </c>
      <c r="B4968">
        <v>0.99999676499088797</v>
      </c>
      <c r="C4968">
        <v>0.99661332373038702</v>
      </c>
      <c r="D4968">
        <v>0.92602906957203801</v>
      </c>
      <c r="E4968">
        <v>0.89439915334890896</v>
      </c>
      <c r="F4968">
        <v>0.49346715467236102</v>
      </c>
      <c r="G4968">
        <v>0.25258218423717399</v>
      </c>
      <c r="H4968">
        <v>0.118420272013553</v>
      </c>
      <c r="I4968">
        <v>0.105221341087658</v>
      </c>
      <c r="J4968">
        <v>9.3009587770367996E-2</v>
      </c>
      <c r="K4968">
        <v>9.2854849539018305E-2</v>
      </c>
      <c r="L4968">
        <v>1336.93011133095</v>
      </c>
      <c r="M4968">
        <v>25.255991658619699</v>
      </c>
      <c r="N4968">
        <v>53.3661624571738</v>
      </c>
      <c r="O4968">
        <v>52.606644028829002</v>
      </c>
      <c r="P4968">
        <v>-0.108951205663748</v>
      </c>
      <c r="Q4968">
        <v>9.2257687759744994E-2</v>
      </c>
      <c r="R4968">
        <v>0.99652622603250396</v>
      </c>
      <c r="S4968" t="s">
        <v>11971</v>
      </c>
      <c r="T4968" t="s">
        <v>14004</v>
      </c>
      <c r="U4968" t="s">
        <v>14004</v>
      </c>
      <c r="V4968" t="s">
        <v>14004</v>
      </c>
      <c r="W4968" t="s">
        <v>18917</v>
      </c>
      <c r="X4968">
        <v>17</v>
      </c>
      <c r="Y4968" t="s">
        <v>25724</v>
      </c>
      <c r="Z4968" t="s">
        <v>32678</v>
      </c>
      <c r="AA4968">
        <v>0.49184603558621381</v>
      </c>
      <c r="AB4968" t="str">
        <f>HYPERLINK("Melting_Curves/meltCurve_Q8TEA1_NSUN6.pdf", "Melting_Curves/meltCurve_Q8TEA1_NSUN6.pdf")</f>
        <v>Melting_Curves/meltCurve_Q8TEA1_NSUN6.pdf</v>
      </c>
    </row>
    <row r="4969" spans="1:28" x14ac:dyDescent="0.25">
      <c r="A4969" t="s">
        <v>4973</v>
      </c>
      <c r="B4969">
        <v>0.99999676499088797</v>
      </c>
      <c r="C4969">
        <v>0.85384136968292301</v>
      </c>
      <c r="D4969">
        <v>0.68134410023402903</v>
      </c>
      <c r="E4969">
        <v>0.30266117162105999</v>
      </c>
      <c r="F4969">
        <v>0.143459983191771</v>
      </c>
      <c r="G4969">
        <v>0.111030755159197</v>
      </c>
      <c r="H4969">
        <v>6.3073768620465806E-2</v>
      </c>
      <c r="I4969">
        <v>5.2804801361839598E-2</v>
      </c>
      <c r="J4969">
        <v>4.64238513711214E-2</v>
      </c>
      <c r="K4969">
        <v>3.7024605713505403E-2</v>
      </c>
      <c r="L4969">
        <v>926.92525015407898</v>
      </c>
      <c r="M4969">
        <v>19.5905839158379</v>
      </c>
      <c r="N4969">
        <v>47.561820101010902</v>
      </c>
      <c r="O4969">
        <v>46.830102081048501</v>
      </c>
      <c r="P4969">
        <v>-9.9528721683379506E-2</v>
      </c>
      <c r="Q4969">
        <v>4.8364136148457901E-2</v>
      </c>
      <c r="R4969">
        <v>0.99680037130369603</v>
      </c>
      <c r="S4969" t="s">
        <v>11972</v>
      </c>
      <c r="T4969" t="s">
        <v>14004</v>
      </c>
      <c r="U4969" t="s">
        <v>14004</v>
      </c>
      <c r="V4969" t="s">
        <v>14004</v>
      </c>
      <c r="W4969" t="s">
        <v>18918</v>
      </c>
      <c r="X4969">
        <v>2</v>
      </c>
      <c r="Y4969" t="s">
        <v>25725</v>
      </c>
      <c r="Z4969" t="s">
        <v>32679</v>
      </c>
      <c r="AA4969">
        <v>0.2948066323399442</v>
      </c>
      <c r="AB4969" t="str">
        <f>HYPERLINK("Melting_Curves/meltCurve_Q8TEA7_3_TBCK.pdf", "Melting_Curves/meltCurve_Q8TEA7_3_TBCK.pdf")</f>
        <v>Melting_Curves/meltCurve_Q8TEA7_3_TBCK.pdf</v>
      </c>
    </row>
    <row r="4970" spans="1:28" x14ac:dyDescent="0.25">
      <c r="A4970" t="s">
        <v>4974</v>
      </c>
      <c r="B4970">
        <v>0.99999676499088797</v>
      </c>
      <c r="C4970">
        <v>0.96736844962866197</v>
      </c>
      <c r="D4970">
        <v>0.977201620766459</v>
      </c>
      <c r="E4970">
        <v>0.83570216906119699</v>
      </c>
      <c r="F4970">
        <v>0.63839856142732798</v>
      </c>
      <c r="G4970">
        <v>0.56047856239562299</v>
      </c>
      <c r="H4970">
        <v>0.32059279086423098</v>
      </c>
      <c r="I4970">
        <v>0.37575008645226299</v>
      </c>
      <c r="J4970">
        <v>0.32921596382497598</v>
      </c>
      <c r="K4970">
        <v>0.25808825141897701</v>
      </c>
      <c r="L4970">
        <v>774.10807014762997</v>
      </c>
      <c r="M4970">
        <v>14.330529936342399</v>
      </c>
      <c r="N4970">
        <v>56.969592038327903</v>
      </c>
      <c r="O4970">
        <v>52.998888845740296</v>
      </c>
      <c r="P4970">
        <v>-4.9891925816287298E-2</v>
      </c>
      <c r="Q4970">
        <v>0.26202386928319998</v>
      </c>
      <c r="R4970">
        <v>0.98386633482824304</v>
      </c>
      <c r="S4970" t="s">
        <v>11973</v>
      </c>
      <c r="T4970" t="s">
        <v>14004</v>
      </c>
      <c r="U4970" t="s">
        <v>14004</v>
      </c>
      <c r="V4970" t="s">
        <v>14004</v>
      </c>
      <c r="W4970" t="s">
        <v>18919</v>
      </c>
      <c r="X4970">
        <v>5</v>
      </c>
      <c r="Y4970" t="s">
        <v>25726</v>
      </c>
      <c r="Z4970" t="s">
        <v>32680</v>
      </c>
      <c r="AA4970">
        <v>0.62283988053613726</v>
      </c>
      <c r="AB4970" t="str">
        <f>HYPERLINK("Melting_Curves/meltCurve_Q8TEA8_DTD1.pdf", "Melting_Curves/meltCurve_Q8TEA8_DTD1.pdf")</f>
        <v>Melting_Curves/meltCurve_Q8TEA8_DTD1.pdf</v>
      </c>
    </row>
    <row r="4971" spans="1:28" x14ac:dyDescent="0.25">
      <c r="A4971" t="s">
        <v>4975</v>
      </c>
      <c r="B4971">
        <v>0.99999676499088797</v>
      </c>
      <c r="C4971">
        <v>0.94514656244106399</v>
      </c>
      <c r="D4971">
        <v>0.96913272660194705</v>
      </c>
      <c r="E4971">
        <v>1.01872459643808</v>
      </c>
      <c r="F4971">
        <v>0.93291751845386806</v>
      </c>
      <c r="G4971">
        <v>0.59731114743955105</v>
      </c>
      <c r="H4971">
        <v>0.21697552569042</v>
      </c>
      <c r="I4971">
        <v>0.126591059198157</v>
      </c>
      <c r="J4971">
        <v>0.117165360939039</v>
      </c>
      <c r="K4971">
        <v>9.9368084556902395E-2</v>
      </c>
      <c r="L4971">
        <v>1902.0168304174999</v>
      </c>
      <c r="M4971">
        <v>33.270266174132303</v>
      </c>
      <c r="N4971">
        <v>57.573388540140598</v>
      </c>
      <c r="O4971">
        <v>56.963316312856001</v>
      </c>
      <c r="P4971">
        <v>-0.13079128150785599</v>
      </c>
      <c r="Q4971">
        <v>0.10427251133111801</v>
      </c>
      <c r="R4971">
        <v>0.99700278028594003</v>
      </c>
      <c r="S4971" t="s">
        <v>11974</v>
      </c>
      <c r="T4971" t="s">
        <v>14004</v>
      </c>
      <c r="U4971" t="s">
        <v>14004</v>
      </c>
      <c r="V4971" t="s">
        <v>14004</v>
      </c>
      <c r="W4971" t="s">
        <v>18920</v>
      </c>
      <c r="X4971">
        <v>7</v>
      </c>
      <c r="Y4971" t="s">
        <v>25727</v>
      </c>
      <c r="Z4971" t="s">
        <v>32681</v>
      </c>
      <c r="AA4971">
        <v>0.62183891900963462</v>
      </c>
      <c r="AB4971" t="str">
        <f>HYPERLINK("Melting_Curves/meltCurve_Q8TEB1_2_DCAF11.pdf", "Melting_Curves/meltCurve_Q8TEB1_2_DCAF11.pdf")</f>
        <v>Melting_Curves/meltCurve_Q8TEB1_2_DCAF11.pdf</v>
      </c>
    </row>
    <row r="4972" spans="1:28" x14ac:dyDescent="0.25">
      <c r="A4972" t="s">
        <v>4976</v>
      </c>
      <c r="B4972">
        <v>0.99999676499088797</v>
      </c>
      <c r="C4972">
        <v>0.99420913112894305</v>
      </c>
      <c r="D4972">
        <v>1.05991785117258</v>
      </c>
      <c r="E4972">
        <v>1.19862909712028</v>
      </c>
      <c r="F4972">
        <v>0.67095061614747697</v>
      </c>
      <c r="G4972">
        <v>0.69312709653173099</v>
      </c>
      <c r="H4972">
        <v>0.22674972153117301</v>
      </c>
      <c r="I4972">
        <v>0.13900766262085501</v>
      </c>
      <c r="J4972">
        <v>0.115102525918045</v>
      </c>
      <c r="K4972">
        <v>0.1082827366436</v>
      </c>
      <c r="L4972">
        <v>1272.7049102896401</v>
      </c>
      <c r="M4972">
        <v>22.192567305782099</v>
      </c>
      <c r="N4972">
        <v>57.750694116187802</v>
      </c>
      <c r="O4972">
        <v>56.888690702837401</v>
      </c>
      <c r="P4972">
        <v>-9.0541073001964206E-2</v>
      </c>
      <c r="Q4972">
        <v>7.1643695914078903E-2</v>
      </c>
      <c r="R4972">
        <v>0.93837470510217802</v>
      </c>
      <c r="S4972" t="s">
        <v>11975</v>
      </c>
      <c r="T4972" t="s">
        <v>14004</v>
      </c>
      <c r="U4972" t="s">
        <v>14004</v>
      </c>
      <c r="V4972" t="s">
        <v>14004</v>
      </c>
      <c r="W4972" t="s">
        <v>18921</v>
      </c>
      <c r="X4972">
        <v>13</v>
      </c>
      <c r="Y4972" t="s">
        <v>25728</v>
      </c>
      <c r="Z4972" t="s">
        <v>32682</v>
      </c>
      <c r="AA4972">
        <v>0.61827584751364939</v>
      </c>
      <c r="AB4972" t="str">
        <f>HYPERLINK("Melting_Curves/meltCurve_Q8TED0_UTP15.pdf", "Melting_Curves/meltCurve_Q8TED0_UTP15.pdf")</f>
        <v>Melting_Curves/meltCurve_Q8TED0_UTP15.pdf</v>
      </c>
    </row>
    <row r="4973" spans="1:28" x14ac:dyDescent="0.25">
      <c r="A4973" t="s">
        <v>4977</v>
      </c>
      <c r="B4973">
        <v>0.99999676499088797</v>
      </c>
      <c r="C4973">
        <v>1.02979293282577</v>
      </c>
      <c r="D4973">
        <v>0.90239633032190303</v>
      </c>
      <c r="E4973">
        <v>0.44440935682638499</v>
      </c>
      <c r="F4973">
        <v>0.25472588121159301</v>
      </c>
      <c r="G4973">
        <v>0.19551475832585199</v>
      </c>
      <c r="H4973">
        <v>0.102542171706562</v>
      </c>
      <c r="I4973">
        <v>0.113551210396276</v>
      </c>
      <c r="J4973">
        <v>0.103171707725124</v>
      </c>
      <c r="K4973">
        <v>7.6493365864321899E-2</v>
      </c>
      <c r="L4973">
        <v>1341.77673241808</v>
      </c>
      <c r="M4973">
        <v>27.385790874195401</v>
      </c>
      <c r="N4973">
        <v>49.478316132146396</v>
      </c>
      <c r="O4973">
        <v>48.736346149839797</v>
      </c>
      <c r="P4973">
        <v>-0.124004600195901</v>
      </c>
      <c r="Q4973">
        <v>0.117283183317866</v>
      </c>
      <c r="R4973">
        <v>0.99115909363402099</v>
      </c>
      <c r="S4973" t="s">
        <v>11976</v>
      </c>
      <c r="T4973" t="s">
        <v>14004</v>
      </c>
      <c r="U4973" t="s">
        <v>14004</v>
      </c>
      <c r="V4973" t="s">
        <v>14004</v>
      </c>
      <c r="W4973" t="s">
        <v>18922</v>
      </c>
      <c r="X4973">
        <v>4</v>
      </c>
      <c r="Y4973" t="s">
        <v>25729</v>
      </c>
      <c r="Z4973" t="s">
        <v>32683</v>
      </c>
      <c r="AA4973">
        <v>0.3884448412316292</v>
      </c>
      <c r="AB4973" t="str">
        <f>HYPERLINK("Melting_Curves/meltCurve_Q8TEH3_DENND1A.pdf", "Melting_Curves/meltCurve_Q8TEH3_DENND1A.pdf")</f>
        <v>Melting_Curves/meltCurve_Q8TEH3_DENND1A.pdf</v>
      </c>
    </row>
    <row r="4974" spans="1:28" x14ac:dyDescent="0.25">
      <c r="A4974" t="s">
        <v>4978</v>
      </c>
      <c r="B4974">
        <v>0.99999676499088797</v>
      </c>
      <c r="C4974">
        <v>1.0253657935281899</v>
      </c>
      <c r="D4974">
        <v>1.07569260512473</v>
      </c>
      <c r="E4974">
        <v>1.2075604736501</v>
      </c>
      <c r="F4974">
        <v>0.500807206804878</v>
      </c>
      <c r="G4974">
        <v>0.25041476836159199</v>
      </c>
      <c r="H4974">
        <v>0.12069220378263899</v>
      </c>
      <c r="I4974">
        <v>9.05773803176977E-2</v>
      </c>
      <c r="J4974">
        <v>8.6949811182525094E-2</v>
      </c>
      <c r="K4974">
        <v>7.5483291364562194E-2</v>
      </c>
      <c r="L4974">
        <v>6969.9576350677198</v>
      </c>
      <c r="M4974">
        <v>131.29670395097199</v>
      </c>
      <c r="N4974">
        <v>53.201870100733203</v>
      </c>
      <c r="O4974">
        <v>53.073236283245102</v>
      </c>
      <c r="P4974">
        <v>-0.54130325245851396</v>
      </c>
      <c r="Q4974">
        <v>0.12476965430980901</v>
      </c>
      <c r="R4974">
        <v>0.96594745913641</v>
      </c>
      <c r="S4974" t="s">
        <v>11977</v>
      </c>
      <c r="T4974" t="s">
        <v>14004</v>
      </c>
      <c r="U4974" t="s">
        <v>14004</v>
      </c>
      <c r="V4974" t="s">
        <v>14004</v>
      </c>
      <c r="W4974" t="s">
        <v>18923</v>
      </c>
      <c r="X4974">
        <v>39</v>
      </c>
      <c r="Y4974" t="s">
        <v>25730</v>
      </c>
      <c r="Z4974" t="s">
        <v>32684</v>
      </c>
      <c r="AA4974">
        <v>0.50682777789975686</v>
      </c>
      <c r="AB4974" t="str">
        <f>HYPERLINK("Melting_Curves/meltCurve_Q8TEM1_NUP210.pdf", "Melting_Curves/meltCurve_Q8TEM1_NUP210.pdf")</f>
        <v>Melting_Curves/meltCurve_Q8TEM1_NUP210.pdf</v>
      </c>
    </row>
    <row r="4975" spans="1:28" x14ac:dyDescent="0.25">
      <c r="A4975" t="s">
        <v>4979</v>
      </c>
      <c r="B4975">
        <v>0.99999676499088797</v>
      </c>
      <c r="C4975">
        <v>0.938493044596447</v>
      </c>
      <c r="D4975">
        <v>0.73919217417369099</v>
      </c>
      <c r="E4975">
        <v>0.51619783018342702</v>
      </c>
      <c r="F4975">
        <v>0.34643440381051399</v>
      </c>
      <c r="G4975">
        <v>0.15137604968211599</v>
      </c>
      <c r="H4975">
        <v>8.3782284085294895E-2</v>
      </c>
      <c r="I4975">
        <v>0.123667565670577</v>
      </c>
      <c r="J4975">
        <v>9.3267571953603801E-2</v>
      </c>
      <c r="K4975">
        <v>9.7601016778547295E-2</v>
      </c>
      <c r="L4975">
        <v>759.03678696672</v>
      </c>
      <c r="M4975">
        <v>15.3883866668415</v>
      </c>
      <c r="N4975">
        <v>49.850816460165703</v>
      </c>
      <c r="O4975">
        <v>48.514830893245097</v>
      </c>
      <c r="P4975">
        <v>-7.3366777569087993E-2</v>
      </c>
      <c r="Q4975">
        <v>7.4873358199080101E-2</v>
      </c>
      <c r="R4975">
        <v>0.99395036505347101</v>
      </c>
      <c r="S4975" t="s">
        <v>11978</v>
      </c>
      <c r="T4975" t="s">
        <v>14004</v>
      </c>
      <c r="U4975" t="s">
        <v>14004</v>
      </c>
      <c r="V4975" t="s">
        <v>14004</v>
      </c>
      <c r="W4975" t="s">
        <v>18924</v>
      </c>
      <c r="X4975">
        <v>2</v>
      </c>
      <c r="Y4975" t="s">
        <v>25731</v>
      </c>
      <c r="Z4975" t="s">
        <v>32685</v>
      </c>
      <c r="AA4975">
        <v>0.3839627093538503</v>
      </c>
      <c r="AB4975" t="str">
        <f>HYPERLINK("Melting_Curves/meltCurve_Q8TEQ0_2_SNX29.pdf", "Melting_Curves/meltCurve_Q8TEQ0_2_SNX29.pdf")</f>
        <v>Melting_Curves/meltCurve_Q8TEQ0_2_SNX29.pdf</v>
      </c>
    </row>
    <row r="4976" spans="1:28" x14ac:dyDescent="0.25">
      <c r="A4976" t="s">
        <v>4980</v>
      </c>
      <c r="B4976">
        <v>0.99999676499088797</v>
      </c>
      <c r="C4976">
        <v>0.98168224261818005</v>
      </c>
      <c r="D4976">
        <v>0.97814021248953698</v>
      </c>
      <c r="E4976">
        <v>0.57438502562657501</v>
      </c>
      <c r="F4976">
        <v>0.18663943680188999</v>
      </c>
      <c r="G4976">
        <v>0.11616949418884399</v>
      </c>
      <c r="H4976">
        <v>6.7926811250929503E-2</v>
      </c>
      <c r="I4976">
        <v>5.6763017785517102E-2</v>
      </c>
      <c r="J4976">
        <v>4.9555768643878402E-2</v>
      </c>
      <c r="K4976">
        <v>4.0203595918239597E-2</v>
      </c>
      <c r="L4976">
        <v>1594.1398921053301</v>
      </c>
      <c r="M4976">
        <v>31.8961208104602</v>
      </c>
      <c r="N4976">
        <v>50.185392458832098</v>
      </c>
      <c r="O4976">
        <v>49.783888169502603</v>
      </c>
      <c r="P4976">
        <v>-0.150333296267641</v>
      </c>
      <c r="Q4976">
        <v>6.1435979312185397E-2</v>
      </c>
      <c r="R4976">
        <v>0.99795534962174604</v>
      </c>
      <c r="S4976" t="s">
        <v>11979</v>
      </c>
      <c r="T4976" t="s">
        <v>14004</v>
      </c>
      <c r="U4976" t="s">
        <v>14004</v>
      </c>
      <c r="V4976" t="s">
        <v>14004</v>
      </c>
      <c r="W4976" t="s">
        <v>18925</v>
      </c>
      <c r="X4976">
        <v>23</v>
      </c>
      <c r="Y4976" t="s">
        <v>25732</v>
      </c>
      <c r="Z4976" t="s">
        <v>32686</v>
      </c>
      <c r="AA4976">
        <v>0.37876338961329448</v>
      </c>
      <c r="AB4976" t="str">
        <f>HYPERLINK("Melting_Curves/meltCurve_Q8TEQ6_GEMIN5.pdf", "Melting_Curves/meltCurve_Q8TEQ6_GEMIN5.pdf")</f>
        <v>Melting_Curves/meltCurve_Q8TEQ6_GEMIN5.pdf</v>
      </c>
    </row>
    <row r="4977" spans="1:28" x14ac:dyDescent="0.25">
      <c r="A4977" t="s">
        <v>4981</v>
      </c>
      <c r="B4977">
        <v>0.99999676499088797</v>
      </c>
      <c r="C4977">
        <v>1.2044398994893799</v>
      </c>
      <c r="D4977">
        <v>1.22861319945366</v>
      </c>
      <c r="E4977">
        <v>0.99932642539196803</v>
      </c>
      <c r="F4977">
        <v>0.21573723746707901</v>
      </c>
      <c r="G4977">
        <v>0.43724802289440501</v>
      </c>
      <c r="H4977">
        <v>0.17103871232127599</v>
      </c>
      <c r="I4977">
        <v>0.34140270784452098</v>
      </c>
      <c r="J4977">
        <v>0.23577391726331301</v>
      </c>
      <c r="K4977">
        <v>5.7949278535435203E-2</v>
      </c>
      <c r="L4977">
        <v>12726.154001956</v>
      </c>
      <c r="M4977">
        <v>250</v>
      </c>
      <c r="N4977">
        <v>51.0406416929236</v>
      </c>
      <c r="O4977">
        <v>50.901349363491001</v>
      </c>
      <c r="P4977">
        <v>-0.92926152009457896</v>
      </c>
      <c r="Q4977">
        <v>0.243189220858745</v>
      </c>
      <c r="R4977">
        <v>0.90587245544922201</v>
      </c>
      <c r="S4977" t="s">
        <v>11980</v>
      </c>
      <c r="T4977" t="s">
        <v>14004</v>
      </c>
      <c r="U4977" t="s">
        <v>14004</v>
      </c>
      <c r="V4977" t="s">
        <v>14004</v>
      </c>
      <c r="W4977" t="s">
        <v>18926</v>
      </c>
      <c r="X4977">
        <v>2</v>
      </c>
      <c r="Y4977" t="s">
        <v>25733</v>
      </c>
      <c r="Z4977" t="s">
        <v>32687</v>
      </c>
      <c r="AA4977">
        <v>0.51834786315590076</v>
      </c>
      <c r="AB4977" t="str">
        <f>HYPERLINK("Melting_Curves/meltCurve_Q8TEQ8_PIGO.pdf", "Melting_Curves/meltCurve_Q8TEQ8_PIGO.pdf")</f>
        <v>Melting_Curves/meltCurve_Q8TEQ8_PIGO.pdf</v>
      </c>
    </row>
    <row r="4978" spans="1:28" x14ac:dyDescent="0.25">
      <c r="A4978" t="s">
        <v>4982</v>
      </c>
      <c r="B4978">
        <v>0.99999676499088797</v>
      </c>
      <c r="C4978">
        <v>0.92229786061327901</v>
      </c>
      <c r="D4978">
        <v>0.475047713243055</v>
      </c>
      <c r="E4978">
        <v>0.21276561038365499</v>
      </c>
      <c r="F4978">
        <v>0.12889918071911999</v>
      </c>
      <c r="G4978">
        <v>0.10801902792830299</v>
      </c>
      <c r="H4978">
        <v>6.70209834353728E-2</v>
      </c>
      <c r="I4978">
        <v>9.1823700808111697E-2</v>
      </c>
      <c r="J4978">
        <v>7.8650803082797496E-2</v>
      </c>
      <c r="K4978">
        <v>3.7771860083686798E-2</v>
      </c>
      <c r="L4978">
        <v>1335.1848426929801</v>
      </c>
      <c r="M4978">
        <v>29.179385022781599</v>
      </c>
      <c r="N4978">
        <v>46.055745727156399</v>
      </c>
      <c r="O4978">
        <v>45.544514246998801</v>
      </c>
      <c r="P4978">
        <v>-0.146394886378129</v>
      </c>
      <c r="Q4978">
        <v>8.6007416016293095E-2</v>
      </c>
      <c r="R4978">
        <v>0.99315836035216698</v>
      </c>
      <c r="S4978" t="s">
        <v>11981</v>
      </c>
      <c r="T4978" t="s">
        <v>14004</v>
      </c>
      <c r="U4978" t="s">
        <v>14004</v>
      </c>
      <c r="V4978" t="s">
        <v>14004</v>
      </c>
      <c r="W4978" t="s">
        <v>18927</v>
      </c>
      <c r="X4978">
        <v>7</v>
      </c>
      <c r="Y4978" t="s">
        <v>25734</v>
      </c>
      <c r="Z4978" t="s">
        <v>32688</v>
      </c>
      <c r="AA4978">
        <v>0.26741289779907862</v>
      </c>
      <c r="AB4978" t="str">
        <f>HYPERLINK("Melting_Curves/meltCurve_Q8TEW0_7_PARD3.pdf", "Melting_Curves/meltCurve_Q8TEW0_7_PARD3.pdf")</f>
        <v>Melting_Curves/meltCurve_Q8TEW0_7_PARD3.pdf</v>
      </c>
    </row>
    <row r="4979" spans="1:28" x14ac:dyDescent="0.25">
      <c r="A4979" t="s">
        <v>4983</v>
      </c>
      <c r="B4979">
        <v>0.99999676499088797</v>
      </c>
      <c r="C4979">
        <v>0.92582266610774699</v>
      </c>
      <c r="D4979">
        <v>0.60709698897112896</v>
      </c>
      <c r="E4979">
        <v>0.30299668422737902</v>
      </c>
      <c r="F4979">
        <v>0.19382498963865799</v>
      </c>
      <c r="G4979">
        <v>0.116496826978815</v>
      </c>
      <c r="H4979">
        <v>6.3497842187521594E-2</v>
      </c>
      <c r="I4979">
        <v>8.7547416466772901E-2</v>
      </c>
      <c r="J4979">
        <v>6.6689139914847498E-2</v>
      </c>
      <c r="K4979">
        <v>5.0546533208099702E-2</v>
      </c>
      <c r="L4979">
        <v>968.67239527320703</v>
      </c>
      <c r="M4979">
        <v>20.614498723703601</v>
      </c>
      <c r="N4979">
        <v>47.360349690031001</v>
      </c>
      <c r="O4979">
        <v>46.554373328801297</v>
      </c>
      <c r="P4979">
        <v>-0.102460687481416</v>
      </c>
      <c r="Q4979">
        <v>7.44659057039323E-2</v>
      </c>
      <c r="R4979">
        <v>0.99471823204207399</v>
      </c>
      <c r="S4979" t="s">
        <v>11982</v>
      </c>
      <c r="T4979" t="s">
        <v>14004</v>
      </c>
      <c r="U4979" t="s">
        <v>14004</v>
      </c>
      <c r="V4979" t="s">
        <v>14004</v>
      </c>
      <c r="W4979" t="s">
        <v>18928</v>
      </c>
      <c r="X4979">
        <v>21</v>
      </c>
      <c r="Y4979" t="s">
        <v>25735</v>
      </c>
      <c r="Z4979" t="s">
        <v>32689</v>
      </c>
      <c r="AA4979">
        <v>0.30278734313642802</v>
      </c>
      <c r="AB4979" t="str">
        <f>HYPERLINK("Melting_Curves/meltCurve_Q8TEX9_IPO4.pdf", "Melting_Curves/meltCurve_Q8TEX9_IPO4.pdf")</f>
        <v>Melting_Curves/meltCurve_Q8TEX9_IPO4.pdf</v>
      </c>
    </row>
    <row r="4980" spans="1:28" x14ac:dyDescent="0.25">
      <c r="A4980" t="s">
        <v>4984</v>
      </c>
      <c r="B4980">
        <v>0.99999676499088797</v>
      </c>
      <c r="C4980">
        <v>1.0113259434827799</v>
      </c>
      <c r="D4980">
        <v>1.0381046498523201</v>
      </c>
      <c r="E4980">
        <v>1.11009684212271</v>
      </c>
      <c r="F4980">
        <v>1.1209763346614099</v>
      </c>
      <c r="G4980">
        <v>1.03992561758226</v>
      </c>
      <c r="H4980">
        <v>0.70499296024386604</v>
      </c>
      <c r="I4980">
        <v>0.456299333934227</v>
      </c>
      <c r="J4980">
        <v>0.25220303596293903</v>
      </c>
      <c r="K4980">
        <v>0.20861470021373499</v>
      </c>
      <c r="L4980">
        <v>2079.5735636342401</v>
      </c>
      <c r="M4980">
        <v>33.422777319267603</v>
      </c>
      <c r="N4980">
        <v>63.157871952060702</v>
      </c>
      <c r="O4980">
        <v>61.998775005251701</v>
      </c>
      <c r="P4980">
        <v>-0.10841433993296901</v>
      </c>
      <c r="Q4980">
        <v>0.19557519433922099</v>
      </c>
      <c r="R4980">
        <v>0.968343569809619</v>
      </c>
      <c r="S4980" t="s">
        <v>11983</v>
      </c>
      <c r="T4980" t="s">
        <v>14004</v>
      </c>
      <c r="U4980" t="s">
        <v>14004</v>
      </c>
      <c r="V4980" t="s">
        <v>14004</v>
      </c>
      <c r="W4980" t="s">
        <v>18929</v>
      </c>
      <c r="X4980">
        <v>9</v>
      </c>
      <c r="Y4980" t="s">
        <v>25736</v>
      </c>
      <c r="Z4980" t="s">
        <v>32690</v>
      </c>
      <c r="AA4980">
        <v>0.79473245141627469</v>
      </c>
      <c r="AB4980" t="str">
        <f>HYPERLINK("Melting_Curves/meltCurve_Q8TF01_PNISR.pdf", "Melting_Curves/meltCurve_Q8TF01_PNISR.pdf")</f>
        <v>Melting_Curves/meltCurve_Q8TF01_PNISR.pdf</v>
      </c>
    </row>
    <row r="4981" spans="1:28" x14ac:dyDescent="0.25">
      <c r="A4981" t="s">
        <v>4985</v>
      </c>
      <c r="B4981">
        <v>0.99999676499088797</v>
      </c>
      <c r="C4981">
        <v>0.97046614848408697</v>
      </c>
      <c r="D4981">
        <v>0.91917276630089295</v>
      </c>
      <c r="E4981">
        <v>0.66171960523373496</v>
      </c>
      <c r="F4981">
        <v>0.205185452362736</v>
      </c>
      <c r="G4981">
        <v>0.137707791670379</v>
      </c>
      <c r="H4981">
        <v>5.8074479522910803E-2</v>
      </c>
      <c r="I4981">
        <v>6.2512189379820601E-2</v>
      </c>
      <c r="J4981">
        <v>7.16321443605962E-2</v>
      </c>
      <c r="K4981">
        <v>6.1711245573752398E-2</v>
      </c>
      <c r="L4981">
        <v>1462.1403752190899</v>
      </c>
      <c r="M4981">
        <v>29.0011561457667</v>
      </c>
      <c r="N4981">
        <v>50.662801957590901</v>
      </c>
      <c r="O4981">
        <v>50.178735246529698</v>
      </c>
      <c r="P4981">
        <v>-0.134994314990946</v>
      </c>
      <c r="Q4981">
        <v>6.57209542733668E-2</v>
      </c>
      <c r="R4981">
        <v>0.99738534759126296</v>
      </c>
      <c r="S4981" t="s">
        <v>11984</v>
      </c>
      <c r="T4981" t="s">
        <v>14004</v>
      </c>
      <c r="U4981" t="s">
        <v>14004</v>
      </c>
      <c r="V4981" t="s">
        <v>14004</v>
      </c>
      <c r="W4981" t="s">
        <v>18930</v>
      </c>
      <c r="X4981">
        <v>11</v>
      </c>
      <c r="Y4981" t="s">
        <v>25737</v>
      </c>
      <c r="Z4981" t="s">
        <v>32691</v>
      </c>
      <c r="AA4981">
        <v>0.39635071432185931</v>
      </c>
      <c r="AB4981" t="str">
        <f>HYPERLINK("Melting_Curves/meltCurve_Q8TF05_2_PPP4R1.pdf", "Melting_Curves/meltCurve_Q8TF05_2_PPP4R1.pdf")</f>
        <v>Melting_Curves/meltCurve_Q8TF05_2_PPP4R1.pdf</v>
      </c>
    </row>
    <row r="4982" spans="1:28" x14ac:dyDescent="0.25">
      <c r="A4982" t="s">
        <v>4986</v>
      </c>
      <c r="B4982">
        <v>0.99999676499088797</v>
      </c>
      <c r="C4982">
        <v>0.93348484551984101</v>
      </c>
      <c r="D4982">
        <v>0.50375109087454595</v>
      </c>
      <c r="E4982">
        <v>0.25541548526088698</v>
      </c>
      <c r="F4982">
        <v>0.23766403991292001</v>
      </c>
      <c r="G4982">
        <v>0.14728577976657001</v>
      </c>
      <c r="H4982">
        <v>7.9398724644371602E-2</v>
      </c>
      <c r="I4982">
        <v>8.4366191400019303E-2</v>
      </c>
      <c r="J4982">
        <v>6.8703641819591599E-2</v>
      </c>
      <c r="K4982">
        <v>6.18030291170353E-2</v>
      </c>
      <c r="L4982">
        <v>1098.7347883147199</v>
      </c>
      <c r="M4982">
        <v>23.8435016053708</v>
      </c>
      <c r="N4982">
        <v>46.531206049697097</v>
      </c>
      <c r="O4982">
        <v>45.760654310879097</v>
      </c>
      <c r="P4982">
        <v>-0.116848484514882</v>
      </c>
      <c r="Q4982">
        <v>0.10298855895561899</v>
      </c>
      <c r="R4982">
        <v>0.97993110999390098</v>
      </c>
      <c r="S4982" t="s">
        <v>11985</v>
      </c>
      <c r="T4982" t="s">
        <v>14004</v>
      </c>
      <c r="U4982" t="s">
        <v>14004</v>
      </c>
      <c r="V4982" t="s">
        <v>14004</v>
      </c>
      <c r="W4982" t="s">
        <v>18931</v>
      </c>
      <c r="X4982">
        <v>5</v>
      </c>
      <c r="Y4982" t="s">
        <v>25738</v>
      </c>
      <c r="Z4982" t="s">
        <v>32692</v>
      </c>
      <c r="AA4982">
        <v>0.29401937633106762</v>
      </c>
      <c r="AB4982" t="str">
        <f>HYPERLINK("Melting_Curves/meltCurve_Q8TF42_UBASH3B.pdf", "Melting_Curves/meltCurve_Q8TF42_UBASH3B.pdf")</f>
        <v>Melting_Curves/meltCurve_Q8TF42_UBASH3B.pdf</v>
      </c>
    </row>
    <row r="4983" spans="1:28" x14ac:dyDescent="0.25">
      <c r="A4983" t="s">
        <v>4987</v>
      </c>
      <c r="B4983">
        <v>0.99999676499088797</v>
      </c>
      <c r="C4983">
        <v>0.92137431208826004</v>
      </c>
      <c r="D4983">
        <v>0.84969279122850505</v>
      </c>
      <c r="E4983">
        <v>0.60030627670891101</v>
      </c>
      <c r="F4983">
        <v>0.24866125698889999</v>
      </c>
      <c r="G4983">
        <v>7.15959231838732E-2</v>
      </c>
      <c r="H4983">
        <v>0</v>
      </c>
      <c r="I4983">
        <v>0</v>
      </c>
      <c r="J4983">
        <v>8.4261306512435102E-2</v>
      </c>
      <c r="K4983">
        <v>0</v>
      </c>
      <c r="L4983">
        <v>1018.54834176334</v>
      </c>
      <c r="M4983">
        <v>20.251836155492299</v>
      </c>
      <c r="N4983">
        <v>50.3174720047028</v>
      </c>
      <c r="O4983">
        <v>49.811438986264399</v>
      </c>
      <c r="P4983">
        <v>-0.101170277561838</v>
      </c>
      <c r="Q4983">
        <v>4.6767152263459599E-3</v>
      </c>
      <c r="R4983">
        <v>0.99302142203567301</v>
      </c>
      <c r="S4983" t="s">
        <v>11986</v>
      </c>
      <c r="T4983" t="s">
        <v>14004</v>
      </c>
      <c r="U4983" t="s">
        <v>14004</v>
      </c>
      <c r="V4983" t="s">
        <v>14004</v>
      </c>
      <c r="W4983" t="s">
        <v>18932</v>
      </c>
      <c r="X4983">
        <v>1</v>
      </c>
      <c r="Y4983" t="s">
        <v>25739</v>
      </c>
      <c r="Z4983" t="s">
        <v>32693</v>
      </c>
      <c r="AA4983">
        <v>0.3597213331538438</v>
      </c>
      <c r="AB4983" t="str">
        <f>HYPERLINK("Melting_Curves/meltCurve_Q8TF44_C2CD4C.pdf", "Melting_Curves/meltCurve_Q8TF44_C2CD4C.pdf")</f>
        <v>Melting_Curves/meltCurve_Q8TF44_C2CD4C.pdf</v>
      </c>
    </row>
    <row r="4984" spans="1:28" x14ac:dyDescent="0.25">
      <c r="A4984" t="s">
        <v>4988</v>
      </c>
      <c r="B4984">
        <v>0.99999676499088797</v>
      </c>
      <c r="C4984">
        <v>1.0167285850657499</v>
      </c>
      <c r="D4984">
        <v>1.06733939743698</v>
      </c>
      <c r="E4984">
        <v>1.0309250651500601</v>
      </c>
      <c r="F4984">
        <v>1.2034537532493099</v>
      </c>
      <c r="G4984">
        <v>1.0448297288627999</v>
      </c>
      <c r="H4984">
        <v>0.78128324558033901</v>
      </c>
      <c r="I4984">
        <v>0.64789343243431696</v>
      </c>
      <c r="J4984">
        <v>0.51927442007712099</v>
      </c>
      <c r="K4984">
        <v>0.74499330091387095</v>
      </c>
      <c r="L4984">
        <v>8081.7846329977701</v>
      </c>
      <c r="M4984">
        <v>133.34130057240199</v>
      </c>
      <c r="O4984">
        <v>60.596136392979297</v>
      </c>
      <c r="P4984">
        <v>-0.199545636109353</v>
      </c>
      <c r="Q4984">
        <v>0.63727086598589699</v>
      </c>
      <c r="R4984">
        <v>0.82526160917930702</v>
      </c>
      <c r="S4984" t="s">
        <v>11987</v>
      </c>
      <c r="T4984" t="s">
        <v>14004</v>
      </c>
      <c r="U4984" t="s">
        <v>14004</v>
      </c>
      <c r="V4984" t="s">
        <v>14004</v>
      </c>
      <c r="W4984" t="s">
        <v>18933</v>
      </c>
      <c r="X4984">
        <v>2</v>
      </c>
      <c r="Y4984" t="s">
        <v>25740</v>
      </c>
      <c r="Z4984" t="s">
        <v>32694</v>
      </c>
      <c r="AA4984">
        <v>0.88659861945864482</v>
      </c>
      <c r="AB4984" t="str">
        <f>HYPERLINK("Melting_Curves/meltCurve_Q8TF71_SLC16A10.pdf", "Melting_Curves/meltCurve_Q8TF71_SLC16A10.pdf")</f>
        <v>Melting_Curves/meltCurve_Q8TF71_SLC16A10.pdf</v>
      </c>
    </row>
    <row r="4985" spans="1:28" x14ac:dyDescent="0.25">
      <c r="A4985" t="s">
        <v>4989</v>
      </c>
      <c r="B4985">
        <v>0.99999676499088797</v>
      </c>
      <c r="C4985">
        <v>1.10590766163316</v>
      </c>
      <c r="D4985">
        <v>0.97436335103438199</v>
      </c>
      <c r="E4985">
        <v>0.98958839675504795</v>
      </c>
      <c r="F4985">
        <v>0.92928029192030104</v>
      </c>
      <c r="G4985">
        <v>0.79383671520494903</v>
      </c>
      <c r="H4985">
        <v>0.51092634960403305</v>
      </c>
      <c r="I4985">
        <v>0.42651382213005701</v>
      </c>
      <c r="J4985">
        <v>0.37675009097183898</v>
      </c>
      <c r="K4985">
        <v>0.40344492713059699</v>
      </c>
      <c r="L4985">
        <v>1574.47239442042</v>
      </c>
      <c r="M4985">
        <v>27.122062952771302</v>
      </c>
      <c r="N4985">
        <v>61.246779393554696</v>
      </c>
      <c r="O4985">
        <v>57.738518483310401</v>
      </c>
      <c r="P4985">
        <v>-7.2981522719125905E-2</v>
      </c>
      <c r="Q4985">
        <v>0.37854227499386001</v>
      </c>
      <c r="R4985">
        <v>0.98228811464861299</v>
      </c>
      <c r="S4985" t="s">
        <v>11988</v>
      </c>
      <c r="T4985" t="s">
        <v>14004</v>
      </c>
      <c r="U4985" t="s">
        <v>14004</v>
      </c>
      <c r="V4985" t="s">
        <v>14004</v>
      </c>
      <c r="W4985" t="s">
        <v>18934</v>
      </c>
      <c r="X4985">
        <v>2</v>
      </c>
      <c r="Y4985" t="s">
        <v>25741</v>
      </c>
      <c r="Z4985" t="s">
        <v>32695</v>
      </c>
      <c r="AA4985">
        <v>0.75727355058934187</v>
      </c>
      <c r="AB4985" t="str">
        <f>HYPERLINK("Melting_Curves/meltCurve_Q8TF74_WIPF2.pdf", "Melting_Curves/meltCurve_Q8TF74_WIPF2.pdf")</f>
        <v>Melting_Curves/meltCurve_Q8TF74_WIPF2.pdf</v>
      </c>
    </row>
    <row r="4986" spans="1:28" x14ac:dyDescent="0.25">
      <c r="A4986" t="s">
        <v>4990</v>
      </c>
      <c r="B4986">
        <v>0.99999676499088797</v>
      </c>
      <c r="C4986">
        <v>0.83093097852751197</v>
      </c>
      <c r="D4986">
        <v>0.83108816777993</v>
      </c>
      <c r="E4986">
        <v>0.72688195744475004</v>
      </c>
      <c r="F4986">
        <v>0.41121564395322502</v>
      </c>
      <c r="G4986">
        <v>0.25026508027989203</v>
      </c>
      <c r="H4986">
        <v>0.13632456184886099</v>
      </c>
      <c r="I4986">
        <v>0.114473735654508</v>
      </c>
      <c r="J4986">
        <v>8.3149919936571601E-2</v>
      </c>
      <c r="K4986">
        <v>7.3303832052989196E-2</v>
      </c>
      <c r="L4986">
        <v>652.97569261009903</v>
      </c>
      <c r="M4986">
        <v>12.583171068442899</v>
      </c>
      <c r="N4986">
        <v>52.0912500175641</v>
      </c>
      <c r="O4986">
        <v>50.634476847761597</v>
      </c>
      <c r="P4986">
        <v>-6.0685497506380102E-2</v>
      </c>
      <c r="Q4986">
        <v>2.34059981760395E-2</v>
      </c>
      <c r="R4986">
        <v>0.984117122552014</v>
      </c>
      <c r="S4986" t="s">
        <v>11989</v>
      </c>
      <c r="T4986" t="s">
        <v>14004</v>
      </c>
      <c r="U4986" t="s">
        <v>14004</v>
      </c>
      <c r="V4986" t="s">
        <v>14004</v>
      </c>
      <c r="W4986" t="s">
        <v>18935</v>
      </c>
      <c r="X4986">
        <v>3</v>
      </c>
      <c r="Y4986" t="s">
        <v>25742</v>
      </c>
      <c r="Z4986" t="s">
        <v>32696</v>
      </c>
      <c r="AA4986">
        <v>0.43881824602134711</v>
      </c>
      <c r="AB4986" t="str">
        <f>HYPERLINK("Melting_Curves/meltCurve_Q8WTS1_ABHD5.pdf", "Melting_Curves/meltCurve_Q8WTS1_ABHD5.pdf")</f>
        <v>Melting_Curves/meltCurve_Q8WTS1_ABHD5.pdf</v>
      </c>
    </row>
    <row r="4987" spans="1:28" x14ac:dyDescent="0.25">
      <c r="A4987" t="s">
        <v>4991</v>
      </c>
      <c r="B4987">
        <v>0.99999676499088797</v>
      </c>
      <c r="C4987">
        <v>1.0303573615745101</v>
      </c>
      <c r="D4987">
        <v>0.90525307838677105</v>
      </c>
      <c r="E4987">
        <v>0.31733449615998999</v>
      </c>
      <c r="F4987">
        <v>0.247161024351683</v>
      </c>
      <c r="G4987">
        <v>0.15613021249835801</v>
      </c>
      <c r="H4987">
        <v>8.6061682671034201E-2</v>
      </c>
      <c r="I4987">
        <v>9.19676440187773E-2</v>
      </c>
      <c r="J4987">
        <v>6.1153105710648997E-2</v>
      </c>
      <c r="K4987">
        <v>6.8476648785192995E-2</v>
      </c>
      <c r="L4987">
        <v>1855.6318983583401</v>
      </c>
      <c r="M4987">
        <v>38.428673104851299</v>
      </c>
      <c r="N4987">
        <v>48.602464481241803</v>
      </c>
      <c r="O4987">
        <v>48.157479263944197</v>
      </c>
      <c r="P4987">
        <v>-0.17751802182978199</v>
      </c>
      <c r="Q4987">
        <v>0.110164359303764</v>
      </c>
      <c r="R4987">
        <v>0.98542606177728498</v>
      </c>
      <c r="S4987" t="s">
        <v>11990</v>
      </c>
      <c r="T4987" t="s">
        <v>14004</v>
      </c>
      <c r="U4987" t="s">
        <v>14004</v>
      </c>
      <c r="V4987" t="s">
        <v>14004</v>
      </c>
      <c r="W4987" t="s">
        <v>18936</v>
      </c>
      <c r="X4987">
        <v>4</v>
      </c>
      <c r="Y4987" t="s">
        <v>25743</v>
      </c>
      <c r="Z4987" t="s">
        <v>32697</v>
      </c>
      <c r="AA4987">
        <v>0.3592163675251534</v>
      </c>
      <c r="AB4987" t="str">
        <f>HYPERLINK("Melting_Curves/meltCurve_Q8WTS6_SETD7.pdf", "Melting_Curves/meltCurve_Q8WTS6_SETD7.pdf")</f>
        <v>Melting_Curves/meltCurve_Q8WTS6_SETD7.pdf</v>
      </c>
    </row>
    <row r="4988" spans="1:28" x14ac:dyDescent="0.25">
      <c r="A4988" t="s">
        <v>4992</v>
      </c>
      <c r="B4988">
        <v>0.99999676499088797</v>
      </c>
      <c r="C4988">
        <v>1.03741339994744</v>
      </c>
      <c r="D4988">
        <v>0.71072255499043002</v>
      </c>
      <c r="E4988">
        <v>0.328660939054012</v>
      </c>
      <c r="F4988">
        <v>0.19375162022589101</v>
      </c>
      <c r="G4988">
        <v>0.116427949145836</v>
      </c>
      <c r="H4988">
        <v>5.3185153165326397E-2</v>
      </c>
      <c r="I4988">
        <v>5.9773181940438097E-2</v>
      </c>
      <c r="J4988">
        <v>6.9359993755562704E-2</v>
      </c>
      <c r="K4988">
        <v>4.1556442477876099E-2</v>
      </c>
      <c r="L4988">
        <v>1166.7023920809399</v>
      </c>
      <c r="M4988">
        <v>24.4026903942163</v>
      </c>
      <c r="N4988">
        <v>48.105264738474403</v>
      </c>
      <c r="O4988">
        <v>47.492800834347598</v>
      </c>
      <c r="P4988">
        <v>-0.119533482257572</v>
      </c>
      <c r="Q4988">
        <v>6.9463947673204698E-2</v>
      </c>
      <c r="R4988">
        <v>0.99006303362554304</v>
      </c>
      <c r="S4988" t="s">
        <v>11991</v>
      </c>
      <c r="T4988" t="s">
        <v>14004</v>
      </c>
      <c r="U4988" t="s">
        <v>14004</v>
      </c>
      <c r="V4988" t="s">
        <v>14004</v>
      </c>
      <c r="W4988" t="s">
        <v>18937</v>
      </c>
      <c r="X4988">
        <v>11</v>
      </c>
      <c r="Y4988" t="s">
        <v>25744</v>
      </c>
      <c r="Z4988" t="s">
        <v>32698</v>
      </c>
      <c r="AA4988">
        <v>0.32039308927019422</v>
      </c>
      <c r="AB4988" t="str">
        <f>HYPERLINK("Melting_Curves/meltCurve_Q8WTW3_COG1.pdf", "Melting_Curves/meltCurve_Q8WTW3_COG1.pdf")</f>
        <v>Melting_Curves/meltCurve_Q8WTW3_COG1.pdf</v>
      </c>
    </row>
    <row r="4989" spans="1:28" x14ac:dyDescent="0.25">
      <c r="A4989" t="s">
        <v>4993</v>
      </c>
      <c r="B4989">
        <v>0.99999676499088797</v>
      </c>
      <c r="C4989">
        <v>0.97259605362980694</v>
      </c>
      <c r="D4989">
        <v>0.86383205062292601</v>
      </c>
      <c r="E4989">
        <v>0.64788615121246595</v>
      </c>
      <c r="F4989">
        <v>0.28984681158204301</v>
      </c>
      <c r="G4989">
        <v>0.19617506651140501</v>
      </c>
      <c r="H4989">
        <v>8.9831177323458203E-2</v>
      </c>
      <c r="I4989">
        <v>7.4446607775066606E-2</v>
      </c>
      <c r="J4989">
        <v>7.5018272189009597E-2</v>
      </c>
      <c r="K4989">
        <v>4.5369135578524698E-2</v>
      </c>
      <c r="L4989">
        <v>965.829334843168</v>
      </c>
      <c r="M4989">
        <v>19.0688409979028</v>
      </c>
      <c r="N4989">
        <v>50.972690761007598</v>
      </c>
      <c r="O4989">
        <v>50.102443192289599</v>
      </c>
      <c r="P4989">
        <v>-8.9736593845795298E-2</v>
      </c>
      <c r="Q4989">
        <v>5.6923087912106297E-2</v>
      </c>
      <c r="R4989">
        <v>0.99737378766226104</v>
      </c>
      <c r="S4989" t="s">
        <v>11992</v>
      </c>
      <c r="T4989" t="s">
        <v>14004</v>
      </c>
      <c r="U4989" t="s">
        <v>14004</v>
      </c>
      <c r="V4989" t="s">
        <v>14004</v>
      </c>
      <c r="W4989" t="s">
        <v>18938</v>
      </c>
      <c r="X4989">
        <v>5</v>
      </c>
      <c r="Y4989" t="s">
        <v>25745</v>
      </c>
      <c r="Z4989" t="s">
        <v>32699</v>
      </c>
      <c r="AA4989">
        <v>0.40603888889017842</v>
      </c>
      <c r="AB4989" t="str">
        <f>HYPERLINK("Melting_Curves/meltCurve_Q8WU10_PYROXD1.pdf", "Melting_Curves/meltCurve_Q8WU10_PYROXD1.pdf")</f>
        <v>Melting_Curves/meltCurve_Q8WU10_PYROXD1.pdf</v>
      </c>
    </row>
    <row r="4990" spans="1:28" x14ac:dyDescent="0.25">
      <c r="A4990" t="s">
        <v>4994</v>
      </c>
      <c r="B4990">
        <v>0.99999676499088797</v>
      </c>
      <c r="C4990">
        <v>0.99967917851266497</v>
      </c>
      <c r="D4990">
        <v>0.90436644874763705</v>
      </c>
      <c r="E4990">
        <v>0.80311767633860198</v>
      </c>
      <c r="F4990">
        <v>0.75829837808010803</v>
      </c>
      <c r="G4990">
        <v>0.68468815078537704</v>
      </c>
      <c r="H4990">
        <v>0.45210258570289302</v>
      </c>
      <c r="I4990">
        <v>0.52013986768160303</v>
      </c>
      <c r="J4990">
        <v>0.375297627481612</v>
      </c>
      <c r="K4990">
        <v>0.33517195428540297</v>
      </c>
      <c r="L4990">
        <v>459.728248852344</v>
      </c>
      <c r="M4990">
        <v>7.7638092593059298</v>
      </c>
      <c r="N4990">
        <v>61.932409161592702</v>
      </c>
      <c r="O4990">
        <v>55.6706095235064</v>
      </c>
      <c r="P4990">
        <v>-2.9868885019922901E-2</v>
      </c>
      <c r="Q4990">
        <v>0.14437935407254299</v>
      </c>
      <c r="R4990">
        <v>0.97017708697639804</v>
      </c>
      <c r="S4990" t="s">
        <v>11993</v>
      </c>
      <c r="T4990" t="s">
        <v>14004</v>
      </c>
      <c r="U4990" t="s">
        <v>14004</v>
      </c>
      <c r="V4990" t="s">
        <v>14004</v>
      </c>
      <c r="W4990" t="s">
        <v>18939</v>
      </c>
      <c r="X4990">
        <v>14</v>
      </c>
      <c r="Y4990" t="s">
        <v>25746</v>
      </c>
      <c r="Z4990" t="s">
        <v>32700</v>
      </c>
      <c r="AA4990">
        <v>0.68473794950072719</v>
      </c>
      <c r="AB4990" t="str">
        <f>HYPERLINK("Melting_Curves/meltCurve_Q8WU39_MZB1.pdf", "Melting_Curves/meltCurve_Q8WU39_MZB1.pdf")</f>
        <v>Melting_Curves/meltCurve_Q8WU39_MZB1.pdf</v>
      </c>
    </row>
    <row r="4991" spans="1:28" x14ac:dyDescent="0.25">
      <c r="A4991" t="s">
        <v>4995</v>
      </c>
      <c r="B4991">
        <v>0.99999676499088797</v>
      </c>
      <c r="C4991">
        <v>1.06488549714817</v>
      </c>
      <c r="D4991">
        <v>0.97300879014055597</v>
      </c>
      <c r="E4991">
        <v>0.71254611332413098</v>
      </c>
      <c r="F4991">
        <v>0.39609235439699803</v>
      </c>
      <c r="G4991">
        <v>0.227953159914213</v>
      </c>
      <c r="H4991">
        <v>0.13648672103374501</v>
      </c>
      <c r="I4991">
        <v>0.105252213806353</v>
      </c>
      <c r="J4991">
        <v>0.102108251054773</v>
      </c>
      <c r="K4991">
        <v>7.6437341142529494E-2</v>
      </c>
      <c r="L4991">
        <v>1134.0430459906299</v>
      </c>
      <c r="M4991">
        <v>21.9886631094408</v>
      </c>
      <c r="N4991">
        <v>52.079517390022197</v>
      </c>
      <c r="O4991">
        <v>51.1531137968663</v>
      </c>
      <c r="P4991">
        <v>-9.7139560730333904E-2</v>
      </c>
      <c r="Q4991">
        <v>9.6101607645386E-2</v>
      </c>
      <c r="R4991">
        <v>0.99450658530021996</v>
      </c>
      <c r="S4991" t="s">
        <v>11994</v>
      </c>
      <c r="T4991" t="s">
        <v>14004</v>
      </c>
      <c r="U4991" t="s">
        <v>14004</v>
      </c>
      <c r="V4991" t="s">
        <v>14004</v>
      </c>
      <c r="W4991" t="s">
        <v>18940</v>
      </c>
      <c r="X4991">
        <v>7</v>
      </c>
      <c r="Y4991" t="s">
        <v>25747</v>
      </c>
      <c r="Z4991" t="s">
        <v>32701</v>
      </c>
      <c r="AA4991">
        <v>0.45533164827281369</v>
      </c>
      <c r="AB4991" t="str">
        <f>HYPERLINK("Melting_Curves/meltCurve_Q8WU76_2_SCFD2.pdf", "Melting_Curves/meltCurve_Q8WU76_2_SCFD2.pdf")</f>
        <v>Melting_Curves/meltCurve_Q8WU76_2_SCFD2.pdf</v>
      </c>
    </row>
    <row r="4992" spans="1:28" x14ac:dyDescent="0.25">
      <c r="A4992" t="s">
        <v>4996</v>
      </c>
      <c r="B4992">
        <v>0.99999676499088797</v>
      </c>
      <c r="C4992">
        <v>1.1187574658911701</v>
      </c>
      <c r="D4992">
        <v>0.88958951199999803</v>
      </c>
      <c r="E4992">
        <v>0.36406009176472898</v>
      </c>
      <c r="F4992">
        <v>0.195339793480202</v>
      </c>
      <c r="G4992">
        <v>0.15978550979772899</v>
      </c>
      <c r="H4992">
        <v>0.101795048121298</v>
      </c>
      <c r="I4992">
        <v>0.11844869015914999</v>
      </c>
      <c r="J4992">
        <v>0.109856329365089</v>
      </c>
      <c r="K4992">
        <v>0.103382706483007</v>
      </c>
      <c r="L4992">
        <v>1852.1702244974599</v>
      </c>
      <c r="M4992">
        <v>38.272657758083398</v>
      </c>
      <c r="N4992">
        <v>48.761244009005402</v>
      </c>
      <c r="O4992">
        <v>48.262536074993399</v>
      </c>
      <c r="P4992">
        <v>-0.17343405497103601</v>
      </c>
      <c r="Q4992">
        <v>0.125187939909915</v>
      </c>
      <c r="R4992">
        <v>0.98714729276367696</v>
      </c>
      <c r="S4992" t="s">
        <v>11995</v>
      </c>
      <c r="T4992" t="s">
        <v>14004</v>
      </c>
      <c r="U4992" t="s">
        <v>14004</v>
      </c>
      <c r="V4992" t="s">
        <v>14004</v>
      </c>
      <c r="W4992" t="s">
        <v>18941</v>
      </c>
      <c r="X4992">
        <v>6</v>
      </c>
      <c r="Y4992" t="s">
        <v>25748</v>
      </c>
      <c r="Z4992" t="s">
        <v>32702</v>
      </c>
      <c r="AA4992">
        <v>0.37317007877873087</v>
      </c>
      <c r="AB4992" t="str">
        <f>HYPERLINK("Melting_Curves/meltCurve_Q8WU79_SMAP2.pdf", "Melting_Curves/meltCurve_Q8WU79_SMAP2.pdf")</f>
        <v>Melting_Curves/meltCurve_Q8WU79_SMAP2.pdf</v>
      </c>
    </row>
    <row r="4993" spans="1:28" x14ac:dyDescent="0.25">
      <c r="A4993" t="s">
        <v>4997</v>
      </c>
      <c r="B4993">
        <v>0.99999676499088797</v>
      </c>
      <c r="C4993">
        <v>0.95278508657773098</v>
      </c>
      <c r="D4993">
        <v>1.0384169766159901</v>
      </c>
      <c r="E4993">
        <v>1.0498929561877901</v>
      </c>
      <c r="F4993">
        <v>0.848454128787412</v>
      </c>
      <c r="G4993">
        <v>0.51263627069354401</v>
      </c>
      <c r="H4993">
        <v>0.273750712033344</v>
      </c>
      <c r="I4993">
        <v>0.21980498118198299</v>
      </c>
      <c r="J4993">
        <v>0.23327683282028</v>
      </c>
      <c r="K4993">
        <v>0.29011647735596602</v>
      </c>
      <c r="L4993">
        <v>1891.4038773566999</v>
      </c>
      <c r="M4993">
        <v>33.970963740277398</v>
      </c>
      <c r="N4993">
        <v>56.7882403079645</v>
      </c>
      <c r="O4993">
        <v>55.485206151751299</v>
      </c>
      <c r="P4993">
        <v>-0.115901757953454</v>
      </c>
      <c r="Q4993">
        <v>0.242787867699501</v>
      </c>
      <c r="R4993">
        <v>0.99038290286245301</v>
      </c>
      <c r="S4993" t="s">
        <v>11996</v>
      </c>
      <c r="T4993" t="s">
        <v>14004</v>
      </c>
      <c r="U4993" t="s">
        <v>14004</v>
      </c>
      <c r="V4993" t="s">
        <v>14004</v>
      </c>
      <c r="W4993" t="s">
        <v>18942</v>
      </c>
      <c r="X4993">
        <v>15</v>
      </c>
      <c r="Y4993" t="s">
        <v>25749</v>
      </c>
      <c r="Z4993" t="s">
        <v>32703</v>
      </c>
      <c r="AA4993">
        <v>0.64247131988046202</v>
      </c>
      <c r="AB4993" t="str">
        <f>HYPERLINK("Melting_Curves/meltCurve_Q8WU90_ZC3H15.pdf", "Melting_Curves/meltCurve_Q8WU90_ZC3H15.pdf")</f>
        <v>Melting_Curves/meltCurve_Q8WU90_ZC3H15.pdf</v>
      </c>
    </row>
    <row r="4994" spans="1:28" x14ac:dyDescent="0.25">
      <c r="A4994" t="s">
        <v>4998</v>
      </c>
      <c r="B4994">
        <v>0.99999676499088797</v>
      </c>
      <c r="C4994">
        <v>0.91320666202311696</v>
      </c>
      <c r="D4994">
        <v>0.81804075248507302</v>
      </c>
      <c r="E4994">
        <v>0.56489338833481495</v>
      </c>
      <c r="F4994">
        <v>0.253954346959538</v>
      </c>
      <c r="G4994">
        <v>0.151547792103262</v>
      </c>
      <c r="H4994">
        <v>7.0087934209427397E-2</v>
      </c>
      <c r="I4994">
        <v>7.4954710079169803E-2</v>
      </c>
      <c r="J4994">
        <v>7.9078657662616E-2</v>
      </c>
      <c r="K4994">
        <v>6.3236356132649704E-2</v>
      </c>
      <c r="L4994">
        <v>895.80916793210497</v>
      </c>
      <c r="M4994">
        <v>18.013741315672</v>
      </c>
      <c r="N4994">
        <v>50.053212955002301</v>
      </c>
      <c r="O4994">
        <v>49.128511094050197</v>
      </c>
      <c r="P4994">
        <v>-8.6626132927092106E-2</v>
      </c>
      <c r="Q4994">
        <v>5.5031708291991797E-2</v>
      </c>
      <c r="R4994">
        <v>0.99748568076301003</v>
      </c>
      <c r="S4994" t="s">
        <v>11997</v>
      </c>
      <c r="T4994" t="s">
        <v>14004</v>
      </c>
      <c r="U4994" t="s">
        <v>14004</v>
      </c>
      <c r="V4994" t="s">
        <v>14004</v>
      </c>
      <c r="W4994" t="s">
        <v>18943</v>
      </c>
      <c r="X4994">
        <v>17</v>
      </c>
      <c r="Y4994" t="s">
        <v>25750</v>
      </c>
      <c r="Z4994" t="s">
        <v>32704</v>
      </c>
      <c r="AA4994">
        <v>0.37764233876719677</v>
      </c>
      <c r="AB4994" t="str">
        <f>HYPERLINK("Melting_Curves/meltCurve_Q8WUA2_PPIL4.pdf", "Melting_Curves/meltCurve_Q8WUA2_PPIL4.pdf")</f>
        <v>Melting_Curves/meltCurve_Q8WUA2_PPIL4.pdf</v>
      </c>
    </row>
    <row r="4995" spans="1:28" x14ac:dyDescent="0.25">
      <c r="A4995" t="s">
        <v>4999</v>
      </c>
      <c r="B4995">
        <v>0.99999676499088797</v>
      </c>
      <c r="C4995">
        <v>0.95837841064667795</v>
      </c>
      <c r="D4995">
        <v>0.81235025206802702</v>
      </c>
      <c r="E4995">
        <v>0.63747808134016803</v>
      </c>
      <c r="F4995">
        <v>0.55438030314296405</v>
      </c>
      <c r="G4995">
        <v>0.40868988938411099</v>
      </c>
      <c r="H4995">
        <v>0.15292614070473501</v>
      </c>
      <c r="I4995">
        <v>0.17117290786560499</v>
      </c>
      <c r="J4995">
        <v>0.12739284018240199</v>
      </c>
      <c r="K4995">
        <v>0.112715311297552</v>
      </c>
      <c r="L4995">
        <v>549.27522644203998</v>
      </c>
      <c r="M4995">
        <v>10.3149180730117</v>
      </c>
      <c r="N4995">
        <v>53.451199947885797</v>
      </c>
      <c r="O4995">
        <v>51.365649422500397</v>
      </c>
      <c r="P4995">
        <v>-4.9271337253794303E-2</v>
      </c>
      <c r="Q4995">
        <v>1.8989198667808599E-2</v>
      </c>
      <c r="R4995">
        <v>0.98514868249964604</v>
      </c>
      <c r="S4995" t="s">
        <v>11998</v>
      </c>
      <c r="T4995" t="s">
        <v>14004</v>
      </c>
      <c r="U4995" t="s">
        <v>14004</v>
      </c>
      <c r="V4995" t="s">
        <v>14004</v>
      </c>
      <c r="W4995" t="s">
        <v>18944</v>
      </c>
      <c r="X4995">
        <v>1</v>
      </c>
      <c r="Y4995" t="s">
        <v>25751</v>
      </c>
      <c r="Z4995" t="s">
        <v>32705</v>
      </c>
      <c r="AA4995">
        <v>0.48402583287199491</v>
      </c>
      <c r="AB4995" t="str">
        <f>HYPERLINK("Melting_Curves/meltCurve_Q8WUA8_TSKU.pdf", "Melting_Curves/meltCurve_Q8WUA8_TSKU.pdf")</f>
        <v>Melting_Curves/meltCurve_Q8WUA8_TSKU.pdf</v>
      </c>
    </row>
    <row r="4996" spans="1:28" x14ac:dyDescent="0.25">
      <c r="A4996" t="s">
        <v>5000</v>
      </c>
      <c r="B4996">
        <v>0.99999676499088797</v>
      </c>
      <c r="C4996">
        <v>1.0771614557651099</v>
      </c>
      <c r="D4996">
        <v>0.80917531124084097</v>
      </c>
      <c r="E4996">
        <v>0.45590038513491599</v>
      </c>
      <c r="F4996">
        <v>0.185149865749519</v>
      </c>
      <c r="G4996">
        <v>0.123133377689923</v>
      </c>
      <c r="H4996">
        <v>7.4085938809645702E-2</v>
      </c>
      <c r="I4996">
        <v>9.4608732629602996E-2</v>
      </c>
      <c r="J4996">
        <v>8.4028795727366601E-2</v>
      </c>
      <c r="K4996">
        <v>0.101665725037714</v>
      </c>
      <c r="L4996">
        <v>1277.3485146363701</v>
      </c>
      <c r="M4996">
        <v>26.188702557537699</v>
      </c>
      <c r="N4996">
        <v>49.148486046103798</v>
      </c>
      <c r="O4996">
        <v>48.493067254483002</v>
      </c>
      <c r="P4996">
        <v>-0.122825750279456</v>
      </c>
      <c r="Q4996">
        <v>9.0274879342507497E-2</v>
      </c>
      <c r="R4996">
        <v>0.99171737001596505</v>
      </c>
      <c r="S4996" t="s">
        <v>11999</v>
      </c>
      <c r="T4996" t="s">
        <v>14004</v>
      </c>
      <c r="U4996" t="s">
        <v>14004</v>
      </c>
      <c r="V4996" t="s">
        <v>14004</v>
      </c>
      <c r="W4996" t="s">
        <v>18945</v>
      </c>
      <c r="X4996">
        <v>9</v>
      </c>
      <c r="Y4996" t="s">
        <v>25752</v>
      </c>
      <c r="Z4996" t="s">
        <v>32706</v>
      </c>
      <c r="AA4996">
        <v>0.36367537349043888</v>
      </c>
      <c r="AB4996" t="str">
        <f>HYPERLINK("Melting_Curves/meltCurve_Q8WUB8_3_PHF10.pdf", "Melting_Curves/meltCurve_Q8WUB8_3_PHF10.pdf")</f>
        <v>Melting_Curves/meltCurve_Q8WUB8_3_PHF10.pdf</v>
      </c>
    </row>
    <row r="4997" spans="1:28" x14ac:dyDescent="0.25">
      <c r="A4997" t="s">
        <v>5001</v>
      </c>
      <c r="B4997">
        <v>0.99999676499088797</v>
      </c>
      <c r="C4997">
        <v>1.11065485784767</v>
      </c>
      <c r="D4997">
        <v>0.98426753327767103</v>
      </c>
      <c r="E4997">
        <v>0.71826036524481396</v>
      </c>
      <c r="F4997">
        <v>0.70268526598889403</v>
      </c>
      <c r="G4997">
        <v>0.67266151537390395</v>
      </c>
      <c r="H4997">
        <v>0.43662344574379502</v>
      </c>
      <c r="I4997">
        <v>0.48774697772855002</v>
      </c>
      <c r="J4997">
        <v>0.25340674285388098</v>
      </c>
      <c r="K4997">
        <v>0.106082959314187</v>
      </c>
      <c r="L4997">
        <v>529.66820148421198</v>
      </c>
      <c r="M4997">
        <v>8.8750727956904907</v>
      </c>
      <c r="N4997">
        <v>59.6804331882702</v>
      </c>
      <c r="O4997">
        <v>56.883555248788298</v>
      </c>
      <c r="P4997">
        <v>-3.9035306311334901E-2</v>
      </c>
      <c r="Q4997">
        <v>0</v>
      </c>
      <c r="R4997">
        <v>0.92030620195893698</v>
      </c>
      <c r="S4997" t="s">
        <v>12000</v>
      </c>
      <c r="T4997" t="s">
        <v>14004</v>
      </c>
      <c r="U4997" t="s">
        <v>14004</v>
      </c>
      <c r="V4997" t="s">
        <v>14004</v>
      </c>
      <c r="W4997" t="s">
        <v>18946</v>
      </c>
      <c r="X4997">
        <v>16</v>
      </c>
      <c r="Y4997" t="s">
        <v>25753</v>
      </c>
      <c r="Z4997" t="s">
        <v>32707</v>
      </c>
      <c r="AA4997">
        <v>0.64933331861651788</v>
      </c>
      <c r="AB4997" t="str">
        <f>HYPERLINK("Melting_Curves/meltCurve_Q8WUD1_RAB2B.pdf", "Melting_Curves/meltCurve_Q8WUD1_RAB2B.pdf")</f>
        <v>Melting_Curves/meltCurve_Q8WUD1_RAB2B.pdf</v>
      </c>
    </row>
    <row r="4998" spans="1:28" x14ac:dyDescent="0.25">
      <c r="A4998" t="s">
        <v>5002</v>
      </c>
      <c r="B4998">
        <v>0.99999676499088797</v>
      </c>
      <c r="C4998">
        <v>0.96523803509376405</v>
      </c>
      <c r="D4998">
        <v>0.87059266459961504</v>
      </c>
      <c r="E4998">
        <v>0.676846325437783</v>
      </c>
      <c r="F4998">
        <v>0.51993647797751996</v>
      </c>
      <c r="G4998">
        <v>0.27262626990666999</v>
      </c>
      <c r="H4998">
        <v>0.10777247882577699</v>
      </c>
      <c r="I4998">
        <v>0.14537489098307399</v>
      </c>
      <c r="J4998">
        <v>0.116556121306265</v>
      </c>
      <c r="K4998">
        <v>0.12953907521323901</v>
      </c>
      <c r="L4998">
        <v>779.23864498356295</v>
      </c>
      <c r="M4998">
        <v>14.9799973944314</v>
      </c>
      <c r="N4998">
        <v>52.634912898080103</v>
      </c>
      <c r="O4998">
        <v>51.118001321933498</v>
      </c>
      <c r="P4998">
        <v>-6.7375536125437396E-2</v>
      </c>
      <c r="Q4998">
        <v>8.04396243246151E-2</v>
      </c>
      <c r="R4998">
        <v>0.99216815279634696</v>
      </c>
      <c r="S4998" t="s">
        <v>12001</v>
      </c>
      <c r="T4998" t="s">
        <v>14004</v>
      </c>
      <c r="U4998" t="s">
        <v>14004</v>
      </c>
      <c r="V4998" t="s">
        <v>14004</v>
      </c>
      <c r="W4998" t="s">
        <v>18947</v>
      </c>
      <c r="X4998">
        <v>4</v>
      </c>
      <c r="Y4998" t="s">
        <v>25754</v>
      </c>
      <c r="Z4998" t="s">
        <v>32708</v>
      </c>
      <c r="AA4998">
        <v>0.46942092525716811</v>
      </c>
      <c r="AB4998" t="str">
        <f>HYPERLINK("Melting_Curves/meltCurve_Q8WUF5_PPP1R13L.pdf", "Melting_Curves/meltCurve_Q8WUF5_PPP1R13L.pdf")</f>
        <v>Melting_Curves/meltCurve_Q8WUF5_PPP1R13L.pdf</v>
      </c>
    </row>
    <row r="4999" spans="1:28" x14ac:dyDescent="0.25">
      <c r="A4999" t="s">
        <v>5003</v>
      </c>
      <c r="B4999">
        <v>0.99999676499088797</v>
      </c>
      <c r="C4999">
        <v>0.83821081603113201</v>
      </c>
      <c r="D4999">
        <v>0.85184664223600703</v>
      </c>
      <c r="E4999">
        <v>0.784299310044549</v>
      </c>
      <c r="F4999">
        <v>0.54020935835836703</v>
      </c>
      <c r="G4999">
        <v>0.31941759907788703</v>
      </c>
      <c r="H4999">
        <v>0.17902489113993</v>
      </c>
      <c r="I4999">
        <v>0.14207505550048799</v>
      </c>
      <c r="J4999">
        <v>9.1601011459659806E-2</v>
      </c>
      <c r="K4999">
        <v>0.116830662672115</v>
      </c>
      <c r="L4999">
        <v>636.69708325665999</v>
      </c>
      <c r="M4999">
        <v>11.9218154372378</v>
      </c>
      <c r="N4999">
        <v>53.629856134744202</v>
      </c>
      <c r="O4999">
        <v>51.969926144222299</v>
      </c>
      <c r="P4999">
        <v>-5.59717002770189E-2</v>
      </c>
      <c r="Q4999">
        <v>2.42673673298404E-2</v>
      </c>
      <c r="R4999">
        <v>0.98180843491113801</v>
      </c>
      <c r="S4999" t="s">
        <v>12002</v>
      </c>
      <c r="T4999" t="s">
        <v>14004</v>
      </c>
      <c r="U4999" t="s">
        <v>14004</v>
      </c>
      <c r="V4999" t="s">
        <v>14004</v>
      </c>
      <c r="W4999" t="s">
        <v>18948</v>
      </c>
      <c r="X4999">
        <v>5</v>
      </c>
      <c r="Y4999" t="s">
        <v>25755</v>
      </c>
      <c r="Z4999" t="s">
        <v>32709</v>
      </c>
      <c r="AA4999">
        <v>0.48735317846834753</v>
      </c>
      <c r="AB4999" t="str">
        <f>HYPERLINK("Melting_Curves/meltCurve_Q8WUF8_3_FAM172A.pdf", "Melting_Curves/meltCurve_Q8WUF8_3_FAM172A.pdf")</f>
        <v>Melting_Curves/meltCurve_Q8WUF8_3_FAM172A.pdf</v>
      </c>
    </row>
    <row r="5000" spans="1:28" x14ac:dyDescent="0.25">
      <c r="A5000" t="s">
        <v>5004</v>
      </c>
      <c r="B5000">
        <v>0.99999676499088797</v>
      </c>
      <c r="C5000">
        <v>0.94081492810865097</v>
      </c>
      <c r="D5000">
        <v>0.95231734173635496</v>
      </c>
      <c r="E5000">
        <v>0.94399732576279805</v>
      </c>
      <c r="F5000">
        <v>0.96296525124025401</v>
      </c>
      <c r="G5000">
        <v>0.52902697432988199</v>
      </c>
      <c r="H5000">
        <v>0.21269522451533199</v>
      </c>
      <c r="I5000">
        <v>0.16479269000115099</v>
      </c>
      <c r="J5000">
        <v>0.164042548196038</v>
      </c>
      <c r="K5000">
        <v>0.126254372189715</v>
      </c>
      <c r="L5000">
        <v>2381.3518343890501</v>
      </c>
      <c r="M5000">
        <v>42.1156975399008</v>
      </c>
      <c r="N5000">
        <v>57.039914576946202</v>
      </c>
      <c r="O5000">
        <v>56.416058883728098</v>
      </c>
      <c r="P5000">
        <v>-0.15797649914540701</v>
      </c>
      <c r="Q5000">
        <v>0.153532107202936</v>
      </c>
      <c r="R5000">
        <v>0.99273962209018396</v>
      </c>
      <c r="S5000" t="s">
        <v>12003</v>
      </c>
      <c r="T5000" t="s">
        <v>14004</v>
      </c>
      <c r="U5000" t="s">
        <v>14004</v>
      </c>
      <c r="V5000" t="s">
        <v>14004</v>
      </c>
      <c r="W5000" t="s">
        <v>18949</v>
      </c>
      <c r="X5000">
        <v>6</v>
      </c>
      <c r="Y5000" t="s">
        <v>25756</v>
      </c>
      <c r="Z5000" t="s">
        <v>32710</v>
      </c>
      <c r="AA5000">
        <v>0.62326910505579858</v>
      </c>
      <c r="AB5000" t="str">
        <f>HYPERLINK("Melting_Curves/meltCurve_Q8WUH1_CHURC1.pdf", "Melting_Curves/meltCurve_Q8WUH1_CHURC1.pdf")</f>
        <v>Melting_Curves/meltCurve_Q8WUH1_CHURC1.pdf</v>
      </c>
    </row>
    <row r="5001" spans="1:28" x14ac:dyDescent="0.25">
      <c r="A5001" t="s">
        <v>5005</v>
      </c>
      <c r="B5001">
        <v>0.99999676499088797</v>
      </c>
      <c r="C5001">
        <v>0.87705946884585795</v>
      </c>
      <c r="D5001">
        <v>0.679120810477577</v>
      </c>
      <c r="E5001">
        <v>0.32726262683826601</v>
      </c>
      <c r="F5001">
        <v>0.22472348138735801</v>
      </c>
      <c r="G5001">
        <v>0.10948878257710799</v>
      </c>
      <c r="H5001">
        <v>5.5579319887512801E-2</v>
      </c>
      <c r="I5001">
        <v>5.9570548572268997E-2</v>
      </c>
      <c r="J5001">
        <v>7.0579985348857704E-2</v>
      </c>
      <c r="K5001">
        <v>2.2751539663218901E-2</v>
      </c>
      <c r="L5001">
        <v>838.32952352906</v>
      </c>
      <c r="M5001">
        <v>17.596690967857899</v>
      </c>
      <c r="N5001">
        <v>47.919674767474298</v>
      </c>
      <c r="O5001">
        <v>47.038816304469201</v>
      </c>
      <c r="P5001">
        <v>-8.8983391479857704E-2</v>
      </c>
      <c r="Q5001">
        <v>4.8583109711918197E-2</v>
      </c>
      <c r="R5001">
        <v>0.99512151324661002</v>
      </c>
      <c r="S5001" t="s">
        <v>12004</v>
      </c>
      <c r="T5001" t="s">
        <v>14004</v>
      </c>
      <c r="U5001" t="s">
        <v>14004</v>
      </c>
      <c r="V5001" t="s">
        <v>14004</v>
      </c>
      <c r="W5001" t="s">
        <v>18950</v>
      </c>
      <c r="X5001">
        <v>6</v>
      </c>
      <c r="Y5001" t="s">
        <v>25757</v>
      </c>
      <c r="Z5001" t="s">
        <v>32711</v>
      </c>
      <c r="AA5001">
        <v>0.30884085776259612</v>
      </c>
      <c r="AB5001" t="str">
        <f>HYPERLINK("Melting_Curves/meltCurve_Q8WUH2_TGFBRAP1.pdf", "Melting_Curves/meltCurve_Q8WUH2_TGFBRAP1.pdf")</f>
        <v>Melting_Curves/meltCurve_Q8WUH2_TGFBRAP1.pdf</v>
      </c>
    </row>
    <row r="5002" spans="1:28" x14ac:dyDescent="0.25">
      <c r="A5002" t="s">
        <v>5006</v>
      </c>
      <c r="B5002">
        <v>0.99999676499088797</v>
      </c>
      <c r="C5002">
        <v>0.82540109845229903</v>
      </c>
      <c r="D5002">
        <v>0.59789195626768799</v>
      </c>
      <c r="E5002">
        <v>0.30963086067141699</v>
      </c>
      <c r="F5002">
        <v>0.21204454014827001</v>
      </c>
      <c r="G5002">
        <v>0.15265114740997801</v>
      </c>
      <c r="H5002">
        <v>9.3816353400535596E-2</v>
      </c>
      <c r="I5002">
        <v>9.1697056959197595E-2</v>
      </c>
      <c r="J5002">
        <v>9.5259204515572099E-2</v>
      </c>
      <c r="K5002">
        <v>0.107825389497316</v>
      </c>
      <c r="L5002">
        <v>836.96084268488198</v>
      </c>
      <c r="M5002">
        <v>17.977394370892</v>
      </c>
      <c r="N5002">
        <v>47.134427997026002</v>
      </c>
      <c r="O5002">
        <v>45.991688794441103</v>
      </c>
      <c r="P5002">
        <v>-8.8056451558452098E-2</v>
      </c>
      <c r="Q5002">
        <v>9.8943041408490598E-2</v>
      </c>
      <c r="R5002">
        <v>0.99594339188612402</v>
      </c>
      <c r="S5002" t="s">
        <v>12005</v>
      </c>
      <c r="T5002" t="s">
        <v>14004</v>
      </c>
      <c r="U5002" t="s">
        <v>14004</v>
      </c>
      <c r="V5002" t="s">
        <v>14004</v>
      </c>
      <c r="W5002" t="s">
        <v>18951</v>
      </c>
      <c r="X5002">
        <v>5</v>
      </c>
      <c r="Y5002" t="s">
        <v>25758</v>
      </c>
      <c r="Z5002" t="s">
        <v>32712</v>
      </c>
      <c r="AA5002">
        <v>0.31294147019379681</v>
      </c>
      <c r="AB5002" t="str">
        <f>HYPERLINK("Melting_Curves/meltCurve_Q8WUH6_C12orf23.pdf", "Melting_Curves/meltCurve_Q8WUH6_C12orf23.pdf")</f>
        <v>Melting_Curves/meltCurve_Q8WUH6_C12orf23.pdf</v>
      </c>
    </row>
    <row r="5003" spans="1:28" x14ac:dyDescent="0.25">
      <c r="A5003" t="s">
        <v>5007</v>
      </c>
      <c r="B5003">
        <v>0.99999676499088797</v>
      </c>
      <c r="C5003">
        <v>1.0414366381545901</v>
      </c>
      <c r="D5003">
        <v>0.93632056980062595</v>
      </c>
      <c r="E5003">
        <v>0.90174361567933903</v>
      </c>
      <c r="F5003">
        <v>0.72550582156474996</v>
      </c>
      <c r="G5003">
        <v>0.40146624475710202</v>
      </c>
      <c r="H5003">
        <v>0.19705715116436801</v>
      </c>
      <c r="I5003">
        <v>0.11475925080009799</v>
      </c>
      <c r="J5003">
        <v>0.12912295269371099</v>
      </c>
      <c r="K5003">
        <v>9.1610019579157403E-2</v>
      </c>
      <c r="L5003">
        <v>1138.2262061015001</v>
      </c>
      <c r="M5003">
        <v>20.6409496776248</v>
      </c>
      <c r="N5003">
        <v>55.633966212321901</v>
      </c>
      <c r="O5003">
        <v>54.634314345041197</v>
      </c>
      <c r="P5003">
        <v>-8.6604460200197894E-2</v>
      </c>
      <c r="Q5003">
        <v>8.3096588649219205E-2</v>
      </c>
      <c r="R5003">
        <v>0.99603363695906899</v>
      </c>
      <c r="S5003" t="s">
        <v>12006</v>
      </c>
      <c r="T5003" t="s">
        <v>14004</v>
      </c>
      <c r="U5003" t="s">
        <v>14004</v>
      </c>
      <c r="V5003" t="s">
        <v>14004</v>
      </c>
      <c r="W5003" t="s">
        <v>18952</v>
      </c>
      <c r="X5003">
        <v>8</v>
      </c>
      <c r="Y5003" t="s">
        <v>25759</v>
      </c>
      <c r="Z5003" t="s">
        <v>32713</v>
      </c>
      <c r="AA5003">
        <v>0.55755073125057519</v>
      </c>
      <c r="AB5003" t="str">
        <f>HYPERLINK("Melting_Curves/meltCurve_Q8WUI4_3_HDAC7.pdf", "Melting_Curves/meltCurve_Q8WUI4_3_HDAC7.pdf")</f>
        <v>Melting_Curves/meltCurve_Q8WUI4_3_HDAC7.pdf</v>
      </c>
    </row>
    <row r="5004" spans="1:28" x14ac:dyDescent="0.25">
      <c r="A5004" t="s">
        <v>5008</v>
      </c>
      <c r="B5004">
        <v>0.99999676499088797</v>
      </c>
      <c r="C5004">
        <v>0.89309744124867296</v>
      </c>
      <c r="D5004">
        <v>0.91129891476942004</v>
      </c>
      <c r="E5004">
        <v>0.79166041891969996</v>
      </c>
      <c r="F5004">
        <v>0.21211594628064301</v>
      </c>
      <c r="G5004">
        <v>0.14392787734451401</v>
      </c>
      <c r="H5004">
        <v>6.5351181290727201E-2</v>
      </c>
      <c r="I5004">
        <v>4.0355168201762902E-2</v>
      </c>
      <c r="J5004">
        <v>4.4925704793453598E-2</v>
      </c>
      <c r="K5004">
        <v>4.81123811148709E-2</v>
      </c>
      <c r="L5004">
        <v>1874.96679716532</v>
      </c>
      <c r="M5004">
        <v>36.678139713949001</v>
      </c>
      <c r="N5004">
        <v>51.295551429740797</v>
      </c>
      <c r="O5004">
        <v>50.968214752955298</v>
      </c>
      <c r="P5004">
        <v>-0.169265424718886</v>
      </c>
      <c r="Q5004">
        <v>5.9152777928153003E-2</v>
      </c>
      <c r="R5004">
        <v>0.98608748257013401</v>
      </c>
      <c r="S5004" t="s">
        <v>12007</v>
      </c>
      <c r="T5004" t="s">
        <v>14004</v>
      </c>
      <c r="U5004" t="s">
        <v>14004</v>
      </c>
      <c r="V5004" t="s">
        <v>14004</v>
      </c>
      <c r="W5004" t="s">
        <v>18953</v>
      </c>
      <c r="X5004">
        <v>3</v>
      </c>
      <c r="Y5004" t="s">
        <v>25760</v>
      </c>
      <c r="Z5004" t="s">
        <v>32714</v>
      </c>
      <c r="AA5004">
        <v>0.41183490377280613</v>
      </c>
      <c r="AB5004" t="str">
        <f>HYPERLINK("Melting_Curves/meltCurve_Q8WUJ0_STYX.pdf", "Melting_Curves/meltCurve_Q8WUJ0_STYX.pdf")</f>
        <v>Melting_Curves/meltCurve_Q8WUJ0_STYX.pdf</v>
      </c>
    </row>
    <row r="5005" spans="1:28" x14ac:dyDescent="0.25">
      <c r="A5005" t="s">
        <v>5009</v>
      </c>
      <c r="B5005">
        <v>0.99999676499088797</v>
      </c>
      <c r="C5005">
        <v>0.98129087830753903</v>
      </c>
      <c r="D5005">
        <v>0.94813755092594498</v>
      </c>
      <c r="E5005">
        <v>0.98684761007664301</v>
      </c>
      <c r="F5005">
        <v>0.30457755343883097</v>
      </c>
      <c r="G5005">
        <v>0.20965873232195101</v>
      </c>
      <c r="H5005">
        <v>9.2872282650082502E-2</v>
      </c>
      <c r="I5005">
        <v>8.73618288097361E-2</v>
      </c>
      <c r="J5005">
        <v>7.8317566413257197E-2</v>
      </c>
      <c r="K5005">
        <v>5.9501814029501499E-2</v>
      </c>
      <c r="L5005">
        <v>3383.07539442507</v>
      </c>
      <c r="M5005">
        <v>64.797460164974794</v>
      </c>
      <c r="N5005">
        <v>52.397955154938401</v>
      </c>
      <c r="O5005">
        <v>52.160339794987898</v>
      </c>
      <c r="P5005">
        <v>-0.27836494225429498</v>
      </c>
      <c r="Q5005">
        <v>0.10369292001361299</v>
      </c>
      <c r="R5005">
        <v>0.99052102103776696</v>
      </c>
      <c r="S5005" t="s">
        <v>12008</v>
      </c>
      <c r="T5005" t="s">
        <v>14004</v>
      </c>
      <c r="U5005" t="s">
        <v>14004</v>
      </c>
      <c r="V5005" t="s">
        <v>14004</v>
      </c>
      <c r="W5005" t="s">
        <v>18954</v>
      </c>
      <c r="X5005">
        <v>15</v>
      </c>
      <c r="Y5005" t="s">
        <v>25761</v>
      </c>
      <c r="Z5005" t="s">
        <v>32715</v>
      </c>
      <c r="AA5005">
        <v>0.4697161773375631</v>
      </c>
      <c r="AB5005" t="str">
        <f>HYPERLINK("Melting_Curves/meltCurve_Q8WUM0_NUP133.pdf", "Melting_Curves/meltCurve_Q8WUM0_NUP133.pdf")</f>
        <v>Melting_Curves/meltCurve_Q8WUM0_NUP133.pdf</v>
      </c>
    </row>
    <row r="5006" spans="1:28" x14ac:dyDescent="0.25">
      <c r="A5006" t="s">
        <v>5010</v>
      </c>
      <c r="B5006">
        <v>0.99999676499088797</v>
      </c>
      <c r="C5006">
        <v>0.93946869037105896</v>
      </c>
      <c r="D5006">
        <v>0.82323754769907098</v>
      </c>
      <c r="E5006">
        <v>0.22966259705008801</v>
      </c>
      <c r="F5006">
        <v>0.17662239865704801</v>
      </c>
      <c r="G5006">
        <v>0.10711394637468299</v>
      </c>
      <c r="H5006">
        <v>5.1289249898402299E-2</v>
      </c>
      <c r="I5006">
        <v>5.8291473346602403E-2</v>
      </c>
      <c r="J5006">
        <v>5.52360216682257E-2</v>
      </c>
      <c r="K5006">
        <v>5.6203250329977798E-2</v>
      </c>
      <c r="L5006">
        <v>1737.41776566763</v>
      </c>
      <c r="M5006">
        <v>36.453877019499103</v>
      </c>
      <c r="N5006">
        <v>47.880183514980402</v>
      </c>
      <c r="O5006">
        <v>47.517970042960599</v>
      </c>
      <c r="P5006">
        <v>-0.17703534741048099</v>
      </c>
      <c r="Q5006">
        <v>7.6933880987112804E-2</v>
      </c>
      <c r="R5006">
        <v>0.99168559582089999</v>
      </c>
      <c r="S5006" t="s">
        <v>12009</v>
      </c>
      <c r="T5006" t="s">
        <v>14004</v>
      </c>
      <c r="U5006" t="s">
        <v>14004</v>
      </c>
      <c r="V5006" t="s">
        <v>14004</v>
      </c>
      <c r="W5006" t="s">
        <v>18955</v>
      </c>
      <c r="X5006">
        <v>48</v>
      </c>
      <c r="Y5006" t="s">
        <v>25762</v>
      </c>
      <c r="Z5006" t="s">
        <v>32716</v>
      </c>
      <c r="AA5006">
        <v>0.31633884491301673</v>
      </c>
      <c r="AB5006" t="str">
        <f>HYPERLINK("Melting_Curves/meltCurve_Q8WUM4_PDCD6IP.pdf", "Melting_Curves/meltCurve_Q8WUM4_PDCD6IP.pdf")</f>
        <v>Melting_Curves/meltCurve_Q8WUM4_PDCD6IP.pdf</v>
      </c>
    </row>
    <row r="5007" spans="1:28" x14ac:dyDescent="0.25">
      <c r="A5007" t="s">
        <v>5011</v>
      </c>
      <c r="B5007">
        <v>0.99999676499088797</v>
      </c>
      <c r="C5007">
        <v>0.97546903763440196</v>
      </c>
      <c r="D5007">
        <v>0.98321340236602595</v>
      </c>
      <c r="E5007">
        <v>0.79144975319419697</v>
      </c>
      <c r="F5007">
        <v>0.64838034347409501</v>
      </c>
      <c r="G5007">
        <v>0.55191440671230596</v>
      </c>
      <c r="H5007">
        <v>0.382881650795385</v>
      </c>
      <c r="I5007">
        <v>0.33468925217745299</v>
      </c>
      <c r="J5007">
        <v>0.306850452452613</v>
      </c>
      <c r="K5007">
        <v>0.31938790156107699</v>
      </c>
      <c r="L5007">
        <v>737.04814525325901</v>
      </c>
      <c r="M5007">
        <v>13.7063827148733</v>
      </c>
      <c r="N5007">
        <v>57.072781159576699</v>
      </c>
      <c r="O5007">
        <v>52.668149596853098</v>
      </c>
      <c r="P5007">
        <v>-4.7267938452364398E-2</v>
      </c>
      <c r="Q5007">
        <v>0.27357699224871901</v>
      </c>
      <c r="R5007">
        <v>0.99168525747453695</v>
      </c>
      <c r="S5007" t="s">
        <v>12010</v>
      </c>
      <c r="T5007" t="s">
        <v>14004</v>
      </c>
      <c r="U5007" t="s">
        <v>14004</v>
      </c>
      <c r="V5007" t="s">
        <v>14004</v>
      </c>
      <c r="W5007" t="s">
        <v>18956</v>
      </c>
      <c r="X5007">
        <v>8</v>
      </c>
      <c r="Y5007" t="s">
        <v>25763</v>
      </c>
      <c r="Z5007" t="s">
        <v>32717</v>
      </c>
      <c r="AA5007">
        <v>0.6239311146743195</v>
      </c>
      <c r="AB5007" t="str">
        <f>HYPERLINK("Melting_Curves/meltCurve_Q8WUM9_SLC20A1.pdf", "Melting_Curves/meltCurve_Q8WUM9_SLC20A1.pdf")</f>
        <v>Melting_Curves/meltCurve_Q8WUM9_SLC20A1.pdf</v>
      </c>
    </row>
    <row r="5008" spans="1:28" x14ac:dyDescent="0.25">
      <c r="A5008" t="s">
        <v>5012</v>
      </c>
      <c r="B5008">
        <v>0.99999676499088797</v>
      </c>
      <c r="C5008">
        <v>1.04477665441211</v>
      </c>
      <c r="D5008">
        <v>0.92974126510866895</v>
      </c>
      <c r="E5008">
        <v>0.673498207825035</v>
      </c>
      <c r="F5008">
        <v>0.58823998226826901</v>
      </c>
      <c r="G5008">
        <v>0.30342933825066898</v>
      </c>
      <c r="H5008">
        <v>0.11274027063862201</v>
      </c>
      <c r="I5008">
        <v>0.106703977695926</v>
      </c>
      <c r="J5008">
        <v>0.121159599992629</v>
      </c>
      <c r="K5008">
        <v>0.11144215272517501</v>
      </c>
      <c r="L5008">
        <v>832.49782823556404</v>
      </c>
      <c r="M5008">
        <v>15.7402156988821</v>
      </c>
      <c r="N5008">
        <v>53.371788069316899</v>
      </c>
      <c r="O5008">
        <v>52.058246141103602</v>
      </c>
      <c r="P5008">
        <v>-7.0587938537353706E-2</v>
      </c>
      <c r="Q5008">
        <v>6.6244912921874094E-2</v>
      </c>
      <c r="R5008">
        <v>0.98389309978478801</v>
      </c>
      <c r="S5008" t="s">
        <v>12011</v>
      </c>
      <c r="T5008" t="s">
        <v>14004</v>
      </c>
      <c r="U5008" t="s">
        <v>14004</v>
      </c>
      <c r="V5008" t="s">
        <v>14004</v>
      </c>
      <c r="W5008" t="s">
        <v>18957</v>
      </c>
      <c r="X5008">
        <v>3</v>
      </c>
      <c r="Y5008" t="s">
        <v>25764</v>
      </c>
      <c r="Z5008" t="s">
        <v>32718</v>
      </c>
      <c r="AA5008">
        <v>0.48628064726789599</v>
      </c>
      <c r="AB5008" t="str">
        <f>HYPERLINK("Melting_Curves/meltCurve_Q8WUN7_UBTD2.pdf", "Melting_Curves/meltCurve_Q8WUN7_UBTD2.pdf")</f>
        <v>Melting_Curves/meltCurve_Q8WUN7_UBTD2.pdf</v>
      </c>
    </row>
    <row r="5009" spans="1:28" x14ac:dyDescent="0.25">
      <c r="A5009" t="s">
        <v>5013</v>
      </c>
      <c r="B5009">
        <v>0.99999676499088797</v>
      </c>
      <c r="C5009">
        <v>1.0417429310175199</v>
      </c>
      <c r="D5009">
        <v>1.0134597861408701</v>
      </c>
      <c r="E5009">
        <v>0.91936299871085603</v>
      </c>
      <c r="F5009">
        <v>0.960416346892769</v>
      </c>
      <c r="G5009">
        <v>0.77484157476280602</v>
      </c>
      <c r="H5009">
        <v>0.40640923642424598</v>
      </c>
      <c r="I5009">
        <v>0.39915838703096301</v>
      </c>
      <c r="J5009">
        <v>0.34469099994849101</v>
      </c>
      <c r="K5009">
        <v>0.36344173788615702</v>
      </c>
      <c r="L5009">
        <v>2410.95707290576</v>
      </c>
      <c r="M5009">
        <v>41.888994855643197</v>
      </c>
      <c r="N5009">
        <v>59.369919208779798</v>
      </c>
      <c r="O5009">
        <v>57.425170243961297</v>
      </c>
      <c r="P5009">
        <v>-0.11653570603430299</v>
      </c>
      <c r="Q5009">
        <v>0.36097116361820802</v>
      </c>
      <c r="R5009">
        <v>0.98786230910499095</v>
      </c>
      <c r="S5009" t="s">
        <v>12012</v>
      </c>
      <c r="T5009" t="s">
        <v>14004</v>
      </c>
      <c r="U5009" t="s">
        <v>14004</v>
      </c>
      <c r="V5009" t="s">
        <v>14004</v>
      </c>
      <c r="W5009" t="s">
        <v>18958</v>
      </c>
      <c r="X5009">
        <v>5</v>
      </c>
      <c r="Y5009" t="s">
        <v>25765</v>
      </c>
      <c r="Z5009" t="s">
        <v>32719</v>
      </c>
      <c r="AA5009">
        <v>0.73721802797919411</v>
      </c>
      <c r="AB5009" t="str">
        <f>HYPERLINK("Melting_Curves/meltCurve_Q8WUR7_C15orf40.pdf", "Melting_Curves/meltCurve_Q8WUR7_C15orf40.pdf")</f>
        <v>Melting_Curves/meltCurve_Q8WUR7_C15orf40.pdf</v>
      </c>
    </row>
    <row r="5010" spans="1:28" x14ac:dyDescent="0.25">
      <c r="A5010" t="s">
        <v>5014</v>
      </c>
      <c r="B5010">
        <v>0.99999676499088797</v>
      </c>
      <c r="C5010">
        <v>0.95592591993005605</v>
      </c>
      <c r="D5010">
        <v>1.08266252773236</v>
      </c>
      <c r="E5010">
        <v>1.1193482188957899</v>
      </c>
      <c r="F5010">
        <v>0.52742072722732303</v>
      </c>
      <c r="G5010">
        <v>0.235520479714491</v>
      </c>
      <c r="H5010">
        <v>0.111865335717581</v>
      </c>
      <c r="I5010">
        <v>9.5015933133262495E-2</v>
      </c>
      <c r="J5010">
        <v>8.0186263333934596E-2</v>
      </c>
      <c r="K5010">
        <v>5.9519865175306899E-2</v>
      </c>
      <c r="L5010">
        <v>2965.6850432756401</v>
      </c>
      <c r="M5010">
        <v>55.776480316244999</v>
      </c>
      <c r="N5010">
        <v>53.406817456949902</v>
      </c>
      <c r="O5010">
        <v>53.102672173286997</v>
      </c>
      <c r="P5010">
        <v>-0.233917149989674</v>
      </c>
      <c r="Q5010">
        <v>0.109185919395379</v>
      </c>
      <c r="R5010">
        <v>0.97856842685287604</v>
      </c>
      <c r="S5010" t="s">
        <v>12013</v>
      </c>
      <c r="T5010" t="s">
        <v>14004</v>
      </c>
      <c r="U5010" t="s">
        <v>14004</v>
      </c>
      <c r="V5010" t="s">
        <v>14004</v>
      </c>
      <c r="W5010" t="s">
        <v>18959</v>
      </c>
      <c r="X5010">
        <v>7</v>
      </c>
      <c r="Y5010" t="s">
        <v>25766</v>
      </c>
      <c r="Z5010" t="s">
        <v>32720</v>
      </c>
      <c r="AA5010">
        <v>0.50195672624105148</v>
      </c>
      <c r="AB5010" t="str">
        <f>HYPERLINK("Melting_Curves/meltCurve_Q8WUX2_CHAC2.pdf", "Melting_Curves/meltCurve_Q8WUX2_CHAC2.pdf")</f>
        <v>Melting_Curves/meltCurve_Q8WUX2_CHAC2.pdf</v>
      </c>
    </row>
    <row r="5011" spans="1:28" x14ac:dyDescent="0.25">
      <c r="A5011" t="s">
        <v>5015</v>
      </c>
      <c r="B5011">
        <v>0.99999676499088797</v>
      </c>
      <c r="C5011">
        <v>0.84590777475022105</v>
      </c>
      <c r="D5011">
        <v>0.49456387343333902</v>
      </c>
      <c r="E5011">
        <v>0.24920779568074899</v>
      </c>
      <c r="F5011">
        <v>0.19282125800598099</v>
      </c>
      <c r="G5011">
        <v>0.17238032742211801</v>
      </c>
      <c r="H5011">
        <v>8.6529987701476699E-2</v>
      </c>
      <c r="I5011">
        <v>9.5086870763011894E-2</v>
      </c>
      <c r="J5011">
        <v>8.1050571089626697E-2</v>
      </c>
      <c r="K5011">
        <v>8.2568777241018396E-2</v>
      </c>
      <c r="L5011">
        <v>1002.87701139946</v>
      </c>
      <c r="M5011">
        <v>21.935214436524902</v>
      </c>
      <c r="N5011">
        <v>46.229071830679899</v>
      </c>
      <c r="O5011">
        <v>45.345052079564802</v>
      </c>
      <c r="P5011">
        <v>-0.10796069901644099</v>
      </c>
      <c r="Q5011">
        <v>0.10730337487548899</v>
      </c>
      <c r="R5011">
        <v>0.99060980760154005</v>
      </c>
      <c r="S5011" t="s">
        <v>12014</v>
      </c>
      <c r="T5011" t="s">
        <v>14004</v>
      </c>
      <c r="U5011" t="s">
        <v>14004</v>
      </c>
      <c r="V5011" t="s">
        <v>14004</v>
      </c>
      <c r="W5011" t="s">
        <v>18960</v>
      </c>
      <c r="X5011">
        <v>13</v>
      </c>
      <c r="Y5011" t="s">
        <v>25767</v>
      </c>
      <c r="Z5011" t="s">
        <v>32721</v>
      </c>
      <c r="AA5011">
        <v>0.28888574808899758</v>
      </c>
      <c r="AB5011" t="str">
        <f>HYPERLINK("Melting_Curves/meltCurve_Q8WUX9_CHMP7.pdf", "Melting_Curves/meltCurve_Q8WUX9_CHMP7.pdf")</f>
        <v>Melting_Curves/meltCurve_Q8WUX9_CHMP7.pdf</v>
      </c>
    </row>
    <row r="5012" spans="1:28" x14ac:dyDescent="0.25">
      <c r="A5012" t="s">
        <v>5016</v>
      </c>
      <c r="B5012">
        <v>0.99999676499088797</v>
      </c>
      <c r="C5012">
        <v>1.05048289248622</v>
      </c>
      <c r="D5012">
        <v>1.0274514968152499</v>
      </c>
      <c r="E5012">
        <v>1.21656262126895</v>
      </c>
      <c r="F5012">
        <v>1.1876904587083099</v>
      </c>
      <c r="G5012">
        <v>0.92939077625425204</v>
      </c>
      <c r="H5012">
        <v>0.43348639112283499</v>
      </c>
      <c r="I5012">
        <v>0.255939873906113</v>
      </c>
      <c r="J5012">
        <v>0.183538596011209</v>
      </c>
      <c r="K5012">
        <v>0.147740574161703</v>
      </c>
      <c r="L5012">
        <v>2717.7326446789002</v>
      </c>
      <c r="M5012">
        <v>45.4363793137586</v>
      </c>
      <c r="N5012">
        <v>60.396101528987003</v>
      </c>
      <c r="O5012">
        <v>59.698503514319803</v>
      </c>
      <c r="P5012">
        <v>-0.15653768870403201</v>
      </c>
      <c r="Q5012">
        <v>0.17730644462189599</v>
      </c>
      <c r="R5012">
        <v>0.94755128274647304</v>
      </c>
      <c r="S5012" t="s">
        <v>12015</v>
      </c>
      <c r="T5012" t="s">
        <v>14004</v>
      </c>
      <c r="U5012" t="s">
        <v>14004</v>
      </c>
      <c r="V5012" t="s">
        <v>14004</v>
      </c>
      <c r="W5012" t="s">
        <v>18961</v>
      </c>
      <c r="X5012">
        <v>11</v>
      </c>
      <c r="Y5012" t="s">
        <v>25768</v>
      </c>
      <c r="Z5012" t="s">
        <v>32722</v>
      </c>
      <c r="AA5012">
        <v>0.72323027039371857</v>
      </c>
      <c r="AB5012" t="str">
        <f>HYPERLINK("Melting_Curves/meltCurve_Q8WUY1_THEM6.pdf", "Melting_Curves/meltCurve_Q8WUY1_THEM6.pdf")</f>
        <v>Melting_Curves/meltCurve_Q8WUY1_THEM6.pdf</v>
      </c>
    </row>
    <row r="5013" spans="1:28" x14ac:dyDescent="0.25">
      <c r="A5013" t="s">
        <v>5017</v>
      </c>
      <c r="B5013">
        <v>0.99999676499088797</v>
      </c>
      <c r="C5013">
        <v>1.0632778981673401</v>
      </c>
      <c r="D5013">
        <v>0.899221780624893</v>
      </c>
      <c r="E5013">
        <v>0.52949643563704396</v>
      </c>
      <c r="F5013">
        <v>0.175322555940466</v>
      </c>
      <c r="G5013">
        <v>0.108782029961173</v>
      </c>
      <c r="H5013">
        <v>5.8439457536472499E-2</v>
      </c>
      <c r="I5013">
        <v>5.62504831058162E-2</v>
      </c>
      <c r="J5013">
        <v>4.4890489106371903E-2</v>
      </c>
      <c r="K5013">
        <v>6.6467388045398507E-2</v>
      </c>
      <c r="L5013">
        <v>1426.2983210535499</v>
      </c>
      <c r="M5013">
        <v>28.755941320253399</v>
      </c>
      <c r="N5013">
        <v>49.822287290116101</v>
      </c>
      <c r="O5013">
        <v>49.362111327667897</v>
      </c>
      <c r="P5013">
        <v>-0.13687554840980301</v>
      </c>
      <c r="Q5013">
        <v>6.0171409953443902E-2</v>
      </c>
      <c r="R5013">
        <v>0.99609807006755002</v>
      </c>
      <c r="S5013" t="s">
        <v>12016</v>
      </c>
      <c r="T5013" t="s">
        <v>14004</v>
      </c>
      <c r="U5013" t="s">
        <v>14004</v>
      </c>
      <c r="V5013" t="s">
        <v>14004</v>
      </c>
      <c r="W5013" t="s">
        <v>18962</v>
      </c>
      <c r="X5013">
        <v>4</v>
      </c>
      <c r="Y5013" t="s">
        <v>25769</v>
      </c>
      <c r="Z5013" t="s">
        <v>32723</v>
      </c>
      <c r="AA5013">
        <v>0.36721603932016939</v>
      </c>
      <c r="AB5013" t="str">
        <f>HYPERLINK("Melting_Curves/meltCurve_Q8WUY8_NAT14.pdf", "Melting_Curves/meltCurve_Q8WUY8_NAT14.pdf")</f>
        <v>Melting_Curves/meltCurve_Q8WUY8_NAT14.pdf</v>
      </c>
    </row>
    <row r="5014" spans="1:28" x14ac:dyDescent="0.25">
      <c r="A5014" t="s">
        <v>5018</v>
      </c>
      <c r="B5014">
        <v>0.99999676499088797</v>
      </c>
      <c r="C5014">
        <v>0.88787001132215304</v>
      </c>
      <c r="D5014">
        <v>0.82728026693916601</v>
      </c>
      <c r="E5014">
        <v>0.75200867848784703</v>
      </c>
      <c r="F5014">
        <v>0.38664583673937503</v>
      </c>
      <c r="G5014">
        <v>0.26524237776343301</v>
      </c>
      <c r="H5014">
        <v>8.7774592137638704E-2</v>
      </c>
      <c r="I5014">
        <v>5.95760917828373E-2</v>
      </c>
      <c r="J5014">
        <v>5.1689140023946603E-2</v>
      </c>
      <c r="K5014">
        <v>3.9679067265525697E-2</v>
      </c>
      <c r="L5014">
        <v>731.18566896170603</v>
      </c>
      <c r="M5014">
        <v>14.0187480518561</v>
      </c>
      <c r="N5014">
        <v>52.157681289050302</v>
      </c>
      <c r="O5014">
        <v>51.130764540909396</v>
      </c>
      <c r="P5014">
        <v>-6.8552629812492299E-2</v>
      </c>
      <c r="Q5014">
        <v>0</v>
      </c>
      <c r="R5014">
        <v>0.98813039379997103</v>
      </c>
      <c r="S5014" t="s">
        <v>12017</v>
      </c>
      <c r="T5014" t="s">
        <v>14004</v>
      </c>
      <c r="U5014" t="s">
        <v>14004</v>
      </c>
      <c r="V5014" t="s">
        <v>14004</v>
      </c>
      <c r="W5014" t="s">
        <v>18963</v>
      </c>
      <c r="X5014">
        <v>8</v>
      </c>
      <c r="Y5014" t="s">
        <v>25770</v>
      </c>
      <c r="Z5014" t="s">
        <v>32724</v>
      </c>
      <c r="AA5014">
        <v>0.42981501900273072</v>
      </c>
      <c r="AB5014" t="str">
        <f>HYPERLINK("Melting_Curves/meltCurve_Q8WV22_NSMCE1.pdf", "Melting_Curves/meltCurve_Q8WV22_NSMCE1.pdf")</f>
        <v>Melting_Curves/meltCurve_Q8WV22_NSMCE1.pdf</v>
      </c>
    </row>
    <row r="5015" spans="1:28" x14ac:dyDescent="0.25">
      <c r="A5015" t="s">
        <v>5019</v>
      </c>
      <c r="B5015">
        <v>0.99999676499088797</v>
      </c>
      <c r="C5015">
        <v>0.87033711953078996</v>
      </c>
      <c r="D5015">
        <v>0.86504681396088901</v>
      </c>
      <c r="E5015">
        <v>0.816614944070846</v>
      </c>
      <c r="F5015">
        <v>0.70712333665844695</v>
      </c>
      <c r="G5015">
        <v>0.68913224885461599</v>
      </c>
      <c r="H5015">
        <v>0.38077689415344501</v>
      </c>
      <c r="I5015">
        <v>0.45014272857509602</v>
      </c>
      <c r="J5015">
        <v>0.409701886917132</v>
      </c>
      <c r="K5015">
        <v>0.33138303974994299</v>
      </c>
      <c r="L5015">
        <v>390.28405412613802</v>
      </c>
      <c r="M5015">
        <v>6.6265547450611297</v>
      </c>
      <c r="N5015">
        <v>60.965111503391398</v>
      </c>
      <c r="O5015">
        <v>54.2262909855747</v>
      </c>
      <c r="P5015">
        <v>-2.7537472324644399E-2</v>
      </c>
      <c r="Q5015">
        <v>0.100660511700495</v>
      </c>
      <c r="R5015">
        <v>0.94437915085634005</v>
      </c>
      <c r="S5015" t="s">
        <v>12018</v>
      </c>
      <c r="T5015" t="s">
        <v>14004</v>
      </c>
      <c r="U5015" t="s">
        <v>14004</v>
      </c>
      <c r="V5015" t="s">
        <v>14004</v>
      </c>
      <c r="W5015" t="s">
        <v>18964</v>
      </c>
      <c r="X5015">
        <v>2</v>
      </c>
      <c r="Y5015" t="s">
        <v>25771</v>
      </c>
      <c r="Z5015" t="s">
        <v>32725</v>
      </c>
      <c r="AA5015">
        <v>0.6545639387200255</v>
      </c>
      <c r="AB5015" t="str">
        <f>HYPERLINK("Melting_Curves/meltCurve_Q8WV24_PHLDA1.pdf", "Melting_Curves/meltCurve_Q8WV24_PHLDA1.pdf")</f>
        <v>Melting_Curves/meltCurve_Q8WV24_PHLDA1.pdf</v>
      </c>
    </row>
    <row r="5016" spans="1:28" x14ac:dyDescent="0.25">
      <c r="A5016" t="s">
        <v>5020</v>
      </c>
      <c r="B5016">
        <v>0.99999676499088797</v>
      </c>
      <c r="C5016">
        <v>1.0701956778759101</v>
      </c>
      <c r="D5016">
        <v>0.98849314288779</v>
      </c>
      <c r="E5016">
        <v>0.865531715122274</v>
      </c>
      <c r="F5016">
        <v>0.27545510131192702</v>
      </c>
      <c r="G5016">
        <v>0.170655833769846</v>
      </c>
      <c r="H5016">
        <v>9.3042668733401002E-2</v>
      </c>
      <c r="I5016">
        <v>9.3198534627719598E-2</v>
      </c>
      <c r="J5016">
        <v>9.0804138802308407E-2</v>
      </c>
      <c r="K5016">
        <v>8.0000393874691406E-2</v>
      </c>
      <c r="L5016">
        <v>2219.2856509163598</v>
      </c>
      <c r="M5016">
        <v>43.060191006012197</v>
      </c>
      <c r="N5016">
        <v>51.808374250012299</v>
      </c>
      <c r="O5016">
        <v>51.4283619563641</v>
      </c>
      <c r="P5016">
        <v>-0.18833894073475399</v>
      </c>
      <c r="Q5016">
        <v>0.100241003785661</v>
      </c>
      <c r="R5016">
        <v>0.99509736412741101</v>
      </c>
      <c r="S5016" t="s">
        <v>12019</v>
      </c>
      <c r="T5016" t="s">
        <v>14004</v>
      </c>
      <c r="U5016" t="s">
        <v>14004</v>
      </c>
      <c r="V5016" t="s">
        <v>14004</v>
      </c>
      <c r="W5016" t="s">
        <v>18965</v>
      </c>
      <c r="X5016">
        <v>11</v>
      </c>
      <c r="Y5016" t="s">
        <v>25772</v>
      </c>
      <c r="Z5016" t="s">
        <v>32726</v>
      </c>
      <c r="AA5016">
        <v>0.44908549847972368</v>
      </c>
      <c r="AB5016" t="str">
        <f>HYPERLINK("Melting_Curves/meltCurve_Q8WV74_NUDT8.pdf", "Melting_Curves/meltCurve_Q8WV74_NUDT8.pdf")</f>
        <v>Melting_Curves/meltCurve_Q8WV74_NUDT8.pdf</v>
      </c>
    </row>
    <row r="5017" spans="1:28" x14ac:dyDescent="0.25">
      <c r="A5017" t="s">
        <v>5021</v>
      </c>
      <c r="B5017">
        <v>0.99999676499088797</v>
      </c>
      <c r="C5017">
        <v>0.90935452640445102</v>
      </c>
      <c r="D5017">
        <v>0.958843045171488</v>
      </c>
      <c r="E5017">
        <v>0.76473746060990999</v>
      </c>
      <c r="F5017">
        <v>0.30350872400795098</v>
      </c>
      <c r="G5017">
        <v>0.28355682440617103</v>
      </c>
      <c r="H5017">
        <v>9.7128220015046396E-2</v>
      </c>
      <c r="I5017">
        <v>0.15266247915853301</v>
      </c>
      <c r="J5017">
        <v>0.108535593128575</v>
      </c>
      <c r="K5017">
        <v>5.3595670243193699E-2</v>
      </c>
      <c r="L5017">
        <v>1247.6249984106601</v>
      </c>
      <c r="M5017">
        <v>24.316659978835101</v>
      </c>
      <c r="N5017">
        <v>51.826780760544501</v>
      </c>
      <c r="O5017">
        <v>50.964197323352899</v>
      </c>
      <c r="P5017">
        <v>-0.106386424207413</v>
      </c>
      <c r="Q5017">
        <v>0.108131242408711</v>
      </c>
      <c r="R5017">
        <v>0.98010761004117197</v>
      </c>
      <c r="S5017" t="s">
        <v>12020</v>
      </c>
      <c r="T5017" t="s">
        <v>14004</v>
      </c>
      <c r="U5017" t="s">
        <v>14004</v>
      </c>
      <c r="V5017" t="s">
        <v>14004</v>
      </c>
      <c r="W5017" t="s">
        <v>18966</v>
      </c>
      <c r="X5017">
        <v>3</v>
      </c>
      <c r="Y5017" t="s">
        <v>25773</v>
      </c>
      <c r="Z5017" t="s">
        <v>32727</v>
      </c>
      <c r="AA5017">
        <v>0.45282178338305468</v>
      </c>
      <c r="AB5017" t="str">
        <f>HYPERLINK("Melting_Curves/meltCurve_Q8WV92_MITD1.pdf", "Melting_Curves/meltCurve_Q8WV92_MITD1.pdf")</f>
        <v>Melting_Curves/meltCurve_Q8WV92_MITD1.pdf</v>
      </c>
    </row>
    <row r="5018" spans="1:28" x14ac:dyDescent="0.25">
      <c r="A5018" t="s">
        <v>5022</v>
      </c>
      <c r="B5018">
        <v>0.99999676499088797</v>
      </c>
      <c r="C5018">
        <v>1.0307851222823901</v>
      </c>
      <c r="D5018">
        <v>0.59044873498095696</v>
      </c>
      <c r="E5018">
        <v>0.21714191690838999</v>
      </c>
      <c r="F5018">
        <v>0.15937896973056301</v>
      </c>
      <c r="G5018">
        <v>0.110506573856781</v>
      </c>
      <c r="H5018">
        <v>5.5137540052461798E-2</v>
      </c>
      <c r="I5018">
        <v>0.206685451278564</v>
      </c>
      <c r="J5018">
        <v>0.247635448527873</v>
      </c>
      <c r="K5018">
        <v>0.129853513117973</v>
      </c>
      <c r="L5018">
        <v>2439.6490344343201</v>
      </c>
      <c r="M5018">
        <v>52.946250312068798</v>
      </c>
      <c r="N5018">
        <v>46.409647555606703</v>
      </c>
      <c r="O5018">
        <v>46.012252971189596</v>
      </c>
      <c r="P5018">
        <v>-0.24234622040963799</v>
      </c>
      <c r="Q5018">
        <v>0.15756922212265601</v>
      </c>
      <c r="R5018">
        <v>0.97703573505849095</v>
      </c>
      <c r="S5018" t="s">
        <v>12021</v>
      </c>
      <c r="T5018" t="s">
        <v>14004</v>
      </c>
      <c r="U5018" t="s">
        <v>14004</v>
      </c>
      <c r="V5018" t="s">
        <v>14004</v>
      </c>
      <c r="W5018" t="s">
        <v>18967</v>
      </c>
      <c r="X5018">
        <v>9</v>
      </c>
      <c r="Y5018" t="s">
        <v>25774</v>
      </c>
      <c r="Z5018" t="s">
        <v>32728</v>
      </c>
      <c r="AA5018">
        <v>0.32977308626099688</v>
      </c>
      <c r="AB5018" t="str">
        <f>HYPERLINK("Melting_Curves/meltCurve_Q8WVB6_CHTF18.pdf", "Melting_Curves/meltCurve_Q8WVB6_CHTF18.pdf")</f>
        <v>Melting_Curves/meltCurve_Q8WVB6_CHTF18.pdf</v>
      </c>
    </row>
    <row r="5019" spans="1:28" x14ac:dyDescent="0.25">
      <c r="A5019" t="s">
        <v>5023</v>
      </c>
      <c r="B5019">
        <v>0.99999676499088797</v>
      </c>
      <c r="C5019">
        <v>0.88811134445011197</v>
      </c>
      <c r="D5019">
        <v>0.67879235750567801</v>
      </c>
      <c r="E5019">
        <v>0.39070942841585099</v>
      </c>
      <c r="F5019">
        <v>0.28040055246118001</v>
      </c>
      <c r="G5019">
        <v>0.211408426315638</v>
      </c>
      <c r="H5019">
        <v>0.143346966195639</v>
      </c>
      <c r="I5019">
        <v>0.14463155606872599</v>
      </c>
      <c r="J5019">
        <v>0.142098906273468</v>
      </c>
      <c r="K5019">
        <v>0.20116120587200001</v>
      </c>
      <c r="L5019">
        <v>876.37732720227598</v>
      </c>
      <c r="M5019">
        <v>18.553753447462899</v>
      </c>
      <c r="N5019">
        <v>48.231519352078998</v>
      </c>
      <c r="O5019">
        <v>46.696048148729297</v>
      </c>
      <c r="P5019">
        <v>-8.35150002237047E-2</v>
      </c>
      <c r="Q5019">
        <v>0.159275292916295</v>
      </c>
      <c r="R5019">
        <v>0.99441264041890498</v>
      </c>
      <c r="S5019" t="s">
        <v>12022</v>
      </c>
      <c r="T5019" t="s">
        <v>14004</v>
      </c>
      <c r="U5019" t="s">
        <v>14004</v>
      </c>
      <c r="V5019" t="s">
        <v>14004</v>
      </c>
      <c r="W5019" t="s">
        <v>18968</v>
      </c>
      <c r="X5019">
        <v>15</v>
      </c>
      <c r="Y5019" t="s">
        <v>25775</v>
      </c>
      <c r="Z5019" t="s">
        <v>32729</v>
      </c>
      <c r="AA5019">
        <v>0.37638541465247538</v>
      </c>
      <c r="AB5019" t="str">
        <f>HYPERLINK("Melting_Curves/meltCurve_Q8WVC0_LEO1.pdf", "Melting_Curves/meltCurve_Q8WVC0_LEO1.pdf")</f>
        <v>Melting_Curves/meltCurve_Q8WVC0_LEO1.pdf</v>
      </c>
    </row>
    <row r="5020" spans="1:28" x14ac:dyDescent="0.25">
      <c r="A5020" t="s">
        <v>5024</v>
      </c>
      <c r="B5020">
        <v>0.99999676499088797</v>
      </c>
      <c r="C5020">
        <v>1.02092061967639</v>
      </c>
      <c r="D5020">
        <v>0.64826280406098602</v>
      </c>
      <c r="E5020">
        <v>0.278460327054737</v>
      </c>
      <c r="F5020">
        <v>0.161624509425806</v>
      </c>
      <c r="G5020">
        <v>0.127638515677201</v>
      </c>
      <c r="H5020">
        <v>7.4949648868347193E-2</v>
      </c>
      <c r="I5020">
        <v>0.121424895833739</v>
      </c>
      <c r="J5020">
        <v>0.162180938635032</v>
      </c>
      <c r="K5020">
        <v>0.174302443491099</v>
      </c>
      <c r="L5020">
        <v>1518.2234685388701</v>
      </c>
      <c r="M5020">
        <v>32.4933429002959</v>
      </c>
      <c r="N5020">
        <v>47.187572899707398</v>
      </c>
      <c r="O5020">
        <v>46.548234597061402</v>
      </c>
      <c r="P5020">
        <v>-0.15067538342924</v>
      </c>
      <c r="Q5020">
        <v>0.13660597323847101</v>
      </c>
      <c r="R5020">
        <v>0.99004193674501295</v>
      </c>
      <c r="S5020" t="s">
        <v>12023</v>
      </c>
      <c r="T5020" t="s">
        <v>14004</v>
      </c>
      <c r="U5020" t="s">
        <v>14004</v>
      </c>
      <c r="V5020" t="s">
        <v>14004</v>
      </c>
      <c r="W5020" t="s">
        <v>18969</v>
      </c>
      <c r="X5020">
        <v>1</v>
      </c>
      <c r="Y5020" t="s">
        <v>25776</v>
      </c>
      <c r="Z5020" t="s">
        <v>32730</v>
      </c>
      <c r="AA5020">
        <v>0.33449201994658412</v>
      </c>
      <c r="AB5020" t="str">
        <f>HYPERLINK("Melting_Curves/meltCurve_Q8WVD3_RNF138.pdf", "Melting_Curves/meltCurve_Q8WVD3_RNF138.pdf")</f>
        <v>Melting_Curves/meltCurve_Q8WVD3_RNF138.pdf</v>
      </c>
    </row>
    <row r="5021" spans="1:28" x14ac:dyDescent="0.25">
      <c r="A5021" t="s">
        <v>5025</v>
      </c>
      <c r="B5021">
        <v>0.99999676499088797</v>
      </c>
      <c r="C5021">
        <v>0.905940048666665</v>
      </c>
      <c r="D5021">
        <v>0.764606715231675</v>
      </c>
      <c r="E5021">
        <v>0.460031183907605</v>
      </c>
      <c r="F5021">
        <v>0.366046424773049</v>
      </c>
      <c r="G5021">
        <v>0.22422041627642</v>
      </c>
      <c r="H5021">
        <v>0.109138941369258</v>
      </c>
      <c r="I5021">
        <v>7.6188047388958402E-2</v>
      </c>
      <c r="J5021">
        <v>9.0134554098824093E-2</v>
      </c>
      <c r="K5021">
        <v>7.2555840146111397E-2</v>
      </c>
      <c r="L5021">
        <v>670.24857373886402</v>
      </c>
      <c r="M5021">
        <v>13.539013320527699</v>
      </c>
      <c r="N5021">
        <v>49.9423085184483</v>
      </c>
      <c r="O5021">
        <v>48.462439558896897</v>
      </c>
      <c r="P5021">
        <v>-6.5948624253881705E-2</v>
      </c>
      <c r="Q5021">
        <v>5.5899364055403501E-2</v>
      </c>
      <c r="R5021">
        <v>0.99233936951896695</v>
      </c>
      <c r="S5021" t="s">
        <v>12024</v>
      </c>
      <c r="T5021" t="s">
        <v>14004</v>
      </c>
      <c r="U5021" t="s">
        <v>14004</v>
      </c>
      <c r="V5021" t="s">
        <v>14004</v>
      </c>
      <c r="W5021" t="s">
        <v>18970</v>
      </c>
      <c r="X5021">
        <v>1</v>
      </c>
      <c r="Y5021" t="s">
        <v>25777</v>
      </c>
      <c r="Z5021" t="s">
        <v>32731</v>
      </c>
      <c r="AA5021">
        <v>0.38249653567020853</v>
      </c>
      <c r="AB5021" t="str">
        <f>HYPERLINK("Melting_Curves/meltCurve_Q8WVD5_RNF141.pdf", "Melting_Curves/meltCurve_Q8WVD5_RNF141.pdf")</f>
        <v>Melting_Curves/meltCurve_Q8WVD5_RNF141.pdf</v>
      </c>
    </row>
    <row r="5022" spans="1:28" x14ac:dyDescent="0.25">
      <c r="A5022" t="s">
        <v>5026</v>
      </c>
      <c r="B5022">
        <v>0.99999676499088797</v>
      </c>
      <c r="C5022">
        <v>1.0327108999291801</v>
      </c>
      <c r="D5022">
        <v>0.74905829906365495</v>
      </c>
      <c r="E5022">
        <v>0.27215216008494503</v>
      </c>
      <c r="F5022">
        <v>0.192667939876036</v>
      </c>
      <c r="G5022">
        <v>0.112754776979933</v>
      </c>
      <c r="H5022">
        <v>6.7156615276869294E-2</v>
      </c>
      <c r="I5022">
        <v>5.7682733180350998E-2</v>
      </c>
      <c r="J5022">
        <v>5.8407392173518903E-2</v>
      </c>
      <c r="K5022">
        <v>5.34176199694898E-2</v>
      </c>
      <c r="L5022">
        <v>1416.84114712622</v>
      </c>
      <c r="M5022">
        <v>29.763822355686202</v>
      </c>
      <c r="N5022">
        <v>47.880044983163302</v>
      </c>
      <c r="O5022">
        <v>47.389460204807399</v>
      </c>
      <c r="P5022">
        <v>-0.144588605825654</v>
      </c>
      <c r="Q5022">
        <v>7.9159951149074106E-2</v>
      </c>
      <c r="R5022">
        <v>0.99114006256853504</v>
      </c>
      <c r="S5022" t="s">
        <v>12025</v>
      </c>
      <c r="T5022" t="s">
        <v>14004</v>
      </c>
      <c r="U5022" t="s">
        <v>14004</v>
      </c>
      <c r="V5022" t="s">
        <v>14004</v>
      </c>
      <c r="W5022" t="s">
        <v>18971</v>
      </c>
      <c r="X5022">
        <v>3</v>
      </c>
      <c r="Y5022" t="s">
        <v>25778</v>
      </c>
      <c r="Z5022" t="s">
        <v>32732</v>
      </c>
      <c r="AA5022">
        <v>0.31814513244104581</v>
      </c>
      <c r="AB5022" t="str">
        <f>HYPERLINK("Melting_Curves/meltCurve_Q8WVE0_N6AMT2.pdf", "Melting_Curves/meltCurve_Q8WVE0_N6AMT2.pdf")</f>
        <v>Melting_Curves/meltCurve_Q8WVE0_N6AMT2.pdf</v>
      </c>
    </row>
    <row r="5023" spans="1:28" x14ac:dyDescent="0.25">
      <c r="A5023" t="s">
        <v>5027</v>
      </c>
      <c r="B5023">
        <v>0.99999676499088797</v>
      </c>
      <c r="C5023">
        <v>0.85886402130313899</v>
      </c>
      <c r="D5023">
        <v>0.56135116384142902</v>
      </c>
      <c r="E5023">
        <v>0.189468920532122</v>
      </c>
      <c r="F5023">
        <v>0.14517329362768799</v>
      </c>
      <c r="G5023">
        <v>8.2634837041799594E-2</v>
      </c>
      <c r="H5023">
        <v>4.5781889412673298E-2</v>
      </c>
      <c r="I5023">
        <v>3.9078789102784298E-2</v>
      </c>
      <c r="J5023">
        <v>4.6263751932466998E-2</v>
      </c>
      <c r="K5023">
        <v>3.9603834349501099E-2</v>
      </c>
      <c r="L5023">
        <v>1068.0982060086501</v>
      </c>
      <c r="M5023">
        <v>23.098776989819498</v>
      </c>
      <c r="N5023">
        <v>46.462599164490904</v>
      </c>
      <c r="O5023">
        <v>45.898096142875602</v>
      </c>
      <c r="P5023">
        <v>-0.119240668037172</v>
      </c>
      <c r="Q5023">
        <v>5.2275978079249802E-2</v>
      </c>
      <c r="R5023">
        <v>0.99616903111184696</v>
      </c>
      <c r="S5023" t="s">
        <v>12026</v>
      </c>
      <c r="T5023" t="s">
        <v>14004</v>
      </c>
      <c r="U5023" t="s">
        <v>14004</v>
      </c>
      <c r="V5023" t="s">
        <v>14004</v>
      </c>
      <c r="W5023" t="s">
        <v>18972</v>
      </c>
      <c r="X5023">
        <v>8</v>
      </c>
      <c r="Y5023" t="s">
        <v>25779</v>
      </c>
      <c r="Z5023" t="s">
        <v>32733</v>
      </c>
      <c r="AA5023">
        <v>0.25979111234108809</v>
      </c>
      <c r="AB5023" t="str">
        <f>HYPERLINK("Melting_Curves/meltCurve_Q8WVJ2_NUDCD2.pdf", "Melting_Curves/meltCurve_Q8WVJ2_NUDCD2.pdf")</f>
        <v>Melting_Curves/meltCurve_Q8WVJ2_NUDCD2.pdf</v>
      </c>
    </row>
    <row r="5024" spans="1:28" x14ac:dyDescent="0.25">
      <c r="A5024" t="s">
        <v>5028</v>
      </c>
      <c r="B5024">
        <v>0.99999676499088797</v>
      </c>
      <c r="C5024">
        <v>1.0039843559742101</v>
      </c>
      <c r="D5024">
        <v>0.92227892468735495</v>
      </c>
      <c r="E5024">
        <v>0.93027971054126202</v>
      </c>
      <c r="F5024">
        <v>0.70857270729407495</v>
      </c>
      <c r="G5024">
        <v>0.66257535163254999</v>
      </c>
      <c r="H5024">
        <v>0.48035342924788899</v>
      </c>
      <c r="I5024">
        <v>0.53271460888865596</v>
      </c>
      <c r="J5024">
        <v>0.54915442058999497</v>
      </c>
      <c r="K5024">
        <v>0.73345077524702096</v>
      </c>
      <c r="L5024">
        <v>1441.8637930371599</v>
      </c>
      <c r="M5024">
        <v>27.769635356375201</v>
      </c>
      <c r="O5024">
        <v>51.6552986158609</v>
      </c>
      <c r="P5024">
        <v>-5.63522989523551E-2</v>
      </c>
      <c r="Q5024">
        <v>0.58071195283189303</v>
      </c>
      <c r="R5024">
        <v>0.87313520833498504</v>
      </c>
      <c r="S5024" t="s">
        <v>12027</v>
      </c>
      <c r="T5024" t="s">
        <v>14004</v>
      </c>
      <c r="U5024" t="s">
        <v>14004</v>
      </c>
      <c r="V5024" t="s">
        <v>14004</v>
      </c>
      <c r="W5024" t="s">
        <v>18973</v>
      </c>
      <c r="X5024">
        <v>7</v>
      </c>
      <c r="Y5024" t="s">
        <v>25780</v>
      </c>
      <c r="Z5024" t="s">
        <v>32734</v>
      </c>
      <c r="AA5024">
        <v>0.75045830519788503</v>
      </c>
      <c r="AB5024" t="str">
        <f>HYPERLINK("Melting_Curves/meltCurve_Q8WVK2_SNRNP27.pdf", "Melting_Curves/meltCurve_Q8WVK2_SNRNP27.pdf")</f>
        <v>Melting_Curves/meltCurve_Q8WVK2_SNRNP27.pdf</v>
      </c>
    </row>
    <row r="5025" spans="1:28" x14ac:dyDescent="0.25">
      <c r="A5025" t="s">
        <v>5029</v>
      </c>
      <c r="B5025">
        <v>0.99999676499088797</v>
      </c>
      <c r="C5025">
        <v>0.71167047850547005</v>
      </c>
      <c r="D5025">
        <v>0.65347890845702505</v>
      </c>
      <c r="E5025">
        <v>0.276402000063178</v>
      </c>
      <c r="F5025">
        <v>0.108315636292664</v>
      </c>
      <c r="G5025">
        <v>4.7812488018372498E-2</v>
      </c>
      <c r="H5025">
        <v>2.2841045982762799E-2</v>
      </c>
      <c r="I5025">
        <v>2.02416007547923E-2</v>
      </c>
      <c r="J5025">
        <v>6.4246311557017996E-3</v>
      </c>
      <c r="K5025">
        <v>0</v>
      </c>
      <c r="L5025">
        <v>754.87693751982999</v>
      </c>
      <c r="M5025">
        <v>16.100260694250501</v>
      </c>
      <c r="N5025">
        <v>46.886024385479899</v>
      </c>
      <c r="O5025">
        <v>46.180587998999997</v>
      </c>
      <c r="P5025">
        <v>-8.7165926992498005E-2</v>
      </c>
      <c r="Q5025">
        <v>0</v>
      </c>
      <c r="R5025">
        <v>0.98248248685555095</v>
      </c>
      <c r="S5025" t="s">
        <v>12028</v>
      </c>
      <c r="T5025" t="s">
        <v>14004</v>
      </c>
      <c r="U5025" t="s">
        <v>14004</v>
      </c>
      <c r="V5025" t="s">
        <v>14004</v>
      </c>
      <c r="W5025" t="s">
        <v>18974</v>
      </c>
      <c r="X5025">
        <v>1</v>
      </c>
      <c r="Y5025" t="s">
        <v>25781</v>
      </c>
      <c r="Z5025" t="s">
        <v>32735</v>
      </c>
      <c r="AA5025">
        <v>0.25313129563197029</v>
      </c>
      <c r="AB5025" t="str">
        <f>HYPERLINK("Melting_Curves/meltCurve_Q8WVK7_SKA2.pdf", "Melting_Curves/meltCurve_Q8WVK7_SKA2.pdf")</f>
        <v>Melting_Curves/meltCurve_Q8WVK7_SKA2.pdf</v>
      </c>
    </row>
    <row r="5026" spans="1:28" x14ac:dyDescent="0.25">
      <c r="A5026" t="s">
        <v>5030</v>
      </c>
      <c r="B5026">
        <v>0.99999676499088797</v>
      </c>
      <c r="C5026">
        <v>0.95017804613842904</v>
      </c>
      <c r="D5026">
        <v>0.93995276519015003</v>
      </c>
      <c r="E5026">
        <v>0.97521075563904303</v>
      </c>
      <c r="F5026">
        <v>0.86861618522208195</v>
      </c>
      <c r="G5026">
        <v>0.46663023136769799</v>
      </c>
      <c r="H5026">
        <v>0.191982962828775</v>
      </c>
      <c r="I5026">
        <v>0.185320673936366</v>
      </c>
      <c r="J5026">
        <v>0.13003764273493101</v>
      </c>
      <c r="K5026">
        <v>0.16188768536186801</v>
      </c>
      <c r="L5026">
        <v>1860.3494936059301</v>
      </c>
      <c r="M5026">
        <v>33.284831760123303</v>
      </c>
      <c r="N5026">
        <v>56.497561432976802</v>
      </c>
      <c r="O5026">
        <v>55.691218789294602</v>
      </c>
      <c r="P5026">
        <v>-0.126994647268933</v>
      </c>
      <c r="Q5026">
        <v>0.15006856550657699</v>
      </c>
      <c r="R5026">
        <v>0.99455735872249595</v>
      </c>
      <c r="S5026" t="s">
        <v>12029</v>
      </c>
      <c r="T5026" t="s">
        <v>14004</v>
      </c>
      <c r="U5026" t="s">
        <v>14004</v>
      </c>
      <c r="V5026" t="s">
        <v>14004</v>
      </c>
      <c r="W5026" t="s">
        <v>18975</v>
      </c>
      <c r="X5026">
        <v>4</v>
      </c>
      <c r="Y5026" t="s">
        <v>25782</v>
      </c>
      <c r="Z5026" t="s">
        <v>32736</v>
      </c>
      <c r="AA5026">
        <v>0.60496397969159976</v>
      </c>
      <c r="AB5026" t="str">
        <f>HYPERLINK("Melting_Curves/meltCurve_Q8WVL7_ANKRD49.pdf", "Melting_Curves/meltCurve_Q8WVL7_ANKRD49.pdf")</f>
        <v>Melting_Curves/meltCurve_Q8WVL7_ANKRD49.pdf</v>
      </c>
    </row>
    <row r="5027" spans="1:28" x14ac:dyDescent="0.25">
      <c r="A5027" t="s">
        <v>5031</v>
      </c>
      <c r="B5027">
        <v>0.99999676499088797</v>
      </c>
      <c r="C5027">
        <v>1.0305034992586299</v>
      </c>
      <c r="D5027">
        <v>1.02159790001831</v>
      </c>
      <c r="E5027">
        <v>0.76969162797898105</v>
      </c>
      <c r="F5027">
        <v>0.26704975336890402</v>
      </c>
      <c r="G5027">
        <v>0.19228720236017099</v>
      </c>
      <c r="H5027">
        <v>8.4227843759451707E-2</v>
      </c>
      <c r="I5027">
        <v>8.71213698205347E-2</v>
      </c>
      <c r="J5027">
        <v>8.3721142086892103E-2</v>
      </c>
      <c r="K5027">
        <v>8.2202899325761095E-2</v>
      </c>
      <c r="L5027">
        <v>1781.70539976706</v>
      </c>
      <c r="M5027">
        <v>34.842688027428402</v>
      </c>
      <c r="N5027">
        <v>51.453539518000099</v>
      </c>
      <c r="O5027">
        <v>50.968140924952202</v>
      </c>
      <c r="P5027">
        <v>-0.15435819855812299</v>
      </c>
      <c r="Q5027">
        <v>9.6818032413341401E-2</v>
      </c>
      <c r="R5027">
        <v>0.99515311705426701</v>
      </c>
      <c r="S5027" t="s">
        <v>12030</v>
      </c>
      <c r="T5027" t="s">
        <v>14004</v>
      </c>
      <c r="U5027" t="s">
        <v>14004</v>
      </c>
      <c r="V5027" t="s">
        <v>14004</v>
      </c>
      <c r="W5027" t="s">
        <v>18976</v>
      </c>
      <c r="X5027">
        <v>10</v>
      </c>
      <c r="Y5027" t="s">
        <v>25783</v>
      </c>
      <c r="Z5027" t="s">
        <v>32737</v>
      </c>
      <c r="AA5027">
        <v>0.43628499156105061</v>
      </c>
      <c r="AB5027" t="str">
        <f>HYPERLINK("Melting_Curves/meltCurve_Q8WVM0_TFB1M.pdf", "Melting_Curves/meltCurve_Q8WVM0_TFB1M.pdf")</f>
        <v>Melting_Curves/meltCurve_Q8WVM0_TFB1M.pdf</v>
      </c>
    </row>
    <row r="5028" spans="1:28" x14ac:dyDescent="0.25">
      <c r="A5028" t="s">
        <v>5032</v>
      </c>
      <c r="B5028">
        <v>0.99999676499088797</v>
      </c>
      <c r="C5028">
        <v>0.93253297473735897</v>
      </c>
      <c r="D5028">
        <v>0.92086807552524896</v>
      </c>
      <c r="E5028">
        <v>0.52544920426340302</v>
      </c>
      <c r="F5028">
        <v>0.20864338407894201</v>
      </c>
      <c r="G5028">
        <v>0.13739852346943399</v>
      </c>
      <c r="H5028">
        <v>6.18031294145715E-2</v>
      </c>
      <c r="I5028">
        <v>6.2269324971259199E-2</v>
      </c>
      <c r="J5028">
        <v>5.9683704205803698E-2</v>
      </c>
      <c r="K5028">
        <v>5.3876893466710998E-2</v>
      </c>
      <c r="L5028">
        <v>1245.8628889669501</v>
      </c>
      <c r="M5028">
        <v>25.085416967300201</v>
      </c>
      <c r="N5028">
        <v>49.932107969145498</v>
      </c>
      <c r="O5028">
        <v>49.352439189191998</v>
      </c>
      <c r="P5028">
        <v>-0.119090829591909</v>
      </c>
      <c r="Q5028">
        <v>6.2826866715897503E-2</v>
      </c>
      <c r="R5028">
        <v>0.99646888737256401</v>
      </c>
      <c r="S5028" t="s">
        <v>12031</v>
      </c>
      <c r="T5028" t="s">
        <v>14004</v>
      </c>
      <c r="U5028" t="s">
        <v>14004</v>
      </c>
      <c r="V5028" t="s">
        <v>14004</v>
      </c>
      <c r="W5028" t="s">
        <v>18977</v>
      </c>
      <c r="X5028">
        <v>22</v>
      </c>
      <c r="Y5028" t="s">
        <v>25784</v>
      </c>
      <c r="Z5028" t="s">
        <v>32738</v>
      </c>
      <c r="AA5028">
        <v>0.37303881779374459</v>
      </c>
      <c r="AB5028" t="str">
        <f>HYPERLINK("Melting_Curves/meltCurve_Q8WVM8_SCFD1.pdf", "Melting_Curves/meltCurve_Q8WVM8_SCFD1.pdf")</f>
        <v>Melting_Curves/meltCurve_Q8WVM8_SCFD1.pdf</v>
      </c>
    </row>
    <row r="5029" spans="1:28" x14ac:dyDescent="0.25">
      <c r="A5029" t="s">
        <v>5033</v>
      </c>
      <c r="B5029">
        <v>0.99999676499088797</v>
      </c>
      <c r="C5029">
        <v>1.1106916885250999</v>
      </c>
      <c r="D5029">
        <v>1.1648678864095601</v>
      </c>
      <c r="E5029">
        <v>1.1173256148800399</v>
      </c>
      <c r="F5029">
        <v>0.61803481888713296</v>
      </c>
      <c r="G5029">
        <v>0.33574701962346498</v>
      </c>
      <c r="H5029">
        <v>0.12980675214472201</v>
      </c>
      <c r="I5029">
        <v>0.178983382475528</v>
      </c>
      <c r="J5029">
        <v>0.26146109576134702</v>
      </c>
      <c r="K5029">
        <v>0.191949914258494</v>
      </c>
      <c r="L5029">
        <v>2513.9714881673399</v>
      </c>
      <c r="M5029">
        <v>47.021566142003401</v>
      </c>
      <c r="N5029">
        <v>54.077062103597399</v>
      </c>
      <c r="O5029">
        <v>53.367790692065199</v>
      </c>
      <c r="P5029">
        <v>-0.174775940483404</v>
      </c>
      <c r="Q5029">
        <v>0.206543173932528</v>
      </c>
      <c r="R5029">
        <v>0.95648687141302602</v>
      </c>
      <c r="S5029" t="s">
        <v>12032</v>
      </c>
      <c r="T5029" t="s">
        <v>14004</v>
      </c>
      <c r="U5029" t="s">
        <v>14004</v>
      </c>
      <c r="V5029" t="s">
        <v>14004</v>
      </c>
      <c r="W5029" t="s">
        <v>18978</v>
      </c>
      <c r="X5029">
        <v>6</v>
      </c>
      <c r="Y5029" t="s">
        <v>25785</v>
      </c>
      <c r="Z5029" t="s">
        <v>32739</v>
      </c>
      <c r="AA5029">
        <v>0.56476903006371171</v>
      </c>
      <c r="AB5029" t="str">
        <f>HYPERLINK("Melting_Curves/meltCurve_Q8WVQ1_CANT1.pdf", "Melting_Curves/meltCurve_Q8WVQ1_CANT1.pdf")</f>
        <v>Melting_Curves/meltCurve_Q8WVQ1_CANT1.pdf</v>
      </c>
    </row>
    <row r="5030" spans="1:28" x14ac:dyDescent="0.25">
      <c r="A5030" t="s">
        <v>5034</v>
      </c>
      <c r="B5030">
        <v>0.99999676499088797</v>
      </c>
      <c r="C5030">
        <v>0.985247433933647</v>
      </c>
      <c r="D5030">
        <v>1.1689059900379499</v>
      </c>
      <c r="E5030">
        <v>0.71128078424618202</v>
      </c>
      <c r="F5030">
        <v>0.25885866592882001</v>
      </c>
      <c r="G5030">
        <v>0.512535313589075</v>
      </c>
      <c r="H5030">
        <v>0.174817374897177</v>
      </c>
      <c r="I5030">
        <v>0.272333505888322</v>
      </c>
      <c r="J5030">
        <v>0.32807823155621602</v>
      </c>
      <c r="K5030">
        <v>0.167635412122876</v>
      </c>
      <c r="L5030">
        <v>12419.243670022301</v>
      </c>
      <c r="M5030">
        <v>250</v>
      </c>
      <c r="N5030">
        <v>49.845911272892799</v>
      </c>
      <c r="O5030">
        <v>49.673790269649601</v>
      </c>
      <c r="P5030">
        <v>-0.89872618860844999</v>
      </c>
      <c r="Q5030">
        <v>0.28570974361482299</v>
      </c>
      <c r="R5030">
        <v>0.91604309801428496</v>
      </c>
      <c r="S5030" t="s">
        <v>12033</v>
      </c>
      <c r="T5030" t="s">
        <v>14004</v>
      </c>
      <c r="U5030" t="s">
        <v>14004</v>
      </c>
      <c r="V5030" t="s">
        <v>14004</v>
      </c>
      <c r="W5030" t="s">
        <v>18979</v>
      </c>
      <c r="X5030">
        <v>6</v>
      </c>
      <c r="Y5030" t="s">
        <v>25786</v>
      </c>
      <c r="Z5030" t="s">
        <v>32740</v>
      </c>
      <c r="AA5030">
        <v>0.51617764127047727</v>
      </c>
      <c r="AB5030" t="str">
        <f>HYPERLINK("Melting_Curves/meltCurve_Q8WVT3_TRAPPC12.pdf", "Melting_Curves/meltCurve_Q8WVT3_TRAPPC12.pdf")</f>
        <v>Melting_Curves/meltCurve_Q8WVT3_TRAPPC12.pdf</v>
      </c>
    </row>
    <row r="5031" spans="1:28" x14ac:dyDescent="0.25">
      <c r="A5031" t="s">
        <v>5035</v>
      </c>
      <c r="B5031">
        <v>0.99999676499088797</v>
      </c>
      <c r="C5031">
        <v>1.0482774017244001</v>
      </c>
      <c r="D5031">
        <v>0.93654346993711302</v>
      </c>
      <c r="E5031">
        <v>0.438050210585335</v>
      </c>
      <c r="F5031">
        <v>0.22989581826306599</v>
      </c>
      <c r="G5031">
        <v>0.157383563354456</v>
      </c>
      <c r="H5031">
        <v>9.4651725950635604E-2</v>
      </c>
      <c r="I5031">
        <v>7.9094572831409998E-2</v>
      </c>
      <c r="J5031">
        <v>7.3971577290403503E-2</v>
      </c>
      <c r="K5031">
        <v>5.91551793753523E-2</v>
      </c>
      <c r="L5031">
        <v>1527.37323584771</v>
      </c>
      <c r="M5031">
        <v>31.116449418193699</v>
      </c>
      <c r="N5031">
        <v>49.427213551426199</v>
      </c>
      <c r="O5031">
        <v>48.884317877662603</v>
      </c>
      <c r="P5031">
        <v>-0.143741757643851</v>
      </c>
      <c r="Q5031">
        <v>9.6724939742731303E-2</v>
      </c>
      <c r="R5031">
        <v>0.99101211166191805</v>
      </c>
      <c r="S5031" t="s">
        <v>12034</v>
      </c>
      <c r="T5031" t="s">
        <v>14004</v>
      </c>
      <c r="U5031" t="s">
        <v>14004</v>
      </c>
      <c r="V5031" t="s">
        <v>14004</v>
      </c>
      <c r="W5031" t="s">
        <v>18980</v>
      </c>
      <c r="X5031">
        <v>6</v>
      </c>
      <c r="Y5031" t="s">
        <v>25787</v>
      </c>
      <c r="Z5031" t="s">
        <v>32741</v>
      </c>
      <c r="AA5031">
        <v>0.37539991951513929</v>
      </c>
      <c r="AB5031" t="str">
        <f>HYPERLINK("Melting_Curves/meltCurve_Q8WVX9_FAR1.pdf", "Melting_Curves/meltCurve_Q8WVX9_FAR1.pdf")</f>
        <v>Melting_Curves/meltCurve_Q8WVX9_FAR1.pdf</v>
      </c>
    </row>
    <row r="5032" spans="1:28" x14ac:dyDescent="0.25">
      <c r="A5032" t="s">
        <v>5036</v>
      </c>
      <c r="B5032">
        <v>0.99999676499088797</v>
      </c>
      <c r="C5032">
        <v>0.80310433013973004</v>
      </c>
      <c r="D5032">
        <v>0.801115595426659</v>
      </c>
      <c r="E5032">
        <v>0.47897751065766597</v>
      </c>
      <c r="F5032">
        <v>0.25952865171772099</v>
      </c>
      <c r="G5032">
        <v>0.140902104759558</v>
      </c>
      <c r="H5032">
        <v>7.0849935657901403E-2</v>
      </c>
      <c r="I5032">
        <v>5.9451968261883002E-2</v>
      </c>
      <c r="J5032">
        <v>5.5027991876313999E-2</v>
      </c>
      <c r="K5032">
        <v>5.3253480981299901E-2</v>
      </c>
      <c r="L5032">
        <v>724.26588900470904</v>
      </c>
      <c r="M5032">
        <v>14.7308740528321</v>
      </c>
      <c r="N5032">
        <v>49.366229585717001</v>
      </c>
      <c r="O5032">
        <v>48.287117942048397</v>
      </c>
      <c r="P5032">
        <v>-7.4069071666605604E-2</v>
      </c>
      <c r="Q5032">
        <v>2.8925466714298399E-2</v>
      </c>
      <c r="R5032">
        <v>0.98843296588876195</v>
      </c>
      <c r="S5032" t="s">
        <v>12035</v>
      </c>
      <c r="T5032" t="s">
        <v>14004</v>
      </c>
      <c r="U5032" t="s">
        <v>14004</v>
      </c>
      <c r="V5032" t="s">
        <v>14004</v>
      </c>
      <c r="W5032" t="s">
        <v>18981</v>
      </c>
      <c r="X5032">
        <v>9</v>
      </c>
      <c r="Y5032" t="s">
        <v>25788</v>
      </c>
      <c r="Z5032" t="s">
        <v>32742</v>
      </c>
      <c r="AA5032">
        <v>0.35027284903206352</v>
      </c>
      <c r="AB5032" t="str">
        <f>HYPERLINK("Melting_Curves/meltCurve_Q8WVY7_UBLCP1.pdf", "Melting_Curves/meltCurve_Q8WVY7_UBLCP1.pdf")</f>
        <v>Melting_Curves/meltCurve_Q8WVY7_UBLCP1.pdf</v>
      </c>
    </row>
    <row r="5033" spans="1:28" x14ac:dyDescent="0.25">
      <c r="A5033" t="s">
        <v>5037</v>
      </c>
      <c r="B5033">
        <v>0.99999676499088797</v>
      </c>
      <c r="C5033">
        <v>1.12936425708222</v>
      </c>
      <c r="D5033">
        <v>1.0600235150624999</v>
      </c>
      <c r="E5033">
        <v>0.83630240371629305</v>
      </c>
      <c r="F5033">
        <v>0.38560201801361299</v>
      </c>
      <c r="G5033">
        <v>0.37876867113082402</v>
      </c>
      <c r="H5033">
        <v>0.18373005079622601</v>
      </c>
      <c r="I5033">
        <v>0.209997219979457</v>
      </c>
      <c r="J5033">
        <v>0.25316756693263498</v>
      </c>
      <c r="K5033">
        <v>0.183713051102144</v>
      </c>
      <c r="L5033">
        <v>1786.3228446134401</v>
      </c>
      <c r="M5033">
        <v>34.721209737798702</v>
      </c>
      <c r="N5033">
        <v>52.378036665177497</v>
      </c>
      <c r="O5033">
        <v>51.2778354586004</v>
      </c>
      <c r="P5033">
        <v>-0.130318601799088</v>
      </c>
      <c r="Q5033">
        <v>0.230161445363807</v>
      </c>
      <c r="R5033">
        <v>0.96925329715800901</v>
      </c>
      <c r="S5033" t="s">
        <v>12036</v>
      </c>
      <c r="T5033" t="s">
        <v>14004</v>
      </c>
      <c r="U5033" t="s">
        <v>14004</v>
      </c>
      <c r="V5033" t="s">
        <v>14004</v>
      </c>
      <c r="W5033" t="s">
        <v>18982</v>
      </c>
      <c r="X5033">
        <v>3</v>
      </c>
      <c r="Y5033" t="s">
        <v>25789</v>
      </c>
      <c r="Z5033" t="s">
        <v>32743</v>
      </c>
      <c r="AA5033">
        <v>0.52756001090992033</v>
      </c>
      <c r="AB5033" t="str">
        <f>HYPERLINK("Melting_Curves/meltCurve_Q8WVZ9_KBTBD7.pdf", "Melting_Curves/meltCurve_Q8WVZ9_KBTBD7.pdf")</f>
        <v>Melting_Curves/meltCurve_Q8WVZ9_KBTBD7.pdf</v>
      </c>
    </row>
    <row r="5034" spans="1:28" x14ac:dyDescent="0.25">
      <c r="A5034" t="s">
        <v>5038</v>
      </c>
      <c r="B5034">
        <v>0.99999676499088797</v>
      </c>
      <c r="C5034">
        <v>0.96200560812310998</v>
      </c>
      <c r="D5034">
        <v>1.0434257498844699</v>
      </c>
      <c r="E5034">
        <v>1.21371046170948</v>
      </c>
      <c r="F5034">
        <v>0.80479751552644196</v>
      </c>
      <c r="G5034">
        <v>0.44287355163099101</v>
      </c>
      <c r="H5034">
        <v>0.22535644879132199</v>
      </c>
      <c r="I5034">
        <v>0.23898829512049</v>
      </c>
      <c r="J5034">
        <v>0.22483499434840101</v>
      </c>
      <c r="K5034">
        <v>0.225371158543202</v>
      </c>
      <c r="L5034">
        <v>2111.4436135822998</v>
      </c>
      <c r="M5034">
        <v>38.271032310512901</v>
      </c>
      <c r="N5034">
        <v>56.0471785941712</v>
      </c>
      <c r="O5034">
        <v>55.0207987607061</v>
      </c>
      <c r="P5034">
        <v>-0.13473985244262199</v>
      </c>
      <c r="Q5034">
        <v>0.225160360819641</v>
      </c>
      <c r="R5034">
        <v>0.96140698316245199</v>
      </c>
      <c r="S5034" t="s">
        <v>12037</v>
      </c>
      <c r="T5034" t="s">
        <v>14004</v>
      </c>
      <c r="U5034" t="s">
        <v>14004</v>
      </c>
      <c r="V5034" t="s">
        <v>14004</v>
      </c>
      <c r="W5034" t="s">
        <v>18983</v>
      </c>
      <c r="X5034">
        <v>4</v>
      </c>
      <c r="Y5034" t="s">
        <v>25790</v>
      </c>
      <c r="Z5034" t="s">
        <v>32744</v>
      </c>
      <c r="AA5034">
        <v>0.62020383127205914</v>
      </c>
      <c r="AB5034" t="str">
        <f>HYPERLINK("Melting_Curves/meltCurve_Q8WW01_TSEN15.pdf", "Melting_Curves/meltCurve_Q8WW01_TSEN15.pdf")</f>
        <v>Melting_Curves/meltCurve_Q8WW01_TSEN15.pdf</v>
      </c>
    </row>
    <row r="5035" spans="1:28" x14ac:dyDescent="0.25">
      <c r="A5035" t="s">
        <v>5039</v>
      </c>
      <c r="B5035">
        <v>0.99999676499088797</v>
      </c>
      <c r="C5035">
        <v>0.89497707657399495</v>
      </c>
      <c r="D5035">
        <v>0.93225298405913404</v>
      </c>
      <c r="E5035">
        <v>0.77280911749594206</v>
      </c>
      <c r="F5035">
        <v>0.698125731611141</v>
      </c>
      <c r="G5035">
        <v>0.73545707290378604</v>
      </c>
      <c r="H5035">
        <v>0.52852604742551301</v>
      </c>
      <c r="I5035">
        <v>0.64418966990783499</v>
      </c>
      <c r="J5035">
        <v>0.63775844575030904</v>
      </c>
      <c r="K5035">
        <v>0.67490952291476902</v>
      </c>
      <c r="L5035">
        <v>703.41893371759102</v>
      </c>
      <c r="M5035">
        <v>14.4467153615964</v>
      </c>
      <c r="O5035">
        <v>47.786160146089898</v>
      </c>
      <c r="P5035">
        <v>-2.8383068921179699E-2</v>
      </c>
      <c r="Q5035">
        <v>0.62450735701789095</v>
      </c>
      <c r="R5035">
        <v>0.86712756409105396</v>
      </c>
      <c r="S5035" t="s">
        <v>12038</v>
      </c>
      <c r="T5035" t="s">
        <v>14004</v>
      </c>
      <c r="U5035" t="s">
        <v>14004</v>
      </c>
      <c r="V5035" t="s">
        <v>14004</v>
      </c>
      <c r="W5035" t="s">
        <v>18984</v>
      </c>
      <c r="X5035">
        <v>15</v>
      </c>
      <c r="Y5035" t="s">
        <v>25791</v>
      </c>
      <c r="Z5035" t="s">
        <v>32745</v>
      </c>
      <c r="AA5035">
        <v>0.74335406599562803</v>
      </c>
      <c r="AB5035" t="str">
        <f>HYPERLINK("Melting_Curves/meltCurve_Q8WW12_PCNP.pdf", "Melting_Curves/meltCurve_Q8WW12_PCNP.pdf")</f>
        <v>Melting_Curves/meltCurve_Q8WW12_PCNP.pdf</v>
      </c>
    </row>
    <row r="5036" spans="1:28" x14ac:dyDescent="0.25">
      <c r="A5036" t="s">
        <v>5040</v>
      </c>
      <c r="B5036">
        <v>0.99999676499088797</v>
      </c>
      <c r="C5036">
        <v>0.90417886972889605</v>
      </c>
      <c r="D5036">
        <v>0.97675648995846498</v>
      </c>
      <c r="E5036">
        <v>1.156558178439</v>
      </c>
      <c r="F5036">
        <v>1.0150755354655501</v>
      </c>
      <c r="G5036">
        <v>0.604564561056392</v>
      </c>
      <c r="H5036">
        <v>0.20161548416174399</v>
      </c>
      <c r="I5036">
        <v>0.15458685241649001</v>
      </c>
      <c r="J5036">
        <v>0.118097728464331</v>
      </c>
      <c r="K5036">
        <v>9.2409867127854997E-2</v>
      </c>
      <c r="L5036">
        <v>2678.3519131551898</v>
      </c>
      <c r="M5036">
        <v>46.909771409705897</v>
      </c>
      <c r="N5036">
        <v>57.454280294129099</v>
      </c>
      <c r="O5036">
        <v>56.992347622391598</v>
      </c>
      <c r="P5036">
        <v>-0.17966681035385301</v>
      </c>
      <c r="Q5036">
        <v>0.126866581855898</v>
      </c>
      <c r="R5036">
        <v>0.97734882790521405</v>
      </c>
      <c r="S5036" t="s">
        <v>12039</v>
      </c>
      <c r="T5036" t="s">
        <v>14004</v>
      </c>
      <c r="U5036" t="s">
        <v>14004</v>
      </c>
      <c r="V5036" t="s">
        <v>14004</v>
      </c>
      <c r="W5036" t="s">
        <v>18985</v>
      </c>
      <c r="X5036">
        <v>9</v>
      </c>
      <c r="Y5036" t="s">
        <v>25792</v>
      </c>
      <c r="Z5036" t="s">
        <v>32746</v>
      </c>
      <c r="AA5036">
        <v>0.62692131858064348</v>
      </c>
      <c r="AB5036" t="str">
        <f>HYPERLINK("Melting_Curves/meltCurve_Q8WW59_SPRYD4.pdf", "Melting_Curves/meltCurve_Q8WW59_SPRYD4.pdf")</f>
        <v>Melting_Curves/meltCurve_Q8WW59_SPRYD4.pdf</v>
      </c>
    </row>
    <row r="5037" spans="1:28" x14ac:dyDescent="0.25">
      <c r="A5037" t="s">
        <v>5041</v>
      </c>
      <c r="B5037">
        <v>0.99999676499088797</v>
      </c>
      <c r="C5037">
        <v>0.98558063312386501</v>
      </c>
      <c r="D5037">
        <v>0.97363783231224799</v>
      </c>
      <c r="E5037">
        <v>1.1396612079983599</v>
      </c>
      <c r="F5037">
        <v>1.2520423874190401</v>
      </c>
      <c r="G5037">
        <v>1.03842182385339</v>
      </c>
      <c r="H5037">
        <v>0.56575104872489401</v>
      </c>
      <c r="I5037">
        <v>0.36155048430037501</v>
      </c>
      <c r="J5037">
        <v>0.30439510201842601</v>
      </c>
      <c r="K5037">
        <v>0.321457099919495</v>
      </c>
      <c r="L5037">
        <v>5560.1140469002503</v>
      </c>
      <c r="M5037">
        <v>92.041692764700798</v>
      </c>
      <c r="N5037">
        <v>61.115483871910797</v>
      </c>
      <c r="O5037">
        <v>60.380153516505501</v>
      </c>
      <c r="P5037">
        <v>-0.25626456239254602</v>
      </c>
      <c r="Q5037">
        <v>0.327552979400419</v>
      </c>
      <c r="R5037">
        <v>0.92761034582829505</v>
      </c>
      <c r="S5037" t="s">
        <v>12040</v>
      </c>
      <c r="T5037" t="s">
        <v>14004</v>
      </c>
      <c r="U5037" t="s">
        <v>14004</v>
      </c>
      <c r="V5037" t="s">
        <v>14004</v>
      </c>
      <c r="W5037" t="s">
        <v>18986</v>
      </c>
      <c r="X5037">
        <v>2</v>
      </c>
      <c r="Y5037" t="s">
        <v>25793</v>
      </c>
      <c r="Z5037" t="s">
        <v>32747</v>
      </c>
      <c r="AA5037">
        <v>0.78553737849878658</v>
      </c>
      <c r="AB5037" t="str">
        <f>HYPERLINK("Melting_Curves/meltCurve_Q8WWB7_2_C1orf85.pdf", "Melting_Curves/meltCurve_Q8WWB7_2_C1orf85.pdf")</f>
        <v>Melting_Curves/meltCurve_Q8WWB7_2_C1orf85.pdf</v>
      </c>
    </row>
    <row r="5038" spans="1:28" x14ac:dyDescent="0.25">
      <c r="A5038" t="s">
        <v>5042</v>
      </c>
      <c r="B5038">
        <v>0.99999676499088797</v>
      </c>
      <c r="C5038">
        <v>1.02952299771056</v>
      </c>
      <c r="D5038">
        <v>1.0116154639150701</v>
      </c>
      <c r="E5038">
        <v>0.89748873291370301</v>
      </c>
      <c r="F5038">
        <v>0.55042372434123699</v>
      </c>
      <c r="G5038">
        <v>0.39895651202235599</v>
      </c>
      <c r="H5038">
        <v>0.155194252714282</v>
      </c>
      <c r="I5038">
        <v>0.10564493954397999</v>
      </c>
      <c r="J5038">
        <v>7.8136176659298506E-2</v>
      </c>
      <c r="K5038">
        <v>7.0764983846679494E-2</v>
      </c>
      <c r="L5038">
        <v>1027.9803123402</v>
      </c>
      <c r="M5038">
        <v>18.9435933921939</v>
      </c>
      <c r="N5038">
        <v>54.624958408979303</v>
      </c>
      <c r="O5038">
        <v>53.671465985697203</v>
      </c>
      <c r="P5038">
        <v>-8.3068926994689499E-2</v>
      </c>
      <c r="Q5038">
        <v>5.8626064552101703E-2</v>
      </c>
      <c r="R5038">
        <v>0.99237749880216597</v>
      </c>
      <c r="S5038" t="s">
        <v>12041</v>
      </c>
      <c r="T5038" t="s">
        <v>14004</v>
      </c>
      <c r="U5038" t="s">
        <v>14004</v>
      </c>
      <c r="V5038" t="s">
        <v>14004</v>
      </c>
      <c r="W5038" t="s">
        <v>18987</v>
      </c>
      <c r="X5038">
        <v>6</v>
      </c>
      <c r="Y5038" t="s">
        <v>25794</v>
      </c>
      <c r="Z5038" t="s">
        <v>32748</v>
      </c>
      <c r="AA5038">
        <v>0.52011444718697453</v>
      </c>
      <c r="AB5038" t="str">
        <f>HYPERLINK("Melting_Curves/meltCurve_Q8WWC4_C2orf47.pdf", "Melting_Curves/meltCurve_Q8WWC4_C2orf47.pdf")</f>
        <v>Melting_Curves/meltCurve_Q8WWC4_C2orf47.pdf</v>
      </c>
    </row>
    <row r="5039" spans="1:28" x14ac:dyDescent="0.25">
      <c r="A5039" t="s">
        <v>5043</v>
      </c>
      <c r="B5039">
        <v>0.99999676499088797</v>
      </c>
      <c r="C5039">
        <v>0.93290920213342299</v>
      </c>
      <c r="D5039">
        <v>0.82440990244483203</v>
      </c>
      <c r="E5039">
        <v>0.450899980967018</v>
      </c>
      <c r="F5039">
        <v>0.15704060027947001</v>
      </c>
      <c r="G5039">
        <v>9.0713707786130998E-2</v>
      </c>
      <c r="H5039">
        <v>3.8765440222815202E-2</v>
      </c>
      <c r="I5039">
        <v>3.10138688930406E-2</v>
      </c>
      <c r="J5039">
        <v>2.24290629510202E-2</v>
      </c>
      <c r="K5039">
        <v>2.3320635790719298E-2</v>
      </c>
      <c r="L5039">
        <v>1077.94874834753</v>
      </c>
      <c r="M5039">
        <v>21.992895014958499</v>
      </c>
      <c r="N5039">
        <v>49.128902957714303</v>
      </c>
      <c r="O5039">
        <v>48.613668202812804</v>
      </c>
      <c r="P5039">
        <v>-0.110255568326229</v>
      </c>
      <c r="Q5039">
        <v>2.51746905727139E-2</v>
      </c>
      <c r="R5039">
        <v>0.99899284509918396</v>
      </c>
      <c r="S5039" t="s">
        <v>12042</v>
      </c>
      <c r="T5039" t="s">
        <v>14004</v>
      </c>
      <c r="U5039" t="s">
        <v>14004</v>
      </c>
      <c r="V5039" t="s">
        <v>14004</v>
      </c>
      <c r="W5039" t="s">
        <v>18988</v>
      </c>
      <c r="X5039">
        <v>13</v>
      </c>
      <c r="Y5039" t="s">
        <v>25795</v>
      </c>
      <c r="Z5039" t="s">
        <v>32749</v>
      </c>
      <c r="AA5039">
        <v>0.32930619317089099</v>
      </c>
      <c r="AB5039" t="str">
        <f>HYPERLINK("Melting_Curves/meltCurve_Q8WWH5_TRUB1.pdf", "Melting_Curves/meltCurve_Q8WWH5_TRUB1.pdf")</f>
        <v>Melting_Curves/meltCurve_Q8WWH5_TRUB1.pdf</v>
      </c>
    </row>
    <row r="5040" spans="1:28" x14ac:dyDescent="0.25">
      <c r="A5040" t="s">
        <v>5044</v>
      </c>
      <c r="B5040">
        <v>0.99999676499088797</v>
      </c>
      <c r="C5040">
        <v>0.96264887088120799</v>
      </c>
      <c r="D5040">
        <v>0.98443201295842098</v>
      </c>
      <c r="E5040">
        <v>0.93038434983725304</v>
      </c>
      <c r="F5040">
        <v>0.82687359050256704</v>
      </c>
      <c r="G5040">
        <v>0.82419566445209302</v>
      </c>
      <c r="H5040">
        <v>0.58463334671062295</v>
      </c>
      <c r="I5040">
        <v>0.60136792177966902</v>
      </c>
      <c r="J5040">
        <v>0.56959725042714704</v>
      </c>
      <c r="K5040">
        <v>0.67024484920676597</v>
      </c>
      <c r="L5040">
        <v>923.32776159775506</v>
      </c>
      <c r="M5040">
        <v>16.756586249278602</v>
      </c>
      <c r="O5040">
        <v>54.335559169138101</v>
      </c>
      <c r="P5040">
        <v>-3.19919310242796E-2</v>
      </c>
      <c r="Q5040">
        <v>0.58507415881970304</v>
      </c>
      <c r="R5040">
        <v>0.92309915934121201</v>
      </c>
      <c r="S5040" t="s">
        <v>12043</v>
      </c>
      <c r="T5040" t="s">
        <v>14004</v>
      </c>
      <c r="U5040" t="s">
        <v>14004</v>
      </c>
      <c r="V5040" t="s">
        <v>14004</v>
      </c>
      <c r="W5040" t="s">
        <v>18989</v>
      </c>
      <c r="X5040">
        <v>7</v>
      </c>
      <c r="Y5040" t="s">
        <v>25796</v>
      </c>
      <c r="Z5040" t="s">
        <v>32750</v>
      </c>
      <c r="AA5040">
        <v>0.80095768554954205</v>
      </c>
      <c r="AB5040" t="str">
        <f>HYPERLINK("Melting_Curves/meltCurve_Q8WWI5_SLC44A1.pdf", "Melting_Curves/meltCurve_Q8WWI5_SLC44A1.pdf")</f>
        <v>Melting_Curves/meltCurve_Q8WWI5_SLC44A1.pdf</v>
      </c>
    </row>
    <row r="5041" spans="1:28" x14ac:dyDescent="0.25">
      <c r="A5041" t="s">
        <v>5045</v>
      </c>
      <c r="B5041">
        <v>0.99999676499088797</v>
      </c>
      <c r="C5041">
        <v>0.72504441697864397</v>
      </c>
      <c r="D5041">
        <v>0.50109434398428998</v>
      </c>
      <c r="E5041">
        <v>0.289218450397833</v>
      </c>
      <c r="F5041">
        <v>0.245911362775523</v>
      </c>
      <c r="G5041">
        <v>0.14754661428160001</v>
      </c>
      <c r="H5041">
        <v>9.2577304520595899E-2</v>
      </c>
      <c r="I5041">
        <v>7.3548654397797106E-2</v>
      </c>
      <c r="J5041">
        <v>9.2363027157055702E-2</v>
      </c>
      <c r="K5041">
        <v>9.6930999429106005E-2</v>
      </c>
      <c r="L5041">
        <v>724.62958391214704</v>
      </c>
      <c r="M5041">
        <v>15.866329389909501</v>
      </c>
      <c r="N5041">
        <v>46.2795866602236</v>
      </c>
      <c r="O5041">
        <v>44.963853430317499</v>
      </c>
      <c r="P5041">
        <v>-7.9915978075002003E-2</v>
      </c>
      <c r="Q5041">
        <v>9.4172240337540597E-2</v>
      </c>
      <c r="R5041">
        <v>0.98355787048142795</v>
      </c>
      <c r="S5041" t="s">
        <v>12044</v>
      </c>
      <c r="T5041" t="s">
        <v>14004</v>
      </c>
      <c r="U5041" t="s">
        <v>14004</v>
      </c>
      <c r="V5041" t="s">
        <v>14004</v>
      </c>
      <c r="W5041" t="s">
        <v>18990</v>
      </c>
      <c r="X5041">
        <v>5</v>
      </c>
      <c r="Y5041" t="s">
        <v>25797</v>
      </c>
      <c r="Z5041" t="s">
        <v>32751</v>
      </c>
      <c r="AA5041">
        <v>0.28954793969440201</v>
      </c>
      <c r="AB5041" t="str">
        <f>HYPERLINK("Melting_Curves/meltCurve_Q8WWK9_5_CKAP2.pdf", "Melting_Curves/meltCurve_Q8WWK9_5_CKAP2.pdf")</f>
        <v>Melting_Curves/meltCurve_Q8WWK9_5_CKAP2.pdf</v>
      </c>
    </row>
    <row r="5042" spans="1:28" x14ac:dyDescent="0.25">
      <c r="A5042" t="s">
        <v>5046</v>
      </c>
      <c r="B5042">
        <v>0.99999676499088797</v>
      </c>
      <c r="C5042">
        <v>0.86770713057571103</v>
      </c>
      <c r="D5042">
        <v>1.0152794846625199</v>
      </c>
      <c r="E5042">
        <v>1.0947154406786499</v>
      </c>
      <c r="F5042">
        <v>0.35549345550768302</v>
      </c>
      <c r="G5042">
        <v>0.25129310138822297</v>
      </c>
      <c r="H5042">
        <v>8.3996837088643694E-2</v>
      </c>
      <c r="I5042">
        <v>7.10323739699599E-2</v>
      </c>
      <c r="J5042">
        <v>4.9902854002882503E-2</v>
      </c>
      <c r="K5042">
        <v>3.8617040097536699E-2</v>
      </c>
      <c r="L5042">
        <v>8690.0778720549206</v>
      </c>
      <c r="M5042">
        <v>164.26847129808101</v>
      </c>
      <c r="N5042">
        <v>52.972809254327203</v>
      </c>
      <c r="O5042">
        <v>52.893862766986999</v>
      </c>
      <c r="P5042">
        <v>-0.699570511408802</v>
      </c>
      <c r="Q5042">
        <v>9.8963562880721195E-2</v>
      </c>
      <c r="R5042">
        <v>0.96932085068274598</v>
      </c>
      <c r="S5042" t="s">
        <v>12045</v>
      </c>
      <c r="T5042" t="s">
        <v>14004</v>
      </c>
      <c r="U5042" t="s">
        <v>14004</v>
      </c>
      <c r="V5042" t="s">
        <v>14004</v>
      </c>
      <c r="W5042" t="s">
        <v>18991</v>
      </c>
      <c r="X5042">
        <v>1</v>
      </c>
      <c r="Y5042" t="s">
        <v>25798</v>
      </c>
      <c r="Z5042" t="s">
        <v>32752</v>
      </c>
      <c r="AA5042">
        <v>0.4866534598420893</v>
      </c>
      <c r="AB5042" t="str">
        <f>HYPERLINK("Melting_Curves/meltCurve_Q8WWL7_CCNB3.pdf", "Melting_Curves/meltCurve_Q8WWL7_CCNB3.pdf")</f>
        <v>Melting_Curves/meltCurve_Q8WWL7_CCNB3.pdf</v>
      </c>
    </row>
    <row r="5043" spans="1:28" x14ac:dyDescent="0.25">
      <c r="A5043" t="s">
        <v>5047</v>
      </c>
      <c r="B5043">
        <v>0.99999676499088797</v>
      </c>
      <c r="C5043">
        <v>0.94081406930854805</v>
      </c>
      <c r="D5043">
        <v>0.91946918816565104</v>
      </c>
      <c r="E5043">
        <v>0.82617756177367896</v>
      </c>
      <c r="F5043">
        <v>0.47741355221308701</v>
      </c>
      <c r="G5043">
        <v>0.24723518900399699</v>
      </c>
      <c r="H5043">
        <v>0.12327740217783099</v>
      </c>
      <c r="I5043">
        <v>0.13357784182263799</v>
      </c>
      <c r="J5043">
        <v>0.12954747162635599</v>
      </c>
      <c r="K5043">
        <v>0.148128506247657</v>
      </c>
      <c r="L5043">
        <v>1201.76233102534</v>
      </c>
      <c r="M5043">
        <v>22.962856458772901</v>
      </c>
      <c r="N5043">
        <v>52.972399284263297</v>
      </c>
      <c r="O5043">
        <v>51.9429803903231</v>
      </c>
      <c r="P5043">
        <v>-9.7181468558799097E-2</v>
      </c>
      <c r="Q5043">
        <v>0.120701528667117</v>
      </c>
      <c r="R5043">
        <v>0.99479109483850303</v>
      </c>
      <c r="S5043" t="s">
        <v>12046</v>
      </c>
      <c r="T5043" t="s">
        <v>14004</v>
      </c>
      <c r="U5043" t="s">
        <v>14004</v>
      </c>
      <c r="V5043" t="s">
        <v>14004</v>
      </c>
      <c r="W5043" t="s">
        <v>18992</v>
      </c>
      <c r="X5043">
        <v>39</v>
      </c>
      <c r="Y5043" t="s">
        <v>25799</v>
      </c>
      <c r="Z5043" t="s">
        <v>32753</v>
      </c>
      <c r="AA5043">
        <v>0.49169481895095951</v>
      </c>
      <c r="AB5043" t="str">
        <f>HYPERLINK("Melting_Curves/meltCurve_Q8WWM7_ATXN2L.pdf", "Melting_Curves/meltCurve_Q8WWM7_ATXN2L.pdf")</f>
        <v>Melting_Curves/meltCurve_Q8WWM7_ATXN2L.pdf</v>
      </c>
    </row>
    <row r="5044" spans="1:28" x14ac:dyDescent="0.25">
      <c r="A5044" t="s">
        <v>5048</v>
      </c>
      <c r="B5044">
        <v>0.99999676499088797</v>
      </c>
      <c r="C5044">
        <v>0.977827064843099</v>
      </c>
      <c r="D5044">
        <v>0.942101035224296</v>
      </c>
      <c r="E5044">
        <v>0.74342862517115404</v>
      </c>
      <c r="F5044">
        <v>0.27794510396361799</v>
      </c>
      <c r="G5044">
        <v>0.22652498279498601</v>
      </c>
      <c r="H5044">
        <v>0.113871163260116</v>
      </c>
      <c r="I5044">
        <v>0.120547258958612</v>
      </c>
      <c r="J5044">
        <v>9.8177875873681E-2</v>
      </c>
      <c r="K5044">
        <v>9.4189589206913102E-2</v>
      </c>
      <c r="L5044">
        <v>1462.21334960885</v>
      </c>
      <c r="M5044">
        <v>28.6981833189827</v>
      </c>
      <c r="N5044">
        <v>51.414749965941802</v>
      </c>
      <c r="O5044">
        <v>50.705950414956398</v>
      </c>
      <c r="P5044">
        <v>-0.12537266629002899</v>
      </c>
      <c r="Q5044">
        <v>0.113938257819166</v>
      </c>
      <c r="R5044">
        <v>0.99439344539306396</v>
      </c>
      <c r="S5044" t="s">
        <v>12047</v>
      </c>
      <c r="T5044" t="s">
        <v>14004</v>
      </c>
      <c r="U5044" t="s">
        <v>14004</v>
      </c>
      <c r="V5044" t="s">
        <v>14004</v>
      </c>
      <c r="W5044" t="s">
        <v>18993</v>
      </c>
      <c r="X5044">
        <v>14</v>
      </c>
      <c r="Y5044" t="s">
        <v>25800</v>
      </c>
      <c r="Z5044" t="s">
        <v>32754</v>
      </c>
      <c r="AA5044">
        <v>0.44347633926402941</v>
      </c>
      <c r="AB5044" t="str">
        <f>HYPERLINK("Melting_Curves/meltCurve_Q8WWP7_GIMAP1.pdf", "Melting_Curves/meltCurve_Q8WWP7_GIMAP1.pdf")</f>
        <v>Melting_Curves/meltCurve_Q8WWP7_GIMAP1.pdf</v>
      </c>
    </row>
    <row r="5045" spans="1:28" x14ac:dyDescent="0.25">
      <c r="A5045" t="s">
        <v>5049</v>
      </c>
      <c r="B5045">
        <v>0.99999676499088797</v>
      </c>
      <c r="C5045">
        <v>0.834016993002623</v>
      </c>
      <c r="D5045">
        <v>0.764094438506846</v>
      </c>
      <c r="E5045">
        <v>0.38019040128607101</v>
      </c>
      <c r="F5045">
        <v>0.18426045345167</v>
      </c>
      <c r="G5045">
        <v>0.120999168369021</v>
      </c>
      <c r="H5045">
        <v>8.2352132159497396E-2</v>
      </c>
      <c r="I5045">
        <v>6.6031921590600104E-2</v>
      </c>
      <c r="J5045">
        <v>7.3959501341765696E-2</v>
      </c>
      <c r="K5045">
        <v>7.8288778743107107E-2</v>
      </c>
      <c r="L5045">
        <v>896.01255817987499</v>
      </c>
      <c r="M5045">
        <v>18.664928453952701</v>
      </c>
      <c r="N5045">
        <v>48.368292749152999</v>
      </c>
      <c r="O5045">
        <v>47.464281228469297</v>
      </c>
      <c r="P5045">
        <v>-9.1886560303152107E-2</v>
      </c>
      <c r="Q5045">
        <v>6.5382318101880804E-2</v>
      </c>
      <c r="R5045">
        <v>0.992350016363445</v>
      </c>
      <c r="S5045" t="s">
        <v>12048</v>
      </c>
      <c r="T5045" t="s">
        <v>14004</v>
      </c>
      <c r="U5045" t="s">
        <v>14004</v>
      </c>
      <c r="V5045" t="s">
        <v>14004</v>
      </c>
      <c r="W5045" t="s">
        <v>18994</v>
      </c>
      <c r="X5045">
        <v>4</v>
      </c>
      <c r="Y5045" t="s">
        <v>25801</v>
      </c>
      <c r="Z5045" t="s">
        <v>32755</v>
      </c>
      <c r="AA5045">
        <v>0.33014054295222472</v>
      </c>
      <c r="AB5045" t="str">
        <f>HYPERLINK("Melting_Curves/meltCurve_Q8WWV3_RTN4IP1.pdf", "Melting_Curves/meltCurve_Q8WWV3_RTN4IP1.pdf")</f>
        <v>Melting_Curves/meltCurve_Q8WWV3_RTN4IP1.pdf</v>
      </c>
    </row>
    <row r="5046" spans="1:28" x14ac:dyDescent="0.25">
      <c r="A5046" t="s">
        <v>5050</v>
      </c>
      <c r="B5046">
        <v>0.99999676499088797</v>
      </c>
      <c r="C5046">
        <v>0.68104708538366898</v>
      </c>
      <c r="D5046">
        <v>0.51685926953317596</v>
      </c>
      <c r="E5046">
        <v>0.32324361503056998</v>
      </c>
      <c r="F5046">
        <v>0.11647785716492801</v>
      </c>
      <c r="G5046">
        <v>9.1810320620140398E-2</v>
      </c>
      <c r="H5046">
        <v>0</v>
      </c>
      <c r="I5046">
        <v>5.5788434674209797E-2</v>
      </c>
      <c r="J5046">
        <v>5.3601849192673801E-2</v>
      </c>
      <c r="K5046">
        <v>2.6906495478774099E-2</v>
      </c>
      <c r="L5046">
        <v>680.32230133097403</v>
      </c>
      <c r="M5046">
        <v>14.764345055692599</v>
      </c>
      <c r="N5046">
        <v>46.227280284180601</v>
      </c>
      <c r="O5046">
        <v>45.258198626761001</v>
      </c>
      <c r="P5046">
        <v>-7.96752856449012E-2</v>
      </c>
      <c r="Q5046">
        <v>2.31681520257647E-2</v>
      </c>
      <c r="R5046">
        <v>0.98042295955743597</v>
      </c>
      <c r="S5046" t="s">
        <v>12049</v>
      </c>
      <c r="T5046" t="s">
        <v>14004</v>
      </c>
      <c r="U5046" t="s">
        <v>14004</v>
      </c>
      <c r="V5046" t="s">
        <v>14004</v>
      </c>
      <c r="W5046" t="s">
        <v>18995</v>
      </c>
      <c r="X5046">
        <v>2</v>
      </c>
      <c r="Y5046" t="s">
        <v>25802</v>
      </c>
      <c r="Z5046" t="s">
        <v>32756</v>
      </c>
      <c r="AA5046">
        <v>0.25039866865281207</v>
      </c>
      <c r="AB5046" t="str">
        <f>HYPERLINK("Melting_Curves/meltCurve_Q8WWW0_2_RASSF5.pdf", "Melting_Curves/meltCurve_Q8WWW0_2_RASSF5.pdf")</f>
        <v>Melting_Curves/meltCurve_Q8WWW0_2_RASSF5.pdf</v>
      </c>
    </row>
    <row r="5047" spans="1:28" x14ac:dyDescent="0.25">
      <c r="A5047" t="s">
        <v>5051</v>
      </c>
      <c r="B5047">
        <v>0.99999676499088797</v>
      </c>
      <c r="C5047">
        <v>1.0147644527697499</v>
      </c>
      <c r="D5047">
        <v>1.01652869745816</v>
      </c>
      <c r="E5047">
        <v>0.680068386101222</v>
      </c>
      <c r="F5047">
        <v>0.57643673979877896</v>
      </c>
      <c r="G5047">
        <v>0.51980502865117695</v>
      </c>
      <c r="H5047">
        <v>0.204604562594522</v>
      </c>
      <c r="I5047">
        <v>0.21641474949714301</v>
      </c>
      <c r="J5047">
        <v>0.25436497172747702</v>
      </c>
      <c r="K5047">
        <v>0.30377590179034197</v>
      </c>
      <c r="L5047">
        <v>837.50177760116105</v>
      </c>
      <c r="M5047">
        <v>15.9660241397403</v>
      </c>
      <c r="N5047">
        <v>54.527177872373997</v>
      </c>
      <c r="O5047">
        <v>51.653042085455603</v>
      </c>
      <c r="P5047">
        <v>-5.9706046944601202E-2</v>
      </c>
      <c r="Q5047">
        <v>0.227420668811296</v>
      </c>
      <c r="R5047">
        <v>0.95137900139459497</v>
      </c>
      <c r="S5047" t="s">
        <v>12050</v>
      </c>
      <c r="T5047" t="s">
        <v>14004</v>
      </c>
      <c r="U5047" t="s">
        <v>14004</v>
      </c>
      <c r="V5047" t="s">
        <v>14004</v>
      </c>
      <c r="W5047" t="s">
        <v>18996</v>
      </c>
      <c r="X5047">
        <v>2</v>
      </c>
      <c r="Y5047" t="s">
        <v>25803</v>
      </c>
      <c r="Z5047" t="s">
        <v>32757</v>
      </c>
      <c r="AA5047">
        <v>0.56364545802114308</v>
      </c>
      <c r="AB5047" t="str">
        <f>HYPERLINK("Melting_Curves/meltCurve_Q8WWX9_SELM.pdf", "Melting_Curves/meltCurve_Q8WWX9_SELM.pdf")</f>
        <v>Melting_Curves/meltCurve_Q8WWX9_SELM.pdf</v>
      </c>
    </row>
    <row r="5048" spans="1:28" x14ac:dyDescent="0.25">
      <c r="A5048" t="s">
        <v>5052</v>
      </c>
      <c r="B5048">
        <v>0.99999676499088797</v>
      </c>
      <c r="C5048">
        <v>0.85084639974327703</v>
      </c>
      <c r="D5048">
        <v>0.52717801317039104</v>
      </c>
      <c r="E5048">
        <v>0.21673311141208501</v>
      </c>
      <c r="F5048">
        <v>0.12696702006952901</v>
      </c>
      <c r="G5048">
        <v>8.3467478658187599E-2</v>
      </c>
      <c r="H5048">
        <v>4.3438215669914598E-2</v>
      </c>
      <c r="I5048">
        <v>4.5314617129358602E-2</v>
      </c>
      <c r="J5048">
        <v>4.1357952779290497E-2</v>
      </c>
      <c r="K5048">
        <v>3.7673717500700997E-2</v>
      </c>
      <c r="L5048">
        <v>1009.6695116063401</v>
      </c>
      <c r="M5048">
        <v>21.889256377767001</v>
      </c>
      <c r="N5048">
        <v>46.348047535040003</v>
      </c>
      <c r="O5048">
        <v>45.746452531108801</v>
      </c>
      <c r="P5048">
        <v>-0.11367731097167701</v>
      </c>
      <c r="Q5048">
        <v>4.9722718592691798E-2</v>
      </c>
      <c r="R5048">
        <v>0.99770399819168498</v>
      </c>
      <c r="S5048" t="s">
        <v>12051</v>
      </c>
      <c r="T5048" t="s">
        <v>14004</v>
      </c>
      <c r="U5048" t="s">
        <v>14004</v>
      </c>
      <c r="V5048" t="s">
        <v>14004</v>
      </c>
      <c r="W5048" t="s">
        <v>18997</v>
      </c>
      <c r="X5048">
        <v>15</v>
      </c>
      <c r="Y5048" t="s">
        <v>25804</v>
      </c>
      <c r="Z5048" t="s">
        <v>32758</v>
      </c>
      <c r="AA5048">
        <v>0.25561976899227001</v>
      </c>
      <c r="AB5048" t="str">
        <f>HYPERLINK("Melting_Curves/meltCurve_Q8WWY3_PRPF31.pdf", "Melting_Curves/meltCurve_Q8WWY3_PRPF31.pdf")</f>
        <v>Melting_Curves/meltCurve_Q8WWY3_PRPF31.pdf</v>
      </c>
    </row>
    <row r="5049" spans="1:28" x14ac:dyDescent="0.25">
      <c r="A5049" t="s">
        <v>5053</v>
      </c>
      <c r="B5049">
        <v>0.99999676499088797</v>
      </c>
      <c r="C5049">
        <v>0.92268246249425701</v>
      </c>
      <c r="D5049">
        <v>0.854358164029969</v>
      </c>
      <c r="E5049">
        <v>0.50173522891447797</v>
      </c>
      <c r="F5049">
        <v>0.23517426903959901</v>
      </c>
      <c r="G5049">
        <v>0.12676812960775299</v>
      </c>
      <c r="H5049">
        <v>5.5427959476738897E-2</v>
      </c>
      <c r="I5049">
        <v>5.4804366953841499E-2</v>
      </c>
      <c r="J5049">
        <v>5.5972299237506302E-2</v>
      </c>
      <c r="K5049">
        <v>4.3079139900909599E-2</v>
      </c>
      <c r="L5049">
        <v>991.18038609086898</v>
      </c>
      <c r="M5049">
        <v>20.021392343332199</v>
      </c>
      <c r="N5049">
        <v>49.739271519439598</v>
      </c>
      <c r="O5049">
        <v>49.020123918617301</v>
      </c>
      <c r="P5049">
        <v>-9.7536750833321195E-2</v>
      </c>
      <c r="Q5049">
        <v>4.4799949407587698E-2</v>
      </c>
      <c r="R5049">
        <v>0.99826828501911902</v>
      </c>
      <c r="S5049" t="s">
        <v>12052</v>
      </c>
      <c r="T5049" t="s">
        <v>14004</v>
      </c>
      <c r="U5049" t="s">
        <v>14004</v>
      </c>
      <c r="V5049" t="s">
        <v>14004</v>
      </c>
      <c r="W5049" t="s">
        <v>18998</v>
      </c>
      <c r="X5049">
        <v>17</v>
      </c>
      <c r="Y5049" t="s">
        <v>25805</v>
      </c>
      <c r="Z5049" t="s">
        <v>32759</v>
      </c>
      <c r="AA5049">
        <v>0.36077404591312229</v>
      </c>
      <c r="AB5049" t="str">
        <f>HYPERLINK("Melting_Curves/meltCurve_Q8WX92_NELFB.pdf", "Melting_Curves/meltCurve_Q8WX92_NELFB.pdf")</f>
        <v>Melting_Curves/meltCurve_Q8WX92_NELFB.pdf</v>
      </c>
    </row>
    <row r="5050" spans="1:28" x14ac:dyDescent="0.25">
      <c r="A5050" t="s">
        <v>5054</v>
      </c>
      <c r="B5050">
        <v>0.99999676499088797</v>
      </c>
      <c r="C5050">
        <v>0.99330602826216297</v>
      </c>
      <c r="D5050">
        <v>0.84207793799268804</v>
      </c>
      <c r="E5050">
        <v>0.46982531043974701</v>
      </c>
      <c r="F5050">
        <v>0.26777265893355401</v>
      </c>
      <c r="G5050">
        <v>0.15995787048830501</v>
      </c>
      <c r="H5050">
        <v>8.6284086335084206E-2</v>
      </c>
      <c r="I5050">
        <v>9.9637425417277103E-2</v>
      </c>
      <c r="J5050">
        <v>8.7310934252434497E-2</v>
      </c>
      <c r="K5050">
        <v>6.8217497727042803E-2</v>
      </c>
      <c r="L5050">
        <v>1044.87123745186</v>
      </c>
      <c r="M5050">
        <v>21.243671208647299</v>
      </c>
      <c r="N5050">
        <v>49.6290978615989</v>
      </c>
      <c r="O5050">
        <v>48.7554441812783</v>
      </c>
      <c r="P5050">
        <v>-9.9504516752792399E-2</v>
      </c>
      <c r="Q5050">
        <v>8.6549113304563205E-2</v>
      </c>
      <c r="R5050">
        <v>0.99684042340770795</v>
      </c>
      <c r="S5050" t="s">
        <v>12053</v>
      </c>
      <c r="T5050" t="s">
        <v>14004</v>
      </c>
      <c r="U5050" t="s">
        <v>14004</v>
      </c>
      <c r="V5050" t="s">
        <v>14004</v>
      </c>
      <c r="W5050" t="s">
        <v>18999</v>
      </c>
      <c r="X5050">
        <v>12</v>
      </c>
      <c r="Y5050" t="s">
        <v>25806</v>
      </c>
      <c r="Z5050" t="s">
        <v>32760</v>
      </c>
      <c r="AA5050">
        <v>0.37752472166184031</v>
      </c>
      <c r="AB5050" t="str">
        <f>HYPERLINK("Melting_Curves/meltCurve_Q8WX93_3_PALLD.pdf", "Melting_Curves/meltCurve_Q8WX93_3_PALLD.pdf")</f>
        <v>Melting_Curves/meltCurve_Q8WX93_3_PALLD.pdf</v>
      </c>
    </row>
    <row r="5051" spans="1:28" x14ac:dyDescent="0.25">
      <c r="A5051" t="s">
        <v>5055</v>
      </c>
      <c r="B5051">
        <v>0.99999676499088797</v>
      </c>
      <c r="C5051">
        <v>0.97567717913033503</v>
      </c>
      <c r="D5051">
        <v>0.88249744333941604</v>
      </c>
      <c r="E5051">
        <v>0.54138224989284001</v>
      </c>
      <c r="F5051">
        <v>0.23982582671975999</v>
      </c>
      <c r="G5051">
        <v>0.15724009032091699</v>
      </c>
      <c r="H5051">
        <v>8.2643346936643103E-2</v>
      </c>
      <c r="I5051">
        <v>7.7161616201071301E-2</v>
      </c>
      <c r="J5051">
        <v>7.9679637082262195E-2</v>
      </c>
      <c r="K5051">
        <v>8.49534774659777E-2</v>
      </c>
      <c r="L5051">
        <v>1142.7794205466801</v>
      </c>
      <c r="M5051">
        <v>23.008801535795602</v>
      </c>
      <c r="N5051">
        <v>50.050533988198403</v>
      </c>
      <c r="O5051">
        <v>49.296446665952701</v>
      </c>
      <c r="P5051">
        <v>-0.10725830233452401</v>
      </c>
      <c r="Q5051">
        <v>8.0811865037102804E-2</v>
      </c>
      <c r="R5051">
        <v>0.99917967456839896</v>
      </c>
      <c r="S5051" t="s">
        <v>12054</v>
      </c>
      <c r="T5051" t="s">
        <v>14004</v>
      </c>
      <c r="U5051" t="s">
        <v>14004</v>
      </c>
      <c r="V5051" t="s">
        <v>14004</v>
      </c>
      <c r="W5051" t="s">
        <v>19000</v>
      </c>
      <c r="X5051">
        <v>10</v>
      </c>
      <c r="Y5051" t="s">
        <v>25807</v>
      </c>
      <c r="Z5051" t="s">
        <v>32761</v>
      </c>
      <c r="AA5051">
        <v>0.38669134264929061</v>
      </c>
      <c r="AB5051" t="str">
        <f>HYPERLINK("Melting_Curves/meltCurve_Q8WXA9_2_SREK1.pdf", "Melting_Curves/meltCurve_Q8WXA9_2_SREK1.pdf")</f>
        <v>Melting_Curves/meltCurve_Q8WXA9_2_SREK1.pdf</v>
      </c>
    </row>
    <row r="5052" spans="1:28" x14ac:dyDescent="0.25">
      <c r="A5052" t="s">
        <v>5056</v>
      </c>
      <c r="B5052">
        <v>0.99999676499088797</v>
      </c>
      <c r="C5052">
        <v>0.89165818388708995</v>
      </c>
      <c r="D5052">
        <v>1.06502310139978</v>
      </c>
      <c r="E5052">
        <v>1.32704186231162</v>
      </c>
      <c r="F5052">
        <v>2.2271351025051902</v>
      </c>
      <c r="G5052">
        <v>1.6596403071491199</v>
      </c>
      <c r="H5052">
        <v>0.96961129256907297</v>
      </c>
      <c r="I5052">
        <v>0.73593637788723598</v>
      </c>
      <c r="J5052">
        <v>0.64647104839644698</v>
      </c>
      <c r="K5052">
        <v>0.81861308587021497</v>
      </c>
      <c r="L5052">
        <v>8662.8066249536096</v>
      </c>
      <c r="M5052">
        <v>140.42485260603601</v>
      </c>
      <c r="O5052">
        <v>61.677456533891998</v>
      </c>
      <c r="P5052">
        <v>-0.15191022474299401</v>
      </c>
      <c r="Q5052">
        <v>0.73311167061820304</v>
      </c>
      <c r="R5052">
        <v>1.6024853758005098E-2</v>
      </c>
      <c r="S5052" t="s">
        <v>12055</v>
      </c>
      <c r="T5052" t="s">
        <v>14004</v>
      </c>
      <c r="U5052" t="s">
        <v>14004</v>
      </c>
      <c r="V5052" t="s">
        <v>14004</v>
      </c>
      <c r="W5052" t="s">
        <v>19001</v>
      </c>
      <c r="X5052">
        <v>2</v>
      </c>
      <c r="Y5052" t="s">
        <v>25808</v>
      </c>
      <c r="Z5052" t="s">
        <v>32762</v>
      </c>
      <c r="AA5052">
        <v>0.92616339792712976</v>
      </c>
      <c r="AB5052" t="str">
        <f>HYPERLINK("Melting_Curves/meltCurve_Q8WXD5_GEMIN6.pdf", "Melting_Curves/meltCurve_Q8WXD5_GEMIN6.pdf")</f>
        <v>Melting_Curves/meltCurve_Q8WXD5_GEMIN6.pdf</v>
      </c>
    </row>
    <row r="5053" spans="1:28" x14ac:dyDescent="0.25">
      <c r="A5053" t="s">
        <v>5057</v>
      </c>
      <c r="B5053">
        <v>0.99999676499088797</v>
      </c>
      <c r="C5053">
        <v>0.906811875742076</v>
      </c>
      <c r="D5053">
        <v>0.50747567582941</v>
      </c>
      <c r="E5053">
        <v>0.29965022679122799</v>
      </c>
      <c r="F5053">
        <v>0.20587522722132301</v>
      </c>
      <c r="G5053">
        <v>0.156688691121523</v>
      </c>
      <c r="H5053">
        <v>7.7828509199391896E-2</v>
      </c>
      <c r="I5053">
        <v>8.86646323485345E-2</v>
      </c>
      <c r="J5053">
        <v>8.8923527207661293E-2</v>
      </c>
      <c r="K5053">
        <v>8.5959326098605904E-2</v>
      </c>
      <c r="L5053">
        <v>977.46947221456105</v>
      </c>
      <c r="M5053">
        <v>21.163942174001399</v>
      </c>
      <c r="N5053">
        <v>46.699575181956703</v>
      </c>
      <c r="O5053">
        <v>45.779184619019198</v>
      </c>
      <c r="P5053">
        <v>-0.103571585952801</v>
      </c>
      <c r="Q5053">
        <v>0.103891002479078</v>
      </c>
      <c r="R5053">
        <v>0.98675695731523505</v>
      </c>
      <c r="S5053" t="s">
        <v>12056</v>
      </c>
      <c r="T5053" t="s">
        <v>14004</v>
      </c>
      <c r="U5053" t="s">
        <v>14004</v>
      </c>
      <c r="V5053" t="s">
        <v>14004</v>
      </c>
      <c r="W5053" t="s">
        <v>19002</v>
      </c>
      <c r="X5053">
        <v>7</v>
      </c>
      <c r="Y5053" t="s">
        <v>25809</v>
      </c>
      <c r="Z5053" t="s">
        <v>32763</v>
      </c>
      <c r="AA5053">
        <v>0.30067942057085961</v>
      </c>
      <c r="AB5053" t="str">
        <f>HYPERLINK("Melting_Curves/meltCurve_Q8WXE0_CASKIN2.pdf", "Melting_Curves/meltCurve_Q8WXE0_CASKIN2.pdf")</f>
        <v>Melting_Curves/meltCurve_Q8WXE0_CASKIN2.pdf</v>
      </c>
    </row>
    <row r="5054" spans="1:28" x14ac:dyDescent="0.25">
      <c r="A5054" t="s">
        <v>5058</v>
      </c>
      <c r="B5054">
        <v>0.99999676499088797</v>
      </c>
      <c r="C5054">
        <v>1.0604267054515399</v>
      </c>
      <c r="D5054">
        <v>1.00009657345368</v>
      </c>
      <c r="E5054">
        <v>1.0257107670057199</v>
      </c>
      <c r="F5054">
        <v>1.006997966451</v>
      </c>
      <c r="G5054">
        <v>0.59391512972777205</v>
      </c>
      <c r="H5054">
        <v>0.26254373834154399</v>
      </c>
      <c r="I5054">
        <v>0.268739448018047</v>
      </c>
      <c r="J5054">
        <v>0.22094543262382699</v>
      </c>
      <c r="K5054">
        <v>0.25578648866405701</v>
      </c>
      <c r="L5054">
        <v>5480.1048489780696</v>
      </c>
      <c r="M5054">
        <v>96.6512401237528</v>
      </c>
      <c r="N5054">
        <v>57.113438260845797</v>
      </c>
      <c r="O5054">
        <v>56.675520409442797</v>
      </c>
      <c r="P5054">
        <v>-0.31902333691085799</v>
      </c>
      <c r="Q5054">
        <v>0.25170894636801899</v>
      </c>
      <c r="R5054">
        <v>0.995648385269151</v>
      </c>
      <c r="S5054" t="s">
        <v>12057</v>
      </c>
      <c r="T5054" t="s">
        <v>14004</v>
      </c>
      <c r="U5054" t="s">
        <v>14004</v>
      </c>
      <c r="V5054" t="s">
        <v>14004</v>
      </c>
      <c r="W5054" t="s">
        <v>19003</v>
      </c>
      <c r="X5054">
        <v>1</v>
      </c>
      <c r="Y5054" t="s">
        <v>25810</v>
      </c>
      <c r="Z5054" t="s">
        <v>32764</v>
      </c>
      <c r="AA5054">
        <v>0.66875116469447449</v>
      </c>
      <c r="AB5054" t="str">
        <f>HYPERLINK("Melting_Curves/meltCurve_Q8WXE1_5_ATRIP.pdf", "Melting_Curves/meltCurve_Q8WXE1_5_ATRIP.pdf")</f>
        <v>Melting_Curves/meltCurve_Q8WXE1_5_ATRIP.pdf</v>
      </c>
    </row>
    <row r="5055" spans="1:28" x14ac:dyDescent="0.25">
      <c r="A5055" t="s">
        <v>5059</v>
      </c>
      <c r="B5055">
        <v>0.99999676499088797</v>
      </c>
      <c r="C5055">
        <v>0.922575238230946</v>
      </c>
      <c r="D5055">
        <v>0.74735344757072797</v>
      </c>
      <c r="E5055">
        <v>0.26809117966828</v>
      </c>
      <c r="F5055">
        <v>0.164002889506492</v>
      </c>
      <c r="G5055">
        <v>0.114369190274786</v>
      </c>
      <c r="H5055">
        <v>7.8097134584762903E-2</v>
      </c>
      <c r="I5055">
        <v>0.10053044231283501</v>
      </c>
      <c r="J5055">
        <v>0.108375946769096</v>
      </c>
      <c r="K5055">
        <v>0.109445101556121</v>
      </c>
      <c r="L5055">
        <v>1383.4401065107199</v>
      </c>
      <c r="M5055">
        <v>29.2384794491972</v>
      </c>
      <c r="N5055">
        <v>47.692643031810398</v>
      </c>
      <c r="O5055">
        <v>47.096070090241497</v>
      </c>
      <c r="P5055">
        <v>-0.139196964003718</v>
      </c>
      <c r="Q5055">
        <v>0.103157100324061</v>
      </c>
      <c r="R5055">
        <v>0.99719379582588596</v>
      </c>
      <c r="S5055" t="s">
        <v>12058</v>
      </c>
      <c r="T5055" t="s">
        <v>14004</v>
      </c>
      <c r="U5055" t="s">
        <v>14004</v>
      </c>
      <c r="V5055" t="s">
        <v>14004</v>
      </c>
      <c r="W5055" t="s">
        <v>19004</v>
      </c>
      <c r="X5055">
        <v>31</v>
      </c>
      <c r="Y5055" t="s">
        <v>25811</v>
      </c>
      <c r="Z5055" t="s">
        <v>32765</v>
      </c>
      <c r="AA5055">
        <v>0.32754036226416311</v>
      </c>
      <c r="AB5055" t="str">
        <f>HYPERLINK("Melting_Curves/meltCurve_Q8WXF1_PSPC1.pdf", "Melting_Curves/meltCurve_Q8WXF1_PSPC1.pdf")</f>
        <v>Melting_Curves/meltCurve_Q8WXF1_PSPC1.pdf</v>
      </c>
    </row>
    <row r="5056" spans="1:28" x14ac:dyDescent="0.25">
      <c r="A5056" t="s">
        <v>5060</v>
      </c>
      <c r="B5056">
        <v>0.99999676499088797</v>
      </c>
      <c r="C5056">
        <v>2.4169942543462302</v>
      </c>
      <c r="D5056">
        <v>1.48166792858846</v>
      </c>
      <c r="E5056">
        <v>1.6465149613495</v>
      </c>
      <c r="F5056">
        <v>0.79972930636137995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13373.6609042414</v>
      </c>
      <c r="M5056">
        <v>250</v>
      </c>
      <c r="N5056">
        <v>53.494644174617598</v>
      </c>
      <c r="O5056">
        <v>53.491220335977196</v>
      </c>
      <c r="P5056">
        <v>-1.1684160448327601</v>
      </c>
      <c r="Q5056">
        <v>0</v>
      </c>
      <c r="R5056">
        <v>0.61992657534925599</v>
      </c>
      <c r="S5056" t="s">
        <v>12059</v>
      </c>
      <c r="T5056" t="s">
        <v>14004</v>
      </c>
      <c r="U5056" t="s">
        <v>14004</v>
      </c>
      <c r="V5056" t="s">
        <v>14004</v>
      </c>
      <c r="W5056" t="s">
        <v>19005</v>
      </c>
      <c r="X5056">
        <v>1</v>
      </c>
      <c r="Y5056" t="s">
        <v>25812</v>
      </c>
      <c r="Z5056" t="s">
        <v>32766</v>
      </c>
      <c r="AA5056">
        <v>0.44991533616584062</v>
      </c>
      <c r="AB5056" t="str">
        <f>HYPERLINK("Melting_Curves/meltCurve_Q8WXG6_7_MADD.pdf", "Melting_Curves/meltCurve_Q8WXG6_7_MADD.pdf")</f>
        <v>Melting_Curves/meltCurve_Q8WXG6_7_MADD.pdf</v>
      </c>
    </row>
    <row r="5057" spans="1:28" x14ac:dyDescent="0.25">
      <c r="A5057" t="s">
        <v>5061</v>
      </c>
      <c r="B5057">
        <v>0.99999676499088797</v>
      </c>
      <c r="C5057">
        <v>0.88455782741536204</v>
      </c>
      <c r="D5057">
        <v>0.35335373179357299</v>
      </c>
      <c r="E5057">
        <v>0.25330692955123801</v>
      </c>
      <c r="F5057">
        <v>0.19556139265085101</v>
      </c>
      <c r="G5057">
        <v>0.15479691444400701</v>
      </c>
      <c r="H5057">
        <v>7.8865727959314194E-2</v>
      </c>
      <c r="I5057">
        <v>9.6663373517121107E-2</v>
      </c>
      <c r="J5057">
        <v>0.10790987706505301</v>
      </c>
      <c r="K5057">
        <v>8.9576282835618401E-2</v>
      </c>
      <c r="L5057">
        <v>1643.14114664147</v>
      </c>
      <c r="M5057">
        <v>36.627479534203097</v>
      </c>
      <c r="N5057">
        <v>45.241450122344297</v>
      </c>
      <c r="O5057">
        <v>44.727788632190297</v>
      </c>
      <c r="P5057">
        <v>-0.177582456575303</v>
      </c>
      <c r="Q5057">
        <v>0.13258050968802401</v>
      </c>
      <c r="R5057">
        <v>0.97951938615585299</v>
      </c>
      <c r="S5057" t="s">
        <v>12060</v>
      </c>
      <c r="T5057" t="s">
        <v>14004</v>
      </c>
      <c r="U5057" t="s">
        <v>14004</v>
      </c>
      <c r="V5057" t="s">
        <v>14004</v>
      </c>
      <c r="W5057" t="s">
        <v>19006</v>
      </c>
      <c r="X5057">
        <v>21</v>
      </c>
      <c r="Y5057" t="s">
        <v>25813</v>
      </c>
      <c r="Z5057" t="s">
        <v>32767</v>
      </c>
      <c r="AA5057">
        <v>0.27665393896192192</v>
      </c>
      <c r="AB5057" t="str">
        <f>HYPERLINK("Melting_Curves/meltCurve_Q8WXH0_SYNE2.pdf", "Melting_Curves/meltCurve_Q8WXH0_SYNE2.pdf")</f>
        <v>Melting_Curves/meltCurve_Q8WXH0_SYNE2.pdf</v>
      </c>
    </row>
    <row r="5058" spans="1:28" x14ac:dyDescent="0.25">
      <c r="A5058" t="s">
        <v>5062</v>
      </c>
      <c r="B5058">
        <v>0.99999676499088797</v>
      </c>
      <c r="C5058">
        <v>1.03129093823916</v>
      </c>
      <c r="D5058">
        <v>0.72855751698654203</v>
      </c>
      <c r="E5058">
        <v>0.511632174768057</v>
      </c>
      <c r="F5058">
        <v>0.32239801724367201</v>
      </c>
      <c r="G5058">
        <v>0.26316148645163201</v>
      </c>
      <c r="H5058">
        <v>0.207167998223274</v>
      </c>
      <c r="I5058">
        <v>0.34017041870357001</v>
      </c>
      <c r="J5058">
        <v>0.38664598409769002</v>
      </c>
      <c r="K5058">
        <v>0.41103346797123202</v>
      </c>
      <c r="L5058">
        <v>1301.7863933788001</v>
      </c>
      <c r="M5058">
        <v>27.590240077270099</v>
      </c>
      <c r="N5058">
        <v>49.004174418504697</v>
      </c>
      <c r="O5058">
        <v>46.9370642109361</v>
      </c>
      <c r="P5058">
        <v>-9.9829309624379303E-2</v>
      </c>
      <c r="Q5058">
        <v>0.32067959271731</v>
      </c>
      <c r="R5058">
        <v>0.94896181778377897</v>
      </c>
      <c r="S5058" t="s">
        <v>12061</v>
      </c>
      <c r="T5058" t="s">
        <v>14004</v>
      </c>
      <c r="U5058" t="s">
        <v>14004</v>
      </c>
      <c r="V5058" t="s">
        <v>14004</v>
      </c>
      <c r="W5058" t="s">
        <v>19007</v>
      </c>
      <c r="X5058">
        <v>13</v>
      </c>
      <c r="Y5058" t="s">
        <v>25814</v>
      </c>
      <c r="Z5058" t="s">
        <v>32768</v>
      </c>
      <c r="AA5058">
        <v>0.48820593204784329</v>
      </c>
      <c r="AB5058" t="str">
        <f>HYPERLINK("Melting_Curves/meltCurve_Q8WXI9_GATAD2B.pdf", "Melting_Curves/meltCurve_Q8WXI9_GATAD2B.pdf")</f>
        <v>Melting_Curves/meltCurve_Q8WXI9_GATAD2B.pdf</v>
      </c>
    </row>
    <row r="5059" spans="1:28" x14ac:dyDescent="0.25">
      <c r="A5059" t="s">
        <v>5063</v>
      </c>
      <c r="B5059">
        <v>0.99999676499088797</v>
      </c>
      <c r="C5059">
        <v>0.90360741582781101</v>
      </c>
      <c r="D5059">
        <v>0.96439951971305904</v>
      </c>
      <c r="E5059">
        <v>0.68084124583257899</v>
      </c>
      <c r="F5059">
        <v>0.72293703183876801</v>
      </c>
      <c r="G5059">
        <v>0.83763650770939102</v>
      </c>
      <c r="H5059">
        <v>0.65351391657355595</v>
      </c>
      <c r="I5059">
        <v>0.61229515552756597</v>
      </c>
      <c r="J5059">
        <v>0.58487760023188795</v>
      </c>
      <c r="K5059">
        <v>0.55506089270130099</v>
      </c>
      <c r="L5059">
        <v>318.68782786685398</v>
      </c>
      <c r="M5059">
        <v>5.5651215953294102</v>
      </c>
      <c r="O5059">
        <v>51.148560928244102</v>
      </c>
      <c r="P5059">
        <v>-1.6124518161357002E-2</v>
      </c>
      <c r="Q5059">
        <v>0.40969883786283801</v>
      </c>
      <c r="R5059">
        <v>0.79658433555534602</v>
      </c>
      <c r="S5059" t="s">
        <v>12062</v>
      </c>
      <c r="T5059" t="s">
        <v>14004</v>
      </c>
      <c r="U5059" t="s">
        <v>14004</v>
      </c>
      <c r="V5059" t="s">
        <v>14004</v>
      </c>
      <c r="W5059" t="s">
        <v>19008</v>
      </c>
      <c r="X5059">
        <v>1</v>
      </c>
      <c r="Y5059" t="s">
        <v>25815</v>
      </c>
      <c r="Z5059" t="s">
        <v>32769</v>
      </c>
      <c r="AA5059">
        <v>0.74782540792069574</v>
      </c>
      <c r="AB5059" t="str">
        <f>HYPERLINK("Melting_Curves/meltCurve_Q8WXX0_DNAH7.pdf", "Melting_Curves/meltCurve_Q8WXX0_DNAH7.pdf")</f>
        <v>Melting_Curves/meltCurve_Q8WXX0_DNAH7.pdf</v>
      </c>
    </row>
    <row r="5060" spans="1:28" x14ac:dyDescent="0.25">
      <c r="A5060" t="s">
        <v>5064</v>
      </c>
      <c r="B5060">
        <v>0.99999676499088797</v>
      </c>
      <c r="C5060">
        <v>1.03787780143986</v>
      </c>
      <c r="D5060">
        <v>0.94367341534026405</v>
      </c>
      <c r="E5060">
        <v>1.0062383024533701</v>
      </c>
      <c r="F5060">
        <v>0.51156035337474604</v>
      </c>
      <c r="G5060">
        <v>0.351863994061409</v>
      </c>
      <c r="H5060">
        <v>0.21800659088469401</v>
      </c>
      <c r="I5060">
        <v>0.25248029406400602</v>
      </c>
      <c r="J5060">
        <v>0.31803988124285498</v>
      </c>
      <c r="K5060">
        <v>0.36751245781925801</v>
      </c>
      <c r="L5060">
        <v>3782.98890692954</v>
      </c>
      <c r="M5060">
        <v>71.935117078922502</v>
      </c>
      <c r="N5060">
        <v>53.269737485776503</v>
      </c>
      <c r="O5060">
        <v>52.548312458179097</v>
      </c>
      <c r="P5060">
        <v>-0.23935124881355599</v>
      </c>
      <c r="Q5060">
        <v>0.30061976476422497</v>
      </c>
      <c r="R5060">
        <v>0.98093018145101796</v>
      </c>
      <c r="S5060" t="s">
        <v>12063</v>
      </c>
      <c r="T5060" t="s">
        <v>14004</v>
      </c>
      <c r="U5060" t="s">
        <v>14004</v>
      </c>
      <c r="V5060" t="s">
        <v>14004</v>
      </c>
      <c r="W5060" t="s">
        <v>19009</v>
      </c>
      <c r="X5060">
        <v>14</v>
      </c>
      <c r="Y5060" t="s">
        <v>25816</v>
      </c>
      <c r="Z5060" t="s">
        <v>32770</v>
      </c>
      <c r="AA5060">
        <v>0.59488230051361457</v>
      </c>
      <c r="AB5060" t="str">
        <f>HYPERLINK("Melting_Curves/meltCurve_Q8WXX5_DNAJC9.pdf", "Melting_Curves/meltCurve_Q8WXX5_DNAJC9.pdf")</f>
        <v>Melting_Curves/meltCurve_Q8WXX5_DNAJC9.pdf</v>
      </c>
    </row>
    <row r="5061" spans="1:28" x14ac:dyDescent="0.25">
      <c r="A5061" t="s">
        <v>5065</v>
      </c>
      <c r="B5061">
        <v>0.99999676499088797</v>
      </c>
      <c r="C5061">
        <v>0.91839498025632704</v>
      </c>
      <c r="D5061">
        <v>0.94115150334609998</v>
      </c>
      <c r="E5061">
        <v>0.70829151782892996</v>
      </c>
      <c r="F5061">
        <v>0.65132360242021303</v>
      </c>
      <c r="G5061">
        <v>0.52130809831384906</v>
      </c>
      <c r="H5061">
        <v>0.387374935777339</v>
      </c>
      <c r="I5061">
        <v>0.38094305220390001</v>
      </c>
      <c r="J5061">
        <v>0.446455796467287</v>
      </c>
      <c r="K5061">
        <v>0.32289905495834598</v>
      </c>
      <c r="L5061">
        <v>643.38606858628498</v>
      </c>
      <c r="M5061">
        <v>12.3866045072654</v>
      </c>
      <c r="N5061">
        <v>57.062870998733302</v>
      </c>
      <c r="O5061">
        <v>50.643955060333496</v>
      </c>
      <c r="P5061">
        <v>-4.0641185309904203E-2</v>
      </c>
      <c r="Q5061">
        <v>0.335478358593645</v>
      </c>
      <c r="R5061">
        <v>0.97049755786388503</v>
      </c>
      <c r="S5061" t="s">
        <v>12064</v>
      </c>
      <c r="T5061" t="s">
        <v>14004</v>
      </c>
      <c r="U5061" t="s">
        <v>14004</v>
      </c>
      <c r="V5061" t="s">
        <v>14004</v>
      </c>
      <c r="W5061" t="s">
        <v>19010</v>
      </c>
      <c r="X5061">
        <v>6</v>
      </c>
      <c r="Y5061" t="s">
        <v>25817</v>
      </c>
      <c r="Z5061" t="s">
        <v>32771</v>
      </c>
      <c r="AA5061">
        <v>0.61958888979673776</v>
      </c>
      <c r="AB5061" t="str">
        <f>HYPERLINK("Melting_Curves/meltCurve_Q8WY22_BRI3BP.pdf", "Melting_Curves/meltCurve_Q8WY22_BRI3BP.pdf")</f>
        <v>Melting_Curves/meltCurve_Q8WY22_BRI3BP.pdf</v>
      </c>
    </row>
    <row r="5062" spans="1:28" x14ac:dyDescent="0.25">
      <c r="A5062" t="s">
        <v>5066</v>
      </c>
      <c r="B5062">
        <v>0.99999676499088797</v>
      </c>
      <c r="C5062">
        <v>1.11241707530058</v>
      </c>
      <c r="D5062">
        <v>0.92285855003073103</v>
      </c>
      <c r="E5062">
        <v>0.78338610296146804</v>
      </c>
      <c r="F5062">
        <v>0.68494039363336201</v>
      </c>
      <c r="G5062">
        <v>0.43139505617060597</v>
      </c>
      <c r="H5062">
        <v>0.25432425670516801</v>
      </c>
      <c r="I5062">
        <v>0.15820331447946001</v>
      </c>
      <c r="J5062">
        <v>0.126266430048458</v>
      </c>
      <c r="K5062">
        <v>0.11994441110352499</v>
      </c>
      <c r="L5062">
        <v>784.06327854284302</v>
      </c>
      <c r="M5062">
        <v>14.231422198957199</v>
      </c>
      <c r="N5062">
        <v>55.605240097905501</v>
      </c>
      <c r="O5062">
        <v>54.0402273613768</v>
      </c>
      <c r="P5062">
        <v>-6.18060953149124E-2</v>
      </c>
      <c r="Q5062">
        <v>6.1344419178440503E-2</v>
      </c>
      <c r="R5062">
        <v>0.983534436696476</v>
      </c>
      <c r="S5062" t="s">
        <v>12065</v>
      </c>
      <c r="T5062" t="s">
        <v>14004</v>
      </c>
      <c r="U5062" t="s">
        <v>14004</v>
      </c>
      <c r="V5062" t="s">
        <v>14004</v>
      </c>
      <c r="W5062" t="s">
        <v>19011</v>
      </c>
      <c r="X5062">
        <v>2</v>
      </c>
      <c r="Y5062" t="s">
        <v>25818</v>
      </c>
      <c r="Z5062" t="s">
        <v>32772</v>
      </c>
      <c r="AA5062">
        <v>0.55255628017273828</v>
      </c>
      <c r="AB5062" t="str">
        <f>HYPERLINK("Melting_Curves/meltCurve_Q8WY54_2_PPM1E.pdf", "Melting_Curves/meltCurve_Q8WY54_2_PPM1E.pdf")</f>
        <v>Melting_Curves/meltCurve_Q8WY54_2_PPM1E.pdf</v>
      </c>
    </row>
    <row r="5063" spans="1:28" x14ac:dyDescent="0.25">
      <c r="A5063" t="s">
        <v>5067</v>
      </c>
      <c r="B5063">
        <v>0.99999676499088797</v>
      </c>
      <c r="C5063">
        <v>0.84828668783126004</v>
      </c>
      <c r="D5063">
        <v>0.42062625444005802</v>
      </c>
      <c r="E5063">
        <v>0.20657678915800301</v>
      </c>
      <c r="F5063">
        <v>0.160180154368675</v>
      </c>
      <c r="G5063">
        <v>0.126904707392686</v>
      </c>
      <c r="H5063">
        <v>6.3174600369302197E-2</v>
      </c>
      <c r="I5063">
        <v>5.7666950832880599E-2</v>
      </c>
      <c r="J5063">
        <v>5.2366776948786498E-2</v>
      </c>
      <c r="K5063">
        <v>5.1590114966690699E-2</v>
      </c>
      <c r="L5063">
        <v>1152.47128629912</v>
      </c>
      <c r="M5063">
        <v>25.422160667281499</v>
      </c>
      <c r="N5063">
        <v>45.656429622709801</v>
      </c>
      <c r="O5063">
        <v>45.055616220298901</v>
      </c>
      <c r="P5063">
        <v>-0.12944952530703699</v>
      </c>
      <c r="Q5063">
        <v>8.2319581189092397E-2</v>
      </c>
      <c r="R5063">
        <v>0.98952966097445005</v>
      </c>
      <c r="S5063" t="s">
        <v>12066</v>
      </c>
      <c r="T5063" t="s">
        <v>14004</v>
      </c>
      <c r="U5063" t="s">
        <v>14004</v>
      </c>
      <c r="V5063" t="s">
        <v>14004</v>
      </c>
      <c r="W5063" t="s">
        <v>19012</v>
      </c>
      <c r="X5063">
        <v>23</v>
      </c>
      <c r="Y5063" t="s">
        <v>25819</v>
      </c>
      <c r="Z5063" t="s">
        <v>32773</v>
      </c>
      <c r="AA5063">
        <v>0.25398039064361061</v>
      </c>
      <c r="AB5063" t="str">
        <f>HYPERLINK("Melting_Curves/meltCurve_Q8WYA6_CTNNBL1.pdf", "Melting_Curves/meltCurve_Q8WYA6_CTNNBL1.pdf")</f>
        <v>Melting_Curves/meltCurve_Q8WYA6_CTNNBL1.pdf</v>
      </c>
    </row>
    <row r="5064" spans="1:28" x14ac:dyDescent="0.25">
      <c r="A5064" t="s">
        <v>5068</v>
      </c>
      <c r="B5064">
        <v>0.99999676499088797</v>
      </c>
      <c r="C5064">
        <v>0.65435459441893495</v>
      </c>
      <c r="D5064">
        <v>0.49842713973855501</v>
      </c>
      <c r="E5064">
        <v>0.51164233595750397</v>
      </c>
      <c r="F5064">
        <v>0.303779627774794</v>
      </c>
      <c r="G5064">
        <v>0.25221170430631501</v>
      </c>
      <c r="H5064">
        <v>0</v>
      </c>
      <c r="I5064">
        <v>0.276509872883828</v>
      </c>
      <c r="J5064">
        <v>0.26535853135101201</v>
      </c>
      <c r="K5064">
        <v>0.26476324640936799</v>
      </c>
      <c r="L5064">
        <v>618.70348581528594</v>
      </c>
      <c r="M5064">
        <v>13.694788676624601</v>
      </c>
      <c r="N5064">
        <v>46.9947339993182</v>
      </c>
      <c r="O5064">
        <v>44.2473548498754</v>
      </c>
      <c r="P5064">
        <v>-6.1482439284691402E-2</v>
      </c>
      <c r="Q5064">
        <v>0.205524272110609</v>
      </c>
      <c r="R5064">
        <v>0.854182949413123</v>
      </c>
      <c r="S5064" t="s">
        <v>12067</v>
      </c>
      <c r="T5064" t="s">
        <v>14004</v>
      </c>
      <c r="U5064" t="s">
        <v>14004</v>
      </c>
      <c r="V5064" t="s">
        <v>14004</v>
      </c>
      <c r="W5064" t="s">
        <v>19013</v>
      </c>
      <c r="X5064">
        <v>1</v>
      </c>
      <c r="Y5064" t="s">
        <v>25820</v>
      </c>
      <c r="Z5064" t="s">
        <v>32774</v>
      </c>
      <c r="AA5064">
        <v>0.37285515179208678</v>
      </c>
      <c r="AB5064" t="str">
        <f>HYPERLINK("Melting_Curves/meltCurve_Q8WYH8_ING5.pdf", "Melting_Curves/meltCurve_Q8WYH8_ING5.pdf")</f>
        <v>Melting_Curves/meltCurve_Q8WYH8_ING5.pdf</v>
      </c>
    </row>
    <row r="5065" spans="1:28" x14ac:dyDescent="0.25">
      <c r="A5065" t="s">
        <v>5069</v>
      </c>
      <c r="B5065">
        <v>0.99999676499088797</v>
      </c>
      <c r="C5065">
        <v>0.82085018294728096</v>
      </c>
      <c r="D5065">
        <v>0.58156758439454004</v>
      </c>
      <c r="E5065">
        <v>0.33238920932124899</v>
      </c>
      <c r="F5065">
        <v>0.20620144452134301</v>
      </c>
      <c r="G5065">
        <v>0.21155599056701399</v>
      </c>
      <c r="H5065">
        <v>0.14728530630654599</v>
      </c>
      <c r="I5065">
        <v>0.107928603830887</v>
      </c>
      <c r="J5065">
        <v>0.111131536981239</v>
      </c>
      <c r="K5065">
        <v>7.2155965302649297E-2</v>
      </c>
      <c r="L5065">
        <v>794.31739371004801</v>
      </c>
      <c r="M5065">
        <v>17.096854941174001</v>
      </c>
      <c r="N5065">
        <v>47.175311025333897</v>
      </c>
      <c r="O5065">
        <v>45.838227601226201</v>
      </c>
      <c r="P5065">
        <v>-8.2601980765594593E-2</v>
      </c>
      <c r="Q5065">
        <v>0.11420015763114399</v>
      </c>
      <c r="R5065">
        <v>0.99055356654373194</v>
      </c>
      <c r="S5065" t="s">
        <v>12068</v>
      </c>
      <c r="T5065" t="s">
        <v>14004</v>
      </c>
      <c r="U5065" t="s">
        <v>14004</v>
      </c>
      <c r="V5065" t="s">
        <v>14004</v>
      </c>
      <c r="W5065" t="s">
        <v>19014</v>
      </c>
      <c r="X5065">
        <v>1</v>
      </c>
      <c r="Y5065" t="s">
        <v>25821</v>
      </c>
      <c r="Z5065" t="s">
        <v>32775</v>
      </c>
      <c r="AA5065">
        <v>0.32380224840063559</v>
      </c>
      <c r="AB5065" t="str">
        <f>HYPERLINK("Melting_Curves/meltCurve_Q8WYN0_3_ATG4A.pdf", "Melting_Curves/meltCurve_Q8WYN0_3_ATG4A.pdf")</f>
        <v>Melting_Curves/meltCurve_Q8WYN0_3_ATG4A.pdf</v>
      </c>
    </row>
    <row r="5066" spans="1:28" x14ac:dyDescent="0.25">
      <c r="A5066" t="s">
        <v>5070</v>
      </c>
      <c r="B5066">
        <v>0.99999676499088797</v>
      </c>
      <c r="C5066">
        <v>0.96296113955883</v>
      </c>
      <c r="D5066">
        <v>0.79401533975057004</v>
      </c>
      <c r="E5066">
        <v>0.46434476333917502</v>
      </c>
      <c r="F5066">
        <v>0.20737230659338499</v>
      </c>
      <c r="G5066">
        <v>0.17458336317745801</v>
      </c>
      <c r="H5066">
        <v>0.11525536975155</v>
      </c>
      <c r="I5066">
        <v>0.258350693267552</v>
      </c>
      <c r="J5066">
        <v>0.38389423828640101</v>
      </c>
      <c r="K5066">
        <v>0.21850175829211499</v>
      </c>
      <c r="L5066">
        <v>1366.81666194113</v>
      </c>
      <c r="M5066">
        <v>28.5754386660489</v>
      </c>
      <c r="N5066">
        <v>48.834380845331502</v>
      </c>
      <c r="O5066">
        <v>47.599449126415998</v>
      </c>
      <c r="P5066">
        <v>-0.116780687919287</v>
      </c>
      <c r="Q5066">
        <v>0.22189777414463199</v>
      </c>
      <c r="R5066">
        <v>0.95402933064748296</v>
      </c>
      <c r="S5066" t="s">
        <v>12069</v>
      </c>
      <c r="T5066" t="s">
        <v>14004</v>
      </c>
      <c r="U5066" t="s">
        <v>14004</v>
      </c>
      <c r="V5066" t="s">
        <v>14004</v>
      </c>
      <c r="W5066" t="s">
        <v>19015</v>
      </c>
      <c r="X5066">
        <v>2</v>
      </c>
      <c r="Y5066" t="s">
        <v>25822</v>
      </c>
      <c r="Z5066" t="s">
        <v>32776</v>
      </c>
      <c r="AA5066">
        <v>0.43021164739598738</v>
      </c>
      <c r="AB5066" t="str">
        <f>HYPERLINK("Melting_Curves/meltCurve_Q8WYP5_AHCTF1.pdf", "Melting_Curves/meltCurve_Q8WYP5_AHCTF1.pdf")</f>
        <v>Melting_Curves/meltCurve_Q8WYP5_AHCTF1.pdf</v>
      </c>
    </row>
    <row r="5067" spans="1:28" x14ac:dyDescent="0.25">
      <c r="A5067" t="s">
        <v>5071</v>
      </c>
      <c r="B5067">
        <v>0.99999676499088797</v>
      </c>
      <c r="C5067">
        <v>0.92359330907265103</v>
      </c>
      <c r="D5067">
        <v>0.86394502604208501</v>
      </c>
      <c r="E5067">
        <v>0.57467980794357298</v>
      </c>
      <c r="F5067">
        <v>0.22811063240392199</v>
      </c>
      <c r="G5067">
        <v>0.171962777625915</v>
      </c>
      <c r="H5067">
        <v>8.5556566089539196E-2</v>
      </c>
      <c r="I5067">
        <v>9.8052477360924095E-2</v>
      </c>
      <c r="J5067">
        <v>9.7243985605386898E-2</v>
      </c>
      <c r="K5067">
        <v>8.7015942481389205E-2</v>
      </c>
      <c r="L5067">
        <v>1074.4350452548299</v>
      </c>
      <c r="M5067">
        <v>21.620755161567999</v>
      </c>
      <c r="N5067">
        <v>50.134862411126697</v>
      </c>
      <c r="O5067">
        <v>49.2753384601288</v>
      </c>
      <c r="P5067">
        <v>-0.100211692888411</v>
      </c>
      <c r="Q5067">
        <v>8.6461570938942703E-2</v>
      </c>
      <c r="R5067">
        <v>0.99608883965963702</v>
      </c>
      <c r="S5067" t="s">
        <v>12070</v>
      </c>
      <c r="T5067" t="s">
        <v>14004</v>
      </c>
      <c r="U5067" t="s">
        <v>14004</v>
      </c>
      <c r="V5067" t="s">
        <v>14004</v>
      </c>
      <c r="W5067" t="s">
        <v>19016</v>
      </c>
      <c r="X5067">
        <v>7</v>
      </c>
      <c r="Y5067" t="s">
        <v>25823</v>
      </c>
      <c r="Z5067" t="s">
        <v>32777</v>
      </c>
      <c r="AA5067">
        <v>0.39258194340568681</v>
      </c>
      <c r="AB5067" t="str">
        <f>HYPERLINK("Melting_Curves/meltCurve_Q8WYQ5_3_DGCR8.pdf", "Melting_Curves/meltCurve_Q8WYQ5_3_DGCR8.pdf")</f>
        <v>Melting_Curves/meltCurve_Q8WYQ5_3_DGCR8.pdf</v>
      </c>
    </row>
    <row r="5068" spans="1:28" x14ac:dyDescent="0.25">
      <c r="A5068" t="s">
        <v>5072</v>
      </c>
      <c r="B5068">
        <v>0.99999676499088797</v>
      </c>
      <c r="C5068">
        <v>1.06635260328189</v>
      </c>
      <c r="D5068">
        <v>1.03542058256255</v>
      </c>
      <c r="E5068">
        <v>0.65295830304688895</v>
      </c>
      <c r="F5068">
        <v>0.41212768318090698</v>
      </c>
      <c r="G5068">
        <v>0.24707924900262501</v>
      </c>
      <c r="H5068">
        <v>0.149846091548483</v>
      </c>
      <c r="I5068">
        <v>0.13766167131027901</v>
      </c>
      <c r="J5068">
        <v>0.109010992692799</v>
      </c>
      <c r="K5068">
        <v>7.6199415718285701E-2</v>
      </c>
      <c r="L5068">
        <v>1118.82374275443</v>
      </c>
      <c r="M5068">
        <v>21.7782695676385</v>
      </c>
      <c r="N5068">
        <v>51.9842242546503</v>
      </c>
      <c r="O5068">
        <v>50.946135486996702</v>
      </c>
      <c r="P5068">
        <v>-9.4806869154553094E-2</v>
      </c>
      <c r="Q5068">
        <v>0.11288988561075</v>
      </c>
      <c r="R5068">
        <v>0.98433841377252296</v>
      </c>
      <c r="S5068" t="s">
        <v>12071</v>
      </c>
      <c r="T5068" t="s">
        <v>14004</v>
      </c>
      <c r="U5068" t="s">
        <v>14004</v>
      </c>
      <c r="V5068" t="s">
        <v>14004</v>
      </c>
      <c r="W5068" t="s">
        <v>19017</v>
      </c>
      <c r="X5068">
        <v>8</v>
      </c>
      <c r="Y5068" t="s">
        <v>25824</v>
      </c>
      <c r="Z5068" t="s">
        <v>32778</v>
      </c>
      <c r="AA5068">
        <v>0.45969791481499062</v>
      </c>
      <c r="AB5068" t="str">
        <f>HYPERLINK("Melting_Curves/meltCurve_Q8WYQ7_LGALS9.pdf", "Melting_Curves/meltCurve_Q8WYQ7_LGALS9.pdf")</f>
        <v>Melting_Curves/meltCurve_Q8WYQ7_LGALS9.pdf</v>
      </c>
    </row>
    <row r="5069" spans="1:28" x14ac:dyDescent="0.25">
      <c r="A5069" t="s">
        <v>5073</v>
      </c>
      <c r="B5069">
        <v>0.99999676499088797</v>
      </c>
      <c r="C5069">
        <v>0.88130983104832294</v>
      </c>
      <c r="D5069">
        <v>0.67560108831978904</v>
      </c>
      <c r="E5069">
        <v>0.22754577254369601</v>
      </c>
      <c r="F5069">
        <v>0.152587774838015</v>
      </c>
      <c r="G5069">
        <v>9.2271490812422002E-2</v>
      </c>
      <c r="H5069">
        <v>2.7755488336209898E-2</v>
      </c>
      <c r="I5069">
        <v>5.4809203209788798E-2</v>
      </c>
      <c r="J5069">
        <v>3.9778230256371998E-2</v>
      </c>
      <c r="K5069">
        <v>3.3027940408200201E-2</v>
      </c>
      <c r="L5069">
        <v>1089.9639875804301</v>
      </c>
      <c r="M5069">
        <v>23.165257010805799</v>
      </c>
      <c r="N5069">
        <v>47.255769233102399</v>
      </c>
      <c r="O5069">
        <v>46.705246254127303</v>
      </c>
      <c r="P5069">
        <v>-0.118096444145194</v>
      </c>
      <c r="Q5069">
        <v>4.7604289852379002E-2</v>
      </c>
      <c r="R5069">
        <v>0.99451464231987996</v>
      </c>
      <c r="S5069" t="s">
        <v>12072</v>
      </c>
      <c r="T5069" t="s">
        <v>14004</v>
      </c>
      <c r="U5069" t="s">
        <v>14004</v>
      </c>
      <c r="V5069" t="s">
        <v>14004</v>
      </c>
      <c r="W5069" t="s">
        <v>19018</v>
      </c>
      <c r="X5069">
        <v>4</v>
      </c>
      <c r="Y5069" t="s">
        <v>25825</v>
      </c>
      <c r="Z5069" t="s">
        <v>32779</v>
      </c>
      <c r="AA5069">
        <v>0.2815220112999347</v>
      </c>
      <c r="AB5069" t="str">
        <f>HYPERLINK("Melting_Curves/meltCurve_Q8WZ82_OVCA2.pdf", "Melting_Curves/meltCurve_Q8WZ82_OVCA2.pdf")</f>
        <v>Melting_Curves/meltCurve_Q8WZ82_OVCA2.pdf</v>
      </c>
    </row>
    <row r="5070" spans="1:28" x14ac:dyDescent="0.25">
      <c r="A5070" t="s">
        <v>5074</v>
      </c>
      <c r="B5070">
        <v>0.99999676499088797</v>
      </c>
      <c r="C5070">
        <v>0.93304506850923197</v>
      </c>
      <c r="D5070">
        <v>0.91425380133552303</v>
      </c>
      <c r="E5070">
        <v>0.720102952370406</v>
      </c>
      <c r="F5070">
        <v>0.64528082602844195</v>
      </c>
      <c r="G5070">
        <v>0.49964415661204098</v>
      </c>
      <c r="H5070">
        <v>0.28104529972870201</v>
      </c>
      <c r="I5070">
        <v>0.22716119811640301</v>
      </c>
      <c r="J5070">
        <v>0.19794339329045399</v>
      </c>
      <c r="K5070">
        <v>0.22691275922349899</v>
      </c>
      <c r="L5070">
        <v>594.44964759875097</v>
      </c>
      <c r="M5070">
        <v>10.921960356225901</v>
      </c>
      <c r="N5070">
        <v>55.709555172515898</v>
      </c>
      <c r="O5070">
        <v>52.6978016260448</v>
      </c>
      <c r="P5070">
        <v>-4.6070295310307097E-2</v>
      </c>
      <c r="Q5070">
        <v>0.11116234035036</v>
      </c>
      <c r="R5070">
        <v>0.98716669608058505</v>
      </c>
      <c r="S5070" t="s">
        <v>12073</v>
      </c>
      <c r="T5070" t="s">
        <v>14004</v>
      </c>
      <c r="U5070" t="s">
        <v>14004</v>
      </c>
      <c r="V5070" t="s">
        <v>14004</v>
      </c>
      <c r="W5070" t="s">
        <v>19019</v>
      </c>
      <c r="X5070">
        <v>12</v>
      </c>
      <c r="Y5070" t="s">
        <v>25826</v>
      </c>
      <c r="Z5070" t="s">
        <v>32780</v>
      </c>
      <c r="AA5070">
        <v>0.5624941169057166</v>
      </c>
      <c r="AB5070" t="str">
        <f>HYPERLINK("Melting_Curves/meltCurve_Q8WZA0_LZIC.pdf", "Melting_Curves/meltCurve_Q8WZA0_LZIC.pdf")</f>
        <v>Melting_Curves/meltCurve_Q8WZA0_LZIC.pdf</v>
      </c>
    </row>
    <row r="5071" spans="1:28" x14ac:dyDescent="0.25">
      <c r="A5071" t="s">
        <v>5075</v>
      </c>
      <c r="B5071">
        <v>0.99999676499088797</v>
      </c>
      <c r="C5071">
        <v>1.0108037899429601</v>
      </c>
      <c r="D5071">
        <v>1.0349545891424801</v>
      </c>
      <c r="E5071">
        <v>0.79678241870563304</v>
      </c>
      <c r="F5071">
        <v>0.25032394307825001</v>
      </c>
      <c r="G5071">
        <v>0.15975253652607899</v>
      </c>
      <c r="H5071">
        <v>8.0661881439528293E-2</v>
      </c>
      <c r="I5071">
        <v>6.2048664584414603E-2</v>
      </c>
      <c r="J5071">
        <v>4.5877614088398702E-2</v>
      </c>
      <c r="K5071">
        <v>4.0698600383412303E-2</v>
      </c>
      <c r="L5071">
        <v>1902.65241789489</v>
      </c>
      <c r="M5071">
        <v>37.087992790592601</v>
      </c>
      <c r="N5071">
        <v>51.509065415241203</v>
      </c>
      <c r="O5071">
        <v>51.1525708143147</v>
      </c>
      <c r="P5071">
        <v>-0.16865449599690299</v>
      </c>
      <c r="Q5071">
        <v>6.9554722471384098E-2</v>
      </c>
      <c r="R5071">
        <v>0.99537681587473503</v>
      </c>
      <c r="S5071" t="s">
        <v>12074</v>
      </c>
      <c r="T5071" t="s">
        <v>14004</v>
      </c>
      <c r="U5071" t="s">
        <v>14004</v>
      </c>
      <c r="V5071" t="s">
        <v>14004</v>
      </c>
      <c r="W5071" t="s">
        <v>19020</v>
      </c>
      <c r="X5071">
        <v>16</v>
      </c>
      <c r="Y5071" t="s">
        <v>25827</v>
      </c>
      <c r="Z5071" t="s">
        <v>32781</v>
      </c>
      <c r="AA5071">
        <v>0.4238955368113409</v>
      </c>
      <c r="AB5071" t="str">
        <f>HYPERLINK("Melting_Curves/meltCurve_Q8WZA9_IRGQ.pdf", "Melting_Curves/meltCurve_Q8WZA9_IRGQ.pdf")</f>
        <v>Melting_Curves/meltCurve_Q8WZA9_IRGQ.pdf</v>
      </c>
    </row>
    <row r="5072" spans="1:28" x14ac:dyDescent="0.25">
      <c r="A5072" t="s">
        <v>5076</v>
      </c>
      <c r="B5072">
        <v>0.99999676499088797</v>
      </c>
      <c r="C5072">
        <v>1.09664786222167</v>
      </c>
      <c r="D5072">
        <v>1.07190187013675</v>
      </c>
      <c r="E5072">
        <v>1.1678363436892201</v>
      </c>
      <c r="F5072">
        <v>0.85100583952560005</v>
      </c>
      <c r="G5072">
        <v>0.93658263014199905</v>
      </c>
      <c r="H5072">
        <v>0.72265099579064196</v>
      </c>
      <c r="I5072">
        <v>0.46627331823631402</v>
      </c>
      <c r="J5072">
        <v>0.21241399422771501</v>
      </c>
      <c r="K5072">
        <v>0.111675937761036</v>
      </c>
      <c r="L5072">
        <v>1388.3006029399301</v>
      </c>
      <c r="M5072">
        <v>21.890636642315499</v>
      </c>
      <c r="N5072">
        <v>63.419838405273197</v>
      </c>
      <c r="O5072">
        <v>62.897701606311102</v>
      </c>
      <c r="P5072">
        <v>-8.7010866382267293E-2</v>
      </c>
      <c r="Q5072">
        <v>0</v>
      </c>
      <c r="R5072">
        <v>0.95146312010414003</v>
      </c>
      <c r="S5072" t="s">
        <v>12075</v>
      </c>
      <c r="T5072" t="s">
        <v>14004</v>
      </c>
      <c r="U5072" t="s">
        <v>14004</v>
      </c>
      <c r="V5072" t="s">
        <v>14004</v>
      </c>
      <c r="W5072" t="s">
        <v>19021</v>
      </c>
      <c r="X5072">
        <v>9</v>
      </c>
      <c r="Y5072" t="s">
        <v>25828</v>
      </c>
      <c r="Z5072" t="s">
        <v>32782</v>
      </c>
      <c r="AA5072">
        <v>0.77972262737019393</v>
      </c>
      <c r="AB5072" t="str">
        <f>HYPERLINK("Melting_Curves/meltCurve_Q92466_DDB2.pdf", "Melting_Curves/meltCurve_Q92466_DDB2.pdf")</f>
        <v>Melting_Curves/meltCurve_Q92466_DDB2.pdf</v>
      </c>
    </row>
    <row r="5073" spans="1:28" x14ac:dyDescent="0.25">
      <c r="A5073" t="s">
        <v>5077</v>
      </c>
      <c r="B5073">
        <v>0.99999676499088797</v>
      </c>
      <c r="C5073">
        <v>1.1735434817708199</v>
      </c>
      <c r="D5073">
        <v>1.15637046403623</v>
      </c>
      <c r="E5073">
        <v>0.90627586480045297</v>
      </c>
      <c r="F5073">
        <v>0.79396717040633702</v>
      </c>
      <c r="G5073">
        <v>0.62332882665642997</v>
      </c>
      <c r="H5073">
        <v>0.42588229856866699</v>
      </c>
      <c r="I5073">
        <v>0.43280661097630502</v>
      </c>
      <c r="J5073">
        <v>0.40993917737876201</v>
      </c>
      <c r="K5073">
        <v>0.35566684201426002</v>
      </c>
      <c r="L5073">
        <v>1184.4089874543699</v>
      </c>
      <c r="M5073">
        <v>21.445842772764902</v>
      </c>
      <c r="N5073">
        <v>59.094458139352803</v>
      </c>
      <c r="O5073">
        <v>54.754448166531098</v>
      </c>
      <c r="P5073">
        <v>-6.0995233261894398E-2</v>
      </c>
      <c r="Q5073">
        <v>0.37709570652813801</v>
      </c>
      <c r="R5073">
        <v>0.93167538349129897</v>
      </c>
      <c r="S5073" t="s">
        <v>12076</v>
      </c>
      <c r="T5073" t="s">
        <v>14004</v>
      </c>
      <c r="U5073" t="s">
        <v>14004</v>
      </c>
      <c r="V5073" t="s">
        <v>14004</v>
      </c>
      <c r="W5073" t="s">
        <v>19022</v>
      </c>
      <c r="X5073">
        <v>1</v>
      </c>
      <c r="Y5073" t="s">
        <v>25829</v>
      </c>
      <c r="Z5073" t="s">
        <v>32783</v>
      </c>
      <c r="AA5073">
        <v>0.70069485418127964</v>
      </c>
      <c r="AB5073" t="str">
        <f>HYPERLINK("Melting_Curves/meltCurve_Q92482_2_AQP3.pdf", "Melting_Curves/meltCurve_Q92482_2_AQP3.pdf")</f>
        <v>Melting_Curves/meltCurve_Q92482_2_AQP3.pdf</v>
      </c>
    </row>
    <row r="5074" spans="1:28" x14ac:dyDescent="0.25">
      <c r="A5074" t="s">
        <v>5078</v>
      </c>
      <c r="B5074">
        <v>0.99999676499088797</v>
      </c>
      <c r="C5074">
        <v>1.0377409037276399</v>
      </c>
      <c r="D5074">
        <v>1.0097891305332301</v>
      </c>
      <c r="E5074">
        <v>0.88308674315622204</v>
      </c>
      <c r="F5074">
        <v>0.21441753155910601</v>
      </c>
      <c r="G5074">
        <v>0.15345824265619701</v>
      </c>
      <c r="H5074">
        <v>7.2378990584330297E-2</v>
      </c>
      <c r="I5074">
        <v>7.3481798084317901E-2</v>
      </c>
      <c r="J5074">
        <v>6.8893625341056405E-2</v>
      </c>
      <c r="K5074">
        <v>6.2048716659111602E-2</v>
      </c>
      <c r="L5074">
        <v>2660.9282027559002</v>
      </c>
      <c r="M5074">
        <v>51.753520608704797</v>
      </c>
      <c r="N5074">
        <v>51.597675217726497</v>
      </c>
      <c r="O5074">
        <v>51.3388111008313</v>
      </c>
      <c r="P5074">
        <v>-0.23096726226063599</v>
      </c>
      <c r="Q5074">
        <v>8.3534752022505598E-2</v>
      </c>
      <c r="R5074">
        <v>0.996517033264681</v>
      </c>
      <c r="S5074" t="s">
        <v>12077</v>
      </c>
      <c r="T5074" t="s">
        <v>14004</v>
      </c>
      <c r="U5074" t="s">
        <v>14004</v>
      </c>
      <c r="V5074" t="s">
        <v>14004</v>
      </c>
      <c r="W5074" t="s">
        <v>19023</v>
      </c>
      <c r="X5074">
        <v>39</v>
      </c>
      <c r="Y5074" t="s">
        <v>25830</v>
      </c>
      <c r="Z5074" t="s">
        <v>32784</v>
      </c>
      <c r="AA5074">
        <v>0.43420139544436542</v>
      </c>
      <c r="AB5074" t="str">
        <f>HYPERLINK("Melting_Curves/meltCurve_Q92499_DDX1.pdf", "Melting_Curves/meltCurve_Q92499_DDX1.pdf")</f>
        <v>Melting_Curves/meltCurve_Q92499_DDX1.pdf</v>
      </c>
    </row>
    <row r="5075" spans="1:28" x14ac:dyDescent="0.25">
      <c r="A5075" t="s">
        <v>5079</v>
      </c>
      <c r="B5075">
        <v>0.99999676499088797</v>
      </c>
      <c r="C5075">
        <v>1.02525716255668</v>
      </c>
      <c r="D5075">
        <v>0.80316305658639497</v>
      </c>
      <c r="E5075">
        <v>0.381916971827305</v>
      </c>
      <c r="F5075">
        <v>0.32132891110470502</v>
      </c>
      <c r="G5075">
        <v>0.200494961341491</v>
      </c>
      <c r="H5075">
        <v>0.11924815646395601</v>
      </c>
      <c r="I5075">
        <v>0.12641929164896901</v>
      </c>
      <c r="J5075">
        <v>0.16456009631601701</v>
      </c>
      <c r="K5075">
        <v>7.4624924018665106E-2</v>
      </c>
      <c r="L5075">
        <v>1112.95008207261</v>
      </c>
      <c r="M5075">
        <v>23.0312584723703</v>
      </c>
      <c r="N5075">
        <v>49.011284981585902</v>
      </c>
      <c r="O5075">
        <v>47.963573599180201</v>
      </c>
      <c r="P5075">
        <v>-0.10347003197494201</v>
      </c>
      <c r="Q5075">
        <v>0.138093167484657</v>
      </c>
      <c r="R5075">
        <v>0.98110336876811199</v>
      </c>
      <c r="S5075" t="s">
        <v>12078</v>
      </c>
      <c r="T5075" t="s">
        <v>14004</v>
      </c>
      <c r="U5075" t="s">
        <v>14004</v>
      </c>
      <c r="V5075" t="s">
        <v>14004</v>
      </c>
      <c r="W5075" t="s">
        <v>19024</v>
      </c>
      <c r="X5075">
        <v>1</v>
      </c>
      <c r="Y5075" t="s">
        <v>25831</v>
      </c>
      <c r="Z5075" t="s">
        <v>32785</v>
      </c>
      <c r="AA5075">
        <v>0.38627976599113528</v>
      </c>
      <c r="AB5075" t="str">
        <f>HYPERLINK("Melting_Curves/meltCurve_Q92503_3_SEC14L1.pdf", "Melting_Curves/meltCurve_Q92503_3_SEC14L1.pdf")</f>
        <v>Melting_Curves/meltCurve_Q92503_3_SEC14L1.pdf</v>
      </c>
    </row>
    <row r="5076" spans="1:28" x14ac:dyDescent="0.25">
      <c r="A5076" t="s">
        <v>5080</v>
      </c>
      <c r="B5076">
        <v>0.99999676499088797</v>
      </c>
      <c r="C5076">
        <v>0.91509905906294398</v>
      </c>
      <c r="D5076">
        <v>0.86484128087284495</v>
      </c>
      <c r="E5076">
        <v>0.56131513464059501</v>
      </c>
      <c r="F5076">
        <v>0.59765648281674499</v>
      </c>
      <c r="G5076">
        <v>0.52368138791413199</v>
      </c>
      <c r="H5076">
        <v>0.36345483891132901</v>
      </c>
      <c r="I5076">
        <v>0.34107659105941801</v>
      </c>
      <c r="J5076">
        <v>0.15918891661312301</v>
      </c>
      <c r="K5076">
        <v>0.15776160035594899</v>
      </c>
      <c r="L5076">
        <v>404.41659631473402</v>
      </c>
      <c r="M5076">
        <v>7.2692552950223597</v>
      </c>
      <c r="N5076">
        <v>55.633841410952797</v>
      </c>
      <c r="O5076">
        <v>51.886940769624701</v>
      </c>
      <c r="P5076">
        <v>-3.5081017369374502E-2</v>
      </c>
      <c r="Q5076">
        <v>0</v>
      </c>
      <c r="R5076">
        <v>0.95185606475562401</v>
      </c>
      <c r="S5076" t="s">
        <v>12079</v>
      </c>
      <c r="T5076" t="s">
        <v>14004</v>
      </c>
      <c r="U5076" t="s">
        <v>14004</v>
      </c>
      <c r="V5076" t="s">
        <v>14004</v>
      </c>
      <c r="W5076" t="s">
        <v>19025</v>
      </c>
      <c r="X5076">
        <v>2</v>
      </c>
      <c r="Y5076" t="s">
        <v>25832</v>
      </c>
      <c r="Z5076" t="s">
        <v>32786</v>
      </c>
      <c r="AA5076">
        <v>0.5428701018305585</v>
      </c>
      <c r="AB5076" t="str">
        <f>HYPERLINK("Melting_Curves/meltCurve_Q92504_SLC39A7.pdf", "Melting_Curves/meltCurve_Q92504_SLC39A7.pdf")</f>
        <v>Melting_Curves/meltCurve_Q92504_SLC39A7.pdf</v>
      </c>
    </row>
    <row r="5077" spans="1:28" x14ac:dyDescent="0.25">
      <c r="A5077" t="s">
        <v>5081</v>
      </c>
      <c r="B5077">
        <v>0.99999676499088797</v>
      </c>
      <c r="C5077">
        <v>1.0580849708340401</v>
      </c>
      <c r="D5077">
        <v>1.07605775217155</v>
      </c>
      <c r="E5077">
        <v>0.99177537359419798</v>
      </c>
      <c r="F5077">
        <v>1.1221074315109301</v>
      </c>
      <c r="G5077">
        <v>0.94484004248456999</v>
      </c>
      <c r="H5077">
        <v>0.65519406041930195</v>
      </c>
      <c r="I5077">
        <v>0.533475722572611</v>
      </c>
      <c r="J5077">
        <v>0.37558566590666298</v>
      </c>
      <c r="K5077">
        <v>0.31888606601299102</v>
      </c>
      <c r="L5077">
        <v>1670.5495489816799</v>
      </c>
      <c r="M5077">
        <v>27.214369265996901</v>
      </c>
      <c r="N5077">
        <v>63.714163124445498</v>
      </c>
      <c r="O5077">
        <v>61.0562546883585</v>
      </c>
      <c r="P5077">
        <v>-7.6317296806883497E-2</v>
      </c>
      <c r="Q5077">
        <v>0.31512596264639198</v>
      </c>
      <c r="R5077">
        <v>0.962367332929849</v>
      </c>
      <c r="S5077" t="s">
        <v>12080</v>
      </c>
      <c r="T5077" t="s">
        <v>14004</v>
      </c>
      <c r="U5077" t="s">
        <v>14004</v>
      </c>
      <c r="V5077" t="s">
        <v>14004</v>
      </c>
      <c r="W5077" t="s">
        <v>19026</v>
      </c>
      <c r="X5077">
        <v>7</v>
      </c>
      <c r="Y5077" t="s">
        <v>25833</v>
      </c>
      <c r="Z5077" t="s">
        <v>32787</v>
      </c>
      <c r="AA5077">
        <v>0.80713385531704174</v>
      </c>
      <c r="AB5077" t="str">
        <f>HYPERLINK("Melting_Curves/meltCurve_Q92506_HSD17B8.pdf", "Melting_Curves/meltCurve_Q92506_HSD17B8.pdf")</f>
        <v>Melting_Curves/meltCurve_Q92506_HSD17B8.pdf</v>
      </c>
    </row>
    <row r="5078" spans="1:28" x14ac:dyDescent="0.25">
      <c r="A5078" t="s">
        <v>5082</v>
      </c>
      <c r="B5078">
        <v>0.99999676499088797</v>
      </c>
      <c r="C5078">
        <v>0.97468834506885405</v>
      </c>
      <c r="D5078">
        <v>1.0129833141436899</v>
      </c>
      <c r="E5078">
        <v>0.97062308514894502</v>
      </c>
      <c r="F5078">
        <v>0.902925042339771</v>
      </c>
      <c r="G5078">
        <v>1.05350957445453</v>
      </c>
      <c r="H5078">
        <v>0.51940258061578604</v>
      </c>
      <c r="I5078">
        <v>0.268287486687592</v>
      </c>
      <c r="J5078">
        <v>0.19114698198942801</v>
      </c>
      <c r="K5078">
        <v>0.14909080121622301</v>
      </c>
      <c r="L5078">
        <v>3794.3175563116902</v>
      </c>
      <c r="M5078">
        <v>62.734358036028603</v>
      </c>
      <c r="N5078">
        <v>60.952040986914497</v>
      </c>
      <c r="O5078">
        <v>60.420919783127701</v>
      </c>
      <c r="P5078">
        <v>-0.209815972390371</v>
      </c>
      <c r="Q5078">
        <v>0.191685687704823</v>
      </c>
      <c r="R5078">
        <v>0.98427433816042298</v>
      </c>
      <c r="S5078" t="s">
        <v>12081</v>
      </c>
      <c r="T5078" t="s">
        <v>14004</v>
      </c>
      <c r="U5078" t="s">
        <v>14004</v>
      </c>
      <c r="V5078" t="s">
        <v>14004</v>
      </c>
      <c r="W5078" t="s">
        <v>19027</v>
      </c>
      <c r="X5078">
        <v>2</v>
      </c>
      <c r="Y5078" t="s">
        <v>25834</v>
      </c>
      <c r="Z5078" t="s">
        <v>32788</v>
      </c>
      <c r="AA5078">
        <v>0.74491651722380514</v>
      </c>
      <c r="AB5078" t="str">
        <f>HYPERLINK("Melting_Curves/meltCurve_Q92508_PIEZO1.pdf", "Melting_Curves/meltCurve_Q92508_PIEZO1.pdf")</f>
        <v>Melting_Curves/meltCurve_Q92508_PIEZO1.pdf</v>
      </c>
    </row>
    <row r="5079" spans="1:28" x14ac:dyDescent="0.25">
      <c r="A5079" t="s">
        <v>5083</v>
      </c>
      <c r="B5079">
        <v>0.99999676499088797</v>
      </c>
      <c r="C5079">
        <v>0.92159216380025399</v>
      </c>
      <c r="D5079">
        <v>0.99728981887114798</v>
      </c>
      <c r="E5079">
        <v>0.99761376783292</v>
      </c>
      <c r="F5079">
        <v>0.49539617827931698</v>
      </c>
      <c r="G5079">
        <v>0.27316209789715001</v>
      </c>
      <c r="H5079">
        <v>0.17194925458607499</v>
      </c>
      <c r="I5079">
        <v>0.15981660241099699</v>
      </c>
      <c r="J5079">
        <v>0.16376392623783201</v>
      </c>
      <c r="K5079">
        <v>0.138842251421298</v>
      </c>
      <c r="L5079">
        <v>2306.20234774133</v>
      </c>
      <c r="M5079">
        <v>43.686031782711702</v>
      </c>
      <c r="N5079">
        <v>53.301429307974402</v>
      </c>
      <c r="O5079">
        <v>52.6801355438432</v>
      </c>
      <c r="P5079">
        <v>-0.17184562260827799</v>
      </c>
      <c r="Q5079">
        <v>0.17110022972261099</v>
      </c>
      <c r="R5079">
        <v>0.99011104914661097</v>
      </c>
      <c r="S5079" t="s">
        <v>12082</v>
      </c>
      <c r="T5079" t="s">
        <v>14004</v>
      </c>
      <c r="U5079" t="s">
        <v>14004</v>
      </c>
      <c r="V5079" t="s">
        <v>14004</v>
      </c>
      <c r="W5079" t="s">
        <v>19028</v>
      </c>
      <c r="X5079">
        <v>12</v>
      </c>
      <c r="Y5079" t="s">
        <v>25835</v>
      </c>
      <c r="Z5079" t="s">
        <v>32789</v>
      </c>
      <c r="AA5079">
        <v>0.52702995182484147</v>
      </c>
      <c r="AB5079" t="str">
        <f>HYPERLINK("Melting_Curves/meltCurve_Q92520_FAM3C.pdf", "Melting_Curves/meltCurve_Q92520_FAM3C.pdf")</f>
        <v>Melting_Curves/meltCurve_Q92520_FAM3C.pdf</v>
      </c>
    </row>
    <row r="5080" spans="1:28" x14ac:dyDescent="0.25">
      <c r="A5080" t="s">
        <v>5084</v>
      </c>
      <c r="B5080">
        <v>0.99999676499088797</v>
      </c>
      <c r="C5080">
        <v>1.05463321433734</v>
      </c>
      <c r="D5080">
        <v>1.07567714806973</v>
      </c>
      <c r="E5080">
        <v>0.86081165823575401</v>
      </c>
      <c r="F5080">
        <v>0.58212979636488604</v>
      </c>
      <c r="G5080">
        <v>0.68577161791464503</v>
      </c>
      <c r="H5080">
        <v>0.41341198306791199</v>
      </c>
      <c r="I5080">
        <v>0.28373453016162498</v>
      </c>
      <c r="J5080">
        <v>0.32510637207876603</v>
      </c>
      <c r="K5080">
        <v>0.31647865813126003</v>
      </c>
      <c r="L5080">
        <v>793.96210215263295</v>
      </c>
      <c r="M5080">
        <v>14.452876584008999</v>
      </c>
      <c r="N5080">
        <v>58.022075770634103</v>
      </c>
      <c r="O5080">
        <v>53.914954986695498</v>
      </c>
      <c r="P5080">
        <v>-4.9043330168699099E-2</v>
      </c>
      <c r="Q5080">
        <v>0.26828110101474301</v>
      </c>
      <c r="R5080">
        <v>0.93416303724816196</v>
      </c>
      <c r="S5080" t="s">
        <v>12083</v>
      </c>
      <c r="T5080" t="s">
        <v>14004</v>
      </c>
      <c r="U5080" t="s">
        <v>14004</v>
      </c>
      <c r="V5080" t="s">
        <v>14004</v>
      </c>
      <c r="W5080" t="s">
        <v>19029</v>
      </c>
      <c r="X5080">
        <v>5</v>
      </c>
      <c r="Y5080" t="s">
        <v>25836</v>
      </c>
      <c r="Z5080" t="s">
        <v>32790</v>
      </c>
      <c r="AA5080">
        <v>0.64728009609437187</v>
      </c>
      <c r="AB5080" t="str">
        <f>HYPERLINK("Melting_Curves/meltCurve_Q92522_H1FX.pdf", "Melting_Curves/meltCurve_Q92522_H1FX.pdf")</f>
        <v>Melting_Curves/meltCurve_Q92522_H1FX.pdf</v>
      </c>
    </row>
    <row r="5081" spans="1:28" x14ac:dyDescent="0.25">
      <c r="A5081" t="s">
        <v>5085</v>
      </c>
      <c r="B5081">
        <v>0.99999676499088797</v>
      </c>
      <c r="C5081">
        <v>1.04349762298264</v>
      </c>
      <c r="D5081">
        <v>1.0630612651953399</v>
      </c>
      <c r="E5081">
        <v>0.68885167709822503</v>
      </c>
      <c r="F5081">
        <v>0.36690907048150401</v>
      </c>
      <c r="G5081">
        <v>0.241760183380161</v>
      </c>
      <c r="H5081">
        <v>0.145483078334675</v>
      </c>
      <c r="I5081">
        <v>0.17544415384491199</v>
      </c>
      <c r="J5081">
        <v>0.214349839551085</v>
      </c>
      <c r="K5081">
        <v>0.24855698438793</v>
      </c>
      <c r="L5081">
        <v>1640.9949216883699</v>
      </c>
      <c r="M5081">
        <v>32.449005770731098</v>
      </c>
      <c r="N5081">
        <v>51.397019733613298</v>
      </c>
      <c r="O5081">
        <v>50.3805928031109</v>
      </c>
      <c r="P5081">
        <v>-0.12831794780665901</v>
      </c>
      <c r="Q5081">
        <v>0.20309380441166799</v>
      </c>
      <c r="R5081">
        <v>0.98523571235858598</v>
      </c>
      <c r="S5081" t="s">
        <v>12084</v>
      </c>
      <c r="T5081" t="s">
        <v>14004</v>
      </c>
      <c r="U5081" t="s">
        <v>14004</v>
      </c>
      <c r="V5081" t="s">
        <v>14004</v>
      </c>
      <c r="W5081" t="s">
        <v>19030</v>
      </c>
      <c r="X5081">
        <v>9</v>
      </c>
      <c r="Y5081" t="s">
        <v>25837</v>
      </c>
      <c r="Z5081" t="s">
        <v>32791</v>
      </c>
      <c r="AA5081">
        <v>0.48815834781381601</v>
      </c>
      <c r="AB5081" t="str">
        <f>HYPERLINK("Melting_Curves/meltCurve_Q92526_CCT6B.pdf", "Melting_Curves/meltCurve_Q92526_CCT6B.pdf")</f>
        <v>Melting_Curves/meltCurve_Q92526_CCT6B.pdf</v>
      </c>
    </row>
    <row r="5082" spans="1:28" x14ac:dyDescent="0.25">
      <c r="A5082" t="s">
        <v>5086</v>
      </c>
      <c r="B5082">
        <v>0.99999676499088797</v>
      </c>
      <c r="C5082">
        <v>1.1042961623871901</v>
      </c>
      <c r="D5082">
        <v>1.0815157829603199</v>
      </c>
      <c r="E5082">
        <v>1.0539873115320399</v>
      </c>
      <c r="F5082">
        <v>0.96330111303833799</v>
      </c>
      <c r="G5082">
        <v>0.82174231470219805</v>
      </c>
      <c r="H5082">
        <v>0.37063571336925999</v>
      </c>
      <c r="I5082">
        <v>0.31660701990420698</v>
      </c>
      <c r="J5082">
        <v>0.309209323955904</v>
      </c>
      <c r="K5082">
        <v>0.20612991029785199</v>
      </c>
      <c r="L5082">
        <v>2338.3038357065302</v>
      </c>
      <c r="M5082">
        <v>40.0849025475055</v>
      </c>
      <c r="N5082">
        <v>59.452665862659103</v>
      </c>
      <c r="O5082">
        <v>58.189167315653201</v>
      </c>
      <c r="P5082">
        <v>-0.12660583332597999</v>
      </c>
      <c r="Q5082">
        <v>0.26485318617662701</v>
      </c>
      <c r="R5082">
        <v>0.97814744276089305</v>
      </c>
      <c r="S5082" t="s">
        <v>12085</v>
      </c>
      <c r="T5082" t="s">
        <v>14004</v>
      </c>
      <c r="U5082" t="s">
        <v>14004</v>
      </c>
      <c r="V5082" t="s">
        <v>14004</v>
      </c>
      <c r="W5082" t="s">
        <v>19031</v>
      </c>
      <c r="X5082">
        <v>2</v>
      </c>
      <c r="Y5082" t="s">
        <v>25838</v>
      </c>
      <c r="Z5082" t="s">
        <v>32792</v>
      </c>
      <c r="AA5082">
        <v>0.71700427879638073</v>
      </c>
      <c r="AB5082" t="str">
        <f>HYPERLINK("Melting_Curves/meltCurve_Q92536_SLC7A6.pdf", "Melting_Curves/meltCurve_Q92536_SLC7A6.pdf")</f>
        <v>Melting_Curves/meltCurve_Q92536_SLC7A6.pdf</v>
      </c>
    </row>
    <row r="5083" spans="1:28" x14ac:dyDescent="0.25">
      <c r="A5083" t="s">
        <v>5087</v>
      </c>
      <c r="B5083">
        <v>0.99999676499088797</v>
      </c>
      <c r="C5083">
        <v>1.09834553069142</v>
      </c>
      <c r="D5083">
        <v>1.0469694992326499</v>
      </c>
      <c r="E5083">
        <v>0.79636065935618705</v>
      </c>
      <c r="F5083">
        <v>0.85054635265203204</v>
      </c>
      <c r="G5083">
        <v>0.86054466389399098</v>
      </c>
      <c r="H5083">
        <v>0.629315705206972</v>
      </c>
      <c r="I5083">
        <v>0.52916040217177096</v>
      </c>
      <c r="J5083">
        <v>0.20459521789228199</v>
      </c>
      <c r="K5083">
        <v>0.13220761902907099</v>
      </c>
      <c r="L5083">
        <v>941.66219790988396</v>
      </c>
      <c r="M5083">
        <v>14.986335929590799</v>
      </c>
      <c r="N5083">
        <v>62.8347184237645</v>
      </c>
      <c r="O5083">
        <v>61.747741917598503</v>
      </c>
      <c r="P5083">
        <v>-6.0681795565258802E-2</v>
      </c>
      <c r="Q5083">
        <v>0</v>
      </c>
      <c r="R5083">
        <v>0.92951915073809299</v>
      </c>
      <c r="S5083" t="s">
        <v>12086</v>
      </c>
      <c r="T5083" t="s">
        <v>14004</v>
      </c>
      <c r="U5083" t="s">
        <v>14004</v>
      </c>
      <c r="V5083" t="s">
        <v>14004</v>
      </c>
      <c r="W5083" t="s">
        <v>19032</v>
      </c>
      <c r="X5083">
        <v>1</v>
      </c>
      <c r="Y5083" t="s">
        <v>25839</v>
      </c>
      <c r="Z5083" t="s">
        <v>32793</v>
      </c>
      <c r="AA5083">
        <v>0.75309440035746744</v>
      </c>
      <c r="AB5083" t="str">
        <f>HYPERLINK("Melting_Curves/meltCurve_Q92537_KIAA0247.pdf", "Melting_Curves/meltCurve_Q92537_KIAA0247.pdf")</f>
        <v>Melting_Curves/meltCurve_Q92537_KIAA0247.pdf</v>
      </c>
    </row>
    <row r="5084" spans="1:28" x14ac:dyDescent="0.25">
      <c r="A5084" t="s">
        <v>5088</v>
      </c>
      <c r="B5084">
        <v>0.99999676499088797</v>
      </c>
      <c r="C5084">
        <v>0.99560214460329099</v>
      </c>
      <c r="D5084">
        <v>0.86929607137939602</v>
      </c>
      <c r="E5084">
        <v>0.39431551088164601</v>
      </c>
      <c r="F5084">
        <v>0.25595602507319498</v>
      </c>
      <c r="G5084">
        <v>0.19132397271169099</v>
      </c>
      <c r="H5084">
        <v>0.101521020972135</v>
      </c>
      <c r="I5084">
        <v>0.11004235770752201</v>
      </c>
      <c r="J5084">
        <v>0.108178576435253</v>
      </c>
      <c r="K5084">
        <v>7.4810772735206907E-2</v>
      </c>
      <c r="L5084">
        <v>1300.0228485139401</v>
      </c>
      <c r="M5084">
        <v>26.759851723952998</v>
      </c>
      <c r="N5084">
        <v>49.075722954989303</v>
      </c>
      <c r="O5084">
        <v>48.312216148264397</v>
      </c>
      <c r="P5084">
        <v>-0.122107234563893</v>
      </c>
      <c r="Q5084">
        <v>0.11819967016753399</v>
      </c>
      <c r="R5084">
        <v>0.99078201837170998</v>
      </c>
      <c r="S5084" t="s">
        <v>12087</v>
      </c>
      <c r="T5084" t="s">
        <v>14004</v>
      </c>
      <c r="U5084" t="s">
        <v>14004</v>
      </c>
      <c r="V5084" t="s">
        <v>14004</v>
      </c>
      <c r="W5084" t="s">
        <v>19033</v>
      </c>
      <c r="X5084">
        <v>20</v>
      </c>
      <c r="Y5084" t="s">
        <v>25840</v>
      </c>
      <c r="Z5084" t="s">
        <v>32794</v>
      </c>
      <c r="AA5084">
        <v>0.37719432811372627</v>
      </c>
      <c r="AB5084" t="str">
        <f>HYPERLINK("Melting_Curves/meltCurve_Q92538_GBF1.pdf", "Melting_Curves/meltCurve_Q92538_GBF1.pdf")</f>
        <v>Melting_Curves/meltCurve_Q92538_GBF1.pdf</v>
      </c>
    </row>
    <row r="5085" spans="1:28" x14ac:dyDescent="0.25">
      <c r="A5085" t="s">
        <v>5089</v>
      </c>
      <c r="B5085">
        <v>0.99999676499088797</v>
      </c>
      <c r="C5085">
        <v>0.998534475604821</v>
      </c>
      <c r="D5085">
        <v>0.99328304871800499</v>
      </c>
      <c r="E5085">
        <v>0.87717990798871803</v>
      </c>
      <c r="F5085">
        <v>0.32806485032208699</v>
      </c>
      <c r="G5085">
        <v>0.185943065103058</v>
      </c>
      <c r="H5085">
        <v>9.0928179498787898E-2</v>
      </c>
      <c r="I5085">
        <v>8.7201533692477698E-2</v>
      </c>
      <c r="J5085">
        <v>9.1323752291129795E-2</v>
      </c>
      <c r="K5085">
        <v>8.0431232993385796E-2</v>
      </c>
      <c r="L5085">
        <v>1985.23046835789</v>
      </c>
      <c r="M5085">
        <v>38.288635979101699</v>
      </c>
      <c r="N5085">
        <v>52.145015475305797</v>
      </c>
      <c r="O5085">
        <v>51.708249143279701</v>
      </c>
      <c r="P5085">
        <v>-0.167041196366152</v>
      </c>
      <c r="Q5085">
        <v>9.7655350137155303E-2</v>
      </c>
      <c r="R5085">
        <v>0.99745042038246601</v>
      </c>
      <c r="S5085" t="s">
        <v>12088</v>
      </c>
      <c r="T5085" t="s">
        <v>14004</v>
      </c>
      <c r="U5085" t="s">
        <v>14004</v>
      </c>
      <c r="V5085" t="s">
        <v>14004</v>
      </c>
      <c r="W5085" t="s">
        <v>19034</v>
      </c>
      <c r="X5085">
        <v>38</v>
      </c>
      <c r="Y5085" t="s">
        <v>25841</v>
      </c>
      <c r="Z5085" t="s">
        <v>32795</v>
      </c>
      <c r="AA5085">
        <v>0.45758353659849038</v>
      </c>
      <c r="AB5085" t="str">
        <f>HYPERLINK("Melting_Curves/meltCurve_Q92541_RTF1.pdf", "Melting_Curves/meltCurve_Q92541_RTF1.pdf")</f>
        <v>Melting_Curves/meltCurve_Q92541_RTF1.pdf</v>
      </c>
    </row>
    <row r="5086" spans="1:28" x14ac:dyDescent="0.25">
      <c r="A5086" t="s">
        <v>5090</v>
      </c>
      <c r="B5086">
        <v>0.99999676499088797</v>
      </c>
      <c r="C5086">
        <v>0.94843062850846005</v>
      </c>
      <c r="D5086">
        <v>0.95440239133751603</v>
      </c>
      <c r="E5086">
        <v>0.59925494349028796</v>
      </c>
      <c r="F5086">
        <v>0.187685950464408</v>
      </c>
      <c r="G5086">
        <v>0.15409134202343699</v>
      </c>
      <c r="H5086">
        <v>6.4325732057966198E-2</v>
      </c>
      <c r="I5086">
        <v>6.6826775698637403E-2</v>
      </c>
      <c r="J5086">
        <v>4.7322674782840302E-2</v>
      </c>
      <c r="K5086">
        <v>3.11794132496029E-2</v>
      </c>
      <c r="L5086">
        <v>1448.38770451907</v>
      </c>
      <c r="M5086">
        <v>28.904688348610101</v>
      </c>
      <c r="N5086">
        <v>50.336658310594302</v>
      </c>
      <c r="O5086">
        <v>49.8710797714376</v>
      </c>
      <c r="P5086">
        <v>-0.13602336481198901</v>
      </c>
      <c r="Q5086">
        <v>6.1248286902991403E-2</v>
      </c>
      <c r="R5086">
        <v>0.99504859283328295</v>
      </c>
      <c r="S5086" t="s">
        <v>12089</v>
      </c>
      <c r="T5086" t="s">
        <v>14004</v>
      </c>
      <c r="U5086" t="s">
        <v>14004</v>
      </c>
      <c r="V5086" t="s">
        <v>14004</v>
      </c>
      <c r="W5086" t="s">
        <v>19035</v>
      </c>
      <c r="X5086">
        <v>15</v>
      </c>
      <c r="Y5086" t="s">
        <v>25842</v>
      </c>
      <c r="Z5086" t="s">
        <v>32796</v>
      </c>
      <c r="AA5086">
        <v>0.38384981963278481</v>
      </c>
      <c r="AB5086" t="str">
        <f>HYPERLINK("Melting_Curves/meltCurve_Q92544_TM9SF4.pdf", "Melting_Curves/meltCurve_Q92544_TM9SF4.pdf")</f>
        <v>Melting_Curves/meltCurve_Q92544_TM9SF4.pdf</v>
      </c>
    </row>
    <row r="5087" spans="1:28" x14ac:dyDescent="0.25">
      <c r="A5087" t="s">
        <v>5091</v>
      </c>
      <c r="B5087">
        <v>0.99999676499088797</v>
      </c>
      <c r="C5087">
        <v>0.88927011601230299</v>
      </c>
      <c r="D5087">
        <v>0.91626002108786897</v>
      </c>
      <c r="E5087">
        <v>0.66009710177215997</v>
      </c>
      <c r="F5087">
        <v>0.28127678557604202</v>
      </c>
      <c r="G5087">
        <v>0.18497028188473499</v>
      </c>
      <c r="H5087">
        <v>7.1408274774912406E-2</v>
      </c>
      <c r="I5087">
        <v>0.13106686528127001</v>
      </c>
      <c r="J5087">
        <v>8.6521429990375306E-2</v>
      </c>
      <c r="K5087">
        <v>0.10375291922178299</v>
      </c>
      <c r="L5087">
        <v>1153.6592865068301</v>
      </c>
      <c r="M5087">
        <v>22.847682322509201</v>
      </c>
      <c r="N5087">
        <v>50.953117593603899</v>
      </c>
      <c r="O5087">
        <v>50.1114523772846</v>
      </c>
      <c r="P5087">
        <v>-0.103371744799568</v>
      </c>
      <c r="Q5087">
        <v>9.3123133616523801E-2</v>
      </c>
      <c r="R5087">
        <v>0.98985822282232205</v>
      </c>
      <c r="S5087" t="s">
        <v>12090</v>
      </c>
      <c r="T5087" t="s">
        <v>14004</v>
      </c>
      <c r="U5087" t="s">
        <v>14004</v>
      </c>
      <c r="V5087" t="s">
        <v>14004</v>
      </c>
      <c r="W5087" t="s">
        <v>19036</v>
      </c>
      <c r="X5087">
        <v>2</v>
      </c>
      <c r="Y5087" t="s">
        <v>25843</v>
      </c>
      <c r="Z5087" t="s">
        <v>32797</v>
      </c>
      <c r="AA5087">
        <v>0.42006893710556342</v>
      </c>
      <c r="AB5087" t="str">
        <f>HYPERLINK("Melting_Curves/meltCurve_Q92546_RGP1.pdf", "Melting_Curves/meltCurve_Q92546_RGP1.pdf")</f>
        <v>Melting_Curves/meltCurve_Q92546_RGP1.pdf</v>
      </c>
    </row>
    <row r="5088" spans="1:28" x14ac:dyDescent="0.25">
      <c r="A5088" t="s">
        <v>5092</v>
      </c>
      <c r="B5088">
        <v>0.99999676499088797</v>
      </c>
      <c r="C5088">
        <v>0.87981250379756204</v>
      </c>
      <c r="D5088">
        <v>0.373306731074251</v>
      </c>
      <c r="E5088">
        <v>0.115884571019537</v>
      </c>
      <c r="F5088">
        <v>7.2625222383138094E-2</v>
      </c>
      <c r="G5088">
        <v>3.9175373647360602E-2</v>
      </c>
      <c r="H5088">
        <v>3.1465682054292503E-2</v>
      </c>
      <c r="I5088">
        <v>2.75379519195438E-2</v>
      </c>
      <c r="J5088">
        <v>3.5936194159143203E-2</v>
      </c>
      <c r="K5088">
        <v>2.25329469898502E-2</v>
      </c>
      <c r="L5088">
        <v>1535.7379561636601</v>
      </c>
      <c r="M5088">
        <v>33.959762042946402</v>
      </c>
      <c r="N5088">
        <v>45.335406893887502</v>
      </c>
      <c r="O5088">
        <v>45.066340004439503</v>
      </c>
      <c r="P5088">
        <v>-0.18073531584599101</v>
      </c>
      <c r="Q5088">
        <v>4.0623939759268098E-2</v>
      </c>
      <c r="R5088">
        <v>0.99793726266639604</v>
      </c>
      <c r="S5088" t="s">
        <v>12091</v>
      </c>
      <c r="T5088" t="s">
        <v>14004</v>
      </c>
      <c r="U5088" t="s">
        <v>14004</v>
      </c>
      <c r="V5088" t="s">
        <v>14004</v>
      </c>
      <c r="W5088" t="s">
        <v>19037</v>
      </c>
      <c r="X5088">
        <v>5</v>
      </c>
      <c r="Y5088" t="s">
        <v>25844</v>
      </c>
      <c r="Z5088" t="s">
        <v>32798</v>
      </c>
      <c r="AA5088">
        <v>0.21217804492334411</v>
      </c>
      <c r="AB5088" t="str">
        <f>HYPERLINK("Melting_Curves/meltCurve_Q92547_TOPBP1.pdf", "Melting_Curves/meltCurve_Q92547_TOPBP1.pdf")</f>
        <v>Melting_Curves/meltCurve_Q92547_TOPBP1.pdf</v>
      </c>
    </row>
    <row r="5089" spans="1:28" x14ac:dyDescent="0.25">
      <c r="A5089" t="s">
        <v>5093</v>
      </c>
      <c r="B5089">
        <v>0.99999676499088797</v>
      </c>
      <c r="C5089">
        <v>0.916687730147552</v>
      </c>
      <c r="D5089">
        <v>0.72076241094726101</v>
      </c>
      <c r="E5089">
        <v>0.38197744638778502</v>
      </c>
      <c r="F5089">
        <v>0.19582010843315001</v>
      </c>
      <c r="G5089">
        <v>0.13275652874189101</v>
      </c>
      <c r="H5089">
        <v>7.1945092292042601E-2</v>
      </c>
      <c r="I5089">
        <v>8.08927280257873E-2</v>
      </c>
      <c r="J5089">
        <v>8.3753926343771698E-2</v>
      </c>
      <c r="K5089">
        <v>5.9041310745913997E-2</v>
      </c>
      <c r="L5089">
        <v>940.30345229491604</v>
      </c>
      <c r="M5089">
        <v>19.605408513173199</v>
      </c>
      <c r="N5089">
        <v>48.344462258582404</v>
      </c>
      <c r="O5089">
        <v>47.4708040882334</v>
      </c>
      <c r="P5089">
        <v>-9.5825795705119704E-2</v>
      </c>
      <c r="Q5089">
        <v>7.1936223074604996E-2</v>
      </c>
      <c r="R5089">
        <v>0.99895028630786298</v>
      </c>
      <c r="S5089" t="s">
        <v>12092</v>
      </c>
      <c r="T5089" t="s">
        <v>14004</v>
      </c>
      <c r="U5089" t="s">
        <v>14004</v>
      </c>
      <c r="V5089" t="s">
        <v>14004</v>
      </c>
      <c r="W5089" t="s">
        <v>19038</v>
      </c>
      <c r="X5089">
        <v>4</v>
      </c>
      <c r="Y5089" t="s">
        <v>25845</v>
      </c>
      <c r="Z5089" t="s">
        <v>32799</v>
      </c>
      <c r="AA5089">
        <v>0.33199654761546732</v>
      </c>
      <c r="AB5089" t="str">
        <f>HYPERLINK("Melting_Curves/meltCurve_Q92551_IP6K1.pdf", "Melting_Curves/meltCurve_Q92551_IP6K1.pdf")</f>
        <v>Melting_Curves/meltCurve_Q92551_IP6K1.pdf</v>
      </c>
    </row>
    <row r="5090" spans="1:28" x14ac:dyDescent="0.25">
      <c r="A5090" t="s">
        <v>5094</v>
      </c>
      <c r="B5090">
        <v>0.99999676499088797</v>
      </c>
      <c r="C5090">
        <v>0.83359270949917397</v>
      </c>
      <c r="D5090">
        <v>0.88923720915871696</v>
      </c>
      <c r="E5090">
        <v>0.96754057760310397</v>
      </c>
      <c r="F5090">
        <v>0.27819474012033102</v>
      </c>
      <c r="G5090">
        <v>0.363391980278227</v>
      </c>
      <c r="H5090">
        <v>0.20852259709999901</v>
      </c>
      <c r="I5090">
        <v>0.32294973097463803</v>
      </c>
      <c r="J5090">
        <v>0.36504428243012899</v>
      </c>
      <c r="K5090">
        <v>0.38111770928233801</v>
      </c>
      <c r="L5090">
        <v>12548.4712016055</v>
      </c>
      <c r="M5090">
        <v>250</v>
      </c>
      <c r="N5090">
        <v>50.3997274615989</v>
      </c>
      <c r="O5090">
        <v>50.190672746320701</v>
      </c>
      <c r="P5090">
        <v>-0.84693263634265603</v>
      </c>
      <c r="Q5090">
        <v>0.31987010038692198</v>
      </c>
      <c r="R5090">
        <v>0.93215289154824199</v>
      </c>
      <c r="S5090" t="s">
        <v>12093</v>
      </c>
      <c r="T5090" t="s">
        <v>14004</v>
      </c>
      <c r="U5090" t="s">
        <v>14004</v>
      </c>
      <c r="V5090" t="s">
        <v>14004</v>
      </c>
      <c r="W5090" t="s">
        <v>19039</v>
      </c>
      <c r="X5090">
        <v>9</v>
      </c>
      <c r="Y5090" t="s">
        <v>25846</v>
      </c>
      <c r="Z5090" t="s">
        <v>32800</v>
      </c>
      <c r="AA5090">
        <v>0.55103554101593388</v>
      </c>
      <c r="AB5090" t="str">
        <f>HYPERLINK("Melting_Curves/meltCurve_Q92552_MRPS27.pdf", "Melting_Curves/meltCurve_Q92552_MRPS27.pdf")</f>
        <v>Melting_Curves/meltCurve_Q92552_MRPS27.pdf</v>
      </c>
    </row>
    <row r="5091" spans="1:28" x14ac:dyDescent="0.25">
      <c r="A5091" t="s">
        <v>5095</v>
      </c>
      <c r="B5091">
        <v>0.99999676499088797</v>
      </c>
      <c r="C5091">
        <v>0.93930899663769096</v>
      </c>
      <c r="D5091">
        <v>0.91373895410889205</v>
      </c>
      <c r="E5091">
        <v>0.48653844340664998</v>
      </c>
      <c r="F5091">
        <v>0.201464556187195</v>
      </c>
      <c r="G5091">
        <v>0.13579147353875301</v>
      </c>
      <c r="H5091">
        <v>6.6084780952186103E-2</v>
      </c>
      <c r="I5091">
        <v>6.24071473907402E-2</v>
      </c>
      <c r="J5091">
        <v>5.5072403773198199E-2</v>
      </c>
      <c r="K5091">
        <v>5.18780278276244E-2</v>
      </c>
      <c r="L5091">
        <v>1261.7465861179101</v>
      </c>
      <c r="M5091">
        <v>25.542152386390299</v>
      </c>
      <c r="N5091">
        <v>49.6685507860713</v>
      </c>
      <c r="O5091">
        <v>49.098788973014997</v>
      </c>
      <c r="P5091">
        <v>-0.12162778086449801</v>
      </c>
      <c r="Q5091">
        <v>6.4808210926447896E-2</v>
      </c>
      <c r="R5091">
        <v>0.99635223574380405</v>
      </c>
      <c r="S5091" t="s">
        <v>12094</v>
      </c>
      <c r="T5091" t="s">
        <v>14004</v>
      </c>
      <c r="U5091" t="s">
        <v>14004</v>
      </c>
      <c r="V5091" t="s">
        <v>14004</v>
      </c>
      <c r="W5091" t="s">
        <v>19040</v>
      </c>
      <c r="X5091">
        <v>40</v>
      </c>
      <c r="Y5091" t="s">
        <v>25847</v>
      </c>
      <c r="Z5091" t="s">
        <v>32801</v>
      </c>
      <c r="AA5091">
        <v>0.36574711720512909</v>
      </c>
      <c r="AB5091" t="str">
        <f>HYPERLINK("Melting_Curves/meltCurve_Q92556_ELMO1.pdf", "Melting_Curves/meltCurve_Q92556_ELMO1.pdf")</f>
        <v>Melting_Curves/meltCurve_Q92556_ELMO1.pdf</v>
      </c>
    </row>
    <row r="5092" spans="1:28" x14ac:dyDescent="0.25">
      <c r="A5092" t="s">
        <v>5096</v>
      </c>
      <c r="B5092">
        <v>0.99999676499088797</v>
      </c>
      <c r="C5092">
        <v>1.0191896365447299</v>
      </c>
      <c r="D5092">
        <v>0.93564311045357296</v>
      </c>
      <c r="E5092">
        <v>0.63394633723891702</v>
      </c>
      <c r="F5092">
        <v>0.42038499553430803</v>
      </c>
      <c r="G5092">
        <v>0.206681595427641</v>
      </c>
      <c r="H5092">
        <v>0.139030193172927</v>
      </c>
      <c r="I5092">
        <v>0.18813544189937501</v>
      </c>
      <c r="J5092">
        <v>0.19311750840223699</v>
      </c>
      <c r="K5092">
        <v>0.203929928367861</v>
      </c>
      <c r="L5092">
        <v>1147.43771388289</v>
      </c>
      <c r="M5092">
        <v>22.733764993365099</v>
      </c>
      <c r="N5092">
        <v>51.4425901353884</v>
      </c>
      <c r="O5092">
        <v>50.087169491835198</v>
      </c>
      <c r="P5092">
        <v>-9.3697625117146396E-2</v>
      </c>
      <c r="Q5092">
        <v>0.17427549539201501</v>
      </c>
      <c r="R5092">
        <v>0.99204741149565001</v>
      </c>
      <c r="S5092" t="s">
        <v>12095</v>
      </c>
      <c r="T5092" t="s">
        <v>14004</v>
      </c>
      <c r="U5092" t="s">
        <v>14004</v>
      </c>
      <c r="V5092" t="s">
        <v>14004</v>
      </c>
      <c r="W5092" t="s">
        <v>19041</v>
      </c>
      <c r="X5092">
        <v>9</v>
      </c>
      <c r="Y5092" t="s">
        <v>25848</v>
      </c>
      <c r="Z5092" t="s">
        <v>32802</v>
      </c>
      <c r="AA5092">
        <v>0.47148232178559718</v>
      </c>
      <c r="AB5092" t="str">
        <f>HYPERLINK("Melting_Curves/meltCurve_Q92558_WASF1.pdf", "Melting_Curves/meltCurve_Q92558_WASF1.pdf")</f>
        <v>Melting_Curves/meltCurve_Q92558_WASF1.pdf</v>
      </c>
    </row>
    <row r="5093" spans="1:28" x14ac:dyDescent="0.25">
      <c r="A5093" t="s">
        <v>5097</v>
      </c>
      <c r="B5093">
        <v>0.99999676499088797</v>
      </c>
      <c r="C5093">
        <v>1.0955552232074499</v>
      </c>
      <c r="D5093">
        <v>0.98203795843528796</v>
      </c>
      <c r="E5093">
        <v>0.46794481518110098</v>
      </c>
      <c r="F5093">
        <v>0.45369306580145502</v>
      </c>
      <c r="G5093">
        <v>0.34926384483080503</v>
      </c>
      <c r="H5093">
        <v>0.35578456093979699</v>
      </c>
      <c r="I5093">
        <v>0.43525313760849099</v>
      </c>
      <c r="J5093">
        <v>0.42672375902519699</v>
      </c>
      <c r="K5093">
        <v>0.48439112594851202</v>
      </c>
      <c r="L5093">
        <v>3671.5417393196199</v>
      </c>
      <c r="M5093">
        <v>76.368132801699005</v>
      </c>
      <c r="N5093">
        <v>49.2377447929018</v>
      </c>
      <c r="O5093">
        <v>48.043946184598397</v>
      </c>
      <c r="P5093">
        <v>-0.231520630334792</v>
      </c>
      <c r="Q5093">
        <v>0.41739243763801098</v>
      </c>
      <c r="R5093">
        <v>0.96965420392633705</v>
      </c>
      <c r="S5093" t="s">
        <v>12096</v>
      </c>
      <c r="T5093" t="s">
        <v>14004</v>
      </c>
      <c r="U5093" t="s">
        <v>14004</v>
      </c>
      <c r="V5093" t="s">
        <v>14004</v>
      </c>
      <c r="W5093" t="s">
        <v>19042</v>
      </c>
      <c r="X5093">
        <v>2</v>
      </c>
      <c r="Y5093" t="s">
        <v>25849</v>
      </c>
      <c r="Z5093" t="s">
        <v>32803</v>
      </c>
      <c r="AA5093">
        <v>0.57477546410631475</v>
      </c>
      <c r="AB5093" t="str">
        <f>HYPERLINK("Melting_Curves/meltCurve_Q92567_2_FAM168A.pdf", "Melting_Curves/meltCurve_Q92567_2_FAM168A.pdf")</f>
        <v>Melting_Curves/meltCurve_Q92567_2_FAM168A.pdf</v>
      </c>
    </row>
    <row r="5094" spans="1:28" x14ac:dyDescent="0.25">
      <c r="A5094" t="s">
        <v>5098</v>
      </c>
      <c r="B5094">
        <v>0.99999676499088797</v>
      </c>
      <c r="C5094">
        <v>1.01853161767709</v>
      </c>
      <c r="D5094">
        <v>0.88557445438239002</v>
      </c>
      <c r="E5094">
        <v>0.52118455809873598</v>
      </c>
      <c r="F5094">
        <v>0.27657656852982698</v>
      </c>
      <c r="G5094">
        <v>0.20482111376917</v>
      </c>
      <c r="H5094">
        <v>0.105048303761414</v>
      </c>
      <c r="I5094">
        <v>8.5539702400778198E-2</v>
      </c>
      <c r="J5094">
        <v>8.0658880127211702E-2</v>
      </c>
      <c r="K5094">
        <v>7.0755194556284096E-2</v>
      </c>
      <c r="L5094">
        <v>1066.8546867196001</v>
      </c>
      <c r="M5094">
        <v>21.459294404883501</v>
      </c>
      <c r="N5094">
        <v>50.177217309308297</v>
      </c>
      <c r="O5094">
        <v>49.289577867366702</v>
      </c>
      <c r="P5094">
        <v>-9.9089363611044201E-2</v>
      </c>
      <c r="Q5094">
        <v>8.9633919215875907E-2</v>
      </c>
      <c r="R5094">
        <v>0.99442863238414902</v>
      </c>
      <c r="S5094" t="s">
        <v>12097</v>
      </c>
      <c r="T5094" t="s">
        <v>14004</v>
      </c>
      <c r="U5094" t="s">
        <v>14004</v>
      </c>
      <c r="V5094" t="s">
        <v>14004</v>
      </c>
      <c r="W5094" t="s">
        <v>19043</v>
      </c>
      <c r="X5094">
        <v>4</v>
      </c>
      <c r="Y5094" t="s">
        <v>25850</v>
      </c>
      <c r="Z5094" t="s">
        <v>32804</v>
      </c>
      <c r="AA5094">
        <v>0.39548239368981353</v>
      </c>
      <c r="AB5094" t="str">
        <f>HYPERLINK("Melting_Curves/meltCurve_Q92572_AP3S1.pdf", "Melting_Curves/meltCurve_Q92572_AP3S1.pdf")</f>
        <v>Melting_Curves/meltCurve_Q92572_AP3S1.pdf</v>
      </c>
    </row>
    <row r="5095" spans="1:28" x14ac:dyDescent="0.25">
      <c r="A5095" t="s">
        <v>5099</v>
      </c>
      <c r="B5095">
        <v>0.99999676499088797</v>
      </c>
      <c r="C5095">
        <v>0.956338869354454</v>
      </c>
      <c r="D5095">
        <v>0.88322273043775101</v>
      </c>
      <c r="E5095">
        <v>0.69840133422724904</v>
      </c>
      <c r="F5095">
        <v>0.261835010608098</v>
      </c>
      <c r="G5095">
        <v>0.14741964370667901</v>
      </c>
      <c r="H5095">
        <v>6.53657899154238E-2</v>
      </c>
      <c r="I5095">
        <v>6.1969209262289299E-2</v>
      </c>
      <c r="J5095">
        <v>5.5142948605562299E-2</v>
      </c>
      <c r="K5095">
        <v>4.7129876289310202E-2</v>
      </c>
      <c r="L5095">
        <v>1182.3919943221199</v>
      </c>
      <c r="M5095">
        <v>23.259034116373201</v>
      </c>
      <c r="N5095">
        <v>51.066117889061204</v>
      </c>
      <c r="O5095">
        <v>50.464506261970598</v>
      </c>
      <c r="P5095">
        <v>-0.10948959470087299</v>
      </c>
      <c r="Q5095">
        <v>4.97903935997717E-2</v>
      </c>
      <c r="R5095">
        <v>0.99602519382906796</v>
      </c>
      <c r="S5095" t="s">
        <v>12098</v>
      </c>
      <c r="T5095" t="s">
        <v>14004</v>
      </c>
      <c r="U5095" t="s">
        <v>14004</v>
      </c>
      <c r="V5095" t="s">
        <v>14004</v>
      </c>
      <c r="W5095" t="s">
        <v>19044</v>
      </c>
      <c r="X5095">
        <v>14</v>
      </c>
      <c r="Y5095" t="s">
        <v>25851</v>
      </c>
      <c r="Z5095" t="s">
        <v>32805</v>
      </c>
      <c r="AA5095">
        <v>0.4028741026894791</v>
      </c>
      <c r="AB5095" t="str">
        <f>HYPERLINK("Melting_Curves/meltCurve_Q92575_UBXN4.pdf", "Melting_Curves/meltCurve_Q92575_UBXN4.pdf")</f>
        <v>Melting_Curves/meltCurve_Q92575_UBXN4.pdf</v>
      </c>
    </row>
    <row r="5096" spans="1:28" x14ac:dyDescent="0.25">
      <c r="A5096" t="s">
        <v>5100</v>
      </c>
      <c r="B5096">
        <v>0.99999676499088797</v>
      </c>
      <c r="C5096">
        <v>0.96665300115957797</v>
      </c>
      <c r="D5096">
        <v>0.96555956859764602</v>
      </c>
      <c r="E5096">
        <v>0.96829039946370099</v>
      </c>
      <c r="F5096">
        <v>0.76454401509913394</v>
      </c>
      <c r="G5096">
        <v>0.65501426757373704</v>
      </c>
      <c r="H5096">
        <v>0.44184487120056598</v>
      </c>
      <c r="I5096">
        <v>0.47003215928666697</v>
      </c>
      <c r="J5096">
        <v>0.46674999140518297</v>
      </c>
      <c r="K5096">
        <v>0.52767636982531396</v>
      </c>
      <c r="L5096">
        <v>1288.7319517795199</v>
      </c>
      <c r="M5096">
        <v>23.783350756027399</v>
      </c>
      <c r="N5096">
        <v>61.508759863396399</v>
      </c>
      <c r="O5096">
        <v>53.807573404420602</v>
      </c>
      <c r="P5096">
        <v>-5.8508022445636798E-2</v>
      </c>
      <c r="Q5096">
        <v>0.47053320258536802</v>
      </c>
      <c r="R5096">
        <v>0.97388965688027196</v>
      </c>
      <c r="S5096" t="s">
        <v>12099</v>
      </c>
      <c r="T5096" t="s">
        <v>14004</v>
      </c>
      <c r="U5096" t="s">
        <v>14004</v>
      </c>
      <c r="V5096" t="s">
        <v>14004</v>
      </c>
      <c r="W5096" t="s">
        <v>19045</v>
      </c>
      <c r="X5096">
        <v>40</v>
      </c>
      <c r="Y5096" t="s">
        <v>25852</v>
      </c>
      <c r="Z5096" t="s">
        <v>32806</v>
      </c>
      <c r="AA5096">
        <v>0.72626500566260643</v>
      </c>
      <c r="AB5096" t="str">
        <f>HYPERLINK("Melting_Curves/meltCurve_Q92576_2_PHF3.pdf", "Melting_Curves/meltCurve_Q92576_2_PHF3.pdf")</f>
        <v>Melting_Curves/meltCurve_Q92576_2_PHF3.pdf</v>
      </c>
    </row>
    <row r="5097" spans="1:28" x14ac:dyDescent="0.25">
      <c r="A5097" t="s">
        <v>5101</v>
      </c>
      <c r="B5097">
        <v>0.99999676499088797</v>
      </c>
      <c r="C5097">
        <v>0.98499411788987701</v>
      </c>
      <c r="D5097">
        <v>1.0063024375788301</v>
      </c>
      <c r="E5097">
        <v>0.89593655407022998</v>
      </c>
      <c r="F5097">
        <v>0.98169573589317005</v>
      </c>
      <c r="G5097">
        <v>0.93741595605304595</v>
      </c>
      <c r="H5097">
        <v>0.63418351161489706</v>
      </c>
      <c r="I5097">
        <v>0.62391920873034801</v>
      </c>
      <c r="J5097">
        <v>0.53778354726187905</v>
      </c>
      <c r="K5097">
        <v>0.654937120361474</v>
      </c>
      <c r="L5097">
        <v>3527.955288093</v>
      </c>
      <c r="M5097">
        <v>60.459038538494802</v>
      </c>
      <c r="O5097">
        <v>58.289080712491703</v>
      </c>
      <c r="P5097">
        <v>-0.102617438783104</v>
      </c>
      <c r="Q5097">
        <v>0.60426273778733397</v>
      </c>
      <c r="R5097">
        <v>0.941442876414879</v>
      </c>
      <c r="S5097" t="s">
        <v>12100</v>
      </c>
      <c r="T5097" t="s">
        <v>14004</v>
      </c>
      <c r="U5097" t="s">
        <v>14004</v>
      </c>
      <c r="V5097" t="s">
        <v>14004</v>
      </c>
      <c r="W5097" t="s">
        <v>19046</v>
      </c>
      <c r="X5097">
        <v>5</v>
      </c>
      <c r="Y5097" t="s">
        <v>25853</v>
      </c>
      <c r="Z5097" t="s">
        <v>32807</v>
      </c>
      <c r="AA5097">
        <v>0.84705382415878638</v>
      </c>
      <c r="AB5097" t="str">
        <f>HYPERLINK("Melting_Curves/meltCurve_Q92581_2_SLC9A6.pdf", "Melting_Curves/meltCurve_Q92581_2_SLC9A6.pdf")</f>
        <v>Melting_Curves/meltCurve_Q92581_2_SLC9A6.pdf</v>
      </c>
    </row>
    <row r="5098" spans="1:28" x14ac:dyDescent="0.25">
      <c r="A5098" t="s">
        <v>5102</v>
      </c>
      <c r="B5098">
        <v>0.99999676499088797</v>
      </c>
      <c r="C5098">
        <v>1.2321075943412301</v>
      </c>
      <c r="D5098">
        <v>0.97737627464590005</v>
      </c>
      <c r="E5098">
        <v>0.77158214839029204</v>
      </c>
      <c r="F5098">
        <v>0.53787636682749596</v>
      </c>
      <c r="G5098">
        <v>0.38914842701195401</v>
      </c>
      <c r="H5098">
        <v>0.224433991591594</v>
      </c>
      <c r="I5098">
        <v>0.30074795916857999</v>
      </c>
      <c r="J5098">
        <v>0.30689893449119199</v>
      </c>
      <c r="K5098">
        <v>0.44973943344796102</v>
      </c>
      <c r="L5098">
        <v>1371.6853541037799</v>
      </c>
      <c r="M5098">
        <v>26.758736624395901</v>
      </c>
      <c r="N5098">
        <v>53.349356054577797</v>
      </c>
      <c r="O5098">
        <v>50.977489649346303</v>
      </c>
      <c r="P5098">
        <v>-8.8636542195753107E-2</v>
      </c>
      <c r="Q5098">
        <v>0.32456870658179998</v>
      </c>
      <c r="R5098">
        <v>0.92234604481956695</v>
      </c>
      <c r="S5098" t="s">
        <v>12101</v>
      </c>
      <c r="T5098" t="s">
        <v>14004</v>
      </c>
      <c r="U5098" t="s">
        <v>14004</v>
      </c>
      <c r="V5098" t="s">
        <v>14004</v>
      </c>
      <c r="W5098" t="s">
        <v>19047</v>
      </c>
      <c r="X5098">
        <v>7</v>
      </c>
      <c r="Y5098" t="s">
        <v>25854</v>
      </c>
      <c r="Z5098" t="s">
        <v>32808</v>
      </c>
      <c r="AA5098">
        <v>0.58346124281895462</v>
      </c>
      <c r="AB5098" t="str">
        <f>HYPERLINK("Melting_Curves/meltCurve_Q92585_MAML1.pdf", "Melting_Curves/meltCurve_Q92585_MAML1.pdf")</f>
        <v>Melting_Curves/meltCurve_Q92585_MAML1.pdf</v>
      </c>
    </row>
    <row r="5099" spans="1:28" x14ac:dyDescent="0.25">
      <c r="A5099" t="s">
        <v>5103</v>
      </c>
      <c r="B5099">
        <v>0.99999676499088797</v>
      </c>
      <c r="C5099">
        <v>1.00480686531192</v>
      </c>
      <c r="D5099">
        <v>1.1054757114684699</v>
      </c>
      <c r="E5099">
        <v>1.15446959257018</v>
      </c>
      <c r="F5099">
        <v>0.54806901479289605</v>
      </c>
      <c r="G5099">
        <v>0.23643412600497801</v>
      </c>
      <c r="H5099">
        <v>8.8096569377130202E-2</v>
      </c>
      <c r="I5099">
        <v>7.82346622247726E-2</v>
      </c>
      <c r="J5099">
        <v>6.4762221998105496E-2</v>
      </c>
      <c r="K5099">
        <v>6.3156103930680704E-2</v>
      </c>
      <c r="L5099">
        <v>2681.68557531737</v>
      </c>
      <c r="M5099">
        <v>50.259647404653897</v>
      </c>
      <c r="N5099">
        <v>53.5795013119129</v>
      </c>
      <c r="O5099">
        <v>53.2723651803962</v>
      </c>
      <c r="P5099">
        <v>-0.21361395310869999</v>
      </c>
      <c r="Q5099">
        <v>9.4326240493395802E-2</v>
      </c>
      <c r="R5099">
        <v>0.97365907619246295</v>
      </c>
      <c r="S5099" t="s">
        <v>12102</v>
      </c>
      <c r="T5099" t="s">
        <v>14004</v>
      </c>
      <c r="U5099" t="s">
        <v>14004</v>
      </c>
      <c r="V5099" t="s">
        <v>14004</v>
      </c>
      <c r="W5099" t="s">
        <v>19048</v>
      </c>
      <c r="X5099">
        <v>6</v>
      </c>
      <c r="Y5099" t="s">
        <v>25855</v>
      </c>
      <c r="Z5099" t="s">
        <v>32809</v>
      </c>
      <c r="AA5099">
        <v>0.49966043116177072</v>
      </c>
      <c r="AB5099" t="str">
        <f>HYPERLINK("Melting_Curves/meltCurve_Q92597_NDRG1.pdf", "Melting_Curves/meltCurve_Q92597_NDRG1.pdf")</f>
        <v>Melting_Curves/meltCurve_Q92597_NDRG1.pdf</v>
      </c>
    </row>
    <row r="5100" spans="1:28" x14ac:dyDescent="0.25">
      <c r="A5100" t="s">
        <v>5104</v>
      </c>
      <c r="B5100">
        <v>0.99999676499088797</v>
      </c>
      <c r="C5100">
        <v>1.0083540014246799</v>
      </c>
      <c r="D5100">
        <v>0.97012295942002202</v>
      </c>
      <c r="E5100">
        <v>0.59080829442347804</v>
      </c>
      <c r="F5100">
        <v>0.23127197323066001</v>
      </c>
      <c r="G5100">
        <v>0.16024429936391199</v>
      </c>
      <c r="H5100">
        <v>7.3832513670269703E-2</v>
      </c>
      <c r="I5100">
        <v>7.2528348711820095E-2</v>
      </c>
      <c r="J5100">
        <v>7.1552830707491494E-2</v>
      </c>
      <c r="K5100">
        <v>6.3247750065181393E-2</v>
      </c>
      <c r="L5100">
        <v>1427.37524513269</v>
      </c>
      <c r="M5100">
        <v>28.473813966500899</v>
      </c>
      <c r="N5100">
        <v>50.435453986551003</v>
      </c>
      <c r="O5100">
        <v>49.884090157252103</v>
      </c>
      <c r="P5100">
        <v>-0.13137912935267601</v>
      </c>
      <c r="Q5100">
        <v>7.9339861341295101E-2</v>
      </c>
      <c r="R5100">
        <v>0.99693368547666095</v>
      </c>
      <c r="S5100" t="s">
        <v>12103</v>
      </c>
      <c r="T5100" t="s">
        <v>14004</v>
      </c>
      <c r="U5100" t="s">
        <v>14004</v>
      </c>
      <c r="V5100" t="s">
        <v>14004</v>
      </c>
      <c r="W5100" t="s">
        <v>19049</v>
      </c>
      <c r="X5100">
        <v>57</v>
      </c>
      <c r="Y5100" t="s">
        <v>25856</v>
      </c>
      <c r="Z5100" t="s">
        <v>32810</v>
      </c>
      <c r="AA5100">
        <v>0.39653879741620879</v>
      </c>
      <c r="AB5100" t="str">
        <f>HYPERLINK("Melting_Curves/meltCurve_Q92598_2_HSPH1.pdf", "Melting_Curves/meltCurve_Q92598_2_HSPH1.pdf")</f>
        <v>Melting_Curves/meltCurve_Q92598_2_HSPH1.pdf</v>
      </c>
    </row>
    <row r="5101" spans="1:28" x14ac:dyDescent="0.25">
      <c r="A5101" t="s">
        <v>5105</v>
      </c>
      <c r="B5101">
        <v>0.99999676499088797</v>
      </c>
      <c r="C5101">
        <v>0.93431056580392702</v>
      </c>
      <c r="D5101">
        <v>0.97792701202508503</v>
      </c>
      <c r="E5101">
        <v>0.93066952670577496</v>
      </c>
      <c r="F5101">
        <v>0.68404751397400099</v>
      </c>
      <c r="G5101">
        <v>0.583363094650165</v>
      </c>
      <c r="H5101">
        <v>0.29847433302769999</v>
      </c>
      <c r="I5101">
        <v>0.16927976197864</v>
      </c>
      <c r="J5101">
        <v>0.147197439026581</v>
      </c>
      <c r="K5101">
        <v>0.109586705736298</v>
      </c>
      <c r="L5101">
        <v>816.14943385639504</v>
      </c>
      <c r="M5101">
        <v>14.332983616089001</v>
      </c>
      <c r="N5101">
        <v>57.243958779633999</v>
      </c>
      <c r="O5101">
        <v>55.868019104105798</v>
      </c>
      <c r="P5101">
        <v>-6.18102040862289E-2</v>
      </c>
      <c r="Q5101">
        <v>3.6405280699511801E-2</v>
      </c>
      <c r="R5101">
        <v>0.989970921923509</v>
      </c>
      <c r="S5101" t="s">
        <v>12104</v>
      </c>
      <c r="T5101" t="s">
        <v>14004</v>
      </c>
      <c r="U5101" t="s">
        <v>14004</v>
      </c>
      <c r="V5101" t="s">
        <v>14004</v>
      </c>
      <c r="W5101" t="s">
        <v>19050</v>
      </c>
      <c r="X5101">
        <v>5</v>
      </c>
      <c r="Y5101" t="s">
        <v>25857</v>
      </c>
      <c r="Z5101" t="s">
        <v>32811</v>
      </c>
      <c r="AA5101">
        <v>0.59632061942634274</v>
      </c>
      <c r="AB5101" t="str">
        <f>HYPERLINK("Melting_Curves/meltCurve_Q92600_RQCD1.pdf", "Melting_Curves/meltCurve_Q92600_RQCD1.pdf")</f>
        <v>Melting_Curves/meltCurve_Q92600_RQCD1.pdf</v>
      </c>
    </row>
    <row r="5102" spans="1:28" x14ac:dyDescent="0.25">
      <c r="A5102" t="s">
        <v>5106</v>
      </c>
      <c r="B5102">
        <v>0.99999676499088797</v>
      </c>
      <c r="C5102">
        <v>0.99685607720297997</v>
      </c>
      <c r="D5102">
        <v>0.62640440198742997</v>
      </c>
      <c r="E5102">
        <v>0.21515448105572399</v>
      </c>
      <c r="F5102">
        <v>0.158046173223336</v>
      </c>
      <c r="G5102">
        <v>0.101573550932927</v>
      </c>
      <c r="H5102">
        <v>4.6900632730736802E-2</v>
      </c>
      <c r="I5102">
        <v>4.7620119393929898E-2</v>
      </c>
      <c r="J5102">
        <v>4.8058785485146797E-2</v>
      </c>
      <c r="K5102">
        <v>3.5503339867178199E-2</v>
      </c>
      <c r="L5102">
        <v>1371.25744504664</v>
      </c>
      <c r="M5102">
        <v>29.300746346510699</v>
      </c>
      <c r="N5102">
        <v>47.026905490652702</v>
      </c>
      <c r="O5102">
        <v>46.583037929765403</v>
      </c>
      <c r="P5102">
        <v>-0.146860106925878</v>
      </c>
      <c r="Q5102">
        <v>6.6079626347316497E-2</v>
      </c>
      <c r="R5102">
        <v>0.99208265103924897</v>
      </c>
      <c r="S5102" t="s">
        <v>12105</v>
      </c>
      <c r="T5102" t="s">
        <v>14004</v>
      </c>
      <c r="U5102" t="s">
        <v>14004</v>
      </c>
      <c r="V5102" t="s">
        <v>14004</v>
      </c>
      <c r="W5102" t="s">
        <v>19051</v>
      </c>
      <c r="X5102">
        <v>53</v>
      </c>
      <c r="Y5102" t="s">
        <v>25858</v>
      </c>
      <c r="Z5102" t="s">
        <v>32812</v>
      </c>
      <c r="AA5102">
        <v>0.28365351582363202</v>
      </c>
      <c r="AB5102" t="str">
        <f>HYPERLINK("Melting_Curves/meltCurve_Q92608_DOCK2.pdf", "Melting_Curves/meltCurve_Q92608_DOCK2.pdf")</f>
        <v>Melting_Curves/meltCurve_Q92608_DOCK2.pdf</v>
      </c>
    </row>
    <row r="5103" spans="1:28" x14ac:dyDescent="0.25">
      <c r="A5103" t="s">
        <v>5107</v>
      </c>
      <c r="B5103">
        <v>0.99999676499088797</v>
      </c>
      <c r="C5103">
        <v>0.97095784516310402</v>
      </c>
      <c r="D5103">
        <v>0.90844664493205696</v>
      </c>
      <c r="E5103">
        <v>0.44407460215581801</v>
      </c>
      <c r="F5103">
        <v>0.207487085157262</v>
      </c>
      <c r="G5103">
        <v>0.13913494416581099</v>
      </c>
      <c r="H5103">
        <v>6.01109285193413E-2</v>
      </c>
      <c r="I5103">
        <v>6.6870941595682798E-2</v>
      </c>
      <c r="J5103">
        <v>6.81378987953008E-2</v>
      </c>
      <c r="K5103">
        <v>5.5606443197754298E-2</v>
      </c>
      <c r="L5103">
        <v>1328.3045816971501</v>
      </c>
      <c r="M5103">
        <v>27.043839093808899</v>
      </c>
      <c r="N5103">
        <v>49.410292060715598</v>
      </c>
      <c r="O5103">
        <v>48.850511414041002</v>
      </c>
      <c r="P5103">
        <v>-0.128130387219453</v>
      </c>
      <c r="Q5103">
        <v>7.4218231876236301E-2</v>
      </c>
      <c r="R5103">
        <v>0.99603312806056299</v>
      </c>
      <c r="S5103" t="s">
        <v>12106</v>
      </c>
      <c r="T5103" t="s">
        <v>14004</v>
      </c>
      <c r="U5103" t="s">
        <v>14004</v>
      </c>
      <c r="V5103" t="s">
        <v>14004</v>
      </c>
      <c r="W5103" t="s">
        <v>19052</v>
      </c>
      <c r="X5103">
        <v>17</v>
      </c>
      <c r="Y5103" t="s">
        <v>25859</v>
      </c>
      <c r="Z5103" t="s">
        <v>32813</v>
      </c>
      <c r="AA5103">
        <v>0.36254099986676042</v>
      </c>
      <c r="AB5103" t="str">
        <f>HYPERLINK("Melting_Curves/meltCurve_Q92609_TBC1D5.pdf", "Melting_Curves/meltCurve_Q92609_TBC1D5.pdf")</f>
        <v>Melting_Curves/meltCurve_Q92609_TBC1D5.pdf</v>
      </c>
    </row>
    <row r="5104" spans="1:28" x14ac:dyDescent="0.25">
      <c r="A5104" t="s">
        <v>5108</v>
      </c>
      <c r="B5104">
        <v>0.99999676499088797</v>
      </c>
      <c r="C5104">
        <v>0.91422680054294803</v>
      </c>
      <c r="D5104">
        <v>0.90494476579662297</v>
      </c>
      <c r="E5104">
        <v>0.698078140956922</v>
      </c>
      <c r="F5104">
        <v>0.44784090197225401</v>
      </c>
      <c r="G5104">
        <v>0.20416791670228199</v>
      </c>
      <c r="H5104">
        <v>0.28464229122894502</v>
      </c>
      <c r="I5104">
        <v>0.11432957333046</v>
      </c>
      <c r="J5104">
        <v>6.3260318543507804E-2</v>
      </c>
      <c r="K5104">
        <v>0.12513519088875399</v>
      </c>
      <c r="L5104">
        <v>811.23276669414497</v>
      </c>
      <c r="M5104">
        <v>15.708836243806401</v>
      </c>
      <c r="N5104">
        <v>52.335022418214201</v>
      </c>
      <c r="O5104">
        <v>50.8266537510126</v>
      </c>
      <c r="P5104">
        <v>-7.0015286888024997E-2</v>
      </c>
      <c r="Q5104">
        <v>9.3925816685757099E-2</v>
      </c>
      <c r="R5104">
        <v>0.98071723104570696</v>
      </c>
      <c r="S5104" t="s">
        <v>12107</v>
      </c>
      <c r="T5104" t="s">
        <v>14004</v>
      </c>
      <c r="U5104" t="s">
        <v>14004</v>
      </c>
      <c r="V5104" t="s">
        <v>14004</v>
      </c>
      <c r="W5104" t="s">
        <v>19053</v>
      </c>
      <c r="X5104">
        <v>1</v>
      </c>
      <c r="Y5104" t="s">
        <v>25860</v>
      </c>
      <c r="Z5104" t="s">
        <v>32814</v>
      </c>
      <c r="AA5104">
        <v>0.4645850222584606</v>
      </c>
      <c r="AB5104" t="str">
        <f>HYPERLINK("Melting_Curves/meltCurve_Q92611_EDEM1.pdf", "Melting_Curves/meltCurve_Q92611_EDEM1.pdf")</f>
        <v>Melting_Curves/meltCurve_Q92611_EDEM1.pdf</v>
      </c>
    </row>
    <row r="5105" spans="1:28" x14ac:dyDescent="0.25">
      <c r="A5105" t="s">
        <v>5109</v>
      </c>
      <c r="B5105">
        <v>0.99999676499088797</v>
      </c>
      <c r="C5105">
        <v>1.03409333785653</v>
      </c>
      <c r="D5105">
        <v>0.87520648456443895</v>
      </c>
      <c r="E5105">
        <v>0.57995328139472402</v>
      </c>
      <c r="F5105">
        <v>0.45854843128365802</v>
      </c>
      <c r="G5105">
        <v>0.404487321378176</v>
      </c>
      <c r="H5105">
        <v>0.192829092076689</v>
      </c>
      <c r="I5105">
        <v>0.19322116868717401</v>
      </c>
      <c r="J5105">
        <v>0.16565535383513599</v>
      </c>
      <c r="K5105">
        <v>0.14940202202059399</v>
      </c>
      <c r="L5105">
        <v>717.98894120273701</v>
      </c>
      <c r="M5105">
        <v>14.041448876558</v>
      </c>
      <c r="N5105">
        <v>52.4017150215236</v>
      </c>
      <c r="O5105">
        <v>50.129918983105703</v>
      </c>
      <c r="P5105">
        <v>-5.9946011694724799E-2</v>
      </c>
      <c r="Q5105">
        <v>0.14404979354686401</v>
      </c>
      <c r="R5105">
        <v>0.97732045138305401</v>
      </c>
      <c r="S5105" t="s">
        <v>12108</v>
      </c>
      <c r="T5105" t="s">
        <v>14004</v>
      </c>
      <c r="U5105" t="s">
        <v>14004</v>
      </c>
      <c r="V5105" t="s">
        <v>14004</v>
      </c>
      <c r="W5105" t="s">
        <v>19054</v>
      </c>
      <c r="X5105">
        <v>1</v>
      </c>
      <c r="Y5105" t="s">
        <v>25861</v>
      </c>
      <c r="Z5105" t="s">
        <v>32815</v>
      </c>
      <c r="AA5105">
        <v>0.48360451027380291</v>
      </c>
      <c r="AB5105" t="str">
        <f>HYPERLINK("Melting_Curves/meltCurve_Q92613_PHF16.pdf", "Melting_Curves/meltCurve_Q92613_PHF16.pdf")</f>
        <v>Melting_Curves/meltCurve_Q92613_PHF16.pdf</v>
      </c>
    </row>
    <row r="5106" spans="1:28" x14ac:dyDescent="0.25">
      <c r="A5106" t="s">
        <v>5110</v>
      </c>
      <c r="B5106">
        <v>0.99999676499088797</v>
      </c>
      <c r="C5106">
        <v>0.92103712797135595</v>
      </c>
      <c r="D5106">
        <v>0.48514654608105801</v>
      </c>
      <c r="E5106">
        <v>0.27252338257571301</v>
      </c>
      <c r="F5106">
        <v>0.192697991127733</v>
      </c>
      <c r="G5106">
        <v>0.137317661515173</v>
      </c>
      <c r="H5106">
        <v>7.4752636481471305E-2</v>
      </c>
      <c r="I5106">
        <v>7.5999272383432806E-2</v>
      </c>
      <c r="J5106">
        <v>7.7034373156420893E-2</v>
      </c>
      <c r="K5106">
        <v>6.0557845030806398E-2</v>
      </c>
      <c r="L5106">
        <v>1071.01803692818</v>
      </c>
      <c r="M5106">
        <v>23.272866505123201</v>
      </c>
      <c r="N5106">
        <v>46.440465653437798</v>
      </c>
      <c r="O5106">
        <v>45.684290819858603</v>
      </c>
      <c r="P5106">
        <v>-0.115261595375185</v>
      </c>
      <c r="Q5106">
        <v>9.4988987927577803E-2</v>
      </c>
      <c r="R5106">
        <v>0.98513440346724601</v>
      </c>
      <c r="S5106" t="s">
        <v>12109</v>
      </c>
      <c r="T5106" t="s">
        <v>14004</v>
      </c>
      <c r="U5106" t="s">
        <v>14004</v>
      </c>
      <c r="V5106" t="s">
        <v>14004</v>
      </c>
      <c r="W5106" t="s">
        <v>19055</v>
      </c>
      <c r="X5106">
        <v>40</v>
      </c>
      <c r="Y5106" t="s">
        <v>25862</v>
      </c>
      <c r="Z5106" t="s">
        <v>32816</v>
      </c>
      <c r="AA5106">
        <v>0.28644818821348872</v>
      </c>
      <c r="AB5106" t="str">
        <f>HYPERLINK("Melting_Curves/meltCurve_Q92614_2_MYO18A.pdf", "Melting_Curves/meltCurve_Q92614_2_MYO18A.pdf")</f>
        <v>Melting_Curves/meltCurve_Q92614_2_MYO18A.pdf</v>
      </c>
    </row>
    <row r="5107" spans="1:28" x14ac:dyDescent="0.25">
      <c r="A5107" t="s">
        <v>5111</v>
      </c>
      <c r="B5107">
        <v>0.99999676499088797</v>
      </c>
      <c r="C5107">
        <v>0.96876184944358101</v>
      </c>
      <c r="D5107">
        <v>0.57597751300998901</v>
      </c>
      <c r="E5107">
        <v>0.28360210460384699</v>
      </c>
      <c r="F5107">
        <v>0.16517553620233899</v>
      </c>
      <c r="G5107">
        <v>0.137610570776247</v>
      </c>
      <c r="H5107">
        <v>7.5661579652686703E-2</v>
      </c>
      <c r="I5107">
        <v>7.6163218736905194E-2</v>
      </c>
      <c r="J5107">
        <v>5.8262569519819202E-2</v>
      </c>
      <c r="K5107">
        <v>7.6244504656624495E-2</v>
      </c>
      <c r="L5107">
        <v>1130.5818096498001</v>
      </c>
      <c r="M5107">
        <v>24.2264432083701</v>
      </c>
      <c r="N5107">
        <v>47.044048499746197</v>
      </c>
      <c r="O5107">
        <v>46.352782730444403</v>
      </c>
      <c r="P5107">
        <v>-0.11914275529455901</v>
      </c>
      <c r="Q5107">
        <v>8.8184112662191602E-2</v>
      </c>
      <c r="R5107">
        <v>0.99103949033402705</v>
      </c>
      <c r="S5107" t="s">
        <v>12110</v>
      </c>
      <c r="T5107" t="s">
        <v>14004</v>
      </c>
      <c r="U5107" t="s">
        <v>14004</v>
      </c>
      <c r="V5107" t="s">
        <v>14004</v>
      </c>
      <c r="W5107" t="s">
        <v>19056</v>
      </c>
      <c r="X5107">
        <v>6</v>
      </c>
      <c r="Y5107" t="s">
        <v>25863</v>
      </c>
      <c r="Z5107" t="s">
        <v>32817</v>
      </c>
      <c r="AA5107">
        <v>0.29963282188418572</v>
      </c>
      <c r="AB5107" t="str">
        <f>HYPERLINK("Melting_Curves/meltCurve_Q92615_LARP4B.pdf", "Melting_Curves/meltCurve_Q92615_LARP4B.pdf")</f>
        <v>Melting_Curves/meltCurve_Q92615_LARP4B.pdf</v>
      </c>
    </row>
    <row r="5108" spans="1:28" x14ac:dyDescent="0.25">
      <c r="A5108" t="s">
        <v>5112</v>
      </c>
      <c r="B5108">
        <v>0.99999676499088797</v>
      </c>
      <c r="C5108">
        <v>0.71277354116733005</v>
      </c>
      <c r="D5108">
        <v>0.233734089337825</v>
      </c>
      <c r="E5108">
        <v>0.19194223169485899</v>
      </c>
      <c r="F5108">
        <v>0.15163433860429401</v>
      </c>
      <c r="G5108">
        <v>9.7345181866143493E-2</v>
      </c>
      <c r="H5108">
        <v>4.5205561746924999E-2</v>
      </c>
      <c r="I5108">
        <v>4.5174420418967701E-2</v>
      </c>
      <c r="J5108">
        <v>6.1917324390333102E-2</v>
      </c>
      <c r="K5108">
        <v>4.60271053133205E-2</v>
      </c>
      <c r="L5108">
        <v>1450.4322530080799</v>
      </c>
      <c r="M5108">
        <v>33.020414719128702</v>
      </c>
      <c r="N5108">
        <v>44.175818886902903</v>
      </c>
      <c r="O5108">
        <v>43.765167904703198</v>
      </c>
      <c r="P5108">
        <v>-0.17251897343082601</v>
      </c>
      <c r="Q5108">
        <v>8.5379622212053502E-2</v>
      </c>
      <c r="R5108">
        <v>0.98100423807564496</v>
      </c>
      <c r="S5108" t="s">
        <v>12111</v>
      </c>
      <c r="T5108" t="s">
        <v>14004</v>
      </c>
      <c r="U5108" t="s">
        <v>14004</v>
      </c>
      <c r="V5108" t="s">
        <v>14004</v>
      </c>
      <c r="W5108" t="s">
        <v>19057</v>
      </c>
      <c r="X5108">
        <v>28</v>
      </c>
      <c r="Y5108" t="s">
        <v>25864</v>
      </c>
      <c r="Z5108" t="s">
        <v>32818</v>
      </c>
      <c r="AA5108">
        <v>0.21037000511500151</v>
      </c>
      <c r="AB5108" t="str">
        <f>HYPERLINK("Melting_Curves/meltCurve_Q92616_GCN1L1.pdf", "Melting_Curves/meltCurve_Q92616_GCN1L1.pdf")</f>
        <v>Melting_Curves/meltCurve_Q92616_GCN1L1.pdf</v>
      </c>
    </row>
    <row r="5109" spans="1:28" x14ac:dyDescent="0.25">
      <c r="A5109" t="s">
        <v>5113</v>
      </c>
      <c r="B5109">
        <v>0.99999676499088797</v>
      </c>
      <c r="C5109">
        <v>1.01468402543476</v>
      </c>
      <c r="D5109">
        <v>0.97641650011668701</v>
      </c>
      <c r="E5109">
        <v>0.73200749040483504</v>
      </c>
      <c r="F5109">
        <v>0.23986109719975601</v>
      </c>
      <c r="G5109">
        <v>0.16172009346352301</v>
      </c>
      <c r="H5109">
        <v>8.8468433675592303E-2</v>
      </c>
      <c r="I5109">
        <v>9.7708308813806502E-2</v>
      </c>
      <c r="J5109">
        <v>9.3200028964969803E-2</v>
      </c>
      <c r="K5109">
        <v>6.3742353250988801E-2</v>
      </c>
      <c r="L5109">
        <v>1748.8782174814301</v>
      </c>
      <c r="M5109">
        <v>34.411887568860998</v>
      </c>
      <c r="N5109">
        <v>51.128314712805903</v>
      </c>
      <c r="O5109">
        <v>50.651215243003698</v>
      </c>
      <c r="P5109">
        <v>-0.15402293763821101</v>
      </c>
      <c r="Q5109">
        <v>9.3171641998701593E-2</v>
      </c>
      <c r="R5109">
        <v>0.99790272220368403</v>
      </c>
      <c r="S5109" t="s">
        <v>12112</v>
      </c>
      <c r="T5109" t="s">
        <v>14004</v>
      </c>
      <c r="U5109" t="s">
        <v>14004</v>
      </c>
      <c r="V5109" t="s">
        <v>14004</v>
      </c>
      <c r="W5109" t="s">
        <v>19058</v>
      </c>
      <c r="X5109">
        <v>27</v>
      </c>
      <c r="Y5109" t="s">
        <v>25865</v>
      </c>
      <c r="Z5109" t="s">
        <v>32819</v>
      </c>
      <c r="AA5109">
        <v>0.42460651879905592</v>
      </c>
      <c r="AB5109" t="str">
        <f>HYPERLINK("Melting_Curves/meltCurve_Q92619_HMHA1.pdf", "Melting_Curves/meltCurve_Q92619_HMHA1.pdf")</f>
        <v>Melting_Curves/meltCurve_Q92619_HMHA1.pdf</v>
      </c>
    </row>
    <row r="5110" spans="1:28" x14ac:dyDescent="0.25">
      <c r="A5110" t="s">
        <v>5114</v>
      </c>
      <c r="B5110">
        <v>0.99999676499088797</v>
      </c>
      <c r="C5110">
        <v>0.95288592887768298</v>
      </c>
      <c r="D5110">
        <v>0.848562112895619</v>
      </c>
      <c r="E5110">
        <v>0.68173997765211902</v>
      </c>
      <c r="F5110">
        <v>0.238399948615058</v>
      </c>
      <c r="G5110">
        <v>0.16087911567900301</v>
      </c>
      <c r="H5110">
        <v>7.8466272353959796E-2</v>
      </c>
      <c r="I5110">
        <v>7.1608077972696693E-2</v>
      </c>
      <c r="J5110">
        <v>7.9162623990386705E-2</v>
      </c>
      <c r="K5110">
        <v>6.8829153920931099E-2</v>
      </c>
      <c r="L5110">
        <v>1122.52131641084</v>
      </c>
      <c r="M5110">
        <v>22.237657817742601</v>
      </c>
      <c r="N5110">
        <v>50.7977728816237</v>
      </c>
      <c r="O5110">
        <v>50.075511014612999</v>
      </c>
      <c r="P5110">
        <v>-0.103779920617058</v>
      </c>
      <c r="Q5110">
        <v>6.5239462801594997E-2</v>
      </c>
      <c r="R5110">
        <v>0.99249179844089896</v>
      </c>
      <c r="S5110" t="s">
        <v>12113</v>
      </c>
      <c r="T5110" t="s">
        <v>14004</v>
      </c>
      <c r="U5110" t="s">
        <v>14004</v>
      </c>
      <c r="V5110" t="s">
        <v>14004</v>
      </c>
      <c r="W5110" t="s">
        <v>19059</v>
      </c>
      <c r="X5110">
        <v>15</v>
      </c>
      <c r="Y5110" t="s">
        <v>25866</v>
      </c>
      <c r="Z5110" t="s">
        <v>32820</v>
      </c>
      <c r="AA5110">
        <v>0.40231360888044221</v>
      </c>
      <c r="AB5110" t="str">
        <f>HYPERLINK("Melting_Curves/meltCurve_Q92620_DHX38.pdf", "Melting_Curves/meltCurve_Q92620_DHX38.pdf")</f>
        <v>Melting_Curves/meltCurve_Q92620_DHX38.pdf</v>
      </c>
    </row>
    <row r="5111" spans="1:28" x14ac:dyDescent="0.25">
      <c r="A5111" t="s">
        <v>5115</v>
      </c>
      <c r="B5111">
        <v>0.99999676499088797</v>
      </c>
      <c r="C5111">
        <v>1.0186274559970401</v>
      </c>
      <c r="D5111">
        <v>0.96006021929872398</v>
      </c>
      <c r="E5111">
        <v>0.85281523830560102</v>
      </c>
      <c r="F5111">
        <v>0.24936401409339001</v>
      </c>
      <c r="G5111">
        <v>0.19679119849450799</v>
      </c>
      <c r="H5111">
        <v>0.115788244053787</v>
      </c>
      <c r="I5111">
        <v>0.151488687313101</v>
      </c>
      <c r="J5111">
        <v>0.15293108213595</v>
      </c>
      <c r="K5111">
        <v>0.14649552977963601</v>
      </c>
      <c r="L5111">
        <v>2563.8349400171001</v>
      </c>
      <c r="M5111">
        <v>50.155738448537797</v>
      </c>
      <c r="N5111">
        <v>51.4852183015959</v>
      </c>
      <c r="O5111">
        <v>51.036392807495702</v>
      </c>
      <c r="P5111">
        <v>-0.20869814650047799</v>
      </c>
      <c r="Q5111">
        <v>0.15055016196557999</v>
      </c>
      <c r="R5111">
        <v>0.99694546170016596</v>
      </c>
      <c r="S5111" t="s">
        <v>12114</v>
      </c>
      <c r="T5111" t="s">
        <v>14004</v>
      </c>
      <c r="U5111" t="s">
        <v>14004</v>
      </c>
      <c r="V5111" t="s">
        <v>14004</v>
      </c>
      <c r="W5111" t="s">
        <v>19060</v>
      </c>
      <c r="X5111">
        <v>25</v>
      </c>
      <c r="Y5111" t="s">
        <v>25867</v>
      </c>
      <c r="Z5111" t="s">
        <v>32821</v>
      </c>
      <c r="AA5111">
        <v>0.46724488672186981</v>
      </c>
      <c r="AB5111" t="str">
        <f>HYPERLINK("Melting_Curves/meltCurve_Q92621_NUP205.pdf", "Melting_Curves/meltCurve_Q92621_NUP205.pdf")</f>
        <v>Melting_Curves/meltCurve_Q92621_NUP205.pdf</v>
      </c>
    </row>
    <row r="5112" spans="1:28" x14ac:dyDescent="0.25">
      <c r="A5112" t="s">
        <v>5116</v>
      </c>
      <c r="B5112">
        <v>0.99999676499088797</v>
      </c>
      <c r="C5112">
        <v>1.0399985562553999</v>
      </c>
      <c r="D5112">
        <v>1.03567506211859</v>
      </c>
      <c r="E5112">
        <v>0.95866760690374797</v>
      </c>
      <c r="F5112">
        <v>0.35621093758809702</v>
      </c>
      <c r="G5112">
        <v>0.112091435102224</v>
      </c>
      <c r="H5112">
        <v>6.9291151903855694E-2</v>
      </c>
      <c r="I5112">
        <v>6.0869896153992797E-2</v>
      </c>
      <c r="J5112">
        <v>4.31104772011403E-2</v>
      </c>
      <c r="K5112">
        <v>5.6073640573963003E-2</v>
      </c>
      <c r="L5112">
        <v>2669.97345867173</v>
      </c>
      <c r="M5112">
        <v>50.953344106147803</v>
      </c>
      <c r="N5112">
        <v>52.541316976073603</v>
      </c>
      <c r="O5112">
        <v>52.319831858281098</v>
      </c>
      <c r="P5112">
        <v>-0.22791682003515401</v>
      </c>
      <c r="Q5112">
        <v>6.3883989845865199E-2</v>
      </c>
      <c r="R5112">
        <v>0.997746327048607</v>
      </c>
      <c r="S5112" t="s">
        <v>12115</v>
      </c>
      <c r="T5112" t="s">
        <v>14004</v>
      </c>
      <c r="U5112" t="s">
        <v>14004</v>
      </c>
      <c r="V5112" t="s">
        <v>14004</v>
      </c>
      <c r="W5112" t="s">
        <v>19061</v>
      </c>
      <c r="X5112">
        <v>3</v>
      </c>
      <c r="Y5112" t="s">
        <v>25868</v>
      </c>
      <c r="Z5112" t="s">
        <v>32822</v>
      </c>
      <c r="AA5112">
        <v>0.4529060363892376</v>
      </c>
      <c r="AB5112" t="str">
        <f>HYPERLINK("Melting_Curves/meltCurve_Q92623_TTC9.pdf", "Melting_Curves/meltCurve_Q92623_TTC9.pdf")</f>
        <v>Melting_Curves/meltCurve_Q92623_TTC9.pdf</v>
      </c>
    </row>
    <row r="5113" spans="1:28" x14ac:dyDescent="0.25">
      <c r="A5113" t="s">
        <v>5117</v>
      </c>
      <c r="B5113">
        <v>0.99999676499088797</v>
      </c>
      <c r="C5113">
        <v>1.11210638397733</v>
      </c>
      <c r="D5113">
        <v>1.0788711594237299</v>
      </c>
      <c r="E5113">
        <v>0.70562331073456797</v>
      </c>
      <c r="F5113">
        <v>0.51477824668018202</v>
      </c>
      <c r="G5113">
        <v>0.39399155659052199</v>
      </c>
      <c r="H5113">
        <v>0.29784714232376902</v>
      </c>
      <c r="I5113">
        <v>0.296129158559297</v>
      </c>
      <c r="J5113">
        <v>0.225752012856789</v>
      </c>
      <c r="K5113">
        <v>0.32053446161466198</v>
      </c>
      <c r="L5113">
        <v>1255.2453086646699</v>
      </c>
      <c r="M5113">
        <v>24.521122768965899</v>
      </c>
      <c r="N5113">
        <v>53.072737775580002</v>
      </c>
      <c r="O5113">
        <v>50.853557046425699</v>
      </c>
      <c r="P5113">
        <v>-8.5534316691195905E-2</v>
      </c>
      <c r="Q5113">
        <v>0.29046298009058202</v>
      </c>
      <c r="R5113">
        <v>0.96247965638126298</v>
      </c>
      <c r="S5113" t="s">
        <v>12116</v>
      </c>
      <c r="T5113" t="s">
        <v>14004</v>
      </c>
      <c r="U5113" t="s">
        <v>14004</v>
      </c>
      <c r="V5113" t="s">
        <v>14004</v>
      </c>
      <c r="W5113" t="s">
        <v>19062</v>
      </c>
      <c r="X5113">
        <v>1</v>
      </c>
      <c r="Y5113" t="s">
        <v>25869</v>
      </c>
      <c r="Z5113" t="s">
        <v>32823</v>
      </c>
      <c r="AA5113">
        <v>0.56179990128654744</v>
      </c>
      <c r="AB5113" t="str">
        <f>HYPERLINK("Melting_Curves/meltCurve_Q92626_PXDN.pdf", "Melting_Curves/meltCurve_Q92626_PXDN.pdf")</f>
        <v>Melting_Curves/meltCurve_Q92626_PXDN.pdf</v>
      </c>
    </row>
    <row r="5114" spans="1:28" x14ac:dyDescent="0.25">
      <c r="A5114" t="s">
        <v>5118</v>
      </c>
      <c r="B5114">
        <v>0.99999676499088797</v>
      </c>
      <c r="C5114">
        <v>0.96768665046508795</v>
      </c>
      <c r="D5114">
        <v>1.0269286659304899</v>
      </c>
      <c r="E5114">
        <v>0.93157990114578504</v>
      </c>
      <c r="F5114">
        <v>0.32796480807428102</v>
      </c>
      <c r="G5114">
        <v>0.19202487453910899</v>
      </c>
      <c r="H5114">
        <v>8.2945518406253402E-2</v>
      </c>
      <c r="I5114">
        <v>5.8162119211615002E-2</v>
      </c>
      <c r="J5114">
        <v>5.6876413250996002E-2</v>
      </c>
      <c r="K5114">
        <v>4.2828581171468198E-2</v>
      </c>
      <c r="L5114">
        <v>2281.56396837174</v>
      </c>
      <c r="M5114">
        <v>43.767417066875602</v>
      </c>
      <c r="N5114">
        <v>52.332914107086502</v>
      </c>
      <c r="O5114">
        <v>52.020805125700903</v>
      </c>
      <c r="P5114">
        <v>-0.193867371903269</v>
      </c>
      <c r="Q5114">
        <v>7.8298619100754294E-2</v>
      </c>
      <c r="R5114">
        <v>0.99293573858961204</v>
      </c>
      <c r="S5114" t="s">
        <v>12117</v>
      </c>
      <c r="T5114" t="s">
        <v>14004</v>
      </c>
      <c r="U5114" t="s">
        <v>14004</v>
      </c>
      <c r="V5114" t="s">
        <v>14004</v>
      </c>
      <c r="W5114" t="s">
        <v>19063</v>
      </c>
      <c r="X5114">
        <v>10</v>
      </c>
      <c r="Y5114" t="s">
        <v>25870</v>
      </c>
      <c r="Z5114" t="s">
        <v>32824</v>
      </c>
      <c r="AA5114">
        <v>0.45372093064429231</v>
      </c>
      <c r="AB5114" t="str">
        <f>HYPERLINK("Melting_Curves/meltCurve_Q92636_NSMAF.pdf", "Melting_Curves/meltCurve_Q92636_NSMAF.pdf")</f>
        <v>Melting_Curves/meltCurve_Q92636_NSMAF.pdf</v>
      </c>
    </row>
    <row r="5115" spans="1:28" x14ac:dyDescent="0.25">
      <c r="A5115" t="s">
        <v>5119</v>
      </c>
      <c r="B5115">
        <v>0.99999676499088797</v>
      </c>
      <c r="C5115">
        <v>0.77427804466903905</v>
      </c>
      <c r="D5115">
        <v>0.58437417232063604</v>
      </c>
      <c r="E5115">
        <v>0.47133139518294198</v>
      </c>
      <c r="F5115">
        <v>0.179735339719648</v>
      </c>
      <c r="G5115">
        <v>0.13684504639791001</v>
      </c>
      <c r="H5115">
        <v>7.8990837799730207E-2</v>
      </c>
      <c r="I5115">
        <v>7.5854583497800596E-2</v>
      </c>
      <c r="J5115">
        <v>8.1859850649958404E-2</v>
      </c>
      <c r="K5115">
        <v>7.1995870836289402E-2</v>
      </c>
      <c r="L5115">
        <v>642.55079345962702</v>
      </c>
      <c r="M5115">
        <v>13.547012165708701</v>
      </c>
      <c r="N5115">
        <v>47.799667785880999</v>
      </c>
      <c r="O5115">
        <v>46.433434272866599</v>
      </c>
      <c r="P5115">
        <v>-6.9331695330303506E-2</v>
      </c>
      <c r="Q5115">
        <v>4.9584035488297498E-2</v>
      </c>
      <c r="R5115">
        <v>0.98257242589502902</v>
      </c>
      <c r="S5115" t="s">
        <v>12118</v>
      </c>
      <c r="T5115" t="s">
        <v>14004</v>
      </c>
      <c r="U5115" t="s">
        <v>14004</v>
      </c>
      <c r="V5115" t="s">
        <v>14004</v>
      </c>
      <c r="W5115" t="s">
        <v>19064</v>
      </c>
      <c r="X5115">
        <v>9</v>
      </c>
      <c r="Y5115" t="s">
        <v>25871</v>
      </c>
      <c r="Z5115" t="s">
        <v>32825</v>
      </c>
      <c r="AA5115">
        <v>0.31582113433128178</v>
      </c>
      <c r="AB5115" t="str">
        <f>HYPERLINK("Melting_Curves/meltCurve_Q92665_MRPS31.pdf", "Melting_Curves/meltCurve_Q92665_MRPS31.pdf")</f>
        <v>Melting_Curves/meltCurve_Q92665_MRPS31.pdf</v>
      </c>
    </row>
    <row r="5116" spans="1:28" x14ac:dyDescent="0.25">
      <c r="A5116" t="s">
        <v>5120</v>
      </c>
      <c r="B5116">
        <v>0.99999676499088797</v>
      </c>
      <c r="C5116">
        <v>0.840445937308131</v>
      </c>
      <c r="D5116">
        <v>0.58121256662028198</v>
      </c>
      <c r="E5116">
        <v>0.36195979080360202</v>
      </c>
      <c r="F5116">
        <v>0.29097095842783299</v>
      </c>
      <c r="G5116">
        <v>0.211395607199164</v>
      </c>
      <c r="H5116">
        <v>0.14611477041628601</v>
      </c>
      <c r="I5116">
        <v>0.14998835220516299</v>
      </c>
      <c r="J5116">
        <v>0.15889677272517</v>
      </c>
      <c r="K5116">
        <v>0.16186624032991301</v>
      </c>
      <c r="L5116">
        <v>799.85565183875099</v>
      </c>
      <c r="M5116">
        <v>17.240900109477099</v>
      </c>
      <c r="N5116">
        <v>47.4486608364791</v>
      </c>
      <c r="O5116">
        <v>45.782259048123699</v>
      </c>
      <c r="P5116">
        <v>-7.9153080436039303E-2</v>
      </c>
      <c r="Q5116">
        <v>0.15930241813416701</v>
      </c>
      <c r="R5116">
        <v>0.99187077087544595</v>
      </c>
      <c r="S5116" t="s">
        <v>12119</v>
      </c>
      <c r="T5116" t="s">
        <v>14004</v>
      </c>
      <c r="U5116" t="s">
        <v>14004</v>
      </c>
      <c r="V5116" t="s">
        <v>14004</v>
      </c>
      <c r="W5116" t="s">
        <v>19065</v>
      </c>
      <c r="X5116">
        <v>7</v>
      </c>
      <c r="Y5116" t="s">
        <v>25872</v>
      </c>
      <c r="Z5116" t="s">
        <v>32826</v>
      </c>
      <c r="AA5116">
        <v>0.35610890178818477</v>
      </c>
      <c r="AB5116" t="str">
        <f>HYPERLINK("Melting_Curves/meltCurve_Q92667_AKAP1.pdf", "Melting_Curves/meltCurve_Q92667_AKAP1.pdf")</f>
        <v>Melting_Curves/meltCurve_Q92667_AKAP1.pdf</v>
      </c>
    </row>
    <row r="5117" spans="1:28" x14ac:dyDescent="0.25">
      <c r="A5117" t="s">
        <v>5121</v>
      </c>
      <c r="B5117">
        <v>0.99999676499088797</v>
      </c>
      <c r="C5117">
        <v>1.0257618007059199</v>
      </c>
      <c r="D5117">
        <v>1.00665969555392</v>
      </c>
      <c r="E5117">
        <v>1.14509025983351</v>
      </c>
      <c r="F5117">
        <v>0.94646581199541202</v>
      </c>
      <c r="G5117">
        <v>0.74261701462783603</v>
      </c>
      <c r="H5117">
        <v>0.29957871316724899</v>
      </c>
      <c r="I5117">
        <v>0.29030376982591</v>
      </c>
      <c r="J5117">
        <v>0.26348956409313101</v>
      </c>
      <c r="K5117">
        <v>0.21390155974484901</v>
      </c>
      <c r="L5117">
        <v>2521.11586370541</v>
      </c>
      <c r="M5117">
        <v>43.774470755474901</v>
      </c>
      <c r="N5117">
        <v>58.507698605134301</v>
      </c>
      <c r="O5117">
        <v>57.473465388961998</v>
      </c>
      <c r="P5117">
        <v>-0.14323943053692201</v>
      </c>
      <c r="Q5117">
        <v>0.247738952192187</v>
      </c>
      <c r="R5117">
        <v>0.98017345033515502</v>
      </c>
      <c r="S5117" t="s">
        <v>12120</v>
      </c>
      <c r="T5117" t="s">
        <v>14004</v>
      </c>
      <c r="U5117" t="s">
        <v>14004</v>
      </c>
      <c r="V5117" t="s">
        <v>14004</v>
      </c>
      <c r="W5117" t="s">
        <v>19066</v>
      </c>
      <c r="X5117">
        <v>14</v>
      </c>
      <c r="Y5117" t="s">
        <v>25873</v>
      </c>
      <c r="Z5117" t="s">
        <v>32827</v>
      </c>
      <c r="AA5117">
        <v>0.69137277879640846</v>
      </c>
      <c r="AB5117" t="str">
        <f>HYPERLINK("Melting_Curves/meltCurve_Q92673_SORL1.pdf", "Melting_Curves/meltCurve_Q92673_SORL1.pdf")</f>
        <v>Melting_Curves/meltCurve_Q92673_SORL1.pdf</v>
      </c>
    </row>
    <row r="5118" spans="1:28" x14ac:dyDescent="0.25">
      <c r="A5118" t="s">
        <v>5122</v>
      </c>
      <c r="B5118">
        <v>0.99999676499088797</v>
      </c>
      <c r="C5118">
        <v>1.0870276178141201</v>
      </c>
      <c r="D5118">
        <v>0.92446729359934199</v>
      </c>
      <c r="E5118">
        <v>0.62903744098758496</v>
      </c>
      <c r="F5118">
        <v>0.68148688174334604</v>
      </c>
      <c r="G5118">
        <v>0.64387562792478004</v>
      </c>
      <c r="H5118">
        <v>0.367882655689452</v>
      </c>
      <c r="I5118">
        <v>0.60991747978401301</v>
      </c>
      <c r="J5118">
        <v>0.55175905247368695</v>
      </c>
      <c r="K5118">
        <v>0.57414860238481003</v>
      </c>
      <c r="L5118">
        <v>1985.0962275119</v>
      </c>
      <c r="M5118">
        <v>41.5745688344605</v>
      </c>
      <c r="O5118">
        <v>47.637774567501502</v>
      </c>
      <c r="P5118">
        <v>-9.4206907186604003E-2</v>
      </c>
      <c r="Q5118">
        <v>0.56821686658883097</v>
      </c>
      <c r="R5118">
        <v>0.850744973377351</v>
      </c>
      <c r="S5118" t="s">
        <v>12121</v>
      </c>
      <c r="T5118" t="s">
        <v>14004</v>
      </c>
      <c r="U5118" t="s">
        <v>14004</v>
      </c>
      <c r="V5118" t="s">
        <v>14004</v>
      </c>
      <c r="W5118" t="s">
        <v>19067</v>
      </c>
      <c r="X5118">
        <v>1</v>
      </c>
      <c r="Y5118" t="s">
        <v>25874</v>
      </c>
      <c r="Z5118" t="s">
        <v>32828</v>
      </c>
      <c r="AA5118">
        <v>0.68105205441667305</v>
      </c>
      <c r="AB5118" t="str">
        <f>HYPERLINK("Melting_Curves/meltCurve_Q92686_NRGN.pdf", "Melting_Curves/meltCurve_Q92686_NRGN.pdf")</f>
        <v>Melting_Curves/meltCurve_Q92686_NRGN.pdf</v>
      </c>
    </row>
    <row r="5119" spans="1:28" x14ac:dyDescent="0.25">
      <c r="A5119" t="s">
        <v>5123</v>
      </c>
      <c r="B5119">
        <v>0.99999676499088797</v>
      </c>
      <c r="C5119">
        <v>1.04916285724258</v>
      </c>
      <c r="D5119">
        <v>1.00826777666622</v>
      </c>
      <c r="E5119">
        <v>0.82466371208535605</v>
      </c>
      <c r="F5119">
        <v>0.48041113500091998</v>
      </c>
      <c r="G5119">
        <v>0.22120474699604101</v>
      </c>
      <c r="H5119">
        <v>0.104263908951669</v>
      </c>
      <c r="I5119">
        <v>8.6442700063121103E-2</v>
      </c>
      <c r="J5119">
        <v>7.95086829291895E-2</v>
      </c>
      <c r="K5119">
        <v>7.2667204748623607E-2</v>
      </c>
      <c r="L5119">
        <v>1291.0239307075201</v>
      </c>
      <c r="M5119">
        <v>24.498318561803799</v>
      </c>
      <c r="N5119">
        <v>53.047102053631399</v>
      </c>
      <c r="O5119">
        <v>52.351089685916797</v>
      </c>
      <c r="P5119">
        <v>-0.108292738328674</v>
      </c>
      <c r="Q5119">
        <v>7.4359141618825605E-2</v>
      </c>
      <c r="R5119">
        <v>0.99749846244919205</v>
      </c>
      <c r="S5119" t="s">
        <v>12122</v>
      </c>
      <c r="T5119" t="s">
        <v>14004</v>
      </c>
      <c r="U5119" t="s">
        <v>14004</v>
      </c>
      <c r="V5119" t="s">
        <v>14004</v>
      </c>
      <c r="W5119" t="s">
        <v>19068</v>
      </c>
      <c r="X5119">
        <v>12</v>
      </c>
      <c r="Y5119" t="s">
        <v>25875</v>
      </c>
      <c r="Z5119" t="s">
        <v>32829</v>
      </c>
      <c r="AA5119">
        <v>0.47500131665890682</v>
      </c>
      <c r="AB5119" t="str">
        <f>HYPERLINK("Melting_Curves/meltCurve_Q92688_2_ANP32B.pdf", "Melting_Curves/meltCurve_Q92688_2_ANP32B.pdf")</f>
        <v>Melting_Curves/meltCurve_Q92688_2_ANP32B.pdf</v>
      </c>
    </row>
    <row r="5120" spans="1:28" x14ac:dyDescent="0.25">
      <c r="A5120" t="s">
        <v>5124</v>
      </c>
      <c r="B5120">
        <v>0.99999676499088797</v>
      </c>
      <c r="C5120">
        <v>0.93088732534202301</v>
      </c>
      <c r="D5120">
        <v>0.88253756594409405</v>
      </c>
      <c r="E5120">
        <v>0.80971995442933298</v>
      </c>
      <c r="F5120">
        <v>0.82203135673303895</v>
      </c>
      <c r="G5120">
        <v>0.66588285719123097</v>
      </c>
      <c r="H5120">
        <v>0.43180204769578601</v>
      </c>
      <c r="I5120">
        <v>0.35525181186280902</v>
      </c>
      <c r="J5120">
        <v>0.28528521076500901</v>
      </c>
      <c r="K5120">
        <v>0.28796029618263802</v>
      </c>
      <c r="L5120">
        <v>493.45835830049703</v>
      </c>
      <c r="M5120">
        <v>8.2102364583350802</v>
      </c>
      <c r="N5120">
        <v>60.251883077633202</v>
      </c>
      <c r="O5120">
        <v>56.853212752729199</v>
      </c>
      <c r="P5120">
        <v>-3.5776508848570997E-2</v>
      </c>
      <c r="Q5120">
        <v>1.00536696777659E-2</v>
      </c>
      <c r="R5120">
        <v>0.97424345894864395</v>
      </c>
      <c r="S5120" t="s">
        <v>12123</v>
      </c>
      <c r="T5120" t="s">
        <v>14004</v>
      </c>
      <c r="U5120" t="s">
        <v>14004</v>
      </c>
      <c r="V5120" t="s">
        <v>14004</v>
      </c>
      <c r="W5120" t="s">
        <v>19069</v>
      </c>
      <c r="X5120">
        <v>6</v>
      </c>
      <c r="Y5120" t="s">
        <v>25876</v>
      </c>
      <c r="Z5120" t="s">
        <v>32830</v>
      </c>
      <c r="AA5120">
        <v>0.65890099574436778</v>
      </c>
      <c r="AB5120" t="str">
        <f>HYPERLINK("Melting_Curves/meltCurve_Q92692_PVRL2.pdf", "Melting_Curves/meltCurve_Q92692_PVRL2.pdf")</f>
        <v>Melting_Curves/meltCurve_Q92692_PVRL2.pdf</v>
      </c>
    </row>
    <row r="5121" spans="1:28" x14ac:dyDescent="0.25">
      <c r="A5121" t="s">
        <v>5125</v>
      </c>
      <c r="B5121">
        <v>0.99999676499088797</v>
      </c>
      <c r="C5121">
        <v>1.0136441165618499</v>
      </c>
      <c r="D5121">
        <v>1.14950042548624</v>
      </c>
      <c r="E5121">
        <v>1.2591333606060899</v>
      </c>
      <c r="F5121">
        <v>1.04171781392093</v>
      </c>
      <c r="G5121">
        <v>0.86974000991845302</v>
      </c>
      <c r="H5121">
        <v>0.67985981156817499</v>
      </c>
      <c r="I5121">
        <v>0.32733178531826901</v>
      </c>
      <c r="J5121">
        <v>0.358469005575144</v>
      </c>
      <c r="K5121">
        <v>0.46038981092843201</v>
      </c>
      <c r="L5121">
        <v>2403.2506478045998</v>
      </c>
      <c r="M5121">
        <v>39.925518894196202</v>
      </c>
      <c r="N5121">
        <v>62.3190525902912</v>
      </c>
      <c r="O5121">
        <v>60.042931303374097</v>
      </c>
      <c r="P5121">
        <v>-0.10441266550040799</v>
      </c>
      <c r="Q5121">
        <v>0.37190753330255399</v>
      </c>
      <c r="R5121">
        <v>0.88472622513090204</v>
      </c>
      <c r="S5121" t="s">
        <v>12124</v>
      </c>
      <c r="T5121" t="s">
        <v>14004</v>
      </c>
      <c r="U5121" t="s">
        <v>14004</v>
      </c>
      <c r="V5121" t="s">
        <v>14004</v>
      </c>
      <c r="W5121" t="s">
        <v>19070</v>
      </c>
      <c r="X5121">
        <v>6</v>
      </c>
      <c r="Y5121" t="s">
        <v>25876</v>
      </c>
      <c r="Z5121" t="s">
        <v>32831</v>
      </c>
      <c r="AA5121">
        <v>0.7971390111846558</v>
      </c>
      <c r="AB5121" t="str">
        <f>HYPERLINK("Melting_Curves/meltCurve_Q92692_2_PVRL2.pdf", "Melting_Curves/meltCurve_Q92692_2_PVRL2.pdf")</f>
        <v>Melting_Curves/meltCurve_Q92692_2_PVRL2.pdf</v>
      </c>
    </row>
    <row r="5122" spans="1:28" x14ac:dyDescent="0.25">
      <c r="A5122" t="s">
        <v>5126</v>
      </c>
      <c r="B5122">
        <v>0.99999676499088797</v>
      </c>
      <c r="C5122">
        <v>1.08588435902559</v>
      </c>
      <c r="D5122">
        <v>1.1065708948039299</v>
      </c>
      <c r="E5122">
        <v>1.12494739429735</v>
      </c>
      <c r="F5122">
        <v>0.60374181414153605</v>
      </c>
      <c r="G5122">
        <v>0.259229250411602</v>
      </c>
      <c r="H5122">
        <v>0.124484241762023</v>
      </c>
      <c r="I5122">
        <v>0.113151410553509</v>
      </c>
      <c r="J5122">
        <v>0.117785277082166</v>
      </c>
      <c r="K5122">
        <v>0.109279370473191</v>
      </c>
      <c r="L5122">
        <v>2397.4813194390699</v>
      </c>
      <c r="M5122">
        <v>44.720654177437098</v>
      </c>
      <c r="N5122">
        <v>53.965724519317497</v>
      </c>
      <c r="O5122">
        <v>53.503293199808503</v>
      </c>
      <c r="P5122">
        <v>-0.18229760865407199</v>
      </c>
      <c r="Q5122">
        <v>0.12760588548186699</v>
      </c>
      <c r="R5122">
        <v>0.97613159286845896</v>
      </c>
      <c r="S5122" t="s">
        <v>12125</v>
      </c>
      <c r="T5122" t="s">
        <v>14004</v>
      </c>
      <c r="U5122" t="s">
        <v>14004</v>
      </c>
      <c r="V5122" t="s">
        <v>14004</v>
      </c>
      <c r="W5122" t="s">
        <v>19071</v>
      </c>
      <c r="X5122">
        <v>23</v>
      </c>
      <c r="Y5122" t="s">
        <v>25877</v>
      </c>
      <c r="Z5122" t="s">
        <v>32832</v>
      </c>
      <c r="AA5122">
        <v>0.52596730181910645</v>
      </c>
      <c r="AB5122" t="str">
        <f>HYPERLINK("Melting_Curves/meltCurve_Q92696_RABGGTA.pdf", "Melting_Curves/meltCurve_Q92696_RABGGTA.pdf")</f>
        <v>Melting_Curves/meltCurve_Q92696_RABGGTA.pdf</v>
      </c>
    </row>
    <row r="5123" spans="1:28" x14ac:dyDescent="0.25">
      <c r="A5123" t="s">
        <v>5127</v>
      </c>
      <c r="B5123">
        <v>0.99999676499088797</v>
      </c>
      <c r="C5123">
        <v>0.96636558242600501</v>
      </c>
      <c r="D5123">
        <v>0.98509635592624401</v>
      </c>
      <c r="E5123">
        <v>1.04682481361665</v>
      </c>
      <c r="F5123">
        <v>1.3168728660045901</v>
      </c>
      <c r="G5123">
        <v>1.0258109843454899</v>
      </c>
      <c r="H5123">
        <v>0.88408148667604702</v>
      </c>
      <c r="I5123">
        <v>0.70465291879013503</v>
      </c>
      <c r="J5123">
        <v>0.50842229583129295</v>
      </c>
      <c r="K5123">
        <v>0.55188397688429802</v>
      </c>
      <c r="L5123">
        <v>2557.0910633095</v>
      </c>
      <c r="M5123">
        <v>40.621742896038498</v>
      </c>
      <c r="O5123">
        <v>62.796830839541002</v>
      </c>
      <c r="P5123">
        <v>-7.8322712958256893E-2</v>
      </c>
      <c r="Q5123">
        <v>0.51568695477457205</v>
      </c>
      <c r="R5123">
        <v>0.80033035563039501</v>
      </c>
      <c r="S5123" t="s">
        <v>12126</v>
      </c>
      <c r="T5123" t="s">
        <v>14004</v>
      </c>
      <c r="U5123" t="s">
        <v>14004</v>
      </c>
      <c r="V5123" t="s">
        <v>14004</v>
      </c>
      <c r="W5123" t="s">
        <v>19072</v>
      </c>
      <c r="X5123">
        <v>10</v>
      </c>
      <c r="Y5123" t="s">
        <v>25878</v>
      </c>
      <c r="Z5123" t="s">
        <v>32833</v>
      </c>
      <c r="AA5123">
        <v>0.88766747047000849</v>
      </c>
      <c r="AB5123" t="str">
        <f>HYPERLINK("Melting_Curves/meltCurve_Q92734_2_TFG.pdf", "Melting_Curves/meltCurve_Q92734_2_TFG.pdf")</f>
        <v>Melting_Curves/meltCurve_Q92734_2_TFG.pdf</v>
      </c>
    </row>
    <row r="5124" spans="1:28" x14ac:dyDescent="0.25">
      <c r="A5124" t="s">
        <v>5128</v>
      </c>
      <c r="B5124">
        <v>0.99999676499088797</v>
      </c>
      <c r="C5124">
        <v>0.97272735575884495</v>
      </c>
      <c r="D5124">
        <v>0.96365836268086902</v>
      </c>
      <c r="E5124">
        <v>0.64109063406803701</v>
      </c>
      <c r="F5124">
        <v>0.36198779082431698</v>
      </c>
      <c r="G5124">
        <v>0.27563484110380998</v>
      </c>
      <c r="H5124">
        <v>0.14649359405053899</v>
      </c>
      <c r="I5124">
        <v>0.16175318705858399</v>
      </c>
      <c r="J5124">
        <v>0.16186266424200399</v>
      </c>
      <c r="K5124">
        <v>0.16834072236577</v>
      </c>
      <c r="L5124">
        <v>1147.20439356767</v>
      </c>
      <c r="M5124">
        <v>22.7139333834273</v>
      </c>
      <c r="N5124">
        <v>51.395378235321203</v>
      </c>
      <c r="O5124">
        <v>50.120040691867999</v>
      </c>
      <c r="P5124">
        <v>-9.4898904293676201E-2</v>
      </c>
      <c r="Q5124">
        <v>0.16240956527417399</v>
      </c>
      <c r="R5124">
        <v>0.99462349589059795</v>
      </c>
      <c r="S5124" t="s">
        <v>12127</v>
      </c>
      <c r="T5124" t="s">
        <v>14004</v>
      </c>
      <c r="U5124" t="s">
        <v>14004</v>
      </c>
      <c r="V5124" t="s">
        <v>14004</v>
      </c>
      <c r="W5124" t="s">
        <v>19073</v>
      </c>
      <c r="X5124">
        <v>2</v>
      </c>
      <c r="Y5124" t="s">
        <v>25879</v>
      </c>
      <c r="Z5124" t="s">
        <v>32834</v>
      </c>
      <c r="AA5124">
        <v>0.46484833529101383</v>
      </c>
      <c r="AB5124" t="str">
        <f>HYPERLINK("Melting_Curves/meltCurve_Q92738_USP6NL.pdf", "Melting_Curves/meltCurve_Q92738_USP6NL.pdf")</f>
        <v>Melting_Curves/meltCurve_Q92738_USP6NL.pdf</v>
      </c>
    </row>
    <row r="5125" spans="1:28" x14ac:dyDescent="0.25">
      <c r="A5125" t="s">
        <v>5129</v>
      </c>
      <c r="B5125">
        <v>0.99999676499088797</v>
      </c>
      <c r="C5125">
        <v>1.0788703493649501</v>
      </c>
      <c r="D5125">
        <v>1.0564387145993701</v>
      </c>
      <c r="E5125">
        <v>1.1101588342864399</v>
      </c>
      <c r="F5125">
        <v>1.0733555059197399</v>
      </c>
      <c r="G5125">
        <v>1.09545249828836</v>
      </c>
      <c r="H5125">
        <v>0.73760995359192405</v>
      </c>
      <c r="I5125">
        <v>0.30928362704105</v>
      </c>
      <c r="J5125">
        <v>0.123145954782544</v>
      </c>
      <c r="K5125">
        <v>0.11972697593670401</v>
      </c>
      <c r="L5125">
        <v>2855.77520567702</v>
      </c>
      <c r="M5125">
        <v>45.988149473937199</v>
      </c>
      <c r="N5125">
        <v>62.437006547954702</v>
      </c>
      <c r="O5125">
        <v>61.981003406846597</v>
      </c>
      <c r="P5125">
        <v>-0.165003271430052</v>
      </c>
      <c r="Q5125">
        <v>0.110461822417614</v>
      </c>
      <c r="R5125">
        <v>0.97528143574347004</v>
      </c>
      <c r="S5125" t="s">
        <v>12128</v>
      </c>
      <c r="T5125" t="s">
        <v>14004</v>
      </c>
      <c r="U5125" t="s">
        <v>14004</v>
      </c>
      <c r="V5125" t="s">
        <v>14004</v>
      </c>
      <c r="W5125" t="s">
        <v>19074</v>
      </c>
      <c r="X5125">
        <v>16</v>
      </c>
      <c r="Y5125" t="s">
        <v>25880</v>
      </c>
      <c r="Z5125" t="s">
        <v>32835</v>
      </c>
      <c r="AA5125">
        <v>0.76828356430125277</v>
      </c>
      <c r="AB5125" t="str">
        <f>HYPERLINK("Melting_Curves/meltCurve_Q92747_ARPC1A.pdf", "Melting_Curves/meltCurve_Q92747_ARPC1A.pdf")</f>
        <v>Melting_Curves/meltCurve_Q92747_ARPC1A.pdf</v>
      </c>
    </row>
    <row r="5126" spans="1:28" x14ac:dyDescent="0.25">
      <c r="A5126" t="s">
        <v>5130</v>
      </c>
      <c r="B5126">
        <v>0.99999676499088797</v>
      </c>
      <c r="C5126">
        <v>0.91660718683331899</v>
      </c>
      <c r="D5126">
        <v>0.79065444599780599</v>
      </c>
      <c r="E5126">
        <v>0.43696082070614201</v>
      </c>
      <c r="F5126">
        <v>0.23450593375397799</v>
      </c>
      <c r="G5126">
        <v>0.177586610171513</v>
      </c>
      <c r="H5126">
        <v>6.8406665981796497E-2</v>
      </c>
      <c r="I5126">
        <v>6.7965908914341705E-2</v>
      </c>
      <c r="J5126">
        <v>8.3231715210793103E-2</v>
      </c>
      <c r="K5126">
        <v>5.41517987535464E-2</v>
      </c>
      <c r="L5126">
        <v>891.90624309421696</v>
      </c>
      <c r="M5126">
        <v>18.2847108896338</v>
      </c>
      <c r="N5126">
        <v>49.1569214985469</v>
      </c>
      <c r="O5126">
        <v>48.206573171376903</v>
      </c>
      <c r="P5126">
        <v>-8.8608120670645593E-2</v>
      </c>
      <c r="Q5126">
        <v>6.5602724922364006E-2</v>
      </c>
      <c r="R5126">
        <v>0.99636985333211303</v>
      </c>
      <c r="S5126" t="s">
        <v>12129</v>
      </c>
      <c r="T5126" t="s">
        <v>14004</v>
      </c>
      <c r="U5126" t="s">
        <v>14004</v>
      </c>
      <c r="V5126" t="s">
        <v>14004</v>
      </c>
      <c r="W5126" t="s">
        <v>19075</v>
      </c>
      <c r="X5126">
        <v>6</v>
      </c>
      <c r="Y5126" t="s">
        <v>25881</v>
      </c>
      <c r="Z5126" t="s">
        <v>32836</v>
      </c>
      <c r="AA5126">
        <v>0.35478107614078053</v>
      </c>
      <c r="AB5126" t="str">
        <f>HYPERLINK("Melting_Curves/meltCurve_Q92759_GTF2H4.pdf", "Melting_Curves/meltCurve_Q92759_GTF2H4.pdf")</f>
        <v>Melting_Curves/meltCurve_Q92759_GTF2H4.pdf</v>
      </c>
    </row>
    <row r="5127" spans="1:28" x14ac:dyDescent="0.25">
      <c r="A5127" t="s">
        <v>5131</v>
      </c>
      <c r="B5127">
        <v>0.99999676499088797</v>
      </c>
      <c r="C5127">
        <v>1.0524794801577499</v>
      </c>
      <c r="D5127">
        <v>0.72319328944038397</v>
      </c>
      <c r="E5127">
        <v>0.45217099319798199</v>
      </c>
      <c r="F5127">
        <v>0.33257896617479099</v>
      </c>
      <c r="G5127">
        <v>0.25570925207474798</v>
      </c>
      <c r="H5127">
        <v>0.13946656351053499</v>
      </c>
      <c r="I5127">
        <v>0.175482171873694</v>
      </c>
      <c r="J5127">
        <v>0.20046461200076199</v>
      </c>
      <c r="K5127">
        <v>0.17790515504785701</v>
      </c>
      <c r="L5127">
        <v>1012.94806667205</v>
      </c>
      <c r="M5127">
        <v>21.061590891710701</v>
      </c>
      <c r="N5127">
        <v>49.180184709228399</v>
      </c>
      <c r="O5127">
        <v>47.667288390386197</v>
      </c>
      <c r="P5127">
        <v>-8.9928238365360999E-2</v>
      </c>
      <c r="Q5127">
        <v>0.18590735524504201</v>
      </c>
      <c r="R5127">
        <v>0.97893465009978797</v>
      </c>
      <c r="S5127" t="s">
        <v>12130</v>
      </c>
      <c r="T5127" t="s">
        <v>14004</v>
      </c>
      <c r="U5127" t="s">
        <v>14004</v>
      </c>
      <c r="V5127" t="s">
        <v>14004</v>
      </c>
      <c r="W5127" t="s">
        <v>19076</v>
      </c>
      <c r="X5127">
        <v>6</v>
      </c>
      <c r="Y5127" t="s">
        <v>25882</v>
      </c>
      <c r="Z5127" t="s">
        <v>32837</v>
      </c>
      <c r="AA5127">
        <v>0.41591516866387379</v>
      </c>
      <c r="AB5127" t="str">
        <f>HYPERLINK("Melting_Curves/meltCurve_Q92766_RREB1.pdf", "Melting_Curves/meltCurve_Q92766_RREB1.pdf")</f>
        <v>Melting_Curves/meltCurve_Q92766_RREB1.pdf</v>
      </c>
    </row>
    <row r="5128" spans="1:28" x14ac:dyDescent="0.25">
      <c r="A5128" t="s">
        <v>5132</v>
      </c>
      <c r="B5128">
        <v>0.99999676499088797</v>
      </c>
      <c r="C5128">
        <v>1.1492132513383699</v>
      </c>
      <c r="D5128">
        <v>0.96345349592488005</v>
      </c>
      <c r="E5128">
        <v>0.39640222690600901</v>
      </c>
      <c r="F5128">
        <v>0.13833253770773199</v>
      </c>
      <c r="G5128">
        <v>8.4770984996627496E-2</v>
      </c>
      <c r="H5128">
        <v>5.0730803848017703E-2</v>
      </c>
      <c r="I5128">
        <v>6.0563389867772002E-2</v>
      </c>
      <c r="J5128">
        <v>5.5441491631257701E-2</v>
      </c>
      <c r="K5128">
        <v>1.8943265891882301E-2</v>
      </c>
      <c r="L5128">
        <v>2160.9347681087602</v>
      </c>
      <c r="M5128">
        <v>44.109206851720501</v>
      </c>
      <c r="N5128">
        <v>49.137873799703499</v>
      </c>
      <c r="O5128">
        <v>48.890184828865699</v>
      </c>
      <c r="P5128">
        <v>-0.211585316788928</v>
      </c>
      <c r="Q5128">
        <v>6.1925484062777203E-2</v>
      </c>
      <c r="R5128">
        <v>0.98536087507210202</v>
      </c>
      <c r="S5128" t="s">
        <v>12131</v>
      </c>
      <c r="T5128" t="s">
        <v>14004</v>
      </c>
      <c r="U5128" t="s">
        <v>14004</v>
      </c>
      <c r="V5128" t="s">
        <v>14004</v>
      </c>
      <c r="W5128" t="s">
        <v>19077</v>
      </c>
      <c r="X5128">
        <v>9</v>
      </c>
      <c r="Y5128" t="s">
        <v>25883</v>
      </c>
      <c r="Z5128" t="s">
        <v>32838</v>
      </c>
      <c r="AA5128">
        <v>0.34566263486920051</v>
      </c>
      <c r="AB5128" t="str">
        <f>HYPERLINK("Melting_Curves/meltCurve_Q92771_DDX12P.pdf", "Melting_Curves/meltCurve_Q92771_DDX12P.pdf")</f>
        <v>Melting_Curves/meltCurve_Q92771_DDX12P.pdf</v>
      </c>
    </row>
    <row r="5129" spans="1:28" x14ac:dyDescent="0.25">
      <c r="A5129" t="s">
        <v>5133</v>
      </c>
      <c r="B5129">
        <v>0.99999676499088797</v>
      </c>
      <c r="C5129">
        <v>1.02501722524613</v>
      </c>
      <c r="D5129">
        <v>1.0424352389625899</v>
      </c>
      <c r="E5129">
        <v>0.86650992608678801</v>
      </c>
      <c r="F5129">
        <v>0.28511782736379698</v>
      </c>
      <c r="G5129">
        <v>0.20045077562762501</v>
      </c>
      <c r="H5129">
        <v>0.10089444951219299</v>
      </c>
      <c r="I5129">
        <v>8.1437151170225999E-2</v>
      </c>
      <c r="J5129">
        <v>8.2653747017796306E-2</v>
      </c>
      <c r="K5129">
        <v>7.8960660170653799E-2</v>
      </c>
      <c r="L5129">
        <v>2164.82028441181</v>
      </c>
      <c r="M5129">
        <v>41.951356784776003</v>
      </c>
      <c r="N5129">
        <v>51.885912915198297</v>
      </c>
      <c r="O5129">
        <v>51.486249165449898</v>
      </c>
      <c r="P5129">
        <v>-0.18288484394008001</v>
      </c>
      <c r="Q5129">
        <v>0.102194383883756</v>
      </c>
      <c r="R5129">
        <v>0.99386151157658398</v>
      </c>
      <c r="S5129" t="s">
        <v>12132</v>
      </c>
      <c r="T5129" t="s">
        <v>14004</v>
      </c>
      <c r="U5129" t="s">
        <v>14004</v>
      </c>
      <c r="V5129" t="s">
        <v>14004</v>
      </c>
      <c r="W5129" t="s">
        <v>19078</v>
      </c>
      <c r="X5129">
        <v>10</v>
      </c>
      <c r="Y5129" t="s">
        <v>25884</v>
      </c>
      <c r="Z5129" t="s">
        <v>32839</v>
      </c>
      <c r="AA5129">
        <v>0.45234767625131828</v>
      </c>
      <c r="AB5129" t="str">
        <f>HYPERLINK("Melting_Curves/meltCurve_Q92783_2_STAM.pdf", "Melting_Curves/meltCurve_Q92783_2_STAM.pdf")</f>
        <v>Melting_Curves/meltCurve_Q92783_2_STAM.pdf</v>
      </c>
    </row>
    <row r="5130" spans="1:28" x14ac:dyDescent="0.25">
      <c r="A5130" t="s">
        <v>5134</v>
      </c>
      <c r="B5130">
        <v>0.99999676499088797</v>
      </c>
      <c r="C5130">
        <v>0.995024885232072</v>
      </c>
      <c r="D5130">
        <v>0.82744658207237698</v>
      </c>
      <c r="E5130">
        <v>0.56367916220094905</v>
      </c>
      <c r="F5130">
        <v>0.47469596309444101</v>
      </c>
      <c r="G5130">
        <v>0.40503789655544198</v>
      </c>
      <c r="H5130">
        <v>0.39301343655764398</v>
      </c>
      <c r="I5130">
        <v>0.56942946328306299</v>
      </c>
      <c r="J5130">
        <v>0.59615472147091497</v>
      </c>
      <c r="K5130">
        <v>0.62359436188650297</v>
      </c>
      <c r="L5130">
        <v>1920.4643235235201</v>
      </c>
      <c r="M5130">
        <v>41.115244880356997</v>
      </c>
      <c r="O5130">
        <v>46.599216842127603</v>
      </c>
      <c r="P5130">
        <v>-0.107778495484166</v>
      </c>
      <c r="Q5130">
        <v>0.51138479729790098</v>
      </c>
      <c r="R5130">
        <v>0.88741349367691902</v>
      </c>
      <c r="S5130" t="s">
        <v>12133</v>
      </c>
      <c r="T5130" t="s">
        <v>14004</v>
      </c>
      <c r="U5130" t="s">
        <v>14004</v>
      </c>
      <c r="V5130" t="s">
        <v>14004</v>
      </c>
      <c r="W5130" t="s">
        <v>19079</v>
      </c>
      <c r="X5130">
        <v>6</v>
      </c>
      <c r="Y5130" t="s">
        <v>25885</v>
      </c>
      <c r="Z5130" t="s">
        <v>32840</v>
      </c>
      <c r="AA5130">
        <v>0.62216634277180738</v>
      </c>
      <c r="AB5130" t="str">
        <f>HYPERLINK("Melting_Curves/meltCurve_Q92784_DPF3.pdf", "Melting_Curves/meltCurve_Q92784_DPF3.pdf")</f>
        <v>Melting_Curves/meltCurve_Q92784_DPF3.pdf</v>
      </c>
    </row>
    <row r="5131" spans="1:28" x14ac:dyDescent="0.25">
      <c r="A5131" t="s">
        <v>5135</v>
      </c>
      <c r="B5131">
        <v>0.99999676499088797</v>
      </c>
      <c r="C5131">
        <v>0.96823694829112505</v>
      </c>
      <c r="D5131">
        <v>0.77692198477097496</v>
      </c>
      <c r="E5131">
        <v>0.58863479862766399</v>
      </c>
      <c r="F5131">
        <v>0.46160224542397099</v>
      </c>
      <c r="G5131">
        <v>0.316855596786979</v>
      </c>
      <c r="H5131">
        <v>0.21140559658376801</v>
      </c>
      <c r="I5131">
        <v>0.22118270676360899</v>
      </c>
      <c r="J5131">
        <v>0.251269701892331</v>
      </c>
      <c r="K5131">
        <v>0.28640152104421701</v>
      </c>
      <c r="L5131">
        <v>770.09979216614499</v>
      </c>
      <c r="M5131">
        <v>15.612619761645201</v>
      </c>
      <c r="N5131">
        <v>51.346604515871398</v>
      </c>
      <c r="O5131">
        <v>48.537500565574099</v>
      </c>
      <c r="P5131">
        <v>-6.1960694230156502E-2</v>
      </c>
      <c r="Q5131">
        <v>0.22955720359235901</v>
      </c>
      <c r="R5131">
        <v>0.98647686411032698</v>
      </c>
      <c r="S5131" t="s">
        <v>12134</v>
      </c>
      <c r="T5131" t="s">
        <v>14004</v>
      </c>
      <c r="U5131" t="s">
        <v>14004</v>
      </c>
      <c r="V5131" t="s">
        <v>14004</v>
      </c>
      <c r="W5131" t="s">
        <v>19080</v>
      </c>
      <c r="X5131">
        <v>12</v>
      </c>
      <c r="Y5131" t="s">
        <v>25886</v>
      </c>
      <c r="Z5131" t="s">
        <v>32841</v>
      </c>
      <c r="AA5131">
        <v>0.48649156867844728</v>
      </c>
      <c r="AB5131" t="str">
        <f>HYPERLINK("Melting_Curves/meltCurve_Q92785_DPF2.pdf", "Melting_Curves/meltCurve_Q92785_DPF2.pdf")</f>
        <v>Melting_Curves/meltCurve_Q92785_DPF2.pdf</v>
      </c>
    </row>
    <row r="5132" spans="1:28" x14ac:dyDescent="0.25">
      <c r="A5132" t="s">
        <v>5136</v>
      </c>
      <c r="B5132">
        <v>0.99999676499088797</v>
      </c>
      <c r="C5132">
        <v>1.20060487755003</v>
      </c>
      <c r="D5132">
        <v>1.10615194544804</v>
      </c>
      <c r="E5132">
        <v>0.99745024721041198</v>
      </c>
      <c r="F5132">
        <v>0.73282397615982098</v>
      </c>
      <c r="G5132">
        <v>0.39524888522698698</v>
      </c>
      <c r="H5132">
        <v>0.25362585198047599</v>
      </c>
      <c r="I5132">
        <v>0.23199148744076201</v>
      </c>
      <c r="J5132">
        <v>0.23776434027079199</v>
      </c>
      <c r="K5132">
        <v>0.25062712351910998</v>
      </c>
      <c r="L5132">
        <v>1834.9828861337801</v>
      </c>
      <c r="M5132">
        <v>33.789129351621298</v>
      </c>
      <c r="N5132">
        <v>55.373510043804401</v>
      </c>
      <c r="O5132">
        <v>54.117740338375199</v>
      </c>
      <c r="P5132">
        <v>-0.118754599874561</v>
      </c>
      <c r="Q5132">
        <v>0.23919859543730501</v>
      </c>
      <c r="R5132">
        <v>0.96407235280929604</v>
      </c>
      <c r="S5132" t="s">
        <v>12135</v>
      </c>
      <c r="T5132" t="s">
        <v>14004</v>
      </c>
      <c r="U5132" t="s">
        <v>14004</v>
      </c>
      <c r="V5132" t="s">
        <v>14004</v>
      </c>
      <c r="W5132" t="s">
        <v>19081</v>
      </c>
      <c r="X5132">
        <v>21</v>
      </c>
      <c r="Y5132" t="s">
        <v>25887</v>
      </c>
      <c r="Z5132" t="s">
        <v>32842</v>
      </c>
      <c r="AA5132">
        <v>0.60600257605741759</v>
      </c>
      <c r="AB5132" t="str">
        <f>HYPERLINK("Melting_Curves/meltCurve_Q92793_CREBBP.pdf", "Melting_Curves/meltCurve_Q92793_CREBBP.pdf")</f>
        <v>Melting_Curves/meltCurve_Q92793_CREBBP.pdf</v>
      </c>
    </row>
    <row r="5133" spans="1:28" x14ac:dyDescent="0.25">
      <c r="A5133" t="s">
        <v>5137</v>
      </c>
      <c r="B5133">
        <v>0.99999676499088797</v>
      </c>
      <c r="C5133">
        <v>0.875447797956309</v>
      </c>
      <c r="D5133">
        <v>0.62803563370193705</v>
      </c>
      <c r="E5133">
        <v>0.18613121551127099</v>
      </c>
      <c r="F5133">
        <v>0.14019590947827801</v>
      </c>
      <c r="G5133">
        <v>0.10202118665186299</v>
      </c>
      <c r="H5133">
        <v>5.18788757390619E-2</v>
      </c>
      <c r="I5133">
        <v>5.5791041762287198E-2</v>
      </c>
      <c r="J5133">
        <v>4.3641006656748603E-2</v>
      </c>
      <c r="K5133">
        <v>3.4980835613286097E-2</v>
      </c>
      <c r="L5133">
        <v>1164.89150415985</v>
      </c>
      <c r="M5133">
        <v>25.006401706533602</v>
      </c>
      <c r="N5133">
        <v>46.813227253601703</v>
      </c>
      <c r="O5133">
        <v>46.288888620588097</v>
      </c>
      <c r="P5133">
        <v>-0.12726695786303899</v>
      </c>
      <c r="Q5133">
        <v>5.7686632028790902E-2</v>
      </c>
      <c r="R5133">
        <v>0.99450532057109597</v>
      </c>
      <c r="S5133" t="s">
        <v>12136</v>
      </c>
      <c r="T5133" t="s">
        <v>14004</v>
      </c>
      <c r="U5133" t="s">
        <v>14004</v>
      </c>
      <c r="V5133" t="s">
        <v>14004</v>
      </c>
      <c r="W5133" t="s">
        <v>19082</v>
      </c>
      <c r="X5133">
        <v>26</v>
      </c>
      <c r="Y5133" t="s">
        <v>25888</v>
      </c>
      <c r="Z5133" t="s">
        <v>32843</v>
      </c>
      <c r="AA5133">
        <v>0.27298112757646309</v>
      </c>
      <c r="AB5133" t="str">
        <f>HYPERLINK("Melting_Curves/meltCurve_Q92797_SYMPK.pdf", "Melting_Curves/meltCurve_Q92797_SYMPK.pdf")</f>
        <v>Melting_Curves/meltCurve_Q92797_SYMPK.pdf</v>
      </c>
    </row>
    <row r="5134" spans="1:28" x14ac:dyDescent="0.25">
      <c r="A5134" t="s">
        <v>5138</v>
      </c>
      <c r="B5134">
        <v>0.99999676499088797</v>
      </c>
      <c r="C5134">
        <v>0.99479630152307497</v>
      </c>
      <c r="D5134">
        <v>0.971729359154476</v>
      </c>
      <c r="E5134">
        <v>0.98094329079639897</v>
      </c>
      <c r="F5134">
        <v>0.893606481748911</v>
      </c>
      <c r="G5134">
        <v>0.81351560968900805</v>
      </c>
      <c r="H5134">
        <v>0.84586774891410099</v>
      </c>
      <c r="I5134">
        <v>1.1453912272286499</v>
      </c>
      <c r="J5134">
        <v>1.21765305770273</v>
      </c>
      <c r="K5134">
        <v>1.12471014710613</v>
      </c>
      <c r="L5134">
        <v>15000</v>
      </c>
      <c r="M5134">
        <v>236.10272556512399</v>
      </c>
      <c r="O5134">
        <v>63.527109881961898</v>
      </c>
      <c r="P5134">
        <v>0.15906161125513599</v>
      </c>
      <c r="Q5134">
        <v>1.1711919998199201</v>
      </c>
      <c r="R5134">
        <v>0.51407821836290801</v>
      </c>
      <c r="S5134" t="s">
        <v>12137</v>
      </c>
      <c r="T5134" t="s">
        <v>14004</v>
      </c>
      <c r="U5134" t="s">
        <v>14004</v>
      </c>
      <c r="V5134" t="s">
        <v>14004</v>
      </c>
      <c r="W5134" t="s">
        <v>19083</v>
      </c>
      <c r="X5134">
        <v>16</v>
      </c>
      <c r="Y5134" t="s">
        <v>25889</v>
      </c>
      <c r="Z5134" t="s">
        <v>32844</v>
      </c>
      <c r="AA5134">
        <v>1.036889487942749</v>
      </c>
      <c r="AB5134" t="str">
        <f>HYPERLINK("Melting_Curves/meltCurve_Q92804_2_TAF15.pdf", "Melting_Curves/meltCurve_Q92804_2_TAF15.pdf")</f>
        <v>Melting_Curves/meltCurve_Q92804_2_TAF15.pdf</v>
      </c>
    </row>
    <row r="5135" spans="1:28" x14ac:dyDescent="0.25">
      <c r="A5135" t="s">
        <v>5139</v>
      </c>
      <c r="B5135">
        <v>0.99999676499088797</v>
      </c>
      <c r="C5135">
        <v>0.94831107823800598</v>
      </c>
      <c r="D5135">
        <v>0.99456578409922902</v>
      </c>
      <c r="E5135">
        <v>1.0685722649739899</v>
      </c>
      <c r="F5135">
        <v>1.05642628838271</v>
      </c>
      <c r="G5135">
        <v>0.87375347644302304</v>
      </c>
      <c r="H5135">
        <v>0.66936088502513602</v>
      </c>
      <c r="I5135">
        <v>0.43509691733700601</v>
      </c>
      <c r="J5135">
        <v>0.21317082571927701</v>
      </c>
      <c r="K5135">
        <v>0.19211728127219899</v>
      </c>
      <c r="L5135">
        <v>1463.72764180592</v>
      </c>
      <c r="M5135">
        <v>23.561162188371199</v>
      </c>
      <c r="N5135">
        <v>62.833090877528299</v>
      </c>
      <c r="O5135">
        <v>61.682257502473497</v>
      </c>
      <c r="P5135">
        <v>-8.4355670117840606E-2</v>
      </c>
      <c r="Q5135">
        <v>0.116654867613916</v>
      </c>
      <c r="R5135">
        <v>0.98458154992120706</v>
      </c>
      <c r="S5135" t="s">
        <v>12138</v>
      </c>
      <c r="T5135" t="s">
        <v>14004</v>
      </c>
      <c r="U5135" t="s">
        <v>14004</v>
      </c>
      <c r="V5135" t="s">
        <v>14004</v>
      </c>
      <c r="W5135" t="s">
        <v>19084</v>
      </c>
      <c r="X5135">
        <v>9</v>
      </c>
      <c r="Y5135" t="s">
        <v>25890</v>
      </c>
      <c r="Z5135" t="s">
        <v>32845</v>
      </c>
      <c r="AA5135">
        <v>0.77174016115262078</v>
      </c>
      <c r="AB5135" t="str">
        <f>HYPERLINK("Melting_Curves/meltCurve_Q92820_GGH.pdf", "Melting_Curves/meltCurve_Q92820_GGH.pdf")</f>
        <v>Melting_Curves/meltCurve_Q92820_GGH.pdf</v>
      </c>
    </row>
    <row r="5136" spans="1:28" x14ac:dyDescent="0.25">
      <c r="A5136" t="s">
        <v>5140</v>
      </c>
      <c r="B5136">
        <v>0.99999676499088797</v>
      </c>
      <c r="C5136">
        <v>0.85243538094086901</v>
      </c>
      <c r="D5136">
        <v>0.81963559076427195</v>
      </c>
      <c r="E5136">
        <v>0.55219803459226902</v>
      </c>
      <c r="F5136">
        <v>0.22363124111046201</v>
      </c>
      <c r="G5136">
        <v>0.21709162982480901</v>
      </c>
      <c r="H5136">
        <v>7.7185414471371006E-2</v>
      </c>
      <c r="I5136">
        <v>7.7861641278527793E-2</v>
      </c>
      <c r="J5136">
        <v>8.4224373153299101E-2</v>
      </c>
      <c r="K5136">
        <v>9.4871391431094201E-2</v>
      </c>
      <c r="L5136">
        <v>824.42478333971997</v>
      </c>
      <c r="M5136">
        <v>16.679595015679102</v>
      </c>
      <c r="N5136">
        <v>49.866761403134802</v>
      </c>
      <c r="O5136">
        <v>48.733071035171101</v>
      </c>
      <c r="P5136">
        <v>-7.9721090646086901E-2</v>
      </c>
      <c r="Q5136">
        <v>6.8371908596522396E-2</v>
      </c>
      <c r="R5136">
        <v>0.986448715896863</v>
      </c>
      <c r="S5136" t="s">
        <v>12139</v>
      </c>
      <c r="T5136" t="s">
        <v>14004</v>
      </c>
      <c r="U5136" t="s">
        <v>14004</v>
      </c>
      <c r="V5136" t="s">
        <v>14004</v>
      </c>
      <c r="W5136" t="s">
        <v>19085</v>
      </c>
      <c r="X5136">
        <v>2</v>
      </c>
      <c r="Y5136" t="s">
        <v>25891</v>
      </c>
      <c r="Z5136" t="s">
        <v>32846</v>
      </c>
      <c r="AA5136">
        <v>0.3796841576249893</v>
      </c>
      <c r="AB5136" t="str">
        <f>HYPERLINK("Melting_Curves/meltCurve_Q92828_CORO2A.pdf", "Melting_Curves/meltCurve_Q92828_CORO2A.pdf")</f>
        <v>Melting_Curves/meltCurve_Q92828_CORO2A.pdf</v>
      </c>
    </row>
    <row r="5137" spans="1:28" x14ac:dyDescent="0.25">
      <c r="A5137" t="s">
        <v>5141</v>
      </c>
      <c r="B5137">
        <v>0.99999676499088797</v>
      </c>
      <c r="C5137">
        <v>1.04236927652623</v>
      </c>
      <c r="D5137">
        <v>0.972448987068253</v>
      </c>
      <c r="E5137">
        <v>0.973667887811557</v>
      </c>
      <c r="F5137">
        <v>0.62068884511226796</v>
      </c>
      <c r="G5137">
        <v>0.31189464702279701</v>
      </c>
      <c r="H5137">
        <v>0.14577131553940401</v>
      </c>
      <c r="I5137">
        <v>0.19105918816119699</v>
      </c>
      <c r="J5137">
        <v>0.13712968302629</v>
      </c>
      <c r="K5137">
        <v>0.21646690502761701</v>
      </c>
      <c r="L5137">
        <v>1766.56269637218</v>
      </c>
      <c r="M5137">
        <v>32.9569686201514</v>
      </c>
      <c r="N5137">
        <v>54.296756344084102</v>
      </c>
      <c r="O5137">
        <v>53.405902104235501</v>
      </c>
      <c r="P5137">
        <v>-0.12773858464955601</v>
      </c>
      <c r="Q5137">
        <v>0.17201562382417501</v>
      </c>
      <c r="R5137">
        <v>0.99338613536670495</v>
      </c>
      <c r="S5137" t="s">
        <v>12140</v>
      </c>
      <c r="T5137" t="s">
        <v>14004</v>
      </c>
      <c r="U5137" t="s">
        <v>14004</v>
      </c>
      <c r="V5137" t="s">
        <v>14004</v>
      </c>
      <c r="W5137" t="s">
        <v>19086</v>
      </c>
      <c r="X5137">
        <v>4</v>
      </c>
      <c r="Y5137" t="s">
        <v>25892</v>
      </c>
      <c r="Z5137" t="s">
        <v>32847</v>
      </c>
      <c r="AA5137">
        <v>0.55192941319478572</v>
      </c>
      <c r="AB5137" t="str">
        <f>HYPERLINK("Melting_Curves/meltCurve_Q92834_4_RPGR.pdf", "Melting_Curves/meltCurve_Q92834_4_RPGR.pdf")</f>
        <v>Melting_Curves/meltCurve_Q92834_4_RPGR.pdf</v>
      </c>
    </row>
    <row r="5138" spans="1:28" x14ac:dyDescent="0.25">
      <c r="A5138" t="s">
        <v>5142</v>
      </c>
      <c r="B5138">
        <v>0.99999676499088797</v>
      </c>
      <c r="C5138">
        <v>0.96443730427699303</v>
      </c>
      <c r="D5138">
        <v>0.91271747811119197</v>
      </c>
      <c r="E5138">
        <v>0.74030098888551399</v>
      </c>
      <c r="F5138">
        <v>0.54646582177498904</v>
      </c>
      <c r="G5138">
        <v>0.39764155411598301</v>
      </c>
      <c r="H5138">
        <v>0.32809726591475602</v>
      </c>
      <c r="I5138">
        <v>0.40457076075739201</v>
      </c>
      <c r="J5138">
        <v>0.44170975522640199</v>
      </c>
      <c r="K5138">
        <v>0.73318351461741105</v>
      </c>
      <c r="L5138">
        <v>1380.2416135071201</v>
      </c>
      <c r="M5138">
        <v>27.883204004328999</v>
      </c>
      <c r="N5138">
        <v>54.530945082064299</v>
      </c>
      <c r="O5138">
        <v>49.248312332235201</v>
      </c>
      <c r="P5138">
        <v>-7.6178184622699499E-2</v>
      </c>
      <c r="Q5138">
        <v>0.46181015105171602</v>
      </c>
      <c r="R5138">
        <v>0.82195810229170096</v>
      </c>
      <c r="S5138" t="s">
        <v>12141</v>
      </c>
      <c r="T5138" t="s">
        <v>14004</v>
      </c>
      <c r="U5138" t="s">
        <v>14004</v>
      </c>
      <c r="V5138" t="s">
        <v>14004</v>
      </c>
      <c r="W5138" t="s">
        <v>19087</v>
      </c>
      <c r="X5138">
        <v>8</v>
      </c>
      <c r="Y5138" t="s">
        <v>25893</v>
      </c>
      <c r="Z5138" t="s">
        <v>32848</v>
      </c>
      <c r="AA5138">
        <v>0.63608496971722917</v>
      </c>
      <c r="AB5138" t="str">
        <f>HYPERLINK("Melting_Curves/meltCurve_Q92843_2_BCL2L2.pdf", "Melting_Curves/meltCurve_Q92843_2_BCL2L2.pdf")</f>
        <v>Melting_Curves/meltCurve_Q92843_2_BCL2L2.pdf</v>
      </c>
    </row>
    <row r="5139" spans="1:28" x14ac:dyDescent="0.25">
      <c r="A5139" t="s">
        <v>5143</v>
      </c>
      <c r="B5139">
        <v>0.99999676499088797</v>
      </c>
      <c r="C5139">
        <v>0.96951018747983897</v>
      </c>
      <c r="D5139">
        <v>0.97902955494338695</v>
      </c>
      <c r="E5139">
        <v>0.65486177126192702</v>
      </c>
      <c r="F5139">
        <v>0.43311336785375698</v>
      </c>
      <c r="G5139">
        <v>0.395474477943495</v>
      </c>
      <c r="H5139">
        <v>0.230696724330648</v>
      </c>
      <c r="I5139">
        <v>0.371917503134579</v>
      </c>
      <c r="J5139">
        <v>0.30757426355936002</v>
      </c>
      <c r="K5139">
        <v>0.43982626966666499</v>
      </c>
      <c r="L5139">
        <v>1588.28275748398</v>
      </c>
      <c r="M5139">
        <v>32.0454540812961</v>
      </c>
      <c r="N5139">
        <v>51.483185300828403</v>
      </c>
      <c r="O5139">
        <v>49.371620503524497</v>
      </c>
      <c r="P5139">
        <v>-0.105694665500422</v>
      </c>
      <c r="Q5139">
        <v>0.34863888021849998</v>
      </c>
      <c r="R5139">
        <v>0.96498527561829295</v>
      </c>
      <c r="S5139" t="s">
        <v>12142</v>
      </c>
      <c r="T5139" t="s">
        <v>14004</v>
      </c>
      <c r="U5139" t="s">
        <v>14004</v>
      </c>
      <c r="V5139" t="s">
        <v>14004</v>
      </c>
      <c r="W5139" t="s">
        <v>19088</v>
      </c>
      <c r="X5139">
        <v>4</v>
      </c>
      <c r="Y5139" t="s">
        <v>25894</v>
      </c>
      <c r="Z5139" t="s">
        <v>32849</v>
      </c>
      <c r="AA5139">
        <v>0.55977935366543963</v>
      </c>
      <c r="AB5139" t="str">
        <f>HYPERLINK("Melting_Curves/meltCurve_Q92844_TANK.pdf", "Melting_Curves/meltCurve_Q92844_TANK.pdf")</f>
        <v>Melting_Curves/meltCurve_Q92844_TANK.pdf</v>
      </c>
    </row>
    <row r="5140" spans="1:28" x14ac:dyDescent="0.25">
      <c r="A5140" t="s">
        <v>5144</v>
      </c>
      <c r="B5140">
        <v>0.99999676499088797</v>
      </c>
      <c r="C5140">
        <v>0.87016127591973402</v>
      </c>
      <c r="D5140">
        <v>0.77977797807226001</v>
      </c>
      <c r="E5140">
        <v>0.56519663992382396</v>
      </c>
      <c r="F5140">
        <v>0.413239531427394</v>
      </c>
      <c r="G5140">
        <v>0.26799609794009199</v>
      </c>
      <c r="H5140">
        <v>0.15093585800952</v>
      </c>
      <c r="I5140">
        <v>0.125565705498836</v>
      </c>
      <c r="J5140">
        <v>9.8511396089016504E-2</v>
      </c>
      <c r="K5140">
        <v>0.12346883609241099</v>
      </c>
      <c r="L5140">
        <v>600.63775679354399</v>
      </c>
      <c r="M5140">
        <v>11.9084232994893</v>
      </c>
      <c r="N5140">
        <v>51.031388489992402</v>
      </c>
      <c r="O5140">
        <v>49.078828296316402</v>
      </c>
      <c r="P5140">
        <v>-5.6752156888874701E-2</v>
      </c>
      <c r="Q5140">
        <v>6.4649353665801199E-2</v>
      </c>
      <c r="R5140">
        <v>0.99575906968979899</v>
      </c>
      <c r="S5140" t="s">
        <v>12143</v>
      </c>
      <c r="T5140" t="s">
        <v>14004</v>
      </c>
      <c r="U5140" t="s">
        <v>14004</v>
      </c>
      <c r="V5140" t="s">
        <v>14004</v>
      </c>
      <c r="W5140" t="s">
        <v>19089</v>
      </c>
      <c r="X5140">
        <v>6</v>
      </c>
      <c r="Y5140" t="s">
        <v>25895</v>
      </c>
      <c r="Z5140" t="s">
        <v>32850</v>
      </c>
      <c r="AA5140">
        <v>0.42200801737601912</v>
      </c>
      <c r="AB5140" t="str">
        <f>HYPERLINK("Melting_Curves/meltCurve_Q92851_4_CASP10.pdf", "Melting_Curves/meltCurve_Q92851_4_CASP10.pdf")</f>
        <v>Melting_Curves/meltCurve_Q92851_4_CASP10.pdf</v>
      </c>
    </row>
    <row r="5141" spans="1:28" x14ac:dyDescent="0.25">
      <c r="A5141" t="s">
        <v>5145</v>
      </c>
      <c r="B5141">
        <v>0.99999676499088797</v>
      </c>
      <c r="C5141">
        <v>1.00022295684953</v>
      </c>
      <c r="D5141">
        <v>0.97609522594371201</v>
      </c>
      <c r="E5141">
        <v>0.85647190900358505</v>
      </c>
      <c r="F5141">
        <v>0.697764220990988</v>
      </c>
      <c r="G5141">
        <v>0.67312450400256396</v>
      </c>
      <c r="H5141">
        <v>0.440128556818151</v>
      </c>
      <c r="I5141">
        <v>0.36902130527312199</v>
      </c>
      <c r="J5141">
        <v>0.30476080119710203</v>
      </c>
      <c r="K5141">
        <v>0.27686324456469802</v>
      </c>
      <c r="L5141">
        <v>614.88043942593094</v>
      </c>
      <c r="M5141">
        <v>10.695986915773201</v>
      </c>
      <c r="N5141">
        <v>59.663864328128398</v>
      </c>
      <c r="O5141">
        <v>55.586848198273401</v>
      </c>
      <c r="P5141">
        <v>-4.0348462847274898E-2</v>
      </c>
      <c r="Q5141">
        <v>0.16155419740909999</v>
      </c>
      <c r="R5141">
        <v>0.98800317948710403</v>
      </c>
      <c r="S5141" t="s">
        <v>12144</v>
      </c>
      <c r="T5141" t="s">
        <v>14004</v>
      </c>
      <c r="U5141" t="s">
        <v>14004</v>
      </c>
      <c r="V5141" t="s">
        <v>14004</v>
      </c>
      <c r="W5141" t="s">
        <v>19090</v>
      </c>
      <c r="X5141">
        <v>27</v>
      </c>
      <c r="Y5141" t="s">
        <v>25896</v>
      </c>
      <c r="Z5141" t="s">
        <v>32851</v>
      </c>
      <c r="AA5141">
        <v>0.66197656923050352</v>
      </c>
      <c r="AB5141" t="str">
        <f>HYPERLINK("Melting_Curves/meltCurve_Q92854_SEMA4D.pdf", "Melting_Curves/meltCurve_Q92854_SEMA4D.pdf")</f>
        <v>Melting_Curves/meltCurve_Q92854_SEMA4D.pdf</v>
      </c>
    </row>
    <row r="5142" spans="1:28" x14ac:dyDescent="0.25">
      <c r="A5142" t="s">
        <v>5146</v>
      </c>
      <c r="B5142">
        <v>0.99999676499088797</v>
      </c>
      <c r="C5142">
        <v>0.99255746371869302</v>
      </c>
      <c r="D5142">
        <v>1.00470555340976</v>
      </c>
      <c r="E5142">
        <v>1.0203693251754</v>
      </c>
      <c r="F5142">
        <v>0.715457336746538</v>
      </c>
      <c r="G5142">
        <v>0.52893902830550998</v>
      </c>
      <c r="H5142">
        <v>0.31461127158705898</v>
      </c>
      <c r="I5142">
        <v>0.31610126550117501</v>
      </c>
      <c r="J5142">
        <v>0.33178432287186999</v>
      </c>
      <c r="K5142">
        <v>0.30621668017711901</v>
      </c>
      <c r="L5142">
        <v>1454.2605448817101</v>
      </c>
      <c r="M5142">
        <v>26.6792852858167</v>
      </c>
      <c r="N5142">
        <v>56.536454674756797</v>
      </c>
      <c r="O5142">
        <v>54.2054923541913</v>
      </c>
      <c r="P5142">
        <v>-8.5157988126657702E-2</v>
      </c>
      <c r="Q5142">
        <v>0.30793007732660499</v>
      </c>
      <c r="R5142">
        <v>0.98911682763523701</v>
      </c>
      <c r="S5142" t="s">
        <v>12145</v>
      </c>
      <c r="T5142" t="s">
        <v>14004</v>
      </c>
      <c r="U5142" t="s">
        <v>14004</v>
      </c>
      <c r="V5142" t="s">
        <v>14004</v>
      </c>
      <c r="W5142" t="s">
        <v>19091</v>
      </c>
      <c r="X5142">
        <v>22</v>
      </c>
      <c r="Y5142" t="s">
        <v>25897</v>
      </c>
      <c r="Z5142" t="s">
        <v>32852</v>
      </c>
      <c r="AA5142">
        <v>0.64833350435366843</v>
      </c>
      <c r="AB5142" t="str">
        <f>HYPERLINK("Melting_Curves/meltCurve_Q92859_3_NEO1.pdf", "Melting_Curves/meltCurve_Q92859_3_NEO1.pdf")</f>
        <v>Melting_Curves/meltCurve_Q92859_3_NEO1.pdf</v>
      </c>
    </row>
    <row r="5143" spans="1:28" x14ac:dyDescent="0.25">
      <c r="A5143" t="s">
        <v>5147</v>
      </c>
      <c r="B5143">
        <v>0.99999676499088797</v>
      </c>
      <c r="C5143">
        <v>0.97866019779777602</v>
      </c>
      <c r="D5143">
        <v>0.83658807764022503</v>
      </c>
      <c r="E5143">
        <v>0.76583355803620801</v>
      </c>
      <c r="F5143">
        <v>0.27019085112185498</v>
      </c>
      <c r="G5143">
        <v>0.171561042102822</v>
      </c>
      <c r="H5143">
        <v>6.1061199544711099E-2</v>
      </c>
      <c r="I5143">
        <v>7.6721444491042998E-2</v>
      </c>
      <c r="J5143">
        <v>5.86397278819457E-2</v>
      </c>
      <c r="K5143">
        <v>3.7482761784296798E-2</v>
      </c>
      <c r="L5143">
        <v>1177.2522086158799</v>
      </c>
      <c r="M5143">
        <v>23.000837100294401</v>
      </c>
      <c r="N5143">
        <v>51.417705624020698</v>
      </c>
      <c r="O5143">
        <v>50.800843395933498</v>
      </c>
      <c r="P5143">
        <v>-0.10755305250059501</v>
      </c>
      <c r="Q5143">
        <v>4.98289328678473E-2</v>
      </c>
      <c r="R5143">
        <v>0.98682779725483105</v>
      </c>
      <c r="S5143" t="s">
        <v>12146</v>
      </c>
      <c r="T5143" t="s">
        <v>14004</v>
      </c>
      <c r="U5143" t="s">
        <v>14004</v>
      </c>
      <c r="V5143" t="s">
        <v>14004</v>
      </c>
      <c r="W5143" t="s">
        <v>19092</v>
      </c>
      <c r="X5143">
        <v>2</v>
      </c>
      <c r="Y5143" t="s">
        <v>25898</v>
      </c>
      <c r="Z5143" t="s">
        <v>32853</v>
      </c>
      <c r="AA5143">
        <v>0.41413628993188462</v>
      </c>
      <c r="AB5143" t="str">
        <f>HYPERLINK("Melting_Curves/meltCurve_Q92871_PMM1.pdf", "Melting_Curves/meltCurve_Q92871_PMM1.pdf")</f>
        <v>Melting_Curves/meltCurve_Q92871_PMM1.pdf</v>
      </c>
    </row>
    <row r="5144" spans="1:28" x14ac:dyDescent="0.25">
      <c r="A5144" t="s">
        <v>5148</v>
      </c>
      <c r="B5144">
        <v>0.99999676499088797</v>
      </c>
      <c r="C5144">
        <v>0.96226664478804902</v>
      </c>
      <c r="D5144">
        <v>0.92387560222076803</v>
      </c>
      <c r="E5144">
        <v>0.66194352404795898</v>
      </c>
      <c r="F5144">
        <v>0.31726387583530102</v>
      </c>
      <c r="G5144">
        <v>0.20425578950994799</v>
      </c>
      <c r="H5144">
        <v>0.122995106309867</v>
      </c>
      <c r="I5144">
        <v>0.11113429529333201</v>
      </c>
      <c r="J5144">
        <v>0.118315300364927</v>
      </c>
      <c r="K5144">
        <v>0.108681940838776</v>
      </c>
      <c r="L5144">
        <v>1147.60690717435</v>
      </c>
      <c r="M5144">
        <v>22.6710996741541</v>
      </c>
      <c r="N5144">
        <v>51.1834961615127</v>
      </c>
      <c r="O5144">
        <v>50.230906434963501</v>
      </c>
      <c r="P5144">
        <v>-0.100371365197824</v>
      </c>
      <c r="Q5144">
        <v>0.110471957210645</v>
      </c>
      <c r="R5144">
        <v>0.99885806003042299</v>
      </c>
      <c r="S5144" t="s">
        <v>12147</v>
      </c>
      <c r="T5144" t="s">
        <v>14004</v>
      </c>
      <c r="U5144" t="s">
        <v>14004</v>
      </c>
      <c r="V5144" t="s">
        <v>14004</v>
      </c>
      <c r="W5144" t="s">
        <v>19093</v>
      </c>
      <c r="X5144">
        <v>59</v>
      </c>
      <c r="Y5144" t="s">
        <v>25899</v>
      </c>
      <c r="Z5144" t="s">
        <v>32854</v>
      </c>
      <c r="AA5144">
        <v>0.43506268571267143</v>
      </c>
      <c r="AB5144" t="str">
        <f>HYPERLINK("Melting_Curves/meltCurve_Q92878_RAD50.pdf", "Melting_Curves/meltCurve_Q92878_RAD50.pdf")</f>
        <v>Melting_Curves/meltCurve_Q92878_RAD50.pdf</v>
      </c>
    </row>
    <row r="5145" spans="1:28" x14ac:dyDescent="0.25">
      <c r="A5145" t="s">
        <v>5149</v>
      </c>
      <c r="B5145">
        <v>0.99999676499088797</v>
      </c>
      <c r="C5145">
        <v>0.94043979151352797</v>
      </c>
      <c r="D5145">
        <v>0.75168175197805098</v>
      </c>
      <c r="E5145">
        <v>0.372395391887822</v>
      </c>
      <c r="F5145">
        <v>0.246879699069705</v>
      </c>
      <c r="G5145">
        <v>0.162796168565705</v>
      </c>
      <c r="H5145">
        <v>8.1944217617365603E-2</v>
      </c>
      <c r="I5145">
        <v>8.6112660798786794E-2</v>
      </c>
      <c r="J5145">
        <v>8.8394343097990699E-2</v>
      </c>
      <c r="K5145">
        <v>7.2921477822134304E-2</v>
      </c>
      <c r="L5145">
        <v>957.47849003389604</v>
      </c>
      <c r="M5145">
        <v>19.893134955415299</v>
      </c>
      <c r="N5145">
        <v>48.600389649654602</v>
      </c>
      <c r="O5145">
        <v>47.6526449960067</v>
      </c>
      <c r="P5145">
        <v>-9.5248276629051096E-2</v>
      </c>
      <c r="Q5145">
        <v>8.7387401166383494E-2</v>
      </c>
      <c r="R5145">
        <v>0.995453047000466</v>
      </c>
      <c r="S5145" t="s">
        <v>12148</v>
      </c>
      <c r="T5145" t="s">
        <v>14004</v>
      </c>
      <c r="U5145" t="s">
        <v>14004</v>
      </c>
      <c r="V5145" t="s">
        <v>14004</v>
      </c>
      <c r="W5145" t="s">
        <v>19094</v>
      </c>
      <c r="X5145">
        <v>9</v>
      </c>
      <c r="Y5145" t="s">
        <v>25900</v>
      </c>
      <c r="Z5145" t="s">
        <v>32855</v>
      </c>
      <c r="AA5145">
        <v>0.34782182109515258</v>
      </c>
      <c r="AB5145" t="str">
        <f>HYPERLINK("Melting_Curves/meltCurve_Q92882_OSTF1.pdf", "Melting_Curves/meltCurve_Q92882_OSTF1.pdf")</f>
        <v>Melting_Curves/meltCurve_Q92882_OSTF1.pdf</v>
      </c>
    </row>
    <row r="5146" spans="1:28" x14ac:dyDescent="0.25">
      <c r="A5146" t="s">
        <v>5150</v>
      </c>
      <c r="B5146">
        <v>0.99999676499088797</v>
      </c>
      <c r="C5146">
        <v>0.95083474619633701</v>
      </c>
      <c r="D5146">
        <v>0.94205321084030402</v>
      </c>
      <c r="E5146">
        <v>0.65059203633559703</v>
      </c>
      <c r="F5146">
        <v>0.30860328757587102</v>
      </c>
      <c r="G5146">
        <v>0.25257442105118</v>
      </c>
      <c r="H5146">
        <v>0.13831334396054701</v>
      </c>
      <c r="I5146">
        <v>0.16054882886975599</v>
      </c>
      <c r="J5146">
        <v>0.167064732968145</v>
      </c>
      <c r="K5146">
        <v>0.119814769925066</v>
      </c>
      <c r="L5146">
        <v>1218.3404079699601</v>
      </c>
      <c r="M5146">
        <v>24.2027385261405</v>
      </c>
      <c r="N5146">
        <v>51.088522536999001</v>
      </c>
      <c r="O5146">
        <v>49.999067848049997</v>
      </c>
      <c r="P5146">
        <v>-0.10293172060780199</v>
      </c>
      <c r="Q5146">
        <v>0.14944977120726299</v>
      </c>
      <c r="R5146">
        <v>0.99459794750312103</v>
      </c>
      <c r="S5146" t="s">
        <v>12149</v>
      </c>
      <c r="T5146" t="s">
        <v>14004</v>
      </c>
      <c r="U5146" t="s">
        <v>14004</v>
      </c>
      <c r="V5146" t="s">
        <v>14004</v>
      </c>
      <c r="W5146" t="s">
        <v>19095</v>
      </c>
      <c r="X5146">
        <v>10</v>
      </c>
      <c r="Y5146" t="s">
        <v>25901</v>
      </c>
      <c r="Z5146" t="s">
        <v>32856</v>
      </c>
      <c r="AA5146">
        <v>0.45071405332348419</v>
      </c>
      <c r="AB5146" t="str">
        <f>HYPERLINK("Melting_Curves/meltCurve_Q92889_ERCC4.pdf", "Melting_Curves/meltCurve_Q92889_ERCC4.pdf")</f>
        <v>Melting_Curves/meltCurve_Q92889_ERCC4.pdf</v>
      </c>
    </row>
    <row r="5147" spans="1:28" x14ac:dyDescent="0.25">
      <c r="A5147" t="s">
        <v>5151</v>
      </c>
      <c r="B5147">
        <v>0.99999676499088797</v>
      </c>
      <c r="C5147">
        <v>0.93056671058178997</v>
      </c>
      <c r="D5147">
        <v>0.86730678377447701</v>
      </c>
      <c r="E5147">
        <v>0.81499648100571098</v>
      </c>
      <c r="F5147">
        <v>0.64343663503500603</v>
      </c>
      <c r="G5147">
        <v>0.462750689270436</v>
      </c>
      <c r="H5147">
        <v>0.19045513645533299</v>
      </c>
      <c r="I5147">
        <v>9.8041988248258494E-2</v>
      </c>
      <c r="J5147">
        <v>7.4896204949658193E-2</v>
      </c>
      <c r="K5147">
        <v>5.5969081667491698E-2</v>
      </c>
      <c r="L5147">
        <v>738.64349301723496</v>
      </c>
      <c r="M5147">
        <v>13.3762312903807</v>
      </c>
      <c r="N5147">
        <v>55.220596126071101</v>
      </c>
      <c r="O5147">
        <v>54.030200795355</v>
      </c>
      <c r="P5147">
        <v>-6.1902166288259397E-2</v>
      </c>
      <c r="Q5147">
        <v>0</v>
      </c>
      <c r="R5147">
        <v>0.98984061664441403</v>
      </c>
      <c r="S5147" t="s">
        <v>12150</v>
      </c>
      <c r="T5147" t="s">
        <v>14004</v>
      </c>
      <c r="U5147" t="s">
        <v>14004</v>
      </c>
      <c r="V5147" t="s">
        <v>14004</v>
      </c>
      <c r="W5147" t="s">
        <v>19096</v>
      </c>
      <c r="X5147">
        <v>16</v>
      </c>
      <c r="Y5147" t="s">
        <v>21243</v>
      </c>
      <c r="Z5147" t="s">
        <v>32857</v>
      </c>
      <c r="AA5147">
        <v>0.52843606040971014</v>
      </c>
      <c r="AB5147" t="str">
        <f>HYPERLINK("Melting_Curves/meltCurve_Q92890_UFD1L.pdf", "Melting_Curves/meltCurve_Q92890_UFD1L.pdf")</f>
        <v>Melting_Curves/meltCurve_Q92890_UFD1L.pdf</v>
      </c>
    </row>
    <row r="5148" spans="1:28" x14ac:dyDescent="0.25">
      <c r="A5148" t="s">
        <v>5152</v>
      </c>
      <c r="B5148">
        <v>0.99999676499088797</v>
      </c>
      <c r="C5148">
        <v>1.0145099918609799</v>
      </c>
      <c r="D5148">
        <v>1.02734571709605</v>
      </c>
      <c r="E5148">
        <v>1.01858158895649</v>
      </c>
      <c r="F5148">
        <v>0.92723385702320305</v>
      </c>
      <c r="G5148">
        <v>0.812668930368737</v>
      </c>
      <c r="H5148">
        <v>0.48304582186510803</v>
      </c>
      <c r="I5148">
        <v>0.37740639012726601</v>
      </c>
      <c r="J5148">
        <v>0.284039614797513</v>
      </c>
      <c r="K5148">
        <v>0.27417118698597098</v>
      </c>
      <c r="L5148">
        <v>1453.1932426246599</v>
      </c>
      <c r="M5148">
        <v>24.618186046004698</v>
      </c>
      <c r="N5148">
        <v>60.831039195918898</v>
      </c>
      <c r="O5148">
        <v>58.643890645705604</v>
      </c>
      <c r="P5148">
        <v>-7.7783462024292899E-2</v>
      </c>
      <c r="Q5148">
        <v>0.25884712974796098</v>
      </c>
      <c r="R5148">
        <v>0.99623120025251699</v>
      </c>
      <c r="S5148" t="s">
        <v>12151</v>
      </c>
      <c r="T5148" t="s">
        <v>14004</v>
      </c>
      <c r="U5148" t="s">
        <v>14004</v>
      </c>
      <c r="V5148" t="s">
        <v>14004</v>
      </c>
      <c r="W5148" t="s">
        <v>19097</v>
      </c>
      <c r="X5148">
        <v>69</v>
      </c>
      <c r="Y5148" t="s">
        <v>25902</v>
      </c>
      <c r="Z5148" t="s">
        <v>32858</v>
      </c>
      <c r="AA5148">
        <v>0.73513504721034506</v>
      </c>
      <c r="AB5148" t="str">
        <f>HYPERLINK("Melting_Curves/meltCurve_Q92896_GLG1.pdf", "Melting_Curves/meltCurve_Q92896_GLG1.pdf")</f>
        <v>Melting_Curves/meltCurve_Q92896_GLG1.pdf</v>
      </c>
    </row>
    <row r="5149" spans="1:28" x14ac:dyDescent="0.25">
      <c r="A5149" t="s">
        <v>5153</v>
      </c>
      <c r="B5149">
        <v>0.99999676499088797</v>
      </c>
      <c r="C5149">
        <v>1.0018057341653499</v>
      </c>
      <c r="D5149">
        <v>0.98676195778412001</v>
      </c>
      <c r="E5149">
        <v>0.84752508286080097</v>
      </c>
      <c r="F5149">
        <v>0.53927850627266505</v>
      </c>
      <c r="G5149">
        <v>0.33951820442164299</v>
      </c>
      <c r="H5149">
        <v>0.17144839435218001</v>
      </c>
      <c r="I5149">
        <v>0.14992389965640199</v>
      </c>
      <c r="J5149">
        <v>0.120482036852844</v>
      </c>
      <c r="K5149">
        <v>9.0017509779791102E-2</v>
      </c>
      <c r="L5149">
        <v>1045.49410856539</v>
      </c>
      <c r="M5149">
        <v>19.5759328665151</v>
      </c>
      <c r="N5149">
        <v>54.032893332059999</v>
      </c>
      <c r="O5149">
        <v>52.8591506460114</v>
      </c>
      <c r="P5149">
        <v>-8.3197639230243703E-2</v>
      </c>
      <c r="Q5149">
        <v>0.101426885999077</v>
      </c>
      <c r="R5149">
        <v>0.99798139233612404</v>
      </c>
      <c r="S5149" t="s">
        <v>12152</v>
      </c>
      <c r="T5149" t="s">
        <v>14004</v>
      </c>
      <c r="U5149" t="s">
        <v>14004</v>
      </c>
      <c r="V5149" t="s">
        <v>14004</v>
      </c>
      <c r="W5149" t="s">
        <v>19098</v>
      </c>
      <c r="X5149">
        <v>55</v>
      </c>
      <c r="Y5149" t="s">
        <v>25903</v>
      </c>
      <c r="Z5149" t="s">
        <v>32859</v>
      </c>
      <c r="AA5149">
        <v>0.51575757446826842</v>
      </c>
      <c r="AB5149" t="str">
        <f>HYPERLINK("Melting_Curves/meltCurve_Q92900_UPF1.pdf", "Melting_Curves/meltCurve_Q92900_UPF1.pdf")</f>
        <v>Melting_Curves/meltCurve_Q92900_UPF1.pdf</v>
      </c>
    </row>
    <row r="5150" spans="1:28" x14ac:dyDescent="0.25">
      <c r="A5150" t="s">
        <v>5154</v>
      </c>
      <c r="B5150">
        <v>0.99999676499088797</v>
      </c>
      <c r="C5150">
        <v>1.05475328177977</v>
      </c>
      <c r="D5150">
        <v>1.0830035765976</v>
      </c>
      <c r="E5150">
        <v>1.2322480899447501</v>
      </c>
      <c r="F5150">
        <v>0.66969391935334999</v>
      </c>
      <c r="G5150">
        <v>0.317427805747034</v>
      </c>
      <c r="H5150">
        <v>0.141810952641059</v>
      </c>
      <c r="I5150">
        <v>0.116745995561762</v>
      </c>
      <c r="J5150">
        <v>0.13367561844918399</v>
      </c>
      <c r="K5150">
        <v>0.107557558239304</v>
      </c>
      <c r="L5150">
        <v>2119.6457053631598</v>
      </c>
      <c r="M5150">
        <v>39.036291848644602</v>
      </c>
      <c r="N5150">
        <v>54.719477592186301</v>
      </c>
      <c r="O5150">
        <v>54.157447018009002</v>
      </c>
      <c r="P5150">
        <v>-0.15686498437577601</v>
      </c>
      <c r="Q5150">
        <v>0.12948823677167901</v>
      </c>
      <c r="R5150">
        <v>0.95881551238111096</v>
      </c>
      <c r="S5150" t="s">
        <v>12153</v>
      </c>
      <c r="T5150" t="s">
        <v>14004</v>
      </c>
      <c r="U5150" t="s">
        <v>14004</v>
      </c>
      <c r="V5150" t="s">
        <v>14004</v>
      </c>
      <c r="W5150" t="s">
        <v>19099</v>
      </c>
      <c r="X5150">
        <v>11</v>
      </c>
      <c r="Y5150" t="s">
        <v>25904</v>
      </c>
      <c r="Z5150" t="s">
        <v>32860</v>
      </c>
      <c r="AA5150">
        <v>0.54783545875331729</v>
      </c>
      <c r="AB5150" t="str">
        <f>HYPERLINK("Melting_Curves/meltCurve_Q92905_COPS5.pdf", "Melting_Curves/meltCurve_Q92905_COPS5.pdf")</f>
        <v>Melting_Curves/meltCurve_Q92905_COPS5.pdf</v>
      </c>
    </row>
    <row r="5151" spans="1:28" x14ac:dyDescent="0.25">
      <c r="A5151" t="s">
        <v>5155</v>
      </c>
      <c r="B5151">
        <v>0.99999676499088797</v>
      </c>
      <c r="C5151">
        <v>0.91383334138856098</v>
      </c>
      <c r="D5151">
        <v>0.75491270173985303</v>
      </c>
      <c r="E5151">
        <v>0.36500321459275697</v>
      </c>
      <c r="F5151">
        <v>0.173364625389475</v>
      </c>
      <c r="G5151">
        <v>0.12045836135391801</v>
      </c>
      <c r="H5151">
        <v>6.5242135055523703E-2</v>
      </c>
      <c r="I5151">
        <v>7.6098360253690503E-2</v>
      </c>
      <c r="J5151">
        <v>7.9056556939027106E-2</v>
      </c>
      <c r="K5151">
        <v>7.6048182255100405E-2</v>
      </c>
      <c r="L5151">
        <v>1052.92444970523</v>
      </c>
      <c r="M5151">
        <v>21.9515518633178</v>
      </c>
      <c r="N5151">
        <v>48.318461263147398</v>
      </c>
      <c r="O5151">
        <v>47.573090802182101</v>
      </c>
      <c r="P5151">
        <v>-0.106821162382288</v>
      </c>
      <c r="Q5151">
        <v>7.4015642495509404E-2</v>
      </c>
      <c r="R5151">
        <v>0.99876138551077698</v>
      </c>
      <c r="S5151" t="s">
        <v>12154</v>
      </c>
      <c r="T5151" t="s">
        <v>14004</v>
      </c>
      <c r="U5151" t="s">
        <v>14004</v>
      </c>
      <c r="V5151" t="s">
        <v>14004</v>
      </c>
      <c r="W5151" t="s">
        <v>19100</v>
      </c>
      <c r="X5151">
        <v>25</v>
      </c>
      <c r="Y5151" t="s">
        <v>25905</v>
      </c>
      <c r="Z5151" t="s">
        <v>32861</v>
      </c>
      <c r="AA5151">
        <v>0.33069011425907607</v>
      </c>
      <c r="AB5151" t="str">
        <f>HYPERLINK("Melting_Curves/meltCurve_Q92917_GPKOW.pdf", "Melting_Curves/meltCurve_Q92917_GPKOW.pdf")</f>
        <v>Melting_Curves/meltCurve_Q92917_GPKOW.pdf</v>
      </c>
    </row>
    <row r="5152" spans="1:28" x14ac:dyDescent="0.25">
      <c r="A5152" t="s">
        <v>5156</v>
      </c>
      <c r="B5152">
        <v>0.99999676499088797</v>
      </c>
      <c r="C5152">
        <v>1.0081590069524</v>
      </c>
      <c r="D5152">
        <v>0.70937020416492802</v>
      </c>
      <c r="E5152">
        <v>0.28506951722732499</v>
      </c>
      <c r="F5152">
        <v>0.18924472161074801</v>
      </c>
      <c r="G5152">
        <v>0.12104019379111</v>
      </c>
      <c r="H5152">
        <v>6.7019699380081496E-2</v>
      </c>
      <c r="I5152">
        <v>6.4269681651392199E-2</v>
      </c>
      <c r="J5152">
        <v>5.3188068614175098E-2</v>
      </c>
      <c r="K5152">
        <v>4.9201407551825997E-2</v>
      </c>
      <c r="L5152">
        <v>1247.2726619165101</v>
      </c>
      <c r="M5152">
        <v>26.257051948506401</v>
      </c>
      <c r="N5152">
        <v>47.801636523414601</v>
      </c>
      <c r="O5152">
        <v>47.229401372245903</v>
      </c>
      <c r="P5152">
        <v>-0.12845432052335301</v>
      </c>
      <c r="Q5152">
        <v>7.5790227101236604E-2</v>
      </c>
      <c r="R5152">
        <v>0.99242621073210302</v>
      </c>
      <c r="S5152" t="s">
        <v>12155</v>
      </c>
      <c r="T5152" t="s">
        <v>14004</v>
      </c>
      <c r="U5152" t="s">
        <v>14004</v>
      </c>
      <c r="V5152" t="s">
        <v>14004</v>
      </c>
      <c r="W5152" t="s">
        <v>19101</v>
      </c>
      <c r="X5152">
        <v>29</v>
      </c>
      <c r="Y5152" t="s">
        <v>25906</v>
      </c>
      <c r="Z5152" t="s">
        <v>32862</v>
      </c>
      <c r="AA5152">
        <v>0.31428574855104863</v>
      </c>
      <c r="AB5152" t="str">
        <f>HYPERLINK("Melting_Curves/meltCurve_Q92922_SMARCC1.pdf", "Melting_Curves/meltCurve_Q92922_SMARCC1.pdf")</f>
        <v>Melting_Curves/meltCurve_Q92922_SMARCC1.pdf</v>
      </c>
    </row>
    <row r="5153" spans="1:28" x14ac:dyDescent="0.25">
      <c r="A5153" t="s">
        <v>5157</v>
      </c>
      <c r="B5153">
        <v>0.99999676499088797</v>
      </c>
      <c r="C5153">
        <v>0.93535847373135195</v>
      </c>
      <c r="D5153">
        <v>0.91256084785511005</v>
      </c>
      <c r="E5153">
        <v>0.82700544528229003</v>
      </c>
      <c r="F5153">
        <v>0.70015908950087302</v>
      </c>
      <c r="G5153">
        <v>0.69445787241413404</v>
      </c>
      <c r="H5153">
        <v>0.47410313238843699</v>
      </c>
      <c r="I5153">
        <v>0.427758622336251</v>
      </c>
      <c r="J5153">
        <v>0.145573517383252</v>
      </c>
      <c r="K5153">
        <v>6.5157934633255005E-2</v>
      </c>
      <c r="L5153">
        <v>604.36063396567499</v>
      </c>
      <c r="M5153">
        <v>10.187082647905401</v>
      </c>
      <c r="N5153">
        <v>59.3261598335705</v>
      </c>
      <c r="O5153">
        <v>57.176308588910302</v>
      </c>
      <c r="P5153">
        <v>-4.4562592985942298E-2</v>
      </c>
      <c r="Q5153">
        <v>0</v>
      </c>
      <c r="R5153">
        <v>0.94905836647411201</v>
      </c>
      <c r="S5153" t="s">
        <v>12156</v>
      </c>
      <c r="T5153" t="s">
        <v>14004</v>
      </c>
      <c r="U5153" t="s">
        <v>14004</v>
      </c>
      <c r="V5153" t="s">
        <v>14004</v>
      </c>
      <c r="W5153" t="s">
        <v>19102</v>
      </c>
      <c r="X5153">
        <v>14</v>
      </c>
      <c r="Y5153" t="s">
        <v>25907</v>
      </c>
      <c r="Z5153" t="s">
        <v>32863</v>
      </c>
      <c r="AA5153">
        <v>0.6458751864319332</v>
      </c>
      <c r="AB5153" t="str">
        <f>HYPERLINK("Melting_Curves/meltCurve_Q92930_RAB8B.pdf", "Melting_Curves/meltCurve_Q92930_RAB8B.pdf")</f>
        <v>Melting_Curves/meltCurve_Q92930_RAB8B.pdf</v>
      </c>
    </row>
    <row r="5154" spans="1:28" x14ac:dyDescent="0.25">
      <c r="A5154" t="s">
        <v>5158</v>
      </c>
      <c r="B5154">
        <v>0.99999676499088797</v>
      </c>
      <c r="C5154">
        <v>0.85870707823249104</v>
      </c>
      <c r="D5154">
        <v>0.96112075701825095</v>
      </c>
      <c r="E5154">
        <v>0.99298986721550697</v>
      </c>
      <c r="F5154">
        <v>1.18025981053244</v>
      </c>
      <c r="G5154">
        <v>0.86691564522626496</v>
      </c>
      <c r="H5154">
        <v>0.73140568193383604</v>
      </c>
      <c r="I5154">
        <v>0.822856630926597</v>
      </c>
      <c r="J5154">
        <v>0.56345965469033599</v>
      </c>
      <c r="K5154">
        <v>1.0498469870450799</v>
      </c>
      <c r="L5154">
        <v>14167.443279847699</v>
      </c>
      <c r="M5154">
        <v>250</v>
      </c>
      <c r="O5154">
        <v>56.666145074956397</v>
      </c>
      <c r="P5154">
        <v>-0.22953273427170401</v>
      </c>
      <c r="Q5154">
        <v>0.79189223101620299</v>
      </c>
      <c r="R5154">
        <v>0.35209528925968597</v>
      </c>
      <c r="S5154" t="s">
        <v>12157</v>
      </c>
      <c r="T5154" t="s">
        <v>14004</v>
      </c>
      <c r="U5154" t="s">
        <v>14004</v>
      </c>
      <c r="V5154" t="s">
        <v>14004</v>
      </c>
      <c r="W5154" t="s">
        <v>19103</v>
      </c>
      <c r="X5154">
        <v>2</v>
      </c>
      <c r="Y5154" t="s">
        <v>25908</v>
      </c>
      <c r="Z5154" t="s">
        <v>32864</v>
      </c>
      <c r="AA5154">
        <v>0.90754990472959907</v>
      </c>
      <c r="AB5154" t="str">
        <f>HYPERLINK("Melting_Curves/meltCurve_Q92934_BAD.pdf", "Melting_Curves/meltCurve_Q92934_BAD.pdf")</f>
        <v>Melting_Curves/meltCurve_Q92934_BAD.pdf</v>
      </c>
    </row>
    <row r="5155" spans="1:28" x14ac:dyDescent="0.25">
      <c r="A5155" t="s">
        <v>5159</v>
      </c>
      <c r="B5155">
        <v>0.99999676499088797</v>
      </c>
      <c r="C5155">
        <v>0.99699225625969301</v>
      </c>
      <c r="D5155">
        <v>0.97283523970081298</v>
      </c>
      <c r="E5155">
        <v>0.73201974868508202</v>
      </c>
      <c r="F5155">
        <v>0.59843642758146698</v>
      </c>
      <c r="G5155">
        <v>0.44217956023863098</v>
      </c>
      <c r="H5155">
        <v>0.236494443776362</v>
      </c>
      <c r="I5155">
        <v>0.27223480137801997</v>
      </c>
      <c r="J5155">
        <v>0.28080780034019098</v>
      </c>
      <c r="K5155">
        <v>0.27919907576431502</v>
      </c>
      <c r="L5155">
        <v>885.24801857445595</v>
      </c>
      <c r="M5155">
        <v>16.914193555084701</v>
      </c>
      <c r="N5155">
        <v>54.514971169412597</v>
      </c>
      <c r="O5155">
        <v>51.6224265697332</v>
      </c>
      <c r="P5155">
        <v>-6.1801753690723299E-2</v>
      </c>
      <c r="Q5155">
        <v>0.24556725265917201</v>
      </c>
      <c r="R5155">
        <v>0.98562633344945905</v>
      </c>
      <c r="S5155" t="s">
        <v>12158</v>
      </c>
      <c r="T5155" t="s">
        <v>14004</v>
      </c>
      <c r="U5155" t="s">
        <v>14004</v>
      </c>
      <c r="V5155" t="s">
        <v>14004</v>
      </c>
      <c r="W5155" t="s">
        <v>19104</v>
      </c>
      <c r="X5155">
        <v>50</v>
      </c>
      <c r="Y5155" t="s">
        <v>25909</v>
      </c>
      <c r="Z5155" t="s">
        <v>32865</v>
      </c>
      <c r="AA5155">
        <v>0.56966630383981731</v>
      </c>
      <c r="AB5155" t="str">
        <f>HYPERLINK("Melting_Curves/meltCurve_Q92945_KHSRP.pdf", "Melting_Curves/meltCurve_Q92945_KHSRP.pdf")</f>
        <v>Melting_Curves/meltCurve_Q92945_KHSRP.pdf</v>
      </c>
    </row>
    <row r="5156" spans="1:28" x14ac:dyDescent="0.25">
      <c r="A5156" t="s">
        <v>5160</v>
      </c>
      <c r="B5156">
        <v>0.99999676499088797</v>
      </c>
      <c r="C5156">
        <v>1.1245633615545301</v>
      </c>
      <c r="D5156">
        <v>1.0512691534477501</v>
      </c>
      <c r="E5156">
        <v>1.1806339806349899</v>
      </c>
      <c r="F5156">
        <v>0.70164156742155603</v>
      </c>
      <c r="G5156">
        <v>0.39498406792601698</v>
      </c>
      <c r="H5156">
        <v>0.12343360362867301</v>
      </c>
      <c r="I5156">
        <v>9.3539970617216403E-2</v>
      </c>
      <c r="J5156">
        <v>7.9015907061388099E-2</v>
      </c>
      <c r="K5156">
        <v>5.9080746052636003E-2</v>
      </c>
      <c r="L5156">
        <v>1667.18652574613</v>
      </c>
      <c r="M5156">
        <v>30.169287895721101</v>
      </c>
      <c r="N5156">
        <v>55.552624810047803</v>
      </c>
      <c r="O5156">
        <v>55.019979472357797</v>
      </c>
      <c r="P5156">
        <v>-0.127046491917476</v>
      </c>
      <c r="Q5156">
        <v>7.3223323375454702E-2</v>
      </c>
      <c r="R5156">
        <v>0.96614428574046296</v>
      </c>
      <c r="S5156" t="s">
        <v>12159</v>
      </c>
      <c r="T5156" t="s">
        <v>14004</v>
      </c>
      <c r="U5156" t="s">
        <v>14004</v>
      </c>
      <c r="V5156" t="s">
        <v>14004</v>
      </c>
      <c r="W5156" t="s">
        <v>19105</v>
      </c>
      <c r="X5156">
        <v>12</v>
      </c>
      <c r="Y5156" t="s">
        <v>25910</v>
      </c>
      <c r="Z5156" t="s">
        <v>32866</v>
      </c>
      <c r="AA5156">
        <v>0.5507706651494908</v>
      </c>
      <c r="AB5156" t="str">
        <f>HYPERLINK("Melting_Curves/meltCurve_Q92947_GCDH.pdf", "Melting_Curves/meltCurve_Q92947_GCDH.pdf")</f>
        <v>Melting_Curves/meltCurve_Q92947_GCDH.pdf</v>
      </c>
    </row>
    <row r="5157" spans="1:28" x14ac:dyDescent="0.25">
      <c r="A5157" t="s">
        <v>5161</v>
      </c>
      <c r="B5157">
        <v>0.99999676499088797</v>
      </c>
      <c r="C5157">
        <v>0.977475635678967</v>
      </c>
      <c r="D5157">
        <v>1.03665736151204</v>
      </c>
      <c r="E5157">
        <v>0.76376669936434005</v>
      </c>
      <c r="F5157">
        <v>0.61210593876402797</v>
      </c>
      <c r="G5157">
        <v>0.40678036625623498</v>
      </c>
      <c r="H5157">
        <v>0.25454363235696398</v>
      </c>
      <c r="I5157">
        <v>0.246997843491922</v>
      </c>
      <c r="J5157">
        <v>0.27857952355387899</v>
      </c>
      <c r="K5157">
        <v>0.23519083575886601</v>
      </c>
      <c r="L5157">
        <v>999.33758237709299</v>
      </c>
      <c r="M5157">
        <v>18.9360259881121</v>
      </c>
      <c r="N5157">
        <v>54.574242941795198</v>
      </c>
      <c r="O5157">
        <v>52.196409696083599</v>
      </c>
      <c r="P5157">
        <v>-6.9635959216102897E-2</v>
      </c>
      <c r="Q5157">
        <v>0.232235902481254</v>
      </c>
      <c r="R5157">
        <v>0.98667321496347205</v>
      </c>
      <c r="S5157" t="s">
        <v>12160</v>
      </c>
      <c r="T5157" t="s">
        <v>14004</v>
      </c>
      <c r="U5157" t="s">
        <v>14004</v>
      </c>
      <c r="V5157" t="s">
        <v>14004</v>
      </c>
      <c r="W5157" t="s">
        <v>19106</v>
      </c>
      <c r="X5157">
        <v>2</v>
      </c>
      <c r="Y5157" t="s">
        <v>25911</v>
      </c>
      <c r="Z5157" t="s">
        <v>32867</v>
      </c>
      <c r="AA5157">
        <v>0.57077023385798531</v>
      </c>
      <c r="AB5157" t="str">
        <f>HYPERLINK("Melting_Curves/meltCurve_Q92968_PEX13.pdf", "Melting_Curves/meltCurve_Q92968_PEX13.pdf")</f>
        <v>Melting_Curves/meltCurve_Q92968_PEX13.pdf</v>
      </c>
    </row>
    <row r="5158" spans="1:28" x14ac:dyDescent="0.25">
      <c r="A5158" t="s">
        <v>5162</v>
      </c>
      <c r="B5158">
        <v>0.99999676499088797</v>
      </c>
      <c r="C5158">
        <v>0.98544215985679495</v>
      </c>
      <c r="D5158">
        <v>0.94694671311998702</v>
      </c>
      <c r="E5158">
        <v>0.56288037030429505</v>
      </c>
      <c r="F5158">
        <v>0.260175836366348</v>
      </c>
      <c r="G5158">
        <v>0.16692817707930499</v>
      </c>
      <c r="H5158">
        <v>7.4070327693850094E-2</v>
      </c>
      <c r="I5158">
        <v>6.3787793704901702E-2</v>
      </c>
      <c r="J5158">
        <v>5.3586866925222798E-2</v>
      </c>
      <c r="K5158">
        <v>4.8468276852450302E-2</v>
      </c>
      <c r="L5158">
        <v>1186.43518725076</v>
      </c>
      <c r="M5158">
        <v>23.655537726840301</v>
      </c>
      <c r="N5158">
        <v>50.446706829250502</v>
      </c>
      <c r="O5158">
        <v>49.800347736513103</v>
      </c>
      <c r="P5158">
        <v>-0.111154321533942</v>
      </c>
      <c r="Q5158">
        <v>6.39940044301716E-2</v>
      </c>
      <c r="R5158">
        <v>0.99627111550203495</v>
      </c>
      <c r="S5158" t="s">
        <v>12161</v>
      </c>
      <c r="T5158" t="s">
        <v>14004</v>
      </c>
      <c r="U5158" t="s">
        <v>14004</v>
      </c>
      <c r="V5158" t="s">
        <v>14004</v>
      </c>
      <c r="W5158" t="s">
        <v>19107</v>
      </c>
      <c r="X5158">
        <v>25</v>
      </c>
      <c r="Y5158" t="s">
        <v>25912</v>
      </c>
      <c r="Z5158" t="s">
        <v>32868</v>
      </c>
      <c r="AA5158">
        <v>0.39017906125840018</v>
      </c>
      <c r="AB5158" t="str">
        <f>HYPERLINK("Melting_Curves/meltCurve_Q92973_2_TNPO1.pdf", "Melting_Curves/meltCurve_Q92973_2_TNPO1.pdf")</f>
        <v>Melting_Curves/meltCurve_Q92973_2_TNPO1.pdf</v>
      </c>
    </row>
    <row r="5159" spans="1:28" x14ac:dyDescent="0.25">
      <c r="A5159" t="s">
        <v>5163</v>
      </c>
      <c r="B5159">
        <v>0.99999676499088797</v>
      </c>
      <c r="C5159">
        <v>1.07493600380743</v>
      </c>
      <c r="D5159">
        <v>1.0016623164007601</v>
      </c>
      <c r="E5159">
        <v>0.80998973509951</v>
      </c>
      <c r="F5159">
        <v>0.58634614065869695</v>
      </c>
      <c r="G5159">
        <v>0.46415180822355301</v>
      </c>
      <c r="H5159">
        <v>0.214275785529946</v>
      </c>
      <c r="I5159">
        <v>0.10153046529689499</v>
      </c>
      <c r="J5159">
        <v>7.6208108073502603E-2</v>
      </c>
      <c r="K5159">
        <v>6.3075053539436404E-2</v>
      </c>
      <c r="L5159">
        <v>798.487290457987</v>
      </c>
      <c r="M5159">
        <v>14.4619427009488</v>
      </c>
      <c r="N5159">
        <v>55.274216943789298</v>
      </c>
      <c r="O5159">
        <v>54.189513048889999</v>
      </c>
      <c r="P5159">
        <v>-6.6196905891080599E-2</v>
      </c>
      <c r="Q5159">
        <v>7.9451975098418105E-3</v>
      </c>
      <c r="R5159">
        <v>0.98783295791658998</v>
      </c>
      <c r="S5159" t="s">
        <v>12162</v>
      </c>
      <c r="T5159" t="s">
        <v>14004</v>
      </c>
      <c r="U5159" t="s">
        <v>14004</v>
      </c>
      <c r="V5159" t="s">
        <v>14004</v>
      </c>
      <c r="W5159" t="s">
        <v>19108</v>
      </c>
      <c r="X5159">
        <v>15</v>
      </c>
      <c r="Y5159" t="s">
        <v>25913</v>
      </c>
      <c r="Z5159" t="s">
        <v>32869</v>
      </c>
      <c r="AA5159">
        <v>0.53054145776656925</v>
      </c>
      <c r="AB5159" t="str">
        <f>HYPERLINK("Melting_Curves/meltCurve_Q92979_EMG1.pdf", "Melting_Curves/meltCurve_Q92979_EMG1.pdf")</f>
        <v>Melting_Curves/meltCurve_Q92979_EMG1.pdf</v>
      </c>
    </row>
    <row r="5160" spans="1:28" x14ac:dyDescent="0.25">
      <c r="A5160" t="s">
        <v>5164</v>
      </c>
      <c r="B5160">
        <v>0.99999676499088797</v>
      </c>
      <c r="C5160">
        <v>0.96385777983128496</v>
      </c>
      <c r="D5160">
        <v>0.99335712898884498</v>
      </c>
      <c r="E5160">
        <v>0.99931984586852196</v>
      </c>
      <c r="F5160">
        <v>0.414189512136801</v>
      </c>
      <c r="G5160">
        <v>0.19682996434014899</v>
      </c>
      <c r="H5160">
        <v>7.5620978247797496E-2</v>
      </c>
      <c r="I5160">
        <v>6.1163833217401202E-2</v>
      </c>
      <c r="J5160">
        <v>5.0820960826125298E-2</v>
      </c>
      <c r="K5160">
        <v>4.4785536080040197E-2</v>
      </c>
      <c r="L5160">
        <v>2404.7927196187702</v>
      </c>
      <c r="M5160">
        <v>45.643487178845902</v>
      </c>
      <c r="N5160">
        <v>52.877114665412797</v>
      </c>
      <c r="O5160">
        <v>52.585595556724002</v>
      </c>
      <c r="P5160">
        <v>-0.20053049835300599</v>
      </c>
      <c r="Q5160">
        <v>7.5880952798932894E-2</v>
      </c>
      <c r="R5160">
        <v>0.99234849279381898</v>
      </c>
      <c r="S5160" t="s">
        <v>12163</v>
      </c>
      <c r="T5160" t="s">
        <v>14004</v>
      </c>
      <c r="U5160" t="s">
        <v>14004</v>
      </c>
      <c r="V5160" t="s">
        <v>14004</v>
      </c>
      <c r="W5160" t="s">
        <v>19109</v>
      </c>
      <c r="X5160">
        <v>18</v>
      </c>
      <c r="Y5160" t="s">
        <v>25914</v>
      </c>
      <c r="Z5160" t="s">
        <v>32870</v>
      </c>
      <c r="AA5160">
        <v>0.46925286423264112</v>
      </c>
      <c r="AB5160" t="str">
        <f>HYPERLINK("Melting_Curves/meltCurve_Q92990_GLMN.pdf", "Melting_Curves/meltCurve_Q92990_GLMN.pdf")</f>
        <v>Melting_Curves/meltCurve_Q92990_GLMN.pdf</v>
      </c>
    </row>
    <row r="5161" spans="1:28" x14ac:dyDescent="0.25">
      <c r="A5161" t="s">
        <v>5165</v>
      </c>
      <c r="B5161">
        <v>0.99999676499088797</v>
      </c>
      <c r="C5161">
        <v>0.63405086617307005</v>
      </c>
      <c r="D5161">
        <v>0.53485276155011696</v>
      </c>
      <c r="E5161">
        <v>0.31021457520971701</v>
      </c>
      <c r="F5161">
        <v>0.257212962452254</v>
      </c>
      <c r="G5161">
        <v>0.159581262636771</v>
      </c>
      <c r="H5161">
        <v>6.8710925140270093E-2</v>
      </c>
      <c r="I5161">
        <v>5.5747431444906202E-2</v>
      </c>
      <c r="J5161">
        <v>7.2162437171720301E-2</v>
      </c>
      <c r="K5161">
        <v>4.9092612579303398E-2</v>
      </c>
      <c r="L5161">
        <v>572.35543688516498</v>
      </c>
      <c r="M5161">
        <v>12.414588142025201</v>
      </c>
      <c r="N5161">
        <v>46.481945782572403</v>
      </c>
      <c r="O5161">
        <v>44.9562392273453</v>
      </c>
      <c r="P5161">
        <v>-6.5732140487218899E-2</v>
      </c>
      <c r="Q5161">
        <v>4.8073343674794398E-2</v>
      </c>
      <c r="R5161">
        <v>0.96656097416278397</v>
      </c>
      <c r="S5161" t="s">
        <v>12164</v>
      </c>
      <c r="T5161" t="s">
        <v>14004</v>
      </c>
      <c r="U5161" t="s">
        <v>14004</v>
      </c>
      <c r="V5161" t="s">
        <v>14004</v>
      </c>
      <c r="W5161" t="s">
        <v>19110</v>
      </c>
      <c r="X5161">
        <v>1</v>
      </c>
      <c r="Y5161" t="s">
        <v>25915</v>
      </c>
      <c r="Z5161" t="s">
        <v>32871</v>
      </c>
      <c r="AA5161">
        <v>0.28201836547150139</v>
      </c>
      <c r="AB5161" t="str">
        <f>HYPERLINK("Melting_Curves/meltCurve_Q92994_5_BRF1.pdf", "Melting_Curves/meltCurve_Q92994_5_BRF1.pdf")</f>
        <v>Melting_Curves/meltCurve_Q92994_5_BRF1.pdf</v>
      </c>
    </row>
    <row r="5162" spans="1:28" x14ac:dyDescent="0.25">
      <c r="A5162" t="s">
        <v>5166</v>
      </c>
      <c r="B5162">
        <v>0.99999676499088797</v>
      </c>
      <c r="C5162">
        <v>0.94312652947371101</v>
      </c>
      <c r="D5162">
        <v>0.78457930880566495</v>
      </c>
      <c r="E5162">
        <v>0.48246169924294302</v>
      </c>
      <c r="F5162">
        <v>0.28322905023447698</v>
      </c>
      <c r="G5162">
        <v>0.20273734047488801</v>
      </c>
      <c r="H5162">
        <v>9.8343115999970601E-2</v>
      </c>
      <c r="I5162">
        <v>6.9213798761451104E-2</v>
      </c>
      <c r="J5162">
        <v>9.8183954873200502E-2</v>
      </c>
      <c r="K5162">
        <v>5.6073395430901597E-2</v>
      </c>
      <c r="L5162">
        <v>815.49822770182004</v>
      </c>
      <c r="M5162">
        <v>16.558131123413101</v>
      </c>
      <c r="N5162">
        <v>49.695516637481298</v>
      </c>
      <c r="O5162">
        <v>48.549084711221397</v>
      </c>
      <c r="P5162">
        <v>-7.9396785020318703E-2</v>
      </c>
      <c r="Q5162">
        <v>6.8886064829212806E-2</v>
      </c>
      <c r="R5162">
        <v>0.996694853928491</v>
      </c>
      <c r="S5162" t="s">
        <v>12165</v>
      </c>
      <c r="T5162" t="s">
        <v>14004</v>
      </c>
      <c r="U5162" t="s">
        <v>14004</v>
      </c>
      <c r="V5162" t="s">
        <v>14004</v>
      </c>
      <c r="W5162" t="s">
        <v>19111</v>
      </c>
      <c r="X5162">
        <v>7</v>
      </c>
      <c r="Y5162" t="s">
        <v>25916</v>
      </c>
      <c r="Z5162" t="s">
        <v>32872</v>
      </c>
      <c r="AA5162">
        <v>0.37489001833755958</v>
      </c>
      <c r="AB5162" t="str">
        <f>HYPERLINK("Melting_Curves/meltCurve_Q92995_USP13.pdf", "Melting_Curves/meltCurve_Q92995_USP13.pdf")</f>
        <v>Melting_Curves/meltCurve_Q92995_USP13.pdf</v>
      </c>
    </row>
    <row r="5163" spans="1:28" x14ac:dyDescent="0.25">
      <c r="A5163" t="s">
        <v>5167</v>
      </c>
      <c r="B5163">
        <v>0.99999676499088797</v>
      </c>
      <c r="C5163">
        <v>1.0007623592859201</v>
      </c>
      <c r="D5163">
        <v>0.96439957843439095</v>
      </c>
      <c r="E5163">
        <v>0.56331825137033598</v>
      </c>
      <c r="F5163">
        <v>0.29999031972065199</v>
      </c>
      <c r="G5163">
        <v>0.194113616434957</v>
      </c>
      <c r="H5163">
        <v>9.1761653294897896E-2</v>
      </c>
      <c r="I5163">
        <v>9.6677331639836106E-2</v>
      </c>
      <c r="J5163">
        <v>9.3164053688653506E-2</v>
      </c>
      <c r="K5163">
        <v>8.4021697471779094E-2</v>
      </c>
      <c r="L5163">
        <v>1201.78000123727</v>
      </c>
      <c r="M5163">
        <v>23.9652086177523</v>
      </c>
      <c r="N5163">
        <v>50.6051428577669</v>
      </c>
      <c r="O5163">
        <v>49.801607235896803</v>
      </c>
      <c r="P5163">
        <v>-0.108570045604808</v>
      </c>
      <c r="Q5163">
        <v>9.7545614953415405E-2</v>
      </c>
      <c r="R5163">
        <v>0.99413597800260201</v>
      </c>
      <c r="S5163" t="s">
        <v>12166</v>
      </c>
      <c r="T5163" t="s">
        <v>14004</v>
      </c>
      <c r="U5163" t="s">
        <v>14004</v>
      </c>
      <c r="V5163" t="s">
        <v>14004</v>
      </c>
      <c r="W5163" t="s">
        <v>19112</v>
      </c>
      <c r="X5163">
        <v>25</v>
      </c>
      <c r="Y5163" t="s">
        <v>25917</v>
      </c>
      <c r="Z5163" t="s">
        <v>32873</v>
      </c>
      <c r="AA5163">
        <v>0.41157252375152298</v>
      </c>
      <c r="AB5163" t="str">
        <f>HYPERLINK("Melting_Curves/meltCurve_Q93008_1_USP9X.pdf", "Melting_Curves/meltCurve_Q93008_1_USP9X.pdf")</f>
        <v>Melting_Curves/meltCurve_Q93008_1_USP9X.pdf</v>
      </c>
    </row>
    <row r="5164" spans="1:28" x14ac:dyDescent="0.25">
      <c r="A5164" t="s">
        <v>5168</v>
      </c>
      <c r="B5164">
        <v>0.99999676499088797</v>
      </c>
      <c r="C5164">
        <v>0.99646931675889505</v>
      </c>
      <c r="D5164">
        <v>0.71826319718743803</v>
      </c>
      <c r="E5164">
        <v>0.38078169992538902</v>
      </c>
      <c r="F5164">
        <v>0.25019311966976598</v>
      </c>
      <c r="G5164">
        <v>0.13569392012811199</v>
      </c>
      <c r="H5164">
        <v>5.6167083087203903E-2</v>
      </c>
      <c r="I5164">
        <v>8.6337310688164401E-2</v>
      </c>
      <c r="J5164">
        <v>8.9762624701417396E-2</v>
      </c>
      <c r="K5164">
        <v>0.104729683551769</v>
      </c>
      <c r="L5164">
        <v>1008.0936050787</v>
      </c>
      <c r="M5164">
        <v>20.975964712317101</v>
      </c>
      <c r="N5164">
        <v>48.518786014327603</v>
      </c>
      <c r="O5164">
        <v>47.6290693673268</v>
      </c>
      <c r="P5164">
        <v>-0.10018837778744701</v>
      </c>
      <c r="Q5164">
        <v>9.0053906558785105E-2</v>
      </c>
      <c r="R5164">
        <v>0.99178325608162099</v>
      </c>
      <c r="S5164" t="s">
        <v>12167</v>
      </c>
      <c r="T5164" t="s">
        <v>14004</v>
      </c>
      <c r="U5164" t="s">
        <v>14004</v>
      </c>
      <c r="V5164" t="s">
        <v>14004</v>
      </c>
      <c r="W5164" t="s">
        <v>19113</v>
      </c>
      <c r="X5164">
        <v>2</v>
      </c>
      <c r="Y5164" t="s">
        <v>25918</v>
      </c>
      <c r="Z5164" t="s">
        <v>32874</v>
      </c>
      <c r="AA5164">
        <v>0.34618536863797789</v>
      </c>
      <c r="AB5164" t="str">
        <f>HYPERLINK("Melting_Curves/meltCurve_Q93015_NAT6.pdf", "Melting_Curves/meltCurve_Q93015_NAT6.pdf")</f>
        <v>Melting_Curves/meltCurve_Q93015_NAT6.pdf</v>
      </c>
    </row>
    <row r="5165" spans="1:28" x14ac:dyDescent="0.25">
      <c r="A5165" t="s">
        <v>5169</v>
      </c>
      <c r="B5165">
        <v>0.99999676499088797</v>
      </c>
      <c r="C5165">
        <v>1.0424174727412201</v>
      </c>
      <c r="D5165">
        <v>1.0851517931758099</v>
      </c>
      <c r="E5165">
        <v>1.1814965100357</v>
      </c>
      <c r="F5165">
        <v>1.12639579439082</v>
      </c>
      <c r="G5165">
        <v>0.48757891996807001</v>
      </c>
      <c r="H5165">
        <v>0.13177166989561001</v>
      </c>
      <c r="I5165">
        <v>0.110289449219863</v>
      </c>
      <c r="J5165">
        <v>9.8885552351627007E-2</v>
      </c>
      <c r="K5165">
        <v>8.7031985243646096E-2</v>
      </c>
      <c r="L5165">
        <v>14183.1054704793</v>
      </c>
      <c r="M5165">
        <v>250</v>
      </c>
      <c r="N5165">
        <v>56.787117749893703</v>
      </c>
      <c r="O5165">
        <v>56.728791413695497</v>
      </c>
      <c r="P5165">
        <v>-0.983853757357809</v>
      </c>
      <c r="Q5165">
        <v>0.10699464820283699</v>
      </c>
      <c r="R5165">
        <v>0.97290956464745704</v>
      </c>
      <c r="S5165" t="s">
        <v>12168</v>
      </c>
      <c r="T5165" t="s">
        <v>14004</v>
      </c>
      <c r="U5165" t="s">
        <v>14004</v>
      </c>
      <c r="V5165" t="s">
        <v>14004</v>
      </c>
      <c r="W5165" t="s">
        <v>19114</v>
      </c>
      <c r="X5165">
        <v>26</v>
      </c>
      <c r="Y5165" t="s">
        <v>25919</v>
      </c>
      <c r="Z5165" t="s">
        <v>32875</v>
      </c>
      <c r="AA5165">
        <v>0.60515496948577097</v>
      </c>
      <c r="AB5165" t="str">
        <f>HYPERLINK("Melting_Curves/meltCurve_Q93034_CUL5.pdf", "Melting_Curves/meltCurve_Q93034_CUL5.pdf")</f>
        <v>Melting_Curves/meltCurve_Q93034_CUL5.pdf</v>
      </c>
    </row>
    <row r="5166" spans="1:28" x14ac:dyDescent="0.25">
      <c r="A5166" t="s">
        <v>5170</v>
      </c>
      <c r="B5166">
        <v>0.99999676499088797</v>
      </c>
      <c r="C5166">
        <v>0.96635410947360001</v>
      </c>
      <c r="D5166">
        <v>0.91432789370212197</v>
      </c>
      <c r="E5166">
        <v>0.793199909716792</v>
      </c>
      <c r="F5166">
        <v>0.49467259479360498</v>
      </c>
      <c r="G5166">
        <v>0.25313526034466</v>
      </c>
      <c r="H5166">
        <v>0.116649595877712</v>
      </c>
      <c r="I5166">
        <v>0.13818488818845601</v>
      </c>
      <c r="J5166">
        <v>0.13957188603954601</v>
      </c>
      <c r="K5166">
        <v>0.13893519562116299</v>
      </c>
      <c r="L5166">
        <v>1086.2340965404601</v>
      </c>
      <c r="M5166">
        <v>20.7641995262385</v>
      </c>
      <c r="N5166">
        <v>52.9778289663465</v>
      </c>
      <c r="O5166">
        <v>51.8348751374578</v>
      </c>
      <c r="P5166">
        <v>-8.8659832678473105E-2</v>
      </c>
      <c r="Q5166">
        <v>0.114718122340809</v>
      </c>
      <c r="R5166">
        <v>0.99631953736746404</v>
      </c>
      <c r="S5166" t="s">
        <v>12169</v>
      </c>
      <c r="T5166" t="s">
        <v>14004</v>
      </c>
      <c r="U5166" t="s">
        <v>14004</v>
      </c>
      <c r="V5166" t="s">
        <v>14004</v>
      </c>
      <c r="W5166" t="s">
        <v>19115</v>
      </c>
      <c r="X5166">
        <v>20</v>
      </c>
      <c r="Y5166" t="s">
        <v>25920</v>
      </c>
      <c r="Z5166" t="s">
        <v>32876</v>
      </c>
      <c r="AA5166">
        <v>0.48950523667487728</v>
      </c>
      <c r="AB5166" t="str">
        <f>HYPERLINK("Melting_Curves/meltCurve_Q93052_LPP.pdf", "Melting_Curves/meltCurve_Q93052_LPP.pdf")</f>
        <v>Melting_Curves/meltCurve_Q93052_LPP.pdf</v>
      </c>
    </row>
    <row r="5167" spans="1:28" x14ac:dyDescent="0.25">
      <c r="A5167" t="s">
        <v>5171</v>
      </c>
      <c r="B5167">
        <v>0.99999676499088797</v>
      </c>
      <c r="C5167">
        <v>0.79975928194005297</v>
      </c>
      <c r="D5167">
        <v>0.74806698052543896</v>
      </c>
      <c r="E5167">
        <v>0.49795018813424502</v>
      </c>
      <c r="F5167">
        <v>0.394683572252918</v>
      </c>
      <c r="G5167">
        <v>0.19768792992886799</v>
      </c>
      <c r="H5167">
        <v>5.4109278242145099E-2</v>
      </c>
      <c r="I5167">
        <v>0</v>
      </c>
      <c r="J5167">
        <v>0</v>
      </c>
      <c r="K5167">
        <v>0</v>
      </c>
      <c r="L5167">
        <v>614.97089696204705</v>
      </c>
      <c r="M5167">
        <v>12.330534080951701</v>
      </c>
      <c r="N5167">
        <v>49.873824777009702</v>
      </c>
      <c r="O5167">
        <v>48.616509945800303</v>
      </c>
      <c r="P5167">
        <v>-6.3420910988501694E-2</v>
      </c>
      <c r="Q5167">
        <v>0</v>
      </c>
      <c r="R5167">
        <v>0.98146751203993798</v>
      </c>
      <c r="S5167" t="s">
        <v>12170</v>
      </c>
      <c r="T5167" t="s">
        <v>14004</v>
      </c>
      <c r="U5167" t="s">
        <v>14004</v>
      </c>
      <c r="V5167" t="s">
        <v>14004</v>
      </c>
      <c r="W5167" t="s">
        <v>19116</v>
      </c>
      <c r="X5167">
        <v>2</v>
      </c>
      <c r="Y5167" t="s">
        <v>25921</v>
      </c>
      <c r="Z5167" t="s">
        <v>32877</v>
      </c>
      <c r="AA5167">
        <v>0.36252694825022308</v>
      </c>
      <c r="AB5167" t="str">
        <f>HYPERLINK("Melting_Curves/meltCurve_Q93063_EXT2.pdf", "Melting_Curves/meltCurve_Q93063_EXT2.pdf")</f>
        <v>Melting_Curves/meltCurve_Q93063_EXT2.pdf</v>
      </c>
    </row>
    <row r="5168" spans="1:28" x14ac:dyDescent="0.25">
      <c r="A5168" t="s">
        <v>5172</v>
      </c>
      <c r="B5168">
        <v>0.99999676499088797</v>
      </c>
      <c r="C5168">
        <v>0.99187927673772802</v>
      </c>
      <c r="D5168">
        <v>0.96229947193403698</v>
      </c>
      <c r="E5168">
        <v>0.826627246296323</v>
      </c>
      <c r="F5168">
        <v>0.61346115501968101</v>
      </c>
      <c r="G5168">
        <v>0.60566200444578899</v>
      </c>
      <c r="H5168">
        <v>0.33770032620250501</v>
      </c>
      <c r="I5168">
        <v>0.36249855095486699</v>
      </c>
      <c r="J5168">
        <v>0.25278469278896898</v>
      </c>
      <c r="K5168">
        <v>0.30343026235957299</v>
      </c>
      <c r="L5168">
        <v>702.83755006511797</v>
      </c>
      <c r="M5168">
        <v>12.909339094913101</v>
      </c>
      <c r="N5168">
        <v>57.259849434791299</v>
      </c>
      <c r="O5168">
        <v>53.187314282603801</v>
      </c>
      <c r="P5168">
        <v>-4.6428715606617599E-2</v>
      </c>
      <c r="Q5168">
        <v>0.23498160738099899</v>
      </c>
      <c r="R5168">
        <v>0.97668970924398102</v>
      </c>
      <c r="S5168" t="s">
        <v>12171</v>
      </c>
      <c r="T5168" t="s">
        <v>14004</v>
      </c>
      <c r="U5168" t="s">
        <v>14004</v>
      </c>
      <c r="V5168" t="s">
        <v>14004</v>
      </c>
      <c r="W5168" t="s">
        <v>19117</v>
      </c>
      <c r="X5168">
        <v>7</v>
      </c>
      <c r="Y5168" t="s">
        <v>25922</v>
      </c>
      <c r="Z5168" t="s">
        <v>32878</v>
      </c>
      <c r="AA5168">
        <v>0.62123238404567571</v>
      </c>
      <c r="AB5168" t="str">
        <f>HYPERLINK("Melting_Curves/meltCurve_Q93075_TATDN2.pdf", "Melting_Curves/meltCurve_Q93075_TATDN2.pdf")</f>
        <v>Melting_Curves/meltCurve_Q93075_TATDN2.pdf</v>
      </c>
    </row>
    <row r="5169" spans="1:28" x14ac:dyDescent="0.25">
      <c r="A5169" t="s">
        <v>5173</v>
      </c>
      <c r="B5169">
        <v>0.99999676499088797</v>
      </c>
      <c r="C5169">
        <v>0.98664035559559005</v>
      </c>
      <c r="D5169">
        <v>0.97777636935569201</v>
      </c>
      <c r="E5169">
        <v>0.95652927885170302</v>
      </c>
      <c r="F5169">
        <v>0.36494887177455898</v>
      </c>
      <c r="G5169">
        <v>0.182504926053497</v>
      </c>
      <c r="H5169">
        <v>8.6654332879987903E-2</v>
      </c>
      <c r="I5169">
        <v>7.9228291513806698E-2</v>
      </c>
      <c r="J5169">
        <v>7.0930996673032501E-2</v>
      </c>
      <c r="K5169">
        <v>6.4719922646133396E-2</v>
      </c>
      <c r="L5169">
        <v>2417.0915310078299</v>
      </c>
      <c r="M5169">
        <v>46.193244627217503</v>
      </c>
      <c r="N5169">
        <v>52.550693599472197</v>
      </c>
      <c r="O5169">
        <v>52.227866545056102</v>
      </c>
      <c r="P5169">
        <v>-0.201271279361593</v>
      </c>
      <c r="Q5169">
        <v>8.9740732398661899E-2</v>
      </c>
      <c r="R5169">
        <v>0.99584597394976704</v>
      </c>
      <c r="S5169" t="s">
        <v>12172</v>
      </c>
      <c r="T5169" t="s">
        <v>14004</v>
      </c>
      <c r="U5169" t="s">
        <v>14004</v>
      </c>
      <c r="V5169" t="s">
        <v>14004</v>
      </c>
      <c r="W5169" t="s">
        <v>19118</v>
      </c>
      <c r="X5169">
        <v>35</v>
      </c>
      <c r="Y5169" t="s">
        <v>25923</v>
      </c>
      <c r="Z5169" t="s">
        <v>32879</v>
      </c>
      <c r="AA5169">
        <v>0.46618865305065338</v>
      </c>
      <c r="AB5169" t="str">
        <f>HYPERLINK("Melting_Curves/meltCurve_Q93084_2_ATP2A3.pdf", "Melting_Curves/meltCurve_Q93084_2_ATP2A3.pdf")</f>
        <v>Melting_Curves/meltCurve_Q93084_2_ATP2A3.pdf</v>
      </c>
    </row>
    <row r="5170" spans="1:28" x14ac:dyDescent="0.25">
      <c r="A5170" t="s">
        <v>5174</v>
      </c>
      <c r="B5170">
        <v>0.99999676499088797</v>
      </c>
      <c r="C5170">
        <v>0.96906585478357199</v>
      </c>
      <c r="D5170">
        <v>0.99715125220539702</v>
      </c>
      <c r="E5170">
        <v>1.20081971923146</v>
      </c>
      <c r="F5170">
        <v>0.89142191340229004</v>
      </c>
      <c r="G5170">
        <v>0.46498106796010702</v>
      </c>
      <c r="H5170">
        <v>0.17925575237058999</v>
      </c>
      <c r="I5170">
        <v>0.119258256810562</v>
      </c>
      <c r="J5170">
        <v>6.1224144701882102E-2</v>
      </c>
      <c r="K5170">
        <v>5.5257700458766497E-2</v>
      </c>
      <c r="L5170">
        <v>2007.5015397843599</v>
      </c>
      <c r="M5170">
        <v>35.619346755019201</v>
      </c>
      <c r="N5170">
        <v>56.642262043054799</v>
      </c>
      <c r="O5170">
        <v>56.183105325768402</v>
      </c>
      <c r="P5170">
        <v>-0.145602646137172</v>
      </c>
      <c r="Q5170">
        <v>8.1355221567986094E-2</v>
      </c>
      <c r="R5170">
        <v>0.97515220532723701</v>
      </c>
      <c r="S5170" t="s">
        <v>12173</v>
      </c>
      <c r="T5170" t="s">
        <v>14004</v>
      </c>
      <c r="U5170" t="s">
        <v>14004</v>
      </c>
      <c r="V5170" t="s">
        <v>14004</v>
      </c>
      <c r="W5170" t="s">
        <v>19119</v>
      </c>
      <c r="X5170">
        <v>3</v>
      </c>
      <c r="Y5170" t="s">
        <v>25924</v>
      </c>
      <c r="Z5170" t="s">
        <v>32880</v>
      </c>
      <c r="AA5170">
        <v>0.5867658427788176</v>
      </c>
      <c r="AB5170" t="str">
        <f>HYPERLINK("Melting_Curves/meltCurve_Q93096_PTP4A1.pdf", "Melting_Curves/meltCurve_Q93096_PTP4A1.pdf")</f>
        <v>Melting_Curves/meltCurve_Q93096_PTP4A1.pdf</v>
      </c>
    </row>
    <row r="5171" spans="1:28" x14ac:dyDescent="0.25">
      <c r="A5171" t="s">
        <v>5175</v>
      </c>
      <c r="B5171">
        <v>0.99999676499088797</v>
      </c>
      <c r="C5171">
        <v>1.0560805091382801</v>
      </c>
      <c r="D5171">
        <v>0.968935130776717</v>
      </c>
      <c r="E5171">
        <v>0.99033501962632298</v>
      </c>
      <c r="F5171">
        <v>0.63875610709231401</v>
      </c>
      <c r="G5171">
        <v>0.40174371018785299</v>
      </c>
      <c r="H5171">
        <v>0.130749808560265</v>
      </c>
      <c r="I5171">
        <v>0.11066335343424601</v>
      </c>
      <c r="J5171">
        <v>7.9675169517000405E-2</v>
      </c>
      <c r="K5171">
        <v>7.2395161766935306E-2</v>
      </c>
      <c r="L5171">
        <v>1255.4589954610401</v>
      </c>
      <c r="M5171">
        <v>22.886602497816799</v>
      </c>
      <c r="N5171">
        <v>55.201681529663801</v>
      </c>
      <c r="O5171">
        <v>54.441977379830298</v>
      </c>
      <c r="P5171">
        <v>-9.8074835266330998E-2</v>
      </c>
      <c r="Q5171">
        <v>6.6827682178660697E-2</v>
      </c>
      <c r="R5171">
        <v>0.991888539805998</v>
      </c>
      <c r="S5171" t="s">
        <v>12174</v>
      </c>
      <c r="T5171" t="s">
        <v>14004</v>
      </c>
      <c r="U5171" t="s">
        <v>14004</v>
      </c>
      <c r="V5171" t="s">
        <v>14004</v>
      </c>
      <c r="W5171" t="s">
        <v>19120</v>
      </c>
      <c r="X5171">
        <v>8</v>
      </c>
      <c r="Y5171" t="s">
        <v>25925</v>
      </c>
      <c r="Z5171" t="s">
        <v>32881</v>
      </c>
      <c r="AA5171">
        <v>0.53897721418551248</v>
      </c>
      <c r="AB5171" t="str">
        <f>HYPERLINK("Melting_Curves/meltCurve_Q93100_4_PHKB.pdf", "Melting_Curves/meltCurve_Q93100_4_PHKB.pdf")</f>
        <v>Melting_Curves/meltCurve_Q93100_4_PHKB.pdf</v>
      </c>
    </row>
    <row r="5172" spans="1:28" x14ac:dyDescent="0.25">
      <c r="A5172" t="s">
        <v>5176</v>
      </c>
      <c r="B5172">
        <v>0.99999676499088797</v>
      </c>
      <c r="C5172">
        <v>1.0431748888201899</v>
      </c>
      <c r="D5172">
        <v>1.04987206617257</v>
      </c>
      <c r="E5172">
        <v>1.0486561779735499</v>
      </c>
      <c r="F5172">
        <v>1.0879034844048401</v>
      </c>
      <c r="G5172">
        <v>0.96773040866684101</v>
      </c>
      <c r="H5172">
        <v>0.69009710619379605</v>
      </c>
      <c r="I5172">
        <v>0.73397481737377501</v>
      </c>
      <c r="J5172">
        <v>0.65461622316738599</v>
      </c>
      <c r="K5172">
        <v>0.59213848867796803</v>
      </c>
      <c r="L5172">
        <v>3702.9055025121002</v>
      </c>
      <c r="M5172">
        <v>62.9587160690538</v>
      </c>
      <c r="O5172">
        <v>58.75558595359</v>
      </c>
      <c r="P5172">
        <v>-9.1736654839875198E-2</v>
      </c>
      <c r="Q5172">
        <v>0.65755100040315495</v>
      </c>
      <c r="R5172">
        <v>0.92824892414014404</v>
      </c>
      <c r="S5172" t="s">
        <v>12175</v>
      </c>
      <c r="T5172" t="s">
        <v>14004</v>
      </c>
      <c r="U5172" t="s">
        <v>14004</v>
      </c>
      <c r="V5172" t="s">
        <v>14004</v>
      </c>
      <c r="W5172" t="s">
        <v>19121</v>
      </c>
      <c r="X5172">
        <v>1</v>
      </c>
      <c r="Y5172" t="s">
        <v>25926</v>
      </c>
      <c r="Z5172" t="s">
        <v>32882</v>
      </c>
      <c r="AA5172">
        <v>0.87288004227845206</v>
      </c>
      <c r="AB5172" t="str">
        <f>HYPERLINK("Melting_Curves/meltCurve_Q969E2_2_SCAMP4.pdf", "Melting_Curves/meltCurve_Q969E2_2_SCAMP4.pdf")</f>
        <v>Melting_Curves/meltCurve_Q969E2_2_SCAMP4.pdf</v>
      </c>
    </row>
    <row r="5173" spans="1:28" x14ac:dyDescent="0.25">
      <c r="A5173" t="s">
        <v>5177</v>
      </c>
      <c r="B5173">
        <v>0.99999676499088797</v>
      </c>
      <c r="C5173">
        <v>1.3197704253904901</v>
      </c>
      <c r="D5173">
        <v>1.32517771633614</v>
      </c>
      <c r="E5173">
        <v>1.13397992339791</v>
      </c>
      <c r="F5173">
        <v>1.1214815059433301</v>
      </c>
      <c r="G5173">
        <v>1.0844485102655701</v>
      </c>
      <c r="H5173">
        <v>0.558413890171086</v>
      </c>
      <c r="I5173">
        <v>0.81318438408530802</v>
      </c>
      <c r="J5173">
        <v>0.75816267063523901</v>
      </c>
      <c r="K5173">
        <v>0.78365813172783905</v>
      </c>
      <c r="L5173">
        <v>3342.8550108054801</v>
      </c>
      <c r="M5173">
        <v>57.182336618492897</v>
      </c>
      <c r="O5173">
        <v>58.3882048651191</v>
      </c>
      <c r="P5173">
        <v>-6.58275527174354E-2</v>
      </c>
      <c r="Q5173">
        <v>0.73113720438066698</v>
      </c>
      <c r="R5173">
        <v>0.47288214308008603</v>
      </c>
      <c r="S5173" t="s">
        <v>12176</v>
      </c>
      <c r="T5173" t="s">
        <v>14004</v>
      </c>
      <c r="U5173" t="s">
        <v>14004</v>
      </c>
      <c r="V5173" t="s">
        <v>14004</v>
      </c>
      <c r="W5173" t="s">
        <v>19122</v>
      </c>
      <c r="X5173">
        <v>4</v>
      </c>
      <c r="Y5173" t="s">
        <v>25927</v>
      </c>
      <c r="Z5173" t="s">
        <v>32883</v>
      </c>
      <c r="AA5173">
        <v>0.89710189923526573</v>
      </c>
      <c r="AB5173" t="str">
        <f>HYPERLINK("Melting_Curves/meltCurve_Q969E4_TCEAL3.pdf", "Melting_Curves/meltCurve_Q969E4_TCEAL3.pdf")</f>
        <v>Melting_Curves/meltCurve_Q969E4_TCEAL3.pdf</v>
      </c>
    </row>
    <row r="5174" spans="1:28" x14ac:dyDescent="0.25">
      <c r="A5174" t="s">
        <v>5178</v>
      </c>
      <c r="B5174">
        <v>0.99999676499088797</v>
      </c>
      <c r="C5174">
        <v>0.95634642635929801</v>
      </c>
      <c r="D5174">
        <v>0.98600600137619898</v>
      </c>
      <c r="E5174">
        <v>0.62659050153481799</v>
      </c>
      <c r="F5174">
        <v>0.30747303625615102</v>
      </c>
      <c r="G5174">
        <v>0.23955779305172401</v>
      </c>
      <c r="H5174">
        <v>0.140273834539489</v>
      </c>
      <c r="I5174">
        <v>0.22160774114545101</v>
      </c>
      <c r="J5174">
        <v>0.197466662804612</v>
      </c>
      <c r="K5174">
        <v>0.196259495062757</v>
      </c>
      <c r="L5174">
        <v>1593.2908878785599</v>
      </c>
      <c r="M5174">
        <v>31.9094203559828</v>
      </c>
      <c r="N5174">
        <v>50.723366296266803</v>
      </c>
      <c r="O5174">
        <v>49.736787805008298</v>
      </c>
      <c r="P5174">
        <v>-0.12893291154106401</v>
      </c>
      <c r="Q5174">
        <v>0.19613989978973201</v>
      </c>
      <c r="R5174">
        <v>0.99343514514683295</v>
      </c>
      <c r="S5174" t="s">
        <v>12177</v>
      </c>
      <c r="T5174" t="s">
        <v>14004</v>
      </c>
      <c r="U5174" t="s">
        <v>14004</v>
      </c>
      <c r="V5174" t="s">
        <v>14004</v>
      </c>
      <c r="W5174" t="s">
        <v>19123</v>
      </c>
      <c r="X5174">
        <v>4</v>
      </c>
      <c r="Y5174" t="s">
        <v>25928</v>
      </c>
      <c r="Z5174" t="s">
        <v>32884</v>
      </c>
      <c r="AA5174">
        <v>0.46664565233652577</v>
      </c>
      <c r="AB5174" t="str">
        <f>HYPERLINK("Melting_Curves/meltCurve_Q969E8_TSR2.pdf", "Melting_Curves/meltCurve_Q969E8_TSR2.pdf")</f>
        <v>Melting_Curves/meltCurve_Q969E8_TSR2.pdf</v>
      </c>
    </row>
    <row r="5175" spans="1:28" x14ac:dyDescent="0.25">
      <c r="A5175" t="s">
        <v>5179</v>
      </c>
      <c r="B5175">
        <v>0.99999676499088797</v>
      </c>
      <c r="C5175">
        <v>1.03274777407128</v>
      </c>
      <c r="D5175">
        <v>1.0461887134930099</v>
      </c>
      <c r="E5175">
        <v>0.73521764028359105</v>
      </c>
      <c r="F5175">
        <v>0.66859135958057303</v>
      </c>
      <c r="G5175">
        <v>0.54299559810436204</v>
      </c>
      <c r="H5175">
        <v>0.373774949992985</v>
      </c>
      <c r="I5175">
        <v>0.40230846216962302</v>
      </c>
      <c r="J5175">
        <v>0.34629764964489401</v>
      </c>
      <c r="K5175">
        <v>0.47679633358499202</v>
      </c>
      <c r="L5175">
        <v>974.53471520383903</v>
      </c>
      <c r="M5175">
        <v>18.737518286482601</v>
      </c>
      <c r="N5175">
        <v>56.696099454784999</v>
      </c>
      <c r="O5175">
        <v>51.428271244035898</v>
      </c>
      <c r="P5175">
        <v>-5.5223394188734801E-2</v>
      </c>
      <c r="Q5175">
        <v>0.39374592118100898</v>
      </c>
      <c r="R5175">
        <v>0.95013252219278599</v>
      </c>
      <c r="S5175" t="s">
        <v>12178</v>
      </c>
      <c r="T5175" t="s">
        <v>14004</v>
      </c>
      <c r="U5175" t="s">
        <v>14004</v>
      </c>
      <c r="V5175" t="s">
        <v>14004</v>
      </c>
      <c r="W5175" t="s">
        <v>19124</v>
      </c>
      <c r="X5175">
        <v>1</v>
      </c>
      <c r="Y5175" t="s">
        <v>25929</v>
      </c>
      <c r="Z5175" t="s">
        <v>32885</v>
      </c>
      <c r="AA5175">
        <v>0.64585894094479246</v>
      </c>
      <c r="AB5175" t="str">
        <f>HYPERLINK("Melting_Curves/meltCurve_Q969F2_NKD2.pdf", "Melting_Curves/meltCurve_Q969F2_NKD2.pdf")</f>
        <v>Melting_Curves/meltCurve_Q969F2_NKD2.pdf</v>
      </c>
    </row>
    <row r="5176" spans="1:28" x14ac:dyDescent="0.25">
      <c r="A5176" t="s">
        <v>5180</v>
      </c>
      <c r="B5176">
        <v>0.99999676499088797</v>
      </c>
      <c r="C5176">
        <v>0.96467704062781601</v>
      </c>
      <c r="D5176">
        <v>0.65843381126517697</v>
      </c>
      <c r="E5176">
        <v>0.30302582309223702</v>
      </c>
      <c r="F5176">
        <v>0.206556553825579</v>
      </c>
      <c r="G5176">
        <v>0.17728718271962901</v>
      </c>
      <c r="H5176">
        <v>0.118180288488588</v>
      </c>
      <c r="I5176">
        <v>0.13460210935713299</v>
      </c>
      <c r="J5176">
        <v>0.12756265321688701</v>
      </c>
      <c r="K5176">
        <v>0.15298853326609799</v>
      </c>
      <c r="L5176">
        <v>1255.40116781655</v>
      </c>
      <c r="M5176">
        <v>26.8041470275489</v>
      </c>
      <c r="N5176">
        <v>47.441959022326003</v>
      </c>
      <c r="O5176">
        <v>46.577716403976801</v>
      </c>
      <c r="P5176">
        <v>-0.123017255247286</v>
      </c>
      <c r="Q5176">
        <v>0.14493762413424599</v>
      </c>
      <c r="R5176">
        <v>0.99636788436676405</v>
      </c>
      <c r="S5176" t="s">
        <v>12179</v>
      </c>
      <c r="T5176" t="s">
        <v>14004</v>
      </c>
      <c r="U5176" t="s">
        <v>14004</v>
      </c>
      <c r="V5176" t="s">
        <v>14004</v>
      </c>
      <c r="W5176" t="s">
        <v>19125</v>
      </c>
      <c r="X5176">
        <v>11</v>
      </c>
      <c r="Y5176" t="s">
        <v>25930</v>
      </c>
      <c r="Z5176" t="s">
        <v>32886</v>
      </c>
      <c r="AA5176">
        <v>0.34634680830723091</v>
      </c>
      <c r="AB5176" t="str">
        <f>HYPERLINK("Melting_Curves/meltCurve_Q969G3_2_SMARCE1.pdf", "Melting_Curves/meltCurve_Q969G3_2_SMARCE1.pdf")</f>
        <v>Melting_Curves/meltCurve_Q969G3_2_SMARCE1.pdf</v>
      </c>
    </row>
    <row r="5177" spans="1:28" x14ac:dyDescent="0.25">
      <c r="A5177" t="s">
        <v>5181</v>
      </c>
      <c r="B5177">
        <v>0.99999676499088797</v>
      </c>
      <c r="C5177">
        <v>0.87626017384468802</v>
      </c>
      <c r="D5177">
        <v>0.92194417468644096</v>
      </c>
      <c r="E5177">
        <v>0.86779313483545395</v>
      </c>
      <c r="F5177">
        <v>0.71108771448699704</v>
      </c>
      <c r="G5177">
        <v>0.45551091363382201</v>
      </c>
      <c r="H5177">
        <v>0.12865925045330201</v>
      </c>
      <c r="I5177">
        <v>0.19570785166941199</v>
      </c>
      <c r="J5177">
        <v>0.14848886742376899</v>
      </c>
      <c r="K5177">
        <v>0.10154725319576199</v>
      </c>
      <c r="L5177">
        <v>969.961556175738</v>
      </c>
      <c r="M5177">
        <v>17.602416929629499</v>
      </c>
      <c r="N5177">
        <v>55.679125854733797</v>
      </c>
      <c r="O5177">
        <v>54.4074271118807</v>
      </c>
      <c r="P5177">
        <v>-7.4161857030905207E-2</v>
      </c>
      <c r="Q5177">
        <v>8.3139549597198298E-2</v>
      </c>
      <c r="R5177">
        <v>0.97480125653400895</v>
      </c>
      <c r="S5177" t="s">
        <v>12180</v>
      </c>
      <c r="T5177" t="s">
        <v>14004</v>
      </c>
      <c r="U5177" t="s">
        <v>14004</v>
      </c>
      <c r="V5177" t="s">
        <v>14004</v>
      </c>
      <c r="W5177" t="s">
        <v>19126</v>
      </c>
      <c r="X5177">
        <v>5</v>
      </c>
      <c r="Y5177" t="s">
        <v>25931</v>
      </c>
      <c r="Z5177" t="s">
        <v>32887</v>
      </c>
      <c r="AA5177">
        <v>0.55928946383600475</v>
      </c>
      <c r="AB5177" t="str">
        <f>HYPERLINK("Melting_Curves/meltCurve_Q969G6_RFK.pdf", "Melting_Curves/meltCurve_Q969G6_RFK.pdf")</f>
        <v>Melting_Curves/meltCurve_Q969G6_RFK.pdf</v>
      </c>
    </row>
    <row r="5178" spans="1:28" x14ac:dyDescent="0.25">
      <c r="A5178" t="s">
        <v>5182</v>
      </c>
      <c r="B5178">
        <v>0.99999676499088797</v>
      </c>
      <c r="C5178">
        <v>0.99595658145740196</v>
      </c>
      <c r="D5178">
        <v>1.0993001940967599</v>
      </c>
      <c r="E5178">
        <v>1.40068847837505</v>
      </c>
      <c r="F5178">
        <v>1.20615281350931</v>
      </c>
      <c r="G5178">
        <v>0.98439755739110502</v>
      </c>
      <c r="H5178">
        <v>0.69349420009085005</v>
      </c>
      <c r="I5178">
        <v>0.22219072087007599</v>
      </c>
      <c r="J5178">
        <v>0.13786234883552101</v>
      </c>
      <c r="K5178">
        <v>0.124522143172869</v>
      </c>
      <c r="L5178">
        <v>3289.85744531914</v>
      </c>
      <c r="M5178">
        <v>53.492143636085501</v>
      </c>
      <c r="N5178">
        <v>61.836080411558001</v>
      </c>
      <c r="O5178">
        <v>61.415920364610699</v>
      </c>
      <c r="P5178">
        <v>-0.19039820399600901</v>
      </c>
      <c r="Q5178">
        <v>0.12559322374196599</v>
      </c>
      <c r="R5178">
        <v>0.89162199024345201</v>
      </c>
      <c r="S5178" t="s">
        <v>12181</v>
      </c>
      <c r="T5178" t="s">
        <v>14004</v>
      </c>
      <c r="U5178" t="s">
        <v>14004</v>
      </c>
      <c r="V5178" t="s">
        <v>14004</v>
      </c>
      <c r="W5178" t="s">
        <v>19127</v>
      </c>
      <c r="X5178">
        <v>2</v>
      </c>
      <c r="Y5178" t="s">
        <v>25932</v>
      </c>
      <c r="Z5178" t="s">
        <v>32888</v>
      </c>
      <c r="AA5178">
        <v>0.75430326157756766</v>
      </c>
      <c r="AB5178" t="str">
        <f>HYPERLINK("Melting_Curves/meltCurve_Q969H6_POP5.pdf", "Melting_Curves/meltCurve_Q969H6_POP5.pdf")</f>
        <v>Melting_Curves/meltCurve_Q969H6_POP5.pdf</v>
      </c>
    </row>
    <row r="5179" spans="1:28" x14ac:dyDescent="0.25">
      <c r="A5179" t="s">
        <v>5183</v>
      </c>
      <c r="B5179">
        <v>0.99999676499088797</v>
      </c>
      <c r="C5179">
        <v>0.98681947317501895</v>
      </c>
      <c r="D5179">
        <v>1.01707728009736</v>
      </c>
      <c r="E5179">
        <v>1.17715284177105</v>
      </c>
      <c r="F5179">
        <v>1.04471810685161</v>
      </c>
      <c r="G5179">
        <v>1.05696784082505</v>
      </c>
      <c r="H5179">
        <v>0.46397968849328902</v>
      </c>
      <c r="I5179">
        <v>0.21320861393002599</v>
      </c>
      <c r="J5179">
        <v>0.16560113815838701</v>
      </c>
      <c r="K5179">
        <v>0.12695675865286701</v>
      </c>
      <c r="L5179">
        <v>5544.7761920627499</v>
      </c>
      <c r="M5179">
        <v>91.776533642090598</v>
      </c>
      <c r="N5179">
        <v>60.683888822841503</v>
      </c>
      <c r="O5179">
        <v>60.387388412209702</v>
      </c>
      <c r="P5179">
        <v>-0.31667545597608898</v>
      </c>
      <c r="Q5179">
        <v>0.16653195529197901</v>
      </c>
      <c r="R5179">
        <v>0.97529195586571005</v>
      </c>
      <c r="S5179" t="s">
        <v>12182</v>
      </c>
      <c r="T5179" t="s">
        <v>14004</v>
      </c>
      <c r="U5179" t="s">
        <v>14004</v>
      </c>
      <c r="V5179" t="s">
        <v>14004</v>
      </c>
      <c r="W5179" t="s">
        <v>19128</v>
      </c>
      <c r="X5179">
        <v>7</v>
      </c>
      <c r="Y5179" t="s">
        <v>25933</v>
      </c>
      <c r="Z5179" t="s">
        <v>32889</v>
      </c>
      <c r="AA5179">
        <v>0.73439288257072166</v>
      </c>
      <c r="AB5179" t="str">
        <f>HYPERLINK("Melting_Curves/meltCurve_Q969H8_C19orf10.pdf", "Melting_Curves/meltCurve_Q969H8_C19orf10.pdf")</f>
        <v>Melting_Curves/meltCurve_Q969H8_C19orf10.pdf</v>
      </c>
    </row>
    <row r="5180" spans="1:28" x14ac:dyDescent="0.25">
      <c r="A5180" t="s">
        <v>5184</v>
      </c>
      <c r="B5180">
        <v>0.99999676499088797</v>
      </c>
      <c r="C5180">
        <v>1.00028910741715</v>
      </c>
      <c r="D5180">
        <v>1.0552136883669101</v>
      </c>
      <c r="E5180">
        <v>0.94935471329629095</v>
      </c>
      <c r="F5180">
        <v>1.0152707605464599</v>
      </c>
      <c r="G5180">
        <v>0.96922769353635296</v>
      </c>
      <c r="H5180">
        <v>0.698852849177788</v>
      </c>
      <c r="I5180">
        <v>0.49185501770087298</v>
      </c>
      <c r="J5180">
        <v>0.43110146963005802</v>
      </c>
      <c r="K5180">
        <v>0.57234520075801798</v>
      </c>
      <c r="L5180">
        <v>4123.8343806818802</v>
      </c>
      <c r="M5180">
        <v>68.240326215526594</v>
      </c>
      <c r="N5180">
        <v>64.835929051480903</v>
      </c>
      <c r="O5180">
        <v>60.379213696709101</v>
      </c>
      <c r="P5180">
        <v>-0.142644097030387</v>
      </c>
      <c r="Q5180">
        <v>0.49515269410924301</v>
      </c>
      <c r="R5180">
        <v>0.96846627377557304</v>
      </c>
      <c r="S5180" t="s">
        <v>12183</v>
      </c>
      <c r="T5180" t="s">
        <v>14004</v>
      </c>
      <c r="U5180" t="s">
        <v>14004</v>
      </c>
      <c r="V5180" t="s">
        <v>14004</v>
      </c>
      <c r="W5180" t="s">
        <v>19129</v>
      </c>
      <c r="X5180">
        <v>4</v>
      </c>
      <c r="Y5180" t="s">
        <v>25934</v>
      </c>
      <c r="Z5180" t="s">
        <v>32890</v>
      </c>
      <c r="AA5180">
        <v>0.83969008709303494</v>
      </c>
      <c r="AB5180" t="str">
        <f>HYPERLINK("Melting_Curves/meltCurve_Q969M1_TOMM40L.pdf", "Melting_Curves/meltCurve_Q969M1_TOMM40L.pdf")</f>
        <v>Melting_Curves/meltCurve_Q969M1_TOMM40L.pdf</v>
      </c>
    </row>
    <row r="5181" spans="1:28" x14ac:dyDescent="0.25">
      <c r="A5181" t="s">
        <v>5185</v>
      </c>
      <c r="B5181">
        <v>0.99999676499088797</v>
      </c>
      <c r="C5181">
        <v>0.96991173856770196</v>
      </c>
      <c r="D5181">
        <v>0.99037828208373302</v>
      </c>
      <c r="E5181">
        <v>0.75190769429122895</v>
      </c>
      <c r="F5181">
        <v>0.58962245629038701</v>
      </c>
      <c r="G5181">
        <v>0.48826840632128499</v>
      </c>
      <c r="H5181">
        <v>0.15967796072655599</v>
      </c>
      <c r="I5181">
        <v>0.101520918887633</v>
      </c>
      <c r="J5181">
        <v>7.8761147226892203E-2</v>
      </c>
      <c r="K5181">
        <v>7.9073794798859204E-2</v>
      </c>
      <c r="L5181">
        <v>737.10277439330105</v>
      </c>
      <c r="M5181">
        <v>13.4064142667621</v>
      </c>
      <c r="N5181">
        <v>54.981351438974301</v>
      </c>
      <c r="O5181">
        <v>53.801256203111897</v>
      </c>
      <c r="P5181">
        <v>-6.2305774345366299E-2</v>
      </c>
      <c r="Q5181">
        <v>0</v>
      </c>
      <c r="R5181">
        <v>0.98502787343435705</v>
      </c>
      <c r="S5181" t="s">
        <v>12184</v>
      </c>
      <c r="T5181" t="s">
        <v>14004</v>
      </c>
      <c r="U5181" t="s">
        <v>14004</v>
      </c>
      <c r="V5181" t="s">
        <v>14004</v>
      </c>
      <c r="W5181" t="s">
        <v>19130</v>
      </c>
      <c r="X5181">
        <v>2</v>
      </c>
      <c r="Y5181" t="s">
        <v>25935</v>
      </c>
      <c r="Z5181" t="s">
        <v>32891</v>
      </c>
      <c r="AA5181">
        <v>0.52091830248970217</v>
      </c>
      <c r="AB5181" t="str">
        <f>HYPERLINK("Melting_Curves/meltCurve_Q969M3_YIPF5.pdf", "Melting_Curves/meltCurve_Q969M3_YIPF5.pdf")</f>
        <v>Melting_Curves/meltCurve_Q969M3_YIPF5.pdf</v>
      </c>
    </row>
    <row r="5182" spans="1:28" x14ac:dyDescent="0.25">
      <c r="A5182" t="s">
        <v>5186</v>
      </c>
      <c r="B5182">
        <v>0.99999676499088797</v>
      </c>
      <c r="C5182">
        <v>1.3215622150903501</v>
      </c>
      <c r="D5182">
        <v>1.23071722104488</v>
      </c>
      <c r="E5182">
        <v>1.1867889083315599</v>
      </c>
      <c r="F5182">
        <v>0.36482057066531898</v>
      </c>
      <c r="G5182">
        <v>0.27596691009556201</v>
      </c>
      <c r="H5182">
        <v>0.119160372312493</v>
      </c>
      <c r="I5182">
        <v>0.11607334312041</v>
      </c>
      <c r="J5182">
        <v>9.9473573855681299E-2</v>
      </c>
      <c r="K5182">
        <v>9.64858357181516E-2</v>
      </c>
      <c r="L5182">
        <v>13244.406304236099</v>
      </c>
      <c r="M5182">
        <v>250</v>
      </c>
      <c r="N5182">
        <v>53.048181652313602</v>
      </c>
      <c r="O5182">
        <v>52.974242024585699</v>
      </c>
      <c r="P5182">
        <v>-1.0129547130946801</v>
      </c>
      <c r="Q5182">
        <v>0.14143198451254499</v>
      </c>
      <c r="R5182">
        <v>0.91583135838073804</v>
      </c>
      <c r="S5182" t="s">
        <v>12185</v>
      </c>
      <c r="T5182" t="s">
        <v>14004</v>
      </c>
      <c r="U5182" t="s">
        <v>14004</v>
      </c>
      <c r="V5182" t="s">
        <v>14004</v>
      </c>
      <c r="W5182" t="s">
        <v>19131</v>
      </c>
      <c r="X5182">
        <v>8</v>
      </c>
      <c r="Y5182" t="s">
        <v>25936</v>
      </c>
      <c r="Z5182" t="s">
        <v>32892</v>
      </c>
      <c r="AA5182">
        <v>0.51291760740297232</v>
      </c>
      <c r="AB5182" t="str">
        <f>HYPERLINK("Melting_Curves/meltCurve_Q969N2_5_PIGT.pdf", "Melting_Curves/meltCurve_Q969N2_5_PIGT.pdf")</f>
        <v>Melting_Curves/meltCurve_Q969N2_5_PIGT.pdf</v>
      </c>
    </row>
    <row r="5183" spans="1:28" x14ac:dyDescent="0.25">
      <c r="A5183" t="s">
        <v>5187</v>
      </c>
      <c r="B5183">
        <v>0.99999676499088797</v>
      </c>
      <c r="C5183">
        <v>1.02547357210399</v>
      </c>
      <c r="D5183">
        <v>1.0047390802423499</v>
      </c>
      <c r="E5183">
        <v>0.98766563956067499</v>
      </c>
      <c r="F5183">
        <v>0.87095905287469899</v>
      </c>
      <c r="G5183">
        <v>0.83711993526950901</v>
      </c>
      <c r="H5183">
        <v>0.48874727901364101</v>
      </c>
      <c r="I5183">
        <v>0.42021431545140903</v>
      </c>
      <c r="J5183">
        <v>0.34721512562194501</v>
      </c>
      <c r="K5183">
        <v>0.35000778580168701</v>
      </c>
      <c r="L5183">
        <v>1366.6380217042699</v>
      </c>
      <c r="M5183">
        <v>23.323162227202801</v>
      </c>
      <c r="N5183">
        <v>61.333232466347702</v>
      </c>
      <c r="O5183">
        <v>58.170092179448503</v>
      </c>
      <c r="P5183">
        <v>-6.7816863418221199E-2</v>
      </c>
      <c r="Q5183">
        <v>0.32344642631254999</v>
      </c>
      <c r="R5183">
        <v>0.98620647409543905</v>
      </c>
      <c r="S5183" t="s">
        <v>12186</v>
      </c>
      <c r="T5183" t="s">
        <v>14004</v>
      </c>
      <c r="U5183" t="s">
        <v>14004</v>
      </c>
      <c r="V5183" t="s">
        <v>14004</v>
      </c>
      <c r="W5183" t="s">
        <v>19132</v>
      </c>
      <c r="X5183">
        <v>17</v>
      </c>
      <c r="Y5183" t="s">
        <v>25937</v>
      </c>
      <c r="Z5183" t="s">
        <v>32893</v>
      </c>
      <c r="AA5183">
        <v>0.74901203922540893</v>
      </c>
      <c r="AB5183" t="str">
        <f>HYPERLINK("Melting_Curves/meltCurve_Q969P0_3_IGSF8.pdf", "Melting_Curves/meltCurve_Q969P0_3_IGSF8.pdf")</f>
        <v>Melting_Curves/meltCurve_Q969P0_3_IGSF8.pdf</v>
      </c>
    </row>
    <row r="5184" spans="1:28" x14ac:dyDescent="0.25">
      <c r="A5184" t="s">
        <v>5188</v>
      </c>
      <c r="B5184">
        <v>0.99999676499088797</v>
      </c>
      <c r="C5184">
        <v>0.92876470541245904</v>
      </c>
      <c r="D5184">
        <v>0.897442935839735</v>
      </c>
      <c r="E5184">
        <v>0.71378188143496402</v>
      </c>
      <c r="F5184">
        <v>0.45920862221693098</v>
      </c>
      <c r="G5184">
        <v>0.43108233902263199</v>
      </c>
      <c r="H5184">
        <v>0.200841398800058</v>
      </c>
      <c r="I5184">
        <v>0.12510212912288701</v>
      </c>
      <c r="J5184">
        <v>6.6057572307518006E-2</v>
      </c>
      <c r="K5184">
        <v>6.8166145955393304E-2</v>
      </c>
      <c r="L5184">
        <v>610.41348250773899</v>
      </c>
      <c r="M5184">
        <v>11.376227609474601</v>
      </c>
      <c r="N5184">
        <v>53.656932365746201</v>
      </c>
      <c r="O5184">
        <v>52.079193514145302</v>
      </c>
      <c r="P5184">
        <v>-5.4626416854481802E-2</v>
      </c>
      <c r="Q5184">
        <v>0</v>
      </c>
      <c r="R5184">
        <v>0.98906934464799001</v>
      </c>
      <c r="S5184" t="s">
        <v>12187</v>
      </c>
      <c r="T5184" t="s">
        <v>14004</v>
      </c>
      <c r="U5184" t="s">
        <v>14004</v>
      </c>
      <c r="V5184" t="s">
        <v>14004</v>
      </c>
      <c r="W5184" t="s">
        <v>19133</v>
      </c>
      <c r="X5184">
        <v>8</v>
      </c>
      <c r="Y5184" t="s">
        <v>25938</v>
      </c>
      <c r="Z5184" t="s">
        <v>32894</v>
      </c>
      <c r="AA5184">
        <v>0.48360107520950041</v>
      </c>
      <c r="AB5184" t="str">
        <f>HYPERLINK("Melting_Curves/meltCurve_Q969Q0_RPL36AL.pdf", "Melting_Curves/meltCurve_Q969Q0_RPL36AL.pdf")</f>
        <v>Melting_Curves/meltCurve_Q969Q0_RPL36AL.pdf</v>
      </c>
    </row>
    <row r="5185" spans="1:28" x14ac:dyDescent="0.25">
      <c r="A5185" t="s">
        <v>5189</v>
      </c>
      <c r="B5185">
        <v>0.99999676499088797</v>
      </c>
      <c r="C5185">
        <v>0.94962069427240603</v>
      </c>
      <c r="D5185">
        <v>0.94295859489192102</v>
      </c>
      <c r="E5185">
        <v>1.06757212046941</v>
      </c>
      <c r="F5185">
        <v>0.90646601929418602</v>
      </c>
      <c r="G5185">
        <v>0.74526280458119198</v>
      </c>
      <c r="H5185">
        <v>0.43370976754405699</v>
      </c>
      <c r="I5185">
        <v>0.23116926612154101</v>
      </c>
      <c r="J5185">
        <v>0.103912537115466</v>
      </c>
      <c r="K5185">
        <v>6.98616959271747E-2</v>
      </c>
      <c r="L5185">
        <v>1200.8697053747501</v>
      </c>
      <c r="M5185">
        <v>20.0639697099332</v>
      </c>
      <c r="N5185">
        <v>59.935930483981998</v>
      </c>
      <c r="O5185">
        <v>59.267008511951701</v>
      </c>
      <c r="P5185">
        <v>-8.3464773941061998E-2</v>
      </c>
      <c r="Q5185">
        <v>1.3844586610226301E-2</v>
      </c>
      <c r="R5185">
        <v>0.99076662295631002</v>
      </c>
      <c r="S5185" t="s">
        <v>12188</v>
      </c>
      <c r="T5185" t="s">
        <v>14004</v>
      </c>
      <c r="U5185" t="s">
        <v>14004</v>
      </c>
      <c r="V5185" t="s">
        <v>14004</v>
      </c>
      <c r="W5185" t="s">
        <v>19134</v>
      </c>
      <c r="X5185">
        <v>7</v>
      </c>
      <c r="Y5185" t="s">
        <v>25939</v>
      </c>
      <c r="Z5185" t="s">
        <v>32895</v>
      </c>
      <c r="AA5185">
        <v>0.67493653344257232</v>
      </c>
      <c r="AB5185" t="str">
        <f>HYPERLINK("Melting_Curves/meltCurve_Q969Q5_RAB24.pdf", "Melting_Curves/meltCurve_Q969Q5_RAB24.pdf")</f>
        <v>Melting_Curves/meltCurve_Q969Q5_RAB24.pdf</v>
      </c>
    </row>
    <row r="5186" spans="1:28" x14ac:dyDescent="0.25">
      <c r="A5186" t="s">
        <v>5190</v>
      </c>
      <c r="B5186">
        <v>0.99999676499088797</v>
      </c>
      <c r="C5186">
        <v>0.90981777372204997</v>
      </c>
      <c r="D5186">
        <v>0.64472379519905698</v>
      </c>
      <c r="E5186">
        <v>0.42572105698663398</v>
      </c>
      <c r="F5186">
        <v>0.177181830624697</v>
      </c>
      <c r="G5186">
        <v>9.8221365455017501E-2</v>
      </c>
      <c r="H5186">
        <v>3.7817066536449902E-2</v>
      </c>
      <c r="I5186">
        <v>4.6324298794594397E-2</v>
      </c>
      <c r="J5186">
        <v>5.9555917573054402E-2</v>
      </c>
      <c r="K5186">
        <v>3.7641605233533403E-2</v>
      </c>
      <c r="L5186">
        <v>815.37072685859005</v>
      </c>
      <c r="M5186">
        <v>16.977344321958</v>
      </c>
      <c r="N5186">
        <v>48.220260540428498</v>
      </c>
      <c r="O5186">
        <v>47.375498539479601</v>
      </c>
      <c r="P5186">
        <v>-8.6647709584490196E-2</v>
      </c>
      <c r="Q5186">
        <v>3.2893905678063703E-2</v>
      </c>
      <c r="R5186">
        <v>0.99556978084381198</v>
      </c>
      <c r="S5186" t="s">
        <v>12189</v>
      </c>
      <c r="T5186" t="s">
        <v>14004</v>
      </c>
      <c r="U5186" t="s">
        <v>14004</v>
      </c>
      <c r="V5186" t="s">
        <v>14004</v>
      </c>
      <c r="W5186" t="s">
        <v>19135</v>
      </c>
      <c r="X5186">
        <v>2</v>
      </c>
      <c r="Y5186" t="s">
        <v>25940</v>
      </c>
      <c r="Z5186" t="s">
        <v>32896</v>
      </c>
      <c r="AA5186">
        <v>0.31101369723135358</v>
      </c>
      <c r="AB5186" t="str">
        <f>HYPERLINK("Melting_Curves/meltCurve_Q969R5_L3MBTL2.pdf", "Melting_Curves/meltCurve_Q969R5_L3MBTL2.pdf")</f>
        <v>Melting_Curves/meltCurve_Q969R5_L3MBTL2.pdf</v>
      </c>
    </row>
    <row r="5187" spans="1:28" x14ac:dyDescent="0.25">
      <c r="A5187" t="s">
        <v>5191</v>
      </c>
      <c r="B5187">
        <v>0.99999676499088797</v>
      </c>
      <c r="C5187">
        <v>0.96167049632056301</v>
      </c>
      <c r="D5187">
        <v>0.98808177137311304</v>
      </c>
      <c r="E5187">
        <v>1.22793454928058</v>
      </c>
      <c r="F5187">
        <v>0.43500195678689901</v>
      </c>
      <c r="G5187">
        <v>0.22558242410926099</v>
      </c>
      <c r="H5187">
        <v>0.11144376889785799</v>
      </c>
      <c r="I5187">
        <v>0.130568305614404</v>
      </c>
      <c r="J5187">
        <v>0.109336130581642</v>
      </c>
      <c r="K5187">
        <v>6.6207530334502204E-2</v>
      </c>
      <c r="L5187">
        <v>12801.3171778412</v>
      </c>
      <c r="M5187">
        <v>241.23827673750401</v>
      </c>
      <c r="N5187">
        <v>53.130534359185901</v>
      </c>
      <c r="O5187">
        <v>53.0613865581537</v>
      </c>
      <c r="P5187">
        <v>-0.990401834229796</v>
      </c>
      <c r="Q5187">
        <v>0.128627596210383</v>
      </c>
      <c r="R5187">
        <v>0.96505375190477505</v>
      </c>
      <c r="S5187" t="s">
        <v>12190</v>
      </c>
      <c r="T5187" t="s">
        <v>14004</v>
      </c>
      <c r="U5187" t="s">
        <v>14004</v>
      </c>
      <c r="V5187" t="s">
        <v>14004</v>
      </c>
      <c r="W5187" t="s">
        <v>19136</v>
      </c>
      <c r="X5187">
        <v>3</v>
      </c>
      <c r="Y5187" t="s">
        <v>25941</v>
      </c>
      <c r="Z5187" t="s">
        <v>32897</v>
      </c>
      <c r="AA5187">
        <v>0.50819839659418853</v>
      </c>
      <c r="AB5187" t="str">
        <f>HYPERLINK("Melting_Curves/meltCurve_Q969R8_ITFG2.pdf", "Melting_Curves/meltCurve_Q969R8_ITFG2.pdf")</f>
        <v>Melting_Curves/meltCurve_Q969R8_ITFG2.pdf</v>
      </c>
    </row>
    <row r="5188" spans="1:28" x14ac:dyDescent="0.25">
      <c r="A5188" t="s">
        <v>5192</v>
      </c>
      <c r="B5188">
        <v>0.99999676499088797</v>
      </c>
      <c r="C5188">
        <v>0.98609378962810601</v>
      </c>
      <c r="D5188">
        <v>0.93416920047939001</v>
      </c>
      <c r="E5188">
        <v>0.98716144970688302</v>
      </c>
      <c r="F5188">
        <v>0.729049153596115</v>
      </c>
      <c r="G5188">
        <v>0.33092555708169302</v>
      </c>
      <c r="H5188">
        <v>0.11183586844976399</v>
      </c>
      <c r="I5188">
        <v>9.9275370880520103E-2</v>
      </c>
      <c r="J5188">
        <v>7.6788420472209698E-2</v>
      </c>
      <c r="K5188">
        <v>7.5008462364682393E-2</v>
      </c>
      <c r="L5188">
        <v>1618.8299417071601</v>
      </c>
      <c r="M5188">
        <v>29.500384749902999</v>
      </c>
      <c r="N5188">
        <v>55.177007367028402</v>
      </c>
      <c r="O5188">
        <v>54.624573571578203</v>
      </c>
      <c r="P5188">
        <v>-0.12494576847519701</v>
      </c>
      <c r="Q5188">
        <v>7.4579997457991903E-2</v>
      </c>
      <c r="R5188">
        <v>0.99686087559794601</v>
      </c>
      <c r="S5188" t="s">
        <v>12191</v>
      </c>
      <c r="T5188" t="s">
        <v>14004</v>
      </c>
      <c r="U5188" t="s">
        <v>14004</v>
      </c>
      <c r="V5188" t="s">
        <v>14004</v>
      </c>
      <c r="W5188" t="s">
        <v>19137</v>
      </c>
      <c r="X5188">
        <v>18</v>
      </c>
      <c r="Y5188" t="s">
        <v>25942</v>
      </c>
      <c r="Z5188" t="s">
        <v>32898</v>
      </c>
      <c r="AA5188">
        <v>0.53976028341367532</v>
      </c>
      <c r="AB5188" t="str">
        <f>HYPERLINK("Melting_Curves/meltCurve_Q969S3_ZNF622.pdf", "Melting_Curves/meltCurve_Q969S3_ZNF622.pdf")</f>
        <v>Melting_Curves/meltCurve_Q969S3_ZNF622.pdf</v>
      </c>
    </row>
    <row r="5189" spans="1:28" x14ac:dyDescent="0.25">
      <c r="A5189" t="s">
        <v>5193</v>
      </c>
      <c r="B5189">
        <v>0.99999676499088797</v>
      </c>
      <c r="C5189">
        <v>0.97006827953525099</v>
      </c>
      <c r="D5189">
        <v>0.72456946185007898</v>
      </c>
      <c r="E5189">
        <v>0.27847451255389</v>
      </c>
      <c r="F5189">
        <v>0.18059466822119499</v>
      </c>
      <c r="G5189">
        <v>0.13437032266122101</v>
      </c>
      <c r="H5189">
        <v>7.1569780011341302E-2</v>
      </c>
      <c r="I5189">
        <v>6.3117057958389899E-2</v>
      </c>
      <c r="J5189">
        <v>7.4384959015432697E-2</v>
      </c>
      <c r="K5189">
        <v>5.7026052112473399E-2</v>
      </c>
      <c r="L5189">
        <v>1262.9698057442699</v>
      </c>
      <c r="M5189">
        <v>26.6179736974245</v>
      </c>
      <c r="N5189">
        <v>47.773173965324403</v>
      </c>
      <c r="O5189">
        <v>47.1826056197255</v>
      </c>
      <c r="P5189">
        <v>-0.12935311784846401</v>
      </c>
      <c r="Q5189">
        <v>8.2851886029683602E-2</v>
      </c>
      <c r="R5189">
        <v>0.99520089173749604</v>
      </c>
      <c r="S5189" t="s">
        <v>12192</v>
      </c>
      <c r="T5189" t="s">
        <v>14004</v>
      </c>
      <c r="U5189" t="s">
        <v>14004</v>
      </c>
      <c r="V5189" t="s">
        <v>14004</v>
      </c>
      <c r="W5189" t="s">
        <v>19138</v>
      </c>
      <c r="X5189">
        <v>11</v>
      </c>
      <c r="Y5189" t="s">
        <v>25943</v>
      </c>
      <c r="Z5189" t="s">
        <v>32899</v>
      </c>
      <c r="AA5189">
        <v>0.31765299801987629</v>
      </c>
      <c r="AB5189" t="str">
        <f>HYPERLINK("Melting_Curves/meltCurve_Q969S9_2_GFM2.pdf", "Melting_Curves/meltCurve_Q969S9_2_GFM2.pdf")</f>
        <v>Melting_Curves/meltCurve_Q969S9_2_GFM2.pdf</v>
      </c>
    </row>
    <row r="5190" spans="1:28" x14ac:dyDescent="0.25">
      <c r="A5190" t="s">
        <v>5194</v>
      </c>
      <c r="B5190">
        <v>0.99999676499088797</v>
      </c>
      <c r="C5190">
        <v>0.96853455504455599</v>
      </c>
      <c r="D5190">
        <v>0.94069014283249097</v>
      </c>
      <c r="E5190">
        <v>0.67911581039216695</v>
      </c>
      <c r="F5190">
        <v>0.34682401780323802</v>
      </c>
      <c r="G5190">
        <v>0.18948817894669201</v>
      </c>
      <c r="H5190">
        <v>9.4001130642299396E-2</v>
      </c>
      <c r="I5190">
        <v>7.8372433280383902E-2</v>
      </c>
      <c r="J5190">
        <v>7.1160259888724806E-2</v>
      </c>
      <c r="K5190">
        <v>6.1274479855174799E-2</v>
      </c>
      <c r="L5190">
        <v>1075.9175880605801</v>
      </c>
      <c r="M5190">
        <v>21.017647360463901</v>
      </c>
      <c r="N5190">
        <v>51.532916688750703</v>
      </c>
      <c r="O5190">
        <v>50.734483226491903</v>
      </c>
      <c r="P5190">
        <v>-9.6832146839016003E-2</v>
      </c>
      <c r="Q5190">
        <v>6.5052713346700305E-2</v>
      </c>
      <c r="R5190">
        <v>0.99916304872708706</v>
      </c>
      <c r="S5190" t="s">
        <v>12193</v>
      </c>
      <c r="T5190" t="s">
        <v>14004</v>
      </c>
      <c r="U5190" t="s">
        <v>14004</v>
      </c>
      <c r="V5190" t="s">
        <v>14004</v>
      </c>
      <c r="W5190" t="s">
        <v>19139</v>
      </c>
      <c r="X5190">
        <v>12</v>
      </c>
      <c r="Y5190" t="s">
        <v>25944</v>
      </c>
      <c r="Z5190" t="s">
        <v>32900</v>
      </c>
      <c r="AA5190">
        <v>0.42564570485579012</v>
      </c>
      <c r="AB5190" t="str">
        <f>HYPERLINK("Melting_Curves/meltCurve_Q969T7_2_NT5C3B.pdf", "Melting_Curves/meltCurve_Q969T7_2_NT5C3B.pdf")</f>
        <v>Melting_Curves/meltCurve_Q969T7_2_NT5C3B.pdf</v>
      </c>
    </row>
    <row r="5191" spans="1:28" x14ac:dyDescent="0.25">
      <c r="A5191" t="s">
        <v>5195</v>
      </c>
      <c r="B5191">
        <v>0.99999676499088797</v>
      </c>
      <c r="C5191">
        <v>1.00832798437794</v>
      </c>
      <c r="D5191">
        <v>1.0006760617343999</v>
      </c>
      <c r="E5191">
        <v>0.94257491468235099</v>
      </c>
      <c r="F5191">
        <v>0.35170293851658901</v>
      </c>
      <c r="G5191">
        <v>0.22320161571835001</v>
      </c>
      <c r="H5191">
        <v>9.8720287586367902E-2</v>
      </c>
      <c r="I5191">
        <v>7.9558687974250294E-2</v>
      </c>
      <c r="J5191">
        <v>6.8895211469354498E-2</v>
      </c>
      <c r="K5191">
        <v>6.0335109374488598E-2</v>
      </c>
      <c r="L5191">
        <v>2229.8170636386299</v>
      </c>
      <c r="M5191">
        <v>42.710781501457802</v>
      </c>
      <c r="N5191">
        <v>52.470853432418401</v>
      </c>
      <c r="O5191">
        <v>52.093309797445102</v>
      </c>
      <c r="P5191">
        <v>-0.18518874779466399</v>
      </c>
      <c r="Q5191">
        <v>9.6520651312057407E-2</v>
      </c>
      <c r="R5191">
        <v>0.99221967548922496</v>
      </c>
      <c r="S5191" t="s">
        <v>12194</v>
      </c>
      <c r="T5191" t="s">
        <v>14004</v>
      </c>
      <c r="U5191" t="s">
        <v>14004</v>
      </c>
      <c r="V5191" t="s">
        <v>14004</v>
      </c>
      <c r="W5191" t="s">
        <v>19140</v>
      </c>
      <c r="X5191">
        <v>13</v>
      </c>
      <c r="Y5191" t="s">
        <v>25945</v>
      </c>
      <c r="Z5191" t="s">
        <v>32901</v>
      </c>
      <c r="AA5191">
        <v>0.46701323619826313</v>
      </c>
      <c r="AB5191" t="str">
        <f>HYPERLINK("Melting_Curves/meltCurve_Q969V3_2_NCLN.pdf", "Melting_Curves/meltCurve_Q969V3_2_NCLN.pdf")</f>
        <v>Melting_Curves/meltCurve_Q969V3_2_NCLN.pdf</v>
      </c>
    </row>
    <row r="5192" spans="1:28" x14ac:dyDescent="0.25">
      <c r="A5192" t="s">
        <v>5196</v>
      </c>
      <c r="B5192">
        <v>0.99999676499088797</v>
      </c>
      <c r="C5192">
        <v>1.0361245314161101</v>
      </c>
      <c r="D5192">
        <v>1.08382298722898</v>
      </c>
      <c r="E5192">
        <v>0.96699563366649999</v>
      </c>
      <c r="F5192">
        <v>0.69491116128089403</v>
      </c>
      <c r="G5192">
        <v>0.54371598160615897</v>
      </c>
      <c r="H5192">
        <v>0.17115841067513099</v>
      </c>
      <c r="I5192">
        <v>0.119788443625164</v>
      </c>
      <c r="J5192">
        <v>8.8852784094980097E-2</v>
      </c>
      <c r="K5192">
        <v>9.6934919355713606E-2</v>
      </c>
      <c r="L5192">
        <v>1152.08417663156</v>
      </c>
      <c r="M5192">
        <v>20.533070348560798</v>
      </c>
      <c r="N5192">
        <v>56.450682966373797</v>
      </c>
      <c r="O5192">
        <v>55.584649511345297</v>
      </c>
      <c r="P5192">
        <v>-8.6952613558075306E-2</v>
      </c>
      <c r="Q5192">
        <v>5.8477144066801899E-2</v>
      </c>
      <c r="R5192">
        <v>0.98513495052574995</v>
      </c>
      <c r="S5192" t="s">
        <v>12195</v>
      </c>
      <c r="T5192" t="s">
        <v>14004</v>
      </c>
      <c r="U5192" t="s">
        <v>14004</v>
      </c>
      <c r="V5192" t="s">
        <v>14004</v>
      </c>
      <c r="W5192" t="s">
        <v>19141</v>
      </c>
      <c r="X5192">
        <v>4</v>
      </c>
      <c r="Y5192" t="s">
        <v>25946</v>
      </c>
      <c r="Z5192" t="s">
        <v>32902</v>
      </c>
      <c r="AA5192">
        <v>0.57568251724512176</v>
      </c>
      <c r="AB5192" t="str">
        <f>HYPERLINK("Melting_Curves/meltCurve_Q969V5_MUL1.pdf", "Melting_Curves/meltCurve_Q969V5_MUL1.pdf")</f>
        <v>Melting_Curves/meltCurve_Q969V5_MUL1.pdf</v>
      </c>
    </row>
    <row r="5193" spans="1:28" x14ac:dyDescent="0.25">
      <c r="A5193" t="s">
        <v>5197</v>
      </c>
      <c r="B5193">
        <v>0.99999676499088797</v>
      </c>
      <c r="C5193">
        <v>0.93454271438192404</v>
      </c>
      <c r="D5193">
        <v>0.75639021429768405</v>
      </c>
      <c r="E5193">
        <v>0.30405434758606498</v>
      </c>
      <c r="F5193">
        <v>0.16822714023556201</v>
      </c>
      <c r="G5193">
        <v>0.119402859507585</v>
      </c>
      <c r="H5193">
        <v>4.6143385965580201E-2</v>
      </c>
      <c r="I5193">
        <v>4.7789845903508398E-2</v>
      </c>
      <c r="J5193">
        <v>4.9496912404691798E-2</v>
      </c>
      <c r="K5193">
        <v>5.25236982557927E-2</v>
      </c>
      <c r="L5193">
        <v>1155.9106979319599</v>
      </c>
      <c r="M5193">
        <v>24.1831397100262</v>
      </c>
      <c r="N5193">
        <v>48.052044008863902</v>
      </c>
      <c r="O5193">
        <v>47.474961339497298</v>
      </c>
      <c r="P5193">
        <v>-0.11971267121637599</v>
      </c>
      <c r="Q5193">
        <v>5.9962058346554901E-2</v>
      </c>
      <c r="R5193">
        <v>0.99635911561120705</v>
      </c>
      <c r="S5193" t="s">
        <v>12196</v>
      </c>
      <c r="T5193" t="s">
        <v>14004</v>
      </c>
      <c r="U5193" t="s">
        <v>14004</v>
      </c>
      <c r="V5193" t="s">
        <v>14004</v>
      </c>
      <c r="W5193" t="s">
        <v>19142</v>
      </c>
      <c r="X5193">
        <v>4</v>
      </c>
      <c r="Y5193" t="s">
        <v>25947</v>
      </c>
      <c r="Z5193" t="s">
        <v>32903</v>
      </c>
      <c r="AA5193">
        <v>0.31324333068330662</v>
      </c>
      <c r="AB5193" t="str">
        <f>HYPERLINK("Melting_Curves/meltCurve_Q969X0_RILPL2.pdf", "Melting_Curves/meltCurve_Q969X0_RILPL2.pdf")</f>
        <v>Melting_Curves/meltCurve_Q969X0_RILPL2.pdf</v>
      </c>
    </row>
    <row r="5194" spans="1:28" x14ac:dyDescent="0.25">
      <c r="A5194" t="s">
        <v>5198</v>
      </c>
      <c r="B5194">
        <v>0.99999676499088797</v>
      </c>
      <c r="C5194">
        <v>1.0091757369616601</v>
      </c>
      <c r="D5194">
        <v>1.0417780378146499</v>
      </c>
      <c r="E5194">
        <v>1.19507921530613</v>
      </c>
      <c r="F5194">
        <v>0.990228357045976</v>
      </c>
      <c r="G5194">
        <v>0.59450233276560105</v>
      </c>
      <c r="H5194">
        <v>0.20887906021675201</v>
      </c>
      <c r="I5194">
        <v>0.12417923916283299</v>
      </c>
      <c r="J5194">
        <v>0.10269358238656</v>
      </c>
      <c r="K5194">
        <v>9.3398301604030703E-2</v>
      </c>
      <c r="L5194">
        <v>2358.1154776967201</v>
      </c>
      <c r="M5194">
        <v>41.267496625510198</v>
      </c>
      <c r="N5194">
        <v>57.488449564168</v>
      </c>
      <c r="O5194">
        <v>57.008505926938597</v>
      </c>
      <c r="P5194">
        <v>-0.16105709496963599</v>
      </c>
      <c r="Q5194">
        <v>0.11003977381203001</v>
      </c>
      <c r="R5194">
        <v>0.977360405895358</v>
      </c>
      <c r="S5194" t="s">
        <v>12197</v>
      </c>
      <c r="T5194" t="s">
        <v>14004</v>
      </c>
      <c r="U5194" t="s">
        <v>14004</v>
      </c>
      <c r="V5194" t="s">
        <v>14004</v>
      </c>
      <c r="W5194" t="s">
        <v>19143</v>
      </c>
      <c r="X5194">
        <v>11</v>
      </c>
      <c r="Y5194" t="s">
        <v>25948</v>
      </c>
      <c r="Z5194" t="s">
        <v>32904</v>
      </c>
      <c r="AA5194">
        <v>0.62183716481621343</v>
      </c>
      <c r="AB5194" t="str">
        <f>HYPERLINK("Melting_Curves/meltCurve_Q969X5_2_ERGIC1.pdf", "Melting_Curves/meltCurve_Q969X5_2_ERGIC1.pdf")</f>
        <v>Melting_Curves/meltCurve_Q969X5_2_ERGIC1.pdf</v>
      </c>
    </row>
    <row r="5195" spans="1:28" x14ac:dyDescent="0.25">
      <c r="A5195" t="s">
        <v>5199</v>
      </c>
      <c r="B5195">
        <v>0.99999676499088797</v>
      </c>
      <c r="C5195">
        <v>0.965504629494919</v>
      </c>
      <c r="D5195">
        <v>1.0221095948838701</v>
      </c>
      <c r="E5195">
        <v>1.38045917903835</v>
      </c>
      <c r="F5195">
        <v>0.86736543518309595</v>
      </c>
      <c r="G5195">
        <v>0.486448046923873</v>
      </c>
      <c r="H5195">
        <v>0.20225061173063899</v>
      </c>
      <c r="I5195">
        <v>0.22616928600170699</v>
      </c>
      <c r="J5195">
        <v>0.200051767926929</v>
      </c>
      <c r="K5195">
        <v>0.15652249248462999</v>
      </c>
      <c r="L5195">
        <v>2304.1313203442501</v>
      </c>
      <c r="M5195">
        <v>41.178251412541201</v>
      </c>
      <c r="N5195">
        <v>56.607210265528003</v>
      </c>
      <c r="O5195">
        <v>55.823588273368301</v>
      </c>
      <c r="P5195">
        <v>-0.149582445299903</v>
      </c>
      <c r="Q5195">
        <v>0.188871685788537</v>
      </c>
      <c r="R5195">
        <v>0.91393294483541399</v>
      </c>
      <c r="S5195" t="s">
        <v>12198</v>
      </c>
      <c r="T5195" t="s">
        <v>14004</v>
      </c>
      <c r="U5195" t="s">
        <v>14004</v>
      </c>
      <c r="V5195" t="s">
        <v>14004</v>
      </c>
      <c r="W5195" t="s">
        <v>19144</v>
      </c>
      <c r="X5195">
        <v>15</v>
      </c>
      <c r="Y5195" t="s">
        <v>25949</v>
      </c>
      <c r="Z5195" t="s">
        <v>32905</v>
      </c>
      <c r="AA5195">
        <v>0.62320207272545647</v>
      </c>
      <c r="AB5195" t="str">
        <f>HYPERLINK("Melting_Curves/meltCurve_Q969X6_CIRH1A.pdf", "Melting_Curves/meltCurve_Q969X6_CIRH1A.pdf")</f>
        <v>Melting_Curves/meltCurve_Q969X6_CIRH1A.pdf</v>
      </c>
    </row>
    <row r="5196" spans="1:28" x14ac:dyDescent="0.25">
      <c r="A5196" t="s">
        <v>5200</v>
      </c>
      <c r="B5196">
        <v>0.99999676499088797</v>
      </c>
      <c r="C5196">
        <v>1.02768691048553</v>
      </c>
      <c r="D5196">
        <v>1.0772261156159399</v>
      </c>
      <c r="E5196">
        <v>1.0468691776168</v>
      </c>
      <c r="F5196">
        <v>0.90831878094461804</v>
      </c>
      <c r="G5196">
        <v>0.57069717166212097</v>
      </c>
      <c r="H5196">
        <v>0.16173358437820401</v>
      </c>
      <c r="I5196">
        <v>0.13604480145103101</v>
      </c>
      <c r="J5196">
        <v>7.3139331553169304E-2</v>
      </c>
      <c r="K5196">
        <v>7.6911427103591404E-2</v>
      </c>
      <c r="L5196">
        <v>1940.53652672872</v>
      </c>
      <c r="M5196">
        <v>34.064196148758498</v>
      </c>
      <c r="N5196">
        <v>57.267080468400202</v>
      </c>
      <c r="O5196">
        <v>56.771788829225201</v>
      </c>
      <c r="P5196">
        <v>-0.13774574328747499</v>
      </c>
      <c r="Q5196">
        <v>8.1728930863166196E-2</v>
      </c>
      <c r="R5196">
        <v>0.99372870850972495</v>
      </c>
      <c r="S5196" t="s">
        <v>12199</v>
      </c>
      <c r="T5196" t="s">
        <v>14004</v>
      </c>
      <c r="U5196" t="s">
        <v>14004</v>
      </c>
      <c r="V5196" t="s">
        <v>14004</v>
      </c>
      <c r="W5196" t="s">
        <v>19145</v>
      </c>
      <c r="X5196">
        <v>11</v>
      </c>
      <c r="Y5196" t="s">
        <v>25950</v>
      </c>
      <c r="Z5196" t="s">
        <v>32906</v>
      </c>
      <c r="AA5196">
        <v>0.60593104329197678</v>
      </c>
      <c r="AB5196" t="str">
        <f>HYPERLINK("Melting_Curves/meltCurve_Q969Y2_3_GTPBP3.pdf", "Melting_Curves/meltCurve_Q969Y2_3_GTPBP3.pdf")</f>
        <v>Melting_Curves/meltCurve_Q969Y2_3_GTPBP3.pdf</v>
      </c>
    </row>
    <row r="5197" spans="1:28" x14ac:dyDescent="0.25">
      <c r="A5197" t="s">
        <v>5201</v>
      </c>
      <c r="B5197">
        <v>0.99999676499088797</v>
      </c>
      <c r="C5197">
        <v>1.0380265054529001</v>
      </c>
      <c r="D5197">
        <v>0.64244420928502699</v>
      </c>
      <c r="E5197">
        <v>0.26793240523495498</v>
      </c>
      <c r="F5197">
        <v>0.196395603617423</v>
      </c>
      <c r="G5197">
        <v>0.13963989261548801</v>
      </c>
      <c r="H5197">
        <v>6.5647902328910199E-2</v>
      </c>
      <c r="I5197">
        <v>6.15655426502748E-2</v>
      </c>
      <c r="J5197">
        <v>5.9414324371903797E-2</v>
      </c>
      <c r="K5197">
        <v>4.20176463751461E-2</v>
      </c>
      <c r="L5197">
        <v>1271.7426298844</v>
      </c>
      <c r="M5197">
        <v>27.0053908836523</v>
      </c>
      <c r="N5197">
        <v>47.412516207961701</v>
      </c>
      <c r="O5197">
        <v>46.836222722040397</v>
      </c>
      <c r="P5197">
        <v>-0.13212866467571699</v>
      </c>
      <c r="Q5197">
        <v>8.3390964763626105E-2</v>
      </c>
      <c r="R5197">
        <v>0.98395650926077705</v>
      </c>
      <c r="S5197" t="s">
        <v>12200</v>
      </c>
      <c r="T5197" t="s">
        <v>14004</v>
      </c>
      <c r="U5197" t="s">
        <v>14004</v>
      </c>
      <c r="V5197" t="s">
        <v>14004</v>
      </c>
      <c r="W5197" t="s">
        <v>19146</v>
      </c>
      <c r="X5197">
        <v>12</v>
      </c>
      <c r="Y5197" t="s">
        <v>25951</v>
      </c>
      <c r="Z5197" t="s">
        <v>32907</v>
      </c>
      <c r="AA5197">
        <v>0.30698311191203831</v>
      </c>
      <c r="AB5197" t="str">
        <f>HYPERLINK("Melting_Curves/meltCurve_Q969Z0_TBRG4.pdf", "Melting_Curves/meltCurve_Q969Z0_TBRG4.pdf")</f>
        <v>Melting_Curves/meltCurve_Q969Z0_TBRG4.pdf</v>
      </c>
    </row>
    <row r="5198" spans="1:28" x14ac:dyDescent="0.25">
      <c r="A5198" t="s">
        <v>5202</v>
      </c>
      <c r="B5198">
        <v>0.99999676499088797</v>
      </c>
      <c r="C5198">
        <v>0.97921619211953703</v>
      </c>
      <c r="D5198">
        <v>0.90529481331235595</v>
      </c>
      <c r="E5198">
        <v>0.64927735136799902</v>
      </c>
      <c r="F5198">
        <v>0.40077783181129001</v>
      </c>
      <c r="G5198">
        <v>0.33585744932747902</v>
      </c>
      <c r="H5198">
        <v>0.22958088282148301</v>
      </c>
      <c r="I5198">
        <v>0.37543915193378302</v>
      </c>
      <c r="J5198">
        <v>0.49872519813977101</v>
      </c>
      <c r="K5198">
        <v>0.56206939614196705</v>
      </c>
      <c r="L5198">
        <v>1638.82790248282</v>
      </c>
      <c r="M5198">
        <v>33.527824687863301</v>
      </c>
      <c r="N5198">
        <v>51.272753888571401</v>
      </c>
      <c r="O5198">
        <v>48.706730531440201</v>
      </c>
      <c r="P5198">
        <v>-0.10403870397467201</v>
      </c>
      <c r="Q5198">
        <v>0.39544375967281398</v>
      </c>
      <c r="R5198">
        <v>0.896170766452696</v>
      </c>
      <c r="S5198" t="s">
        <v>12201</v>
      </c>
      <c r="T5198" t="s">
        <v>14004</v>
      </c>
      <c r="U5198" t="s">
        <v>14004</v>
      </c>
      <c r="V5198" t="s">
        <v>14004</v>
      </c>
      <c r="W5198" t="s">
        <v>19147</v>
      </c>
      <c r="X5198">
        <v>5</v>
      </c>
      <c r="Y5198" t="s">
        <v>25952</v>
      </c>
      <c r="Z5198" t="s">
        <v>32908</v>
      </c>
      <c r="AA5198">
        <v>0.5773126604833867</v>
      </c>
      <c r="AB5198" t="str">
        <f>HYPERLINK("Melting_Curves/meltCurve_Q96A19_CCDC102A.pdf", "Melting_Curves/meltCurve_Q96A19_CCDC102A.pdf")</f>
        <v>Melting_Curves/meltCurve_Q96A19_CCDC102A.pdf</v>
      </c>
    </row>
    <row r="5199" spans="1:28" x14ac:dyDescent="0.25">
      <c r="A5199" t="s">
        <v>5203</v>
      </c>
      <c r="B5199">
        <v>0.99999676499088797</v>
      </c>
      <c r="C5199">
        <v>1.04307359747447</v>
      </c>
      <c r="D5199">
        <v>1.2114832893649401</v>
      </c>
      <c r="E5199">
        <v>0.68834936732478103</v>
      </c>
      <c r="F5199">
        <v>0.50225803585871098</v>
      </c>
      <c r="G5199">
        <v>0.79976978142559396</v>
      </c>
      <c r="H5199">
        <v>0.522427090591845</v>
      </c>
      <c r="I5199">
        <v>0.67102120083253003</v>
      </c>
      <c r="J5199">
        <v>0.15136085324728299</v>
      </c>
      <c r="K5199">
        <v>0</v>
      </c>
      <c r="L5199">
        <v>558.77250732764401</v>
      </c>
      <c r="M5199">
        <v>9.2601931474031591</v>
      </c>
      <c r="N5199">
        <v>60.341337450667602</v>
      </c>
      <c r="O5199">
        <v>57.727563552761502</v>
      </c>
      <c r="P5199">
        <v>-4.01291379357471E-2</v>
      </c>
      <c r="Q5199">
        <v>0</v>
      </c>
      <c r="R5199">
        <v>0.72202588323886197</v>
      </c>
      <c r="S5199" t="s">
        <v>12202</v>
      </c>
      <c r="T5199" t="s">
        <v>14004</v>
      </c>
      <c r="U5199" t="s">
        <v>14004</v>
      </c>
      <c r="V5199" t="s">
        <v>14004</v>
      </c>
      <c r="W5199" t="s">
        <v>19148</v>
      </c>
      <c r="X5199">
        <v>1</v>
      </c>
      <c r="Y5199" t="s">
        <v>25953</v>
      </c>
      <c r="Z5199" t="s">
        <v>32909</v>
      </c>
      <c r="AA5199">
        <v>0.66766716791537439</v>
      </c>
      <c r="AB5199" t="str">
        <f>HYPERLINK("Melting_Curves/meltCurve_Q96A29_2_SLC35C1.pdf", "Melting_Curves/meltCurve_Q96A29_2_SLC35C1.pdf")</f>
        <v>Melting_Curves/meltCurve_Q96A29_2_SLC35C1.pdf</v>
      </c>
    </row>
    <row r="5200" spans="1:28" x14ac:dyDescent="0.25">
      <c r="A5200" t="s">
        <v>5204</v>
      </c>
      <c r="B5200">
        <v>0.99999676499088797</v>
      </c>
      <c r="C5200">
        <v>0.96872613263217</v>
      </c>
      <c r="D5200">
        <v>1.0086274848075101</v>
      </c>
      <c r="E5200">
        <v>1.01725098815667</v>
      </c>
      <c r="F5200">
        <v>0.396423863017003</v>
      </c>
      <c r="G5200">
        <v>0.17651891164524999</v>
      </c>
      <c r="H5200">
        <v>7.2095870009884697E-2</v>
      </c>
      <c r="I5200">
        <v>6.9914141553170106E-2</v>
      </c>
      <c r="J5200">
        <v>6.3928770134886806E-2</v>
      </c>
      <c r="K5200">
        <v>5.2873061693943402E-2</v>
      </c>
      <c r="L5200">
        <v>3262.03028260872</v>
      </c>
      <c r="M5200">
        <v>61.939896051302597</v>
      </c>
      <c r="N5200">
        <v>52.8214091351809</v>
      </c>
      <c r="O5200">
        <v>52.609636424919103</v>
      </c>
      <c r="P5200">
        <v>-0.26959705204465501</v>
      </c>
      <c r="Q5200">
        <v>8.4054210694701204E-2</v>
      </c>
      <c r="R5200">
        <v>0.994110808528197</v>
      </c>
      <c r="S5200" t="s">
        <v>12203</v>
      </c>
      <c r="T5200" t="s">
        <v>14004</v>
      </c>
      <c r="U5200" t="s">
        <v>14004</v>
      </c>
      <c r="V5200" t="s">
        <v>14004</v>
      </c>
      <c r="W5200" t="s">
        <v>19149</v>
      </c>
      <c r="X5200">
        <v>18</v>
      </c>
      <c r="Y5200" t="s">
        <v>25954</v>
      </c>
      <c r="Z5200" t="s">
        <v>32910</v>
      </c>
      <c r="AA5200">
        <v>0.47210286677383678</v>
      </c>
      <c r="AB5200" t="str">
        <f>HYPERLINK("Melting_Curves/meltCurve_Q96A33_CCDC47.pdf", "Melting_Curves/meltCurve_Q96A33_CCDC47.pdf")</f>
        <v>Melting_Curves/meltCurve_Q96A33_CCDC47.pdf</v>
      </c>
    </row>
    <row r="5201" spans="1:28" x14ac:dyDescent="0.25">
      <c r="A5201" t="s">
        <v>5205</v>
      </c>
      <c r="B5201">
        <v>0.99999676499088797</v>
      </c>
      <c r="C5201">
        <v>0.90193117559388802</v>
      </c>
      <c r="D5201">
        <v>0.62445896374500298</v>
      </c>
      <c r="E5201">
        <v>0.55281408245365704</v>
      </c>
      <c r="F5201">
        <v>0.29747253009424302</v>
      </c>
      <c r="G5201">
        <v>0.188005641139118</v>
      </c>
      <c r="H5201">
        <v>0.164177359451913</v>
      </c>
      <c r="I5201">
        <v>0.209732600451186</v>
      </c>
      <c r="J5201">
        <v>9.8079102874586099E-2</v>
      </c>
      <c r="K5201">
        <v>0.13995455007010299</v>
      </c>
      <c r="L5201">
        <v>679.55945207238096</v>
      </c>
      <c r="M5201">
        <v>14.073153319684501</v>
      </c>
      <c r="N5201">
        <v>49.2808612820007</v>
      </c>
      <c r="O5201">
        <v>47.344022215222601</v>
      </c>
      <c r="P5201">
        <v>-6.5145637105877993E-2</v>
      </c>
      <c r="Q5201">
        <v>0.1234784069553</v>
      </c>
      <c r="R5201">
        <v>0.97805418628295604</v>
      </c>
      <c r="S5201" t="s">
        <v>12204</v>
      </c>
      <c r="T5201" t="s">
        <v>14004</v>
      </c>
      <c r="U5201" t="s">
        <v>14004</v>
      </c>
      <c r="V5201" t="s">
        <v>14004</v>
      </c>
      <c r="W5201" t="s">
        <v>19150</v>
      </c>
      <c r="X5201">
        <v>3</v>
      </c>
      <c r="Y5201" t="s">
        <v>25955</v>
      </c>
      <c r="Z5201" t="s">
        <v>32911</v>
      </c>
      <c r="AA5201">
        <v>0.39079586836198871</v>
      </c>
      <c r="AB5201" t="str">
        <f>HYPERLINK("Melting_Curves/meltCurve_Q96A47_ISL2.pdf", "Melting_Curves/meltCurve_Q96A47_ISL2.pdf")</f>
        <v>Melting_Curves/meltCurve_Q96A47_ISL2.pdf</v>
      </c>
    </row>
    <row r="5202" spans="1:28" x14ac:dyDescent="0.25">
      <c r="A5202" t="s">
        <v>5206</v>
      </c>
      <c r="B5202">
        <v>0.99999676499088797</v>
      </c>
      <c r="C5202">
        <v>0.83828544253214199</v>
      </c>
      <c r="D5202">
        <v>0.93348273247270397</v>
      </c>
      <c r="E5202">
        <v>0.88367928154855402</v>
      </c>
      <c r="F5202">
        <v>0.45715931005590199</v>
      </c>
      <c r="G5202">
        <v>0.225230660905267</v>
      </c>
      <c r="H5202">
        <v>0.114903847679202</v>
      </c>
      <c r="I5202">
        <v>9.10798879869468E-2</v>
      </c>
      <c r="J5202">
        <v>9.8888038568179501E-2</v>
      </c>
      <c r="K5202">
        <v>0.108959003546247</v>
      </c>
      <c r="L5202">
        <v>1410.5877501006601</v>
      </c>
      <c r="M5202">
        <v>26.828067920960802</v>
      </c>
      <c r="N5202">
        <v>53.005911930367901</v>
      </c>
      <c r="O5202">
        <v>52.289283181491498</v>
      </c>
      <c r="P5202">
        <v>-0.115800966972759</v>
      </c>
      <c r="Q5202">
        <v>9.7201167265274294E-2</v>
      </c>
      <c r="R5202">
        <v>0.978534579986722</v>
      </c>
      <c r="S5202" t="s">
        <v>12205</v>
      </c>
      <c r="T5202" t="s">
        <v>14004</v>
      </c>
      <c r="U5202" t="s">
        <v>14004</v>
      </c>
      <c r="V5202" t="s">
        <v>14004</v>
      </c>
      <c r="W5202" t="s">
        <v>19151</v>
      </c>
      <c r="X5202">
        <v>10</v>
      </c>
      <c r="Y5202" t="s">
        <v>25956</v>
      </c>
      <c r="Z5202" t="s">
        <v>32912</v>
      </c>
      <c r="AA5202">
        <v>0.48297648640885171</v>
      </c>
      <c r="AB5202" t="str">
        <f>HYPERLINK("Melting_Curves/meltCurve_Q96A49_SYAP1.pdf", "Melting_Curves/meltCurve_Q96A49_SYAP1.pdf")</f>
        <v>Melting_Curves/meltCurve_Q96A49_SYAP1.pdf</v>
      </c>
    </row>
    <row r="5203" spans="1:28" x14ac:dyDescent="0.25">
      <c r="A5203" t="s">
        <v>5207</v>
      </c>
      <c r="B5203">
        <v>0.99999676499088797</v>
      </c>
      <c r="C5203">
        <v>0.99323511236804796</v>
      </c>
      <c r="D5203">
        <v>0.84755026294746405</v>
      </c>
      <c r="E5203">
        <v>0.30400793992270297</v>
      </c>
      <c r="F5203">
        <v>0.20868037936782899</v>
      </c>
      <c r="G5203">
        <v>0.16844625769638899</v>
      </c>
      <c r="H5203">
        <v>0.101622689464772</v>
      </c>
      <c r="I5203">
        <v>8.6703701368363001E-2</v>
      </c>
      <c r="J5203">
        <v>6.7486431928403007E-2</v>
      </c>
      <c r="K5203">
        <v>9.3190662526183202E-2</v>
      </c>
      <c r="L5203">
        <v>1656.86297308034</v>
      </c>
      <c r="M5203">
        <v>34.542390047991901</v>
      </c>
      <c r="N5203">
        <v>48.322360475592802</v>
      </c>
      <c r="O5203">
        <v>47.806169515140198</v>
      </c>
      <c r="P5203">
        <v>-0.16033114201232801</v>
      </c>
      <c r="Q5203">
        <v>0.11241935051738799</v>
      </c>
      <c r="R5203">
        <v>0.99197915677650805</v>
      </c>
      <c r="S5203" t="s">
        <v>12206</v>
      </c>
      <c r="T5203" t="s">
        <v>14004</v>
      </c>
      <c r="U5203" t="s">
        <v>14004</v>
      </c>
      <c r="V5203" t="s">
        <v>14004</v>
      </c>
      <c r="W5203" t="s">
        <v>19152</v>
      </c>
      <c r="X5203">
        <v>13</v>
      </c>
      <c r="Y5203" t="s">
        <v>25957</v>
      </c>
      <c r="Z5203" t="s">
        <v>32913</v>
      </c>
      <c r="AA5203">
        <v>0.35208956277980502</v>
      </c>
      <c r="AB5203" t="str">
        <f>HYPERLINK("Melting_Curves/meltCurve_Q96A65_EXOC4.pdf", "Melting_Curves/meltCurve_Q96A65_EXOC4.pdf")</f>
        <v>Melting_Curves/meltCurve_Q96A65_EXOC4.pdf</v>
      </c>
    </row>
    <row r="5204" spans="1:28" x14ac:dyDescent="0.25">
      <c r="A5204" t="s">
        <v>5208</v>
      </c>
      <c r="B5204">
        <v>0.99999676499088797</v>
      </c>
      <c r="C5204">
        <v>0.88755696873413303</v>
      </c>
      <c r="D5204">
        <v>0.92961303229496695</v>
      </c>
      <c r="E5204">
        <v>0.73114211072763802</v>
      </c>
      <c r="F5204">
        <v>0.51459132027919796</v>
      </c>
      <c r="G5204">
        <v>0.29257760170331298</v>
      </c>
      <c r="H5204">
        <v>0.17396259076176801</v>
      </c>
      <c r="I5204">
        <v>0.15423785149763899</v>
      </c>
      <c r="J5204">
        <v>0.129146275441272</v>
      </c>
      <c r="K5204">
        <v>0.11114879045006699</v>
      </c>
      <c r="L5204">
        <v>792.94345856491805</v>
      </c>
      <c r="M5204">
        <v>15.108065265825299</v>
      </c>
      <c r="N5204">
        <v>53.171509149678698</v>
      </c>
      <c r="O5204">
        <v>51.591007270738899</v>
      </c>
      <c r="P5204">
        <v>-6.6728294340869798E-2</v>
      </c>
      <c r="Q5204">
        <v>8.8634649388995596E-2</v>
      </c>
      <c r="R5204">
        <v>0.992893666232748</v>
      </c>
      <c r="S5204" t="s">
        <v>12207</v>
      </c>
      <c r="T5204" t="s">
        <v>14004</v>
      </c>
      <c r="U5204" t="s">
        <v>14004</v>
      </c>
      <c r="V5204" t="s">
        <v>14004</v>
      </c>
      <c r="W5204" t="s">
        <v>19153</v>
      </c>
      <c r="X5204">
        <v>3</v>
      </c>
      <c r="Y5204" t="s">
        <v>25958</v>
      </c>
      <c r="Z5204" t="s">
        <v>32914</v>
      </c>
      <c r="AA5204">
        <v>0.48771730505150329</v>
      </c>
      <c r="AB5204" t="str">
        <f>HYPERLINK("Melting_Curves/meltCurve_Q96A73_KIAA1191.pdf", "Melting_Curves/meltCurve_Q96A73_KIAA1191.pdf")</f>
        <v>Melting_Curves/meltCurve_Q96A73_KIAA1191.pdf</v>
      </c>
    </row>
    <row r="5205" spans="1:28" x14ac:dyDescent="0.25">
      <c r="A5205" t="s">
        <v>5209</v>
      </c>
      <c r="B5205">
        <v>0.99999676499088797</v>
      </c>
      <c r="C5205">
        <v>1.0555199823583601</v>
      </c>
      <c r="D5205">
        <v>1.02983844220246</v>
      </c>
      <c r="E5205">
        <v>0.75518909878825502</v>
      </c>
      <c r="F5205">
        <v>0.49173377237708898</v>
      </c>
      <c r="G5205">
        <v>0.39354209304293403</v>
      </c>
      <c r="H5205">
        <v>0.20228850703298101</v>
      </c>
      <c r="I5205">
        <v>0.251485951216736</v>
      </c>
      <c r="J5205">
        <v>0.286132930195521</v>
      </c>
      <c r="K5205">
        <v>0.16963367045133801</v>
      </c>
      <c r="L5205">
        <v>1135.10133435292</v>
      </c>
      <c r="M5205">
        <v>21.894714137315901</v>
      </c>
      <c r="N5205">
        <v>53.311876243956597</v>
      </c>
      <c r="O5205">
        <v>51.416942526617397</v>
      </c>
      <c r="P5205">
        <v>-8.2354878217516206E-2</v>
      </c>
      <c r="Q5205">
        <v>0.22641771513731401</v>
      </c>
      <c r="R5205">
        <v>0.97861206575220006</v>
      </c>
      <c r="S5205" t="s">
        <v>12208</v>
      </c>
      <c r="T5205" t="s">
        <v>14004</v>
      </c>
      <c r="U5205" t="s">
        <v>14004</v>
      </c>
      <c r="V5205" t="s">
        <v>14004</v>
      </c>
      <c r="W5205" t="s">
        <v>19154</v>
      </c>
      <c r="X5205">
        <v>5</v>
      </c>
      <c r="Y5205" t="s">
        <v>25959</v>
      </c>
      <c r="Z5205" t="s">
        <v>32915</v>
      </c>
      <c r="AA5205">
        <v>0.54089049216421492</v>
      </c>
      <c r="AB5205" t="str">
        <f>HYPERLINK("Melting_Curves/meltCurve_Q96AB6_NTAN1.pdf", "Melting_Curves/meltCurve_Q96AB6_NTAN1.pdf")</f>
        <v>Melting_Curves/meltCurve_Q96AB6_NTAN1.pdf</v>
      </c>
    </row>
    <row r="5206" spans="1:28" x14ac:dyDescent="0.25">
      <c r="A5206" t="s">
        <v>5210</v>
      </c>
      <c r="B5206">
        <v>0.99999676499088797</v>
      </c>
      <c r="C5206">
        <v>1.0520793575702601</v>
      </c>
      <c r="D5206">
        <v>1.03468405695883</v>
      </c>
      <c r="E5206">
        <v>1.14380827262086</v>
      </c>
      <c r="F5206">
        <v>0.89883851821323402</v>
      </c>
      <c r="G5206">
        <v>0.512849893855438</v>
      </c>
      <c r="H5206">
        <v>0.15966439553741199</v>
      </c>
      <c r="I5206">
        <v>0.157907289800474</v>
      </c>
      <c r="J5206">
        <v>0.159337974908484</v>
      </c>
      <c r="K5206">
        <v>0.15231474693108801</v>
      </c>
      <c r="L5206">
        <v>2305.8451130726899</v>
      </c>
      <c r="M5206">
        <v>40.9396333221909</v>
      </c>
      <c r="N5206">
        <v>56.806002250757999</v>
      </c>
      <c r="O5206">
        <v>56.189155002486402</v>
      </c>
      <c r="P5206">
        <v>-0.15538029630622199</v>
      </c>
      <c r="Q5206">
        <v>0.14697107621786001</v>
      </c>
      <c r="R5206">
        <v>0.98400844624186801</v>
      </c>
      <c r="S5206" t="s">
        <v>12209</v>
      </c>
      <c r="T5206" t="s">
        <v>14004</v>
      </c>
      <c r="U5206" t="s">
        <v>14004</v>
      </c>
      <c r="V5206" t="s">
        <v>14004</v>
      </c>
      <c r="W5206" t="s">
        <v>19155</v>
      </c>
      <c r="X5206">
        <v>13</v>
      </c>
      <c r="Y5206" t="s">
        <v>25960</v>
      </c>
      <c r="Z5206" t="s">
        <v>32916</v>
      </c>
      <c r="AA5206">
        <v>0.61425391512633198</v>
      </c>
      <c r="AB5206" t="str">
        <f>HYPERLINK("Melting_Curves/meltCurve_Q96AC1_FERMT2.pdf", "Melting_Curves/meltCurve_Q96AC1_FERMT2.pdf")</f>
        <v>Melting_Curves/meltCurve_Q96AC1_FERMT2.pdf</v>
      </c>
    </row>
    <row r="5207" spans="1:28" x14ac:dyDescent="0.25">
      <c r="A5207" t="s">
        <v>5211</v>
      </c>
      <c r="B5207">
        <v>0.99999676499088797</v>
      </c>
      <c r="C5207">
        <v>0.99345855669857497</v>
      </c>
      <c r="D5207">
        <v>0.98292964100607705</v>
      </c>
      <c r="E5207">
        <v>0.89569910649656204</v>
      </c>
      <c r="F5207">
        <v>0.77368587808239198</v>
      </c>
      <c r="G5207">
        <v>0.80744697197566095</v>
      </c>
      <c r="H5207">
        <v>0.42581068033122099</v>
      </c>
      <c r="I5207">
        <v>0.38929957341183302</v>
      </c>
      <c r="J5207">
        <v>0.35973916736383998</v>
      </c>
      <c r="K5207">
        <v>0.35726458659081001</v>
      </c>
      <c r="L5207">
        <v>819.53837214341297</v>
      </c>
      <c r="M5207">
        <v>14.2028424508415</v>
      </c>
      <c r="N5207">
        <v>61.016480654841999</v>
      </c>
      <c r="O5207">
        <v>56.594646674683602</v>
      </c>
      <c r="P5207">
        <v>-4.58794187216785E-2</v>
      </c>
      <c r="Q5207">
        <v>0.26882109096810303</v>
      </c>
      <c r="R5207">
        <v>0.95729771463832503</v>
      </c>
      <c r="S5207" t="s">
        <v>12210</v>
      </c>
      <c r="T5207" t="s">
        <v>14004</v>
      </c>
      <c r="U5207" t="s">
        <v>14004</v>
      </c>
      <c r="V5207" t="s">
        <v>14004</v>
      </c>
      <c r="W5207" t="s">
        <v>19156</v>
      </c>
      <c r="X5207">
        <v>46</v>
      </c>
      <c r="Y5207" t="s">
        <v>25961</v>
      </c>
      <c r="Z5207" t="s">
        <v>32917</v>
      </c>
      <c r="AA5207">
        <v>0.71078519462755074</v>
      </c>
      <c r="AB5207" t="str">
        <f>HYPERLINK("Melting_Curves/meltCurve_Q96AE4_FUBP1.pdf", "Melting_Curves/meltCurve_Q96AE4_FUBP1.pdf")</f>
        <v>Melting_Curves/meltCurve_Q96AE4_FUBP1.pdf</v>
      </c>
    </row>
    <row r="5208" spans="1:28" x14ac:dyDescent="0.25">
      <c r="A5208" t="s">
        <v>5212</v>
      </c>
      <c r="B5208">
        <v>0.99999676499088797</v>
      </c>
      <c r="C5208">
        <v>0.98761822042985303</v>
      </c>
      <c r="D5208">
        <v>1.1207232600118</v>
      </c>
      <c r="E5208">
        <v>0.975696138631027</v>
      </c>
      <c r="F5208">
        <v>0.86982615656994799</v>
      </c>
      <c r="G5208">
        <v>1.0873580176925399</v>
      </c>
      <c r="H5208">
        <v>0.52555337074907404</v>
      </c>
      <c r="I5208">
        <v>0.44735498729419798</v>
      </c>
      <c r="J5208">
        <v>0.33791311870173302</v>
      </c>
      <c r="K5208">
        <v>0.465381938463864</v>
      </c>
      <c r="L5208">
        <v>12935.0064919988</v>
      </c>
      <c r="M5208">
        <v>214.22061443502599</v>
      </c>
      <c r="N5208">
        <v>60.891746115594799</v>
      </c>
      <c r="O5208">
        <v>60.376445206065902</v>
      </c>
      <c r="P5208">
        <v>-0.51723793017095798</v>
      </c>
      <c r="Q5208">
        <v>0.416881749698293</v>
      </c>
      <c r="R5208">
        <v>0.93961096393867705</v>
      </c>
      <c r="S5208" t="s">
        <v>12211</v>
      </c>
      <c r="T5208" t="s">
        <v>14004</v>
      </c>
      <c r="U5208" t="s">
        <v>14004</v>
      </c>
      <c r="V5208" t="s">
        <v>14004</v>
      </c>
      <c r="W5208" t="s">
        <v>19157</v>
      </c>
      <c r="X5208">
        <v>45</v>
      </c>
      <c r="Y5208" t="s">
        <v>25961</v>
      </c>
      <c r="Z5208" t="s">
        <v>32918</v>
      </c>
      <c r="AA5208">
        <v>0.81313076875592205</v>
      </c>
      <c r="AB5208" t="str">
        <f>HYPERLINK("Melting_Curves/meltCurve_Q96AE4_2_FUBP1.pdf", "Melting_Curves/meltCurve_Q96AE4_2_FUBP1.pdf")</f>
        <v>Melting_Curves/meltCurve_Q96AE4_2_FUBP1.pdf</v>
      </c>
    </row>
    <row r="5209" spans="1:28" x14ac:dyDescent="0.25">
      <c r="A5209" t="s">
        <v>5213</v>
      </c>
      <c r="B5209">
        <v>0.99999676499088797</v>
      </c>
      <c r="C5209">
        <v>1.0309101324469001</v>
      </c>
      <c r="D5209">
        <v>0.99852774017148604</v>
      </c>
      <c r="E5209">
        <v>0.85177604443059096</v>
      </c>
      <c r="F5209">
        <v>0.73859409824063305</v>
      </c>
      <c r="G5209">
        <v>0.56765615002637204</v>
      </c>
      <c r="H5209">
        <v>0.18994152873575201</v>
      </c>
      <c r="I5209">
        <v>0.14828371885944</v>
      </c>
      <c r="J5209">
        <v>0.12859310182432401</v>
      </c>
      <c r="K5209">
        <v>0.11624069313508301</v>
      </c>
      <c r="L5209">
        <v>970.20004795887405</v>
      </c>
      <c r="M5209">
        <v>17.240280076205501</v>
      </c>
      <c r="N5209">
        <v>56.692057445003002</v>
      </c>
      <c r="O5209">
        <v>55.534414872780999</v>
      </c>
      <c r="P5209">
        <v>-7.2994805679164096E-2</v>
      </c>
      <c r="Q5209">
        <v>5.9531109821072299E-2</v>
      </c>
      <c r="R5209">
        <v>0.98728572363043399</v>
      </c>
      <c r="S5209" t="s">
        <v>12212</v>
      </c>
      <c r="T5209" t="s">
        <v>14004</v>
      </c>
      <c r="U5209" t="s">
        <v>14004</v>
      </c>
      <c r="V5209" t="s">
        <v>14004</v>
      </c>
      <c r="W5209" t="s">
        <v>19158</v>
      </c>
      <c r="X5209">
        <v>4</v>
      </c>
      <c r="Y5209" t="s">
        <v>25962</v>
      </c>
      <c r="Z5209" t="s">
        <v>32919</v>
      </c>
      <c r="AA5209">
        <v>0.5840206207416726</v>
      </c>
      <c r="AB5209" t="str">
        <f>HYPERLINK("Melting_Curves/meltCurve_Q96AG3_SLC25A46.pdf", "Melting_Curves/meltCurve_Q96AG3_SLC25A46.pdf")</f>
        <v>Melting_Curves/meltCurve_Q96AG3_SLC25A46.pdf</v>
      </c>
    </row>
    <row r="5210" spans="1:28" x14ac:dyDescent="0.25">
      <c r="A5210" t="s">
        <v>5214</v>
      </c>
      <c r="B5210">
        <v>0.99999676499088797</v>
      </c>
      <c r="C5210">
        <v>0.94704121889965098</v>
      </c>
      <c r="D5210">
        <v>0.95404642995127398</v>
      </c>
      <c r="E5210">
        <v>1.0630940585255599</v>
      </c>
      <c r="F5210">
        <v>0.91164226315420804</v>
      </c>
      <c r="G5210">
        <v>0.57931879941841502</v>
      </c>
      <c r="H5210">
        <v>0.25180534990292602</v>
      </c>
      <c r="I5210">
        <v>0.244013021511817</v>
      </c>
      <c r="J5210">
        <v>0.21077296473539101</v>
      </c>
      <c r="K5210">
        <v>0.22110798449830099</v>
      </c>
      <c r="L5210">
        <v>2109.0135073306601</v>
      </c>
      <c r="M5210">
        <v>37.321159007794598</v>
      </c>
      <c r="N5210">
        <v>57.383345002809897</v>
      </c>
      <c r="O5210">
        <v>56.348350145946803</v>
      </c>
      <c r="P5210">
        <v>-0.129700392006319</v>
      </c>
      <c r="Q5210">
        <v>0.21670351743402699</v>
      </c>
      <c r="R5210">
        <v>0.99154379849251595</v>
      </c>
      <c r="S5210" t="s">
        <v>12213</v>
      </c>
      <c r="T5210" t="s">
        <v>14004</v>
      </c>
      <c r="U5210" t="s">
        <v>14004</v>
      </c>
      <c r="V5210" t="s">
        <v>14004</v>
      </c>
      <c r="W5210" t="s">
        <v>19159</v>
      </c>
      <c r="X5210">
        <v>18</v>
      </c>
      <c r="Y5210" t="s">
        <v>25963</v>
      </c>
      <c r="Z5210" t="s">
        <v>32920</v>
      </c>
      <c r="AA5210">
        <v>0.65124539529037395</v>
      </c>
      <c r="AB5210" t="str">
        <f>HYPERLINK("Melting_Curves/meltCurve_Q96AG4_LRRC59.pdf", "Melting_Curves/meltCurve_Q96AG4_LRRC59.pdf")</f>
        <v>Melting_Curves/meltCurve_Q96AG4_LRRC59.pdf</v>
      </c>
    </row>
    <row r="5211" spans="1:28" x14ac:dyDescent="0.25">
      <c r="A5211" t="s">
        <v>5215</v>
      </c>
      <c r="B5211">
        <v>0.99999676499088797</v>
      </c>
      <c r="C5211">
        <v>0.94395648832010204</v>
      </c>
      <c r="D5211">
        <v>0.99659953842329996</v>
      </c>
      <c r="E5211">
        <v>1.0047028333474399</v>
      </c>
      <c r="F5211">
        <v>1.0453203291686199</v>
      </c>
      <c r="G5211">
        <v>0.87822816999343001</v>
      </c>
      <c r="H5211">
        <v>0.61598961073804204</v>
      </c>
      <c r="I5211">
        <v>0.58770765719333995</v>
      </c>
      <c r="J5211">
        <v>0.51760336886533698</v>
      </c>
      <c r="K5211">
        <v>0.64316861313276996</v>
      </c>
      <c r="L5211">
        <v>3259.60140032765</v>
      </c>
      <c r="M5211">
        <v>56.4602432870551</v>
      </c>
      <c r="O5211">
        <v>57.660392261906999</v>
      </c>
      <c r="P5211">
        <v>-0.101669849684034</v>
      </c>
      <c r="Q5211">
        <v>0.58467622351576498</v>
      </c>
      <c r="R5211">
        <v>0.96477901544682798</v>
      </c>
      <c r="S5211" t="s">
        <v>12214</v>
      </c>
      <c r="T5211" t="s">
        <v>14004</v>
      </c>
      <c r="U5211" t="s">
        <v>14004</v>
      </c>
      <c r="V5211" t="s">
        <v>14004</v>
      </c>
      <c r="W5211" t="s">
        <v>19160</v>
      </c>
      <c r="X5211">
        <v>15</v>
      </c>
      <c r="Y5211" t="s">
        <v>25964</v>
      </c>
      <c r="Z5211" t="s">
        <v>32921</v>
      </c>
      <c r="AA5211">
        <v>0.83099710992267117</v>
      </c>
      <c r="AB5211" t="str">
        <f>HYPERLINK("Melting_Curves/meltCurve_Q96AJ9_1_VTI1A.pdf", "Melting_Curves/meltCurve_Q96AJ9_1_VTI1A.pdf")</f>
        <v>Melting_Curves/meltCurve_Q96AJ9_1_VTI1A.pdf</v>
      </c>
    </row>
    <row r="5212" spans="1:28" x14ac:dyDescent="0.25">
      <c r="A5212" t="s">
        <v>5216</v>
      </c>
      <c r="B5212">
        <v>0.99999676499088797</v>
      </c>
      <c r="C5212">
        <v>0.84273043606572495</v>
      </c>
      <c r="D5212">
        <v>0.50543147035010105</v>
      </c>
      <c r="E5212">
        <v>0.26164689510884298</v>
      </c>
      <c r="F5212">
        <v>0.221210982912321</v>
      </c>
      <c r="G5212">
        <v>0.15701920024250399</v>
      </c>
      <c r="H5212">
        <v>7.4995183492350306E-2</v>
      </c>
      <c r="I5212">
        <v>7.6831972958190706E-2</v>
      </c>
      <c r="J5212">
        <v>6.6397276305383904E-2</v>
      </c>
      <c r="K5212">
        <v>6.0279938245968098E-2</v>
      </c>
      <c r="L5212">
        <v>885.19766308910505</v>
      </c>
      <c r="M5212">
        <v>19.236894956899899</v>
      </c>
      <c r="N5212">
        <v>46.484838200118901</v>
      </c>
      <c r="O5212">
        <v>45.526990830150901</v>
      </c>
      <c r="P5212">
        <v>-9.63166737022568E-2</v>
      </c>
      <c r="Q5212">
        <v>8.8242908162831493E-2</v>
      </c>
      <c r="R5212">
        <v>0.98714398128674496</v>
      </c>
      <c r="S5212" t="s">
        <v>12215</v>
      </c>
      <c r="T5212" t="s">
        <v>14004</v>
      </c>
      <c r="U5212" t="s">
        <v>14004</v>
      </c>
      <c r="V5212" t="s">
        <v>14004</v>
      </c>
      <c r="W5212" t="s">
        <v>19161</v>
      </c>
      <c r="X5212">
        <v>3</v>
      </c>
      <c r="Y5212" t="s">
        <v>25965</v>
      </c>
      <c r="Z5212" t="s">
        <v>32922</v>
      </c>
      <c r="AA5212">
        <v>0.28645535115252779</v>
      </c>
      <c r="AB5212" t="str">
        <f>HYPERLINK("Melting_Curves/meltCurve_Q96AP0_2_ACD.pdf", "Melting_Curves/meltCurve_Q96AP0_2_ACD.pdf")</f>
        <v>Melting_Curves/meltCurve_Q96AP0_2_ACD.pdf</v>
      </c>
    </row>
    <row r="5213" spans="1:28" x14ac:dyDescent="0.25">
      <c r="A5213" t="s">
        <v>5217</v>
      </c>
      <c r="B5213">
        <v>0.99999676499088797</v>
      </c>
      <c r="C5213">
        <v>1.0506873930028</v>
      </c>
      <c r="D5213">
        <v>0.99936220529874498</v>
      </c>
      <c r="E5213">
        <v>0.91542123237389394</v>
      </c>
      <c r="F5213">
        <v>0.77122023196528</v>
      </c>
      <c r="G5213">
        <v>0.68027689068069896</v>
      </c>
      <c r="H5213">
        <v>0.43879009551660703</v>
      </c>
      <c r="I5213">
        <v>0.58323416751189405</v>
      </c>
      <c r="J5213">
        <v>0.58067634080016794</v>
      </c>
      <c r="K5213">
        <v>0.55459868620058494</v>
      </c>
      <c r="L5213">
        <v>1260.0801998884799</v>
      </c>
      <c r="M5213">
        <v>23.641231270131598</v>
      </c>
      <c r="O5213">
        <v>52.923128746092097</v>
      </c>
      <c r="P5213">
        <v>-5.1266510851737598E-2</v>
      </c>
      <c r="Q5213">
        <v>0.54094791920363405</v>
      </c>
      <c r="R5213">
        <v>0.94460832916140702</v>
      </c>
      <c r="S5213" t="s">
        <v>12216</v>
      </c>
      <c r="T5213" t="s">
        <v>14004</v>
      </c>
      <c r="U5213" t="s">
        <v>14004</v>
      </c>
      <c r="V5213" t="s">
        <v>14004</v>
      </c>
      <c r="W5213" t="s">
        <v>19162</v>
      </c>
      <c r="X5213">
        <v>12</v>
      </c>
      <c r="Y5213" t="s">
        <v>25966</v>
      </c>
      <c r="Z5213" t="s">
        <v>32923</v>
      </c>
      <c r="AA5213">
        <v>0.74915694630321439</v>
      </c>
      <c r="AB5213" t="str">
        <f>HYPERLINK("Melting_Curves/meltCurve_Q96AQ6_2_PBXIP1.pdf", "Melting_Curves/meltCurve_Q96AQ6_2_PBXIP1.pdf")</f>
        <v>Melting_Curves/meltCurve_Q96AQ6_2_PBXIP1.pdf</v>
      </c>
    </row>
    <row r="5214" spans="1:28" x14ac:dyDescent="0.25">
      <c r="A5214" t="s">
        <v>5218</v>
      </c>
      <c r="B5214">
        <v>0.99999676499088797</v>
      </c>
      <c r="C5214">
        <v>0.97061250317696801</v>
      </c>
      <c r="D5214">
        <v>0.97714902631422496</v>
      </c>
      <c r="E5214">
        <v>1.0391207119414501</v>
      </c>
      <c r="F5214">
        <v>0.84323341726517298</v>
      </c>
      <c r="G5214">
        <v>0.75734527423967102</v>
      </c>
      <c r="H5214">
        <v>0.34720419936798202</v>
      </c>
      <c r="I5214">
        <v>8.3559762313387007E-2</v>
      </c>
      <c r="J5214">
        <v>7.4060714668991501E-2</v>
      </c>
      <c r="K5214">
        <v>5.8448252390667997E-2</v>
      </c>
      <c r="L5214">
        <v>1441.56899042329</v>
      </c>
      <c r="M5214">
        <v>24.447701570978499</v>
      </c>
      <c r="N5214">
        <v>59.033581148604199</v>
      </c>
      <c r="O5214">
        <v>58.575143352486798</v>
      </c>
      <c r="P5214">
        <v>-0.102892766331588</v>
      </c>
      <c r="Q5214">
        <v>1.3916296281787E-2</v>
      </c>
      <c r="R5214">
        <v>0.98917752723403796</v>
      </c>
      <c r="S5214" t="s">
        <v>12217</v>
      </c>
      <c r="T5214" t="s">
        <v>14004</v>
      </c>
      <c r="U5214" t="s">
        <v>14004</v>
      </c>
      <c r="V5214" t="s">
        <v>14004</v>
      </c>
      <c r="W5214" t="s">
        <v>19163</v>
      </c>
      <c r="X5214">
        <v>9</v>
      </c>
      <c r="Y5214" t="s">
        <v>25967</v>
      </c>
      <c r="Z5214" t="s">
        <v>32924</v>
      </c>
      <c r="AA5214">
        <v>0.64561426343348005</v>
      </c>
      <c r="AB5214" t="str">
        <f>HYPERLINK("Melting_Curves/meltCurve_Q96AQ8_MCUR1.pdf", "Melting_Curves/meltCurve_Q96AQ8_MCUR1.pdf")</f>
        <v>Melting_Curves/meltCurve_Q96AQ8_MCUR1.pdf</v>
      </c>
    </row>
    <row r="5215" spans="1:28" x14ac:dyDescent="0.25">
      <c r="A5215" t="s">
        <v>5219</v>
      </c>
      <c r="B5215">
        <v>0.99999676499088797</v>
      </c>
      <c r="C5215">
        <v>1.00588431744871</v>
      </c>
      <c r="D5215">
        <v>1.01276281245206</v>
      </c>
      <c r="E5215">
        <v>0.833461158465021</v>
      </c>
      <c r="F5215">
        <v>0.73113584501044604</v>
      </c>
      <c r="G5215">
        <v>0.70934153816165202</v>
      </c>
      <c r="H5215">
        <v>0.47236476164129798</v>
      </c>
      <c r="I5215">
        <v>0.58126428263037699</v>
      </c>
      <c r="J5215">
        <v>0.59311171443075095</v>
      </c>
      <c r="K5215">
        <v>0.58321189256480899</v>
      </c>
      <c r="L5215">
        <v>986.64370102367297</v>
      </c>
      <c r="M5215">
        <v>18.991195244050498</v>
      </c>
      <c r="O5215">
        <v>51.3869150814809</v>
      </c>
      <c r="P5215">
        <v>-4.05644436404963E-2</v>
      </c>
      <c r="Q5215">
        <v>0.56097568949838295</v>
      </c>
      <c r="R5215">
        <v>0.93395752534680598</v>
      </c>
      <c r="S5215" t="s">
        <v>12218</v>
      </c>
      <c r="T5215" t="s">
        <v>14004</v>
      </c>
      <c r="U5215" t="s">
        <v>14004</v>
      </c>
      <c r="V5215" t="s">
        <v>14004</v>
      </c>
      <c r="W5215" t="s">
        <v>19164</v>
      </c>
      <c r="X5215">
        <v>18</v>
      </c>
      <c r="Y5215" t="s">
        <v>25968</v>
      </c>
      <c r="Z5215" t="s">
        <v>32925</v>
      </c>
      <c r="AA5215">
        <v>0.74255491202502422</v>
      </c>
      <c r="AB5215" t="str">
        <f>HYPERLINK("Melting_Curves/meltCurve_Q96AT1_KIAA1143.pdf", "Melting_Curves/meltCurve_Q96AT1_KIAA1143.pdf")</f>
        <v>Melting_Curves/meltCurve_Q96AT1_KIAA1143.pdf</v>
      </c>
    </row>
    <row r="5216" spans="1:28" x14ac:dyDescent="0.25">
      <c r="A5216" t="s">
        <v>5220</v>
      </c>
      <c r="B5216">
        <v>0.99999676499088797</v>
      </c>
      <c r="C5216">
        <v>1.0985540304296399</v>
      </c>
      <c r="D5216">
        <v>1.0227267176547901</v>
      </c>
      <c r="E5216">
        <v>0.87729318024536296</v>
      </c>
      <c r="F5216">
        <v>1.0029275121919401</v>
      </c>
      <c r="G5216">
        <v>0.66695480035286403</v>
      </c>
      <c r="H5216">
        <v>0.34445359403872999</v>
      </c>
      <c r="I5216">
        <v>0.27574264218246602</v>
      </c>
      <c r="J5216">
        <v>0.20979892603445199</v>
      </c>
      <c r="K5216">
        <v>0.181020334012988</v>
      </c>
      <c r="L5216">
        <v>1732.4165121384799</v>
      </c>
      <c r="M5216">
        <v>30.0526280025658</v>
      </c>
      <c r="N5216">
        <v>58.662764752832302</v>
      </c>
      <c r="O5216">
        <v>57.392651590739099</v>
      </c>
      <c r="P5216">
        <v>-0.10433586743102601</v>
      </c>
      <c r="Q5216">
        <v>0.202988401940466</v>
      </c>
      <c r="R5216">
        <v>0.97647897529583705</v>
      </c>
      <c r="S5216" t="s">
        <v>12219</v>
      </c>
      <c r="T5216" t="s">
        <v>14004</v>
      </c>
      <c r="U5216" t="s">
        <v>14004</v>
      </c>
      <c r="V5216" t="s">
        <v>14004</v>
      </c>
      <c r="W5216" t="s">
        <v>19165</v>
      </c>
      <c r="X5216">
        <v>10</v>
      </c>
      <c r="Y5216" t="s">
        <v>25969</v>
      </c>
      <c r="Z5216" t="s">
        <v>32926</v>
      </c>
      <c r="AA5216">
        <v>0.67705289857130169</v>
      </c>
      <c r="AB5216" t="str">
        <f>HYPERLINK("Melting_Curves/meltCurve_Q96AT9_RPE.pdf", "Melting_Curves/meltCurve_Q96AT9_RPE.pdf")</f>
        <v>Melting_Curves/meltCurve_Q96AT9_RPE.pdf</v>
      </c>
    </row>
    <row r="5217" spans="1:28" x14ac:dyDescent="0.25">
      <c r="A5217" t="s">
        <v>5221</v>
      </c>
      <c r="B5217">
        <v>0.99999676499088797</v>
      </c>
      <c r="C5217">
        <v>0.99003107195301998</v>
      </c>
      <c r="D5217">
        <v>0.99490289942643495</v>
      </c>
      <c r="E5217">
        <v>1.0032170009940899</v>
      </c>
      <c r="F5217">
        <v>0.87118233725241401</v>
      </c>
      <c r="G5217">
        <v>0.61244629842377896</v>
      </c>
      <c r="H5217">
        <v>0.16871041119476499</v>
      </c>
      <c r="I5217">
        <v>0.107213867537833</v>
      </c>
      <c r="J5217">
        <v>0.11577864800148201</v>
      </c>
      <c r="K5217">
        <v>7.2788271188281906E-2</v>
      </c>
      <c r="L5217">
        <v>1757.3977817549801</v>
      </c>
      <c r="M5217">
        <v>30.747322504616701</v>
      </c>
      <c r="N5217">
        <v>57.466644697285602</v>
      </c>
      <c r="O5217">
        <v>56.915990024461898</v>
      </c>
      <c r="P5217">
        <v>-0.124719236196289</v>
      </c>
      <c r="Q5217">
        <v>7.6540538250765996E-2</v>
      </c>
      <c r="R5217">
        <v>0.99687304198171101</v>
      </c>
      <c r="S5217" t="s">
        <v>12220</v>
      </c>
      <c r="T5217" t="s">
        <v>14004</v>
      </c>
      <c r="U5217" t="s">
        <v>14004</v>
      </c>
      <c r="V5217" t="s">
        <v>14004</v>
      </c>
      <c r="W5217" t="s">
        <v>19166</v>
      </c>
      <c r="X5217">
        <v>9</v>
      </c>
      <c r="Y5217" t="s">
        <v>25970</v>
      </c>
      <c r="Z5217" t="s">
        <v>32927</v>
      </c>
      <c r="AA5217">
        <v>0.61052354442259649</v>
      </c>
      <c r="AB5217" t="str">
        <f>HYPERLINK("Melting_Curves/meltCurve_Q96AX2_4_RAB37.pdf", "Melting_Curves/meltCurve_Q96AX2_4_RAB37.pdf")</f>
        <v>Melting_Curves/meltCurve_Q96AX2_4_RAB37.pdf</v>
      </c>
    </row>
    <row r="5218" spans="1:28" x14ac:dyDescent="0.25">
      <c r="A5218" t="s">
        <v>5222</v>
      </c>
      <c r="B5218">
        <v>0.99999676499088797</v>
      </c>
      <c r="C5218">
        <v>0.90245908884637605</v>
      </c>
      <c r="D5218">
        <v>0.93658287920839101</v>
      </c>
      <c r="E5218">
        <v>0.871852035692672</v>
      </c>
      <c r="F5218">
        <v>0.69077801465546096</v>
      </c>
      <c r="G5218">
        <v>0.65096568718161596</v>
      </c>
      <c r="H5218">
        <v>0.48819413723814198</v>
      </c>
      <c r="I5218">
        <v>0.50620941566617506</v>
      </c>
      <c r="J5218">
        <v>0.49962404315398401</v>
      </c>
      <c r="K5218">
        <v>0.60526904035324203</v>
      </c>
      <c r="L5218">
        <v>834.40404181411498</v>
      </c>
      <c r="M5218">
        <v>16.091519444544701</v>
      </c>
      <c r="O5218">
        <v>51.072676065237701</v>
      </c>
      <c r="P5218">
        <v>-3.8364252657110597E-2</v>
      </c>
      <c r="Q5218">
        <v>0.51298219625497599</v>
      </c>
      <c r="R5218">
        <v>0.93479223575563497</v>
      </c>
      <c r="S5218" t="s">
        <v>12221</v>
      </c>
      <c r="T5218" t="s">
        <v>14004</v>
      </c>
      <c r="U5218" t="s">
        <v>14004</v>
      </c>
      <c r="V5218" t="s">
        <v>14004</v>
      </c>
      <c r="W5218" t="s">
        <v>19167</v>
      </c>
      <c r="X5218">
        <v>10</v>
      </c>
      <c r="Y5218" t="s">
        <v>25971</v>
      </c>
      <c r="Z5218" t="s">
        <v>32928</v>
      </c>
      <c r="AA5218">
        <v>0.715205418926674</v>
      </c>
      <c r="AB5218" t="str">
        <f>HYPERLINK("Melting_Curves/meltCurve_Q96B01_RAD51AP1.pdf", "Melting_Curves/meltCurve_Q96B01_RAD51AP1.pdf")</f>
        <v>Melting_Curves/meltCurve_Q96B01_RAD51AP1.pdf</v>
      </c>
    </row>
    <row r="5219" spans="1:28" x14ac:dyDescent="0.25">
      <c r="A5219" t="s">
        <v>5223</v>
      </c>
      <c r="B5219">
        <v>0.99999676499088797</v>
      </c>
      <c r="C5219">
        <v>0.94992491757262199</v>
      </c>
      <c r="D5219">
        <v>0.92408513919243995</v>
      </c>
      <c r="E5219">
        <v>0.973084556357111</v>
      </c>
      <c r="F5219">
        <v>1.0884313989716601</v>
      </c>
      <c r="G5219">
        <v>0.86955721144153997</v>
      </c>
      <c r="H5219">
        <v>0.70468041581537599</v>
      </c>
      <c r="I5219">
        <v>0.65677552059839694</v>
      </c>
      <c r="J5219">
        <v>0.428590020739331</v>
      </c>
      <c r="K5219">
        <v>0.65195245707990301</v>
      </c>
      <c r="L5219">
        <v>1794.01512759667</v>
      </c>
      <c r="M5219">
        <v>30.276463175328999</v>
      </c>
      <c r="O5219">
        <v>58.997749195693302</v>
      </c>
      <c r="P5219">
        <v>-5.6627415138964E-2</v>
      </c>
      <c r="Q5219">
        <v>0.55861832970129799</v>
      </c>
      <c r="R5219">
        <v>0.86266419903290004</v>
      </c>
      <c r="S5219" t="s">
        <v>12222</v>
      </c>
      <c r="T5219" t="s">
        <v>14004</v>
      </c>
      <c r="U5219" t="s">
        <v>14004</v>
      </c>
      <c r="V5219" t="s">
        <v>14004</v>
      </c>
      <c r="W5219" t="s">
        <v>19168</v>
      </c>
      <c r="X5219">
        <v>8</v>
      </c>
      <c r="Y5219" t="s">
        <v>25972</v>
      </c>
      <c r="Z5219" t="s">
        <v>32929</v>
      </c>
      <c r="AA5219">
        <v>0.8446639216931966</v>
      </c>
      <c r="AB5219" t="str">
        <f>HYPERLINK("Melting_Curves/meltCurve_Q96B23_2_C18orf25.pdf", "Melting_Curves/meltCurve_Q96B23_2_C18orf25.pdf")</f>
        <v>Melting_Curves/meltCurve_Q96B23_2_C18orf25.pdf</v>
      </c>
    </row>
    <row r="5220" spans="1:28" x14ac:dyDescent="0.25">
      <c r="A5220" t="s">
        <v>5224</v>
      </c>
      <c r="B5220">
        <v>0.99999676499088797</v>
      </c>
      <c r="C5220">
        <v>1.0541497997804301</v>
      </c>
      <c r="D5220">
        <v>1.22437697366594</v>
      </c>
      <c r="E5220">
        <v>1.4138618592968</v>
      </c>
      <c r="F5220">
        <v>1.45926793825502</v>
      </c>
      <c r="G5220">
        <v>1.1155058114868499</v>
      </c>
      <c r="H5220">
        <v>0.36177954276857399</v>
      </c>
      <c r="I5220">
        <v>0.164287470686553</v>
      </c>
      <c r="J5220">
        <v>0.10608037269587001</v>
      </c>
      <c r="K5220">
        <v>8.1001769538051202E-2</v>
      </c>
      <c r="L5220">
        <v>9399.9232096732394</v>
      </c>
      <c r="M5220">
        <v>155.56217226752699</v>
      </c>
      <c r="N5220">
        <v>60.529288461759201</v>
      </c>
      <c r="O5220">
        <v>60.415524314547397</v>
      </c>
      <c r="P5220">
        <v>-0.56836655939584202</v>
      </c>
      <c r="Q5220">
        <v>0.11705624076115401</v>
      </c>
      <c r="R5220">
        <v>0.83784032884221704</v>
      </c>
      <c r="S5220" t="s">
        <v>12223</v>
      </c>
      <c r="T5220" t="s">
        <v>14004</v>
      </c>
      <c r="U5220" t="s">
        <v>14004</v>
      </c>
      <c r="V5220" t="s">
        <v>14004</v>
      </c>
      <c r="W5220" t="s">
        <v>19169</v>
      </c>
      <c r="X5220">
        <v>10</v>
      </c>
      <c r="Y5220" t="s">
        <v>25973</v>
      </c>
      <c r="Z5220" t="s">
        <v>32930</v>
      </c>
      <c r="AA5220">
        <v>0.71845062878059163</v>
      </c>
      <c r="AB5220" t="str">
        <f>HYPERLINK("Melting_Curves/meltCurve_Q96B26_EXOSC8.pdf", "Melting_Curves/meltCurve_Q96B26_EXOSC8.pdf")</f>
        <v>Melting_Curves/meltCurve_Q96B26_EXOSC8.pdf</v>
      </c>
    </row>
    <row r="5221" spans="1:28" x14ac:dyDescent="0.25">
      <c r="A5221" t="s">
        <v>5225</v>
      </c>
      <c r="B5221">
        <v>0.99999676499088797</v>
      </c>
      <c r="C5221">
        <v>0.94113736278748406</v>
      </c>
      <c r="D5221">
        <v>0.94625722785181599</v>
      </c>
      <c r="E5221">
        <v>0.82999600047635602</v>
      </c>
      <c r="F5221">
        <v>0.58081872725184303</v>
      </c>
      <c r="G5221">
        <v>0.40070071209313901</v>
      </c>
      <c r="H5221">
        <v>0.30888612716916097</v>
      </c>
      <c r="I5221">
        <v>0.360293887953756</v>
      </c>
      <c r="J5221">
        <v>0.41490493818468499</v>
      </c>
      <c r="K5221">
        <v>0.48158567470562902</v>
      </c>
      <c r="L5221">
        <v>1402.38736092817</v>
      </c>
      <c r="M5221">
        <v>27.302534386963899</v>
      </c>
      <c r="N5221">
        <v>54.301833838566203</v>
      </c>
      <c r="O5221">
        <v>51.091548373376597</v>
      </c>
      <c r="P5221">
        <v>-8.2053976547616397E-2</v>
      </c>
      <c r="Q5221">
        <v>0.38581162038668099</v>
      </c>
      <c r="R5221">
        <v>0.96540327301797402</v>
      </c>
      <c r="S5221" t="s">
        <v>12224</v>
      </c>
      <c r="T5221" t="s">
        <v>14004</v>
      </c>
      <c r="U5221" t="s">
        <v>14004</v>
      </c>
      <c r="V5221" t="s">
        <v>14004</v>
      </c>
      <c r="W5221" t="s">
        <v>19170</v>
      </c>
      <c r="X5221">
        <v>5</v>
      </c>
      <c r="Y5221" t="s">
        <v>25974</v>
      </c>
      <c r="Z5221" t="s">
        <v>32931</v>
      </c>
      <c r="AA5221">
        <v>0.62316585585784678</v>
      </c>
      <c r="AB5221" t="str">
        <f>HYPERLINK("Melting_Curves/meltCurve_Q96B36_AKT1S1.pdf", "Melting_Curves/meltCurve_Q96B36_AKT1S1.pdf")</f>
        <v>Melting_Curves/meltCurve_Q96B36_AKT1S1.pdf</v>
      </c>
    </row>
    <row r="5222" spans="1:28" x14ac:dyDescent="0.25">
      <c r="A5222" t="s">
        <v>5226</v>
      </c>
      <c r="B5222">
        <v>0.99999676499088797</v>
      </c>
      <c r="C5222">
        <v>1.0577869253605101</v>
      </c>
      <c r="D5222">
        <v>1.08934545299712</v>
      </c>
      <c r="E5222">
        <v>1.02344090507942</v>
      </c>
      <c r="F5222">
        <v>0.94185877784594596</v>
      </c>
      <c r="G5222">
        <v>0.69822245014270901</v>
      </c>
      <c r="H5222">
        <v>0.34988147916932899</v>
      </c>
      <c r="I5222">
        <v>0.31740770566818499</v>
      </c>
      <c r="J5222">
        <v>0.30948496745853499</v>
      </c>
      <c r="K5222">
        <v>0.25027028546401398</v>
      </c>
      <c r="L5222">
        <v>2017.09695163062</v>
      </c>
      <c r="M5222">
        <v>35.223273754758701</v>
      </c>
      <c r="N5222">
        <v>58.642912991915601</v>
      </c>
      <c r="O5222">
        <v>57.082384459539</v>
      </c>
      <c r="P5222">
        <v>-0.11086713470076601</v>
      </c>
      <c r="Q5222">
        <v>0.28132305180876899</v>
      </c>
      <c r="R5222">
        <v>0.98754487965193105</v>
      </c>
      <c r="S5222" t="s">
        <v>12225</v>
      </c>
      <c r="T5222" t="s">
        <v>14004</v>
      </c>
      <c r="U5222" t="s">
        <v>14004</v>
      </c>
      <c r="V5222" t="s">
        <v>14004</v>
      </c>
      <c r="W5222" t="s">
        <v>19171</v>
      </c>
      <c r="X5222">
        <v>4</v>
      </c>
      <c r="Y5222" t="s">
        <v>25975</v>
      </c>
      <c r="Z5222" t="s">
        <v>32932</v>
      </c>
      <c r="AA5222">
        <v>0.69852219332809484</v>
      </c>
      <c r="AB5222" t="str">
        <f>HYPERLINK("Melting_Curves/meltCurve_Q96B45_C10orf32.pdf", "Melting_Curves/meltCurve_Q96B45_C10orf32.pdf")</f>
        <v>Melting_Curves/meltCurve_Q96B45_C10orf32.pdf</v>
      </c>
    </row>
    <row r="5223" spans="1:28" x14ac:dyDescent="0.25">
      <c r="A5223" t="s">
        <v>5227</v>
      </c>
      <c r="B5223">
        <v>0.99999676499088797</v>
      </c>
      <c r="C5223">
        <v>1.0058393539077499</v>
      </c>
      <c r="D5223">
        <v>0.96633958608235904</v>
      </c>
      <c r="E5223">
        <v>0.76276725321961703</v>
      </c>
      <c r="F5223">
        <v>0.70554562297393797</v>
      </c>
      <c r="G5223">
        <v>0.66790763481029103</v>
      </c>
      <c r="H5223">
        <v>0.467825737086277</v>
      </c>
      <c r="I5223">
        <v>0.69573743736028404</v>
      </c>
      <c r="J5223">
        <v>0.64551432563853395</v>
      </c>
      <c r="K5223">
        <v>0.58241111690378899</v>
      </c>
      <c r="L5223">
        <v>1164.9547495381901</v>
      </c>
      <c r="M5223">
        <v>23.572646874858499</v>
      </c>
      <c r="O5223">
        <v>49.068237623259698</v>
      </c>
      <c r="P5223">
        <v>-4.6864263854616603E-2</v>
      </c>
      <c r="Q5223">
        <v>0.60980073118074396</v>
      </c>
      <c r="R5223">
        <v>0.88405450138326602</v>
      </c>
      <c r="S5223" t="s">
        <v>12226</v>
      </c>
      <c r="T5223" t="s">
        <v>14004</v>
      </c>
      <c r="U5223" t="s">
        <v>14004</v>
      </c>
      <c r="V5223" t="s">
        <v>14004</v>
      </c>
      <c r="W5223" t="s">
        <v>19172</v>
      </c>
      <c r="X5223">
        <v>3</v>
      </c>
      <c r="Y5223" t="s">
        <v>25976</v>
      </c>
      <c r="Z5223" t="s">
        <v>32933</v>
      </c>
      <c r="AA5223">
        <v>0.73622998256000061</v>
      </c>
      <c r="AB5223" t="str">
        <f>HYPERLINK("Melting_Curves/meltCurve_Q96B49_TOMM6.pdf", "Melting_Curves/meltCurve_Q96B49_TOMM6.pdf")</f>
        <v>Melting_Curves/meltCurve_Q96B49_TOMM6.pdf</v>
      </c>
    </row>
    <row r="5224" spans="1:28" x14ac:dyDescent="0.25">
      <c r="A5224" t="s">
        <v>5228</v>
      </c>
      <c r="B5224">
        <v>0.99999676499088797</v>
      </c>
      <c r="C5224">
        <v>2.1288138009289099</v>
      </c>
      <c r="D5224">
        <v>2.2600012493566299</v>
      </c>
      <c r="E5224">
        <v>2.3706484141050801</v>
      </c>
      <c r="F5224">
        <v>0.82908825241818895</v>
      </c>
      <c r="G5224">
        <v>0.74600424580934899</v>
      </c>
      <c r="H5224">
        <v>0.51109280064710605</v>
      </c>
      <c r="I5224">
        <v>0.94566920437118995</v>
      </c>
      <c r="J5224">
        <v>0.62851677268716599</v>
      </c>
      <c r="K5224">
        <v>0.42090592478463301</v>
      </c>
      <c r="L5224">
        <v>13302.3559809089</v>
      </c>
      <c r="M5224">
        <v>250</v>
      </c>
      <c r="O5224">
        <v>53.206009976047397</v>
      </c>
      <c r="P5224">
        <v>-0.41062345475925899</v>
      </c>
      <c r="Q5224">
        <v>0.65043777171588701</v>
      </c>
      <c r="R5224">
        <v>5.78322666077455E-2</v>
      </c>
      <c r="S5224" t="s">
        <v>12227</v>
      </c>
      <c r="T5224" t="s">
        <v>14004</v>
      </c>
      <c r="U5224" t="s">
        <v>14004</v>
      </c>
      <c r="V5224" t="s">
        <v>14004</v>
      </c>
      <c r="W5224" t="s">
        <v>19173</v>
      </c>
      <c r="X5224">
        <v>1</v>
      </c>
      <c r="Y5224" t="s">
        <v>25977</v>
      </c>
      <c r="Z5224" t="s">
        <v>32934</v>
      </c>
      <c r="AA5224">
        <v>0.80438760313800217</v>
      </c>
      <c r="AB5224" t="str">
        <f>HYPERLINK("Melting_Curves/meltCurve_Q96B70_LENG9.pdf", "Melting_Curves/meltCurve_Q96B70_LENG9.pdf")</f>
        <v>Melting_Curves/meltCurve_Q96B70_LENG9.pdf</v>
      </c>
    </row>
    <row r="5225" spans="1:28" x14ac:dyDescent="0.25">
      <c r="A5225" t="s">
        <v>5229</v>
      </c>
      <c r="B5225">
        <v>0.99999676499088797</v>
      </c>
      <c r="C5225">
        <v>0.98338227573692405</v>
      </c>
      <c r="D5225">
        <v>0.88299090568858296</v>
      </c>
      <c r="E5225">
        <v>0.606807936576921</v>
      </c>
      <c r="F5225">
        <v>0.319398718719201</v>
      </c>
      <c r="G5225">
        <v>0.18547743795194299</v>
      </c>
      <c r="H5225">
        <v>0.11958138607134999</v>
      </c>
      <c r="I5225">
        <v>0.120307257969148</v>
      </c>
      <c r="J5225">
        <v>0.13752519882705899</v>
      </c>
      <c r="K5225">
        <v>0.190632250259195</v>
      </c>
      <c r="L5225">
        <v>1127.1293624459399</v>
      </c>
      <c r="M5225">
        <v>22.5549069385014</v>
      </c>
      <c r="N5225">
        <v>50.6877700431303</v>
      </c>
      <c r="O5225">
        <v>49.584839555057698</v>
      </c>
      <c r="P5225">
        <v>-9.8223952344946699E-2</v>
      </c>
      <c r="Q5225">
        <v>0.13627307632659399</v>
      </c>
      <c r="R5225">
        <v>0.99643803050261204</v>
      </c>
      <c r="S5225" t="s">
        <v>12228</v>
      </c>
      <c r="T5225" t="s">
        <v>14004</v>
      </c>
      <c r="U5225" t="s">
        <v>14004</v>
      </c>
      <c r="V5225" t="s">
        <v>14004</v>
      </c>
      <c r="W5225" t="s">
        <v>19174</v>
      </c>
      <c r="X5225">
        <v>27</v>
      </c>
      <c r="Y5225" t="s">
        <v>25978</v>
      </c>
      <c r="Z5225" t="s">
        <v>32935</v>
      </c>
      <c r="AA5225">
        <v>0.43288049113404092</v>
      </c>
      <c r="AB5225" t="str">
        <f>HYPERLINK("Melting_Curves/meltCurve_Q96B97_SH3KBP1.pdf", "Melting_Curves/meltCurve_Q96B97_SH3KBP1.pdf")</f>
        <v>Melting_Curves/meltCurve_Q96B97_SH3KBP1.pdf</v>
      </c>
    </row>
    <row r="5226" spans="1:28" x14ac:dyDescent="0.25">
      <c r="A5226" t="s">
        <v>5230</v>
      </c>
      <c r="B5226">
        <v>0.99999676499088797</v>
      </c>
      <c r="C5226">
        <v>1.0147934110341901</v>
      </c>
      <c r="D5226">
        <v>0.92373548366765801</v>
      </c>
      <c r="E5226">
        <v>0.59768785478665498</v>
      </c>
      <c r="F5226">
        <v>0.216082102552594</v>
      </c>
      <c r="G5226">
        <v>0.13743019304982201</v>
      </c>
      <c r="H5226">
        <v>6.9527290623782795E-2</v>
      </c>
      <c r="I5226">
        <v>7.95857032927616E-2</v>
      </c>
      <c r="J5226">
        <v>8.6913225728817697E-2</v>
      </c>
      <c r="K5226">
        <v>6.5332906374469396E-2</v>
      </c>
      <c r="L5226">
        <v>1398.78902214347</v>
      </c>
      <c r="M5226">
        <v>27.952860791363499</v>
      </c>
      <c r="N5226">
        <v>50.345921708883701</v>
      </c>
      <c r="O5226">
        <v>49.786987803889801</v>
      </c>
      <c r="P5226">
        <v>-0.129433262226748</v>
      </c>
      <c r="Q5226">
        <v>7.78708827407847E-2</v>
      </c>
      <c r="R5226">
        <v>0.99881310139118396</v>
      </c>
      <c r="S5226" t="s">
        <v>12229</v>
      </c>
      <c r="T5226" t="s">
        <v>14004</v>
      </c>
      <c r="U5226" t="s">
        <v>14004</v>
      </c>
      <c r="V5226" t="s">
        <v>14004</v>
      </c>
      <c r="W5226" t="s">
        <v>19175</v>
      </c>
      <c r="X5226">
        <v>6</v>
      </c>
      <c r="Y5226" t="s">
        <v>25979</v>
      </c>
      <c r="Z5226" t="s">
        <v>32936</v>
      </c>
      <c r="AA5226">
        <v>0.39309131751156501</v>
      </c>
      <c r="AB5226" t="str">
        <f>HYPERLINK("Melting_Curves/meltCurve_Q96BH1_RNF25.pdf", "Melting_Curves/meltCurve_Q96BH1_RNF25.pdf")</f>
        <v>Melting_Curves/meltCurve_Q96BH1_RNF25.pdf</v>
      </c>
    </row>
    <row r="5227" spans="1:28" x14ac:dyDescent="0.25">
      <c r="A5227" t="s">
        <v>5231</v>
      </c>
      <c r="B5227">
        <v>0.99999676499088797</v>
      </c>
      <c r="C5227">
        <v>0.98345940321375502</v>
      </c>
      <c r="D5227">
        <v>1.1751567565089001</v>
      </c>
      <c r="E5227">
        <v>1.0087205983530201</v>
      </c>
      <c r="F5227">
        <v>0.929323591478317</v>
      </c>
      <c r="G5227">
        <v>0.83131216579601697</v>
      </c>
      <c r="H5227">
        <v>0.61530835479868196</v>
      </c>
      <c r="I5227">
        <v>0.61203692667658005</v>
      </c>
      <c r="J5227">
        <v>0.50993865653720705</v>
      </c>
      <c r="K5227">
        <v>0.56223369699519898</v>
      </c>
      <c r="L5227">
        <v>1499.2283362964399</v>
      </c>
      <c r="M5227">
        <v>25.9844522863796</v>
      </c>
      <c r="O5227">
        <v>57.3586554739002</v>
      </c>
      <c r="P5227">
        <v>-5.2100912039856798E-2</v>
      </c>
      <c r="Q5227">
        <v>0.53997047522181396</v>
      </c>
      <c r="R5227">
        <v>0.92456914237569199</v>
      </c>
      <c r="S5227" t="s">
        <v>12230</v>
      </c>
      <c r="T5227" t="s">
        <v>14004</v>
      </c>
      <c r="U5227" t="s">
        <v>14004</v>
      </c>
      <c r="V5227" t="s">
        <v>14004</v>
      </c>
      <c r="W5227" t="s">
        <v>19176</v>
      </c>
      <c r="X5227">
        <v>1</v>
      </c>
      <c r="Y5227" t="s">
        <v>25980</v>
      </c>
      <c r="Z5227" t="s">
        <v>32937</v>
      </c>
      <c r="AA5227">
        <v>0.81517263113413585</v>
      </c>
      <c r="AB5227" t="str">
        <f>HYPERLINK("Melting_Curves/meltCurve_Q96BI3_APH1A.pdf", "Melting_Curves/meltCurve_Q96BI3_APH1A.pdf")</f>
        <v>Melting_Curves/meltCurve_Q96BI3_APH1A.pdf</v>
      </c>
    </row>
    <row r="5228" spans="1:28" x14ac:dyDescent="0.25">
      <c r="A5228" t="s">
        <v>5232</v>
      </c>
      <c r="B5228">
        <v>0.99999676499088797</v>
      </c>
      <c r="C5228">
        <v>0.91679126057872995</v>
      </c>
      <c r="D5228">
        <v>0.85967964647721995</v>
      </c>
      <c r="E5228">
        <v>0.66334377804665601</v>
      </c>
      <c r="F5228">
        <v>0.45205511744848798</v>
      </c>
      <c r="G5228">
        <v>0.49107816308087998</v>
      </c>
      <c r="H5228">
        <v>0.49075883514556201</v>
      </c>
      <c r="I5228">
        <v>0.63642697050403496</v>
      </c>
      <c r="J5228">
        <v>0.62117863938662499</v>
      </c>
      <c r="K5228">
        <v>0.80169610263355495</v>
      </c>
      <c r="L5228">
        <v>1526.17451919632</v>
      </c>
      <c r="M5228">
        <v>32.649610848037298</v>
      </c>
      <c r="O5228">
        <v>46.569725114206598</v>
      </c>
      <c r="P5228">
        <v>-7.2763614350727507E-2</v>
      </c>
      <c r="Q5228">
        <v>0.58485684767817403</v>
      </c>
      <c r="R5228">
        <v>0.71982064412484104</v>
      </c>
      <c r="S5228" t="s">
        <v>12231</v>
      </c>
      <c r="T5228" t="s">
        <v>14004</v>
      </c>
      <c r="U5228" t="s">
        <v>14004</v>
      </c>
      <c r="V5228" t="s">
        <v>14004</v>
      </c>
      <c r="W5228" t="s">
        <v>19177</v>
      </c>
      <c r="X5228">
        <v>10</v>
      </c>
      <c r="Y5228" t="s">
        <v>25981</v>
      </c>
      <c r="Z5228" t="s">
        <v>32938</v>
      </c>
      <c r="AA5228">
        <v>0.68025953534219086</v>
      </c>
      <c r="AB5228" t="str">
        <f>HYPERLINK("Melting_Curves/meltCurve_Q96BK5_PINX1.pdf", "Melting_Curves/meltCurve_Q96BK5_PINX1.pdf")</f>
        <v>Melting_Curves/meltCurve_Q96BK5_PINX1.pdf</v>
      </c>
    </row>
    <row r="5229" spans="1:28" x14ac:dyDescent="0.25">
      <c r="A5229" t="s">
        <v>5233</v>
      </c>
      <c r="B5229">
        <v>0.99999676499088797</v>
      </c>
      <c r="C5229">
        <v>1.0848429319234401</v>
      </c>
      <c r="D5229">
        <v>1.23239824256917</v>
      </c>
      <c r="E5229">
        <v>1.3735264460523899</v>
      </c>
      <c r="F5229">
        <v>1.2039380928271699</v>
      </c>
      <c r="G5229">
        <v>1.2863975962099601</v>
      </c>
      <c r="H5229">
        <v>0.727881038820964</v>
      </c>
      <c r="I5229">
        <v>0.52893612053813799</v>
      </c>
      <c r="J5229">
        <v>0.31951886129628398</v>
      </c>
      <c r="K5229">
        <v>0.24541197821878599</v>
      </c>
      <c r="L5229">
        <v>2355.8908653987501</v>
      </c>
      <c r="M5229">
        <v>37.637955334536201</v>
      </c>
      <c r="N5229">
        <v>63.814126854946601</v>
      </c>
      <c r="O5229">
        <v>62.4175729490035</v>
      </c>
      <c r="P5229">
        <v>-0.112067411528903</v>
      </c>
      <c r="Q5229">
        <v>0.256606014284604</v>
      </c>
      <c r="R5229">
        <v>0.77820798823189696</v>
      </c>
      <c r="S5229" t="s">
        <v>12232</v>
      </c>
      <c r="T5229" t="s">
        <v>14004</v>
      </c>
      <c r="U5229" t="s">
        <v>14004</v>
      </c>
      <c r="V5229" t="s">
        <v>14004</v>
      </c>
      <c r="W5229" t="s">
        <v>19178</v>
      </c>
      <c r="X5229">
        <v>9</v>
      </c>
      <c r="Y5229" t="s">
        <v>25982</v>
      </c>
      <c r="Z5229" t="s">
        <v>32939</v>
      </c>
      <c r="AA5229">
        <v>0.8190915721784936</v>
      </c>
      <c r="AB5229" t="str">
        <f>HYPERLINK("Melting_Curves/meltCurve_Q96BM9_ARL8A.pdf", "Melting_Curves/meltCurve_Q96BM9_ARL8A.pdf")</f>
        <v>Melting_Curves/meltCurve_Q96BM9_ARL8A.pdf</v>
      </c>
    </row>
    <row r="5230" spans="1:28" x14ac:dyDescent="0.25">
      <c r="A5230" t="s">
        <v>5234</v>
      </c>
      <c r="B5230">
        <v>0.99999676499088797</v>
      </c>
      <c r="C5230">
        <v>0.981093767572908</v>
      </c>
      <c r="D5230">
        <v>0.85111683522489401</v>
      </c>
      <c r="E5230">
        <v>0.29541660264348601</v>
      </c>
      <c r="F5230">
        <v>0.184630284516974</v>
      </c>
      <c r="G5230">
        <v>0.11106448930916001</v>
      </c>
      <c r="H5230">
        <v>4.8186308887527902E-2</v>
      </c>
      <c r="I5230">
        <v>5.57729969081045E-2</v>
      </c>
      <c r="J5230">
        <v>4.5288829101667802E-2</v>
      </c>
      <c r="K5230">
        <v>4.4056509986420099E-2</v>
      </c>
      <c r="L5230">
        <v>1562.1733775560101</v>
      </c>
      <c r="M5230">
        <v>32.456983147691702</v>
      </c>
      <c r="N5230">
        <v>48.354122079730701</v>
      </c>
      <c r="O5230">
        <v>47.948986932724402</v>
      </c>
      <c r="P5230">
        <v>-0.157437810161006</v>
      </c>
      <c r="Q5230">
        <v>6.9667637064886503E-2</v>
      </c>
      <c r="R5230">
        <v>0.993324633077035</v>
      </c>
      <c r="S5230" t="s">
        <v>12233</v>
      </c>
      <c r="T5230" t="s">
        <v>14004</v>
      </c>
      <c r="U5230" t="s">
        <v>14004</v>
      </c>
      <c r="V5230" t="s">
        <v>14004</v>
      </c>
      <c r="W5230" t="s">
        <v>19179</v>
      </c>
      <c r="X5230">
        <v>7</v>
      </c>
      <c r="Y5230" t="s">
        <v>25983</v>
      </c>
      <c r="Z5230" t="s">
        <v>32940</v>
      </c>
      <c r="AA5230">
        <v>0.32656692305831031</v>
      </c>
      <c r="AB5230" t="str">
        <f>HYPERLINK("Melting_Curves/meltCurve_Q96BN8_FAM105B.pdf", "Melting_Curves/meltCurve_Q96BN8_FAM105B.pdf")</f>
        <v>Melting_Curves/meltCurve_Q96BN8_FAM105B.pdf</v>
      </c>
    </row>
    <row r="5231" spans="1:28" x14ac:dyDescent="0.25">
      <c r="A5231" t="s">
        <v>5235</v>
      </c>
      <c r="B5231">
        <v>0.99999676499088797</v>
      </c>
      <c r="C5231">
        <v>0.909510495222138</v>
      </c>
      <c r="D5231">
        <v>0.80040739925157001</v>
      </c>
      <c r="E5231">
        <v>0.55225047862179599</v>
      </c>
      <c r="F5231">
        <v>0.47267879042905597</v>
      </c>
      <c r="G5231">
        <v>0.38910721781329299</v>
      </c>
      <c r="H5231">
        <v>0.25310675731999499</v>
      </c>
      <c r="I5231">
        <v>0.31830553127549199</v>
      </c>
      <c r="J5231">
        <v>0.30078757524060901</v>
      </c>
      <c r="K5231">
        <v>0.21467499327946099</v>
      </c>
      <c r="L5231">
        <v>668.04565274058996</v>
      </c>
      <c r="M5231">
        <v>13.6061010931805</v>
      </c>
      <c r="N5231">
        <v>51.760990170819802</v>
      </c>
      <c r="O5231">
        <v>48.074769101574802</v>
      </c>
      <c r="P5231">
        <v>-5.2957700186872E-2</v>
      </c>
      <c r="Q5231">
        <v>0.25164348928451202</v>
      </c>
      <c r="R5231">
        <v>0.98276199117539098</v>
      </c>
      <c r="S5231" t="s">
        <v>12234</v>
      </c>
      <c r="T5231" t="s">
        <v>14004</v>
      </c>
      <c r="U5231" t="s">
        <v>14004</v>
      </c>
      <c r="V5231" t="s">
        <v>14004</v>
      </c>
      <c r="W5231" t="s">
        <v>19180</v>
      </c>
      <c r="X5231">
        <v>4</v>
      </c>
      <c r="Y5231" t="s">
        <v>25984</v>
      </c>
      <c r="Z5231" t="s">
        <v>32941</v>
      </c>
      <c r="AA5231">
        <v>0.50061836878106913</v>
      </c>
      <c r="AB5231" t="str">
        <f>HYPERLINK("Melting_Curves/meltCurve_Q96BP2_CHCHD1.pdf", "Melting_Curves/meltCurve_Q96BP2_CHCHD1.pdf")</f>
        <v>Melting_Curves/meltCurve_Q96BP2_CHCHD1.pdf</v>
      </c>
    </row>
    <row r="5232" spans="1:28" x14ac:dyDescent="0.25">
      <c r="A5232" t="s">
        <v>5236</v>
      </c>
      <c r="B5232">
        <v>0.99999676499088797</v>
      </c>
      <c r="C5232">
        <v>1.05201180226281</v>
      </c>
      <c r="D5232">
        <v>0.96732420714852096</v>
      </c>
      <c r="E5232">
        <v>0.68750100746860199</v>
      </c>
      <c r="F5232">
        <v>0.19758079358958999</v>
      </c>
      <c r="G5232">
        <v>0.13357022684019801</v>
      </c>
      <c r="H5232">
        <v>6.6133924298844807E-2</v>
      </c>
      <c r="I5232">
        <v>6.4478517999328994E-2</v>
      </c>
      <c r="J5232">
        <v>5.8420132689298299E-2</v>
      </c>
      <c r="K5232">
        <v>3.9931138394757898E-2</v>
      </c>
      <c r="L5232">
        <v>1731.8710307055801</v>
      </c>
      <c r="M5232">
        <v>34.242605111647499</v>
      </c>
      <c r="N5232">
        <v>50.783636069685002</v>
      </c>
      <c r="O5232">
        <v>50.404937996109702</v>
      </c>
      <c r="P5232">
        <v>-0.15876908425533101</v>
      </c>
      <c r="Q5232">
        <v>6.5174508851994606E-2</v>
      </c>
      <c r="R5232">
        <v>0.99659068883883795</v>
      </c>
      <c r="S5232" t="s">
        <v>12235</v>
      </c>
      <c r="T5232" t="s">
        <v>14004</v>
      </c>
      <c r="U5232" t="s">
        <v>14004</v>
      </c>
      <c r="V5232" t="s">
        <v>14004</v>
      </c>
      <c r="W5232" t="s">
        <v>19181</v>
      </c>
      <c r="X5232">
        <v>18</v>
      </c>
      <c r="Y5232" t="s">
        <v>25985</v>
      </c>
      <c r="Z5232" t="s">
        <v>32942</v>
      </c>
      <c r="AA5232">
        <v>0.39921858398253329</v>
      </c>
      <c r="AB5232" t="str">
        <f>HYPERLINK("Melting_Curves/meltCurve_Q96BP3_PPWD1.pdf", "Melting_Curves/meltCurve_Q96BP3_PPWD1.pdf")</f>
        <v>Melting_Curves/meltCurve_Q96BP3_PPWD1.pdf</v>
      </c>
    </row>
    <row r="5233" spans="1:28" x14ac:dyDescent="0.25">
      <c r="A5233" t="s">
        <v>5237</v>
      </c>
      <c r="B5233">
        <v>0.99999676499088797</v>
      </c>
      <c r="C5233">
        <v>0.99836822963452798</v>
      </c>
      <c r="D5233">
        <v>0.94523298372297704</v>
      </c>
      <c r="E5233">
        <v>0.83849422311108102</v>
      </c>
      <c r="F5233">
        <v>0.47643384195095101</v>
      </c>
      <c r="G5233">
        <v>0.38610849495817801</v>
      </c>
      <c r="H5233">
        <v>0.210142024205446</v>
      </c>
      <c r="I5233">
        <v>0.236948810788354</v>
      </c>
      <c r="J5233">
        <v>0.23954155587517501</v>
      </c>
      <c r="K5233">
        <v>0.229431261187312</v>
      </c>
      <c r="L5233">
        <v>1194.74115268373</v>
      </c>
      <c r="M5233">
        <v>22.962199444569801</v>
      </c>
      <c r="N5233">
        <v>53.436947947989502</v>
      </c>
      <c r="O5233">
        <v>51.6409757150521</v>
      </c>
      <c r="P5233">
        <v>-8.5957882162884303E-2</v>
      </c>
      <c r="Q5233">
        <v>0.226752597685308</v>
      </c>
      <c r="R5233">
        <v>0.99210477143798204</v>
      </c>
      <c r="S5233" t="s">
        <v>12236</v>
      </c>
      <c r="T5233" t="s">
        <v>14004</v>
      </c>
      <c r="U5233" t="s">
        <v>14004</v>
      </c>
      <c r="V5233" t="s">
        <v>14004</v>
      </c>
      <c r="W5233" t="s">
        <v>19182</v>
      </c>
      <c r="X5233">
        <v>8</v>
      </c>
      <c r="Y5233" t="s">
        <v>25986</v>
      </c>
      <c r="Z5233" t="s">
        <v>32943</v>
      </c>
      <c r="AA5233">
        <v>0.54514613822731894</v>
      </c>
      <c r="AB5233" t="str">
        <f>HYPERLINK("Melting_Curves/meltCurve_Q96BR5_SELRC1.pdf", "Melting_Curves/meltCurve_Q96BR5_SELRC1.pdf")</f>
        <v>Melting_Curves/meltCurve_Q96BR5_SELRC1.pdf</v>
      </c>
    </row>
    <row r="5234" spans="1:28" x14ac:dyDescent="0.25">
      <c r="A5234" t="s">
        <v>5238</v>
      </c>
      <c r="B5234">
        <v>0.99999676499088797</v>
      </c>
      <c r="C5234">
        <v>0.89876869333077702</v>
      </c>
      <c r="D5234">
        <v>0.60684693755890895</v>
      </c>
      <c r="E5234">
        <v>0.25828111768494799</v>
      </c>
      <c r="F5234">
        <v>0.14558139731894301</v>
      </c>
      <c r="G5234">
        <v>9.18407657505068E-2</v>
      </c>
      <c r="H5234">
        <v>3.2892155944148502E-2</v>
      </c>
      <c r="I5234">
        <v>3.9621362808667099E-2</v>
      </c>
      <c r="J5234">
        <v>3.1365332245787199E-2</v>
      </c>
      <c r="K5234">
        <v>2.2227799316905699E-2</v>
      </c>
      <c r="L5234">
        <v>988.10139626574596</v>
      </c>
      <c r="M5234">
        <v>21.064210790325198</v>
      </c>
      <c r="N5234">
        <v>47.093139777991503</v>
      </c>
      <c r="O5234">
        <v>46.492373025266602</v>
      </c>
      <c r="P5234">
        <v>-0.10879266427595</v>
      </c>
      <c r="Q5234">
        <v>3.9528215281071602E-2</v>
      </c>
      <c r="R5234">
        <v>0.99714612782733603</v>
      </c>
      <c r="S5234" t="s">
        <v>12237</v>
      </c>
      <c r="T5234" t="s">
        <v>14004</v>
      </c>
      <c r="U5234" t="s">
        <v>14004</v>
      </c>
      <c r="V5234" t="s">
        <v>14004</v>
      </c>
      <c r="W5234" t="s">
        <v>19183</v>
      </c>
      <c r="X5234">
        <v>2</v>
      </c>
      <c r="Y5234" t="s">
        <v>25987</v>
      </c>
      <c r="Z5234" t="s">
        <v>32944</v>
      </c>
      <c r="AA5234">
        <v>0.27330287042995149</v>
      </c>
      <c r="AB5234" t="str">
        <f>HYPERLINK("Melting_Curves/meltCurve_Q96BT7_ALKBH8.pdf", "Melting_Curves/meltCurve_Q96BT7_ALKBH8.pdf")</f>
        <v>Melting_Curves/meltCurve_Q96BT7_ALKBH8.pdf</v>
      </c>
    </row>
    <row r="5235" spans="1:28" x14ac:dyDescent="0.25">
      <c r="A5235" t="s">
        <v>5239</v>
      </c>
      <c r="B5235">
        <v>0.99999676499088797</v>
      </c>
      <c r="C5235">
        <v>1.0914867874785601</v>
      </c>
      <c r="D5235">
        <v>1.0256383095247801</v>
      </c>
      <c r="E5235">
        <v>1.0271186791182301</v>
      </c>
      <c r="F5235">
        <v>0.86895892659911</v>
      </c>
      <c r="G5235">
        <v>0.62195831445321004</v>
      </c>
      <c r="H5235">
        <v>0.36266399585289</v>
      </c>
      <c r="I5235">
        <v>0.22821321763621599</v>
      </c>
      <c r="J5235">
        <v>0.191026513222286</v>
      </c>
      <c r="K5235">
        <v>0.16680752214745601</v>
      </c>
      <c r="L5235">
        <v>1297.43297133281</v>
      </c>
      <c r="M5235">
        <v>22.5873899183803</v>
      </c>
      <c r="N5235">
        <v>58.421998304785497</v>
      </c>
      <c r="O5235">
        <v>56.996039627090802</v>
      </c>
      <c r="P5235">
        <v>-8.34345116246928E-2</v>
      </c>
      <c r="Q5235">
        <v>0.15787683091698701</v>
      </c>
      <c r="R5235">
        <v>0.99085703283736404</v>
      </c>
      <c r="S5235" t="s">
        <v>12238</v>
      </c>
      <c r="T5235" t="s">
        <v>14004</v>
      </c>
      <c r="U5235" t="s">
        <v>14004</v>
      </c>
      <c r="V5235" t="s">
        <v>14004</v>
      </c>
      <c r="W5235" t="s">
        <v>19184</v>
      </c>
      <c r="X5235">
        <v>6</v>
      </c>
      <c r="Y5235" t="s">
        <v>25988</v>
      </c>
      <c r="Z5235" t="s">
        <v>32945</v>
      </c>
      <c r="AA5235">
        <v>0.65608160676075555</v>
      </c>
      <c r="AB5235" t="str">
        <f>HYPERLINK("Melting_Curves/meltCurve_Q96BW1_UPRT.pdf", "Melting_Curves/meltCurve_Q96BW1_UPRT.pdf")</f>
        <v>Melting_Curves/meltCurve_Q96BW1_UPRT.pdf</v>
      </c>
    </row>
    <row r="5236" spans="1:28" x14ac:dyDescent="0.25">
      <c r="A5236" t="s">
        <v>5240</v>
      </c>
      <c r="B5236">
        <v>0.99999676499088797</v>
      </c>
      <c r="C5236">
        <v>1.18605999994179</v>
      </c>
      <c r="D5236">
        <v>1.1683195771315</v>
      </c>
      <c r="E5236">
        <v>1.2118313472237201</v>
      </c>
      <c r="F5236">
        <v>1.2561853436206201</v>
      </c>
      <c r="G5236">
        <v>0.95458869473624697</v>
      </c>
      <c r="H5236">
        <v>0.445243301773252</v>
      </c>
      <c r="I5236">
        <v>0.199257537028867</v>
      </c>
      <c r="J5236">
        <v>0.159435288305081</v>
      </c>
      <c r="K5236">
        <v>0.13617983317799801</v>
      </c>
      <c r="L5236">
        <v>3132.5891962022602</v>
      </c>
      <c r="M5236">
        <v>52.145574609288097</v>
      </c>
      <c r="N5236">
        <v>60.4935035435863</v>
      </c>
      <c r="O5236">
        <v>59.985783804228497</v>
      </c>
      <c r="P5236">
        <v>-0.18434639754878199</v>
      </c>
      <c r="Q5236">
        <v>0.15174760673059801</v>
      </c>
      <c r="R5236">
        <v>0.91513258013586496</v>
      </c>
      <c r="S5236" t="s">
        <v>12239</v>
      </c>
      <c r="T5236" t="s">
        <v>14004</v>
      </c>
      <c r="U5236" t="s">
        <v>14004</v>
      </c>
      <c r="V5236" t="s">
        <v>14004</v>
      </c>
      <c r="W5236" t="s">
        <v>19185</v>
      </c>
      <c r="X5236">
        <v>15</v>
      </c>
      <c r="Y5236" t="s">
        <v>25989</v>
      </c>
      <c r="Z5236" t="s">
        <v>32946</v>
      </c>
      <c r="AA5236">
        <v>0.721376542939274</v>
      </c>
      <c r="AB5236" t="str">
        <f>HYPERLINK("Melting_Curves/meltCurve_Q96BW5_2_PTER.pdf", "Melting_Curves/meltCurve_Q96BW5_2_PTER.pdf")</f>
        <v>Melting_Curves/meltCurve_Q96BW5_2_PTER.pdf</v>
      </c>
    </row>
    <row r="5237" spans="1:28" x14ac:dyDescent="0.25">
      <c r="A5237" t="s">
        <v>5241</v>
      </c>
      <c r="B5237">
        <v>0.99999676499088797</v>
      </c>
      <c r="C5237">
        <v>1.0274040070544499</v>
      </c>
      <c r="D5237">
        <v>1.0202987182999801</v>
      </c>
      <c r="E5237">
        <v>0.69904972528859299</v>
      </c>
      <c r="F5237">
        <v>0.23137444458938999</v>
      </c>
      <c r="G5237">
        <v>0.16842376286342001</v>
      </c>
      <c r="H5237">
        <v>7.9150708806434406E-2</v>
      </c>
      <c r="I5237">
        <v>6.9907381688595199E-2</v>
      </c>
      <c r="J5237">
        <v>6.6736140122718002E-2</v>
      </c>
      <c r="K5237">
        <v>6.1216297528527801E-2</v>
      </c>
      <c r="L5237">
        <v>1712.8818289206099</v>
      </c>
      <c r="M5237">
        <v>33.7706823378603</v>
      </c>
      <c r="N5237">
        <v>50.989561120660603</v>
      </c>
      <c r="O5237">
        <v>50.544108003076097</v>
      </c>
      <c r="P5237">
        <v>-0.15342617841393799</v>
      </c>
      <c r="Q5237">
        <v>8.1480469761486304E-2</v>
      </c>
      <c r="R5237">
        <v>0.99532084216501704</v>
      </c>
      <c r="S5237" t="s">
        <v>12240</v>
      </c>
      <c r="T5237" t="s">
        <v>14004</v>
      </c>
      <c r="U5237" t="s">
        <v>14004</v>
      </c>
      <c r="V5237" t="s">
        <v>14004</v>
      </c>
      <c r="W5237" t="s">
        <v>19186</v>
      </c>
      <c r="X5237">
        <v>10</v>
      </c>
      <c r="Y5237" t="s">
        <v>25990</v>
      </c>
      <c r="Z5237" t="s">
        <v>32947</v>
      </c>
      <c r="AA5237">
        <v>0.41425791581755372</v>
      </c>
      <c r="AB5237" t="str">
        <f>HYPERLINK("Melting_Curves/meltCurve_Q96BX8_MOB3A.pdf", "Melting_Curves/meltCurve_Q96BX8_MOB3A.pdf")</f>
        <v>Melting_Curves/meltCurve_Q96BX8_MOB3A.pdf</v>
      </c>
    </row>
    <row r="5238" spans="1:28" x14ac:dyDescent="0.25">
      <c r="A5238" t="s">
        <v>5242</v>
      </c>
      <c r="B5238">
        <v>0.99999676499088797</v>
      </c>
      <c r="C5238">
        <v>1.04915699712294</v>
      </c>
      <c r="D5238">
        <v>0.98625572006717399</v>
      </c>
      <c r="E5238">
        <v>0.67959016158195895</v>
      </c>
      <c r="F5238">
        <v>0.37921245244013202</v>
      </c>
      <c r="G5238">
        <v>0.30021540262562502</v>
      </c>
      <c r="H5238">
        <v>0.13298598974383399</v>
      </c>
      <c r="I5238">
        <v>0.12971045170741899</v>
      </c>
      <c r="J5238">
        <v>0.110448968930024</v>
      </c>
      <c r="K5238">
        <v>7.8777432327264599E-2</v>
      </c>
      <c r="L5238">
        <v>1043.6138543130601</v>
      </c>
      <c r="M5238">
        <v>20.2928580343969</v>
      </c>
      <c r="N5238">
        <v>52.050491223534998</v>
      </c>
      <c r="O5238">
        <v>50.936040319405201</v>
      </c>
      <c r="P5238">
        <v>-8.8865859420639307E-2</v>
      </c>
      <c r="Q5238">
        <v>0.107797227337267</v>
      </c>
      <c r="R5238">
        <v>0.98824174513360397</v>
      </c>
      <c r="S5238" t="s">
        <v>12241</v>
      </c>
      <c r="T5238" t="s">
        <v>14004</v>
      </c>
      <c r="U5238" t="s">
        <v>14004</v>
      </c>
      <c r="V5238" t="s">
        <v>14004</v>
      </c>
      <c r="W5238" t="s">
        <v>19187</v>
      </c>
      <c r="X5238">
        <v>4</v>
      </c>
      <c r="Y5238" t="s">
        <v>25991</v>
      </c>
      <c r="Z5238" t="s">
        <v>32948</v>
      </c>
      <c r="AA5238">
        <v>0.45970070280522068</v>
      </c>
      <c r="AB5238" t="str">
        <f>HYPERLINK("Melting_Curves/meltCurve_Q96BY7_ATG2B.pdf", "Melting_Curves/meltCurve_Q96BY7_ATG2B.pdf")</f>
        <v>Melting_Curves/meltCurve_Q96BY7_ATG2B.pdf</v>
      </c>
    </row>
    <row r="5239" spans="1:28" x14ac:dyDescent="0.25">
      <c r="A5239" t="s">
        <v>5243</v>
      </c>
      <c r="B5239">
        <v>0.99999676499088797</v>
      </c>
      <c r="C5239">
        <v>0.99419213247057803</v>
      </c>
      <c r="D5239">
        <v>1.01385571114766</v>
      </c>
      <c r="E5239">
        <v>0.89669859875690305</v>
      </c>
      <c r="F5239">
        <v>0.83925226866158498</v>
      </c>
      <c r="G5239">
        <v>0.87901813000795803</v>
      </c>
      <c r="H5239">
        <v>0.55425177909898704</v>
      </c>
      <c r="I5239">
        <v>0.66801130400740405</v>
      </c>
      <c r="J5239">
        <v>0.60336782205874895</v>
      </c>
      <c r="K5239">
        <v>0.77953329025823503</v>
      </c>
      <c r="L5239">
        <v>964.50730282806205</v>
      </c>
      <c r="M5239">
        <v>17.780423593031799</v>
      </c>
      <c r="O5239">
        <v>53.573253162400697</v>
      </c>
      <c r="P5239">
        <v>-2.88676683291469E-2</v>
      </c>
      <c r="Q5239">
        <v>0.65209944251074803</v>
      </c>
      <c r="R5239">
        <v>0.77750511219541796</v>
      </c>
      <c r="S5239" t="s">
        <v>12242</v>
      </c>
      <c r="T5239" t="s">
        <v>14004</v>
      </c>
      <c r="U5239" t="s">
        <v>14004</v>
      </c>
      <c r="V5239" t="s">
        <v>14004</v>
      </c>
      <c r="W5239" t="s">
        <v>19188</v>
      </c>
      <c r="X5239">
        <v>15</v>
      </c>
      <c r="Y5239" t="s">
        <v>25992</v>
      </c>
      <c r="Z5239" t="s">
        <v>32949</v>
      </c>
      <c r="AA5239">
        <v>0.82292530274749065</v>
      </c>
      <c r="AB5239" t="str">
        <f>HYPERLINK("Melting_Curves/meltCurve_Q96BZ8_LENG1.pdf", "Melting_Curves/meltCurve_Q96BZ8_LENG1.pdf")</f>
        <v>Melting_Curves/meltCurve_Q96BZ8_LENG1.pdf</v>
      </c>
    </row>
    <row r="5240" spans="1:28" x14ac:dyDescent="0.25">
      <c r="A5240" t="s">
        <v>5244</v>
      </c>
      <c r="B5240">
        <v>0.99999676499088797</v>
      </c>
      <c r="C5240">
        <v>1.0231467972756101</v>
      </c>
      <c r="D5240">
        <v>0.981989474665519</v>
      </c>
      <c r="E5240">
        <v>0.65918176949482499</v>
      </c>
      <c r="F5240">
        <v>0.23128589318672799</v>
      </c>
      <c r="G5240">
        <v>0.13765917028611399</v>
      </c>
      <c r="H5240">
        <v>5.2856304743038401E-2</v>
      </c>
      <c r="I5240">
        <v>5.0860238034536799E-2</v>
      </c>
      <c r="J5240">
        <v>4.4874882544724298E-2</v>
      </c>
      <c r="K5240">
        <v>4.0137783008848002E-2</v>
      </c>
      <c r="L5240">
        <v>1487.1044595661499</v>
      </c>
      <c r="M5240">
        <v>29.367831329042499</v>
      </c>
      <c r="N5240">
        <v>50.834678555189399</v>
      </c>
      <c r="O5240">
        <v>50.404141049433797</v>
      </c>
      <c r="P5240">
        <v>-0.137810029776222</v>
      </c>
      <c r="Q5240">
        <v>5.39107938101724E-2</v>
      </c>
      <c r="R5240">
        <v>0.99756844016035395</v>
      </c>
      <c r="S5240" t="s">
        <v>12243</v>
      </c>
      <c r="T5240" t="s">
        <v>14004</v>
      </c>
      <c r="U5240" t="s">
        <v>14004</v>
      </c>
      <c r="V5240" t="s">
        <v>14004</v>
      </c>
      <c r="W5240" t="s">
        <v>19189</v>
      </c>
      <c r="X5240">
        <v>2</v>
      </c>
      <c r="Y5240" t="s">
        <v>25993</v>
      </c>
      <c r="Z5240" t="s">
        <v>32950</v>
      </c>
      <c r="AA5240">
        <v>0.39554010180117599</v>
      </c>
      <c r="AB5240" t="str">
        <f>HYPERLINK("Melting_Curves/meltCurve_Q96BZ9_TBC1D20.pdf", "Melting_Curves/meltCurve_Q96BZ9_TBC1D20.pdf")</f>
        <v>Melting_Curves/meltCurve_Q96BZ9_TBC1D20.pdf</v>
      </c>
    </row>
    <row r="5241" spans="1:28" x14ac:dyDescent="0.25">
      <c r="A5241" t="s">
        <v>5245</v>
      </c>
      <c r="B5241">
        <v>0.99999676499088797</v>
      </c>
      <c r="C5241">
        <v>0.98817246521794699</v>
      </c>
      <c r="D5241">
        <v>0.97966954018360297</v>
      </c>
      <c r="E5241">
        <v>0.87445981165776998</v>
      </c>
      <c r="F5241">
        <v>0.58113707958608596</v>
      </c>
      <c r="G5241">
        <v>0.46945135214273498</v>
      </c>
      <c r="H5241">
        <v>0.25907034480022301</v>
      </c>
      <c r="I5241">
        <v>0.30194595388791401</v>
      </c>
      <c r="J5241">
        <v>0.30725687087899001</v>
      </c>
      <c r="K5241">
        <v>0.27419045126751501</v>
      </c>
      <c r="L5241">
        <v>1128.66901592932</v>
      </c>
      <c r="M5241">
        <v>21.340167729599099</v>
      </c>
      <c r="N5241">
        <v>54.963028551245003</v>
      </c>
      <c r="O5241">
        <v>52.431549704704899</v>
      </c>
      <c r="P5241">
        <v>-7.3621786768101993E-2</v>
      </c>
      <c r="Q5241">
        <v>0.276480392537784</v>
      </c>
      <c r="R5241">
        <v>0.99037264784111101</v>
      </c>
      <c r="S5241" t="s">
        <v>12244</v>
      </c>
      <c r="T5241" t="s">
        <v>14004</v>
      </c>
      <c r="U5241" t="s">
        <v>14004</v>
      </c>
      <c r="V5241" t="s">
        <v>14004</v>
      </c>
      <c r="W5241" t="s">
        <v>19190</v>
      </c>
      <c r="X5241">
        <v>17</v>
      </c>
      <c r="Y5241" t="s">
        <v>25994</v>
      </c>
      <c r="Z5241" t="s">
        <v>32951</v>
      </c>
      <c r="AA5241">
        <v>0.59623288692530119</v>
      </c>
      <c r="AB5241" t="str">
        <f>HYPERLINK("Melting_Curves/meltCurve_Q96C01_FAM136A.pdf", "Melting_Curves/meltCurve_Q96C01_FAM136A.pdf")</f>
        <v>Melting_Curves/meltCurve_Q96C01_FAM136A.pdf</v>
      </c>
    </row>
    <row r="5242" spans="1:28" x14ac:dyDescent="0.25">
      <c r="A5242" t="s">
        <v>5246</v>
      </c>
      <c r="B5242">
        <v>0.99999676499088797</v>
      </c>
      <c r="C5242">
        <v>0.94505914965083704</v>
      </c>
      <c r="D5242">
        <v>0.96432523981900797</v>
      </c>
      <c r="E5242">
        <v>0.73176176576077501</v>
      </c>
      <c r="F5242">
        <v>0.39467041904310002</v>
      </c>
      <c r="G5242">
        <v>0.2272206409884</v>
      </c>
      <c r="H5242">
        <v>0.12895583087690299</v>
      </c>
      <c r="I5242">
        <v>0.106578401974831</v>
      </c>
      <c r="J5242">
        <v>0.112518526905138</v>
      </c>
      <c r="K5242">
        <v>0.11165230051476301</v>
      </c>
      <c r="L5242">
        <v>1133.1435638543601</v>
      </c>
      <c r="M5242">
        <v>21.987436834102699</v>
      </c>
      <c r="N5242">
        <v>52.094745267298002</v>
      </c>
      <c r="O5242">
        <v>51.115343066737204</v>
      </c>
      <c r="P5242">
        <v>-9.6243706157160297E-2</v>
      </c>
      <c r="Q5242">
        <v>0.105048995732596</v>
      </c>
      <c r="R5242">
        <v>0.99772368901930897</v>
      </c>
      <c r="S5242" t="s">
        <v>12245</v>
      </c>
      <c r="T5242" t="s">
        <v>14004</v>
      </c>
      <c r="U5242" t="s">
        <v>14004</v>
      </c>
      <c r="V5242" t="s">
        <v>14004</v>
      </c>
      <c r="W5242" t="s">
        <v>19191</v>
      </c>
      <c r="X5242">
        <v>21</v>
      </c>
      <c r="Y5242" t="s">
        <v>25995</v>
      </c>
      <c r="Z5242" t="s">
        <v>32952</v>
      </c>
      <c r="AA5242">
        <v>0.4595881935004521</v>
      </c>
      <c r="AB5242" t="str">
        <f>HYPERLINK("Melting_Curves/meltCurve_Q96C19_EFHD2.pdf", "Melting_Curves/meltCurve_Q96C19_EFHD2.pdf")</f>
        <v>Melting_Curves/meltCurve_Q96C19_EFHD2.pdf</v>
      </c>
    </row>
    <row r="5243" spans="1:28" x14ac:dyDescent="0.25">
      <c r="A5243" t="s">
        <v>5247</v>
      </c>
      <c r="B5243">
        <v>0.99999676499088797</v>
      </c>
      <c r="C5243">
        <v>1.07533290834457</v>
      </c>
      <c r="D5243">
        <v>1.11746770940817</v>
      </c>
      <c r="E5243">
        <v>1.16309896380115</v>
      </c>
      <c r="F5243">
        <v>1.07342281401661</v>
      </c>
      <c r="G5243">
        <v>0.91256529179742596</v>
      </c>
      <c r="H5243">
        <v>0.57154115292267504</v>
      </c>
      <c r="I5243">
        <v>0.467273687205912</v>
      </c>
      <c r="J5243">
        <v>0.34587601616848102</v>
      </c>
      <c r="K5243">
        <v>0.23612865433152799</v>
      </c>
      <c r="L5243">
        <v>1652.8585511117301</v>
      </c>
      <c r="M5243">
        <v>27.240004108866799</v>
      </c>
      <c r="N5243">
        <v>62.431023179727802</v>
      </c>
      <c r="O5243">
        <v>60.353406302779398</v>
      </c>
      <c r="P5243">
        <v>-8.2670252587844703E-2</v>
      </c>
      <c r="Q5243">
        <v>0.26734435767757098</v>
      </c>
      <c r="R5243">
        <v>0.94305640332505403</v>
      </c>
      <c r="S5243" t="s">
        <v>12246</v>
      </c>
      <c r="T5243" t="s">
        <v>14004</v>
      </c>
      <c r="U5243" t="s">
        <v>14004</v>
      </c>
      <c r="V5243" t="s">
        <v>14004</v>
      </c>
      <c r="W5243" t="s">
        <v>19192</v>
      </c>
      <c r="X5243">
        <v>17</v>
      </c>
      <c r="Y5243" t="s">
        <v>25996</v>
      </c>
      <c r="Z5243" t="s">
        <v>32953</v>
      </c>
      <c r="AA5243">
        <v>0.77694212044709199</v>
      </c>
      <c r="AB5243" t="str">
        <f>HYPERLINK("Melting_Curves/meltCurve_Q96C36_PYCR2.pdf", "Melting_Curves/meltCurve_Q96C36_PYCR2.pdf")</f>
        <v>Melting_Curves/meltCurve_Q96C36_PYCR2.pdf</v>
      </c>
    </row>
    <row r="5244" spans="1:28" x14ac:dyDescent="0.25">
      <c r="A5244" t="s">
        <v>5248</v>
      </c>
      <c r="B5244">
        <v>0.99999676499088797</v>
      </c>
      <c r="C5244">
        <v>0.97797530723846104</v>
      </c>
      <c r="D5244">
        <v>1.0154533301756901</v>
      </c>
      <c r="E5244">
        <v>1.0132195043385801</v>
      </c>
      <c r="F5244">
        <v>0.98154056128012102</v>
      </c>
      <c r="G5244">
        <v>0.81318788278154797</v>
      </c>
      <c r="H5244">
        <v>0.56453765854907301</v>
      </c>
      <c r="I5244">
        <v>0.63678034390438498</v>
      </c>
      <c r="J5244">
        <v>0.60209883019513499</v>
      </c>
      <c r="K5244">
        <v>0.62733525779120602</v>
      </c>
      <c r="L5244">
        <v>14205.4154156728</v>
      </c>
      <c r="M5244">
        <v>250</v>
      </c>
      <c r="O5244">
        <v>56.818013562185499</v>
      </c>
      <c r="P5244">
        <v>-0.43154436873385899</v>
      </c>
      <c r="Q5244">
        <v>0.60768801736010103</v>
      </c>
      <c r="R5244">
        <v>0.98725036469562</v>
      </c>
      <c r="S5244" t="s">
        <v>12247</v>
      </c>
      <c r="T5244" t="s">
        <v>14004</v>
      </c>
      <c r="U5244" t="s">
        <v>14004</v>
      </c>
      <c r="V5244" t="s">
        <v>14004</v>
      </c>
      <c r="W5244" t="s">
        <v>19193</v>
      </c>
      <c r="X5244">
        <v>14</v>
      </c>
      <c r="Y5244" t="s">
        <v>25997</v>
      </c>
      <c r="Z5244" t="s">
        <v>32954</v>
      </c>
      <c r="AA5244">
        <v>0.82770512042799116</v>
      </c>
      <c r="AB5244" t="str">
        <f>HYPERLINK("Melting_Curves/meltCurve_Q96C57_C12orf43.pdf", "Melting_Curves/meltCurve_Q96C57_C12orf43.pdf")</f>
        <v>Melting_Curves/meltCurve_Q96C57_C12orf43.pdf</v>
      </c>
    </row>
    <row r="5245" spans="1:28" x14ac:dyDescent="0.25">
      <c r="A5245" t="s">
        <v>5249</v>
      </c>
      <c r="B5245">
        <v>0.99999676499088797</v>
      </c>
      <c r="C5245">
        <v>0.97558965867195202</v>
      </c>
      <c r="D5245">
        <v>1.0095275874071401</v>
      </c>
      <c r="E5245">
        <v>0.96938389157001204</v>
      </c>
      <c r="F5245">
        <v>0.96558206770386801</v>
      </c>
      <c r="G5245">
        <v>0.77000406321390702</v>
      </c>
      <c r="H5245">
        <v>0.38030348732275199</v>
      </c>
      <c r="I5245">
        <v>0.150041324048304</v>
      </c>
      <c r="J5245">
        <v>0.122923023300157</v>
      </c>
      <c r="K5245">
        <v>0.11157298082381201</v>
      </c>
      <c r="L5245">
        <v>1696.7959586540901</v>
      </c>
      <c r="M5245">
        <v>28.750945345670399</v>
      </c>
      <c r="N5245">
        <v>59.429826279818201</v>
      </c>
      <c r="O5245">
        <v>58.733753802122202</v>
      </c>
      <c r="P5245">
        <v>-0.11130284612949599</v>
      </c>
      <c r="Q5245">
        <v>9.0508813193409698E-2</v>
      </c>
      <c r="R5245">
        <v>0.99818382746933298</v>
      </c>
      <c r="S5245" t="s">
        <v>12248</v>
      </c>
      <c r="T5245" t="s">
        <v>14004</v>
      </c>
      <c r="U5245" t="s">
        <v>14004</v>
      </c>
      <c r="V5245" t="s">
        <v>14004</v>
      </c>
      <c r="W5245" t="s">
        <v>19194</v>
      </c>
      <c r="X5245">
        <v>16</v>
      </c>
      <c r="Y5245" t="s">
        <v>25998</v>
      </c>
      <c r="Z5245" t="s">
        <v>32955</v>
      </c>
      <c r="AA5245">
        <v>0.67323376956829195</v>
      </c>
      <c r="AB5245" t="str">
        <f>HYPERLINK("Melting_Curves/meltCurve_Q96C86_DCPS.pdf", "Melting_Curves/meltCurve_Q96C86_DCPS.pdf")</f>
        <v>Melting_Curves/meltCurve_Q96C86_DCPS.pdf</v>
      </c>
    </row>
    <row r="5246" spans="1:28" x14ac:dyDescent="0.25">
      <c r="A5246" t="s">
        <v>5250</v>
      </c>
      <c r="B5246">
        <v>0.99999676499088797</v>
      </c>
      <c r="C5246">
        <v>0.84114122649879397</v>
      </c>
      <c r="D5246">
        <v>0.74695973672603899</v>
      </c>
      <c r="E5246">
        <v>0.75832643690328205</v>
      </c>
      <c r="F5246">
        <v>0.75212955835385997</v>
      </c>
      <c r="G5246">
        <v>0.64039898360293301</v>
      </c>
      <c r="H5246">
        <v>0.38223793500157299</v>
      </c>
      <c r="I5246">
        <v>0.41959160135832102</v>
      </c>
      <c r="J5246">
        <v>0.26514248851128502</v>
      </c>
      <c r="K5246">
        <v>0.38891245139785902</v>
      </c>
      <c r="L5246">
        <v>324.62627563374002</v>
      </c>
      <c r="M5246">
        <v>5.4331921535286503</v>
      </c>
      <c r="N5246">
        <v>59.748733563254603</v>
      </c>
      <c r="O5246">
        <v>53.108079782887302</v>
      </c>
      <c r="P5246">
        <v>-2.5693691060038101E-2</v>
      </c>
      <c r="Q5246">
        <v>0</v>
      </c>
      <c r="R5246">
        <v>0.90207167304229996</v>
      </c>
      <c r="S5246" t="s">
        <v>12249</v>
      </c>
      <c r="T5246" t="s">
        <v>14004</v>
      </c>
      <c r="U5246" t="s">
        <v>14004</v>
      </c>
      <c r="V5246" t="s">
        <v>14004</v>
      </c>
      <c r="W5246" t="s">
        <v>19195</v>
      </c>
      <c r="X5246">
        <v>2</v>
      </c>
      <c r="Y5246" t="s">
        <v>25999</v>
      </c>
      <c r="Z5246" t="s">
        <v>32956</v>
      </c>
      <c r="AA5246">
        <v>0.62069092695173</v>
      </c>
      <c r="AB5246" t="str">
        <f>HYPERLINK("Melting_Curves/meltCurve_Q96C90_PPP1R14B.pdf", "Melting_Curves/meltCurve_Q96C90_PPP1R14B.pdf")</f>
        <v>Melting_Curves/meltCurve_Q96C90_PPP1R14B.pdf</v>
      </c>
    </row>
    <row r="5247" spans="1:28" x14ac:dyDescent="0.25">
      <c r="A5247" t="s">
        <v>5251</v>
      </c>
      <c r="B5247">
        <v>0.99999676499088797</v>
      </c>
      <c r="C5247">
        <v>0.89418490245682702</v>
      </c>
      <c r="D5247">
        <v>0.650229125283456</v>
      </c>
      <c r="E5247">
        <v>0.35515759183377399</v>
      </c>
      <c r="F5247">
        <v>0.25132073422539097</v>
      </c>
      <c r="G5247">
        <v>0.203682008533764</v>
      </c>
      <c r="H5247">
        <v>0.12100144636919501</v>
      </c>
      <c r="I5247">
        <v>0.123205401542474</v>
      </c>
      <c r="J5247">
        <v>0.144191001441485</v>
      </c>
      <c r="K5247">
        <v>0.118032518533843</v>
      </c>
      <c r="L5247">
        <v>889.69201025426901</v>
      </c>
      <c r="M5247">
        <v>18.8981904386271</v>
      </c>
      <c r="N5247">
        <v>47.862603266801798</v>
      </c>
      <c r="O5247">
        <v>46.560517184651999</v>
      </c>
      <c r="P5247">
        <v>-8.7960951830870604E-2</v>
      </c>
      <c r="Q5247">
        <v>0.133178243334337</v>
      </c>
      <c r="R5247">
        <v>0.99517010185294397</v>
      </c>
      <c r="S5247" t="s">
        <v>12250</v>
      </c>
      <c r="T5247" t="s">
        <v>14004</v>
      </c>
      <c r="U5247" t="s">
        <v>14004</v>
      </c>
      <c r="V5247" t="s">
        <v>14004</v>
      </c>
      <c r="W5247" t="s">
        <v>19196</v>
      </c>
      <c r="X5247">
        <v>3</v>
      </c>
      <c r="Y5247" t="s">
        <v>26000</v>
      </c>
      <c r="Z5247" t="s">
        <v>32957</v>
      </c>
      <c r="AA5247">
        <v>0.3520227941199176</v>
      </c>
      <c r="AB5247" t="str">
        <f>HYPERLINK("Melting_Curves/meltCurve_Q96CB8_INTS12.pdf", "Melting_Curves/meltCurve_Q96CB8_INTS12.pdf")</f>
        <v>Melting_Curves/meltCurve_Q96CB8_INTS12.pdf</v>
      </c>
    </row>
    <row r="5248" spans="1:28" x14ac:dyDescent="0.25">
      <c r="A5248" t="s">
        <v>5252</v>
      </c>
      <c r="B5248">
        <v>0.99999676499088797</v>
      </c>
      <c r="C5248">
        <v>1.04160731742975</v>
      </c>
      <c r="D5248">
        <v>0.89099023548602296</v>
      </c>
      <c r="E5248">
        <v>0.72144604622845898</v>
      </c>
      <c r="F5248">
        <v>0.22325754119921401</v>
      </c>
      <c r="G5248">
        <v>0.20540001130477201</v>
      </c>
      <c r="H5248">
        <v>0.118026247342088</v>
      </c>
      <c r="I5248">
        <v>0.118450028992154</v>
      </c>
      <c r="J5248">
        <v>0.11921663941948001</v>
      </c>
      <c r="K5248">
        <v>7.7548913413069701E-2</v>
      </c>
      <c r="L5248">
        <v>1596.4493474395299</v>
      </c>
      <c r="M5248">
        <v>31.5718543200745</v>
      </c>
      <c r="N5248">
        <v>50.987756344298099</v>
      </c>
      <c r="O5248">
        <v>50.364018848738603</v>
      </c>
      <c r="P5248">
        <v>-0.138693757679338</v>
      </c>
      <c r="Q5248">
        <v>0.11501709529478001</v>
      </c>
      <c r="R5248">
        <v>0.98951807083971999</v>
      </c>
      <c r="S5248" t="s">
        <v>12251</v>
      </c>
      <c r="T5248" t="s">
        <v>14004</v>
      </c>
      <c r="U5248" t="s">
        <v>14004</v>
      </c>
      <c r="V5248" t="s">
        <v>14004</v>
      </c>
      <c r="W5248" t="s">
        <v>19197</v>
      </c>
      <c r="X5248">
        <v>6</v>
      </c>
      <c r="Y5248" t="s">
        <v>26001</v>
      </c>
      <c r="Z5248" t="s">
        <v>32958</v>
      </c>
      <c r="AA5248">
        <v>0.43168077110478059</v>
      </c>
      <c r="AB5248" t="str">
        <f>HYPERLINK("Melting_Curves/meltCurve_Q96CB9_NSUN4.pdf", "Melting_Curves/meltCurve_Q96CB9_NSUN4.pdf")</f>
        <v>Melting_Curves/meltCurve_Q96CB9_NSUN4.pdf</v>
      </c>
    </row>
    <row r="5249" spans="1:28" x14ac:dyDescent="0.25">
      <c r="A5249" t="s">
        <v>5253</v>
      </c>
      <c r="B5249">
        <v>0.99999676499088797</v>
      </c>
      <c r="C5249">
        <v>0.99050350895066697</v>
      </c>
      <c r="D5249">
        <v>0.98220384013523199</v>
      </c>
      <c r="E5249">
        <v>0.965688555631115</v>
      </c>
      <c r="F5249">
        <v>0.54307068696245697</v>
      </c>
      <c r="G5249">
        <v>0.29987113975758301</v>
      </c>
      <c r="H5249">
        <v>0.12732883325233399</v>
      </c>
      <c r="I5249">
        <v>0.12717714059346399</v>
      </c>
      <c r="J5249">
        <v>9.5054987674771302E-2</v>
      </c>
      <c r="K5249">
        <v>4.1492368171990299E-2</v>
      </c>
      <c r="L5249">
        <v>1393.99567654417</v>
      </c>
      <c r="M5249">
        <v>25.9841502117369</v>
      </c>
      <c r="N5249">
        <v>54.041832115045999</v>
      </c>
      <c r="O5249">
        <v>53.333212689708802</v>
      </c>
      <c r="P5249">
        <v>-0.111294359509305</v>
      </c>
      <c r="Q5249">
        <v>8.6271402529205607E-2</v>
      </c>
      <c r="R5249">
        <v>0.99319438995100096</v>
      </c>
      <c r="S5249" t="s">
        <v>12252</v>
      </c>
      <c r="T5249" t="s">
        <v>14004</v>
      </c>
      <c r="U5249" t="s">
        <v>14004</v>
      </c>
      <c r="V5249" t="s">
        <v>14004</v>
      </c>
      <c r="W5249" t="s">
        <v>19198</v>
      </c>
      <c r="X5249">
        <v>3</v>
      </c>
      <c r="Y5249" t="s">
        <v>26002</v>
      </c>
      <c r="Z5249" t="s">
        <v>32959</v>
      </c>
      <c r="AA5249">
        <v>0.50981552244625783</v>
      </c>
      <c r="AB5249" t="str">
        <f>HYPERLINK("Melting_Curves/meltCurve_Q96CD0_FBXL8.pdf", "Melting_Curves/meltCurve_Q96CD0_FBXL8.pdf")</f>
        <v>Melting_Curves/meltCurve_Q96CD0_FBXL8.pdf</v>
      </c>
    </row>
    <row r="5250" spans="1:28" x14ac:dyDescent="0.25">
      <c r="A5250" t="s">
        <v>5254</v>
      </c>
      <c r="B5250">
        <v>0.99999676499088797</v>
      </c>
      <c r="C5250">
        <v>0.982177765827425</v>
      </c>
      <c r="D5250">
        <v>1.0096998610074599</v>
      </c>
      <c r="E5250">
        <v>1.0910297904016799</v>
      </c>
      <c r="F5250">
        <v>1.18178119868748</v>
      </c>
      <c r="G5250">
        <v>0.87916420877400103</v>
      </c>
      <c r="H5250">
        <v>0.70966167584787399</v>
      </c>
      <c r="I5250">
        <v>0.73758443940794904</v>
      </c>
      <c r="J5250">
        <v>0.62235811484592996</v>
      </c>
      <c r="K5250">
        <v>0.881683109075733</v>
      </c>
      <c r="L5250">
        <v>14208.903568399999</v>
      </c>
      <c r="M5250">
        <v>250</v>
      </c>
      <c r="O5250">
        <v>56.831978717927697</v>
      </c>
      <c r="P5250">
        <v>-0.288325983040853</v>
      </c>
      <c r="Q5250">
        <v>0.73782182932733398</v>
      </c>
      <c r="R5250">
        <v>0.73063454483420298</v>
      </c>
      <c r="S5250" t="s">
        <v>12253</v>
      </c>
      <c r="T5250" t="s">
        <v>14004</v>
      </c>
      <c r="U5250" t="s">
        <v>14004</v>
      </c>
      <c r="V5250" t="s">
        <v>14004</v>
      </c>
      <c r="W5250" t="s">
        <v>19199</v>
      </c>
      <c r="X5250">
        <v>8</v>
      </c>
      <c r="Y5250" t="s">
        <v>26003</v>
      </c>
      <c r="Z5250" t="s">
        <v>32960</v>
      </c>
      <c r="AA5250">
        <v>0.88497899886455877</v>
      </c>
      <c r="AB5250" t="str">
        <f>HYPERLINK("Melting_Curves/meltCurve_Q96CD2_PPCDC.pdf", "Melting_Curves/meltCurve_Q96CD2_PPCDC.pdf")</f>
        <v>Melting_Curves/meltCurve_Q96CD2_PPCDC.pdf</v>
      </c>
    </row>
    <row r="5251" spans="1:28" x14ac:dyDescent="0.25">
      <c r="A5251" t="s">
        <v>5255</v>
      </c>
      <c r="B5251">
        <v>0.99999676499088797</v>
      </c>
      <c r="C5251">
        <v>0.81763896104218403</v>
      </c>
      <c r="D5251">
        <v>0.83948320772289997</v>
      </c>
      <c r="E5251">
        <v>0.72984270512787097</v>
      </c>
      <c r="F5251">
        <v>0.57933145493373395</v>
      </c>
      <c r="G5251">
        <v>0.458274602209922</v>
      </c>
      <c r="H5251">
        <v>0.14351883106171301</v>
      </c>
      <c r="I5251">
        <v>7.7173687481716699E-2</v>
      </c>
      <c r="J5251">
        <v>7.0497802771247606E-2</v>
      </c>
      <c r="K5251">
        <v>4.7280085706081103E-2</v>
      </c>
      <c r="L5251">
        <v>618.55023916573998</v>
      </c>
      <c r="M5251">
        <v>11.473010880621599</v>
      </c>
      <c r="N5251">
        <v>53.913505501829498</v>
      </c>
      <c r="O5251">
        <v>52.3535903397743</v>
      </c>
      <c r="P5251">
        <v>-5.4801884136445399E-2</v>
      </c>
      <c r="Q5251">
        <v>0</v>
      </c>
      <c r="R5251">
        <v>0.96624491265678303</v>
      </c>
      <c r="S5251" t="s">
        <v>12254</v>
      </c>
      <c r="T5251" t="s">
        <v>14004</v>
      </c>
      <c r="U5251" t="s">
        <v>14004</v>
      </c>
      <c r="V5251" t="s">
        <v>14004</v>
      </c>
      <c r="W5251" t="s">
        <v>19200</v>
      </c>
      <c r="X5251">
        <v>3</v>
      </c>
      <c r="Y5251" t="s">
        <v>26004</v>
      </c>
      <c r="Z5251" t="s">
        <v>32961</v>
      </c>
      <c r="AA5251">
        <v>0.49121476783085621</v>
      </c>
      <c r="AB5251" t="str">
        <f>HYPERLINK("Melting_Curves/meltCurve_Q96CG3_TIFA.pdf", "Melting_Curves/meltCurve_Q96CG3_TIFA.pdf")</f>
        <v>Melting_Curves/meltCurve_Q96CG3_TIFA.pdf</v>
      </c>
    </row>
    <row r="5252" spans="1:28" x14ac:dyDescent="0.25">
      <c r="A5252" t="s">
        <v>5256</v>
      </c>
      <c r="B5252">
        <v>0.99999676499088797</v>
      </c>
      <c r="C5252">
        <v>1.1592005109704699</v>
      </c>
      <c r="D5252">
        <v>0.71949758122927199</v>
      </c>
      <c r="E5252">
        <v>0.31161447856862501</v>
      </c>
      <c r="F5252">
        <v>0.15980085953975801</v>
      </c>
      <c r="G5252">
        <v>0.21137138439421799</v>
      </c>
      <c r="H5252">
        <v>4.5489486817105601E-2</v>
      </c>
      <c r="I5252">
        <v>0.13262944751382499</v>
      </c>
      <c r="J5252">
        <v>0</v>
      </c>
      <c r="K5252">
        <v>7.3091288126966497E-2</v>
      </c>
      <c r="L5252">
        <v>1477.6288349863701</v>
      </c>
      <c r="M5252">
        <v>31.039919941387499</v>
      </c>
      <c r="N5252">
        <v>47.937972828471203</v>
      </c>
      <c r="O5252">
        <v>47.407889869063297</v>
      </c>
      <c r="P5252">
        <v>-0.147776998398119</v>
      </c>
      <c r="Q5252">
        <v>9.7194535076741695E-2</v>
      </c>
      <c r="R5252">
        <v>0.95938395105307295</v>
      </c>
      <c r="S5252" t="s">
        <v>12255</v>
      </c>
      <c r="T5252" t="s">
        <v>14004</v>
      </c>
      <c r="U5252" t="s">
        <v>14004</v>
      </c>
      <c r="V5252" t="s">
        <v>14004</v>
      </c>
      <c r="W5252" t="s">
        <v>19201</v>
      </c>
      <c r="X5252">
        <v>1</v>
      </c>
      <c r="Y5252" t="s">
        <v>26005</v>
      </c>
      <c r="Z5252" t="s">
        <v>32962</v>
      </c>
      <c r="AA5252">
        <v>0.33107340144906511</v>
      </c>
      <c r="AB5252" t="str">
        <f>HYPERLINK("Melting_Curves/meltCurve_Q96CN4_2_EVI5L.pdf", "Melting_Curves/meltCurve_Q96CN4_2_EVI5L.pdf")</f>
        <v>Melting_Curves/meltCurve_Q96CN4_2_EVI5L.pdf</v>
      </c>
    </row>
    <row r="5253" spans="1:28" x14ac:dyDescent="0.25">
      <c r="A5253" t="s">
        <v>5257</v>
      </c>
      <c r="B5253">
        <v>0.99999676499088797</v>
      </c>
      <c r="C5253">
        <v>0.98736999255576297</v>
      </c>
      <c r="D5253">
        <v>1.0161935758976199</v>
      </c>
      <c r="E5253">
        <v>1.0141259550507</v>
      </c>
      <c r="F5253">
        <v>0.87206081362870402</v>
      </c>
      <c r="G5253">
        <v>0.47345678603818298</v>
      </c>
      <c r="H5253">
        <v>0.12525656573024399</v>
      </c>
      <c r="I5253">
        <v>0.10039916130163801</v>
      </c>
      <c r="J5253">
        <v>8.5357560210944594E-2</v>
      </c>
      <c r="K5253">
        <v>8.2918383580383601E-2</v>
      </c>
      <c r="L5253">
        <v>1925.6044538143001</v>
      </c>
      <c r="M5253">
        <v>34.234350393839001</v>
      </c>
      <c r="N5253">
        <v>56.530302621997102</v>
      </c>
      <c r="O5253">
        <v>56.056840340329998</v>
      </c>
      <c r="P5253">
        <v>-0.14067070725147399</v>
      </c>
      <c r="Q5253">
        <v>7.8641783371931506E-2</v>
      </c>
      <c r="R5253">
        <v>0.999004919361555</v>
      </c>
      <c r="S5253" t="s">
        <v>12256</v>
      </c>
      <c r="T5253" t="s">
        <v>14004</v>
      </c>
      <c r="U5253" t="s">
        <v>14004</v>
      </c>
      <c r="V5253" t="s">
        <v>14004</v>
      </c>
      <c r="W5253" t="s">
        <v>19202</v>
      </c>
      <c r="X5253">
        <v>9</v>
      </c>
      <c r="Y5253" t="s">
        <v>26006</v>
      </c>
      <c r="Z5253" t="s">
        <v>32963</v>
      </c>
      <c r="AA5253">
        <v>0.5824476277794296</v>
      </c>
      <c r="AB5253" t="str">
        <f>HYPERLINK("Melting_Curves/meltCurve_Q96CN7_ISOC1.pdf", "Melting_Curves/meltCurve_Q96CN7_ISOC1.pdf")</f>
        <v>Melting_Curves/meltCurve_Q96CN7_ISOC1.pdf</v>
      </c>
    </row>
    <row r="5254" spans="1:28" x14ac:dyDescent="0.25">
      <c r="A5254" t="s">
        <v>5258</v>
      </c>
      <c r="B5254">
        <v>0.99999676499088797</v>
      </c>
      <c r="C5254">
        <v>0.69154807354572601</v>
      </c>
      <c r="D5254">
        <v>0.34694519969324999</v>
      </c>
      <c r="E5254">
        <v>0.220280490754203</v>
      </c>
      <c r="F5254">
        <v>0.17855662650332299</v>
      </c>
      <c r="G5254">
        <v>0.12152967914158599</v>
      </c>
      <c r="H5254">
        <v>6.2952602174199901E-2</v>
      </c>
      <c r="I5254">
        <v>8.1934683963341401E-2</v>
      </c>
      <c r="J5254">
        <v>0.104199958979282</v>
      </c>
      <c r="K5254">
        <v>0.11283187332513001</v>
      </c>
      <c r="L5254">
        <v>1059.4363098761701</v>
      </c>
      <c r="M5254">
        <v>23.952932179809199</v>
      </c>
      <c r="N5254">
        <v>44.700228411988697</v>
      </c>
      <c r="O5254">
        <v>43.925114981047798</v>
      </c>
      <c r="P5254">
        <v>-0.121145769021946</v>
      </c>
      <c r="Q5254">
        <v>0.111381473361674</v>
      </c>
      <c r="R5254">
        <v>0.98466605923182304</v>
      </c>
      <c r="S5254" t="s">
        <v>12257</v>
      </c>
      <c r="T5254" t="s">
        <v>14004</v>
      </c>
      <c r="U5254" t="s">
        <v>14004</v>
      </c>
      <c r="V5254" t="s">
        <v>14004</v>
      </c>
      <c r="W5254" t="s">
        <v>19203</v>
      </c>
      <c r="X5254">
        <v>2</v>
      </c>
      <c r="Y5254" t="s">
        <v>26007</v>
      </c>
      <c r="Z5254" t="s">
        <v>32964</v>
      </c>
      <c r="AA5254">
        <v>0.2475368121644001</v>
      </c>
      <c r="AB5254" t="str">
        <f>HYPERLINK("Melting_Curves/meltCurve_Q96CN9_GCC1.pdf", "Melting_Curves/meltCurve_Q96CN9_GCC1.pdf")</f>
        <v>Melting_Curves/meltCurve_Q96CN9_GCC1.pdf</v>
      </c>
    </row>
    <row r="5255" spans="1:28" x14ac:dyDescent="0.25">
      <c r="A5255" t="s">
        <v>5259</v>
      </c>
      <c r="B5255">
        <v>0.99999676499088797</v>
      </c>
      <c r="C5255">
        <v>0.90072563217997703</v>
      </c>
      <c r="D5255">
        <v>0.99485009924454204</v>
      </c>
      <c r="E5255">
        <v>0.99414792115334305</v>
      </c>
      <c r="F5255">
        <v>0.825639247049478</v>
      </c>
      <c r="G5255">
        <v>0.74796439972858697</v>
      </c>
      <c r="H5255">
        <v>0.52425500404814396</v>
      </c>
      <c r="I5255">
        <v>0.46950363514218602</v>
      </c>
      <c r="J5255">
        <v>0.41750924144496399</v>
      </c>
      <c r="K5255">
        <v>0.66290998445164095</v>
      </c>
      <c r="L5255">
        <v>1343.14881736284</v>
      </c>
      <c r="M5255">
        <v>24.1897128388844</v>
      </c>
      <c r="O5255">
        <v>55.150320034540201</v>
      </c>
      <c r="P5255">
        <v>-5.4178256088629799E-2</v>
      </c>
      <c r="Q5255">
        <v>0.50592182064925095</v>
      </c>
      <c r="R5255">
        <v>0.88378782473657203</v>
      </c>
      <c r="S5255" t="s">
        <v>12258</v>
      </c>
      <c r="T5255" t="s">
        <v>14004</v>
      </c>
      <c r="U5255" t="s">
        <v>14004</v>
      </c>
      <c r="V5255" t="s">
        <v>14004</v>
      </c>
      <c r="W5255" t="s">
        <v>19204</v>
      </c>
      <c r="X5255">
        <v>8</v>
      </c>
      <c r="Y5255" t="s">
        <v>26008</v>
      </c>
      <c r="Z5255" t="s">
        <v>32965</v>
      </c>
      <c r="AA5255">
        <v>0.76643586972883215</v>
      </c>
      <c r="AB5255" t="str">
        <f>HYPERLINK("Melting_Curves/meltCurve_Q96CP2_FLYWCH2.pdf", "Melting_Curves/meltCurve_Q96CP2_FLYWCH2.pdf")</f>
        <v>Melting_Curves/meltCurve_Q96CP2_FLYWCH2.pdf</v>
      </c>
    </row>
    <row r="5256" spans="1:28" x14ac:dyDescent="0.25">
      <c r="A5256" t="s">
        <v>5260</v>
      </c>
      <c r="B5256">
        <v>0.99999676499088797</v>
      </c>
      <c r="C5256">
        <v>0.86084092116989697</v>
      </c>
      <c r="D5256">
        <v>0.68151054692300095</v>
      </c>
      <c r="E5256">
        <v>0.37219787562468098</v>
      </c>
      <c r="F5256">
        <v>0.27363034408749498</v>
      </c>
      <c r="G5256">
        <v>0.22861107397897401</v>
      </c>
      <c r="H5256">
        <v>0.13353659085428701</v>
      </c>
      <c r="I5256">
        <v>0.17994006920178099</v>
      </c>
      <c r="J5256">
        <v>0.238742517419363</v>
      </c>
      <c r="K5256">
        <v>0.177502264886783</v>
      </c>
      <c r="L5256">
        <v>919.52380774568701</v>
      </c>
      <c r="M5256">
        <v>19.6286804589304</v>
      </c>
      <c r="N5256">
        <v>47.972893435824098</v>
      </c>
      <c r="O5256">
        <v>46.367831198328503</v>
      </c>
      <c r="P5256">
        <v>-8.6286570239677299E-2</v>
      </c>
      <c r="Q5256">
        <v>0.18470711412468399</v>
      </c>
      <c r="R5256">
        <v>0.98987829335677002</v>
      </c>
      <c r="S5256" t="s">
        <v>12259</v>
      </c>
      <c r="T5256" t="s">
        <v>14004</v>
      </c>
      <c r="U5256" t="s">
        <v>14004</v>
      </c>
      <c r="V5256" t="s">
        <v>14004</v>
      </c>
      <c r="W5256" t="s">
        <v>19205</v>
      </c>
      <c r="X5256">
        <v>6</v>
      </c>
      <c r="Y5256" t="s">
        <v>26009</v>
      </c>
      <c r="Z5256" t="s">
        <v>32966</v>
      </c>
      <c r="AA5256">
        <v>0.3832791085591476</v>
      </c>
      <c r="AB5256" t="str">
        <f>HYPERLINK("Melting_Curves/meltCurve_Q96CS2_HAUS1.pdf", "Melting_Curves/meltCurve_Q96CS2_HAUS1.pdf")</f>
        <v>Melting_Curves/meltCurve_Q96CS2_HAUS1.pdf</v>
      </c>
    </row>
    <row r="5257" spans="1:28" x14ac:dyDescent="0.25">
      <c r="A5257" t="s">
        <v>5261</v>
      </c>
      <c r="B5257">
        <v>0.99999676499088797</v>
      </c>
      <c r="C5257">
        <v>0.92291527646943095</v>
      </c>
      <c r="D5257">
        <v>0.84693685348749703</v>
      </c>
      <c r="E5257">
        <v>0.47926170217219</v>
      </c>
      <c r="F5257">
        <v>0.21598459272540199</v>
      </c>
      <c r="G5257">
        <v>0.12847850106570299</v>
      </c>
      <c r="H5257">
        <v>6.2950908220558197E-2</v>
      </c>
      <c r="I5257">
        <v>5.9744301151270898E-2</v>
      </c>
      <c r="J5257">
        <v>5.2697189381395899E-2</v>
      </c>
      <c r="K5257">
        <v>4.3007569643091499E-2</v>
      </c>
      <c r="L5257">
        <v>1015.3606370236701</v>
      </c>
      <c r="M5257">
        <v>20.611093179221001</v>
      </c>
      <c r="N5257">
        <v>49.514599421151601</v>
      </c>
      <c r="O5257">
        <v>48.806123537235997</v>
      </c>
      <c r="P5257">
        <v>-0.100326847043529</v>
      </c>
      <c r="Q5257">
        <v>4.9749967362986099E-2</v>
      </c>
      <c r="R5257">
        <v>0.99815509462748997</v>
      </c>
      <c r="S5257" t="s">
        <v>12260</v>
      </c>
      <c r="T5257" t="s">
        <v>14004</v>
      </c>
      <c r="U5257" t="s">
        <v>14004</v>
      </c>
      <c r="V5257" t="s">
        <v>14004</v>
      </c>
      <c r="W5257" t="s">
        <v>19206</v>
      </c>
      <c r="X5257">
        <v>11</v>
      </c>
      <c r="Y5257" t="s">
        <v>26010</v>
      </c>
      <c r="Z5257" t="s">
        <v>32967</v>
      </c>
      <c r="AA5257">
        <v>0.35564993669359141</v>
      </c>
      <c r="AB5257" t="str">
        <f>HYPERLINK("Melting_Curves/meltCurve_Q96CS3_FAF2.pdf", "Melting_Curves/meltCurve_Q96CS3_FAF2.pdf")</f>
        <v>Melting_Curves/meltCurve_Q96CS3_FAF2.pdf</v>
      </c>
    </row>
    <row r="5258" spans="1:28" x14ac:dyDescent="0.25">
      <c r="A5258" t="s">
        <v>5262</v>
      </c>
      <c r="B5258">
        <v>0.99999676499088797</v>
      </c>
      <c r="C5258">
        <v>0.97654168309961997</v>
      </c>
      <c r="D5258">
        <v>0.97049017502118196</v>
      </c>
      <c r="E5258">
        <v>0.90575415445082297</v>
      </c>
      <c r="F5258">
        <v>0.79817239539769202</v>
      </c>
      <c r="G5258">
        <v>0.81752059417779999</v>
      </c>
      <c r="H5258">
        <v>0.58647580764116003</v>
      </c>
      <c r="I5258">
        <v>0.62351010387278205</v>
      </c>
      <c r="J5258">
        <v>0.62694160377514296</v>
      </c>
      <c r="K5258">
        <v>0.73181775209161604</v>
      </c>
      <c r="L5258">
        <v>866.53764586988405</v>
      </c>
      <c r="M5258">
        <v>16.323158721456998</v>
      </c>
      <c r="O5258">
        <v>52.308820659274097</v>
      </c>
      <c r="P5258">
        <v>-2.8215199512362701E-2</v>
      </c>
      <c r="Q5258">
        <v>0.63835509270804403</v>
      </c>
      <c r="R5258">
        <v>0.88343268586213997</v>
      </c>
      <c r="S5258" t="s">
        <v>12261</v>
      </c>
      <c r="T5258" t="s">
        <v>14004</v>
      </c>
      <c r="U5258" t="s">
        <v>14004</v>
      </c>
      <c r="V5258" t="s">
        <v>14004</v>
      </c>
      <c r="W5258" t="s">
        <v>19207</v>
      </c>
      <c r="X5258">
        <v>24</v>
      </c>
      <c r="Y5258" t="s">
        <v>26011</v>
      </c>
      <c r="Z5258" t="s">
        <v>32968</v>
      </c>
      <c r="AA5258">
        <v>0.8029797396076932</v>
      </c>
      <c r="AB5258" t="str">
        <f>HYPERLINK("Melting_Curves/meltCurve_Q96CT7_CCDC124.pdf", "Melting_Curves/meltCurve_Q96CT7_CCDC124.pdf")</f>
        <v>Melting_Curves/meltCurve_Q96CT7_CCDC124.pdf</v>
      </c>
    </row>
    <row r="5259" spans="1:28" x14ac:dyDescent="0.25">
      <c r="A5259" t="s">
        <v>5263</v>
      </c>
      <c r="B5259">
        <v>0.99999676499088797</v>
      </c>
      <c r="C5259">
        <v>0.98688150806619901</v>
      </c>
      <c r="D5259">
        <v>0.965753275121223</v>
      </c>
      <c r="E5259">
        <v>0.96402600921028103</v>
      </c>
      <c r="F5259">
        <v>0.62011958298437198</v>
      </c>
      <c r="G5259">
        <v>0.462687169944625</v>
      </c>
      <c r="H5259">
        <v>0.14525206186782399</v>
      </c>
      <c r="I5259">
        <v>0.140030042410832</v>
      </c>
      <c r="J5259">
        <v>0.11967236013025601</v>
      </c>
      <c r="K5259">
        <v>7.4878354613239398E-2</v>
      </c>
      <c r="L5259">
        <v>1079.24692420202</v>
      </c>
      <c r="M5259">
        <v>19.611598787426502</v>
      </c>
      <c r="N5259">
        <v>55.473515376284197</v>
      </c>
      <c r="O5259">
        <v>54.468465952776498</v>
      </c>
      <c r="P5259">
        <v>-8.34993603218286E-2</v>
      </c>
      <c r="Q5259">
        <v>7.2401747509577397E-2</v>
      </c>
      <c r="R5259">
        <v>0.98928101770997101</v>
      </c>
      <c r="S5259" t="s">
        <v>12262</v>
      </c>
      <c r="T5259" t="s">
        <v>14004</v>
      </c>
      <c r="U5259" t="s">
        <v>14004</v>
      </c>
      <c r="V5259" t="s">
        <v>14004</v>
      </c>
      <c r="W5259" t="s">
        <v>19208</v>
      </c>
      <c r="X5259">
        <v>10</v>
      </c>
      <c r="Y5259" t="s">
        <v>26012</v>
      </c>
      <c r="Z5259" t="s">
        <v>32969</v>
      </c>
      <c r="AA5259">
        <v>0.54986495918212108</v>
      </c>
      <c r="AB5259" t="str">
        <f>HYPERLINK("Melting_Curves/meltCurve_Q96CU9_FOXRED1.pdf", "Melting_Curves/meltCurve_Q96CU9_FOXRED1.pdf")</f>
        <v>Melting_Curves/meltCurve_Q96CU9_FOXRED1.pdf</v>
      </c>
    </row>
    <row r="5260" spans="1:28" x14ac:dyDescent="0.25">
      <c r="A5260" t="s">
        <v>5264</v>
      </c>
      <c r="B5260">
        <v>0.99999676499088797</v>
      </c>
      <c r="C5260">
        <v>0.86660820820265405</v>
      </c>
      <c r="D5260">
        <v>0.58133606235575697</v>
      </c>
      <c r="E5260">
        <v>0.41299855838500998</v>
      </c>
      <c r="F5260">
        <v>0.23642682318487199</v>
      </c>
      <c r="G5260">
        <v>0.32760620730835499</v>
      </c>
      <c r="H5260">
        <v>0.18854115492786899</v>
      </c>
      <c r="I5260">
        <v>0.16334361792853799</v>
      </c>
      <c r="J5260">
        <v>0.20512272430886999</v>
      </c>
      <c r="K5260">
        <v>7.4093266764718793E-2</v>
      </c>
      <c r="L5260">
        <v>762.46853117130502</v>
      </c>
      <c r="M5260">
        <v>16.344328533370199</v>
      </c>
      <c r="N5260">
        <v>47.856728197956798</v>
      </c>
      <c r="O5260">
        <v>45.968768102108697</v>
      </c>
      <c r="P5260">
        <v>-7.3885496835140702E-2</v>
      </c>
      <c r="Q5260">
        <v>0.16884193315742399</v>
      </c>
      <c r="R5260">
        <v>0.96448281572845396</v>
      </c>
      <c r="S5260" t="s">
        <v>12263</v>
      </c>
      <c r="T5260" t="s">
        <v>14004</v>
      </c>
      <c r="U5260" t="s">
        <v>14004</v>
      </c>
      <c r="V5260" t="s">
        <v>14004</v>
      </c>
      <c r="W5260" t="s">
        <v>19209</v>
      </c>
      <c r="X5260">
        <v>1</v>
      </c>
      <c r="Y5260" t="s">
        <v>26013</v>
      </c>
      <c r="Z5260" t="s">
        <v>32970</v>
      </c>
      <c r="AA5260">
        <v>0.37236494087011052</v>
      </c>
      <c r="AB5260" t="str">
        <f>HYPERLINK("Melting_Curves/meltCurve_Q96CV9_3_OPTN.pdf", "Melting_Curves/meltCurve_Q96CV9_3_OPTN.pdf")</f>
        <v>Melting_Curves/meltCurve_Q96CV9_3_OPTN.pdf</v>
      </c>
    </row>
    <row r="5261" spans="1:28" x14ac:dyDescent="0.25">
      <c r="A5261" t="s">
        <v>5265</v>
      </c>
      <c r="B5261">
        <v>0.99999676499088797</v>
      </c>
      <c r="C5261">
        <v>1.1356209707726099</v>
      </c>
      <c r="D5261">
        <v>1.1988895352820801</v>
      </c>
      <c r="E5261">
        <v>1.43221303840248</v>
      </c>
      <c r="F5261">
        <v>0.70043105655222504</v>
      </c>
      <c r="G5261">
        <v>0.55193006250105403</v>
      </c>
      <c r="H5261">
        <v>0.21017722483984999</v>
      </c>
      <c r="I5261">
        <v>0.10124537795683</v>
      </c>
      <c r="J5261">
        <v>7.7201529723981102E-2</v>
      </c>
      <c r="K5261">
        <v>7.42892713545803E-2</v>
      </c>
      <c r="L5261">
        <v>1541.5772568306299</v>
      </c>
      <c r="M5261">
        <v>27.236201907397199</v>
      </c>
      <c r="N5261">
        <v>56.925719280089403</v>
      </c>
      <c r="O5261">
        <v>56.297816132363202</v>
      </c>
      <c r="P5261">
        <v>-0.11222890954848599</v>
      </c>
      <c r="Q5261">
        <v>7.2090583014593604E-2</v>
      </c>
      <c r="R5261">
        <v>0.880838512452637</v>
      </c>
      <c r="S5261" t="s">
        <v>12264</v>
      </c>
      <c r="T5261" t="s">
        <v>14004</v>
      </c>
      <c r="U5261" t="s">
        <v>14004</v>
      </c>
      <c r="V5261" t="s">
        <v>14004</v>
      </c>
      <c r="W5261" t="s">
        <v>19210</v>
      </c>
      <c r="X5261">
        <v>19</v>
      </c>
      <c r="Y5261" t="s">
        <v>26014</v>
      </c>
      <c r="Z5261" t="s">
        <v>32971</v>
      </c>
      <c r="AA5261">
        <v>0.59286854424427138</v>
      </c>
      <c r="AB5261" t="str">
        <f>HYPERLINK("Melting_Curves/meltCurve_Q96CW1_2_AP2M1.pdf", "Melting_Curves/meltCurve_Q96CW1_2_AP2M1.pdf")</f>
        <v>Melting_Curves/meltCurve_Q96CW1_2_AP2M1.pdf</v>
      </c>
    </row>
    <row r="5262" spans="1:28" x14ac:dyDescent="0.25">
      <c r="A5262" t="s">
        <v>5266</v>
      </c>
      <c r="B5262">
        <v>0.99999676499088797</v>
      </c>
      <c r="C5262">
        <v>1.05065402383519</v>
      </c>
      <c r="D5262">
        <v>0.99835827119283005</v>
      </c>
      <c r="E5262">
        <v>0.91160245600469203</v>
      </c>
      <c r="F5262">
        <v>0.44811312404200299</v>
      </c>
      <c r="G5262">
        <v>0.27408232373844599</v>
      </c>
      <c r="H5262">
        <v>0.127748870660785</v>
      </c>
      <c r="I5262">
        <v>0.12722893008952099</v>
      </c>
      <c r="J5262">
        <v>0.12747406957403301</v>
      </c>
      <c r="K5262">
        <v>0.104307318415981</v>
      </c>
      <c r="L5262">
        <v>1596.4678392066901</v>
      </c>
      <c r="M5262">
        <v>30.3630152000311</v>
      </c>
      <c r="N5262">
        <v>53.091217649919798</v>
      </c>
      <c r="O5262">
        <v>52.352862674909503</v>
      </c>
      <c r="P5262">
        <v>-0.12659491693873401</v>
      </c>
      <c r="Q5262">
        <v>0.12688973179509799</v>
      </c>
      <c r="R5262">
        <v>0.99359645871459601</v>
      </c>
      <c r="S5262" t="s">
        <v>12265</v>
      </c>
      <c r="T5262" t="s">
        <v>14004</v>
      </c>
      <c r="U5262" t="s">
        <v>14004</v>
      </c>
      <c r="V5262" t="s">
        <v>14004</v>
      </c>
      <c r="W5262" t="s">
        <v>19211</v>
      </c>
      <c r="X5262">
        <v>11</v>
      </c>
      <c r="Y5262" t="s">
        <v>26015</v>
      </c>
      <c r="Z5262" t="s">
        <v>32972</v>
      </c>
      <c r="AA5262">
        <v>0.49849136834553759</v>
      </c>
      <c r="AB5262" t="str">
        <f>HYPERLINK("Melting_Curves/meltCurve_Q96CW5_TUBGCP3.pdf", "Melting_Curves/meltCurve_Q96CW5_TUBGCP3.pdf")</f>
        <v>Melting_Curves/meltCurve_Q96CW5_TUBGCP3.pdf</v>
      </c>
    </row>
    <row r="5263" spans="1:28" x14ac:dyDescent="0.25">
      <c r="A5263" t="s">
        <v>5267</v>
      </c>
      <c r="B5263">
        <v>0.99999676499088797</v>
      </c>
      <c r="C5263">
        <v>1.0277421202113599</v>
      </c>
      <c r="D5263">
        <v>0.98878542574842498</v>
      </c>
      <c r="E5263">
        <v>0.84543902809226901</v>
      </c>
      <c r="F5263">
        <v>0.47069187883115698</v>
      </c>
      <c r="G5263">
        <v>0.27393424385902598</v>
      </c>
      <c r="H5263">
        <v>0.14176765775255101</v>
      </c>
      <c r="I5263">
        <v>0.143168705203543</v>
      </c>
      <c r="J5263">
        <v>0.11152701682685499</v>
      </c>
      <c r="K5263">
        <v>0.10776788645067201</v>
      </c>
      <c r="L5263">
        <v>1282.4715636308099</v>
      </c>
      <c r="M5263">
        <v>24.396130915336101</v>
      </c>
      <c r="N5263">
        <v>53.155323895060803</v>
      </c>
      <c r="O5263">
        <v>52.219251855190997</v>
      </c>
      <c r="P5263">
        <v>-0.103013342074213</v>
      </c>
      <c r="Q5263">
        <v>0.11802408957390099</v>
      </c>
      <c r="R5263">
        <v>0.99762641761971704</v>
      </c>
      <c r="S5263" t="s">
        <v>12266</v>
      </c>
      <c r="T5263" t="s">
        <v>14004</v>
      </c>
      <c r="U5263" t="s">
        <v>14004</v>
      </c>
      <c r="V5263" t="s">
        <v>14004</v>
      </c>
      <c r="W5263" t="s">
        <v>19212</v>
      </c>
      <c r="X5263">
        <v>7</v>
      </c>
      <c r="Y5263" t="s">
        <v>26016</v>
      </c>
      <c r="Z5263" t="s">
        <v>32973</v>
      </c>
      <c r="AA5263">
        <v>0.49600885649928339</v>
      </c>
      <c r="AB5263" t="str">
        <f>HYPERLINK("Melting_Curves/meltCurve_Q96CW6_SLC7A6OS.pdf", "Melting_Curves/meltCurve_Q96CW6_SLC7A6OS.pdf")</f>
        <v>Melting_Curves/meltCurve_Q96CW6_SLC7A6OS.pdf</v>
      </c>
    </row>
    <row r="5264" spans="1:28" x14ac:dyDescent="0.25">
      <c r="A5264" t="s">
        <v>5268</v>
      </c>
      <c r="B5264">
        <v>0.99999676499088797</v>
      </c>
      <c r="C5264">
        <v>1.0389124917326</v>
      </c>
      <c r="D5264">
        <v>1.0353589242313299</v>
      </c>
      <c r="E5264">
        <v>1.12971105810784</v>
      </c>
      <c r="F5264">
        <v>1.0918092266919801</v>
      </c>
      <c r="G5264">
        <v>0.81265779704354801</v>
      </c>
      <c r="H5264">
        <v>0.45285406033671399</v>
      </c>
      <c r="I5264">
        <v>0.25307796458493798</v>
      </c>
      <c r="J5264">
        <v>9.7504903903977397E-2</v>
      </c>
      <c r="K5264">
        <v>6.6926584382331206E-2</v>
      </c>
      <c r="L5264">
        <v>1654.0969410851701</v>
      </c>
      <c r="M5264">
        <v>27.477217110920101</v>
      </c>
      <c r="N5264">
        <v>60.473630527937502</v>
      </c>
      <c r="O5264">
        <v>59.882688738535698</v>
      </c>
      <c r="P5264">
        <v>-0.107981757985658</v>
      </c>
      <c r="Q5264">
        <v>5.8684873970570303E-2</v>
      </c>
      <c r="R5264">
        <v>0.97801658155215199</v>
      </c>
      <c r="S5264" t="s">
        <v>12267</v>
      </c>
      <c r="T5264" t="s">
        <v>14004</v>
      </c>
      <c r="U5264" t="s">
        <v>14004</v>
      </c>
      <c r="V5264" t="s">
        <v>14004</v>
      </c>
      <c r="W5264" t="s">
        <v>19213</v>
      </c>
      <c r="X5264">
        <v>5</v>
      </c>
      <c r="Y5264" t="s">
        <v>26017</v>
      </c>
      <c r="Z5264" t="s">
        <v>32974</v>
      </c>
      <c r="AA5264">
        <v>0.69870041360396162</v>
      </c>
      <c r="AB5264" t="str">
        <f>HYPERLINK("Melting_Curves/meltCurve_Q96CX2_KCTD12.pdf", "Melting_Curves/meltCurve_Q96CX2_KCTD12.pdf")</f>
        <v>Melting_Curves/meltCurve_Q96CX2_KCTD12.pdf</v>
      </c>
    </row>
    <row r="5265" spans="1:28" x14ac:dyDescent="0.25">
      <c r="A5265" t="s">
        <v>5269</v>
      </c>
      <c r="B5265">
        <v>0.99999676499088797</v>
      </c>
      <c r="C5265">
        <v>0.98629332978253703</v>
      </c>
      <c r="D5265">
        <v>0.75948911951283005</v>
      </c>
      <c r="E5265">
        <v>0.30047455512626597</v>
      </c>
      <c r="F5265">
        <v>0.220380646808638</v>
      </c>
      <c r="G5265">
        <v>0.136591792042416</v>
      </c>
      <c r="H5265">
        <v>6.1516142978034302E-2</v>
      </c>
      <c r="I5265">
        <v>5.9303491745724198E-2</v>
      </c>
      <c r="J5265">
        <v>5.4761339367870997E-2</v>
      </c>
      <c r="K5265">
        <v>4.8651810292739898E-2</v>
      </c>
      <c r="L5265">
        <v>1190.88680135151</v>
      </c>
      <c r="M5265">
        <v>24.8905632179615</v>
      </c>
      <c r="N5265">
        <v>48.160627815122702</v>
      </c>
      <c r="O5265">
        <v>47.539289515108997</v>
      </c>
      <c r="P5265">
        <v>-0.12104312636225301</v>
      </c>
      <c r="Q5265">
        <v>7.5275974623557701E-2</v>
      </c>
      <c r="R5265">
        <v>0.99081737259782998</v>
      </c>
      <c r="S5265" t="s">
        <v>12268</v>
      </c>
      <c r="T5265" t="s">
        <v>14004</v>
      </c>
      <c r="U5265" t="s">
        <v>14004</v>
      </c>
      <c r="V5265" t="s">
        <v>14004</v>
      </c>
      <c r="W5265" t="s">
        <v>19214</v>
      </c>
      <c r="X5265">
        <v>5</v>
      </c>
      <c r="Y5265" t="s">
        <v>26018</v>
      </c>
      <c r="Z5265" t="s">
        <v>32975</v>
      </c>
      <c r="AA5265">
        <v>0.32534302830114448</v>
      </c>
      <c r="AB5265" t="str">
        <f>HYPERLINK("Melting_Curves/meltCurve_Q96CX6_LRRC58.pdf", "Melting_Curves/meltCurve_Q96CX6_LRRC58.pdf")</f>
        <v>Melting_Curves/meltCurve_Q96CX6_LRRC58.pdf</v>
      </c>
    </row>
    <row r="5266" spans="1:28" x14ac:dyDescent="0.25">
      <c r="A5266" t="s">
        <v>5270</v>
      </c>
      <c r="B5266">
        <v>0.99999676499088797</v>
      </c>
      <c r="C5266">
        <v>1.0043093214457299</v>
      </c>
      <c r="D5266">
        <v>0.91842627455584902</v>
      </c>
      <c r="E5266">
        <v>0.76745725683112698</v>
      </c>
      <c r="F5266">
        <v>0.65122566501507395</v>
      </c>
      <c r="G5266">
        <v>0.63143738245529901</v>
      </c>
      <c r="H5266">
        <v>0.39148815398818598</v>
      </c>
      <c r="I5266">
        <v>0.495845254583827</v>
      </c>
      <c r="J5266">
        <v>0.525759868220811</v>
      </c>
      <c r="K5266">
        <v>0.51049684625987801</v>
      </c>
      <c r="L5266">
        <v>842.62994764059101</v>
      </c>
      <c r="M5266">
        <v>16.610345603595398</v>
      </c>
      <c r="N5266">
        <v>63.438662481802702</v>
      </c>
      <c r="O5266">
        <v>50.011051849613203</v>
      </c>
      <c r="P5266">
        <v>-4.3008953747510403E-2</v>
      </c>
      <c r="Q5266">
        <v>0.48206317798231402</v>
      </c>
      <c r="R5266">
        <v>0.94724121073243295</v>
      </c>
      <c r="S5266" t="s">
        <v>12269</v>
      </c>
      <c r="T5266" t="s">
        <v>14004</v>
      </c>
      <c r="U5266" t="s">
        <v>14004</v>
      </c>
      <c r="V5266" t="s">
        <v>14004</v>
      </c>
      <c r="W5266" t="s">
        <v>19215</v>
      </c>
      <c r="X5266">
        <v>3</v>
      </c>
      <c r="Y5266" t="s">
        <v>26019</v>
      </c>
      <c r="Z5266" t="s">
        <v>32976</v>
      </c>
      <c r="AA5266">
        <v>0.67741607737949772</v>
      </c>
      <c r="AB5266" t="str">
        <f>HYPERLINK("Melting_Curves/meltCurve_Q96D05_C10orf35.pdf", "Melting_Curves/meltCurve_Q96D05_C10orf35.pdf")</f>
        <v>Melting_Curves/meltCurve_Q96D05_C10orf35.pdf</v>
      </c>
    </row>
    <row r="5267" spans="1:28" x14ac:dyDescent="0.25">
      <c r="A5267" t="s">
        <v>5271</v>
      </c>
      <c r="B5267">
        <v>0.99999676499088797</v>
      </c>
      <c r="C5267">
        <v>1.1829162552532499</v>
      </c>
      <c r="D5267">
        <v>1.08902972408132</v>
      </c>
      <c r="E5267">
        <v>1.0382418007082199</v>
      </c>
      <c r="F5267">
        <v>0.94185406606928401</v>
      </c>
      <c r="G5267">
        <v>1.03916989248517</v>
      </c>
      <c r="H5267">
        <v>0.83836091037022598</v>
      </c>
      <c r="I5267">
        <v>0.67941826844464004</v>
      </c>
      <c r="J5267">
        <v>0.62154145248376702</v>
      </c>
      <c r="K5267">
        <v>0.98404057572095804</v>
      </c>
      <c r="L5267">
        <v>15000</v>
      </c>
      <c r="M5267">
        <v>247.456082730595</v>
      </c>
      <c r="O5267">
        <v>60.612858708292997</v>
      </c>
      <c r="P5267">
        <v>-0.24325281161585399</v>
      </c>
      <c r="Q5267">
        <v>0.76166683298930005</v>
      </c>
      <c r="R5267">
        <v>0.56759953337283597</v>
      </c>
      <c r="S5267" t="s">
        <v>12270</v>
      </c>
      <c r="T5267" t="s">
        <v>14004</v>
      </c>
      <c r="U5267" t="s">
        <v>14004</v>
      </c>
      <c r="V5267" t="s">
        <v>14004</v>
      </c>
      <c r="W5267" t="s">
        <v>19216</v>
      </c>
      <c r="X5267">
        <v>4</v>
      </c>
      <c r="Y5267" t="s">
        <v>26020</v>
      </c>
      <c r="Z5267" t="s">
        <v>32977</v>
      </c>
      <c r="AA5267">
        <v>0.92548175167159319</v>
      </c>
      <c r="AB5267" t="str">
        <f>HYPERLINK("Melting_Curves/meltCurve_Q96D31_2_ORAI1.pdf", "Melting_Curves/meltCurve_Q96D31_2_ORAI1.pdf")</f>
        <v>Melting_Curves/meltCurve_Q96D31_2_ORAI1.pdf</v>
      </c>
    </row>
    <row r="5268" spans="1:28" x14ac:dyDescent="0.25">
      <c r="A5268" t="s">
        <v>5272</v>
      </c>
      <c r="B5268">
        <v>0.99999676499088797</v>
      </c>
      <c r="C5268">
        <v>0.91824190460868604</v>
      </c>
      <c r="D5268">
        <v>3.0408381619959099</v>
      </c>
      <c r="E5268">
        <v>1.0135227120655299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12910.2386056383</v>
      </c>
      <c r="M5268">
        <v>249.961063612846</v>
      </c>
      <c r="N5268">
        <v>51.648998162999099</v>
      </c>
      <c r="O5268">
        <v>51.645692420219397</v>
      </c>
      <c r="P5268">
        <v>-1.2099802169771401</v>
      </c>
      <c r="Q5268">
        <v>0</v>
      </c>
      <c r="R5268">
        <v>0.512053613581122</v>
      </c>
      <c r="S5268" t="s">
        <v>12271</v>
      </c>
      <c r="T5268" t="s">
        <v>14004</v>
      </c>
      <c r="U5268" t="s">
        <v>14004</v>
      </c>
      <c r="V5268" t="s">
        <v>14004</v>
      </c>
      <c r="W5268" t="s">
        <v>19217</v>
      </c>
      <c r="X5268">
        <v>2</v>
      </c>
      <c r="Y5268" t="s">
        <v>26021</v>
      </c>
      <c r="Z5268" t="s">
        <v>32978</v>
      </c>
      <c r="AA5268">
        <v>0.38839062224142851</v>
      </c>
      <c r="AB5268" t="str">
        <f>HYPERLINK("Melting_Curves/meltCurve_Q96D53_ADCK4.pdf", "Melting_Curves/meltCurve_Q96D53_ADCK4.pdf")</f>
        <v>Melting_Curves/meltCurve_Q96D53_ADCK4.pdf</v>
      </c>
    </row>
    <row r="5269" spans="1:28" x14ac:dyDescent="0.25">
      <c r="A5269" t="s">
        <v>5273</v>
      </c>
      <c r="B5269">
        <v>0.99999676499088797</v>
      </c>
      <c r="C5269">
        <v>0.71856710215054198</v>
      </c>
      <c r="D5269">
        <v>0.33704494522273698</v>
      </c>
      <c r="E5269">
        <v>0.16100496339633899</v>
      </c>
      <c r="F5269">
        <v>0.11604471076454601</v>
      </c>
      <c r="G5269">
        <v>9.8776199243659102E-2</v>
      </c>
      <c r="H5269">
        <v>5.3413520464026497E-2</v>
      </c>
      <c r="I5269">
        <v>6.4363592917930798E-2</v>
      </c>
      <c r="J5269">
        <v>7.0839526561619098E-2</v>
      </c>
      <c r="K5269">
        <v>8.6651754566999001E-2</v>
      </c>
      <c r="L5269">
        <v>1165.6779734238901</v>
      </c>
      <c r="M5269">
        <v>26.272631394770201</v>
      </c>
      <c r="N5269">
        <v>44.6733725740037</v>
      </c>
      <c r="O5269">
        <v>44.113881690007503</v>
      </c>
      <c r="P5269">
        <v>-0.13667437087984499</v>
      </c>
      <c r="Q5269">
        <v>8.2060938858111401E-2</v>
      </c>
      <c r="R5269">
        <v>0.99445914694228299</v>
      </c>
      <c r="S5269" t="s">
        <v>12272</v>
      </c>
      <c r="T5269" t="s">
        <v>14004</v>
      </c>
      <c r="U5269" t="s">
        <v>14004</v>
      </c>
      <c r="V5269" t="s">
        <v>14004</v>
      </c>
      <c r="W5269" t="s">
        <v>19218</v>
      </c>
      <c r="X5269">
        <v>11</v>
      </c>
      <c r="Y5269" t="s">
        <v>26022</v>
      </c>
      <c r="Z5269" t="s">
        <v>32979</v>
      </c>
      <c r="AA5269">
        <v>0.22449687931210821</v>
      </c>
      <c r="AB5269" t="str">
        <f>HYPERLINK("Melting_Curves/meltCurve_Q96D71_3_REPS1.pdf", "Melting_Curves/meltCurve_Q96D71_3_REPS1.pdf")</f>
        <v>Melting_Curves/meltCurve_Q96D71_3_REPS1.pdf</v>
      </c>
    </row>
    <row r="5270" spans="1:28" x14ac:dyDescent="0.25">
      <c r="A5270" t="s">
        <v>5274</v>
      </c>
      <c r="B5270">
        <v>0.99999676499088797</v>
      </c>
      <c r="C5270">
        <v>1.04409461504649</v>
      </c>
      <c r="D5270">
        <v>1.0372432939164999</v>
      </c>
      <c r="E5270">
        <v>0.97204268687343598</v>
      </c>
      <c r="F5270">
        <v>0.95290632203770897</v>
      </c>
      <c r="G5270">
        <v>0.74650501912633904</v>
      </c>
      <c r="H5270">
        <v>0.49001717630112102</v>
      </c>
      <c r="I5270">
        <v>0.430294580521702</v>
      </c>
      <c r="J5270">
        <v>0.34320428863042401</v>
      </c>
      <c r="K5270">
        <v>0.284501184961785</v>
      </c>
      <c r="L5270">
        <v>1252.1531318043301</v>
      </c>
      <c r="M5270">
        <v>21.394678066799099</v>
      </c>
      <c r="N5270">
        <v>61.024979812504696</v>
      </c>
      <c r="O5270">
        <v>58.022246286025897</v>
      </c>
      <c r="P5270">
        <v>-6.5288176339542606E-2</v>
      </c>
      <c r="Q5270">
        <v>0.29177278651564398</v>
      </c>
      <c r="R5270">
        <v>0.99138032807699095</v>
      </c>
      <c r="S5270" t="s">
        <v>12273</v>
      </c>
      <c r="T5270" t="s">
        <v>14004</v>
      </c>
      <c r="U5270" t="s">
        <v>14004</v>
      </c>
      <c r="V5270" t="s">
        <v>14004</v>
      </c>
      <c r="W5270" t="s">
        <v>19219</v>
      </c>
      <c r="X5270">
        <v>4</v>
      </c>
      <c r="Y5270" t="s">
        <v>26023</v>
      </c>
      <c r="Z5270" t="s">
        <v>32980</v>
      </c>
      <c r="AA5270">
        <v>0.73628493166983511</v>
      </c>
      <c r="AB5270" t="str">
        <f>HYPERLINK("Melting_Curves/meltCurve_Q96D96_4_HVCN1.pdf", "Melting_Curves/meltCurve_Q96D96_4_HVCN1.pdf")</f>
        <v>Melting_Curves/meltCurve_Q96D96_4_HVCN1.pdf</v>
      </c>
    </row>
    <row r="5271" spans="1:28" x14ac:dyDescent="0.25">
      <c r="A5271" t="s">
        <v>5275</v>
      </c>
      <c r="B5271">
        <v>0.99999676499088797</v>
      </c>
      <c r="C5271">
        <v>0.88672288264662402</v>
      </c>
      <c r="D5271">
        <v>0.907160131129363</v>
      </c>
      <c r="E5271">
        <v>1.01700217263088</v>
      </c>
      <c r="F5271">
        <v>0.93375549711528405</v>
      </c>
      <c r="G5271">
        <v>0.795467892399084</v>
      </c>
      <c r="H5271">
        <v>0.26660898501633401</v>
      </c>
      <c r="I5271">
        <v>0.15384001240110301</v>
      </c>
      <c r="J5271">
        <v>0.105244328285996</v>
      </c>
      <c r="K5271">
        <v>8.6554927647141705E-2</v>
      </c>
      <c r="L5271">
        <v>2156.6992588227199</v>
      </c>
      <c r="M5271">
        <v>36.827378088591402</v>
      </c>
      <c r="N5271">
        <v>58.902408805310401</v>
      </c>
      <c r="O5271">
        <v>58.3905177940672</v>
      </c>
      <c r="P5271">
        <v>-0.142578955318863</v>
      </c>
      <c r="Q5271">
        <v>9.57559061596715E-2</v>
      </c>
      <c r="R5271">
        <v>0.98325664042261196</v>
      </c>
      <c r="S5271" t="s">
        <v>12274</v>
      </c>
      <c r="T5271" t="s">
        <v>14004</v>
      </c>
      <c r="U5271" t="s">
        <v>14004</v>
      </c>
      <c r="V5271" t="s">
        <v>14004</v>
      </c>
      <c r="W5271" t="s">
        <v>19220</v>
      </c>
      <c r="X5271">
        <v>10</v>
      </c>
      <c r="Y5271" t="s">
        <v>26024</v>
      </c>
      <c r="Z5271" t="s">
        <v>32981</v>
      </c>
      <c r="AA5271">
        <v>0.65940135785815845</v>
      </c>
      <c r="AB5271" t="str">
        <f>HYPERLINK("Melting_Curves/meltCurve_Q96DA2_RAB39B.pdf", "Melting_Curves/meltCurve_Q96DA2_RAB39B.pdf")</f>
        <v>Melting_Curves/meltCurve_Q96DA2_RAB39B.pdf</v>
      </c>
    </row>
    <row r="5272" spans="1:28" x14ac:dyDescent="0.25">
      <c r="A5272" t="s">
        <v>5276</v>
      </c>
      <c r="B5272">
        <v>0.99999676499088797</v>
      </c>
      <c r="C5272">
        <v>0.97949066204518498</v>
      </c>
      <c r="D5272">
        <v>1.06712727842453</v>
      </c>
      <c r="E5272">
        <v>1.14405708400794</v>
      </c>
      <c r="F5272">
        <v>0.65444987818658495</v>
      </c>
      <c r="G5272">
        <v>0.48586986375170099</v>
      </c>
      <c r="H5272">
        <v>0.206399353321327</v>
      </c>
      <c r="I5272">
        <v>0.19746137938286201</v>
      </c>
      <c r="J5272">
        <v>0.17355659111642799</v>
      </c>
      <c r="K5272">
        <v>0.21862280728711</v>
      </c>
      <c r="L5272">
        <v>1538.8892086233</v>
      </c>
      <c r="M5272">
        <v>28.071986728084099</v>
      </c>
      <c r="N5272">
        <v>55.771900530227001</v>
      </c>
      <c r="O5272">
        <v>54.543464238787301</v>
      </c>
      <c r="P5272">
        <v>-0.104166284497094</v>
      </c>
      <c r="Q5272">
        <v>0.190432537025851</v>
      </c>
      <c r="R5272">
        <v>0.96078795903828695</v>
      </c>
      <c r="S5272" t="s">
        <v>12275</v>
      </c>
      <c r="T5272" t="s">
        <v>14004</v>
      </c>
      <c r="U5272" t="s">
        <v>14004</v>
      </c>
      <c r="V5272" t="s">
        <v>14004</v>
      </c>
      <c r="W5272" t="s">
        <v>19221</v>
      </c>
      <c r="X5272">
        <v>7</v>
      </c>
      <c r="Y5272" t="s">
        <v>26025</v>
      </c>
      <c r="Z5272" t="s">
        <v>32982</v>
      </c>
      <c r="AA5272">
        <v>0.59641644127955662</v>
      </c>
      <c r="AB5272" t="str">
        <f>HYPERLINK("Melting_Curves/meltCurve_Q96DA6_DNAJC19.pdf", "Melting_Curves/meltCurve_Q96DA6_DNAJC19.pdf")</f>
        <v>Melting_Curves/meltCurve_Q96DA6_DNAJC19.pdf</v>
      </c>
    </row>
    <row r="5273" spans="1:28" x14ac:dyDescent="0.25">
      <c r="A5273" t="s">
        <v>5277</v>
      </c>
      <c r="B5273">
        <v>0.99999676499088797</v>
      </c>
      <c r="C5273">
        <v>0.98516396908352</v>
      </c>
      <c r="D5273">
        <v>1.0971480948541199</v>
      </c>
      <c r="E5273">
        <v>1.11032835515231</v>
      </c>
      <c r="F5273">
        <v>0.36536450323966702</v>
      </c>
      <c r="G5273">
        <v>0.219228715404782</v>
      </c>
      <c r="H5273">
        <v>9.7121464114065498E-2</v>
      </c>
      <c r="I5273">
        <v>0.13109694082509901</v>
      </c>
      <c r="J5273">
        <v>0.12248604449693699</v>
      </c>
      <c r="K5273">
        <v>0.10724857695590299</v>
      </c>
      <c r="L5273">
        <v>13245.9869128828</v>
      </c>
      <c r="M5273">
        <v>250</v>
      </c>
      <c r="N5273">
        <v>53.050984350843599</v>
      </c>
      <c r="O5273">
        <v>52.980547538030997</v>
      </c>
      <c r="P5273">
        <v>-1.0199067788110301</v>
      </c>
      <c r="Q5273">
        <v>0.135436332412294</v>
      </c>
      <c r="R5273">
        <v>0.98353530090431296</v>
      </c>
      <c r="S5273" t="s">
        <v>12276</v>
      </c>
      <c r="T5273" t="s">
        <v>14004</v>
      </c>
      <c r="U5273" t="s">
        <v>14004</v>
      </c>
      <c r="V5273" t="s">
        <v>14004</v>
      </c>
      <c r="W5273" t="s">
        <v>19222</v>
      </c>
      <c r="X5273">
        <v>9</v>
      </c>
      <c r="Y5273" t="s">
        <v>26026</v>
      </c>
      <c r="Z5273" t="s">
        <v>32983</v>
      </c>
      <c r="AA5273">
        <v>0.50969837144501495</v>
      </c>
      <c r="AB5273" t="str">
        <f>HYPERLINK("Melting_Curves/meltCurve_Q96DB5_RMDN1.pdf", "Melting_Curves/meltCurve_Q96DB5_RMDN1.pdf")</f>
        <v>Melting_Curves/meltCurve_Q96DB5_RMDN1.pdf</v>
      </c>
    </row>
    <row r="5274" spans="1:28" x14ac:dyDescent="0.25">
      <c r="A5274" t="s">
        <v>5278</v>
      </c>
      <c r="B5274">
        <v>0.99999676499088797</v>
      </c>
      <c r="C5274">
        <v>1.0258903854415999</v>
      </c>
      <c r="D5274">
        <v>0.97062408174933901</v>
      </c>
      <c r="E5274">
        <v>0.94071750622047401</v>
      </c>
      <c r="F5274">
        <v>0.72918993336656202</v>
      </c>
      <c r="G5274">
        <v>0.38639046552578399</v>
      </c>
      <c r="H5274">
        <v>0.192777853820809</v>
      </c>
      <c r="I5274">
        <v>0.14120036714232301</v>
      </c>
      <c r="J5274">
        <v>0.25787651733329597</v>
      </c>
      <c r="K5274">
        <v>9.2969828298555199E-2</v>
      </c>
      <c r="L5274">
        <v>1449.23989820866</v>
      </c>
      <c r="M5274">
        <v>26.5002480496739</v>
      </c>
      <c r="N5274">
        <v>55.445215320979202</v>
      </c>
      <c r="O5274">
        <v>54.379205525164203</v>
      </c>
      <c r="P5274">
        <v>-0.10333011397980101</v>
      </c>
      <c r="Q5274">
        <v>0.151864434975024</v>
      </c>
      <c r="R5274">
        <v>0.98853044897902898</v>
      </c>
      <c r="S5274" t="s">
        <v>12277</v>
      </c>
      <c r="T5274" t="s">
        <v>14004</v>
      </c>
      <c r="U5274" t="s">
        <v>14004</v>
      </c>
      <c r="V5274" t="s">
        <v>14004</v>
      </c>
      <c r="W5274" t="s">
        <v>19223</v>
      </c>
      <c r="X5274">
        <v>2</v>
      </c>
      <c r="Y5274" t="s">
        <v>26027</v>
      </c>
      <c r="Z5274" t="s">
        <v>32984</v>
      </c>
      <c r="AA5274">
        <v>0.57417664233325527</v>
      </c>
      <c r="AB5274" t="str">
        <f>HYPERLINK("Melting_Curves/meltCurve_Q96DC9_OTUB2.pdf", "Melting_Curves/meltCurve_Q96DC9_OTUB2.pdf")</f>
        <v>Melting_Curves/meltCurve_Q96DC9_OTUB2.pdf</v>
      </c>
    </row>
    <row r="5275" spans="1:28" x14ac:dyDescent="0.25">
      <c r="A5275" t="s">
        <v>5279</v>
      </c>
      <c r="B5275">
        <v>0.99999676499088797</v>
      </c>
      <c r="C5275">
        <v>0.97687523792486497</v>
      </c>
      <c r="D5275">
        <v>0.909180479290705</v>
      </c>
      <c r="E5275">
        <v>0.73632066057741197</v>
      </c>
      <c r="F5275">
        <v>0.57690754382470599</v>
      </c>
      <c r="G5275">
        <v>0.35544389360117301</v>
      </c>
      <c r="H5275">
        <v>0.17399462767995699</v>
      </c>
      <c r="I5275">
        <v>0.15881863694766599</v>
      </c>
      <c r="J5275">
        <v>0.167770277244008</v>
      </c>
      <c r="K5275">
        <v>0.12369526889393601</v>
      </c>
      <c r="L5275">
        <v>773.51833457749296</v>
      </c>
      <c r="M5275">
        <v>14.561897175212501</v>
      </c>
      <c r="N5275">
        <v>53.904911853218103</v>
      </c>
      <c r="O5275">
        <v>52.147718036763699</v>
      </c>
      <c r="P5275">
        <v>-6.3143724153633798E-2</v>
      </c>
      <c r="Q5275">
        <v>9.5604720359633494E-2</v>
      </c>
      <c r="R5275">
        <v>0.99577469420165798</v>
      </c>
      <c r="S5275" t="s">
        <v>12278</v>
      </c>
      <c r="T5275" t="s">
        <v>14004</v>
      </c>
      <c r="U5275" t="s">
        <v>14004</v>
      </c>
      <c r="V5275" t="s">
        <v>14004</v>
      </c>
      <c r="W5275" t="s">
        <v>19224</v>
      </c>
      <c r="X5275">
        <v>2</v>
      </c>
      <c r="Y5275" t="s">
        <v>26028</v>
      </c>
      <c r="Z5275" t="s">
        <v>32985</v>
      </c>
      <c r="AA5275">
        <v>0.51126366965460024</v>
      </c>
      <c r="AB5275" t="str">
        <f>HYPERLINK("Melting_Curves/meltCurve_Q96DE5_ANAPC16.pdf", "Melting_Curves/meltCurve_Q96DE5_ANAPC16.pdf")</f>
        <v>Melting_Curves/meltCurve_Q96DE5_ANAPC16.pdf</v>
      </c>
    </row>
    <row r="5276" spans="1:28" x14ac:dyDescent="0.25">
      <c r="A5276" t="s">
        <v>5280</v>
      </c>
      <c r="B5276">
        <v>0.99999676499088797</v>
      </c>
      <c r="C5276">
        <v>0.89362829428777502</v>
      </c>
      <c r="D5276">
        <v>0.70779482181593401</v>
      </c>
      <c r="E5276">
        <v>0.53152095573150204</v>
      </c>
      <c r="F5276">
        <v>0.40636668231686401</v>
      </c>
      <c r="G5276">
        <v>0.43158903074156701</v>
      </c>
      <c r="H5276">
        <v>0.34910296143014002</v>
      </c>
      <c r="I5276">
        <v>0.44601184258145699</v>
      </c>
      <c r="J5276">
        <v>0.436727734686021</v>
      </c>
      <c r="K5276">
        <v>0.53190958508749098</v>
      </c>
      <c r="L5276">
        <v>1104.93744259864</v>
      </c>
      <c r="M5276">
        <v>24.1039020436227</v>
      </c>
      <c r="N5276">
        <v>49.986478768320403</v>
      </c>
      <c r="O5276">
        <v>45.528569239198703</v>
      </c>
      <c r="P5276">
        <v>-7.5142725940041497E-2</v>
      </c>
      <c r="Q5276">
        <v>0.43227641568684899</v>
      </c>
      <c r="R5276">
        <v>0.95381244355361805</v>
      </c>
      <c r="S5276" t="s">
        <v>12279</v>
      </c>
      <c r="T5276" t="s">
        <v>14004</v>
      </c>
      <c r="U5276" t="s">
        <v>14004</v>
      </c>
      <c r="V5276" t="s">
        <v>14004</v>
      </c>
      <c r="W5276" t="s">
        <v>19225</v>
      </c>
      <c r="X5276">
        <v>11</v>
      </c>
      <c r="Y5276" t="s">
        <v>26029</v>
      </c>
      <c r="Z5276" t="s">
        <v>32986</v>
      </c>
      <c r="AA5276">
        <v>0.54856390086178908</v>
      </c>
      <c r="AB5276" t="str">
        <f>HYPERLINK("Melting_Curves/meltCurve_Q96DF8_DGCR14.pdf", "Melting_Curves/meltCurve_Q96DF8_DGCR14.pdf")</f>
        <v>Melting_Curves/meltCurve_Q96DF8_DGCR14.pdf</v>
      </c>
    </row>
    <row r="5277" spans="1:28" x14ac:dyDescent="0.25">
      <c r="A5277" t="s">
        <v>5281</v>
      </c>
      <c r="B5277">
        <v>0.99999676499088797</v>
      </c>
      <c r="C5277">
        <v>1.0261420967432799</v>
      </c>
      <c r="D5277">
        <v>0.86913525092522803</v>
      </c>
      <c r="E5277">
        <v>0.73980824851293303</v>
      </c>
      <c r="F5277">
        <v>0.39685568904790702</v>
      </c>
      <c r="G5277">
        <v>0.87838106520250403</v>
      </c>
      <c r="H5277">
        <v>0.18997368446013599</v>
      </c>
      <c r="I5277">
        <v>0.21259087729353299</v>
      </c>
      <c r="J5277">
        <v>0.22794363181159899</v>
      </c>
      <c r="K5277">
        <v>0.233309690012131</v>
      </c>
      <c r="L5277">
        <v>499.84075151775801</v>
      </c>
      <c r="M5277">
        <v>8.9681852097572996</v>
      </c>
      <c r="N5277">
        <v>56.452828365077004</v>
      </c>
      <c r="O5277">
        <v>53.172827552658802</v>
      </c>
      <c r="P5277">
        <v>-3.9922124761819403E-2</v>
      </c>
      <c r="Q5277">
        <v>5.3895097893684497E-2</v>
      </c>
      <c r="R5277">
        <v>0.78055282549621496</v>
      </c>
      <c r="S5277" t="s">
        <v>12280</v>
      </c>
      <c r="T5277" t="s">
        <v>14004</v>
      </c>
      <c r="U5277" t="s">
        <v>14004</v>
      </c>
      <c r="V5277" t="s">
        <v>14004</v>
      </c>
      <c r="W5277" t="s">
        <v>19226</v>
      </c>
      <c r="X5277">
        <v>3</v>
      </c>
      <c r="Y5277" t="s">
        <v>26030</v>
      </c>
      <c r="Z5277" t="s">
        <v>32987</v>
      </c>
      <c r="AA5277">
        <v>0.57131863255599713</v>
      </c>
      <c r="AB5277" t="str">
        <f>HYPERLINK("Melting_Curves/meltCurve_Q96DH6_2_MSI2.pdf", "Melting_Curves/meltCurve_Q96DH6_2_MSI2.pdf")</f>
        <v>Melting_Curves/meltCurve_Q96DH6_2_MSI2.pdf</v>
      </c>
    </row>
    <row r="5278" spans="1:28" x14ac:dyDescent="0.25">
      <c r="A5278" t="s">
        <v>5282</v>
      </c>
      <c r="B5278">
        <v>0.99999676499088797</v>
      </c>
      <c r="C5278">
        <v>1.0195588648338101</v>
      </c>
      <c r="D5278">
        <v>1.03418310884522</v>
      </c>
      <c r="E5278">
        <v>1.17082177373189</v>
      </c>
      <c r="F5278">
        <v>0.91377469366486497</v>
      </c>
      <c r="G5278">
        <v>0.39075125184826198</v>
      </c>
      <c r="H5278">
        <v>0.122424123514942</v>
      </c>
      <c r="I5278">
        <v>0.13577588570781501</v>
      </c>
      <c r="J5278">
        <v>0.14870075772934199</v>
      </c>
      <c r="K5278">
        <v>0.100736250704661</v>
      </c>
      <c r="L5278">
        <v>2729.8626500504001</v>
      </c>
      <c r="M5278">
        <v>48.907450831225297</v>
      </c>
      <c r="N5278">
        <v>56.141483761481801</v>
      </c>
      <c r="O5278">
        <v>55.723824964172799</v>
      </c>
      <c r="P5278">
        <v>-0.192396704274407</v>
      </c>
      <c r="Q5278">
        <v>0.12315443708094</v>
      </c>
      <c r="R5278">
        <v>0.98246356342464403</v>
      </c>
      <c r="S5278" t="s">
        <v>12281</v>
      </c>
      <c r="T5278" t="s">
        <v>14004</v>
      </c>
      <c r="U5278" t="s">
        <v>14004</v>
      </c>
      <c r="V5278" t="s">
        <v>14004</v>
      </c>
      <c r="W5278" t="s">
        <v>19227</v>
      </c>
      <c r="X5278">
        <v>9</v>
      </c>
      <c r="Y5278" t="s">
        <v>26031</v>
      </c>
      <c r="Z5278" t="s">
        <v>32988</v>
      </c>
      <c r="AA5278">
        <v>0.58770818120505008</v>
      </c>
      <c r="AB5278" t="str">
        <f>HYPERLINK("Melting_Curves/meltCurve_Q96DI7_SNRNP40.pdf", "Melting_Curves/meltCurve_Q96DI7_SNRNP40.pdf")</f>
        <v>Melting_Curves/meltCurve_Q96DI7_SNRNP40.pdf</v>
      </c>
    </row>
    <row r="5279" spans="1:28" x14ac:dyDescent="0.25">
      <c r="A5279" t="s">
        <v>5283</v>
      </c>
      <c r="B5279">
        <v>0.99999676499088797</v>
      </c>
      <c r="C5279">
        <v>0.80958844427196697</v>
      </c>
      <c r="D5279">
        <v>0.63871249321235202</v>
      </c>
      <c r="E5279">
        <v>0.25931307901372203</v>
      </c>
      <c r="F5279">
        <v>0.14893730491809801</v>
      </c>
      <c r="G5279">
        <v>0.16369368128700901</v>
      </c>
      <c r="H5279">
        <v>6.5737894838955105E-2</v>
      </c>
      <c r="I5279">
        <v>0.10142965016854499</v>
      </c>
      <c r="J5279">
        <v>0.12097008176167399</v>
      </c>
      <c r="K5279">
        <v>6.4221721519619399E-2</v>
      </c>
      <c r="L5279">
        <v>942.11991817485796</v>
      </c>
      <c r="M5279">
        <v>20.259351575599499</v>
      </c>
      <c r="N5279">
        <v>46.972131925406899</v>
      </c>
      <c r="O5279">
        <v>46.056991456944303</v>
      </c>
      <c r="P5279">
        <v>-9.9899190622718403E-2</v>
      </c>
      <c r="Q5279">
        <v>9.1597017012420595E-2</v>
      </c>
      <c r="R5279">
        <v>0.98910628401964795</v>
      </c>
      <c r="S5279" t="s">
        <v>12282</v>
      </c>
      <c r="T5279" t="s">
        <v>14004</v>
      </c>
      <c r="U5279" t="s">
        <v>14004</v>
      </c>
      <c r="V5279" t="s">
        <v>14004</v>
      </c>
      <c r="W5279" t="s">
        <v>19228</v>
      </c>
      <c r="X5279">
        <v>2</v>
      </c>
      <c r="Y5279" t="s">
        <v>26032</v>
      </c>
      <c r="Z5279" t="s">
        <v>32989</v>
      </c>
      <c r="AA5279">
        <v>0.30172950167425638</v>
      </c>
      <c r="AB5279" t="str">
        <f>HYPERLINK("Melting_Curves/meltCurve_Q96DR7_ARHGEF26.pdf", "Melting_Curves/meltCurve_Q96DR7_ARHGEF26.pdf")</f>
        <v>Melting_Curves/meltCurve_Q96DR7_ARHGEF26.pdf</v>
      </c>
    </row>
    <row r="5280" spans="1:28" x14ac:dyDescent="0.25">
      <c r="A5280" t="s">
        <v>5284</v>
      </c>
      <c r="B5280">
        <v>0.99999676499088797</v>
      </c>
      <c r="C5280">
        <v>1.3373121555016201</v>
      </c>
      <c r="D5280">
        <v>1.04943655994165</v>
      </c>
      <c r="E5280">
        <v>1.1149173140200199</v>
      </c>
      <c r="F5280">
        <v>1.47381290819995</v>
      </c>
      <c r="G5280">
        <v>1.8988969821000701</v>
      </c>
      <c r="H5280">
        <v>2.6994155039144201</v>
      </c>
      <c r="I5280">
        <v>6.4563221915038396</v>
      </c>
      <c r="J5280">
        <v>7.6553855202234802</v>
      </c>
      <c r="K5280">
        <v>8.32787667768158</v>
      </c>
      <c r="L5280">
        <v>3457.6671536866302</v>
      </c>
      <c r="M5280">
        <v>68.498210706927196</v>
      </c>
      <c r="O5280">
        <v>50.4352477362971</v>
      </c>
      <c r="P5280">
        <v>0.16976777714681601</v>
      </c>
      <c r="Q5280">
        <v>1.5</v>
      </c>
      <c r="R5280">
        <v>-0.405015546868642</v>
      </c>
      <c r="S5280" t="s">
        <v>12283</v>
      </c>
      <c r="T5280" t="s">
        <v>14004</v>
      </c>
      <c r="U5280" t="s">
        <v>14004</v>
      </c>
      <c r="V5280" t="s">
        <v>14004</v>
      </c>
      <c r="W5280" t="s">
        <v>19229</v>
      </c>
      <c r="X5280">
        <v>2</v>
      </c>
      <c r="Y5280" t="s">
        <v>26033</v>
      </c>
      <c r="Z5280" t="s">
        <v>32990</v>
      </c>
      <c r="AA5280">
        <v>1.3247715038231169</v>
      </c>
      <c r="AB5280" t="str">
        <f>HYPERLINK("Melting_Curves/meltCurve_Q96DT6_ATG4C.pdf", "Melting_Curves/meltCurve_Q96DT6_ATG4C.pdf")</f>
        <v>Melting_Curves/meltCurve_Q96DT6_ATG4C.pdf</v>
      </c>
    </row>
    <row r="5281" spans="1:28" x14ac:dyDescent="0.25">
      <c r="A5281" t="s">
        <v>5285</v>
      </c>
      <c r="B5281">
        <v>0.99999676499088797</v>
      </c>
      <c r="C5281">
        <v>0.93958298183210498</v>
      </c>
      <c r="D5281">
        <v>0.85331191113375204</v>
      </c>
      <c r="E5281">
        <v>0.70364480660977902</v>
      </c>
      <c r="F5281">
        <v>0.59811333930774901</v>
      </c>
      <c r="G5281">
        <v>0.61769342357077806</v>
      </c>
      <c r="H5281">
        <v>0.40135117243636398</v>
      </c>
      <c r="I5281">
        <v>0.42590503297050097</v>
      </c>
      <c r="J5281">
        <v>0.36620945121561399</v>
      </c>
      <c r="K5281">
        <v>0.36664675360116</v>
      </c>
      <c r="L5281">
        <v>499.18349133400699</v>
      </c>
      <c r="M5281">
        <v>9.5446090371795407</v>
      </c>
      <c r="N5281">
        <v>58.071873722664797</v>
      </c>
      <c r="O5281">
        <v>50.158716624377398</v>
      </c>
      <c r="P5281">
        <v>-3.30166606866533E-2</v>
      </c>
      <c r="Q5281">
        <v>0.30636811646117601</v>
      </c>
      <c r="R5281">
        <v>0.971913962712594</v>
      </c>
      <c r="S5281" t="s">
        <v>12284</v>
      </c>
      <c r="T5281" t="s">
        <v>14004</v>
      </c>
      <c r="U5281" t="s">
        <v>14004</v>
      </c>
      <c r="V5281" t="s">
        <v>14004</v>
      </c>
      <c r="W5281" t="s">
        <v>19230</v>
      </c>
      <c r="X5281">
        <v>3</v>
      </c>
      <c r="Y5281" t="s">
        <v>26034</v>
      </c>
      <c r="Z5281" t="s">
        <v>32991</v>
      </c>
      <c r="AA5281">
        <v>0.61755212691775585</v>
      </c>
      <c r="AB5281" t="str">
        <f>HYPERLINK("Melting_Curves/meltCurve_Q96DU3_2_SLAMF6.pdf", "Melting_Curves/meltCurve_Q96DU3_2_SLAMF6.pdf")</f>
        <v>Melting_Curves/meltCurve_Q96DU3_2_SLAMF6.pdf</v>
      </c>
    </row>
    <row r="5282" spans="1:28" x14ac:dyDescent="0.25">
      <c r="A5282" t="s">
        <v>5286</v>
      </c>
      <c r="B5282">
        <v>0.99999676499088797</v>
      </c>
      <c r="C5282">
        <v>0.86924506296276405</v>
      </c>
      <c r="D5282">
        <v>0.74196661029687205</v>
      </c>
      <c r="E5282">
        <v>0.629250821189967</v>
      </c>
      <c r="F5282">
        <v>0.35481460939861198</v>
      </c>
      <c r="G5282">
        <v>0.26709104112689902</v>
      </c>
      <c r="H5282">
        <v>0.138936667463956</v>
      </c>
      <c r="I5282">
        <v>0.172799682792558</v>
      </c>
      <c r="J5282">
        <v>0.18075973326644901</v>
      </c>
      <c r="K5282">
        <v>9.8739749219990194E-2</v>
      </c>
      <c r="L5282">
        <v>630.08298310987504</v>
      </c>
      <c r="M5282">
        <v>12.6133476746444</v>
      </c>
      <c r="N5282">
        <v>50.851329612496102</v>
      </c>
      <c r="O5282">
        <v>48.747948069885297</v>
      </c>
      <c r="P5282">
        <v>-5.8242010209683698E-2</v>
      </c>
      <c r="Q5282">
        <v>9.9806175789577206E-2</v>
      </c>
      <c r="R5282">
        <v>0.98708168467452195</v>
      </c>
      <c r="S5282" t="s">
        <v>12285</v>
      </c>
      <c r="T5282" t="s">
        <v>14004</v>
      </c>
      <c r="U5282" t="s">
        <v>14004</v>
      </c>
      <c r="V5282" t="s">
        <v>14004</v>
      </c>
      <c r="W5282" t="s">
        <v>19231</v>
      </c>
      <c r="X5282">
        <v>5</v>
      </c>
      <c r="Y5282" t="s">
        <v>26035</v>
      </c>
      <c r="Z5282" t="s">
        <v>32992</v>
      </c>
      <c r="AA5282">
        <v>0.42734261134394691</v>
      </c>
      <c r="AB5282" t="str">
        <f>HYPERLINK("Melting_Curves/meltCurve_Q96DV4_MRPL38.pdf", "Melting_Curves/meltCurve_Q96DV4_MRPL38.pdf")</f>
        <v>Melting_Curves/meltCurve_Q96DV4_MRPL38.pdf</v>
      </c>
    </row>
    <row r="5283" spans="1:28" x14ac:dyDescent="0.25">
      <c r="A5283" t="s">
        <v>5287</v>
      </c>
      <c r="B5283">
        <v>0.99999676499088797</v>
      </c>
      <c r="C5283">
        <v>1.0678870851331299</v>
      </c>
      <c r="D5283">
        <v>1.0491964626222601</v>
      </c>
      <c r="E5283">
        <v>1.13188067933137</v>
      </c>
      <c r="F5283">
        <v>0.97313187254184896</v>
      </c>
      <c r="G5283">
        <v>0.64079586880857198</v>
      </c>
      <c r="H5283">
        <v>0.16140714845073501</v>
      </c>
      <c r="I5283">
        <v>0.125852992269151</v>
      </c>
      <c r="J5283">
        <v>0.115221201749764</v>
      </c>
      <c r="K5283">
        <v>0.12983295301974801</v>
      </c>
      <c r="L5283">
        <v>2921.8185335231601</v>
      </c>
      <c r="M5283">
        <v>51.076014735858799</v>
      </c>
      <c r="N5283">
        <v>57.519747015498801</v>
      </c>
      <c r="O5283">
        <v>57.117806801328499</v>
      </c>
      <c r="P5283">
        <v>-0.196322266090765</v>
      </c>
      <c r="Q5283">
        <v>0.121819621537833</v>
      </c>
      <c r="R5283">
        <v>0.98673491062303198</v>
      </c>
      <c r="S5283" t="s">
        <v>12286</v>
      </c>
      <c r="T5283" t="s">
        <v>14004</v>
      </c>
      <c r="U5283" t="s">
        <v>14004</v>
      </c>
      <c r="V5283" t="s">
        <v>14004</v>
      </c>
      <c r="W5283" t="s">
        <v>19232</v>
      </c>
      <c r="X5283">
        <v>7</v>
      </c>
      <c r="Y5283" t="s">
        <v>26036</v>
      </c>
      <c r="Z5283" t="s">
        <v>32993</v>
      </c>
      <c r="AA5283">
        <v>0.62758324963181045</v>
      </c>
      <c r="AB5283" t="str">
        <f>HYPERLINK("Melting_Curves/meltCurve_Q96DX4_RSPRY1.pdf", "Melting_Curves/meltCurve_Q96DX4_RSPRY1.pdf")</f>
        <v>Melting_Curves/meltCurve_Q96DX4_RSPRY1.pdf</v>
      </c>
    </row>
    <row r="5284" spans="1:28" x14ac:dyDescent="0.25">
      <c r="A5284" t="s">
        <v>5288</v>
      </c>
      <c r="B5284">
        <v>0.99999676499088797</v>
      </c>
      <c r="C5284">
        <v>0.97721048900580998</v>
      </c>
      <c r="D5284">
        <v>0.97986107318523796</v>
      </c>
      <c r="E5284">
        <v>1.06775863928421</v>
      </c>
      <c r="F5284">
        <v>0.78678595754411695</v>
      </c>
      <c r="G5284">
        <v>0.63255545937584301</v>
      </c>
      <c r="H5284">
        <v>0.37952760880953301</v>
      </c>
      <c r="I5284">
        <v>0.378742296225824</v>
      </c>
      <c r="J5284">
        <v>0.31390329631851799</v>
      </c>
      <c r="K5284">
        <v>0.386396367412496</v>
      </c>
      <c r="L5284">
        <v>1420.76255279725</v>
      </c>
      <c r="M5284">
        <v>25.5192463440866</v>
      </c>
      <c r="N5284">
        <v>58.331960582236498</v>
      </c>
      <c r="O5284">
        <v>55.335633949994602</v>
      </c>
      <c r="P5284">
        <v>-7.5669278723551295E-2</v>
      </c>
      <c r="Q5284">
        <v>0.34368637448352302</v>
      </c>
      <c r="R5284">
        <v>0.97700682454938004</v>
      </c>
      <c r="S5284" t="s">
        <v>12287</v>
      </c>
      <c r="T5284" t="s">
        <v>14004</v>
      </c>
      <c r="U5284" t="s">
        <v>14004</v>
      </c>
      <c r="V5284" t="s">
        <v>14004</v>
      </c>
      <c r="W5284" t="s">
        <v>19233</v>
      </c>
      <c r="X5284">
        <v>1</v>
      </c>
      <c r="Y5284" t="s">
        <v>26037</v>
      </c>
      <c r="Z5284" t="s">
        <v>32994</v>
      </c>
      <c r="AA5284">
        <v>0.69242995290911102</v>
      </c>
      <c r="AB5284" t="str">
        <f>HYPERLINK("Melting_Curves/meltCurve_Q96DX7_TRIM44.pdf", "Melting_Curves/meltCurve_Q96DX7_TRIM44.pdf")</f>
        <v>Melting_Curves/meltCurve_Q96DX7_TRIM44.pdf</v>
      </c>
    </row>
    <row r="5285" spans="1:28" x14ac:dyDescent="0.25">
      <c r="A5285" t="s">
        <v>5289</v>
      </c>
      <c r="B5285">
        <v>0.99999676499088797</v>
      </c>
      <c r="C5285">
        <v>1.0938602760920999</v>
      </c>
      <c r="D5285">
        <v>1.13657890023941</v>
      </c>
      <c r="E5285">
        <v>1.0889041398849499</v>
      </c>
      <c r="F5285">
        <v>0.83625442356301705</v>
      </c>
      <c r="G5285">
        <v>0.56836081923433401</v>
      </c>
      <c r="H5285">
        <v>0.23748944630799901</v>
      </c>
      <c r="I5285">
        <v>0.20597843949641101</v>
      </c>
      <c r="J5285">
        <v>0.19027831615465901</v>
      </c>
      <c r="K5285">
        <v>0.16808351822340301</v>
      </c>
      <c r="L5285">
        <v>1676.1953951328601</v>
      </c>
      <c r="M5285">
        <v>29.7071123803821</v>
      </c>
      <c r="N5285">
        <v>57.240169391236002</v>
      </c>
      <c r="O5285">
        <v>56.170215860347497</v>
      </c>
      <c r="P5285">
        <v>-0.109393498883437</v>
      </c>
      <c r="Q5285">
        <v>0.17264057995663701</v>
      </c>
      <c r="R5285">
        <v>0.97396754350345704</v>
      </c>
      <c r="S5285" t="s">
        <v>12288</v>
      </c>
      <c r="T5285" t="s">
        <v>14004</v>
      </c>
      <c r="U5285" t="s">
        <v>14004</v>
      </c>
      <c r="V5285" t="s">
        <v>14004</v>
      </c>
      <c r="W5285" t="s">
        <v>19234</v>
      </c>
      <c r="X5285">
        <v>12</v>
      </c>
      <c r="Y5285" t="s">
        <v>26038</v>
      </c>
      <c r="Z5285" t="s">
        <v>32995</v>
      </c>
      <c r="AA5285">
        <v>0.63121109766440264</v>
      </c>
      <c r="AB5285" t="str">
        <f>HYPERLINK("Melting_Curves/meltCurve_Q96DZ1_ERLEC1.pdf", "Melting_Curves/meltCurve_Q96DZ1_ERLEC1.pdf")</f>
        <v>Melting_Curves/meltCurve_Q96DZ1_ERLEC1.pdf</v>
      </c>
    </row>
    <row r="5286" spans="1:28" x14ac:dyDescent="0.25">
      <c r="A5286" t="s">
        <v>5290</v>
      </c>
      <c r="B5286">
        <v>0.99999676499088797</v>
      </c>
      <c r="C5286">
        <v>0.97273951142770099</v>
      </c>
      <c r="D5286">
        <v>0.97576939673499097</v>
      </c>
      <c r="E5286">
        <v>0.88481338389042496</v>
      </c>
      <c r="F5286">
        <v>0.69318173642342296</v>
      </c>
      <c r="G5286">
        <v>0.67321092245585501</v>
      </c>
      <c r="H5286">
        <v>0.33572362218858298</v>
      </c>
      <c r="I5286">
        <v>0.42120912683196599</v>
      </c>
      <c r="J5286">
        <v>0.446196719060723</v>
      </c>
      <c r="K5286">
        <v>0.46365924449236801</v>
      </c>
      <c r="L5286">
        <v>972.12310151501504</v>
      </c>
      <c r="M5286">
        <v>18.1198868083289</v>
      </c>
      <c r="N5286">
        <v>59.1226164605932</v>
      </c>
      <c r="O5286">
        <v>53.008869543851901</v>
      </c>
      <c r="P5286">
        <v>-5.0715123351007703E-2</v>
      </c>
      <c r="Q5286">
        <v>0.40656968558184098</v>
      </c>
      <c r="R5286">
        <v>0.94333800796558898</v>
      </c>
      <c r="S5286" t="s">
        <v>12289</v>
      </c>
      <c r="T5286" t="s">
        <v>14004</v>
      </c>
      <c r="U5286" t="s">
        <v>14004</v>
      </c>
      <c r="V5286" t="s">
        <v>14004</v>
      </c>
      <c r="W5286" t="s">
        <v>19235</v>
      </c>
      <c r="X5286">
        <v>5</v>
      </c>
      <c r="Y5286" t="s">
        <v>26039</v>
      </c>
      <c r="Z5286" t="s">
        <v>32996</v>
      </c>
      <c r="AA5286">
        <v>0.68605559137548799</v>
      </c>
      <c r="AB5286" t="str">
        <f>HYPERLINK("Melting_Curves/meltCurve_Q96E09_FAM122A.pdf", "Melting_Curves/meltCurve_Q96E09_FAM122A.pdf")</f>
        <v>Melting_Curves/meltCurve_Q96E09_FAM122A.pdf</v>
      </c>
    </row>
    <row r="5287" spans="1:28" x14ac:dyDescent="0.25">
      <c r="A5287" t="s">
        <v>5291</v>
      </c>
      <c r="B5287">
        <v>0.99999676499088797</v>
      </c>
      <c r="C5287">
        <v>0.93384991147248797</v>
      </c>
      <c r="D5287">
        <v>0.95387736251197597</v>
      </c>
      <c r="E5287">
        <v>0.71868615624419796</v>
      </c>
      <c r="F5287">
        <v>0.304528833223004</v>
      </c>
      <c r="G5287">
        <v>0.23833156789107701</v>
      </c>
      <c r="H5287">
        <v>0.14396552657497699</v>
      </c>
      <c r="I5287">
        <v>0.12942016820756799</v>
      </c>
      <c r="J5287">
        <v>0.109899134566356</v>
      </c>
      <c r="K5287">
        <v>0.127607262993093</v>
      </c>
      <c r="L5287">
        <v>1327.9021730905799</v>
      </c>
      <c r="M5287">
        <v>26.1131987188088</v>
      </c>
      <c r="N5287">
        <v>51.448503175803303</v>
      </c>
      <c r="O5287">
        <v>50.556327631572501</v>
      </c>
      <c r="P5287">
        <v>-0.112258415635737</v>
      </c>
      <c r="Q5287">
        <v>0.13066005323518201</v>
      </c>
      <c r="R5287">
        <v>0.99364845661040502</v>
      </c>
      <c r="S5287" t="s">
        <v>12290</v>
      </c>
      <c r="T5287" t="s">
        <v>14004</v>
      </c>
      <c r="U5287" t="s">
        <v>14004</v>
      </c>
      <c r="V5287" t="s">
        <v>14004</v>
      </c>
      <c r="W5287" t="s">
        <v>19236</v>
      </c>
      <c r="X5287">
        <v>6</v>
      </c>
      <c r="Y5287" t="s">
        <v>26040</v>
      </c>
      <c r="Z5287" t="s">
        <v>32997</v>
      </c>
      <c r="AA5287">
        <v>0.45231552259384988</v>
      </c>
      <c r="AB5287" t="str">
        <f>HYPERLINK("Melting_Curves/meltCurve_Q96E11_3_MRRF.pdf", "Melting_Curves/meltCurve_Q96E11_3_MRRF.pdf")</f>
        <v>Melting_Curves/meltCurve_Q96E11_3_MRRF.pdf</v>
      </c>
    </row>
    <row r="5288" spans="1:28" x14ac:dyDescent="0.25">
      <c r="A5288" t="s">
        <v>5292</v>
      </c>
      <c r="B5288">
        <v>0.99999676499088797</v>
      </c>
      <c r="C5288">
        <v>0.90083831155910499</v>
      </c>
      <c r="D5288">
        <v>0.67112317166951596</v>
      </c>
      <c r="E5288">
        <v>0.21062825842820701</v>
      </c>
      <c r="F5288">
        <v>0.17622821432692601</v>
      </c>
      <c r="G5288">
        <v>0.27300711775445002</v>
      </c>
      <c r="H5288">
        <v>0.106882488189443</v>
      </c>
      <c r="I5288">
        <v>0.16385818824684201</v>
      </c>
      <c r="J5288">
        <v>0.330562912968908</v>
      </c>
      <c r="K5288">
        <v>0.407156725124938</v>
      </c>
      <c r="L5288">
        <v>2253.0855479455399</v>
      </c>
      <c r="M5288">
        <v>48.775786031899898</v>
      </c>
      <c r="N5288">
        <v>46.803241260902396</v>
      </c>
      <c r="O5288">
        <v>46.115258324660097</v>
      </c>
      <c r="P5288">
        <v>-0.20218806452292901</v>
      </c>
      <c r="Q5288">
        <v>0.235362724933038</v>
      </c>
      <c r="R5288">
        <v>0.91946817497768296</v>
      </c>
      <c r="S5288" t="s">
        <v>12291</v>
      </c>
      <c r="T5288" t="s">
        <v>14004</v>
      </c>
      <c r="U5288" t="s">
        <v>14004</v>
      </c>
      <c r="V5288" t="s">
        <v>14004</v>
      </c>
      <c r="W5288" t="s">
        <v>19237</v>
      </c>
      <c r="X5288">
        <v>1</v>
      </c>
      <c r="Y5288" t="s">
        <v>26041</v>
      </c>
      <c r="Z5288" t="s">
        <v>32998</v>
      </c>
      <c r="AA5288">
        <v>0.3948487073731034</v>
      </c>
      <c r="AB5288" t="str">
        <f>HYPERLINK("Melting_Curves/meltCurve_Q96E14_RMI2.pdf", "Melting_Curves/meltCurve_Q96E14_RMI2.pdf")</f>
        <v>Melting_Curves/meltCurve_Q96E14_RMI2.pdf</v>
      </c>
    </row>
    <row r="5289" spans="1:28" x14ac:dyDescent="0.25">
      <c r="A5289" t="s">
        <v>5293</v>
      </c>
      <c r="B5289">
        <v>0.99999676499088797</v>
      </c>
      <c r="C5289">
        <v>0.95740009117559699</v>
      </c>
      <c r="D5289">
        <v>0.93058778088486904</v>
      </c>
      <c r="E5289">
        <v>1.0455819664207</v>
      </c>
      <c r="F5289">
        <v>0.84399519861593897</v>
      </c>
      <c r="G5289">
        <v>0.48398416415871398</v>
      </c>
      <c r="H5289">
        <v>0.13089793124947199</v>
      </c>
      <c r="I5289">
        <v>0.105254634296225</v>
      </c>
      <c r="J5289">
        <v>7.1560148781472405E-2</v>
      </c>
      <c r="K5289">
        <v>6.0646756736767497E-2</v>
      </c>
      <c r="L5289">
        <v>1725.89747952732</v>
      </c>
      <c r="M5289">
        <v>30.6481031515099</v>
      </c>
      <c r="N5289">
        <v>56.564689635350099</v>
      </c>
      <c r="O5289">
        <v>56.0752293682377</v>
      </c>
      <c r="P5289">
        <v>-0.12794107992746601</v>
      </c>
      <c r="Q5289">
        <v>6.36571519061708E-2</v>
      </c>
      <c r="R5289">
        <v>0.99312889090126</v>
      </c>
      <c r="S5289" t="s">
        <v>12292</v>
      </c>
      <c r="T5289" t="s">
        <v>14004</v>
      </c>
      <c r="U5289" t="s">
        <v>14004</v>
      </c>
      <c r="V5289" t="s">
        <v>14004</v>
      </c>
      <c r="W5289" t="s">
        <v>19238</v>
      </c>
      <c r="X5289">
        <v>3</v>
      </c>
      <c r="Y5289" t="s">
        <v>26042</v>
      </c>
      <c r="Z5289" t="s">
        <v>32999</v>
      </c>
      <c r="AA5289">
        <v>0.57882844679988965</v>
      </c>
      <c r="AB5289" t="str">
        <f>HYPERLINK("Melting_Curves/meltCurve_Q96E22_NUS1.pdf", "Melting_Curves/meltCurve_Q96E22_NUS1.pdf")</f>
        <v>Melting_Curves/meltCurve_Q96E22_NUS1.pdf</v>
      </c>
    </row>
    <row r="5290" spans="1:28" x14ac:dyDescent="0.25">
      <c r="A5290" t="s">
        <v>5294</v>
      </c>
      <c r="B5290">
        <v>0.99999676499088797</v>
      </c>
      <c r="C5290">
        <v>0.93185865230873499</v>
      </c>
      <c r="D5290">
        <v>0.85602076617200995</v>
      </c>
      <c r="E5290">
        <v>0.525835761033982</v>
      </c>
      <c r="F5290">
        <v>0.33385112204390999</v>
      </c>
      <c r="G5290">
        <v>0.22107112235920201</v>
      </c>
      <c r="H5290">
        <v>0.11763944546943</v>
      </c>
      <c r="I5290">
        <v>0.16065143267615201</v>
      </c>
      <c r="J5290">
        <v>0.13748824115389599</v>
      </c>
      <c r="K5290">
        <v>0.152657216367245</v>
      </c>
      <c r="L5290">
        <v>932.96727621590003</v>
      </c>
      <c r="M5290">
        <v>18.882685328512899</v>
      </c>
      <c r="N5290">
        <v>50.255865680108101</v>
      </c>
      <c r="O5290">
        <v>48.8644689931998</v>
      </c>
      <c r="P5290">
        <v>-8.3441183930165003E-2</v>
      </c>
      <c r="Q5290">
        <v>0.13632142463060701</v>
      </c>
      <c r="R5290">
        <v>0.99578216209468495</v>
      </c>
      <c r="S5290" t="s">
        <v>12293</v>
      </c>
      <c r="T5290" t="s">
        <v>14004</v>
      </c>
      <c r="U5290" t="s">
        <v>14004</v>
      </c>
      <c r="V5290" t="s">
        <v>14004</v>
      </c>
      <c r="W5290" t="s">
        <v>19239</v>
      </c>
      <c r="X5290">
        <v>2</v>
      </c>
      <c r="Y5290" t="s">
        <v>26043</v>
      </c>
      <c r="Z5290" t="s">
        <v>33000</v>
      </c>
      <c r="AA5290">
        <v>0.42070837007019968</v>
      </c>
      <c r="AB5290" t="str">
        <f>HYPERLINK("Melting_Curves/meltCurve_Q96E40_2_C9orf9.pdf", "Melting_Curves/meltCurve_Q96E40_2_C9orf9.pdf")</f>
        <v>Melting_Curves/meltCurve_Q96E40_2_C9orf9.pdf</v>
      </c>
    </row>
    <row r="5291" spans="1:28" x14ac:dyDescent="0.25">
      <c r="A5291" t="s">
        <v>5295</v>
      </c>
      <c r="B5291">
        <v>0.99999676499088797</v>
      </c>
      <c r="C5291">
        <v>0.95768159320229596</v>
      </c>
      <c r="D5291">
        <v>1.02232743580868</v>
      </c>
      <c r="E5291">
        <v>0.78188479140019596</v>
      </c>
      <c r="F5291">
        <v>0.49291489479802297</v>
      </c>
      <c r="G5291">
        <v>0.45456619232849399</v>
      </c>
      <c r="H5291">
        <v>0.324354583213603</v>
      </c>
      <c r="I5291">
        <v>0.25394622908078901</v>
      </c>
      <c r="J5291">
        <v>5.2625221666674597E-2</v>
      </c>
      <c r="K5291">
        <v>2.43798622242625E-2</v>
      </c>
      <c r="L5291">
        <v>630.70095629534103</v>
      </c>
      <c r="M5291">
        <v>11.4080357774143</v>
      </c>
      <c r="N5291">
        <v>55.285674814486498</v>
      </c>
      <c r="O5291">
        <v>53.668661955608897</v>
      </c>
      <c r="P5291">
        <v>-5.3156628093661E-2</v>
      </c>
      <c r="Q5291">
        <v>0</v>
      </c>
      <c r="R5291">
        <v>0.96540935141232098</v>
      </c>
      <c r="S5291" t="s">
        <v>12294</v>
      </c>
      <c r="T5291" t="s">
        <v>14004</v>
      </c>
      <c r="U5291" t="s">
        <v>14004</v>
      </c>
      <c r="V5291" t="s">
        <v>14004</v>
      </c>
      <c r="W5291" t="s">
        <v>19240</v>
      </c>
      <c r="X5291">
        <v>2</v>
      </c>
      <c r="Y5291" t="s">
        <v>26044</v>
      </c>
      <c r="Z5291" t="s">
        <v>33001</v>
      </c>
      <c r="AA5291">
        <v>0.53280100499065086</v>
      </c>
      <c r="AB5291" t="str">
        <f>HYPERLINK("Melting_Curves/meltCurve_Q96E52_OMA1.pdf", "Melting_Curves/meltCurve_Q96E52_OMA1.pdf")</f>
        <v>Melting_Curves/meltCurve_Q96E52_OMA1.pdf</v>
      </c>
    </row>
    <row r="5292" spans="1:28" x14ac:dyDescent="0.25">
      <c r="A5292" t="s">
        <v>5296</v>
      </c>
      <c r="B5292">
        <v>0.99999676499088797</v>
      </c>
      <c r="C5292">
        <v>0.97010074768757404</v>
      </c>
      <c r="D5292">
        <v>0.68784865862136302</v>
      </c>
      <c r="E5292">
        <v>0.33610503241715101</v>
      </c>
      <c r="F5292">
        <v>0.26722741584762499</v>
      </c>
      <c r="G5292">
        <v>0.172447158094472</v>
      </c>
      <c r="H5292">
        <v>8.3195214607657095E-2</v>
      </c>
      <c r="I5292">
        <v>7.8068361093069694E-2</v>
      </c>
      <c r="J5292">
        <v>7.9670279604257793E-2</v>
      </c>
      <c r="K5292">
        <v>7.2278767633347799E-2</v>
      </c>
      <c r="L5292">
        <v>942.50209950092903</v>
      </c>
      <c r="M5292">
        <v>19.751158795616799</v>
      </c>
      <c r="N5292">
        <v>48.209599980612403</v>
      </c>
      <c r="O5292">
        <v>47.237737929107297</v>
      </c>
      <c r="P5292">
        <v>-9.5014130441378603E-2</v>
      </c>
      <c r="Q5292">
        <v>9.1071237763244203E-2</v>
      </c>
      <c r="R5292">
        <v>0.988113860244348</v>
      </c>
      <c r="S5292" t="s">
        <v>12295</v>
      </c>
      <c r="T5292" t="s">
        <v>14004</v>
      </c>
      <c r="U5292" t="s">
        <v>14004</v>
      </c>
      <c r="V5292" t="s">
        <v>14004</v>
      </c>
      <c r="W5292" t="s">
        <v>19241</v>
      </c>
      <c r="X5292">
        <v>11</v>
      </c>
      <c r="Y5292" t="s">
        <v>26045</v>
      </c>
      <c r="Z5292" t="s">
        <v>33002</v>
      </c>
      <c r="AA5292">
        <v>0.3382876977040834</v>
      </c>
      <c r="AB5292" t="str">
        <f>HYPERLINK("Melting_Curves/meltCurve_Q96EA4_SPDL1.pdf", "Melting_Curves/meltCurve_Q96EA4_SPDL1.pdf")</f>
        <v>Melting_Curves/meltCurve_Q96EA4_SPDL1.pdf</v>
      </c>
    </row>
    <row r="5293" spans="1:28" x14ac:dyDescent="0.25">
      <c r="A5293" t="s">
        <v>5297</v>
      </c>
      <c r="B5293">
        <v>0.99999676499088797</v>
      </c>
      <c r="C5293">
        <v>1.02669578251779</v>
      </c>
      <c r="D5293">
        <v>1.01516942752421</v>
      </c>
      <c r="E5293">
        <v>1.1223126463176201</v>
      </c>
      <c r="F5293">
        <v>0.95166423709954295</v>
      </c>
      <c r="G5293">
        <v>0.81928623172456205</v>
      </c>
      <c r="H5293">
        <v>0.48803751070290202</v>
      </c>
      <c r="I5293">
        <v>0.35916223993650598</v>
      </c>
      <c r="J5293">
        <v>0.26497429087167301</v>
      </c>
      <c r="K5293">
        <v>0.25832538474334998</v>
      </c>
      <c r="L5293">
        <v>1601.22971578645</v>
      </c>
      <c r="M5293">
        <v>27.042608585605201</v>
      </c>
      <c r="N5293">
        <v>60.754786095564903</v>
      </c>
      <c r="O5293">
        <v>58.890433795113502</v>
      </c>
      <c r="P5293">
        <v>-8.6278389680415998E-2</v>
      </c>
      <c r="Q5293">
        <v>0.24845706875026899</v>
      </c>
      <c r="R5293">
        <v>0.98355071966449303</v>
      </c>
      <c r="S5293" t="s">
        <v>12296</v>
      </c>
      <c r="T5293" t="s">
        <v>14004</v>
      </c>
      <c r="U5293" t="s">
        <v>14004</v>
      </c>
      <c r="V5293" t="s">
        <v>14004</v>
      </c>
      <c r="W5293" t="s">
        <v>19242</v>
      </c>
      <c r="X5293">
        <v>13</v>
      </c>
      <c r="Y5293" t="s">
        <v>26046</v>
      </c>
      <c r="Z5293" t="s">
        <v>33003</v>
      </c>
      <c r="AA5293">
        <v>0.73523611121624488</v>
      </c>
      <c r="AB5293" t="str">
        <f>HYPERLINK("Melting_Curves/meltCurve_Q96EB1_ELP4.pdf", "Melting_Curves/meltCurve_Q96EB1_ELP4.pdf")</f>
        <v>Melting_Curves/meltCurve_Q96EB1_ELP4.pdf</v>
      </c>
    </row>
    <row r="5294" spans="1:28" x14ac:dyDescent="0.25">
      <c r="A5294" t="s">
        <v>5298</v>
      </c>
      <c r="B5294">
        <v>0.99999676499088797</v>
      </c>
      <c r="C5294">
        <v>0.97535270827911902</v>
      </c>
      <c r="D5294">
        <v>0.95431059895772197</v>
      </c>
      <c r="E5294">
        <v>0.66340611618051704</v>
      </c>
      <c r="F5294">
        <v>0.28740958372509801</v>
      </c>
      <c r="G5294">
        <v>0.199321972800651</v>
      </c>
      <c r="H5294">
        <v>8.6134867430159398E-2</v>
      </c>
      <c r="I5294">
        <v>6.4227435090012996E-2</v>
      </c>
      <c r="J5294">
        <v>6.5002895724642198E-2</v>
      </c>
      <c r="K5294">
        <v>4.5472002930052997E-2</v>
      </c>
      <c r="L5294">
        <v>1169.5825477023</v>
      </c>
      <c r="M5294">
        <v>22.9890476138625</v>
      </c>
      <c r="N5294">
        <v>51.183751877676301</v>
      </c>
      <c r="O5294">
        <v>50.495369191972998</v>
      </c>
      <c r="P5294">
        <v>-0.106464808807038</v>
      </c>
      <c r="Q5294">
        <v>6.4619088583668702E-2</v>
      </c>
      <c r="R5294">
        <v>0.99643801701857504</v>
      </c>
      <c r="S5294" t="s">
        <v>12297</v>
      </c>
      <c r="T5294" t="s">
        <v>14004</v>
      </c>
      <c r="U5294" t="s">
        <v>14004</v>
      </c>
      <c r="V5294" t="s">
        <v>14004</v>
      </c>
      <c r="W5294" t="s">
        <v>19243</v>
      </c>
      <c r="X5294">
        <v>22</v>
      </c>
      <c r="Y5294" t="s">
        <v>26047</v>
      </c>
      <c r="Z5294" t="s">
        <v>33004</v>
      </c>
      <c r="AA5294">
        <v>0.41366097278279079</v>
      </c>
      <c r="AB5294" t="str">
        <f>HYPERLINK("Melting_Curves/meltCurve_Q96EB6_SIRT1.pdf", "Melting_Curves/meltCurve_Q96EB6_SIRT1.pdf")</f>
        <v>Melting_Curves/meltCurve_Q96EB6_SIRT1.pdf</v>
      </c>
    </row>
    <row r="5295" spans="1:28" x14ac:dyDescent="0.25">
      <c r="A5295" t="s">
        <v>5299</v>
      </c>
      <c r="B5295">
        <v>0.99999676499088797</v>
      </c>
      <c r="C5295">
        <v>0.93611572552601396</v>
      </c>
      <c r="D5295">
        <v>0.96022207859514197</v>
      </c>
      <c r="E5295">
        <v>0.94275829539612699</v>
      </c>
      <c r="F5295">
        <v>0.92649497524309898</v>
      </c>
      <c r="G5295">
        <v>0.74832460425500402</v>
      </c>
      <c r="H5295">
        <v>0.45190344686928902</v>
      </c>
      <c r="I5295">
        <v>0.42835173270309701</v>
      </c>
      <c r="J5295">
        <v>0.34658150871925197</v>
      </c>
      <c r="K5295">
        <v>0.333138636048121</v>
      </c>
      <c r="L5295">
        <v>1368.3572807562</v>
      </c>
      <c r="M5295">
        <v>23.688743762702899</v>
      </c>
      <c r="N5295">
        <v>60.517038024857001</v>
      </c>
      <c r="O5295">
        <v>57.357104557660101</v>
      </c>
      <c r="P5295">
        <v>-6.9200026597217607E-2</v>
      </c>
      <c r="Q5295">
        <v>0.329800325466305</v>
      </c>
      <c r="R5295">
        <v>0.98538844442352302</v>
      </c>
      <c r="S5295" t="s">
        <v>12298</v>
      </c>
      <c r="T5295" t="s">
        <v>14004</v>
      </c>
      <c r="U5295" t="s">
        <v>14004</v>
      </c>
      <c r="V5295" t="s">
        <v>14004</v>
      </c>
      <c r="W5295" t="s">
        <v>19244</v>
      </c>
      <c r="X5295">
        <v>3</v>
      </c>
      <c r="Y5295" t="s">
        <v>26048</v>
      </c>
      <c r="Z5295" t="s">
        <v>33005</v>
      </c>
      <c r="AA5295">
        <v>0.73299448376488952</v>
      </c>
      <c r="AB5295" t="str">
        <f>HYPERLINK("Melting_Curves/meltCurve_Q96EC8_YIPF6.pdf", "Melting_Curves/meltCurve_Q96EC8_YIPF6.pdf")</f>
        <v>Melting_Curves/meltCurve_Q96EC8_YIPF6.pdf</v>
      </c>
    </row>
    <row r="5296" spans="1:28" x14ac:dyDescent="0.25">
      <c r="A5296" t="s">
        <v>5300</v>
      </c>
      <c r="B5296">
        <v>0.99999676499088797</v>
      </c>
      <c r="C5296">
        <v>1.0459854413606899</v>
      </c>
      <c r="D5296">
        <v>1.0195299115018499</v>
      </c>
      <c r="E5296">
        <v>0.85847999658338303</v>
      </c>
      <c r="F5296">
        <v>0.70577911483031897</v>
      </c>
      <c r="G5296">
        <v>0.36989517940141098</v>
      </c>
      <c r="H5296">
        <v>0.12224229984185001</v>
      </c>
      <c r="I5296">
        <v>0.114195686961116</v>
      </c>
      <c r="J5296">
        <v>9.6991713497088294E-2</v>
      </c>
      <c r="K5296">
        <v>8.1032483120914794E-2</v>
      </c>
      <c r="L5296">
        <v>1202.99726311784</v>
      </c>
      <c r="M5296">
        <v>21.954932194477699</v>
      </c>
      <c r="N5296">
        <v>55.157639098382802</v>
      </c>
      <c r="O5296">
        <v>54.345430529934099</v>
      </c>
      <c r="P5296">
        <v>-9.4193322080098799E-2</v>
      </c>
      <c r="Q5296">
        <v>6.7387473164016207E-2</v>
      </c>
      <c r="R5296">
        <v>0.99430522856484305</v>
      </c>
      <c r="S5296" t="s">
        <v>12299</v>
      </c>
      <c r="T5296" t="s">
        <v>14004</v>
      </c>
      <c r="U5296" t="s">
        <v>14004</v>
      </c>
      <c r="V5296" t="s">
        <v>14004</v>
      </c>
      <c r="W5296" t="s">
        <v>19245</v>
      </c>
      <c r="X5296">
        <v>15</v>
      </c>
      <c r="Y5296" t="s">
        <v>26049</v>
      </c>
      <c r="Z5296" t="s">
        <v>33006</v>
      </c>
      <c r="AA5296">
        <v>0.53805932270248402</v>
      </c>
      <c r="AB5296" t="str">
        <f>HYPERLINK("Melting_Curves/meltCurve_Q96EE3_SEH1L.pdf", "Melting_Curves/meltCurve_Q96EE3_SEH1L.pdf")</f>
        <v>Melting_Curves/meltCurve_Q96EE3_SEH1L.pdf</v>
      </c>
    </row>
    <row r="5297" spans="1:28" x14ac:dyDescent="0.25">
      <c r="A5297" t="s">
        <v>5301</v>
      </c>
      <c r="B5297">
        <v>0.99999676499088797</v>
      </c>
      <c r="C5297">
        <v>1.06723611388936</v>
      </c>
      <c r="D5297">
        <v>1.01332564557431</v>
      </c>
      <c r="E5297">
        <v>0.81333157309755</v>
      </c>
      <c r="F5297">
        <v>0.58404174325773905</v>
      </c>
      <c r="G5297">
        <v>0.38088059540276598</v>
      </c>
      <c r="H5297">
        <v>0.18120937856759201</v>
      </c>
      <c r="I5297">
        <v>0.14187826976388401</v>
      </c>
      <c r="J5297">
        <v>0.11715688712019399</v>
      </c>
      <c r="K5297">
        <v>6.7695021669316693E-2</v>
      </c>
      <c r="L5297">
        <v>938.51740893763497</v>
      </c>
      <c r="M5297">
        <v>17.355137711427499</v>
      </c>
      <c r="N5297">
        <v>54.573944702171303</v>
      </c>
      <c r="O5297">
        <v>53.374554659875301</v>
      </c>
      <c r="P5297">
        <v>-7.5354779177018397E-2</v>
      </c>
      <c r="Q5297">
        <v>7.3058653134448301E-2</v>
      </c>
      <c r="R5297">
        <v>0.99222722880789804</v>
      </c>
      <c r="S5297" t="s">
        <v>12300</v>
      </c>
      <c r="T5297" t="s">
        <v>14004</v>
      </c>
      <c r="U5297" t="s">
        <v>14004</v>
      </c>
      <c r="V5297" t="s">
        <v>14004</v>
      </c>
      <c r="W5297" t="s">
        <v>19246</v>
      </c>
      <c r="X5297">
        <v>3</v>
      </c>
      <c r="Y5297" t="s">
        <v>26050</v>
      </c>
      <c r="Z5297" t="s">
        <v>33007</v>
      </c>
      <c r="AA5297">
        <v>0.52362020250815577</v>
      </c>
      <c r="AB5297" t="str">
        <f>HYPERLINK("Melting_Curves/meltCurve_Q96EH3_MALSU1.pdf", "Melting_Curves/meltCurve_Q96EH3_MALSU1.pdf")</f>
        <v>Melting_Curves/meltCurve_Q96EH3_MALSU1.pdf</v>
      </c>
    </row>
    <row r="5298" spans="1:28" x14ac:dyDescent="0.25">
      <c r="A5298" t="s">
        <v>5302</v>
      </c>
      <c r="B5298">
        <v>0.99999676499088797</v>
      </c>
      <c r="C5298">
        <v>0.634681962600807</v>
      </c>
      <c r="D5298">
        <v>0.41909454314836497</v>
      </c>
      <c r="E5298">
        <v>0.23218490479657</v>
      </c>
      <c r="F5298">
        <v>0.24182449672567599</v>
      </c>
      <c r="G5298">
        <v>0.15653453144792501</v>
      </c>
      <c r="H5298">
        <v>8.5047022991632207E-2</v>
      </c>
      <c r="I5298">
        <v>8.7785411888373494E-2</v>
      </c>
      <c r="J5298">
        <v>7.4038943747801803E-2</v>
      </c>
      <c r="K5298">
        <v>5.9909538473520998E-2</v>
      </c>
      <c r="L5298">
        <v>776.87812013574296</v>
      </c>
      <c r="M5298">
        <v>17.428342809549601</v>
      </c>
      <c r="N5298">
        <v>45.149967550662403</v>
      </c>
      <c r="O5298">
        <v>44.001107315160901</v>
      </c>
      <c r="P5298">
        <v>-8.9180744607005299E-2</v>
      </c>
      <c r="Q5298">
        <v>9.9436470458957496E-2</v>
      </c>
      <c r="R5298">
        <v>0.965939277914869</v>
      </c>
      <c r="S5298" t="s">
        <v>12301</v>
      </c>
      <c r="T5298" t="s">
        <v>14004</v>
      </c>
      <c r="U5298" t="s">
        <v>14004</v>
      </c>
      <c r="V5298" t="s">
        <v>14004</v>
      </c>
      <c r="W5298" t="s">
        <v>19247</v>
      </c>
      <c r="X5298">
        <v>1</v>
      </c>
      <c r="Y5298" t="s">
        <v>26051</v>
      </c>
      <c r="Z5298" t="s">
        <v>33008</v>
      </c>
      <c r="AA5298">
        <v>0.25876704447487631</v>
      </c>
      <c r="AB5298" t="str">
        <f>HYPERLINK("Melting_Curves/meltCurve_Q96EK4_THAP11.pdf", "Melting_Curves/meltCurve_Q96EK4_THAP11.pdf")</f>
        <v>Melting_Curves/meltCurve_Q96EK4_THAP11.pdf</v>
      </c>
    </row>
    <row r="5299" spans="1:28" x14ac:dyDescent="0.25">
      <c r="A5299" t="s">
        <v>5303</v>
      </c>
      <c r="B5299">
        <v>0.99999676499088797</v>
      </c>
      <c r="C5299">
        <v>0.93547373557055602</v>
      </c>
      <c r="D5299">
        <v>0.68320931245411098</v>
      </c>
      <c r="E5299">
        <v>0.32934869959074298</v>
      </c>
      <c r="F5299">
        <v>0.23418518564156399</v>
      </c>
      <c r="G5299">
        <v>0.13260013562240799</v>
      </c>
      <c r="H5299">
        <v>3.8287233149497703E-2</v>
      </c>
      <c r="I5299">
        <v>5.3386226355391198E-2</v>
      </c>
      <c r="J5299">
        <v>7.9607422495743499E-2</v>
      </c>
      <c r="K5299">
        <v>4.5537960940026198E-2</v>
      </c>
      <c r="L5299">
        <v>913.82341344352301</v>
      </c>
      <c r="M5299">
        <v>19.1470461103826</v>
      </c>
      <c r="N5299">
        <v>48.053038702305599</v>
      </c>
      <c r="O5299">
        <v>47.215140395152503</v>
      </c>
      <c r="P5299">
        <v>-9.5202941638338104E-2</v>
      </c>
      <c r="Q5299">
        <v>6.0983837209161E-2</v>
      </c>
      <c r="R5299">
        <v>0.99254405699512205</v>
      </c>
      <c r="S5299" t="s">
        <v>12302</v>
      </c>
      <c r="T5299" t="s">
        <v>14004</v>
      </c>
      <c r="U5299" t="s">
        <v>14004</v>
      </c>
      <c r="V5299" t="s">
        <v>14004</v>
      </c>
      <c r="W5299" t="s">
        <v>19248</v>
      </c>
      <c r="X5299">
        <v>7</v>
      </c>
      <c r="Y5299" t="s">
        <v>26052</v>
      </c>
      <c r="Z5299" t="s">
        <v>33009</v>
      </c>
      <c r="AA5299">
        <v>0.31757182805121992</v>
      </c>
      <c r="AB5299" t="str">
        <f>HYPERLINK("Melting_Curves/meltCurve_Q96EK5_KIAA1279.pdf", "Melting_Curves/meltCurve_Q96EK5_KIAA1279.pdf")</f>
        <v>Melting_Curves/meltCurve_Q96EK5_KIAA1279.pdf</v>
      </c>
    </row>
    <row r="5300" spans="1:28" x14ac:dyDescent="0.25">
      <c r="A5300" t="s">
        <v>5304</v>
      </c>
      <c r="B5300">
        <v>0.99999676499088797</v>
      </c>
      <c r="C5300">
        <v>1.04596451017659</v>
      </c>
      <c r="D5300">
        <v>1.03732864507232</v>
      </c>
      <c r="E5300">
        <v>1.1757714639019701</v>
      </c>
      <c r="F5300">
        <v>1.23590488262739</v>
      </c>
      <c r="G5300">
        <v>1.04640696750206</v>
      </c>
      <c r="H5300">
        <v>0.62199434185991198</v>
      </c>
      <c r="I5300">
        <v>0.176462219541653</v>
      </c>
      <c r="J5300">
        <v>0.16554167837765901</v>
      </c>
      <c r="K5300">
        <v>7.8253863244654998E-2</v>
      </c>
      <c r="L5300">
        <v>3952.0058774408599</v>
      </c>
      <c r="M5300">
        <v>64.706618656636394</v>
      </c>
      <c r="N5300">
        <v>61.346256487553198</v>
      </c>
      <c r="O5300">
        <v>61.017509288599904</v>
      </c>
      <c r="P5300">
        <v>-0.232211473249953</v>
      </c>
      <c r="Q5300">
        <v>0.12411061687109699</v>
      </c>
      <c r="R5300">
        <v>0.94847638935698297</v>
      </c>
      <c r="S5300" t="s">
        <v>12303</v>
      </c>
      <c r="T5300" t="s">
        <v>14004</v>
      </c>
      <c r="U5300" t="s">
        <v>14004</v>
      </c>
      <c r="V5300" t="s">
        <v>14004</v>
      </c>
      <c r="W5300" t="s">
        <v>19249</v>
      </c>
      <c r="X5300">
        <v>12</v>
      </c>
      <c r="Y5300" t="s">
        <v>26053</v>
      </c>
      <c r="Z5300" t="s">
        <v>33010</v>
      </c>
      <c r="AA5300">
        <v>0.7408410532494959</v>
      </c>
      <c r="AB5300" t="str">
        <f>HYPERLINK("Melting_Curves/meltCurve_Q96EK6_GNPNAT1.pdf", "Melting_Curves/meltCurve_Q96EK6_GNPNAT1.pdf")</f>
        <v>Melting_Curves/meltCurve_Q96EK6_GNPNAT1.pdf</v>
      </c>
    </row>
    <row r="5301" spans="1:28" x14ac:dyDescent="0.25">
      <c r="A5301" t="s">
        <v>5305</v>
      </c>
      <c r="B5301">
        <v>0.99999676499088797</v>
      </c>
      <c r="C5301">
        <v>0.99737083257722303</v>
      </c>
      <c r="D5301">
        <v>0.784433054028156</v>
      </c>
      <c r="E5301">
        <v>0.39910793848464099</v>
      </c>
      <c r="F5301">
        <v>0.17191378311483199</v>
      </c>
      <c r="G5301">
        <v>0.12702211248766701</v>
      </c>
      <c r="H5301">
        <v>7.8799375577611297E-2</v>
      </c>
      <c r="I5301">
        <v>8.3018503751497899E-2</v>
      </c>
      <c r="J5301">
        <v>7.7099990414556799E-2</v>
      </c>
      <c r="K5301">
        <v>7.3217293595494698E-2</v>
      </c>
      <c r="L5301">
        <v>1194.56403319726</v>
      </c>
      <c r="M5301">
        <v>24.716196475895401</v>
      </c>
      <c r="N5301">
        <v>48.682531424955698</v>
      </c>
      <c r="O5301">
        <v>48.0181647156423</v>
      </c>
      <c r="P5301">
        <v>-0.11817255269198799</v>
      </c>
      <c r="Q5301">
        <v>8.1679094758156198E-2</v>
      </c>
      <c r="R5301">
        <v>0.99845326727637296</v>
      </c>
      <c r="S5301" t="s">
        <v>12304</v>
      </c>
      <c r="T5301" t="s">
        <v>14004</v>
      </c>
      <c r="U5301" t="s">
        <v>14004</v>
      </c>
      <c r="V5301" t="s">
        <v>14004</v>
      </c>
      <c r="W5301" t="s">
        <v>19250</v>
      </c>
      <c r="X5301">
        <v>7</v>
      </c>
      <c r="Y5301" t="s">
        <v>26054</v>
      </c>
      <c r="Z5301" t="s">
        <v>33011</v>
      </c>
      <c r="AA5301">
        <v>0.34501621958069179</v>
      </c>
      <c r="AB5301" t="str">
        <f>HYPERLINK("Melting_Curves/meltCurve_Q96EK9_KTI12.pdf", "Melting_Curves/meltCurve_Q96EK9_KTI12.pdf")</f>
        <v>Melting_Curves/meltCurve_Q96EK9_KTI12.pdf</v>
      </c>
    </row>
    <row r="5302" spans="1:28" x14ac:dyDescent="0.25">
      <c r="A5302" t="s">
        <v>5306</v>
      </c>
      <c r="B5302">
        <v>0.99999676499088797</v>
      </c>
      <c r="C5302">
        <v>0.75795667059905403</v>
      </c>
      <c r="D5302">
        <v>0.57086848920362698</v>
      </c>
      <c r="E5302">
        <v>0.42909814131562002</v>
      </c>
      <c r="F5302">
        <v>0.183790369079007</v>
      </c>
      <c r="G5302">
        <v>0.130410410623264</v>
      </c>
      <c r="H5302">
        <v>4.3670655763672898E-2</v>
      </c>
      <c r="I5302">
        <v>7.4036546848871093E-2</v>
      </c>
      <c r="J5302">
        <v>5.2646335739076101E-2</v>
      </c>
      <c r="K5302">
        <v>3.2249127372623303E-2</v>
      </c>
      <c r="L5302">
        <v>623.07222470958902</v>
      </c>
      <c r="M5302">
        <v>13.159224592598701</v>
      </c>
      <c r="N5302">
        <v>47.527380735067297</v>
      </c>
      <c r="O5302">
        <v>46.295305067196601</v>
      </c>
      <c r="P5302">
        <v>-6.9358134756991902E-2</v>
      </c>
      <c r="Q5302">
        <v>2.41324601049114E-2</v>
      </c>
      <c r="R5302">
        <v>0.98600425981459805</v>
      </c>
      <c r="S5302" t="s">
        <v>12305</v>
      </c>
      <c r="T5302" t="s">
        <v>14004</v>
      </c>
      <c r="U5302" t="s">
        <v>14004</v>
      </c>
      <c r="V5302" t="s">
        <v>14004</v>
      </c>
      <c r="W5302" t="s">
        <v>19251</v>
      </c>
      <c r="X5302">
        <v>2</v>
      </c>
      <c r="Y5302" t="s">
        <v>26055</v>
      </c>
      <c r="Z5302" t="s">
        <v>33012</v>
      </c>
      <c r="AA5302">
        <v>0.29681194774092567</v>
      </c>
      <c r="AB5302" t="str">
        <f>HYPERLINK("Melting_Curves/meltCurve_Q96EL2_MRPS24.pdf", "Melting_Curves/meltCurve_Q96EL2_MRPS24.pdf")</f>
        <v>Melting_Curves/meltCurve_Q96EL2_MRPS24.pdf</v>
      </c>
    </row>
    <row r="5303" spans="1:28" x14ac:dyDescent="0.25">
      <c r="A5303" t="s">
        <v>5307</v>
      </c>
      <c r="B5303">
        <v>0.99999676499088797</v>
      </c>
      <c r="C5303">
        <v>0.90028780426591204</v>
      </c>
      <c r="D5303">
        <v>0.84497688119109904</v>
      </c>
      <c r="E5303">
        <v>0.65573302014746304</v>
      </c>
      <c r="F5303">
        <v>0.31565955376606902</v>
      </c>
      <c r="G5303">
        <v>0.209293319768558</v>
      </c>
      <c r="H5303">
        <v>0.10612761462115</v>
      </c>
      <c r="I5303">
        <v>0.11559066014191099</v>
      </c>
      <c r="J5303">
        <v>9.6003091641121294E-2</v>
      </c>
      <c r="K5303">
        <v>9.3516387509500198E-2</v>
      </c>
      <c r="L5303">
        <v>862.76944030091795</v>
      </c>
      <c r="M5303">
        <v>17.080016482426899</v>
      </c>
      <c r="N5303">
        <v>51.025549252396402</v>
      </c>
      <c r="O5303">
        <v>49.836197680038403</v>
      </c>
      <c r="P5303">
        <v>-7.8936132326465902E-2</v>
      </c>
      <c r="Q5303">
        <v>7.8774223676954899E-2</v>
      </c>
      <c r="R5303">
        <v>0.99400168507895803</v>
      </c>
      <c r="S5303" t="s">
        <v>12306</v>
      </c>
      <c r="T5303" t="s">
        <v>14004</v>
      </c>
      <c r="U5303" t="s">
        <v>14004</v>
      </c>
      <c r="V5303" t="s">
        <v>14004</v>
      </c>
      <c r="W5303" t="s">
        <v>19252</v>
      </c>
      <c r="X5303">
        <v>6</v>
      </c>
      <c r="Y5303" t="s">
        <v>26056</v>
      </c>
      <c r="Z5303" t="s">
        <v>33013</v>
      </c>
      <c r="AA5303">
        <v>0.4188002925917268</v>
      </c>
      <c r="AB5303" t="str">
        <f>HYPERLINK("Melting_Curves/meltCurve_Q96EL3_MRPL53.pdf", "Melting_Curves/meltCurve_Q96EL3_MRPL53.pdf")</f>
        <v>Melting_Curves/meltCurve_Q96EL3_MRPL53.pdf</v>
      </c>
    </row>
    <row r="5304" spans="1:28" x14ac:dyDescent="0.25">
      <c r="A5304" t="s">
        <v>5308</v>
      </c>
      <c r="B5304">
        <v>0.99999676499088797</v>
      </c>
      <c r="C5304">
        <v>0.92136403241857801</v>
      </c>
      <c r="D5304">
        <v>0.961299739131659</v>
      </c>
      <c r="E5304">
        <v>0.89276404513117402</v>
      </c>
      <c r="F5304">
        <v>0.92287109481406504</v>
      </c>
      <c r="G5304">
        <v>0.68873999099921002</v>
      </c>
      <c r="H5304">
        <v>0.19241935043313099</v>
      </c>
      <c r="I5304">
        <v>0.12279353108695</v>
      </c>
      <c r="J5304">
        <v>0.106715157750651</v>
      </c>
      <c r="K5304">
        <v>6.5312478781491504E-2</v>
      </c>
      <c r="L5304">
        <v>1985.83510968317</v>
      </c>
      <c r="M5304">
        <v>34.385425409388397</v>
      </c>
      <c r="N5304">
        <v>58.042157078742697</v>
      </c>
      <c r="O5304">
        <v>57.557953876243602</v>
      </c>
      <c r="P5304">
        <v>-0.13756761915258001</v>
      </c>
      <c r="Q5304">
        <v>7.8902785854646496E-2</v>
      </c>
      <c r="R5304">
        <v>0.985890231470408</v>
      </c>
      <c r="S5304" t="s">
        <v>12307</v>
      </c>
      <c r="T5304" t="s">
        <v>14004</v>
      </c>
      <c r="U5304" t="s">
        <v>14004</v>
      </c>
      <c r="V5304" t="s">
        <v>14004</v>
      </c>
      <c r="W5304" t="s">
        <v>19253</v>
      </c>
      <c r="X5304">
        <v>5</v>
      </c>
      <c r="Y5304" t="s">
        <v>26057</v>
      </c>
      <c r="Z5304" t="s">
        <v>33014</v>
      </c>
      <c r="AA5304">
        <v>0.62874780200549618</v>
      </c>
      <c r="AB5304" t="str">
        <f>HYPERLINK("Melting_Curves/meltCurve_Q96EM0_L3HYPDH.pdf", "Melting_Curves/meltCurve_Q96EM0_L3HYPDH.pdf")</f>
        <v>Melting_Curves/meltCurve_Q96EM0_L3HYPDH.pdf</v>
      </c>
    </row>
    <row r="5305" spans="1:28" x14ac:dyDescent="0.25">
      <c r="A5305" t="s">
        <v>5309</v>
      </c>
      <c r="B5305">
        <v>0.99999676499088797</v>
      </c>
      <c r="C5305">
        <v>1.08702632215807</v>
      </c>
      <c r="D5305">
        <v>0.82005162918262997</v>
      </c>
      <c r="E5305">
        <v>0.28783706832492501</v>
      </c>
      <c r="F5305">
        <v>0.24257370443462301</v>
      </c>
      <c r="G5305">
        <v>0.18248621798742301</v>
      </c>
      <c r="H5305">
        <v>9.4447625314029102E-2</v>
      </c>
      <c r="I5305">
        <v>0.13412962562566999</v>
      </c>
      <c r="J5305">
        <v>8.1741005883226303E-2</v>
      </c>
      <c r="K5305">
        <v>7.0683569462407003E-2</v>
      </c>
      <c r="L5305">
        <v>1751.0827742671299</v>
      </c>
      <c r="M5305">
        <v>36.673035547561703</v>
      </c>
      <c r="N5305">
        <v>48.136463851621102</v>
      </c>
      <c r="O5305">
        <v>47.607208772979902</v>
      </c>
      <c r="P5305">
        <v>-0.167942154578162</v>
      </c>
      <c r="Q5305">
        <v>0.12794436838929699</v>
      </c>
      <c r="R5305">
        <v>0.98040808932270396</v>
      </c>
      <c r="S5305" t="s">
        <v>12308</v>
      </c>
      <c r="T5305" t="s">
        <v>14004</v>
      </c>
      <c r="U5305" t="s">
        <v>14004</v>
      </c>
      <c r="V5305" t="s">
        <v>14004</v>
      </c>
      <c r="W5305" t="s">
        <v>19254</v>
      </c>
      <c r="X5305">
        <v>3</v>
      </c>
      <c r="Y5305" t="s">
        <v>26058</v>
      </c>
      <c r="Z5305" t="s">
        <v>33015</v>
      </c>
      <c r="AA5305">
        <v>0.35663313120441342</v>
      </c>
      <c r="AB5305" t="str">
        <f>HYPERLINK("Melting_Curves/meltCurve_Q96EP0_RNF31.pdf", "Melting_Curves/meltCurve_Q96EP0_RNF31.pdf")</f>
        <v>Melting_Curves/meltCurve_Q96EP0_RNF31.pdf</v>
      </c>
    </row>
    <row r="5306" spans="1:28" x14ac:dyDescent="0.25">
      <c r="A5306" t="s">
        <v>5310</v>
      </c>
      <c r="B5306">
        <v>0.99999676499088797</v>
      </c>
      <c r="C5306">
        <v>1.00977412654715</v>
      </c>
      <c r="D5306">
        <v>0.92436863569848604</v>
      </c>
      <c r="E5306">
        <v>0.763651209088542</v>
      </c>
      <c r="F5306">
        <v>0.48931994911395799</v>
      </c>
      <c r="G5306">
        <v>0.33450159215502201</v>
      </c>
      <c r="H5306">
        <v>0.13101960395828699</v>
      </c>
      <c r="I5306">
        <v>0.113006313353366</v>
      </c>
      <c r="J5306">
        <v>0.102492334815976</v>
      </c>
      <c r="K5306">
        <v>9.2590861734131197E-2</v>
      </c>
      <c r="L5306">
        <v>874.36263937356205</v>
      </c>
      <c r="M5306">
        <v>16.5461416898994</v>
      </c>
      <c r="N5306">
        <v>53.3235377124781</v>
      </c>
      <c r="O5306">
        <v>52.090109395248</v>
      </c>
      <c r="P5306">
        <v>-7.3925550360348202E-2</v>
      </c>
      <c r="Q5306">
        <v>6.9142429333990896E-2</v>
      </c>
      <c r="R5306">
        <v>0.99691293547107496</v>
      </c>
      <c r="S5306" t="s">
        <v>12309</v>
      </c>
      <c r="T5306" t="s">
        <v>14004</v>
      </c>
      <c r="U5306" t="s">
        <v>14004</v>
      </c>
      <c r="V5306" t="s">
        <v>14004</v>
      </c>
      <c r="W5306" t="s">
        <v>19255</v>
      </c>
      <c r="X5306">
        <v>12</v>
      </c>
      <c r="Y5306" t="s">
        <v>26059</v>
      </c>
      <c r="Z5306" t="s">
        <v>33016</v>
      </c>
      <c r="AA5306">
        <v>0.48512199614335499</v>
      </c>
      <c r="AB5306" t="str">
        <f>HYPERLINK("Melting_Curves/meltCurve_Q96EP5_DAZAP1.pdf", "Melting_Curves/meltCurve_Q96EP5_DAZAP1.pdf")</f>
        <v>Melting_Curves/meltCurve_Q96EP5_DAZAP1.pdf</v>
      </c>
    </row>
    <row r="5307" spans="1:28" x14ac:dyDescent="0.25">
      <c r="A5307" t="s">
        <v>5311</v>
      </c>
      <c r="B5307">
        <v>0.99999676499088797</v>
      </c>
      <c r="C5307">
        <v>0.99791279620038098</v>
      </c>
      <c r="D5307">
        <v>1.05506631565443</v>
      </c>
      <c r="E5307">
        <v>0.752356701408886</v>
      </c>
      <c r="F5307">
        <v>0.51938749495426995</v>
      </c>
      <c r="G5307">
        <v>0.222871650153177</v>
      </c>
      <c r="H5307">
        <v>0.11357670642097401</v>
      </c>
      <c r="I5307">
        <v>0.12742198031170399</v>
      </c>
      <c r="J5307">
        <v>0.10572846312472101</v>
      </c>
      <c r="K5307">
        <v>9.7364360280630294E-2</v>
      </c>
      <c r="L5307">
        <v>1183.3865904653501</v>
      </c>
      <c r="M5307">
        <v>22.524391858101801</v>
      </c>
      <c r="N5307">
        <v>53.032441218309003</v>
      </c>
      <c r="O5307">
        <v>52.129149310543603</v>
      </c>
      <c r="P5307">
        <v>-9.7793485650905898E-2</v>
      </c>
      <c r="Q5307">
        <v>9.4708067901238605E-2</v>
      </c>
      <c r="R5307">
        <v>0.99108572715019205</v>
      </c>
      <c r="S5307" t="s">
        <v>12310</v>
      </c>
      <c r="T5307" t="s">
        <v>14004</v>
      </c>
      <c r="U5307" t="s">
        <v>14004</v>
      </c>
      <c r="V5307" t="s">
        <v>14004</v>
      </c>
      <c r="W5307" t="s">
        <v>19256</v>
      </c>
      <c r="X5307">
        <v>2</v>
      </c>
      <c r="Y5307" t="s">
        <v>26060</v>
      </c>
      <c r="Z5307" t="s">
        <v>33017</v>
      </c>
      <c r="AA5307">
        <v>0.48315376647328129</v>
      </c>
      <c r="AB5307" t="str">
        <f>HYPERLINK("Melting_Curves/meltCurve_Q96EQ0_SGTB.pdf", "Melting_Curves/meltCurve_Q96EQ0_SGTB.pdf")</f>
        <v>Melting_Curves/meltCurve_Q96EQ0_SGTB.pdf</v>
      </c>
    </row>
    <row r="5308" spans="1:28" x14ac:dyDescent="0.25">
      <c r="A5308" t="s">
        <v>5312</v>
      </c>
      <c r="B5308">
        <v>0.99999676499088797</v>
      </c>
      <c r="C5308">
        <v>0.94082820315015403</v>
      </c>
      <c r="D5308">
        <v>0.81701475911875099</v>
      </c>
      <c r="E5308">
        <v>0.62926630462036404</v>
      </c>
      <c r="F5308">
        <v>0.27765427265493398</v>
      </c>
      <c r="G5308">
        <v>0.15789934829517099</v>
      </c>
      <c r="H5308">
        <v>7.3113931486843406E-2</v>
      </c>
      <c r="I5308">
        <v>6.0067799324213501E-2</v>
      </c>
      <c r="J5308">
        <v>6.1731352760559903E-2</v>
      </c>
      <c r="K5308">
        <v>6.07144886800767E-2</v>
      </c>
      <c r="L5308">
        <v>896.20603628452295</v>
      </c>
      <c r="M5308">
        <v>17.803790017029499</v>
      </c>
      <c r="N5308">
        <v>50.590446626285299</v>
      </c>
      <c r="O5308">
        <v>49.715761365338103</v>
      </c>
      <c r="P5308">
        <v>-8.57260654472351E-2</v>
      </c>
      <c r="Q5308">
        <v>4.2514841702031701E-2</v>
      </c>
      <c r="R5308">
        <v>0.99660312530233397</v>
      </c>
      <c r="S5308" t="s">
        <v>12311</v>
      </c>
      <c r="T5308" t="s">
        <v>14004</v>
      </c>
      <c r="U5308" t="s">
        <v>14004</v>
      </c>
      <c r="V5308" t="s">
        <v>14004</v>
      </c>
      <c r="W5308" t="s">
        <v>19257</v>
      </c>
      <c r="X5308">
        <v>9</v>
      </c>
      <c r="Y5308" t="s">
        <v>26061</v>
      </c>
      <c r="Z5308" t="s">
        <v>33018</v>
      </c>
      <c r="AA5308">
        <v>0.38905692805474767</v>
      </c>
      <c r="AB5308" t="str">
        <f>HYPERLINK("Melting_Curves/meltCurve_Q96ER3_SAAL1.pdf", "Melting_Curves/meltCurve_Q96ER3_SAAL1.pdf")</f>
        <v>Melting_Curves/meltCurve_Q96ER3_SAAL1.pdf</v>
      </c>
    </row>
    <row r="5309" spans="1:28" x14ac:dyDescent="0.25">
      <c r="A5309" t="s">
        <v>5313</v>
      </c>
      <c r="B5309">
        <v>0.99999676499088797</v>
      </c>
      <c r="C5309">
        <v>0.97257411267494998</v>
      </c>
      <c r="D5309">
        <v>1.0525229609761899</v>
      </c>
      <c r="E5309">
        <v>0.99299445849513401</v>
      </c>
      <c r="F5309">
        <v>0.81909584889386</v>
      </c>
      <c r="G5309">
        <v>0.23534450127668899</v>
      </c>
      <c r="H5309">
        <v>0.117456056504134</v>
      </c>
      <c r="I5309">
        <v>0.11646177166755201</v>
      </c>
      <c r="J5309">
        <v>9.1902149418392906E-2</v>
      </c>
      <c r="K5309">
        <v>9.1857502988653306E-2</v>
      </c>
      <c r="L5309">
        <v>2610.8022920188901</v>
      </c>
      <c r="M5309">
        <v>47.701007115766799</v>
      </c>
      <c r="N5309">
        <v>54.9956755435757</v>
      </c>
      <c r="O5309">
        <v>54.636713038154603</v>
      </c>
      <c r="P5309">
        <v>-0.19600151436589</v>
      </c>
      <c r="Q5309">
        <v>0.102000784206962</v>
      </c>
      <c r="R5309">
        <v>0.99778559749303297</v>
      </c>
      <c r="S5309" t="s">
        <v>12312</v>
      </c>
      <c r="T5309" t="s">
        <v>14004</v>
      </c>
      <c r="U5309" t="s">
        <v>14004</v>
      </c>
      <c r="V5309" t="s">
        <v>14004</v>
      </c>
      <c r="W5309" t="s">
        <v>19258</v>
      </c>
      <c r="X5309">
        <v>16</v>
      </c>
      <c r="Y5309" t="s">
        <v>26062</v>
      </c>
      <c r="Z5309" t="s">
        <v>33019</v>
      </c>
      <c r="AA5309">
        <v>0.54537913862123233</v>
      </c>
      <c r="AB5309" t="str">
        <f>HYPERLINK("Melting_Curves/meltCurve_Q96ER9_CCDC51.pdf", "Melting_Curves/meltCurve_Q96ER9_CCDC51.pdf")</f>
        <v>Melting_Curves/meltCurve_Q96ER9_CCDC51.pdf</v>
      </c>
    </row>
    <row r="5310" spans="1:28" x14ac:dyDescent="0.25">
      <c r="A5310" t="s">
        <v>5314</v>
      </c>
      <c r="B5310">
        <v>0.99999676499088797</v>
      </c>
      <c r="C5310">
        <v>0.97086752634638096</v>
      </c>
      <c r="D5310">
        <v>0.89501939943884201</v>
      </c>
      <c r="E5310">
        <v>0.78395143214344898</v>
      </c>
      <c r="F5310">
        <v>0.45456176156772399</v>
      </c>
      <c r="G5310">
        <v>0.23199489971117301</v>
      </c>
      <c r="H5310">
        <v>0.10975653809588801</v>
      </c>
      <c r="I5310">
        <v>9.3995771180298199E-2</v>
      </c>
      <c r="J5310">
        <v>9.6785312679087299E-2</v>
      </c>
      <c r="K5310">
        <v>7.5758469234707596E-2</v>
      </c>
      <c r="L5310">
        <v>1005.85218319002</v>
      </c>
      <c r="M5310">
        <v>19.231743091866999</v>
      </c>
      <c r="N5310">
        <v>52.698788558029101</v>
      </c>
      <c r="O5310">
        <v>51.746040763227001</v>
      </c>
      <c r="P5310">
        <v>-8.6649764187509595E-2</v>
      </c>
      <c r="Q5310">
        <v>6.7456408468095003E-2</v>
      </c>
      <c r="R5310">
        <v>0.99768642850765299</v>
      </c>
      <c r="S5310" t="s">
        <v>12313</v>
      </c>
      <c r="T5310" t="s">
        <v>14004</v>
      </c>
      <c r="U5310" t="s">
        <v>14004</v>
      </c>
      <c r="V5310" t="s">
        <v>14004</v>
      </c>
      <c r="W5310" t="s">
        <v>19259</v>
      </c>
      <c r="X5310">
        <v>9</v>
      </c>
      <c r="Y5310" t="s">
        <v>26063</v>
      </c>
      <c r="Z5310" t="s">
        <v>33020</v>
      </c>
      <c r="AA5310">
        <v>0.4636529586202599</v>
      </c>
      <c r="AB5310" t="str">
        <f>HYPERLINK("Melting_Curves/meltCurve_Q96ES7_CCDC101.pdf", "Melting_Curves/meltCurve_Q96ES7_CCDC101.pdf")</f>
        <v>Melting_Curves/meltCurve_Q96ES7_CCDC101.pdf</v>
      </c>
    </row>
    <row r="5311" spans="1:28" x14ac:dyDescent="0.25">
      <c r="A5311" t="s">
        <v>5315</v>
      </c>
      <c r="B5311">
        <v>0.99999676499088797</v>
      </c>
      <c r="C5311">
        <v>1.0749340865652901</v>
      </c>
      <c r="D5311">
        <v>1.41920396403924</v>
      </c>
      <c r="E5311">
        <v>1.4701981288232899</v>
      </c>
      <c r="F5311">
        <v>1.05187711717293</v>
      </c>
      <c r="G5311">
        <v>1.0510519259545601</v>
      </c>
      <c r="H5311">
        <v>0.58672199360418198</v>
      </c>
      <c r="I5311">
        <v>0.67982490046872601</v>
      </c>
      <c r="J5311">
        <v>0.56957953799691496</v>
      </c>
      <c r="K5311">
        <v>0.67160587783439796</v>
      </c>
      <c r="L5311">
        <v>6328.8696371953401</v>
      </c>
      <c r="M5311">
        <v>107.66202673116899</v>
      </c>
      <c r="O5311">
        <v>58.764330005205899</v>
      </c>
      <c r="P5311">
        <v>-0.17087763369612</v>
      </c>
      <c r="Q5311">
        <v>0.62692475571247597</v>
      </c>
      <c r="R5311">
        <v>0.56145125766669901</v>
      </c>
      <c r="S5311" t="s">
        <v>12314</v>
      </c>
      <c r="T5311" t="s">
        <v>14004</v>
      </c>
      <c r="U5311" t="s">
        <v>14004</v>
      </c>
      <c r="V5311" t="s">
        <v>14004</v>
      </c>
      <c r="W5311" t="s">
        <v>19260</v>
      </c>
      <c r="X5311">
        <v>2</v>
      </c>
      <c r="Y5311" t="s">
        <v>26064</v>
      </c>
      <c r="Z5311" t="s">
        <v>33021</v>
      </c>
      <c r="AA5311">
        <v>0.86073485201240052</v>
      </c>
      <c r="AB5311" t="str">
        <f>HYPERLINK("Melting_Curves/meltCurve_Q96EU6_2_RRP36.pdf", "Melting_Curves/meltCurve_Q96EU6_2_RRP36.pdf")</f>
        <v>Melting_Curves/meltCurve_Q96EU6_2_RRP36.pdf</v>
      </c>
    </row>
    <row r="5312" spans="1:28" x14ac:dyDescent="0.25">
      <c r="A5312" t="s">
        <v>5316</v>
      </c>
      <c r="B5312">
        <v>0.99999676499088797</v>
      </c>
      <c r="C5312">
        <v>0.89642068306358402</v>
      </c>
      <c r="D5312">
        <v>0.71086032381398001</v>
      </c>
      <c r="E5312">
        <v>0.46487430543068597</v>
      </c>
      <c r="F5312">
        <v>0.26676997540222103</v>
      </c>
      <c r="G5312">
        <v>0.19360410368502001</v>
      </c>
      <c r="H5312">
        <v>0.13246703315021499</v>
      </c>
      <c r="I5312">
        <v>0.14855145486805599</v>
      </c>
      <c r="J5312">
        <v>0.162023727033444</v>
      </c>
      <c r="K5312">
        <v>0.17657368222563299</v>
      </c>
      <c r="L5312">
        <v>849.395839041361</v>
      </c>
      <c r="M5312">
        <v>17.731529447249098</v>
      </c>
      <c r="N5312">
        <v>48.854871140262503</v>
      </c>
      <c r="O5312">
        <v>47.306308049874801</v>
      </c>
      <c r="P5312">
        <v>-8.0025235427583705E-2</v>
      </c>
      <c r="Q5312">
        <v>0.14604088416695399</v>
      </c>
      <c r="R5312">
        <v>0.996859015546252</v>
      </c>
      <c r="S5312" t="s">
        <v>12315</v>
      </c>
      <c r="T5312" t="s">
        <v>14004</v>
      </c>
      <c r="U5312" t="s">
        <v>14004</v>
      </c>
      <c r="V5312" t="s">
        <v>14004</v>
      </c>
      <c r="W5312" t="s">
        <v>19261</v>
      </c>
      <c r="X5312">
        <v>15</v>
      </c>
      <c r="Y5312" t="s">
        <v>26065</v>
      </c>
      <c r="Z5312" t="s">
        <v>33022</v>
      </c>
      <c r="AA5312">
        <v>0.38668896187627327</v>
      </c>
      <c r="AB5312" t="str">
        <f>HYPERLINK("Melting_Curves/meltCurve_Q96EV2_RBM33.pdf", "Melting_Curves/meltCurve_Q96EV2_RBM33.pdf")</f>
        <v>Melting_Curves/meltCurve_Q96EV2_RBM33.pdf</v>
      </c>
    </row>
    <row r="5313" spans="1:28" x14ac:dyDescent="0.25">
      <c r="A5313" t="s">
        <v>5317</v>
      </c>
      <c r="B5313">
        <v>0.99999676499088797</v>
      </c>
      <c r="C5313">
        <v>0.93052062825844495</v>
      </c>
      <c r="D5313">
        <v>0.84222065446645999</v>
      </c>
      <c r="E5313">
        <v>0.76361663529819201</v>
      </c>
      <c r="F5313">
        <v>0.68035339235926695</v>
      </c>
      <c r="G5313">
        <v>0.38517145189901802</v>
      </c>
      <c r="H5313">
        <v>0.14789770341994901</v>
      </c>
      <c r="I5313">
        <v>0.12564229240345601</v>
      </c>
      <c r="J5313">
        <v>0.12733113470883101</v>
      </c>
      <c r="K5313">
        <v>0.121524733293033</v>
      </c>
      <c r="L5313">
        <v>687.21127980245603</v>
      </c>
      <c r="M5313">
        <v>12.6128524652894</v>
      </c>
      <c r="N5313">
        <v>54.681944956828801</v>
      </c>
      <c r="O5313">
        <v>53.169808353469598</v>
      </c>
      <c r="P5313">
        <v>-5.7999229962807701E-2</v>
      </c>
      <c r="Q5313">
        <v>2.22052338267585E-2</v>
      </c>
      <c r="R5313">
        <v>0.97878120262449897</v>
      </c>
      <c r="S5313" t="s">
        <v>12316</v>
      </c>
      <c r="T5313" t="s">
        <v>14004</v>
      </c>
      <c r="U5313" t="s">
        <v>14004</v>
      </c>
      <c r="V5313" t="s">
        <v>14004</v>
      </c>
      <c r="W5313" t="s">
        <v>19262</v>
      </c>
      <c r="X5313">
        <v>5</v>
      </c>
      <c r="Y5313" t="s">
        <v>26066</v>
      </c>
      <c r="Z5313" t="s">
        <v>33023</v>
      </c>
      <c r="AA5313">
        <v>0.51762083448684437</v>
      </c>
      <c r="AB5313" t="str">
        <f>HYPERLINK("Melting_Curves/meltCurve_Q96EV8_2_DTNBP1.pdf", "Melting_Curves/meltCurve_Q96EV8_2_DTNBP1.pdf")</f>
        <v>Melting_Curves/meltCurve_Q96EV8_2_DTNBP1.pdf</v>
      </c>
    </row>
    <row r="5314" spans="1:28" x14ac:dyDescent="0.25">
      <c r="A5314" t="s">
        <v>5318</v>
      </c>
      <c r="B5314">
        <v>0.99999676499088797</v>
      </c>
      <c r="C5314">
        <v>0.95782902242684198</v>
      </c>
      <c r="D5314">
        <v>1.01118781181493</v>
      </c>
      <c r="E5314">
        <v>0.91972387361345997</v>
      </c>
      <c r="F5314">
        <v>1.0453029477540501</v>
      </c>
      <c r="G5314">
        <v>0.32058594667378598</v>
      </c>
      <c r="H5314">
        <v>0.199612630471041</v>
      </c>
      <c r="I5314">
        <v>0.186773027726789</v>
      </c>
      <c r="J5314">
        <v>0.15887282974896799</v>
      </c>
      <c r="K5314">
        <v>0.118070895308677</v>
      </c>
      <c r="L5314">
        <v>14115.9703145445</v>
      </c>
      <c r="M5314">
        <v>250</v>
      </c>
      <c r="N5314">
        <v>56.555040669408399</v>
      </c>
      <c r="O5314">
        <v>56.460267970049102</v>
      </c>
      <c r="P5314">
        <v>-0.92340120522531499</v>
      </c>
      <c r="Q5314">
        <v>0.16583232950406801</v>
      </c>
      <c r="R5314">
        <v>0.99101702806798397</v>
      </c>
      <c r="S5314" t="s">
        <v>12317</v>
      </c>
      <c r="T5314" t="s">
        <v>14004</v>
      </c>
      <c r="U5314" t="s">
        <v>14004</v>
      </c>
      <c r="V5314" t="s">
        <v>14004</v>
      </c>
      <c r="W5314" t="s">
        <v>19263</v>
      </c>
      <c r="X5314">
        <v>3</v>
      </c>
      <c r="Y5314" t="s">
        <v>26067</v>
      </c>
      <c r="Z5314" t="s">
        <v>33024</v>
      </c>
      <c r="AA5314">
        <v>0.6237029057571335</v>
      </c>
      <c r="AB5314" t="str">
        <f>HYPERLINK("Melting_Curves/meltCurve_Q96EW2_HSPBAP1.pdf", "Melting_Curves/meltCurve_Q96EW2_HSPBAP1.pdf")</f>
        <v>Melting_Curves/meltCurve_Q96EW2_HSPBAP1.pdf</v>
      </c>
    </row>
    <row r="5315" spans="1:28" x14ac:dyDescent="0.25">
      <c r="A5315" t="s">
        <v>5319</v>
      </c>
      <c r="B5315">
        <v>0.99999676499088797</v>
      </c>
      <c r="C5315">
        <v>0.75948469250586403</v>
      </c>
      <c r="D5315">
        <v>0.92608858139279904</v>
      </c>
      <c r="E5315">
        <v>0.92680422077103597</v>
      </c>
      <c r="F5315">
        <v>0.66741617405518505</v>
      </c>
      <c r="G5315">
        <v>0.54982597844857795</v>
      </c>
      <c r="H5315">
        <v>0.41189410793519299</v>
      </c>
      <c r="I5315">
        <v>0.51810635370658698</v>
      </c>
      <c r="J5315">
        <v>0.44609204690415499</v>
      </c>
      <c r="K5315">
        <v>0.48098655847063498</v>
      </c>
      <c r="L5315">
        <v>1142.3027031311599</v>
      </c>
      <c r="M5315">
        <v>21.802371047356001</v>
      </c>
      <c r="N5315">
        <v>58.946541983016701</v>
      </c>
      <c r="O5315">
        <v>51.958703493158502</v>
      </c>
      <c r="P5315">
        <v>-5.70991099231202E-2</v>
      </c>
      <c r="Q5315">
        <v>0.45570560561010898</v>
      </c>
      <c r="R5315">
        <v>0.84200547672012305</v>
      </c>
      <c r="S5315" t="s">
        <v>12318</v>
      </c>
      <c r="T5315" t="s">
        <v>14004</v>
      </c>
      <c r="U5315" t="s">
        <v>14004</v>
      </c>
      <c r="V5315" t="s">
        <v>14004</v>
      </c>
      <c r="W5315" t="s">
        <v>19264</v>
      </c>
      <c r="X5315">
        <v>4</v>
      </c>
      <c r="Y5315" t="s">
        <v>26068</v>
      </c>
      <c r="Z5315" t="s">
        <v>33025</v>
      </c>
      <c r="AA5315">
        <v>0.68700309742118859</v>
      </c>
      <c r="AB5315" t="str">
        <f>HYPERLINK("Melting_Curves/meltCurve_Q96EX1_SMIM12.pdf", "Melting_Curves/meltCurve_Q96EX1_SMIM12.pdf")</f>
        <v>Melting_Curves/meltCurve_Q96EX1_SMIM12.pdf</v>
      </c>
    </row>
    <row r="5316" spans="1:28" x14ac:dyDescent="0.25">
      <c r="A5316" t="s">
        <v>5320</v>
      </c>
      <c r="B5316">
        <v>0.99999676499088797</v>
      </c>
      <c r="C5316">
        <v>0.92322403564460798</v>
      </c>
      <c r="D5316">
        <v>0.92804837883687497</v>
      </c>
      <c r="E5316">
        <v>1.0647483147599901</v>
      </c>
      <c r="F5316">
        <v>0.81011016060556795</v>
      </c>
      <c r="G5316">
        <v>0.354912778337649</v>
      </c>
      <c r="H5316">
        <v>0.12670673589840301</v>
      </c>
      <c r="I5316">
        <v>9.11457186190619E-2</v>
      </c>
      <c r="J5316">
        <v>8.8761627734252696E-2</v>
      </c>
      <c r="K5316">
        <v>7.0185246322154393E-2</v>
      </c>
      <c r="L5316">
        <v>1951.5934018845501</v>
      </c>
      <c r="M5316">
        <v>35.2402985401067</v>
      </c>
      <c r="N5316">
        <v>55.663682435286603</v>
      </c>
      <c r="O5316">
        <v>55.202171322010003</v>
      </c>
      <c r="P5316">
        <v>-0.146461650646737</v>
      </c>
      <c r="Q5316">
        <v>8.2303643171306201E-2</v>
      </c>
      <c r="R5316">
        <v>0.98947908154206199</v>
      </c>
      <c r="S5316" t="s">
        <v>12319</v>
      </c>
      <c r="T5316" t="s">
        <v>14004</v>
      </c>
      <c r="U5316" t="s">
        <v>14004</v>
      </c>
      <c r="V5316" t="s">
        <v>14004</v>
      </c>
      <c r="W5316" t="s">
        <v>19265</v>
      </c>
      <c r="X5316">
        <v>5</v>
      </c>
      <c r="Y5316" t="s">
        <v>26069</v>
      </c>
      <c r="Z5316" t="s">
        <v>33026</v>
      </c>
      <c r="AA5316">
        <v>0.55724977203019088</v>
      </c>
      <c r="AB5316" t="str">
        <f>HYPERLINK("Melting_Curves/meltCurve_Q96EX3_WDR34.pdf", "Melting_Curves/meltCurve_Q96EX3_WDR34.pdf")</f>
        <v>Melting_Curves/meltCurve_Q96EX3_WDR34.pdf</v>
      </c>
    </row>
    <row r="5317" spans="1:28" x14ac:dyDescent="0.25">
      <c r="A5317" t="s">
        <v>5321</v>
      </c>
      <c r="B5317">
        <v>0.99999676499088797</v>
      </c>
      <c r="C5317">
        <v>1.0790417030286401</v>
      </c>
      <c r="D5317">
        <v>1.0270040314642801</v>
      </c>
      <c r="E5317">
        <v>0.907196353001818</v>
      </c>
      <c r="F5317">
        <v>0.57409075246987396</v>
      </c>
      <c r="G5317">
        <v>0.38728415543684502</v>
      </c>
      <c r="H5317">
        <v>0.15575866198359001</v>
      </c>
      <c r="I5317">
        <v>0.11366616555400499</v>
      </c>
      <c r="J5317">
        <v>7.5676953156808793E-2</v>
      </c>
      <c r="K5317">
        <v>8.0533217692429507E-2</v>
      </c>
      <c r="L5317">
        <v>1102.36071270605</v>
      </c>
      <c r="M5317">
        <v>20.3047605665353</v>
      </c>
      <c r="N5317">
        <v>54.6955198069532</v>
      </c>
      <c r="O5317">
        <v>53.772381737398803</v>
      </c>
      <c r="P5317">
        <v>-8.7818880692737106E-2</v>
      </c>
      <c r="Q5317">
        <v>6.9757951621163494E-2</v>
      </c>
      <c r="R5317">
        <v>0.99040239535515795</v>
      </c>
      <c r="S5317" t="s">
        <v>12320</v>
      </c>
      <c r="T5317" t="s">
        <v>14004</v>
      </c>
      <c r="U5317" t="s">
        <v>14004</v>
      </c>
      <c r="V5317" t="s">
        <v>14004</v>
      </c>
      <c r="W5317" t="s">
        <v>19266</v>
      </c>
      <c r="X5317">
        <v>8</v>
      </c>
      <c r="Y5317" t="s">
        <v>26070</v>
      </c>
      <c r="Z5317" t="s">
        <v>33027</v>
      </c>
      <c r="AA5317">
        <v>0.52516896065314433</v>
      </c>
      <c r="AB5317" t="str">
        <f>HYPERLINK("Melting_Curves/meltCurve_Q96EY1_DNAJA3.pdf", "Melting_Curves/meltCurve_Q96EY1_DNAJA3.pdf")</f>
        <v>Melting_Curves/meltCurve_Q96EY1_DNAJA3.pdf</v>
      </c>
    </row>
    <row r="5318" spans="1:28" x14ac:dyDescent="0.25">
      <c r="A5318" t="s">
        <v>5322</v>
      </c>
      <c r="B5318">
        <v>0.99999676499088797</v>
      </c>
      <c r="C5318">
        <v>0.95800324818989602</v>
      </c>
      <c r="D5318">
        <v>0.70944826878248302</v>
      </c>
      <c r="E5318">
        <v>0.30188271788416299</v>
      </c>
      <c r="F5318">
        <v>0.11925705666344499</v>
      </c>
      <c r="G5318">
        <v>8.9966355841474305E-2</v>
      </c>
      <c r="H5318">
        <v>4.0228797969496098E-2</v>
      </c>
      <c r="I5318">
        <v>4.39538263029179E-2</v>
      </c>
      <c r="J5318">
        <v>4.5637963252224301E-2</v>
      </c>
      <c r="K5318">
        <v>4.3767192502426999E-2</v>
      </c>
      <c r="L5318">
        <v>1178.6794863858399</v>
      </c>
      <c r="M5318">
        <v>24.766931084683101</v>
      </c>
      <c r="N5318">
        <v>47.7875454662557</v>
      </c>
      <c r="O5318">
        <v>47.283833609141801</v>
      </c>
      <c r="P5318">
        <v>-0.12460421414412499</v>
      </c>
      <c r="Q5318">
        <v>4.8459506264405601E-2</v>
      </c>
      <c r="R5318">
        <v>0.99908004678565099</v>
      </c>
      <c r="S5318" t="s">
        <v>12321</v>
      </c>
      <c r="T5318" t="s">
        <v>14004</v>
      </c>
      <c r="U5318" t="s">
        <v>14004</v>
      </c>
      <c r="V5318" t="s">
        <v>14004</v>
      </c>
      <c r="W5318" t="s">
        <v>19267</v>
      </c>
      <c r="X5318">
        <v>6</v>
      </c>
      <c r="Y5318" t="s">
        <v>26071</v>
      </c>
      <c r="Z5318" t="s">
        <v>33028</v>
      </c>
      <c r="AA5318">
        <v>0.29782617347959289</v>
      </c>
      <c r="AB5318" t="str">
        <f>HYPERLINK("Melting_Curves/meltCurve_Q96EY5_MVB12A.pdf", "Melting_Curves/meltCurve_Q96EY5_MVB12A.pdf")</f>
        <v>Melting_Curves/meltCurve_Q96EY5_MVB12A.pdf</v>
      </c>
    </row>
    <row r="5319" spans="1:28" x14ac:dyDescent="0.25">
      <c r="A5319" t="s">
        <v>5323</v>
      </c>
      <c r="B5319">
        <v>0.99999676499088797</v>
      </c>
      <c r="C5319">
        <v>0.78986841448683898</v>
      </c>
      <c r="D5319">
        <v>0.57039076417092305</v>
      </c>
      <c r="E5319">
        <v>0.442013760818392</v>
      </c>
      <c r="F5319">
        <v>0.15922008790613401</v>
      </c>
      <c r="G5319">
        <v>0.12251920115606101</v>
      </c>
      <c r="H5319">
        <v>3.4059231034214203E-2</v>
      </c>
      <c r="I5319">
        <v>4.1007506440782299E-2</v>
      </c>
      <c r="J5319">
        <v>4.0539532301197397E-2</v>
      </c>
      <c r="K5319">
        <v>2.6218399204240801E-2</v>
      </c>
      <c r="L5319">
        <v>646.96381093567902</v>
      </c>
      <c r="M5319">
        <v>13.600798803737399</v>
      </c>
      <c r="N5319">
        <v>47.640568391442599</v>
      </c>
      <c r="O5319">
        <v>46.575075567257997</v>
      </c>
      <c r="P5319">
        <v>-7.2267756370947803E-2</v>
      </c>
      <c r="Q5319">
        <v>1.02412895769426E-2</v>
      </c>
      <c r="R5319">
        <v>0.98643099944733004</v>
      </c>
      <c r="S5319" t="s">
        <v>12322</v>
      </c>
      <c r="T5319" t="s">
        <v>14004</v>
      </c>
      <c r="U5319" t="s">
        <v>14004</v>
      </c>
      <c r="V5319" t="s">
        <v>14004</v>
      </c>
      <c r="W5319" t="s">
        <v>19268</v>
      </c>
      <c r="X5319">
        <v>8</v>
      </c>
      <c r="Y5319" t="s">
        <v>26072</v>
      </c>
      <c r="Z5319" t="s">
        <v>33029</v>
      </c>
      <c r="AA5319">
        <v>0.2915032214021942</v>
      </c>
      <c r="AB5319" t="str">
        <f>HYPERLINK("Melting_Curves/meltCurve_Q96EY7_PTCD3.pdf", "Melting_Curves/meltCurve_Q96EY7_PTCD3.pdf")</f>
        <v>Melting_Curves/meltCurve_Q96EY7_PTCD3.pdf</v>
      </c>
    </row>
    <row r="5320" spans="1:28" x14ac:dyDescent="0.25">
      <c r="A5320" t="s">
        <v>5324</v>
      </c>
      <c r="B5320">
        <v>0.99999676499088797</v>
      </c>
      <c r="C5320">
        <v>0.99838959419967599</v>
      </c>
      <c r="D5320">
        <v>0.99271217164824199</v>
      </c>
      <c r="E5320">
        <v>0.94157414596444</v>
      </c>
      <c r="F5320">
        <v>0.82786000421153305</v>
      </c>
      <c r="G5320">
        <v>0.647493090016524</v>
      </c>
      <c r="H5320">
        <v>0.327188118794973</v>
      </c>
      <c r="I5320">
        <v>0.27131624275509503</v>
      </c>
      <c r="J5320">
        <v>0.17578888364176801</v>
      </c>
      <c r="K5320">
        <v>0.133686250705258</v>
      </c>
      <c r="L5320">
        <v>1007.43592230185</v>
      </c>
      <c r="M5320">
        <v>17.425130142430699</v>
      </c>
      <c r="N5320">
        <v>58.566414810919497</v>
      </c>
      <c r="O5320">
        <v>57.069787678753499</v>
      </c>
      <c r="P5320">
        <v>-6.8691288910173606E-2</v>
      </c>
      <c r="Q5320">
        <v>0.100155364994001</v>
      </c>
      <c r="R5320">
        <v>0.99696023697977298</v>
      </c>
      <c r="S5320" t="s">
        <v>12323</v>
      </c>
      <c r="T5320" t="s">
        <v>14004</v>
      </c>
      <c r="U5320" t="s">
        <v>14004</v>
      </c>
      <c r="V5320" t="s">
        <v>14004</v>
      </c>
      <c r="W5320" t="s">
        <v>19269</v>
      </c>
      <c r="X5320">
        <v>9</v>
      </c>
      <c r="Y5320" t="s">
        <v>26073</v>
      </c>
      <c r="Z5320" t="s">
        <v>33030</v>
      </c>
      <c r="AA5320">
        <v>0.64616901367901414</v>
      </c>
      <c r="AB5320" t="str">
        <f>HYPERLINK("Melting_Curves/meltCurve_Q96EY8_MMAB.pdf", "Melting_Curves/meltCurve_Q96EY8_MMAB.pdf")</f>
        <v>Melting_Curves/meltCurve_Q96EY8_MMAB.pdf</v>
      </c>
    </row>
    <row r="5321" spans="1:28" x14ac:dyDescent="0.25">
      <c r="A5321" t="s">
        <v>5325</v>
      </c>
      <c r="B5321">
        <v>0.99999676499088797</v>
      </c>
      <c r="C5321">
        <v>1.2444326296474399</v>
      </c>
      <c r="D5321">
        <v>0.95461835026223796</v>
      </c>
      <c r="E5321">
        <v>0.79063162929628605</v>
      </c>
      <c r="F5321">
        <v>0.66824459656258395</v>
      </c>
      <c r="G5321">
        <v>0.44548466044232998</v>
      </c>
      <c r="H5321">
        <v>0.239236428932732</v>
      </c>
      <c r="I5321">
        <v>0.114175174875928</v>
      </c>
      <c r="J5321">
        <v>9.8821556309849207E-2</v>
      </c>
      <c r="K5321">
        <v>5.7472582999041601E-2</v>
      </c>
      <c r="L5321">
        <v>821.81099027756704</v>
      </c>
      <c r="M5321">
        <v>14.796211627076699</v>
      </c>
      <c r="N5321">
        <v>55.663801380794403</v>
      </c>
      <c r="O5321">
        <v>54.557033357555603</v>
      </c>
      <c r="P5321">
        <v>-6.6728544069068599E-2</v>
      </c>
      <c r="Q5321">
        <v>1.5930773321125601E-2</v>
      </c>
      <c r="R5321">
        <v>0.95698381706631297</v>
      </c>
      <c r="S5321" t="s">
        <v>12324</v>
      </c>
      <c r="T5321" t="s">
        <v>14004</v>
      </c>
      <c r="U5321" t="s">
        <v>14004</v>
      </c>
      <c r="V5321" t="s">
        <v>14004</v>
      </c>
      <c r="W5321" t="s">
        <v>19270</v>
      </c>
      <c r="X5321">
        <v>2</v>
      </c>
      <c r="Y5321" t="s">
        <v>26074</v>
      </c>
      <c r="Z5321" t="s">
        <v>33031</v>
      </c>
      <c r="AA5321">
        <v>0.54417509910951112</v>
      </c>
      <c r="AB5321" t="str">
        <f>HYPERLINK("Melting_Curves/meltCurve_Q96EY9_ADAT3.pdf", "Melting_Curves/meltCurve_Q96EY9_ADAT3.pdf")</f>
        <v>Melting_Curves/meltCurve_Q96EY9_ADAT3.pdf</v>
      </c>
    </row>
    <row r="5322" spans="1:28" x14ac:dyDescent="0.25">
      <c r="A5322" t="s">
        <v>5326</v>
      </c>
      <c r="B5322">
        <v>0.99999676499088797</v>
      </c>
      <c r="C5322">
        <v>1.0155413901094601</v>
      </c>
      <c r="D5322">
        <v>0.92305265903747702</v>
      </c>
      <c r="E5322">
        <v>0.47494331671198398</v>
      </c>
      <c r="F5322">
        <v>0.28995099345327402</v>
      </c>
      <c r="G5322">
        <v>0.18855707355145601</v>
      </c>
      <c r="H5322">
        <v>0.101251092117337</v>
      </c>
      <c r="I5322">
        <v>8.6236111137731802E-2</v>
      </c>
      <c r="J5322">
        <v>6.8709465497203401E-2</v>
      </c>
      <c r="K5322">
        <v>5.7819463977510199E-2</v>
      </c>
      <c r="L5322">
        <v>1133.2253440274999</v>
      </c>
      <c r="M5322">
        <v>22.860146302888602</v>
      </c>
      <c r="N5322">
        <v>49.997914144834198</v>
      </c>
      <c r="O5322">
        <v>49.197428834483297</v>
      </c>
      <c r="P5322">
        <v>-0.105891853812467</v>
      </c>
      <c r="Q5322">
        <v>8.8456045424633506E-2</v>
      </c>
      <c r="R5322">
        <v>0.989671376468786</v>
      </c>
      <c r="S5322" t="s">
        <v>12325</v>
      </c>
      <c r="T5322" t="s">
        <v>14004</v>
      </c>
      <c r="U5322" t="s">
        <v>14004</v>
      </c>
      <c r="V5322" t="s">
        <v>14004</v>
      </c>
      <c r="W5322" t="s">
        <v>19271</v>
      </c>
      <c r="X5322">
        <v>13</v>
      </c>
      <c r="Y5322" t="s">
        <v>26075</v>
      </c>
      <c r="Z5322" t="s">
        <v>33032</v>
      </c>
      <c r="AA5322">
        <v>0.38902874743888449</v>
      </c>
      <c r="AB5322" t="str">
        <f>HYPERLINK("Melting_Curves/meltCurve_Q96F15_GIMAP5.pdf", "Melting_Curves/meltCurve_Q96F15_GIMAP5.pdf")</f>
        <v>Melting_Curves/meltCurve_Q96F15_GIMAP5.pdf</v>
      </c>
    </row>
    <row r="5323" spans="1:28" x14ac:dyDescent="0.25">
      <c r="A5323" t="s">
        <v>5327</v>
      </c>
      <c r="B5323">
        <v>0.99999676499088797</v>
      </c>
      <c r="C5323">
        <v>0.98496706822097801</v>
      </c>
      <c r="D5323">
        <v>1.0206133727053801</v>
      </c>
      <c r="E5323">
        <v>0.85914279435207097</v>
      </c>
      <c r="F5323">
        <v>0.52996809864739003</v>
      </c>
      <c r="G5323">
        <v>0.31636150274730002</v>
      </c>
      <c r="H5323">
        <v>0.18993459444111799</v>
      </c>
      <c r="I5323">
        <v>0.19111446691227901</v>
      </c>
      <c r="J5323">
        <v>0.18116572155296301</v>
      </c>
      <c r="K5323">
        <v>0.191155412105455</v>
      </c>
      <c r="L5323">
        <v>1350.9407576378901</v>
      </c>
      <c r="M5323">
        <v>25.641539778942501</v>
      </c>
      <c r="N5323">
        <v>53.634615533023599</v>
      </c>
      <c r="O5323">
        <v>52.368340282911802</v>
      </c>
      <c r="P5323">
        <v>-0.100088250692597</v>
      </c>
      <c r="Q5323">
        <v>0.18235959889473</v>
      </c>
      <c r="R5323">
        <v>0.99779422819830299</v>
      </c>
      <c r="S5323" t="s">
        <v>12326</v>
      </c>
      <c r="T5323" t="s">
        <v>14004</v>
      </c>
      <c r="U5323" t="s">
        <v>14004</v>
      </c>
      <c r="V5323" t="s">
        <v>14004</v>
      </c>
      <c r="W5323" t="s">
        <v>19272</v>
      </c>
      <c r="X5323">
        <v>5</v>
      </c>
      <c r="Y5323" t="s">
        <v>26076</v>
      </c>
      <c r="Z5323" t="s">
        <v>33033</v>
      </c>
      <c r="AA5323">
        <v>0.53525980321192668</v>
      </c>
      <c r="AB5323" t="str">
        <f>HYPERLINK("Melting_Curves/meltCurve_Q96F24_2_NRBF2.pdf", "Melting_Curves/meltCurve_Q96F24_2_NRBF2.pdf")</f>
        <v>Melting_Curves/meltCurve_Q96F24_2_NRBF2.pdf</v>
      </c>
    </row>
    <row r="5324" spans="1:28" x14ac:dyDescent="0.25">
      <c r="A5324" t="s">
        <v>5328</v>
      </c>
      <c r="B5324">
        <v>0.99999676499088797</v>
      </c>
      <c r="C5324">
        <v>0.95147122333419298</v>
      </c>
      <c r="D5324">
        <v>0.82120265708803497</v>
      </c>
      <c r="E5324">
        <v>0.39662240657572301</v>
      </c>
      <c r="F5324">
        <v>0.26030343551804702</v>
      </c>
      <c r="G5324">
        <v>0.137547531334341</v>
      </c>
      <c r="H5324">
        <v>7.5604252997756596E-2</v>
      </c>
      <c r="I5324">
        <v>4.8894827436604602E-2</v>
      </c>
      <c r="J5324">
        <v>3.2806816183312E-2</v>
      </c>
      <c r="K5324">
        <v>4.6199739168843103E-2</v>
      </c>
      <c r="L5324">
        <v>958.83825326457304</v>
      </c>
      <c r="M5324">
        <v>19.6168293294844</v>
      </c>
      <c r="N5324">
        <v>49.152745336156499</v>
      </c>
      <c r="O5324">
        <v>48.378919852413503</v>
      </c>
      <c r="P5324">
        <v>-9.6116663466881205E-2</v>
      </c>
      <c r="Q5324">
        <v>5.1863791364468802E-2</v>
      </c>
      <c r="R5324">
        <v>0.99342349800027596</v>
      </c>
      <c r="S5324" t="s">
        <v>12327</v>
      </c>
      <c r="T5324" t="s">
        <v>14004</v>
      </c>
      <c r="U5324" t="s">
        <v>14004</v>
      </c>
      <c r="V5324" t="s">
        <v>14004</v>
      </c>
      <c r="W5324" t="s">
        <v>19273</v>
      </c>
      <c r="X5324">
        <v>2</v>
      </c>
      <c r="Y5324" t="s">
        <v>26077</v>
      </c>
      <c r="Z5324" t="s">
        <v>33034</v>
      </c>
      <c r="AA5324">
        <v>0.3462924833579446</v>
      </c>
      <c r="AB5324" t="str">
        <f>HYPERLINK("Melting_Curves/meltCurve_Q96F44_3_TRIM11.pdf", "Melting_Curves/meltCurve_Q96F44_3_TRIM11.pdf")</f>
        <v>Melting_Curves/meltCurve_Q96F44_3_TRIM11.pdf</v>
      </c>
    </row>
    <row r="5325" spans="1:28" x14ac:dyDescent="0.25">
      <c r="A5325" t="s">
        <v>5329</v>
      </c>
      <c r="B5325">
        <v>0.99999676499088797</v>
      </c>
      <c r="C5325">
        <v>0.93940611509548899</v>
      </c>
      <c r="D5325">
        <v>0.86905109774068501</v>
      </c>
      <c r="E5325">
        <v>0.52523964504852605</v>
      </c>
      <c r="F5325">
        <v>0.310803849963185</v>
      </c>
      <c r="G5325">
        <v>0.221056862309288</v>
      </c>
      <c r="H5325">
        <v>8.7225186618986997E-2</v>
      </c>
      <c r="I5325">
        <v>7.1954521981873507E-2</v>
      </c>
      <c r="J5325">
        <v>6.4833739129492807E-2</v>
      </c>
      <c r="K5325">
        <v>6.56399159319902E-2</v>
      </c>
      <c r="L5325">
        <v>851.15846305069601</v>
      </c>
      <c r="M5325">
        <v>17.006995149765299</v>
      </c>
      <c r="N5325">
        <v>50.423521944331</v>
      </c>
      <c r="O5325">
        <v>49.370960871199401</v>
      </c>
      <c r="P5325">
        <v>-8.0995160133353797E-2</v>
      </c>
      <c r="Q5325">
        <v>5.9548788247268898E-2</v>
      </c>
      <c r="R5325">
        <v>0.99508298670154804</v>
      </c>
      <c r="S5325" t="s">
        <v>12328</v>
      </c>
      <c r="T5325" t="s">
        <v>14004</v>
      </c>
      <c r="U5325" t="s">
        <v>14004</v>
      </c>
      <c r="V5325" t="s">
        <v>14004</v>
      </c>
      <c r="W5325" t="s">
        <v>19274</v>
      </c>
      <c r="X5325">
        <v>2</v>
      </c>
      <c r="Y5325" t="s">
        <v>26078</v>
      </c>
      <c r="Z5325" t="s">
        <v>33035</v>
      </c>
      <c r="AA5325">
        <v>0.39235296248611862</v>
      </c>
      <c r="AB5325" t="str">
        <f>HYPERLINK("Melting_Curves/meltCurve_Q96F46_IL17RA.pdf", "Melting_Curves/meltCurve_Q96F46_IL17RA.pdf")</f>
        <v>Melting_Curves/meltCurve_Q96F46_IL17RA.pdf</v>
      </c>
    </row>
    <row r="5326" spans="1:28" x14ac:dyDescent="0.25">
      <c r="A5326" t="s">
        <v>5330</v>
      </c>
      <c r="B5326">
        <v>0.99999676499088797</v>
      </c>
      <c r="C5326">
        <v>0.94586658872569696</v>
      </c>
      <c r="D5326">
        <v>0.71026562547801297</v>
      </c>
      <c r="E5326">
        <v>0.30584288369958401</v>
      </c>
      <c r="F5326">
        <v>0.34198978330185698</v>
      </c>
      <c r="G5326">
        <v>0.230950760545653</v>
      </c>
      <c r="H5326">
        <v>0.15417737775125401</v>
      </c>
      <c r="I5326">
        <v>0.12953653509709701</v>
      </c>
      <c r="J5326">
        <v>0.13119018761075299</v>
      </c>
      <c r="K5326">
        <v>0.134203278003414</v>
      </c>
      <c r="L5326">
        <v>1027.2914719677799</v>
      </c>
      <c r="M5326">
        <v>21.743524147569499</v>
      </c>
      <c r="N5326">
        <v>48.102292972838399</v>
      </c>
      <c r="O5326">
        <v>46.851677975108501</v>
      </c>
      <c r="P5326">
        <v>-9.7403884179940795E-2</v>
      </c>
      <c r="Q5326">
        <v>0.16049879117599999</v>
      </c>
      <c r="R5326">
        <v>0.97643874074168702</v>
      </c>
      <c r="S5326" t="s">
        <v>12329</v>
      </c>
      <c r="T5326" t="s">
        <v>14004</v>
      </c>
      <c r="U5326" t="s">
        <v>14004</v>
      </c>
      <c r="V5326" t="s">
        <v>14004</v>
      </c>
      <c r="W5326" t="s">
        <v>19275</v>
      </c>
      <c r="X5326">
        <v>4</v>
      </c>
      <c r="Y5326" t="s">
        <v>26079</v>
      </c>
      <c r="Z5326" t="s">
        <v>33036</v>
      </c>
      <c r="AA5326">
        <v>0.37339929893711482</v>
      </c>
      <c r="AB5326" t="str">
        <f>HYPERLINK("Melting_Curves/meltCurve_Q96F63_CCDC97.pdf", "Melting_Curves/meltCurve_Q96F63_CCDC97.pdf")</f>
        <v>Melting_Curves/meltCurve_Q96F63_CCDC97.pdf</v>
      </c>
    </row>
    <row r="5327" spans="1:28" x14ac:dyDescent="0.25">
      <c r="A5327" t="s">
        <v>5331</v>
      </c>
      <c r="B5327">
        <v>0.99999676499088797</v>
      </c>
      <c r="C5327">
        <v>0.92762849070821196</v>
      </c>
      <c r="D5327">
        <v>0.82163946015086098</v>
      </c>
      <c r="E5327">
        <v>0.58207419564825402</v>
      </c>
      <c r="F5327">
        <v>0.36645811188561001</v>
      </c>
      <c r="G5327">
        <v>0.24121062843288499</v>
      </c>
      <c r="H5327">
        <v>0.121111388762341</v>
      </c>
      <c r="I5327">
        <v>0.114036847503416</v>
      </c>
      <c r="J5327">
        <v>0.10243141023161199</v>
      </c>
      <c r="K5327">
        <v>9.4201898095931602E-2</v>
      </c>
      <c r="L5327">
        <v>742.64837423650999</v>
      </c>
      <c r="M5327">
        <v>14.7446825893196</v>
      </c>
      <c r="N5327">
        <v>50.935487664220801</v>
      </c>
      <c r="O5327">
        <v>49.467931112613698</v>
      </c>
      <c r="P5327">
        <v>-6.8872167972671303E-2</v>
      </c>
      <c r="Q5327">
        <v>7.5843887408575297E-2</v>
      </c>
      <c r="R5327">
        <v>0.99880619586697095</v>
      </c>
      <c r="S5327" t="s">
        <v>12330</v>
      </c>
      <c r="T5327" t="s">
        <v>14004</v>
      </c>
      <c r="U5327" t="s">
        <v>14004</v>
      </c>
      <c r="V5327" t="s">
        <v>14004</v>
      </c>
      <c r="W5327" t="s">
        <v>19276</v>
      </c>
      <c r="X5327">
        <v>15</v>
      </c>
      <c r="Y5327" t="s">
        <v>26080</v>
      </c>
      <c r="Z5327" t="s">
        <v>33037</v>
      </c>
      <c r="AA5327">
        <v>0.41764235386820342</v>
      </c>
      <c r="AB5327" t="str">
        <f>HYPERLINK("Melting_Curves/meltCurve_Q96F86_EDC3.pdf", "Melting_Curves/meltCurve_Q96F86_EDC3.pdf")</f>
        <v>Melting_Curves/meltCurve_Q96F86_EDC3.pdf</v>
      </c>
    </row>
    <row r="5328" spans="1:28" x14ac:dyDescent="0.25">
      <c r="A5328" t="s">
        <v>5332</v>
      </c>
      <c r="B5328">
        <v>0.99999676499088797</v>
      </c>
      <c r="C5328">
        <v>0.98365907657417295</v>
      </c>
      <c r="D5328">
        <v>0.94289500954729999</v>
      </c>
      <c r="E5328">
        <v>0.72042888598670196</v>
      </c>
      <c r="F5328">
        <v>0.33102044762146499</v>
      </c>
      <c r="G5328">
        <v>0.18553267332104401</v>
      </c>
      <c r="H5328">
        <v>9.6290991863845196E-2</v>
      </c>
      <c r="I5328">
        <v>9.6134370864049301E-2</v>
      </c>
      <c r="J5328">
        <v>7.1765170653312393E-2</v>
      </c>
      <c r="K5328">
        <v>8.28240380841265E-2</v>
      </c>
      <c r="L5328">
        <v>1231.38522622816</v>
      </c>
      <c r="M5328">
        <v>24.042794653278801</v>
      </c>
      <c r="N5328">
        <v>51.600565503606703</v>
      </c>
      <c r="O5328">
        <v>50.866022674033601</v>
      </c>
      <c r="P5328">
        <v>-0.108485437418623</v>
      </c>
      <c r="Q5328">
        <v>8.19476417644905E-2</v>
      </c>
      <c r="R5328">
        <v>0.99915444541456899</v>
      </c>
      <c r="S5328" t="s">
        <v>12331</v>
      </c>
      <c r="T5328" t="s">
        <v>14004</v>
      </c>
      <c r="U5328" t="s">
        <v>14004</v>
      </c>
      <c r="V5328" t="s">
        <v>14004</v>
      </c>
      <c r="W5328" t="s">
        <v>19277</v>
      </c>
      <c r="X5328">
        <v>12</v>
      </c>
      <c r="Y5328" t="s">
        <v>26081</v>
      </c>
      <c r="Z5328" t="s">
        <v>33038</v>
      </c>
      <c r="AA5328">
        <v>0.43416024499137579</v>
      </c>
      <c r="AB5328" t="str">
        <f>HYPERLINK("Melting_Curves/meltCurve_Q96FC9_3_DDX11.pdf", "Melting_Curves/meltCurve_Q96FC9_3_DDX11.pdf")</f>
        <v>Melting_Curves/meltCurve_Q96FC9_3_DDX11.pdf</v>
      </c>
    </row>
    <row r="5329" spans="1:28" x14ac:dyDescent="0.25">
      <c r="A5329" t="s">
        <v>5333</v>
      </c>
      <c r="B5329">
        <v>0.99999676499088797</v>
      </c>
      <c r="C5329">
        <v>0.79437851853288</v>
      </c>
      <c r="D5329">
        <v>0.97464484318737599</v>
      </c>
      <c r="E5329">
        <v>0.85925085102340304</v>
      </c>
      <c r="F5329">
        <v>0.50295371301687797</v>
      </c>
      <c r="G5329">
        <v>0.248768105004087</v>
      </c>
      <c r="H5329">
        <v>0.11414039898020099</v>
      </c>
      <c r="I5329">
        <v>6.5121355782822604E-2</v>
      </c>
      <c r="J5329">
        <v>8.4262644633092604E-2</v>
      </c>
      <c r="K5329">
        <v>4.0312806635671702E-2</v>
      </c>
      <c r="L5329">
        <v>1128.6101321548799</v>
      </c>
      <c r="M5329">
        <v>21.233526877716599</v>
      </c>
      <c r="N5329">
        <v>53.416929769994397</v>
      </c>
      <c r="O5329">
        <v>52.687577296850797</v>
      </c>
      <c r="P5329">
        <v>-9.5724025828211795E-2</v>
      </c>
      <c r="Q5329">
        <v>4.9929623244844901E-2</v>
      </c>
      <c r="R5329">
        <v>0.97132712833207802</v>
      </c>
      <c r="S5329" t="s">
        <v>12332</v>
      </c>
      <c r="T5329" t="s">
        <v>14004</v>
      </c>
      <c r="U5329" t="s">
        <v>14004</v>
      </c>
      <c r="V5329" t="s">
        <v>14004</v>
      </c>
      <c r="W5329" t="s">
        <v>19278</v>
      </c>
      <c r="X5329">
        <v>3</v>
      </c>
      <c r="Y5329" t="s">
        <v>26082</v>
      </c>
      <c r="Z5329" t="s">
        <v>33039</v>
      </c>
      <c r="AA5329">
        <v>0.4782211705331077</v>
      </c>
      <c r="AB5329" t="str">
        <f>HYPERLINK("Melting_Curves/meltCurve_Q96FF9_CDCA5.pdf", "Melting_Curves/meltCurve_Q96FF9_CDCA5.pdf")</f>
        <v>Melting_Curves/meltCurve_Q96FF9_CDCA5.pdf</v>
      </c>
    </row>
    <row r="5330" spans="1:28" x14ac:dyDescent="0.25">
      <c r="A5330" t="s">
        <v>5334</v>
      </c>
      <c r="B5330">
        <v>0.99999676499088797</v>
      </c>
      <c r="C5330">
        <v>0.82370941688057697</v>
      </c>
      <c r="D5330">
        <v>0.76547543554148301</v>
      </c>
      <c r="E5330">
        <v>0.69146228342984795</v>
      </c>
      <c r="F5330">
        <v>0.62779586644933305</v>
      </c>
      <c r="G5330">
        <v>0.53942375737675496</v>
      </c>
      <c r="H5330">
        <v>0.112351955153004</v>
      </c>
      <c r="I5330">
        <v>0.104609090551505</v>
      </c>
      <c r="J5330">
        <v>4.5799648944890303E-2</v>
      </c>
      <c r="K5330">
        <v>3.9959813140314597E-2</v>
      </c>
      <c r="L5330">
        <v>571.07085860463701</v>
      </c>
      <c r="M5330">
        <v>10.581633092237</v>
      </c>
      <c r="N5330">
        <v>53.968121054338702</v>
      </c>
      <c r="O5330">
        <v>52.147639526575297</v>
      </c>
      <c r="P5330">
        <v>-5.0749072505289899E-2</v>
      </c>
      <c r="Q5330">
        <v>0</v>
      </c>
      <c r="R5330">
        <v>0.92985762261683402</v>
      </c>
      <c r="S5330" t="s">
        <v>12333</v>
      </c>
      <c r="T5330" t="s">
        <v>14004</v>
      </c>
      <c r="U5330" t="s">
        <v>14004</v>
      </c>
      <c r="V5330" t="s">
        <v>14004</v>
      </c>
      <c r="W5330" t="s">
        <v>19279</v>
      </c>
      <c r="X5330">
        <v>5</v>
      </c>
      <c r="Y5330" t="s">
        <v>26083</v>
      </c>
      <c r="Z5330" t="s">
        <v>33040</v>
      </c>
      <c r="AA5330">
        <v>0.49473384750455401</v>
      </c>
      <c r="AB5330" t="str">
        <f>HYPERLINK("Melting_Curves/meltCurve_Q96FH0_MEF2BNB.pdf", "Melting_Curves/meltCurve_Q96FH0_MEF2BNB.pdf")</f>
        <v>Melting_Curves/meltCurve_Q96FH0_MEF2BNB.pdf</v>
      </c>
    </row>
    <row r="5331" spans="1:28" x14ac:dyDescent="0.25">
      <c r="A5331" t="s">
        <v>5335</v>
      </c>
      <c r="B5331">
        <v>0.99999676499088797</v>
      </c>
      <c r="C5331">
        <v>0.976709991471155</v>
      </c>
      <c r="D5331">
        <v>0.87201201740569401</v>
      </c>
      <c r="E5331">
        <v>0.49186819365752499</v>
      </c>
      <c r="F5331">
        <v>0.33015164079224102</v>
      </c>
      <c r="G5331">
        <v>0.21491577405633</v>
      </c>
      <c r="H5331">
        <v>0.11730156634527</v>
      </c>
      <c r="I5331">
        <v>9.4621773990726105E-2</v>
      </c>
      <c r="J5331">
        <v>8.7768962505742995E-2</v>
      </c>
      <c r="K5331">
        <v>7.5063505648839499E-2</v>
      </c>
      <c r="L5331">
        <v>907.33511437612299</v>
      </c>
      <c r="M5331">
        <v>18.244797281806299</v>
      </c>
      <c r="N5331">
        <v>50.266642066597299</v>
      </c>
      <c r="O5331">
        <v>49.145268825489602</v>
      </c>
      <c r="P5331">
        <v>-8.4617746247117903E-2</v>
      </c>
      <c r="Q5331">
        <v>8.8317112447426696E-2</v>
      </c>
      <c r="R5331">
        <v>0.99293293386274295</v>
      </c>
      <c r="S5331" t="s">
        <v>12334</v>
      </c>
      <c r="T5331" t="s">
        <v>14004</v>
      </c>
      <c r="U5331" t="s">
        <v>14004</v>
      </c>
      <c r="V5331" t="s">
        <v>14004</v>
      </c>
      <c r="W5331" t="s">
        <v>19280</v>
      </c>
      <c r="X5331">
        <v>10</v>
      </c>
      <c r="Y5331" t="s">
        <v>26084</v>
      </c>
      <c r="Z5331" t="s">
        <v>33041</v>
      </c>
      <c r="AA5331">
        <v>0.39924498586927848</v>
      </c>
      <c r="AB5331" t="str">
        <f>HYPERLINK("Melting_Curves/meltCurve_Q96FJ0_STAMBPL1.pdf", "Melting_Curves/meltCurve_Q96FJ0_STAMBPL1.pdf")</f>
        <v>Melting_Curves/meltCurve_Q96FJ0_STAMBPL1.pdf</v>
      </c>
    </row>
    <row r="5332" spans="1:28" x14ac:dyDescent="0.25">
      <c r="A5332" t="s">
        <v>5336</v>
      </c>
      <c r="B5332">
        <v>0.99999676499088797</v>
      </c>
      <c r="C5332">
        <v>0.89785898776289996</v>
      </c>
      <c r="D5332">
        <v>0.87590372079198098</v>
      </c>
      <c r="E5332">
        <v>1.2339259209531901</v>
      </c>
      <c r="F5332">
        <v>0.67135981708086101</v>
      </c>
      <c r="G5332">
        <v>0.64758234614468901</v>
      </c>
      <c r="H5332">
        <v>0.207391266388674</v>
      </c>
      <c r="I5332">
        <v>0.18226760759355401</v>
      </c>
      <c r="J5332">
        <v>0.13621154249074799</v>
      </c>
      <c r="K5332">
        <v>0.153763189823348</v>
      </c>
      <c r="L5332">
        <v>1312.3177750978</v>
      </c>
      <c r="M5332">
        <v>23.160203930577701</v>
      </c>
      <c r="N5332">
        <v>57.337184607303698</v>
      </c>
      <c r="O5332">
        <v>56.245250655620303</v>
      </c>
      <c r="P5332">
        <v>-9.0668197606768905E-2</v>
      </c>
      <c r="Q5332">
        <v>0.11925427047916901</v>
      </c>
      <c r="R5332">
        <v>0.90635458310710204</v>
      </c>
      <c r="S5332" t="s">
        <v>12335</v>
      </c>
      <c r="T5332" t="s">
        <v>14004</v>
      </c>
      <c r="U5332" t="s">
        <v>14004</v>
      </c>
      <c r="V5332" t="s">
        <v>14004</v>
      </c>
      <c r="W5332" t="s">
        <v>19281</v>
      </c>
      <c r="X5332">
        <v>7</v>
      </c>
      <c r="Y5332" t="s">
        <v>26085</v>
      </c>
      <c r="Z5332" t="s">
        <v>33042</v>
      </c>
      <c r="AA5332">
        <v>0.61743215598396461</v>
      </c>
      <c r="AB5332" t="str">
        <f>HYPERLINK("Melting_Curves/meltCurve_Q96FJ2_DYNLL2.pdf", "Melting_Curves/meltCurve_Q96FJ2_DYNLL2.pdf")</f>
        <v>Melting_Curves/meltCurve_Q96FJ2_DYNLL2.pdf</v>
      </c>
    </row>
    <row r="5333" spans="1:28" x14ac:dyDescent="0.25">
      <c r="A5333" t="s">
        <v>5337</v>
      </c>
      <c r="B5333">
        <v>0.99999676499088797</v>
      </c>
      <c r="C5333">
        <v>1.00762144215366</v>
      </c>
      <c r="D5333">
        <v>1.0170769241882001</v>
      </c>
      <c r="E5333">
        <v>1.0963968567832301</v>
      </c>
      <c r="F5333">
        <v>0.846493430870078</v>
      </c>
      <c r="G5333">
        <v>0.57741832990304098</v>
      </c>
      <c r="H5333">
        <v>0.13915539641972499</v>
      </c>
      <c r="I5333">
        <v>0.10304133161269299</v>
      </c>
      <c r="J5333">
        <v>9.45983369652557E-2</v>
      </c>
      <c r="K5333">
        <v>0.11698596634731399</v>
      </c>
      <c r="L5333">
        <v>1865.7441961044599</v>
      </c>
      <c r="M5333">
        <v>32.850095887650603</v>
      </c>
      <c r="N5333">
        <v>57.1262053140467</v>
      </c>
      <c r="O5333">
        <v>56.586468890854199</v>
      </c>
      <c r="P5333">
        <v>-0.132572603246468</v>
      </c>
      <c r="Q5333">
        <v>8.6543765613884993E-2</v>
      </c>
      <c r="R5333">
        <v>0.98912873936794099</v>
      </c>
      <c r="S5333" t="s">
        <v>12336</v>
      </c>
      <c r="T5333" t="s">
        <v>14004</v>
      </c>
      <c r="U5333" t="s">
        <v>14004</v>
      </c>
      <c r="V5333" t="s">
        <v>14004</v>
      </c>
      <c r="W5333" t="s">
        <v>19282</v>
      </c>
      <c r="X5333">
        <v>9</v>
      </c>
      <c r="Y5333" t="s">
        <v>26086</v>
      </c>
      <c r="Z5333" t="s">
        <v>33043</v>
      </c>
      <c r="AA5333">
        <v>0.60311355418373891</v>
      </c>
      <c r="AB5333" t="str">
        <f>HYPERLINK("Melting_Curves/meltCurve_Q96FK6_WDR89.pdf", "Melting_Curves/meltCurve_Q96FK6_WDR89.pdf")</f>
        <v>Melting_Curves/meltCurve_Q96FK6_WDR89.pdf</v>
      </c>
    </row>
    <row r="5334" spans="1:28" x14ac:dyDescent="0.25">
      <c r="A5334" t="s">
        <v>5338</v>
      </c>
      <c r="B5334">
        <v>0.99999676499088797</v>
      </c>
      <c r="C5334">
        <v>0.94898498797976905</v>
      </c>
      <c r="D5334">
        <v>0.91299703250901398</v>
      </c>
      <c r="E5334">
        <v>0.82640336939573</v>
      </c>
      <c r="F5334">
        <v>0.40248874409664198</v>
      </c>
      <c r="G5334">
        <v>0.21406134089654899</v>
      </c>
      <c r="H5334">
        <v>0.15852914609586699</v>
      </c>
      <c r="I5334">
        <v>0.174430392908797</v>
      </c>
      <c r="J5334">
        <v>0.18956545404111699</v>
      </c>
      <c r="K5334">
        <v>0.17471241066410001</v>
      </c>
      <c r="L5334">
        <v>1544.9484248291101</v>
      </c>
      <c r="M5334">
        <v>29.9502543105671</v>
      </c>
      <c r="N5334">
        <v>52.307615436601097</v>
      </c>
      <c r="O5334">
        <v>51.355508105815701</v>
      </c>
      <c r="P5334">
        <v>-0.121065358643393</v>
      </c>
      <c r="Q5334">
        <v>0.169645808637368</v>
      </c>
      <c r="R5334">
        <v>0.99363055955875901</v>
      </c>
      <c r="S5334" t="s">
        <v>12337</v>
      </c>
      <c r="T5334" t="s">
        <v>14004</v>
      </c>
      <c r="U5334" t="s">
        <v>14004</v>
      </c>
      <c r="V5334" t="s">
        <v>14004</v>
      </c>
      <c r="W5334" t="s">
        <v>19283</v>
      </c>
      <c r="X5334">
        <v>6</v>
      </c>
      <c r="Y5334" t="s">
        <v>26087</v>
      </c>
      <c r="Z5334" t="s">
        <v>33044</v>
      </c>
      <c r="AA5334">
        <v>0.49555617105421063</v>
      </c>
      <c r="AB5334" t="str">
        <f>HYPERLINK("Melting_Curves/meltCurve_Q96FN4_CPNE2.pdf", "Melting_Curves/meltCurve_Q96FN4_CPNE2.pdf")</f>
        <v>Melting_Curves/meltCurve_Q96FN4_CPNE2.pdf</v>
      </c>
    </row>
    <row r="5335" spans="1:28" x14ac:dyDescent="0.25">
      <c r="A5335" t="s">
        <v>5339</v>
      </c>
      <c r="B5335">
        <v>0.99999676499088797</v>
      </c>
      <c r="C5335">
        <v>0.88197089509274496</v>
      </c>
      <c r="D5335">
        <v>0.85184379389257803</v>
      </c>
      <c r="E5335">
        <v>0.97771291731995003</v>
      </c>
      <c r="F5335">
        <v>0.780775779581383</v>
      </c>
      <c r="G5335">
        <v>0.63349802710028502</v>
      </c>
      <c r="H5335">
        <v>0.41005642770786799</v>
      </c>
      <c r="I5335">
        <v>0.31471271394664502</v>
      </c>
      <c r="J5335">
        <v>0.160042062112702</v>
      </c>
      <c r="K5335">
        <v>0.11138991329662599</v>
      </c>
      <c r="L5335">
        <v>717.06711886393396</v>
      </c>
      <c r="M5335">
        <v>12.1336783829531</v>
      </c>
      <c r="N5335">
        <v>59.0972577883906</v>
      </c>
      <c r="O5335">
        <v>57.560751863691799</v>
      </c>
      <c r="P5335">
        <v>-5.2711613901351699E-2</v>
      </c>
      <c r="Q5335">
        <v>0</v>
      </c>
      <c r="R5335">
        <v>0.96824914908340798</v>
      </c>
      <c r="S5335" t="s">
        <v>12338</v>
      </c>
      <c r="T5335" t="s">
        <v>14004</v>
      </c>
      <c r="U5335" t="s">
        <v>14004</v>
      </c>
      <c r="V5335" t="s">
        <v>14004</v>
      </c>
      <c r="W5335" t="s">
        <v>19284</v>
      </c>
      <c r="X5335">
        <v>4</v>
      </c>
      <c r="Y5335" t="s">
        <v>26088</v>
      </c>
      <c r="Z5335" t="s">
        <v>33045</v>
      </c>
      <c r="AA5335">
        <v>0.64419710194755564</v>
      </c>
      <c r="AB5335" t="str">
        <f>HYPERLINK("Melting_Curves/meltCurve_Q96FN9_DTD2.pdf", "Melting_Curves/meltCurve_Q96FN9_DTD2.pdf")</f>
        <v>Melting_Curves/meltCurve_Q96FN9_DTD2.pdf</v>
      </c>
    </row>
    <row r="5336" spans="1:28" x14ac:dyDescent="0.25">
      <c r="A5336" t="s">
        <v>5340</v>
      </c>
      <c r="B5336">
        <v>0.99999676499088797</v>
      </c>
      <c r="C5336">
        <v>0.814300857506849</v>
      </c>
      <c r="D5336">
        <v>0.675193220884856</v>
      </c>
      <c r="E5336">
        <v>0.43998342867101697</v>
      </c>
      <c r="F5336">
        <v>0.358018575003404</v>
      </c>
      <c r="G5336">
        <v>0.29574584974756701</v>
      </c>
      <c r="H5336">
        <v>0.15692945158743399</v>
      </c>
      <c r="I5336">
        <v>9.3438195161850104E-2</v>
      </c>
      <c r="J5336">
        <v>8.0122045037329295E-2</v>
      </c>
      <c r="K5336">
        <v>0.106344891179039</v>
      </c>
      <c r="L5336">
        <v>530.29331667111398</v>
      </c>
      <c r="M5336">
        <v>10.8457134992669</v>
      </c>
      <c r="N5336">
        <v>49.460642973006898</v>
      </c>
      <c r="O5336">
        <v>47.320102323085401</v>
      </c>
      <c r="P5336">
        <v>-5.3972910168726497E-2</v>
      </c>
      <c r="Q5336">
        <v>5.8395144504918797E-2</v>
      </c>
      <c r="R5336">
        <v>0.98334025918805801</v>
      </c>
      <c r="S5336" t="s">
        <v>12339</v>
      </c>
      <c r="T5336" t="s">
        <v>14004</v>
      </c>
      <c r="U5336" t="s">
        <v>14004</v>
      </c>
      <c r="V5336" t="s">
        <v>14004</v>
      </c>
      <c r="W5336" t="s">
        <v>19285</v>
      </c>
      <c r="X5336">
        <v>5</v>
      </c>
      <c r="Y5336" t="s">
        <v>26089</v>
      </c>
      <c r="Z5336" t="s">
        <v>33046</v>
      </c>
      <c r="AA5336">
        <v>0.37861315034017912</v>
      </c>
      <c r="AB5336" t="str">
        <f>HYPERLINK("Melting_Curves/meltCurve_Q96FS4_SIPA1.pdf", "Melting_Curves/meltCurve_Q96FS4_SIPA1.pdf")</f>
        <v>Melting_Curves/meltCurve_Q96FS4_SIPA1.pdf</v>
      </c>
    </row>
    <row r="5337" spans="1:28" x14ac:dyDescent="0.25">
      <c r="A5337" t="s">
        <v>5341</v>
      </c>
      <c r="B5337">
        <v>0.99999676499088797</v>
      </c>
      <c r="C5337">
        <v>0.882734423404959</v>
      </c>
      <c r="D5337">
        <v>0.76894948695520204</v>
      </c>
      <c r="E5337">
        <v>0.41296145691956598</v>
      </c>
      <c r="F5337">
        <v>0.191207501120785</v>
      </c>
      <c r="G5337">
        <v>0.14656978261828599</v>
      </c>
      <c r="H5337">
        <v>6.7419556976801895E-2</v>
      </c>
      <c r="I5337">
        <v>7.6930952879540701E-2</v>
      </c>
      <c r="J5337">
        <v>7.5543643573528094E-2</v>
      </c>
      <c r="K5337">
        <v>6.2880467352526101E-2</v>
      </c>
      <c r="L5337">
        <v>919.38049388451805</v>
      </c>
      <c r="M5337">
        <v>19.0215463277159</v>
      </c>
      <c r="N5337">
        <v>48.694646639387003</v>
      </c>
      <c r="O5337">
        <v>47.808937296388599</v>
      </c>
      <c r="P5337">
        <v>-9.2928793499007095E-2</v>
      </c>
      <c r="Q5337">
        <v>6.5764595148602403E-2</v>
      </c>
      <c r="R5337">
        <v>0.99675296630477805</v>
      </c>
      <c r="S5337" t="s">
        <v>12340</v>
      </c>
      <c r="T5337" t="s">
        <v>14004</v>
      </c>
      <c r="U5337" t="s">
        <v>14004</v>
      </c>
      <c r="V5337" t="s">
        <v>14004</v>
      </c>
      <c r="W5337" t="s">
        <v>19286</v>
      </c>
      <c r="X5337">
        <v>23</v>
      </c>
      <c r="Y5337" t="s">
        <v>26090</v>
      </c>
      <c r="Z5337" t="s">
        <v>33047</v>
      </c>
      <c r="AA5337">
        <v>0.33993407155419297</v>
      </c>
      <c r="AB5337" t="str">
        <f>HYPERLINK("Melting_Curves/meltCurve_Q96FV9_THOC1.pdf", "Melting_Curves/meltCurve_Q96FV9_THOC1.pdf")</f>
        <v>Melting_Curves/meltCurve_Q96FV9_THOC1.pdf</v>
      </c>
    </row>
    <row r="5338" spans="1:28" x14ac:dyDescent="0.25">
      <c r="A5338" t="s">
        <v>5342</v>
      </c>
      <c r="B5338">
        <v>0.99999676499088797</v>
      </c>
      <c r="C5338">
        <v>0.961947941106579</v>
      </c>
      <c r="D5338">
        <v>1.2306945545088399</v>
      </c>
      <c r="E5338">
        <v>1.62717863194434</v>
      </c>
      <c r="F5338">
        <v>1.9746660643160701</v>
      </c>
      <c r="G5338">
        <v>1.58764854955491</v>
      </c>
      <c r="H5338">
        <v>1.3811436976840401</v>
      </c>
      <c r="I5338">
        <v>1.0688914147458599</v>
      </c>
      <c r="J5338">
        <v>0.96140766398625199</v>
      </c>
      <c r="K5338">
        <v>1.8530617445556801</v>
      </c>
      <c r="L5338">
        <v>11505.982132561699</v>
      </c>
      <c r="M5338">
        <v>250</v>
      </c>
      <c r="O5338">
        <v>46.020983091844002</v>
      </c>
      <c r="P5338">
        <v>0.67011314425228596</v>
      </c>
      <c r="Q5338">
        <v>1.4934282525975899</v>
      </c>
      <c r="R5338">
        <v>0.33086362817625398</v>
      </c>
      <c r="S5338" t="s">
        <v>12341</v>
      </c>
      <c r="T5338" t="s">
        <v>14004</v>
      </c>
      <c r="U5338" t="s">
        <v>14004</v>
      </c>
      <c r="V5338" t="s">
        <v>14004</v>
      </c>
      <c r="W5338" t="s">
        <v>19287</v>
      </c>
      <c r="X5338">
        <v>1</v>
      </c>
      <c r="Y5338" t="s">
        <v>26091</v>
      </c>
      <c r="Z5338" t="s">
        <v>33048</v>
      </c>
      <c r="AA5338">
        <v>1.394309180151807</v>
      </c>
      <c r="AB5338" t="str">
        <f>HYPERLINK("Melting_Curves/meltCurve_Q96FX2_DPH3.pdf", "Melting_Curves/meltCurve_Q96FX2_DPH3.pdf")</f>
        <v>Melting_Curves/meltCurve_Q96FX2_DPH3.pdf</v>
      </c>
    </row>
    <row r="5339" spans="1:28" x14ac:dyDescent="0.25">
      <c r="A5339" t="s">
        <v>5343</v>
      </c>
      <c r="B5339">
        <v>0.99999676499088797</v>
      </c>
      <c r="C5339">
        <v>1.10322522693141</v>
      </c>
      <c r="D5339">
        <v>0.96349597874089599</v>
      </c>
      <c r="E5339">
        <v>0.90917985293234105</v>
      </c>
      <c r="F5339">
        <v>0.749232259879554</v>
      </c>
      <c r="G5339">
        <v>0.57999871453806096</v>
      </c>
      <c r="H5339">
        <v>0.159965977660221</v>
      </c>
      <c r="I5339">
        <v>7.1333517297274399E-2</v>
      </c>
      <c r="J5339">
        <v>5.7066078607765802E-2</v>
      </c>
      <c r="K5339">
        <v>3.2538428902300902E-2</v>
      </c>
      <c r="L5339">
        <v>1121.91663844086</v>
      </c>
      <c r="M5339">
        <v>19.750402182693101</v>
      </c>
      <c r="N5339">
        <v>56.804748862162199</v>
      </c>
      <c r="O5339">
        <v>56.232016546359397</v>
      </c>
      <c r="P5339">
        <v>-8.7810641650184096E-2</v>
      </c>
      <c r="Q5339">
        <v>0</v>
      </c>
      <c r="R5339">
        <v>0.98553170709156801</v>
      </c>
      <c r="S5339" t="s">
        <v>12342</v>
      </c>
      <c r="T5339" t="s">
        <v>14004</v>
      </c>
      <c r="U5339" t="s">
        <v>14004</v>
      </c>
      <c r="V5339" t="s">
        <v>14004</v>
      </c>
      <c r="W5339" t="s">
        <v>19288</v>
      </c>
      <c r="X5339">
        <v>4</v>
      </c>
      <c r="Y5339" t="s">
        <v>26092</v>
      </c>
      <c r="Z5339" t="s">
        <v>33049</v>
      </c>
      <c r="AA5339">
        <v>0.57273333455293052</v>
      </c>
      <c r="AB5339" t="str">
        <f>HYPERLINK("Melting_Curves/meltCurve_Q96FX7_TRMT61A.pdf", "Melting_Curves/meltCurve_Q96FX7_TRMT61A.pdf")</f>
        <v>Melting_Curves/meltCurve_Q96FX7_TRMT61A.pdf</v>
      </c>
    </row>
    <row r="5340" spans="1:28" x14ac:dyDescent="0.25">
      <c r="A5340" t="s">
        <v>5344</v>
      </c>
      <c r="B5340">
        <v>0.99999676499088797</v>
      </c>
      <c r="C5340">
        <v>0.96352664042168901</v>
      </c>
      <c r="D5340">
        <v>0.74312178590612399</v>
      </c>
      <c r="E5340">
        <v>0.37806184376656699</v>
      </c>
      <c r="F5340">
        <v>0.23383260672127501</v>
      </c>
      <c r="G5340">
        <v>0.13554918439906</v>
      </c>
      <c r="H5340">
        <v>7.1647197899114903E-2</v>
      </c>
      <c r="I5340">
        <v>9.1653000006367599E-2</v>
      </c>
      <c r="J5340">
        <v>9.2244277132141894E-2</v>
      </c>
      <c r="K5340">
        <v>6.4413048409614398E-2</v>
      </c>
      <c r="L5340">
        <v>1002.86883812373</v>
      </c>
      <c r="M5340">
        <v>20.837060075813501</v>
      </c>
      <c r="N5340">
        <v>48.554284176050601</v>
      </c>
      <c r="O5340">
        <v>47.692385515881803</v>
      </c>
      <c r="P5340">
        <v>-0.100119715617417</v>
      </c>
      <c r="Q5340">
        <v>8.3399307274103301E-2</v>
      </c>
      <c r="R5340">
        <v>0.99641032836096299</v>
      </c>
      <c r="S5340" t="s">
        <v>12343</v>
      </c>
      <c r="T5340" t="s">
        <v>14004</v>
      </c>
      <c r="U5340" t="s">
        <v>14004</v>
      </c>
      <c r="V5340" t="s">
        <v>14004</v>
      </c>
      <c r="W5340" t="s">
        <v>19289</v>
      </c>
      <c r="X5340">
        <v>8</v>
      </c>
      <c r="Y5340" t="s">
        <v>26093</v>
      </c>
      <c r="Z5340" t="s">
        <v>33050</v>
      </c>
      <c r="AA5340">
        <v>0.34368537387222781</v>
      </c>
      <c r="AB5340" t="str">
        <f>HYPERLINK("Melting_Curves/meltCurve_Q96FZ2_C3orf37.pdf", "Melting_Curves/meltCurve_Q96FZ2_C3orf37.pdf")</f>
        <v>Melting_Curves/meltCurve_Q96FZ2_C3orf37.pdf</v>
      </c>
    </row>
    <row r="5341" spans="1:28" x14ac:dyDescent="0.25">
      <c r="A5341" t="s">
        <v>5345</v>
      </c>
      <c r="B5341">
        <v>0.99999676499088797</v>
      </c>
      <c r="C5341">
        <v>0.96730446121109004</v>
      </c>
      <c r="D5341">
        <v>1.07560609735487</v>
      </c>
      <c r="E5341">
        <v>1.25998170666676</v>
      </c>
      <c r="F5341">
        <v>1.0670589103110399</v>
      </c>
      <c r="G5341">
        <v>0.53209429513201001</v>
      </c>
      <c r="H5341">
        <v>0.19519026628987901</v>
      </c>
      <c r="I5341">
        <v>0.13220096456271799</v>
      </c>
      <c r="J5341">
        <v>0.11079239687883299</v>
      </c>
      <c r="K5341">
        <v>9.4450378381469205E-2</v>
      </c>
      <c r="L5341">
        <v>12849.4505057978</v>
      </c>
      <c r="M5341">
        <v>226.382185635833</v>
      </c>
      <c r="N5341">
        <v>56.837740751907397</v>
      </c>
      <c r="O5341">
        <v>56.755536457316403</v>
      </c>
      <c r="P5341">
        <v>-0.86439765386501999</v>
      </c>
      <c r="Q5341">
        <v>0.133158418441539</v>
      </c>
      <c r="R5341">
        <v>0.95843303993181606</v>
      </c>
      <c r="S5341" t="s">
        <v>12344</v>
      </c>
      <c r="T5341" t="s">
        <v>14004</v>
      </c>
      <c r="U5341" t="s">
        <v>14004</v>
      </c>
      <c r="V5341" t="s">
        <v>14004</v>
      </c>
      <c r="W5341" t="s">
        <v>19290</v>
      </c>
      <c r="X5341">
        <v>6</v>
      </c>
      <c r="Y5341" t="s">
        <v>26094</v>
      </c>
      <c r="Z5341" t="s">
        <v>33051</v>
      </c>
      <c r="AA5341">
        <v>0.61753892584012449</v>
      </c>
      <c r="AB5341" t="str">
        <f>HYPERLINK("Melting_Curves/meltCurve_Q96FZ7_CHMP6.pdf", "Melting_Curves/meltCurve_Q96FZ7_CHMP6.pdf")</f>
        <v>Melting_Curves/meltCurve_Q96FZ7_CHMP6.pdf</v>
      </c>
    </row>
    <row r="5342" spans="1:28" x14ac:dyDescent="0.25">
      <c r="A5342" t="s">
        <v>5346</v>
      </c>
      <c r="B5342">
        <v>0.99999676499088797</v>
      </c>
      <c r="C5342">
        <v>1.09367089844203</v>
      </c>
      <c r="D5342">
        <v>1.1070352060269699</v>
      </c>
      <c r="E5342">
        <v>1.1024839008232801</v>
      </c>
      <c r="F5342">
        <v>0.96656783328220497</v>
      </c>
      <c r="G5342">
        <v>0.91766680994342398</v>
      </c>
      <c r="H5342">
        <v>0.60945596087112197</v>
      </c>
      <c r="I5342">
        <v>0.41108918509890402</v>
      </c>
      <c r="J5342">
        <v>0.289897107120828</v>
      </c>
      <c r="K5342">
        <v>0.230902887413025</v>
      </c>
      <c r="L5342">
        <v>1594.7381065207101</v>
      </c>
      <c r="M5342">
        <v>26.129556174633901</v>
      </c>
      <c r="N5342">
        <v>62.381008204159997</v>
      </c>
      <c r="O5342">
        <v>60.677851309582699</v>
      </c>
      <c r="P5342">
        <v>-8.4421064621179598E-2</v>
      </c>
      <c r="Q5342">
        <v>0.215841089553131</v>
      </c>
      <c r="R5342">
        <v>0.97098729227963398</v>
      </c>
      <c r="S5342" t="s">
        <v>12345</v>
      </c>
      <c r="T5342" t="s">
        <v>14004</v>
      </c>
      <c r="U5342" t="s">
        <v>14004</v>
      </c>
      <c r="V5342" t="s">
        <v>14004</v>
      </c>
      <c r="W5342" t="s">
        <v>19291</v>
      </c>
      <c r="X5342">
        <v>40</v>
      </c>
      <c r="Y5342" t="s">
        <v>26095</v>
      </c>
      <c r="Z5342" t="s">
        <v>33052</v>
      </c>
      <c r="AA5342">
        <v>0.77037631300867881</v>
      </c>
      <c r="AB5342" t="str">
        <f>HYPERLINK("Melting_Curves/meltCurve_Q96G03_PGM2.pdf", "Melting_Curves/meltCurve_Q96G03_PGM2.pdf")</f>
        <v>Melting_Curves/meltCurve_Q96G03_PGM2.pdf</v>
      </c>
    </row>
    <row r="5343" spans="1:28" x14ac:dyDescent="0.25">
      <c r="A5343" t="s">
        <v>5347</v>
      </c>
      <c r="B5343">
        <v>0.99999676499088797</v>
      </c>
      <c r="C5343">
        <v>0.98979387562885801</v>
      </c>
      <c r="D5343">
        <v>0.87756839700282196</v>
      </c>
      <c r="E5343">
        <v>0.67396417634003802</v>
      </c>
      <c r="F5343">
        <v>0.56218059067651205</v>
      </c>
      <c r="G5343">
        <v>0.49408245674936102</v>
      </c>
      <c r="H5343">
        <v>0.355423701235621</v>
      </c>
      <c r="I5343">
        <v>0.37711981214601997</v>
      </c>
      <c r="J5343">
        <v>0.43372209683906199</v>
      </c>
      <c r="K5343">
        <v>0.56969496423100197</v>
      </c>
      <c r="L5343">
        <v>1005.05426393458</v>
      </c>
      <c r="M5343">
        <v>20.501539860760101</v>
      </c>
      <c r="N5343">
        <v>54.653064118551001</v>
      </c>
      <c r="O5343">
        <v>48.564088375423601</v>
      </c>
      <c r="P5343">
        <v>-5.9157009148202398E-2</v>
      </c>
      <c r="Q5343">
        <v>0.43949166598134298</v>
      </c>
      <c r="R5343">
        <v>0.93999014470393905</v>
      </c>
      <c r="S5343" t="s">
        <v>12346</v>
      </c>
      <c r="T5343" t="s">
        <v>14004</v>
      </c>
      <c r="U5343" t="s">
        <v>14004</v>
      </c>
      <c r="V5343" t="s">
        <v>14004</v>
      </c>
      <c r="W5343" t="s">
        <v>19292</v>
      </c>
      <c r="X5343">
        <v>9</v>
      </c>
      <c r="Y5343" t="s">
        <v>26096</v>
      </c>
      <c r="Z5343" t="s">
        <v>33053</v>
      </c>
      <c r="AA5343">
        <v>0.61554456487130105</v>
      </c>
      <c r="AB5343" t="str">
        <f>HYPERLINK("Melting_Curves/meltCurve_Q96G25_MED8.pdf", "Melting_Curves/meltCurve_Q96G25_MED8.pdf")</f>
        <v>Melting_Curves/meltCurve_Q96G25_MED8.pdf</v>
      </c>
    </row>
    <row r="5344" spans="1:28" x14ac:dyDescent="0.25">
      <c r="A5344" t="s">
        <v>5348</v>
      </c>
      <c r="B5344">
        <v>0.99999676499088797</v>
      </c>
      <c r="C5344">
        <v>0.770165236161936</v>
      </c>
      <c r="D5344">
        <v>0.69533518638592695</v>
      </c>
      <c r="E5344">
        <v>0.38331605001484098</v>
      </c>
      <c r="F5344">
        <v>0.29572289215716202</v>
      </c>
      <c r="G5344">
        <v>0.174005907414779</v>
      </c>
      <c r="H5344">
        <v>8.9596765431865705E-2</v>
      </c>
      <c r="I5344">
        <v>8.0221387343237804E-2</v>
      </c>
      <c r="J5344">
        <v>0.115136385505424</v>
      </c>
      <c r="K5344">
        <v>0.11387233024211001</v>
      </c>
      <c r="L5344">
        <v>659.20915862520906</v>
      </c>
      <c r="M5344">
        <v>13.829222585351699</v>
      </c>
      <c r="N5344">
        <v>48.281916884677301</v>
      </c>
      <c r="O5344">
        <v>46.704266967554197</v>
      </c>
      <c r="P5344">
        <v>-6.8065172001599103E-2</v>
      </c>
      <c r="Q5344">
        <v>8.0644578066445205E-2</v>
      </c>
      <c r="R5344">
        <v>0.98446782810496403</v>
      </c>
      <c r="S5344" t="s">
        <v>12347</v>
      </c>
      <c r="T5344" t="s">
        <v>14004</v>
      </c>
      <c r="U5344" t="s">
        <v>14004</v>
      </c>
      <c r="V5344" t="s">
        <v>14004</v>
      </c>
      <c r="W5344" t="s">
        <v>19293</v>
      </c>
      <c r="X5344">
        <v>6</v>
      </c>
      <c r="Y5344" t="s">
        <v>26097</v>
      </c>
      <c r="Z5344" t="s">
        <v>33054</v>
      </c>
      <c r="AA5344">
        <v>0.343859778796474</v>
      </c>
      <c r="AB5344" t="str">
        <f>HYPERLINK("Melting_Curves/meltCurve_Q96G28_CCDC104.pdf", "Melting_Curves/meltCurve_Q96G28_CCDC104.pdf")</f>
        <v>Melting_Curves/meltCurve_Q96G28_CCDC104.pdf</v>
      </c>
    </row>
    <row r="5345" spans="1:28" x14ac:dyDescent="0.25">
      <c r="A5345" t="s">
        <v>5349</v>
      </c>
      <c r="B5345">
        <v>0.99999676499088797</v>
      </c>
      <c r="C5345">
        <v>1.06556600146966</v>
      </c>
      <c r="D5345">
        <v>0.96046239381810605</v>
      </c>
      <c r="E5345">
        <v>0.55034541308199703</v>
      </c>
      <c r="F5345">
        <v>0.24832249194464501</v>
      </c>
      <c r="G5345">
        <v>0.16037951188642999</v>
      </c>
      <c r="H5345">
        <v>7.9239271498943997E-2</v>
      </c>
      <c r="I5345">
        <v>7.3017795554783299E-2</v>
      </c>
      <c r="J5345">
        <v>6.3643999866297901E-2</v>
      </c>
      <c r="K5345">
        <v>5.4937621364857303E-2</v>
      </c>
      <c r="L5345">
        <v>1356.1438338831199</v>
      </c>
      <c r="M5345">
        <v>27.1402219195699</v>
      </c>
      <c r="N5345">
        <v>50.283454600327197</v>
      </c>
      <c r="O5345">
        <v>49.699128365381</v>
      </c>
      <c r="P5345">
        <v>-0.12583848387798</v>
      </c>
      <c r="Q5345">
        <v>7.8268070601138204E-2</v>
      </c>
      <c r="R5345">
        <v>0.99251351929757603</v>
      </c>
      <c r="S5345" t="s">
        <v>12348</v>
      </c>
      <c r="T5345" t="s">
        <v>14004</v>
      </c>
      <c r="U5345" t="s">
        <v>14004</v>
      </c>
      <c r="V5345" t="s">
        <v>14004</v>
      </c>
      <c r="W5345" t="s">
        <v>19294</v>
      </c>
      <c r="X5345">
        <v>21</v>
      </c>
      <c r="Y5345" t="s">
        <v>26098</v>
      </c>
      <c r="Z5345" t="s">
        <v>33055</v>
      </c>
      <c r="AA5345">
        <v>0.3915084535596785</v>
      </c>
      <c r="AB5345" t="str">
        <f>HYPERLINK("Melting_Curves/meltCurve_Q96G46_DUS3L.pdf", "Melting_Curves/meltCurve_Q96G46_DUS3L.pdf")</f>
        <v>Melting_Curves/meltCurve_Q96G46_DUS3L.pdf</v>
      </c>
    </row>
    <row r="5346" spans="1:28" x14ac:dyDescent="0.25">
      <c r="A5346" t="s">
        <v>5350</v>
      </c>
      <c r="B5346">
        <v>0.99999676499088797</v>
      </c>
      <c r="C5346">
        <v>0.85509977958725203</v>
      </c>
      <c r="D5346">
        <v>0.91483972315973605</v>
      </c>
      <c r="E5346">
        <v>0.86759303245358899</v>
      </c>
      <c r="F5346">
        <v>0.47989270007860502</v>
      </c>
      <c r="G5346">
        <v>0.18814825046073699</v>
      </c>
      <c r="H5346">
        <v>7.8698855263917303E-2</v>
      </c>
      <c r="I5346">
        <v>7.1904398177924295E-2</v>
      </c>
      <c r="J5346">
        <v>5.9388827558200803E-2</v>
      </c>
      <c r="K5346">
        <v>5.3440069270558499E-2</v>
      </c>
      <c r="L5346">
        <v>1296.2804343965299</v>
      </c>
      <c r="M5346">
        <v>24.541980905066399</v>
      </c>
      <c r="N5346">
        <v>53.049106900801</v>
      </c>
      <c r="O5346">
        <v>52.471960716481703</v>
      </c>
      <c r="P5346">
        <v>-0.111024259722294</v>
      </c>
      <c r="Q5346">
        <v>5.0512513937860902E-2</v>
      </c>
      <c r="R5346">
        <v>0.98367214393193103</v>
      </c>
      <c r="S5346" t="s">
        <v>12349</v>
      </c>
      <c r="T5346" t="s">
        <v>14004</v>
      </c>
      <c r="U5346" t="s">
        <v>14004</v>
      </c>
      <c r="V5346" t="s">
        <v>14004</v>
      </c>
      <c r="W5346" t="s">
        <v>19295</v>
      </c>
      <c r="X5346">
        <v>10</v>
      </c>
      <c r="Y5346" t="s">
        <v>26099</v>
      </c>
      <c r="Z5346" t="s">
        <v>33056</v>
      </c>
      <c r="AA5346">
        <v>0.46526487646013198</v>
      </c>
      <c r="AB5346" t="str">
        <f>HYPERLINK("Melting_Curves/meltCurve_Q96G61_NUDT11.pdf", "Melting_Curves/meltCurve_Q96G61_NUDT11.pdf")</f>
        <v>Melting_Curves/meltCurve_Q96G61_NUDT11.pdf</v>
      </c>
    </row>
    <row r="5347" spans="1:28" x14ac:dyDescent="0.25">
      <c r="A5347" t="s">
        <v>5351</v>
      </c>
      <c r="B5347">
        <v>0.99999676499088797</v>
      </c>
      <c r="C5347">
        <v>0.96650042210655995</v>
      </c>
      <c r="D5347">
        <v>0.87233320550885596</v>
      </c>
      <c r="E5347">
        <v>0.61145424334396803</v>
      </c>
      <c r="F5347">
        <v>0.412178027000356</v>
      </c>
      <c r="G5347">
        <v>0.302086867452732</v>
      </c>
      <c r="H5347">
        <v>0.166633080978489</v>
      </c>
      <c r="I5347">
        <v>0.19841645550124601</v>
      </c>
      <c r="J5347">
        <v>0.22168832447846901</v>
      </c>
      <c r="K5347">
        <v>0.230385854752716</v>
      </c>
      <c r="L5347">
        <v>922.200545432794</v>
      </c>
      <c r="M5347">
        <v>18.446482732457302</v>
      </c>
      <c r="N5347">
        <v>51.399281423195802</v>
      </c>
      <c r="O5347">
        <v>49.416876055884401</v>
      </c>
      <c r="P5347">
        <v>-7.48351682683569E-2</v>
      </c>
      <c r="Q5347">
        <v>0.19812257565691699</v>
      </c>
      <c r="R5347">
        <v>0.993931721169379</v>
      </c>
      <c r="S5347" t="s">
        <v>12350</v>
      </c>
      <c r="T5347" t="s">
        <v>14004</v>
      </c>
      <c r="U5347" t="s">
        <v>14004</v>
      </c>
      <c r="V5347" t="s">
        <v>14004</v>
      </c>
      <c r="W5347" t="s">
        <v>19296</v>
      </c>
      <c r="X5347">
        <v>8</v>
      </c>
      <c r="Y5347" t="s">
        <v>26100</v>
      </c>
      <c r="Z5347" t="s">
        <v>33057</v>
      </c>
      <c r="AA5347">
        <v>0.4782879289647447</v>
      </c>
      <c r="AB5347" t="str">
        <f>HYPERLINK("Melting_Curves/meltCurve_Q96G74_3_OTUD5.pdf", "Melting_Curves/meltCurve_Q96G74_3_OTUD5.pdf")</f>
        <v>Melting_Curves/meltCurve_Q96G74_3_OTUD5.pdf</v>
      </c>
    </row>
    <row r="5348" spans="1:28" x14ac:dyDescent="0.25">
      <c r="A5348" t="s">
        <v>5352</v>
      </c>
      <c r="B5348">
        <v>0.99999676499088797</v>
      </c>
      <c r="C5348">
        <v>0.99384341446525404</v>
      </c>
      <c r="D5348">
        <v>0.87601235100431896</v>
      </c>
      <c r="E5348">
        <v>0.37672434083429501</v>
      </c>
      <c r="F5348">
        <v>0.22125697868750899</v>
      </c>
      <c r="G5348">
        <v>0.166267552719986</v>
      </c>
      <c r="H5348">
        <v>8.9760046708403499E-2</v>
      </c>
      <c r="I5348">
        <v>9.0538545053271399E-2</v>
      </c>
      <c r="J5348">
        <v>0.113008703800369</v>
      </c>
      <c r="K5348">
        <v>0.12199474836931599</v>
      </c>
      <c r="L5348">
        <v>1522.6749772266801</v>
      </c>
      <c r="M5348">
        <v>31.453322510563499</v>
      </c>
      <c r="N5348">
        <v>48.840917098542803</v>
      </c>
      <c r="O5348">
        <v>48.216209223917197</v>
      </c>
      <c r="P5348">
        <v>-0.14335019493319401</v>
      </c>
      <c r="Q5348">
        <v>0.121013158876715</v>
      </c>
      <c r="R5348">
        <v>0.99481993654908996</v>
      </c>
      <c r="S5348" t="s">
        <v>12351</v>
      </c>
      <c r="T5348" t="s">
        <v>14004</v>
      </c>
      <c r="U5348" t="s">
        <v>14004</v>
      </c>
      <c r="V5348" t="s">
        <v>14004</v>
      </c>
      <c r="W5348" t="s">
        <v>19297</v>
      </c>
      <c r="X5348">
        <v>11</v>
      </c>
      <c r="Y5348" t="s">
        <v>26101</v>
      </c>
      <c r="Z5348" t="s">
        <v>33058</v>
      </c>
      <c r="AA5348">
        <v>0.37225852703018608</v>
      </c>
      <c r="AB5348" t="str">
        <f>HYPERLINK("Melting_Curves/meltCurve_Q96GA3_LTV1.pdf", "Melting_Curves/meltCurve_Q96GA3_LTV1.pdf")</f>
        <v>Melting_Curves/meltCurve_Q96GA3_LTV1.pdf</v>
      </c>
    </row>
    <row r="5349" spans="1:28" x14ac:dyDescent="0.25">
      <c r="A5349" t="s">
        <v>5353</v>
      </c>
      <c r="B5349">
        <v>0.99999676499088797</v>
      </c>
      <c r="C5349">
        <v>1.06199132835327</v>
      </c>
      <c r="D5349">
        <v>0.97068076384905699</v>
      </c>
      <c r="E5349">
        <v>0.895336375602093</v>
      </c>
      <c r="F5349">
        <v>0.85790881386994999</v>
      </c>
      <c r="G5349">
        <v>0.73688396912579002</v>
      </c>
      <c r="H5349">
        <v>0.48341344865701003</v>
      </c>
      <c r="I5349">
        <v>0.497516000751141</v>
      </c>
      <c r="J5349">
        <v>0.44188411777658798</v>
      </c>
      <c r="K5349">
        <v>0.36276155514330499</v>
      </c>
      <c r="L5349">
        <v>813.565512493803</v>
      </c>
      <c r="M5349">
        <v>14.1191408550948</v>
      </c>
      <c r="N5349">
        <v>62.521832690530097</v>
      </c>
      <c r="O5349">
        <v>56.502508562859099</v>
      </c>
      <c r="P5349">
        <v>-4.1569590565948E-2</v>
      </c>
      <c r="Q5349">
        <v>0.33466617706574903</v>
      </c>
      <c r="R5349">
        <v>0.97619458854846697</v>
      </c>
      <c r="S5349" t="s">
        <v>12352</v>
      </c>
      <c r="T5349" t="s">
        <v>14004</v>
      </c>
      <c r="U5349" t="s">
        <v>14004</v>
      </c>
      <c r="V5349" t="s">
        <v>14004</v>
      </c>
      <c r="W5349" t="s">
        <v>19298</v>
      </c>
      <c r="X5349">
        <v>20</v>
      </c>
      <c r="Y5349" t="s">
        <v>26102</v>
      </c>
      <c r="Z5349" t="s">
        <v>33059</v>
      </c>
      <c r="AA5349">
        <v>0.73519790351131242</v>
      </c>
      <c r="AB5349" t="str">
        <f>HYPERLINK("Melting_Curves/meltCurve_Q96GD0_PDXP.pdf", "Melting_Curves/meltCurve_Q96GD0_PDXP.pdf")</f>
        <v>Melting_Curves/meltCurve_Q96GD0_PDXP.pdf</v>
      </c>
    </row>
    <row r="5350" spans="1:28" x14ac:dyDescent="0.25">
      <c r="A5350" t="s">
        <v>5354</v>
      </c>
      <c r="B5350">
        <v>0.99999676499088797</v>
      </c>
      <c r="C5350">
        <v>1.13327227230551</v>
      </c>
      <c r="D5350">
        <v>0.80475571597440598</v>
      </c>
      <c r="E5350">
        <v>0.19331505165430801</v>
      </c>
      <c r="F5350">
        <v>0.13146426328253399</v>
      </c>
      <c r="G5350">
        <v>0.12793407588545799</v>
      </c>
      <c r="H5350">
        <v>8.5341353822631402E-2</v>
      </c>
      <c r="I5350">
        <v>0</v>
      </c>
      <c r="J5350">
        <v>0</v>
      </c>
      <c r="K5350">
        <v>0</v>
      </c>
      <c r="L5350">
        <v>2020.9390542239501</v>
      </c>
      <c r="M5350">
        <v>42.500662934442097</v>
      </c>
      <c r="N5350">
        <v>47.681807678994701</v>
      </c>
      <c r="O5350">
        <v>47.445853471257102</v>
      </c>
      <c r="P5350">
        <v>-0.21160082726634699</v>
      </c>
      <c r="Q5350">
        <v>5.5114464169193397E-2</v>
      </c>
      <c r="R5350">
        <v>0.97776116733352403</v>
      </c>
      <c r="S5350" t="s">
        <v>12353</v>
      </c>
      <c r="T5350" t="s">
        <v>14004</v>
      </c>
      <c r="U5350" t="s">
        <v>14004</v>
      </c>
      <c r="V5350" t="s">
        <v>14004</v>
      </c>
      <c r="W5350" t="s">
        <v>19299</v>
      </c>
      <c r="X5350">
        <v>2</v>
      </c>
      <c r="Y5350" t="s">
        <v>26103</v>
      </c>
      <c r="Z5350" t="s">
        <v>33060</v>
      </c>
      <c r="AA5350">
        <v>0.29569151178332143</v>
      </c>
      <c r="AB5350" t="str">
        <f>HYPERLINK("Melting_Curves/meltCurve_Q96GD4_AURKB.pdf", "Melting_Curves/meltCurve_Q96GD4_AURKB.pdf")</f>
        <v>Melting_Curves/meltCurve_Q96GD4_AURKB.pdf</v>
      </c>
    </row>
    <row r="5351" spans="1:28" x14ac:dyDescent="0.25">
      <c r="A5351" t="s">
        <v>5355</v>
      </c>
      <c r="B5351">
        <v>0.99999676499088797</v>
      </c>
      <c r="C5351">
        <v>1.0099627228579</v>
      </c>
      <c r="D5351">
        <v>1.02412830285435</v>
      </c>
      <c r="E5351">
        <v>0.93440778901444899</v>
      </c>
      <c r="F5351">
        <v>0.66177030288890204</v>
      </c>
      <c r="G5351">
        <v>0.69762726721857904</v>
      </c>
      <c r="H5351">
        <v>0.49809450880100897</v>
      </c>
      <c r="I5351">
        <v>0.47275668176569502</v>
      </c>
      <c r="J5351">
        <v>0.41343068779643</v>
      </c>
      <c r="K5351">
        <v>0.26930256167642302</v>
      </c>
      <c r="L5351">
        <v>611.25078917780002</v>
      </c>
      <c r="M5351">
        <v>10.526649805810701</v>
      </c>
      <c r="N5351">
        <v>61.380199648854202</v>
      </c>
      <c r="O5351">
        <v>56.088864578969002</v>
      </c>
      <c r="P5351">
        <v>-3.6765251300655798E-2</v>
      </c>
      <c r="Q5351">
        <v>0.21673176352100701</v>
      </c>
      <c r="R5351">
        <v>0.95448417900847304</v>
      </c>
      <c r="S5351" t="s">
        <v>12354</v>
      </c>
      <c r="T5351" t="s">
        <v>14004</v>
      </c>
      <c r="U5351" t="s">
        <v>14004</v>
      </c>
      <c r="V5351" t="s">
        <v>14004</v>
      </c>
      <c r="W5351" t="s">
        <v>19300</v>
      </c>
      <c r="X5351">
        <v>1</v>
      </c>
      <c r="Y5351" t="s">
        <v>26104</v>
      </c>
      <c r="Z5351" t="s">
        <v>33061</v>
      </c>
      <c r="AA5351">
        <v>0.69669136526971365</v>
      </c>
      <c r="AB5351" t="str">
        <f>HYPERLINK("Melting_Curves/meltCurve_Q96GF1_RNF185.pdf", "Melting_Curves/meltCurve_Q96GF1_RNF185.pdf")</f>
        <v>Melting_Curves/meltCurve_Q96GF1_RNF185.pdf</v>
      </c>
    </row>
    <row r="5352" spans="1:28" x14ac:dyDescent="0.25">
      <c r="A5352" t="s">
        <v>5356</v>
      </c>
      <c r="B5352">
        <v>0.99999676499088797</v>
      </c>
      <c r="C5352">
        <v>1.00264209235873</v>
      </c>
      <c r="D5352">
        <v>1.04410713020724</v>
      </c>
      <c r="E5352">
        <v>0.86822695116862703</v>
      </c>
      <c r="F5352">
        <v>0.26050842703823002</v>
      </c>
      <c r="G5352">
        <v>0.16308265009882</v>
      </c>
      <c r="H5352">
        <v>6.3119218495660698E-2</v>
      </c>
      <c r="I5352">
        <v>5.29197245727826E-2</v>
      </c>
      <c r="J5352">
        <v>4.9717910032802598E-2</v>
      </c>
      <c r="K5352">
        <v>3.8155189074578599E-2</v>
      </c>
      <c r="L5352">
        <v>2198.35635986137</v>
      </c>
      <c r="M5352">
        <v>42.568704598199801</v>
      </c>
      <c r="N5352">
        <v>51.817183689364001</v>
      </c>
      <c r="O5352">
        <v>51.528970118756398</v>
      </c>
      <c r="P5352">
        <v>-0.19272708220231599</v>
      </c>
      <c r="Q5352">
        <v>6.6825067183812398E-2</v>
      </c>
      <c r="R5352">
        <v>0.99473097669390997</v>
      </c>
      <c r="S5352" t="s">
        <v>12355</v>
      </c>
      <c r="T5352" t="s">
        <v>14004</v>
      </c>
      <c r="U5352" t="s">
        <v>14004</v>
      </c>
      <c r="V5352" t="s">
        <v>14004</v>
      </c>
      <c r="W5352" t="s">
        <v>19301</v>
      </c>
      <c r="X5352">
        <v>11</v>
      </c>
      <c r="Y5352" t="s">
        <v>26105</v>
      </c>
      <c r="Z5352" t="s">
        <v>33062</v>
      </c>
      <c r="AA5352">
        <v>0.43191426286043288</v>
      </c>
      <c r="AB5352" t="str">
        <f>HYPERLINK("Melting_Curves/meltCurve_Q96GG9_DCUN1D1.pdf", "Melting_Curves/meltCurve_Q96GG9_DCUN1D1.pdf")</f>
        <v>Melting_Curves/meltCurve_Q96GG9_DCUN1D1.pdf</v>
      </c>
    </row>
    <row r="5353" spans="1:28" x14ac:dyDescent="0.25">
      <c r="A5353" t="s">
        <v>5357</v>
      </c>
      <c r="B5353">
        <v>0.99999676499088797</v>
      </c>
      <c r="C5353">
        <v>0.98626085001483699</v>
      </c>
      <c r="D5353">
        <v>0.96813070693143899</v>
      </c>
      <c r="E5353">
        <v>1.0843429653527601</v>
      </c>
      <c r="F5353">
        <v>1.1018107995252699</v>
      </c>
      <c r="G5353">
        <v>0.72000656193326595</v>
      </c>
      <c r="H5353">
        <v>0.37411807351417598</v>
      </c>
      <c r="I5353">
        <v>0.18283533749744199</v>
      </c>
      <c r="J5353">
        <v>0.13194749910237499</v>
      </c>
      <c r="K5353">
        <v>0.11391180268519301</v>
      </c>
      <c r="L5353">
        <v>1845.43448667845</v>
      </c>
      <c r="M5353">
        <v>31.416830830452799</v>
      </c>
      <c r="N5353">
        <v>59.252404000987298</v>
      </c>
      <c r="O5353">
        <v>58.5038551836614</v>
      </c>
      <c r="P5353">
        <v>-0.118290594887155</v>
      </c>
      <c r="Q5353">
        <v>0.118890309164664</v>
      </c>
      <c r="R5353">
        <v>0.98053190431181603</v>
      </c>
      <c r="S5353" t="s">
        <v>12356</v>
      </c>
      <c r="T5353" t="s">
        <v>14004</v>
      </c>
      <c r="U5353" t="s">
        <v>14004</v>
      </c>
      <c r="V5353" t="s">
        <v>14004</v>
      </c>
      <c r="W5353" t="s">
        <v>19302</v>
      </c>
      <c r="X5353">
        <v>13</v>
      </c>
      <c r="Y5353" t="s">
        <v>26106</v>
      </c>
      <c r="Z5353" t="s">
        <v>33063</v>
      </c>
      <c r="AA5353">
        <v>0.67459364970071067</v>
      </c>
      <c r="AB5353" t="str">
        <f>HYPERLINK("Melting_Curves/meltCurve_Q96GK7_FAHD2A.pdf", "Melting_Curves/meltCurve_Q96GK7_FAHD2A.pdf")</f>
        <v>Melting_Curves/meltCurve_Q96GK7_FAHD2A.pdf</v>
      </c>
    </row>
    <row r="5354" spans="1:28" x14ac:dyDescent="0.25">
      <c r="A5354" t="s">
        <v>5358</v>
      </c>
      <c r="B5354">
        <v>0.99999676499088797</v>
      </c>
      <c r="C5354">
        <v>0.93453790891135602</v>
      </c>
      <c r="D5354">
        <v>0.66856641515961501</v>
      </c>
      <c r="E5354">
        <v>0.29470326750643999</v>
      </c>
      <c r="F5354">
        <v>0.22832935228225301</v>
      </c>
      <c r="G5354">
        <v>0.14747448265906099</v>
      </c>
      <c r="H5354">
        <v>7.6497953204733196E-2</v>
      </c>
      <c r="I5354">
        <v>0.10157491692672301</v>
      </c>
      <c r="J5354">
        <v>0.10897772484980001</v>
      </c>
      <c r="K5354">
        <v>7.4584617312312904E-2</v>
      </c>
      <c r="L5354">
        <v>1057.3918921624099</v>
      </c>
      <c r="M5354">
        <v>22.430409707859699</v>
      </c>
      <c r="N5354">
        <v>47.629851670631403</v>
      </c>
      <c r="O5354">
        <v>46.771080497782002</v>
      </c>
      <c r="P5354">
        <v>-0.1075693398504</v>
      </c>
      <c r="Q5354">
        <v>0.102819313705552</v>
      </c>
      <c r="R5354">
        <v>0.99334699705130503</v>
      </c>
      <c r="S5354" t="s">
        <v>12357</v>
      </c>
      <c r="T5354" t="s">
        <v>14004</v>
      </c>
      <c r="U5354" t="s">
        <v>14004</v>
      </c>
      <c r="V5354" t="s">
        <v>14004</v>
      </c>
      <c r="W5354" t="s">
        <v>19303</v>
      </c>
      <c r="X5354">
        <v>15</v>
      </c>
      <c r="Y5354" t="s">
        <v>26107</v>
      </c>
      <c r="Z5354" t="s">
        <v>33064</v>
      </c>
      <c r="AA5354">
        <v>0.3265227579466714</v>
      </c>
      <c r="AB5354" t="str">
        <f>HYPERLINK("Melting_Curves/meltCurve_Q96GM5_SMARCD1.pdf", "Melting_Curves/meltCurve_Q96GM5_SMARCD1.pdf")</f>
        <v>Melting_Curves/meltCurve_Q96GM5_SMARCD1.pdf</v>
      </c>
    </row>
    <row r="5355" spans="1:28" x14ac:dyDescent="0.25">
      <c r="A5355" t="s">
        <v>5359</v>
      </c>
      <c r="B5355">
        <v>0.99999676499088797</v>
      </c>
      <c r="C5355">
        <v>1.06967487890963</v>
      </c>
      <c r="D5355">
        <v>1.0333483741096401</v>
      </c>
      <c r="E5355">
        <v>0.91770081186945696</v>
      </c>
      <c r="F5355">
        <v>0.59847700523496405</v>
      </c>
      <c r="G5355">
        <v>0.32733261903752298</v>
      </c>
      <c r="H5355">
        <v>8.7960510814532905E-2</v>
      </c>
      <c r="I5355">
        <v>9.9780998089303602E-2</v>
      </c>
      <c r="J5355">
        <v>8.3670473446738697E-2</v>
      </c>
      <c r="K5355">
        <v>7.0319076968308206E-2</v>
      </c>
      <c r="L5355">
        <v>1316.2165386286399</v>
      </c>
      <c r="M5355">
        <v>24.3405013362527</v>
      </c>
      <c r="N5355">
        <v>54.401816427056502</v>
      </c>
      <c r="O5355">
        <v>53.7141401643119</v>
      </c>
      <c r="P5355">
        <v>-0.105586468794744</v>
      </c>
      <c r="Q5355">
        <v>6.7989565640663496E-2</v>
      </c>
      <c r="R5355">
        <v>0.99357103648313005</v>
      </c>
      <c r="S5355" t="s">
        <v>12358</v>
      </c>
      <c r="T5355" t="s">
        <v>14004</v>
      </c>
      <c r="U5355" t="s">
        <v>14004</v>
      </c>
      <c r="V5355" t="s">
        <v>14004</v>
      </c>
      <c r="W5355" t="s">
        <v>19304</v>
      </c>
      <c r="X5355">
        <v>14</v>
      </c>
      <c r="Y5355" t="s">
        <v>26108</v>
      </c>
      <c r="Z5355" t="s">
        <v>33065</v>
      </c>
      <c r="AA5355">
        <v>0.5143157274586847</v>
      </c>
      <c r="AB5355" t="str">
        <f>HYPERLINK("Melting_Curves/meltCurve_Q96GM8_TOE1.pdf", "Melting_Curves/meltCurve_Q96GM8_TOE1.pdf")</f>
        <v>Melting_Curves/meltCurve_Q96GM8_TOE1.pdf</v>
      </c>
    </row>
    <row r="5356" spans="1:28" x14ac:dyDescent="0.25">
      <c r="A5356" t="s">
        <v>5360</v>
      </c>
      <c r="B5356">
        <v>0.99999676499088797</v>
      </c>
      <c r="C5356">
        <v>1.0101835383823801</v>
      </c>
      <c r="D5356">
        <v>1.1071714145771001</v>
      </c>
      <c r="E5356">
        <v>0.714559538957661</v>
      </c>
      <c r="F5356">
        <v>0.29580481259698199</v>
      </c>
      <c r="G5356">
        <v>0.18612731524513601</v>
      </c>
      <c r="H5356">
        <v>0.111141223569938</v>
      </c>
      <c r="I5356">
        <v>0.22292937617337</v>
      </c>
      <c r="J5356">
        <v>0.22130277787383701</v>
      </c>
      <c r="K5356">
        <v>0.111449282207101</v>
      </c>
      <c r="L5356">
        <v>2028.44511531231</v>
      </c>
      <c r="M5356">
        <v>40.130262852497502</v>
      </c>
      <c r="N5356">
        <v>51.082677700570301</v>
      </c>
      <c r="O5356">
        <v>50.421497786680703</v>
      </c>
      <c r="P5356">
        <v>-0.164776379334582</v>
      </c>
      <c r="Q5356">
        <v>0.17187150925919301</v>
      </c>
      <c r="R5356">
        <v>0.98107614859899095</v>
      </c>
      <c r="S5356" t="s">
        <v>12359</v>
      </c>
      <c r="T5356" t="s">
        <v>14004</v>
      </c>
      <c r="U5356" t="s">
        <v>14004</v>
      </c>
      <c r="V5356" t="s">
        <v>14004</v>
      </c>
      <c r="W5356" t="s">
        <v>19305</v>
      </c>
      <c r="X5356">
        <v>5</v>
      </c>
      <c r="Y5356" t="s">
        <v>26109</v>
      </c>
      <c r="Z5356" t="s">
        <v>33066</v>
      </c>
      <c r="AA5356">
        <v>0.46587544589811591</v>
      </c>
      <c r="AB5356" t="str">
        <f>HYPERLINK("Melting_Curves/meltCurve_Q96GQ7_DDX27.pdf", "Melting_Curves/meltCurve_Q96GQ7_DDX27.pdf")</f>
        <v>Melting_Curves/meltCurve_Q96GQ7_DDX27.pdf</v>
      </c>
    </row>
    <row r="5357" spans="1:28" x14ac:dyDescent="0.25">
      <c r="A5357" t="s">
        <v>5361</v>
      </c>
      <c r="B5357">
        <v>0.99999676499088797</v>
      </c>
      <c r="C5357">
        <v>1.0385280682857101</v>
      </c>
      <c r="D5357">
        <v>0.94040498665654504</v>
      </c>
      <c r="E5357">
        <v>0.95076716437344599</v>
      </c>
      <c r="F5357">
        <v>0.97144292587241998</v>
      </c>
      <c r="G5357">
        <v>0.624436254571065</v>
      </c>
      <c r="H5357">
        <v>0.218535874110935</v>
      </c>
      <c r="I5357">
        <v>0.13071904778708399</v>
      </c>
      <c r="J5357">
        <v>9.8051234125211606E-2</v>
      </c>
      <c r="K5357">
        <v>8.3031120007539996E-2</v>
      </c>
      <c r="L5357">
        <v>1963.6693073607701</v>
      </c>
      <c r="M5357">
        <v>34.181117426570403</v>
      </c>
      <c r="N5357">
        <v>57.796952481766603</v>
      </c>
      <c r="O5357">
        <v>57.2533561219822</v>
      </c>
      <c r="P5357">
        <v>-0.135372803982581</v>
      </c>
      <c r="Q5357">
        <v>9.3005584380668804E-2</v>
      </c>
      <c r="R5357">
        <v>0.99493449452935501</v>
      </c>
      <c r="S5357" t="s">
        <v>12360</v>
      </c>
      <c r="T5357" t="s">
        <v>14004</v>
      </c>
      <c r="U5357" t="s">
        <v>14004</v>
      </c>
      <c r="V5357" t="s">
        <v>14004</v>
      </c>
      <c r="W5357" t="s">
        <v>19306</v>
      </c>
      <c r="X5357">
        <v>14</v>
      </c>
      <c r="Y5357" t="s">
        <v>26110</v>
      </c>
      <c r="Z5357" t="s">
        <v>33067</v>
      </c>
      <c r="AA5357">
        <v>0.62531500986184996</v>
      </c>
      <c r="AB5357" t="str">
        <f>HYPERLINK("Melting_Curves/meltCurve_Q96GS4_C17orf59.pdf", "Melting_Curves/meltCurve_Q96GS4_C17orf59.pdf")</f>
        <v>Melting_Curves/meltCurve_Q96GS4_C17orf59.pdf</v>
      </c>
    </row>
    <row r="5358" spans="1:28" x14ac:dyDescent="0.25">
      <c r="A5358" t="s">
        <v>5362</v>
      </c>
      <c r="B5358">
        <v>0.99999676499088797</v>
      </c>
      <c r="C5358">
        <v>1.1542851306455799</v>
      </c>
      <c r="D5358">
        <v>1.2259084972297001</v>
      </c>
      <c r="E5358">
        <v>1.4085965567144001</v>
      </c>
      <c r="F5358">
        <v>1.3295721792587101</v>
      </c>
      <c r="G5358">
        <v>1.2310343280249101</v>
      </c>
      <c r="H5358">
        <v>0.77212758266056003</v>
      </c>
      <c r="I5358">
        <v>0.58369227797978096</v>
      </c>
      <c r="J5358">
        <v>0.481964397203688</v>
      </c>
      <c r="K5358">
        <v>0.64934909028030396</v>
      </c>
      <c r="L5358">
        <v>10636.8536451495</v>
      </c>
      <c r="M5358">
        <v>175.07620941475901</v>
      </c>
      <c r="O5358">
        <v>60.7476360718886</v>
      </c>
      <c r="P5358">
        <v>-0.308631426344604</v>
      </c>
      <c r="Q5358">
        <v>0.57164643850594898</v>
      </c>
      <c r="R5358">
        <v>0.58924712283179204</v>
      </c>
      <c r="S5358" t="s">
        <v>12361</v>
      </c>
      <c r="T5358" t="s">
        <v>14004</v>
      </c>
      <c r="U5358" t="s">
        <v>14004</v>
      </c>
      <c r="V5358" t="s">
        <v>14004</v>
      </c>
      <c r="W5358" t="s">
        <v>19307</v>
      </c>
      <c r="X5358">
        <v>4</v>
      </c>
      <c r="Y5358" t="s">
        <v>26111</v>
      </c>
      <c r="Z5358" t="s">
        <v>33068</v>
      </c>
      <c r="AA5358">
        <v>0.86809689842576565</v>
      </c>
      <c r="AB5358" t="str">
        <f>HYPERLINK("Melting_Curves/meltCurve_Q96GS6_ABHD17A.pdf", "Melting_Curves/meltCurve_Q96GS6_ABHD17A.pdf")</f>
        <v>Melting_Curves/meltCurve_Q96GS6_ABHD17A.pdf</v>
      </c>
    </row>
    <row r="5359" spans="1:28" x14ac:dyDescent="0.25">
      <c r="A5359" t="s">
        <v>5363</v>
      </c>
      <c r="B5359">
        <v>0.99999676499088797</v>
      </c>
      <c r="C5359">
        <v>1.09117911177169</v>
      </c>
      <c r="D5359">
        <v>1.01727898255433</v>
      </c>
      <c r="E5359">
        <v>1.08682828652515</v>
      </c>
      <c r="F5359">
        <v>1.00208743058173</v>
      </c>
      <c r="G5359">
        <v>0.82387896728559895</v>
      </c>
      <c r="H5359">
        <v>0.28880740549517803</v>
      </c>
      <c r="I5359">
        <v>0.15659563871065799</v>
      </c>
      <c r="J5359">
        <v>0.110655429493702</v>
      </c>
      <c r="K5359">
        <v>9.2428044157958397E-2</v>
      </c>
      <c r="L5359">
        <v>2363.6365486444602</v>
      </c>
      <c r="M5359">
        <v>40.199262150551398</v>
      </c>
      <c r="N5359">
        <v>59.145052839245501</v>
      </c>
      <c r="O5359">
        <v>58.653064377517403</v>
      </c>
      <c r="P5359">
        <v>-0.153342234582796</v>
      </c>
      <c r="Q5359">
        <v>0.105060816147894</v>
      </c>
      <c r="R5359">
        <v>0.990376355959524</v>
      </c>
      <c r="S5359" t="s">
        <v>12362</v>
      </c>
      <c r="T5359" t="s">
        <v>14004</v>
      </c>
      <c r="U5359" t="s">
        <v>14004</v>
      </c>
      <c r="V5359" t="s">
        <v>14004</v>
      </c>
      <c r="W5359" t="s">
        <v>19308</v>
      </c>
      <c r="X5359">
        <v>15</v>
      </c>
      <c r="Y5359" t="s">
        <v>26112</v>
      </c>
      <c r="Z5359" t="s">
        <v>33069</v>
      </c>
      <c r="AA5359">
        <v>0.66932617710693898</v>
      </c>
      <c r="AB5359" t="str">
        <f>HYPERLINK("Melting_Curves/meltCurve_Q96GW9_MARS2.pdf", "Melting_Curves/meltCurve_Q96GW9_MARS2.pdf")</f>
        <v>Melting_Curves/meltCurve_Q96GW9_MARS2.pdf</v>
      </c>
    </row>
    <row r="5360" spans="1:28" x14ac:dyDescent="0.25">
      <c r="A5360" t="s">
        <v>5364</v>
      </c>
      <c r="B5360">
        <v>0.99999676499088797</v>
      </c>
      <c r="C5360">
        <v>1.1237896596783099</v>
      </c>
      <c r="D5360">
        <v>1.25399727269881</v>
      </c>
      <c r="E5360">
        <v>1.5704381676955199</v>
      </c>
      <c r="F5360">
        <v>1.10847846426181</v>
      </c>
      <c r="G5360">
        <v>0.48081906570836203</v>
      </c>
      <c r="H5360">
        <v>0.17301321912817899</v>
      </c>
      <c r="I5360">
        <v>0.18807339991626501</v>
      </c>
      <c r="J5360">
        <v>0.12132712017054301</v>
      </c>
      <c r="K5360">
        <v>0.211225250287536</v>
      </c>
      <c r="L5360">
        <v>14170.2327072383</v>
      </c>
      <c r="M5360">
        <v>250</v>
      </c>
      <c r="N5360">
        <v>56.777643325422503</v>
      </c>
      <c r="O5360">
        <v>56.677296518984797</v>
      </c>
      <c r="P5360">
        <v>-0.91150934039238796</v>
      </c>
      <c r="Q5360">
        <v>0.17340973448118999</v>
      </c>
      <c r="R5360">
        <v>0.84142988392305995</v>
      </c>
      <c r="S5360" t="s">
        <v>12363</v>
      </c>
      <c r="T5360" t="s">
        <v>14004</v>
      </c>
      <c r="U5360" t="s">
        <v>14004</v>
      </c>
      <c r="V5360" t="s">
        <v>14004</v>
      </c>
      <c r="W5360" t="s">
        <v>19309</v>
      </c>
      <c r="X5360">
        <v>5</v>
      </c>
      <c r="Y5360" t="s">
        <v>26113</v>
      </c>
      <c r="Z5360" t="s">
        <v>33070</v>
      </c>
      <c r="AA5360">
        <v>0.63310179361329777</v>
      </c>
      <c r="AB5360" t="str">
        <f>HYPERLINK("Melting_Curves/meltCurve_Q96GX2_ATXN7L3B.pdf", "Melting_Curves/meltCurve_Q96GX2_ATXN7L3B.pdf")</f>
        <v>Melting_Curves/meltCurve_Q96GX2_ATXN7L3B.pdf</v>
      </c>
    </row>
    <row r="5361" spans="1:28" x14ac:dyDescent="0.25">
      <c r="A5361" t="s">
        <v>5365</v>
      </c>
      <c r="B5361">
        <v>0.99999676499088797</v>
      </c>
      <c r="C5361">
        <v>0.87031982485475501</v>
      </c>
      <c r="D5361">
        <v>0.48067112630467301</v>
      </c>
      <c r="E5361">
        <v>0.17172921002962099</v>
      </c>
      <c r="F5361">
        <v>0.109869422723888</v>
      </c>
      <c r="G5361">
        <v>7.2398856680761597E-2</v>
      </c>
      <c r="H5361">
        <v>2.9003486893230498E-2</v>
      </c>
      <c r="I5361">
        <v>4.75102376208556E-2</v>
      </c>
      <c r="J5361">
        <v>2.9346667797348899E-2</v>
      </c>
      <c r="K5361">
        <v>2.0934795519849302E-2</v>
      </c>
      <c r="L5361">
        <v>1166.4565772641899</v>
      </c>
      <c r="M5361">
        <v>25.461435447605801</v>
      </c>
      <c r="N5361">
        <v>45.9836085629331</v>
      </c>
      <c r="O5361">
        <v>45.532901096850203</v>
      </c>
      <c r="P5361">
        <v>-0.13348716055036799</v>
      </c>
      <c r="Q5361">
        <v>4.5147451489449597E-2</v>
      </c>
      <c r="R5361">
        <v>0.99669533131897403</v>
      </c>
      <c r="S5361" t="s">
        <v>12364</v>
      </c>
      <c r="T5361" t="s">
        <v>14004</v>
      </c>
      <c r="U5361" t="s">
        <v>14004</v>
      </c>
      <c r="V5361" t="s">
        <v>14004</v>
      </c>
      <c r="W5361" t="s">
        <v>19310</v>
      </c>
      <c r="X5361">
        <v>4</v>
      </c>
      <c r="Y5361" t="s">
        <v>26114</v>
      </c>
      <c r="Z5361" t="s">
        <v>33071</v>
      </c>
      <c r="AA5361">
        <v>0.23869781101200971</v>
      </c>
      <c r="AB5361" t="str">
        <f>HYPERLINK("Melting_Curves/meltCurve_Q96GX5_2_MASTL.pdf", "Melting_Curves/meltCurve_Q96GX5_2_MASTL.pdf")</f>
        <v>Melting_Curves/meltCurve_Q96GX5_2_MASTL.pdf</v>
      </c>
    </row>
    <row r="5362" spans="1:28" x14ac:dyDescent="0.25">
      <c r="A5362" t="s">
        <v>5366</v>
      </c>
      <c r="B5362">
        <v>0.99999676499088797</v>
      </c>
      <c r="C5362">
        <v>1.05624013426033</v>
      </c>
      <c r="D5362">
        <v>1.0366945577098501</v>
      </c>
      <c r="E5362">
        <v>0.93578721663103404</v>
      </c>
      <c r="F5362">
        <v>0.75628991574393201</v>
      </c>
      <c r="G5362">
        <v>0.60517017513445404</v>
      </c>
      <c r="H5362">
        <v>0.42660439637459802</v>
      </c>
      <c r="I5362">
        <v>0.40167866829749699</v>
      </c>
      <c r="J5362">
        <v>0.35580029369253402</v>
      </c>
      <c r="K5362">
        <v>0.31006116519119598</v>
      </c>
      <c r="L5362">
        <v>1000.69066274823</v>
      </c>
      <c r="M5362">
        <v>18.037026626105199</v>
      </c>
      <c r="N5362">
        <v>58.807480750572701</v>
      </c>
      <c r="O5362">
        <v>54.8113301312519</v>
      </c>
      <c r="P5362">
        <v>-5.5960393437745698E-2</v>
      </c>
      <c r="Q5362">
        <v>0.31981836792492202</v>
      </c>
      <c r="R5362">
        <v>0.98926476895345905</v>
      </c>
      <c r="S5362" t="s">
        <v>12365</v>
      </c>
      <c r="T5362" t="s">
        <v>14004</v>
      </c>
      <c r="U5362" t="s">
        <v>14004</v>
      </c>
      <c r="V5362" t="s">
        <v>14004</v>
      </c>
      <c r="W5362" t="s">
        <v>19311</v>
      </c>
      <c r="X5362">
        <v>19</v>
      </c>
      <c r="Y5362" t="s">
        <v>26115</v>
      </c>
      <c r="Z5362" t="s">
        <v>33072</v>
      </c>
      <c r="AA5362">
        <v>0.68106212281097833</v>
      </c>
      <c r="AB5362" t="str">
        <f>HYPERLINK("Melting_Curves/meltCurve_Q96GX9_APIP.pdf", "Melting_Curves/meltCurve_Q96GX9_APIP.pdf")</f>
        <v>Melting_Curves/meltCurve_Q96GX9_APIP.pdf</v>
      </c>
    </row>
    <row r="5363" spans="1:28" x14ac:dyDescent="0.25">
      <c r="A5363" t="s">
        <v>5367</v>
      </c>
      <c r="B5363">
        <v>0.99999676499088797</v>
      </c>
      <c r="C5363">
        <v>0.95883736315776802</v>
      </c>
      <c r="D5363">
        <v>0.97500887066189501</v>
      </c>
      <c r="E5363">
        <v>0.97616293230344098</v>
      </c>
      <c r="F5363">
        <v>0.79700729140094495</v>
      </c>
      <c r="G5363">
        <v>0.75245492388915303</v>
      </c>
      <c r="H5363">
        <v>0.49854181476315701</v>
      </c>
      <c r="I5363">
        <v>0.52172817135034399</v>
      </c>
      <c r="J5363">
        <v>0.43132999225194302</v>
      </c>
      <c r="K5363">
        <v>0.54349061086109596</v>
      </c>
      <c r="L5363">
        <v>1063.05133685189</v>
      </c>
      <c r="M5363">
        <v>19.094814901951899</v>
      </c>
      <c r="N5363">
        <v>65.066313099280805</v>
      </c>
      <c r="O5363">
        <v>55.0724327366474</v>
      </c>
      <c r="P5363">
        <v>-4.6093773657086202E-2</v>
      </c>
      <c r="Q5363">
        <v>0.46825417651168999</v>
      </c>
      <c r="R5363">
        <v>0.95691908097137002</v>
      </c>
      <c r="S5363" t="s">
        <v>12366</v>
      </c>
      <c r="T5363" t="s">
        <v>14004</v>
      </c>
      <c r="U5363" t="s">
        <v>14004</v>
      </c>
      <c r="V5363" t="s">
        <v>14004</v>
      </c>
      <c r="W5363" t="s">
        <v>19312</v>
      </c>
      <c r="X5363">
        <v>17</v>
      </c>
      <c r="Y5363" t="s">
        <v>26115</v>
      </c>
      <c r="Z5363" t="s">
        <v>33073</v>
      </c>
      <c r="AA5363">
        <v>0.75343376232764259</v>
      </c>
      <c r="AB5363" t="str">
        <f>HYPERLINK("Melting_Curves/meltCurve_Q96GX9_3_APIP.pdf", "Melting_Curves/meltCurve_Q96GX9_3_APIP.pdf")</f>
        <v>Melting_Curves/meltCurve_Q96GX9_3_APIP.pdf</v>
      </c>
    </row>
    <row r="5364" spans="1:28" x14ac:dyDescent="0.25">
      <c r="A5364" t="s">
        <v>5368</v>
      </c>
      <c r="B5364">
        <v>0.99999676499088797</v>
      </c>
      <c r="C5364">
        <v>1.04925399389347</v>
      </c>
      <c r="D5364">
        <v>1.05899956007551</v>
      </c>
      <c r="E5364">
        <v>1.0516750255563101</v>
      </c>
      <c r="F5364">
        <v>0.75681663137662403</v>
      </c>
      <c r="G5364">
        <v>0.76706756403084198</v>
      </c>
      <c r="H5364">
        <v>0.45048050511361498</v>
      </c>
      <c r="I5364">
        <v>0.42014163830588802</v>
      </c>
      <c r="J5364">
        <v>0.33670182113729002</v>
      </c>
      <c r="K5364">
        <v>0.30741990790276202</v>
      </c>
      <c r="L5364">
        <v>1009.09295785631</v>
      </c>
      <c r="M5364">
        <v>17.4548347817855</v>
      </c>
      <c r="N5364">
        <v>60.668526122343998</v>
      </c>
      <c r="O5364">
        <v>57.068855799879898</v>
      </c>
      <c r="P5364">
        <v>-5.5040935097065501E-2</v>
      </c>
      <c r="Q5364">
        <v>0.28021129223817698</v>
      </c>
      <c r="R5364">
        <v>0.96000807207433203</v>
      </c>
      <c r="S5364" t="s">
        <v>12367</v>
      </c>
      <c r="T5364" t="s">
        <v>14004</v>
      </c>
      <c r="U5364" t="s">
        <v>14004</v>
      </c>
      <c r="V5364" t="s">
        <v>14004</v>
      </c>
      <c r="W5364" t="s">
        <v>19313</v>
      </c>
      <c r="X5364">
        <v>7</v>
      </c>
      <c r="Y5364" t="s">
        <v>26116</v>
      </c>
      <c r="Z5364" t="s">
        <v>33074</v>
      </c>
      <c r="AA5364">
        <v>0.71687968739651864</v>
      </c>
      <c r="AB5364" t="str">
        <f>HYPERLINK("Melting_Curves/meltCurve_Q96GY0_ZC2HC1A.pdf", "Melting_Curves/meltCurve_Q96GY0_ZC2HC1A.pdf")</f>
        <v>Melting_Curves/meltCurve_Q96GY0_ZC2HC1A.pdf</v>
      </c>
    </row>
    <row r="5365" spans="1:28" x14ac:dyDescent="0.25">
      <c r="A5365" t="s">
        <v>5369</v>
      </c>
      <c r="B5365">
        <v>0.99999676499088797</v>
      </c>
      <c r="C5365">
        <v>0.97173607705604403</v>
      </c>
      <c r="D5365">
        <v>1.0281192006873801</v>
      </c>
      <c r="E5365">
        <v>1.0813442403925499</v>
      </c>
      <c r="F5365">
        <v>0.55723928211233598</v>
      </c>
      <c r="G5365">
        <v>0.18807274464066301</v>
      </c>
      <c r="H5365">
        <v>6.8141313641958801E-2</v>
      </c>
      <c r="I5365">
        <v>6.1994434256809401E-2</v>
      </c>
      <c r="J5365">
        <v>6.1369496569765203E-2</v>
      </c>
      <c r="K5365">
        <v>3.9728377836027798E-2</v>
      </c>
      <c r="L5365">
        <v>2413.0311660351199</v>
      </c>
      <c r="M5365">
        <v>45.141854708397801</v>
      </c>
      <c r="N5365">
        <v>53.628641851896099</v>
      </c>
      <c r="O5365">
        <v>53.349800966741199</v>
      </c>
      <c r="P5365">
        <v>-0.19711027293212899</v>
      </c>
      <c r="Q5365">
        <v>6.8200886396407798E-2</v>
      </c>
      <c r="R5365">
        <v>0.99061908587459901</v>
      </c>
      <c r="S5365" t="s">
        <v>12368</v>
      </c>
      <c r="T5365" t="s">
        <v>14004</v>
      </c>
      <c r="U5365" t="s">
        <v>14004</v>
      </c>
      <c r="V5365" t="s">
        <v>14004</v>
      </c>
      <c r="W5365" t="s">
        <v>19314</v>
      </c>
      <c r="X5365">
        <v>10</v>
      </c>
      <c r="Y5365" t="s">
        <v>26117</v>
      </c>
      <c r="Z5365" t="s">
        <v>33075</v>
      </c>
      <c r="AA5365">
        <v>0.48879177001850671</v>
      </c>
      <c r="AB5365" t="str">
        <f>HYPERLINK("Melting_Curves/meltCurve_Q96H20_SNF8.pdf", "Melting_Curves/meltCurve_Q96H20_SNF8.pdf")</f>
        <v>Melting_Curves/meltCurve_Q96H20_SNF8.pdf</v>
      </c>
    </row>
    <row r="5366" spans="1:28" x14ac:dyDescent="0.25">
      <c r="A5366" t="s">
        <v>5370</v>
      </c>
      <c r="B5366">
        <v>0.99999676499088797</v>
      </c>
      <c r="C5366">
        <v>1.0051277195305901</v>
      </c>
      <c r="D5366">
        <v>1.03549910175491</v>
      </c>
      <c r="E5366">
        <v>0.848169238914944</v>
      </c>
      <c r="F5366">
        <v>0.73786717850470895</v>
      </c>
      <c r="G5366">
        <v>0.67041520318340997</v>
      </c>
      <c r="H5366">
        <v>0.26132246146897598</v>
      </c>
      <c r="I5366">
        <v>7.9315887610222999E-2</v>
      </c>
      <c r="J5366">
        <v>7.5780236627259606E-2</v>
      </c>
      <c r="K5366">
        <v>5.7799075474307501E-2</v>
      </c>
      <c r="L5366">
        <v>986.71022961669701</v>
      </c>
      <c r="M5366">
        <v>17.148620975018599</v>
      </c>
      <c r="N5366">
        <v>57.5387513956113</v>
      </c>
      <c r="O5366">
        <v>56.773402484791298</v>
      </c>
      <c r="P5366">
        <v>-7.5517955153955305E-2</v>
      </c>
      <c r="Q5366">
        <v>0</v>
      </c>
      <c r="R5366">
        <v>0.97810083101444201</v>
      </c>
      <c r="S5366" t="s">
        <v>12369</v>
      </c>
      <c r="T5366" t="s">
        <v>14004</v>
      </c>
      <c r="U5366" t="s">
        <v>14004</v>
      </c>
      <c r="V5366" t="s">
        <v>14004</v>
      </c>
      <c r="W5366" t="s">
        <v>19315</v>
      </c>
      <c r="X5366">
        <v>3</v>
      </c>
      <c r="Y5366" t="s">
        <v>26118</v>
      </c>
      <c r="Z5366" t="s">
        <v>33076</v>
      </c>
      <c r="AA5366">
        <v>0.59817233449382923</v>
      </c>
      <c r="AB5366" t="str">
        <f>HYPERLINK("Melting_Curves/meltCurve_Q96H22_4_CENPN.pdf", "Melting_Curves/meltCurve_Q96H22_4_CENPN.pdf")</f>
        <v>Melting_Curves/meltCurve_Q96H22_4_CENPN.pdf</v>
      </c>
    </row>
    <row r="5367" spans="1:28" x14ac:dyDescent="0.25">
      <c r="A5367" t="s">
        <v>5371</v>
      </c>
      <c r="B5367">
        <v>0.99999676499088797</v>
      </c>
      <c r="C5367">
        <v>1.2057906483295799</v>
      </c>
      <c r="D5367">
        <v>1.09590771757092</v>
      </c>
      <c r="E5367">
        <v>0.73515213115293399</v>
      </c>
      <c r="F5367">
        <v>0.246231082010786</v>
      </c>
      <c r="G5367">
        <v>0.179308963789548</v>
      </c>
      <c r="H5367">
        <v>9.5867113106412993E-2</v>
      </c>
      <c r="I5367">
        <v>0.102864104753739</v>
      </c>
      <c r="J5367">
        <v>0.103700323850454</v>
      </c>
      <c r="K5367">
        <v>6.2960072886343699E-2</v>
      </c>
      <c r="L5367">
        <v>1974.19909723248</v>
      </c>
      <c r="M5367">
        <v>38.837330550171799</v>
      </c>
      <c r="N5367">
        <v>51.145418143876299</v>
      </c>
      <c r="O5367">
        <v>50.6983151494669</v>
      </c>
      <c r="P5367">
        <v>-0.17126096622136799</v>
      </c>
      <c r="Q5367">
        <v>0.10574493717712399</v>
      </c>
      <c r="R5367">
        <v>0.96953409090488796</v>
      </c>
      <c r="S5367" t="s">
        <v>12370</v>
      </c>
      <c r="T5367" t="s">
        <v>14004</v>
      </c>
      <c r="U5367" t="s">
        <v>14004</v>
      </c>
      <c r="V5367" t="s">
        <v>14004</v>
      </c>
      <c r="W5367" t="s">
        <v>19316</v>
      </c>
      <c r="X5367">
        <v>10</v>
      </c>
      <c r="Y5367" t="s">
        <v>26119</v>
      </c>
      <c r="Z5367" t="s">
        <v>33077</v>
      </c>
      <c r="AA5367">
        <v>0.43198047055990929</v>
      </c>
      <c r="AB5367" t="str">
        <f>HYPERLINK("Melting_Curves/meltCurve_Q96H79_ZC3HAV1L.pdf", "Melting_Curves/meltCurve_Q96H79_ZC3HAV1L.pdf")</f>
        <v>Melting_Curves/meltCurve_Q96H79_ZC3HAV1L.pdf</v>
      </c>
    </row>
    <row r="5368" spans="1:28" x14ac:dyDescent="0.25">
      <c r="A5368" t="s">
        <v>5372</v>
      </c>
      <c r="B5368">
        <v>0.99999676499088797</v>
      </c>
      <c r="C5368">
        <v>0.91749016297049302</v>
      </c>
      <c r="D5368">
        <v>0.72748597733471099</v>
      </c>
      <c r="E5368">
        <v>0.61996698315851995</v>
      </c>
      <c r="F5368">
        <v>0.46036134393078099</v>
      </c>
      <c r="G5368">
        <v>0.55529800138750696</v>
      </c>
      <c r="H5368">
        <v>0.206429026432389</v>
      </c>
      <c r="I5368">
        <v>0.360664596494703</v>
      </c>
      <c r="J5368">
        <v>0.30552511671102001</v>
      </c>
      <c r="K5368">
        <v>0.24120374564738101</v>
      </c>
      <c r="L5368">
        <v>521.77956244412599</v>
      </c>
      <c r="M5368">
        <v>10.451478731990701</v>
      </c>
      <c r="N5368">
        <v>53.202288849774</v>
      </c>
      <c r="O5368">
        <v>48.200114219420001</v>
      </c>
      <c r="P5368">
        <v>-4.1356107157727397E-2</v>
      </c>
      <c r="Q5368">
        <v>0.23740908016083301</v>
      </c>
      <c r="R5368">
        <v>0.92355592566691402</v>
      </c>
      <c r="S5368" t="s">
        <v>12371</v>
      </c>
      <c r="T5368" t="s">
        <v>14004</v>
      </c>
      <c r="U5368" t="s">
        <v>14004</v>
      </c>
      <c r="V5368" t="s">
        <v>14004</v>
      </c>
      <c r="W5368" t="s">
        <v>19317</v>
      </c>
      <c r="X5368">
        <v>2</v>
      </c>
      <c r="Y5368" t="s">
        <v>26120</v>
      </c>
      <c r="Z5368" t="s">
        <v>33078</v>
      </c>
      <c r="AA5368">
        <v>0.52228333792594672</v>
      </c>
      <c r="AB5368" t="str">
        <f>HYPERLINK("Melting_Curves/meltCurve_Q96H86_2_ZNF764.pdf", "Melting_Curves/meltCurve_Q96H86_2_ZNF764.pdf")</f>
        <v>Melting_Curves/meltCurve_Q96H86_2_ZNF764.pdf</v>
      </c>
    </row>
    <row r="5369" spans="1:28" x14ac:dyDescent="0.25">
      <c r="A5369" t="s">
        <v>5373</v>
      </c>
      <c r="B5369">
        <v>0.99999676499088797</v>
      </c>
      <c r="C5369">
        <v>1.1477011218750599</v>
      </c>
      <c r="D5369">
        <v>1.2154993653403501</v>
      </c>
      <c r="E5369">
        <v>1.1194346225779801</v>
      </c>
      <c r="F5369">
        <v>1.22809991592491</v>
      </c>
      <c r="G5369">
        <v>1.2700278274738701</v>
      </c>
      <c r="H5369">
        <v>1.07102949874857</v>
      </c>
      <c r="I5369">
        <v>1.0010729104732401</v>
      </c>
      <c r="J5369">
        <v>1.0892992687368299</v>
      </c>
      <c r="K5369">
        <v>1.0213745960343901</v>
      </c>
      <c r="L5369">
        <v>10258.087937111901</v>
      </c>
      <c r="M5369">
        <v>250</v>
      </c>
      <c r="O5369">
        <v>41.0297253639948</v>
      </c>
      <c r="P5369">
        <v>0.19693392611590901</v>
      </c>
      <c r="Q5369">
        <v>1.1292823201498901</v>
      </c>
      <c r="R5369">
        <v>0.17581763909984999</v>
      </c>
      <c r="S5369" t="s">
        <v>12372</v>
      </c>
      <c r="T5369" t="s">
        <v>14004</v>
      </c>
      <c r="U5369" t="s">
        <v>14004</v>
      </c>
      <c r="V5369" t="s">
        <v>14004</v>
      </c>
      <c r="W5369" t="s">
        <v>19318</v>
      </c>
      <c r="X5369">
        <v>1</v>
      </c>
      <c r="Y5369" t="s">
        <v>26121</v>
      </c>
      <c r="Z5369" t="s">
        <v>33079</v>
      </c>
      <c r="AA5369">
        <v>1.1248231317166639</v>
      </c>
      <c r="AB5369" t="str">
        <f>HYPERLINK("Melting_Curves/meltCurve_Q96HA4_4_C1orf159.pdf", "Melting_Curves/meltCurve_Q96HA4_4_C1orf159.pdf")</f>
        <v>Melting_Curves/meltCurve_Q96HA4_4_C1orf159.pdf</v>
      </c>
    </row>
    <row r="5370" spans="1:28" x14ac:dyDescent="0.25">
      <c r="A5370" t="s">
        <v>5374</v>
      </c>
      <c r="B5370">
        <v>0.99999676499088797</v>
      </c>
      <c r="C5370">
        <v>0.97041145297846598</v>
      </c>
      <c r="D5370">
        <v>0.99611344854473804</v>
      </c>
      <c r="E5370">
        <v>1.0106113715625999</v>
      </c>
      <c r="F5370">
        <v>0.58439344226023604</v>
      </c>
      <c r="G5370">
        <v>0.30817445873798699</v>
      </c>
      <c r="H5370">
        <v>0.14496344216316601</v>
      </c>
      <c r="I5370">
        <v>0.14499213284682999</v>
      </c>
      <c r="J5370">
        <v>0.13864271475245701</v>
      </c>
      <c r="K5370">
        <v>0.14740048042377199</v>
      </c>
      <c r="L5370">
        <v>1762.24614022475</v>
      </c>
      <c r="M5370">
        <v>32.891720149277603</v>
      </c>
      <c r="N5370">
        <v>54.144729709407699</v>
      </c>
      <c r="O5370">
        <v>53.380303829020697</v>
      </c>
      <c r="P5370">
        <v>-0.13158441998827999</v>
      </c>
      <c r="Q5370">
        <v>0.14580493885340201</v>
      </c>
      <c r="R5370">
        <v>0.99364526804546405</v>
      </c>
      <c r="S5370" t="s">
        <v>12373</v>
      </c>
      <c r="T5370" t="s">
        <v>14004</v>
      </c>
      <c r="U5370" t="s">
        <v>14004</v>
      </c>
      <c r="V5370" t="s">
        <v>14004</v>
      </c>
      <c r="W5370" t="s">
        <v>19319</v>
      </c>
      <c r="X5370">
        <v>21</v>
      </c>
      <c r="Y5370" t="s">
        <v>26122</v>
      </c>
      <c r="Z5370" t="s">
        <v>33080</v>
      </c>
      <c r="AA5370">
        <v>0.53705265777152766</v>
      </c>
      <c r="AB5370" t="str">
        <f>HYPERLINK("Melting_Curves/meltCurve_Q96HC4_PDLIM5.pdf", "Melting_Curves/meltCurve_Q96HC4_PDLIM5.pdf")</f>
        <v>Melting_Curves/meltCurve_Q96HC4_PDLIM5.pdf</v>
      </c>
    </row>
    <row r="5371" spans="1:28" x14ac:dyDescent="0.25">
      <c r="A5371" t="s">
        <v>5375</v>
      </c>
      <c r="B5371">
        <v>0.99999676499088797</v>
      </c>
      <c r="C5371">
        <v>0.98050787842786402</v>
      </c>
      <c r="D5371">
        <v>0.78467326382342595</v>
      </c>
      <c r="E5371">
        <v>0.61718000588066402</v>
      </c>
      <c r="F5371">
        <v>0.427209830714817</v>
      </c>
      <c r="G5371">
        <v>0.260395689896465</v>
      </c>
      <c r="H5371">
        <v>0.14280261812421499</v>
      </c>
      <c r="I5371">
        <v>9.8263385384955895E-2</v>
      </c>
      <c r="J5371">
        <v>0.107486238308835</v>
      </c>
      <c r="K5371">
        <v>8.9260091400503005E-2</v>
      </c>
      <c r="L5371">
        <v>684.34670001103598</v>
      </c>
      <c r="M5371">
        <v>13.391167320338999</v>
      </c>
      <c r="N5371">
        <v>51.577593190902697</v>
      </c>
      <c r="O5371">
        <v>50.005057380194799</v>
      </c>
      <c r="P5371">
        <v>-6.3088566081788894E-2</v>
      </c>
      <c r="Q5371">
        <v>5.7811823782714197E-2</v>
      </c>
      <c r="R5371">
        <v>0.99527982626468603</v>
      </c>
      <c r="S5371" t="s">
        <v>12374</v>
      </c>
      <c r="T5371" t="s">
        <v>14004</v>
      </c>
      <c r="U5371" t="s">
        <v>14004</v>
      </c>
      <c r="V5371" t="s">
        <v>14004</v>
      </c>
      <c r="W5371" t="s">
        <v>19320</v>
      </c>
      <c r="X5371">
        <v>3</v>
      </c>
      <c r="Y5371" t="s">
        <v>26123</v>
      </c>
      <c r="Z5371" t="s">
        <v>33081</v>
      </c>
      <c r="AA5371">
        <v>0.43253366532785748</v>
      </c>
      <c r="AB5371" t="str">
        <f>HYPERLINK("Melting_Curves/meltCurve_Q96HD9_ACY3.pdf", "Melting_Curves/meltCurve_Q96HD9_ACY3.pdf")</f>
        <v>Melting_Curves/meltCurve_Q96HD9_ACY3.pdf</v>
      </c>
    </row>
    <row r="5372" spans="1:28" x14ac:dyDescent="0.25">
      <c r="A5372" t="s">
        <v>5376</v>
      </c>
      <c r="B5372">
        <v>0.99999676499088797</v>
      </c>
      <c r="C5372">
        <v>0.93137665902346001</v>
      </c>
      <c r="D5372">
        <v>0.96966493322077396</v>
      </c>
      <c r="E5372">
        <v>0.92604351147202502</v>
      </c>
      <c r="F5372">
        <v>0.30839194084235899</v>
      </c>
      <c r="G5372">
        <v>0.204308443940247</v>
      </c>
      <c r="H5372">
        <v>9.1380741581509495E-2</v>
      </c>
      <c r="I5372">
        <v>7.4630207258224293E-2</v>
      </c>
      <c r="J5372">
        <v>7.1537888905384803E-2</v>
      </c>
      <c r="K5372">
        <v>8.0485113529268806E-2</v>
      </c>
      <c r="L5372">
        <v>2399.85105054214</v>
      </c>
      <c r="M5372">
        <v>46.200776550044303</v>
      </c>
      <c r="N5372">
        <v>52.1912918507916</v>
      </c>
      <c r="O5372">
        <v>51.846917217341002</v>
      </c>
      <c r="P5372">
        <v>-0.200872622596168</v>
      </c>
      <c r="Q5372">
        <v>9.8316975854580005E-2</v>
      </c>
      <c r="R5372">
        <v>0.99056208032983695</v>
      </c>
      <c r="S5372" t="s">
        <v>12375</v>
      </c>
      <c r="T5372" t="s">
        <v>14004</v>
      </c>
      <c r="U5372" t="s">
        <v>14004</v>
      </c>
      <c r="V5372" t="s">
        <v>14004</v>
      </c>
      <c r="W5372" t="s">
        <v>19321</v>
      </c>
      <c r="X5372">
        <v>23</v>
      </c>
      <c r="Y5372" t="s">
        <v>26124</v>
      </c>
      <c r="Z5372" t="s">
        <v>33082</v>
      </c>
      <c r="AA5372">
        <v>0.45972736916267759</v>
      </c>
      <c r="AB5372" t="str">
        <f>HYPERLINK("Melting_Curves/meltCurve_Q96HE7_ERO1L.pdf", "Melting_Curves/meltCurve_Q96HE7_ERO1L.pdf")</f>
        <v>Melting_Curves/meltCurve_Q96HE7_ERO1L.pdf</v>
      </c>
    </row>
    <row r="5373" spans="1:28" x14ac:dyDescent="0.25">
      <c r="A5373" t="s">
        <v>5377</v>
      </c>
      <c r="B5373">
        <v>0.99999676499088797</v>
      </c>
      <c r="C5373">
        <v>0.96552493045887</v>
      </c>
      <c r="D5373">
        <v>1.05508409569122</v>
      </c>
      <c r="E5373">
        <v>1.20391273572736</v>
      </c>
      <c r="F5373">
        <v>1.0731445927902701</v>
      </c>
      <c r="G5373">
        <v>0.757541226784199</v>
      </c>
      <c r="H5373">
        <v>0.27694774462190702</v>
      </c>
      <c r="I5373">
        <v>0.165146902386719</v>
      </c>
      <c r="J5373">
        <v>0.24398358561557101</v>
      </c>
      <c r="K5373">
        <v>0.12965997779340399</v>
      </c>
      <c r="L5373">
        <v>2777.01282241934</v>
      </c>
      <c r="M5373">
        <v>47.946383096917202</v>
      </c>
      <c r="N5373">
        <v>58.468380194338799</v>
      </c>
      <c r="O5373">
        <v>57.818619405773497</v>
      </c>
      <c r="P5373">
        <v>-0.169724674950476</v>
      </c>
      <c r="Q5373">
        <v>0.181315473099675</v>
      </c>
      <c r="R5373">
        <v>0.96386477787275804</v>
      </c>
      <c r="S5373" t="s">
        <v>12376</v>
      </c>
      <c r="T5373" t="s">
        <v>14004</v>
      </c>
      <c r="U5373" t="s">
        <v>14004</v>
      </c>
      <c r="V5373" t="s">
        <v>14004</v>
      </c>
      <c r="W5373" t="s">
        <v>19322</v>
      </c>
      <c r="X5373">
        <v>3</v>
      </c>
      <c r="Y5373" t="s">
        <v>26125</v>
      </c>
      <c r="Z5373" t="s">
        <v>33083</v>
      </c>
      <c r="AA5373">
        <v>0.67258210333112023</v>
      </c>
      <c r="AB5373" t="str">
        <f>HYPERLINK("Melting_Curves/meltCurve_Q96HJ9_C7orf55.pdf", "Melting_Curves/meltCurve_Q96HJ9_C7orf55.pdf")</f>
        <v>Melting_Curves/meltCurve_Q96HJ9_C7orf55.pdf</v>
      </c>
    </row>
    <row r="5374" spans="1:28" x14ac:dyDescent="0.25">
      <c r="A5374" t="s">
        <v>5378</v>
      </c>
      <c r="B5374">
        <v>0.99999676499088797</v>
      </c>
      <c r="C5374">
        <v>0.92015143943729205</v>
      </c>
      <c r="D5374">
        <v>0.93626211816863503</v>
      </c>
      <c r="E5374">
        <v>0.66672442989936498</v>
      </c>
      <c r="F5374">
        <v>0.25538695489381202</v>
      </c>
      <c r="G5374">
        <v>0.178498836291445</v>
      </c>
      <c r="H5374">
        <v>9.7977838684424501E-2</v>
      </c>
      <c r="I5374">
        <v>9.3465555263681194E-2</v>
      </c>
      <c r="J5374">
        <v>9.3845089001847695E-2</v>
      </c>
      <c r="K5374">
        <v>0.11075490620549</v>
      </c>
      <c r="L5374">
        <v>1350.4970388034901</v>
      </c>
      <c r="M5374">
        <v>26.7641020699904</v>
      </c>
      <c r="N5374">
        <v>50.883407742387398</v>
      </c>
      <c r="O5374">
        <v>50.1800937126253</v>
      </c>
      <c r="P5374">
        <v>-0.12001040648558001</v>
      </c>
      <c r="Q5374">
        <v>9.9977777477080407E-2</v>
      </c>
      <c r="R5374">
        <v>0.99456605393955699</v>
      </c>
      <c r="S5374" t="s">
        <v>12377</v>
      </c>
      <c r="T5374" t="s">
        <v>14004</v>
      </c>
      <c r="U5374" t="s">
        <v>14004</v>
      </c>
      <c r="V5374" t="s">
        <v>14004</v>
      </c>
      <c r="W5374" t="s">
        <v>19323</v>
      </c>
      <c r="X5374">
        <v>33</v>
      </c>
      <c r="Y5374" t="s">
        <v>26125</v>
      </c>
      <c r="Z5374" t="s">
        <v>33084</v>
      </c>
      <c r="AA5374">
        <v>0.42081771544404162</v>
      </c>
      <c r="AB5374" t="str">
        <f>HYPERLINK("Melting_Curves/meltCurve_Q96HJ9_2_C7orf55.pdf", "Melting_Curves/meltCurve_Q96HJ9_2_C7orf55.pdf")</f>
        <v>Melting_Curves/meltCurve_Q96HJ9_2_C7orf55.pdf</v>
      </c>
    </row>
    <row r="5375" spans="1:28" x14ac:dyDescent="0.25">
      <c r="A5375" t="s">
        <v>5379</v>
      </c>
      <c r="B5375">
        <v>0.99999676499088797</v>
      </c>
      <c r="C5375">
        <v>1.00617513885142</v>
      </c>
      <c r="D5375">
        <v>1.00972642698126</v>
      </c>
      <c r="E5375">
        <v>0.98077769519792202</v>
      </c>
      <c r="F5375">
        <v>0.90533662422898298</v>
      </c>
      <c r="G5375">
        <v>0.78272982488445197</v>
      </c>
      <c r="H5375">
        <v>0.50953071863098198</v>
      </c>
      <c r="I5375">
        <v>0.37171067686095499</v>
      </c>
      <c r="J5375">
        <v>0.13647587068359701</v>
      </c>
      <c r="K5375">
        <v>9.6449551231456196E-2</v>
      </c>
      <c r="L5375">
        <v>1029.484265073</v>
      </c>
      <c r="M5375">
        <v>16.847464404477702</v>
      </c>
      <c r="N5375">
        <v>61.106184560820701</v>
      </c>
      <c r="O5375">
        <v>60.264750648503401</v>
      </c>
      <c r="P5375">
        <v>-6.9893874939690098E-2</v>
      </c>
      <c r="Q5375">
        <v>0</v>
      </c>
      <c r="R5375">
        <v>0.99535215595595905</v>
      </c>
      <c r="S5375" t="s">
        <v>12378</v>
      </c>
      <c r="T5375" t="s">
        <v>14004</v>
      </c>
      <c r="U5375" t="s">
        <v>14004</v>
      </c>
      <c r="V5375" t="s">
        <v>14004</v>
      </c>
      <c r="W5375" t="s">
        <v>19324</v>
      </c>
      <c r="X5375">
        <v>26</v>
      </c>
      <c r="Y5375" t="s">
        <v>26126</v>
      </c>
      <c r="Z5375" t="s">
        <v>33085</v>
      </c>
      <c r="AA5375">
        <v>0.7076252561283416</v>
      </c>
      <c r="AB5375" t="str">
        <f>HYPERLINK("Melting_Curves/meltCurve_Q96HN2_AHCYL2.pdf", "Melting_Curves/meltCurve_Q96HN2_AHCYL2.pdf")</f>
        <v>Melting_Curves/meltCurve_Q96HN2_AHCYL2.pdf</v>
      </c>
    </row>
    <row r="5376" spans="1:28" x14ac:dyDescent="0.25">
      <c r="A5376" t="s">
        <v>5380</v>
      </c>
      <c r="B5376">
        <v>0.99999676499088797</v>
      </c>
      <c r="C5376">
        <v>1.03055234193444</v>
      </c>
      <c r="D5376">
        <v>1.04155813540313</v>
      </c>
      <c r="E5376">
        <v>0.96717886856570301</v>
      </c>
      <c r="F5376">
        <v>0.950583407249878</v>
      </c>
      <c r="G5376">
        <v>0.93480340850247001</v>
      </c>
      <c r="H5376">
        <v>0.59906662279326295</v>
      </c>
      <c r="I5376">
        <v>0.47889516592583897</v>
      </c>
      <c r="J5376">
        <v>0.26210088971110201</v>
      </c>
      <c r="K5376">
        <v>0.237627045017689</v>
      </c>
      <c r="L5376">
        <v>1353.00281874077</v>
      </c>
      <c r="M5376">
        <v>21.957201835482898</v>
      </c>
      <c r="N5376">
        <v>62.853547893867699</v>
      </c>
      <c r="O5376">
        <v>61.115719311016797</v>
      </c>
      <c r="P5376">
        <v>-7.4097466574444798E-2</v>
      </c>
      <c r="Q5376">
        <v>0.17504644356650401</v>
      </c>
      <c r="R5376">
        <v>0.98706206307519695</v>
      </c>
      <c r="S5376" t="s">
        <v>12379</v>
      </c>
      <c r="T5376" t="s">
        <v>14004</v>
      </c>
      <c r="U5376" t="s">
        <v>14004</v>
      </c>
      <c r="V5376" t="s">
        <v>14004</v>
      </c>
      <c r="W5376" t="s">
        <v>19325</v>
      </c>
      <c r="X5376">
        <v>6</v>
      </c>
      <c r="Y5376" t="s">
        <v>26127</v>
      </c>
      <c r="Z5376" t="s">
        <v>33086</v>
      </c>
      <c r="AA5376">
        <v>0.77366281594409547</v>
      </c>
      <c r="AB5376" t="str">
        <f>HYPERLINK("Melting_Curves/meltCurve_Q96HQ2_CDKN2AIPNL.pdf", "Melting_Curves/meltCurve_Q96HQ2_CDKN2AIPNL.pdf")</f>
        <v>Melting_Curves/meltCurve_Q96HQ2_CDKN2AIPNL.pdf</v>
      </c>
    </row>
    <row r="5377" spans="1:28" x14ac:dyDescent="0.25">
      <c r="A5377" t="s">
        <v>5381</v>
      </c>
      <c r="B5377">
        <v>0.99999676499088797</v>
      </c>
      <c r="C5377">
        <v>1.0851877450987399</v>
      </c>
      <c r="D5377">
        <v>0.88257648565673896</v>
      </c>
      <c r="E5377">
        <v>0.70598189729497196</v>
      </c>
      <c r="F5377">
        <v>0.56550496440626796</v>
      </c>
      <c r="G5377">
        <v>0.56654054600673398</v>
      </c>
      <c r="H5377">
        <v>0.36110571750467102</v>
      </c>
      <c r="I5377">
        <v>0.376436099299708</v>
      </c>
      <c r="J5377">
        <v>0.33790480441411602</v>
      </c>
      <c r="K5377">
        <v>0.26415034176264501</v>
      </c>
      <c r="L5377">
        <v>655.92650284067997</v>
      </c>
      <c r="M5377">
        <v>12.5352422427805</v>
      </c>
      <c r="N5377">
        <v>56.048263064558498</v>
      </c>
      <c r="O5377">
        <v>51.048441839708801</v>
      </c>
      <c r="P5377">
        <v>-4.4056265201339602E-2</v>
      </c>
      <c r="Q5377">
        <v>0.28248820247616901</v>
      </c>
      <c r="R5377">
        <v>0.95731211874501199</v>
      </c>
      <c r="S5377" t="s">
        <v>12380</v>
      </c>
      <c r="T5377" t="s">
        <v>14004</v>
      </c>
      <c r="U5377" t="s">
        <v>14004</v>
      </c>
      <c r="V5377" t="s">
        <v>14004</v>
      </c>
      <c r="W5377" t="s">
        <v>19326</v>
      </c>
      <c r="X5377">
        <v>4</v>
      </c>
      <c r="Y5377" t="s">
        <v>26128</v>
      </c>
      <c r="Z5377" t="s">
        <v>33087</v>
      </c>
      <c r="AA5377">
        <v>0.59763014749522314</v>
      </c>
      <c r="AB5377" t="str">
        <f>HYPERLINK("Melting_Curves/meltCurve_Q96HR3_MED30.pdf", "Melting_Curves/meltCurve_Q96HR3_MED30.pdf")</f>
        <v>Melting_Curves/meltCurve_Q96HR3_MED30.pdf</v>
      </c>
    </row>
    <row r="5378" spans="1:28" x14ac:dyDescent="0.25">
      <c r="A5378" t="s">
        <v>5382</v>
      </c>
      <c r="B5378">
        <v>0.99999676499088797</v>
      </c>
      <c r="C5378">
        <v>0.93052746216187499</v>
      </c>
      <c r="D5378">
        <v>0.93020682465745397</v>
      </c>
      <c r="E5378">
        <v>1.10845637828652</v>
      </c>
      <c r="F5378">
        <v>0.73090143649782002</v>
      </c>
      <c r="G5378">
        <v>0.51198983539190701</v>
      </c>
      <c r="H5378">
        <v>0.207189571560814</v>
      </c>
      <c r="I5378">
        <v>0.14347809730987801</v>
      </c>
      <c r="J5378">
        <v>0.145028014969693</v>
      </c>
      <c r="K5378">
        <v>0.17645002635100199</v>
      </c>
      <c r="L5378">
        <v>1450.7574135800801</v>
      </c>
      <c r="M5378">
        <v>26.035363398192601</v>
      </c>
      <c r="N5378">
        <v>56.435895756641102</v>
      </c>
      <c r="O5378">
        <v>55.396958310020999</v>
      </c>
      <c r="P5378">
        <v>-0.10102265723525</v>
      </c>
      <c r="Q5378">
        <v>0.140202882518837</v>
      </c>
      <c r="R5378">
        <v>0.97221531372791203</v>
      </c>
      <c r="S5378" t="s">
        <v>12381</v>
      </c>
      <c r="T5378" t="s">
        <v>14004</v>
      </c>
      <c r="U5378" t="s">
        <v>14004</v>
      </c>
      <c r="V5378" t="s">
        <v>14004</v>
      </c>
      <c r="W5378" t="s">
        <v>19327</v>
      </c>
      <c r="X5378">
        <v>1</v>
      </c>
      <c r="Y5378" t="s">
        <v>26129</v>
      </c>
      <c r="Z5378" t="s">
        <v>33088</v>
      </c>
      <c r="AA5378">
        <v>0.59819674931296307</v>
      </c>
      <c r="AB5378" t="str">
        <f>HYPERLINK("Melting_Curves/meltCurve_Q96HR8_2_NAF1.pdf", "Melting_Curves/meltCurve_Q96HR8_2_NAF1.pdf")</f>
        <v>Melting_Curves/meltCurve_Q96HR8_2_NAF1.pdf</v>
      </c>
    </row>
    <row r="5379" spans="1:28" x14ac:dyDescent="0.25">
      <c r="A5379" t="s">
        <v>5383</v>
      </c>
      <c r="B5379">
        <v>0.99999676499088797</v>
      </c>
      <c r="C5379">
        <v>0.96464010811540801</v>
      </c>
      <c r="D5379">
        <v>1.01533200421148</v>
      </c>
      <c r="E5379">
        <v>0.99535780087874903</v>
      </c>
      <c r="F5379">
        <v>0.93291376583722296</v>
      </c>
      <c r="G5379">
        <v>0.79237537600417696</v>
      </c>
      <c r="H5379">
        <v>0.54108614190825499</v>
      </c>
      <c r="I5379">
        <v>0.52763120383717799</v>
      </c>
      <c r="J5379">
        <v>0.41234887421921901</v>
      </c>
      <c r="K5379">
        <v>0.67201608537590596</v>
      </c>
      <c r="L5379">
        <v>2246.48766145022</v>
      </c>
      <c r="M5379">
        <v>39.457435764319698</v>
      </c>
      <c r="O5379">
        <v>56.788802726822901</v>
      </c>
      <c r="P5379">
        <v>-8.1729986693309595E-2</v>
      </c>
      <c r="Q5379">
        <v>0.52948408117666501</v>
      </c>
      <c r="R5379">
        <v>0.91963513857729595</v>
      </c>
      <c r="S5379" t="s">
        <v>12382</v>
      </c>
      <c r="T5379" t="s">
        <v>14004</v>
      </c>
      <c r="U5379" t="s">
        <v>14004</v>
      </c>
      <c r="V5379" t="s">
        <v>14004</v>
      </c>
      <c r="W5379" t="s">
        <v>19328</v>
      </c>
      <c r="X5379">
        <v>7</v>
      </c>
      <c r="Y5379" t="s">
        <v>26130</v>
      </c>
      <c r="Z5379" t="s">
        <v>33089</v>
      </c>
      <c r="AA5379">
        <v>0.79696264152273766</v>
      </c>
      <c r="AB5379" t="str">
        <f>HYPERLINK("Melting_Curves/meltCurve_Q96HR9_REEP6.pdf", "Melting_Curves/meltCurve_Q96HR9_REEP6.pdf")</f>
        <v>Melting_Curves/meltCurve_Q96HR9_REEP6.pdf</v>
      </c>
    </row>
    <row r="5380" spans="1:28" x14ac:dyDescent="0.25">
      <c r="A5380" t="s">
        <v>5384</v>
      </c>
      <c r="B5380">
        <v>0.99999676499088797</v>
      </c>
      <c r="C5380">
        <v>0.98253225321137805</v>
      </c>
      <c r="D5380">
        <v>0.96437286245864595</v>
      </c>
      <c r="E5380">
        <v>1.1003963059969699</v>
      </c>
      <c r="F5380">
        <v>1.12066644832887</v>
      </c>
      <c r="G5380">
        <v>1.0470166802917</v>
      </c>
      <c r="H5380">
        <v>0.71889202409602504</v>
      </c>
      <c r="I5380">
        <v>0.36856999642090499</v>
      </c>
      <c r="J5380">
        <v>0.31507221312411299</v>
      </c>
      <c r="K5380">
        <v>0.24115864038229701</v>
      </c>
      <c r="L5380">
        <v>3079.1838581229599</v>
      </c>
      <c r="M5380">
        <v>50.129821904356497</v>
      </c>
      <c r="N5380">
        <v>62.416205472163398</v>
      </c>
      <c r="O5380">
        <v>61.326681327475001</v>
      </c>
      <c r="P5380">
        <v>-0.148239251446415</v>
      </c>
      <c r="Q5380">
        <v>0.27460235569528102</v>
      </c>
      <c r="R5380">
        <v>0.97063195690902304</v>
      </c>
      <c r="S5380" t="s">
        <v>12383</v>
      </c>
      <c r="T5380" t="s">
        <v>14004</v>
      </c>
      <c r="U5380" t="s">
        <v>14004</v>
      </c>
      <c r="V5380" t="s">
        <v>14004</v>
      </c>
      <c r="W5380" t="s">
        <v>19329</v>
      </c>
      <c r="X5380">
        <v>20</v>
      </c>
      <c r="Y5380" t="s">
        <v>26131</v>
      </c>
      <c r="Z5380" t="s">
        <v>33090</v>
      </c>
      <c r="AA5380">
        <v>0.79450611383504566</v>
      </c>
      <c r="AB5380" t="str">
        <f>HYPERLINK("Melting_Curves/meltCurve_Q96HS1_PGAM5.pdf", "Melting_Curves/meltCurve_Q96HS1_PGAM5.pdf")</f>
        <v>Melting_Curves/meltCurve_Q96HS1_PGAM5.pdf</v>
      </c>
    </row>
    <row r="5381" spans="1:28" x14ac:dyDescent="0.25">
      <c r="A5381" t="s">
        <v>5385</v>
      </c>
      <c r="B5381">
        <v>0.99999676499088797</v>
      </c>
      <c r="C5381">
        <v>1.0411724959814299</v>
      </c>
      <c r="D5381">
        <v>1.03663265465662</v>
      </c>
      <c r="E5381">
        <v>1.0809872919033201</v>
      </c>
      <c r="F5381">
        <v>0.74397976012570799</v>
      </c>
      <c r="G5381">
        <v>0.24998330087867199</v>
      </c>
      <c r="H5381">
        <v>9.4321577808572601E-2</v>
      </c>
      <c r="I5381">
        <v>8.12695148221175E-2</v>
      </c>
      <c r="J5381">
        <v>8.5685183236977797E-2</v>
      </c>
      <c r="K5381">
        <v>6.5522004073860898E-2</v>
      </c>
      <c r="L5381">
        <v>2209.2709954673201</v>
      </c>
      <c r="M5381">
        <v>40.472958773137798</v>
      </c>
      <c r="N5381">
        <v>54.820180901217</v>
      </c>
      <c r="O5381">
        <v>54.453597929546198</v>
      </c>
      <c r="P5381">
        <v>-0.171083149174033</v>
      </c>
      <c r="Q5381">
        <v>7.9279206995640394E-2</v>
      </c>
      <c r="R5381">
        <v>0.99333779497488195</v>
      </c>
      <c r="S5381" t="s">
        <v>12384</v>
      </c>
      <c r="T5381" t="s">
        <v>14004</v>
      </c>
      <c r="U5381" t="s">
        <v>14004</v>
      </c>
      <c r="V5381" t="s">
        <v>14004</v>
      </c>
      <c r="W5381" t="s">
        <v>19330</v>
      </c>
      <c r="X5381">
        <v>16</v>
      </c>
      <c r="Y5381" t="s">
        <v>26132</v>
      </c>
      <c r="Z5381" t="s">
        <v>33091</v>
      </c>
      <c r="AA5381">
        <v>0.53032810241378026</v>
      </c>
      <c r="AB5381" t="str">
        <f>HYPERLINK("Melting_Curves/meltCurve_Q96HW7_INTS4.pdf", "Melting_Curves/meltCurve_Q96HW7_INTS4.pdf")</f>
        <v>Melting_Curves/meltCurve_Q96HW7_INTS4.pdf</v>
      </c>
    </row>
    <row r="5382" spans="1:28" x14ac:dyDescent="0.25">
      <c r="A5382" t="s">
        <v>5386</v>
      </c>
      <c r="B5382">
        <v>0.99999676499088797</v>
      </c>
      <c r="C5382">
        <v>0.97844373881095104</v>
      </c>
      <c r="D5382">
        <v>0.95678509552539304</v>
      </c>
      <c r="E5382">
        <v>0.65813733713085398</v>
      </c>
      <c r="F5382">
        <v>0.53771985120917998</v>
      </c>
      <c r="G5382">
        <v>0.46287450687730702</v>
      </c>
      <c r="H5382">
        <v>0.281096888445176</v>
      </c>
      <c r="I5382">
        <v>0.34125775659138102</v>
      </c>
      <c r="J5382">
        <v>0.31965769142516598</v>
      </c>
      <c r="K5382">
        <v>0.29564702167113399</v>
      </c>
      <c r="L5382">
        <v>858.11586308042797</v>
      </c>
      <c r="M5382">
        <v>16.887178845232601</v>
      </c>
      <c r="N5382">
        <v>53.751972491558099</v>
      </c>
      <c r="O5382">
        <v>50.118117944039597</v>
      </c>
      <c r="P5382">
        <v>-5.8859976738163101E-2</v>
      </c>
      <c r="Q5382">
        <v>0.30130092042616102</v>
      </c>
      <c r="R5382">
        <v>0.98008081032605299</v>
      </c>
      <c r="S5382" t="s">
        <v>12385</v>
      </c>
      <c r="T5382" t="s">
        <v>14004</v>
      </c>
      <c r="U5382" t="s">
        <v>14004</v>
      </c>
      <c r="V5382" t="s">
        <v>14004</v>
      </c>
      <c r="W5382" t="s">
        <v>19331</v>
      </c>
      <c r="X5382">
        <v>13</v>
      </c>
      <c r="Y5382" t="s">
        <v>26133</v>
      </c>
      <c r="Z5382" t="s">
        <v>33092</v>
      </c>
      <c r="AA5382">
        <v>0.56640650881627008</v>
      </c>
      <c r="AB5382" t="str">
        <f>HYPERLINK("Melting_Curves/meltCurve_Q96HY6_DDRGK1.pdf", "Melting_Curves/meltCurve_Q96HY6_DDRGK1.pdf")</f>
        <v>Melting_Curves/meltCurve_Q96HY6_DDRGK1.pdf</v>
      </c>
    </row>
    <row r="5383" spans="1:28" x14ac:dyDescent="0.25">
      <c r="A5383" t="s">
        <v>5387</v>
      </c>
      <c r="B5383">
        <v>0.99999676499088797</v>
      </c>
      <c r="C5383">
        <v>1.07194086172544</v>
      </c>
      <c r="D5383">
        <v>0.996797031846685</v>
      </c>
      <c r="E5383">
        <v>0.71953362809438803</v>
      </c>
      <c r="F5383">
        <v>0.28990656012038002</v>
      </c>
      <c r="G5383">
        <v>0.22492459482878499</v>
      </c>
      <c r="H5383">
        <v>9.8254688840519994E-2</v>
      </c>
      <c r="I5383">
        <v>9.1422057444022001E-2</v>
      </c>
      <c r="J5383">
        <v>7.9653063519240605E-2</v>
      </c>
      <c r="K5383">
        <v>7.1086472612739704E-2</v>
      </c>
      <c r="L5383">
        <v>1436.51114266383</v>
      </c>
      <c r="M5383">
        <v>28.135543505360602</v>
      </c>
      <c r="N5383">
        <v>51.4445842281485</v>
      </c>
      <c r="O5383">
        <v>50.800973389564902</v>
      </c>
      <c r="P5383">
        <v>-0.12523111382381399</v>
      </c>
      <c r="Q5383">
        <v>9.5548451648442403E-2</v>
      </c>
      <c r="R5383">
        <v>0.99090903314807799</v>
      </c>
      <c r="S5383" t="s">
        <v>12386</v>
      </c>
      <c r="T5383" t="s">
        <v>14004</v>
      </c>
      <c r="U5383" t="s">
        <v>14004</v>
      </c>
      <c r="V5383" t="s">
        <v>14004</v>
      </c>
      <c r="W5383" t="s">
        <v>19332</v>
      </c>
      <c r="X5383">
        <v>11</v>
      </c>
      <c r="Y5383" t="s">
        <v>26134</v>
      </c>
      <c r="Z5383" t="s">
        <v>33093</v>
      </c>
      <c r="AA5383">
        <v>0.43536377159410111</v>
      </c>
      <c r="AB5383" t="str">
        <f>HYPERLINK("Melting_Curves/meltCurve_Q96HY7_DHTKD1.pdf", "Melting_Curves/meltCurve_Q96HY7_DHTKD1.pdf")</f>
        <v>Melting_Curves/meltCurve_Q96HY7_DHTKD1.pdf</v>
      </c>
    </row>
    <row r="5384" spans="1:28" x14ac:dyDescent="0.25">
      <c r="A5384" t="s">
        <v>5388</v>
      </c>
      <c r="B5384">
        <v>0.99999676499088797</v>
      </c>
      <c r="C5384">
        <v>1.0838062839321501</v>
      </c>
      <c r="D5384">
        <v>1.0562465893144</v>
      </c>
      <c r="E5384">
        <v>1.1765686660735899</v>
      </c>
      <c r="F5384">
        <v>1.07757808961333</v>
      </c>
      <c r="G5384">
        <v>0.79784658913796302</v>
      </c>
      <c r="H5384">
        <v>0.27660714307137102</v>
      </c>
      <c r="I5384">
        <v>0.13756559950061401</v>
      </c>
      <c r="J5384">
        <v>9.5413579706737195E-2</v>
      </c>
      <c r="K5384">
        <v>9.0678022011560999E-2</v>
      </c>
      <c r="L5384">
        <v>2413.3835471545099</v>
      </c>
      <c r="M5384">
        <v>41.136493481630502</v>
      </c>
      <c r="N5384">
        <v>58.978207543247997</v>
      </c>
      <c r="O5384">
        <v>58.529569187314699</v>
      </c>
      <c r="P5384">
        <v>-0.15860099522725801</v>
      </c>
      <c r="Q5384">
        <v>9.7362957821749696E-2</v>
      </c>
      <c r="R5384">
        <v>0.97448047245407099</v>
      </c>
      <c r="S5384" t="s">
        <v>12387</v>
      </c>
      <c r="T5384" t="s">
        <v>14004</v>
      </c>
      <c r="U5384" t="s">
        <v>14004</v>
      </c>
      <c r="V5384" t="s">
        <v>14004</v>
      </c>
      <c r="W5384" t="s">
        <v>19333</v>
      </c>
      <c r="X5384">
        <v>11</v>
      </c>
      <c r="Y5384" t="s">
        <v>26135</v>
      </c>
      <c r="Z5384" t="s">
        <v>33094</v>
      </c>
      <c r="AA5384">
        <v>0.66241200503886033</v>
      </c>
      <c r="AB5384" t="str">
        <f>HYPERLINK("Melting_Curves/meltCurve_Q96I15_SCLY.pdf", "Melting_Curves/meltCurve_Q96I15_SCLY.pdf")</f>
        <v>Melting_Curves/meltCurve_Q96I15_SCLY.pdf</v>
      </c>
    </row>
    <row r="5385" spans="1:28" x14ac:dyDescent="0.25">
      <c r="A5385" t="s">
        <v>5389</v>
      </c>
      <c r="B5385">
        <v>0.99999676499088797</v>
      </c>
      <c r="C5385">
        <v>0.89752420495181395</v>
      </c>
      <c r="D5385">
        <v>0.79847410681583197</v>
      </c>
      <c r="E5385">
        <v>0.39541390190541897</v>
      </c>
      <c r="F5385">
        <v>0.16795083168055799</v>
      </c>
      <c r="G5385">
        <v>9.3331342064264397E-2</v>
      </c>
      <c r="H5385">
        <v>4.1817823790592797E-2</v>
      </c>
      <c r="I5385">
        <v>4.6173260765902398E-2</v>
      </c>
      <c r="J5385">
        <v>4.80433058695489E-2</v>
      </c>
      <c r="K5385">
        <v>4.1965516003971602E-2</v>
      </c>
      <c r="L5385">
        <v>1031.4096793204901</v>
      </c>
      <c r="M5385">
        <v>21.268978304119798</v>
      </c>
      <c r="N5385">
        <v>48.688556333924701</v>
      </c>
      <c r="O5385">
        <v>48.071036521437001</v>
      </c>
      <c r="P5385">
        <v>-0.106100203733255</v>
      </c>
      <c r="Q5385">
        <v>4.0815922289390898E-2</v>
      </c>
      <c r="R5385">
        <v>0.99748008223875695</v>
      </c>
      <c r="S5385" t="s">
        <v>12388</v>
      </c>
      <c r="T5385" t="s">
        <v>14004</v>
      </c>
      <c r="U5385" t="s">
        <v>14004</v>
      </c>
      <c r="V5385" t="s">
        <v>14004</v>
      </c>
      <c r="W5385" t="s">
        <v>19334</v>
      </c>
      <c r="X5385">
        <v>25</v>
      </c>
      <c r="Y5385" t="s">
        <v>26136</v>
      </c>
      <c r="Z5385" t="s">
        <v>33095</v>
      </c>
      <c r="AA5385">
        <v>0.3242708769071303</v>
      </c>
      <c r="AB5385" t="str">
        <f>HYPERLINK("Melting_Curves/meltCurve_Q96I24_FUBP3.pdf", "Melting_Curves/meltCurve_Q96I24_FUBP3.pdf")</f>
        <v>Melting_Curves/meltCurve_Q96I24_FUBP3.pdf</v>
      </c>
    </row>
    <row r="5386" spans="1:28" x14ac:dyDescent="0.25">
      <c r="A5386" t="s">
        <v>5390</v>
      </c>
      <c r="B5386">
        <v>0.99999676499088797</v>
      </c>
      <c r="C5386">
        <v>0.83183250206772297</v>
      </c>
      <c r="D5386">
        <v>0.57862881213765804</v>
      </c>
      <c r="E5386">
        <v>0.27129046194496897</v>
      </c>
      <c r="F5386">
        <v>0.223701389269296</v>
      </c>
      <c r="G5386">
        <v>0.14605457219538701</v>
      </c>
      <c r="H5386">
        <v>7.5562789119982696E-2</v>
      </c>
      <c r="I5386">
        <v>9.7059548878407301E-2</v>
      </c>
      <c r="J5386">
        <v>0.111050001885884</v>
      </c>
      <c r="K5386">
        <v>0.119352483832701</v>
      </c>
      <c r="L5386">
        <v>908.71911862121794</v>
      </c>
      <c r="M5386">
        <v>19.649856460232499</v>
      </c>
      <c r="N5386">
        <v>46.827503133196302</v>
      </c>
      <c r="O5386">
        <v>45.774613823203097</v>
      </c>
      <c r="P5386">
        <v>-9.5696306568630804E-2</v>
      </c>
      <c r="Q5386">
        <v>0.108327642910533</v>
      </c>
      <c r="R5386">
        <v>0.99299996817393599</v>
      </c>
      <c r="S5386" t="s">
        <v>12389</v>
      </c>
      <c r="T5386" t="s">
        <v>14004</v>
      </c>
      <c r="U5386" t="s">
        <v>14004</v>
      </c>
      <c r="V5386" t="s">
        <v>14004</v>
      </c>
      <c r="W5386" t="s">
        <v>19335</v>
      </c>
      <c r="X5386">
        <v>13</v>
      </c>
      <c r="Y5386" t="s">
        <v>26137</v>
      </c>
      <c r="Z5386" t="s">
        <v>33096</v>
      </c>
      <c r="AA5386">
        <v>0.30807793608827061</v>
      </c>
      <c r="AB5386" t="str">
        <f>HYPERLINK("Melting_Curves/meltCurve_Q96I25_RBM17.pdf", "Melting_Curves/meltCurve_Q96I25_RBM17.pdf")</f>
        <v>Melting_Curves/meltCurve_Q96I25_RBM17.pdf</v>
      </c>
    </row>
    <row r="5387" spans="1:28" x14ac:dyDescent="0.25">
      <c r="A5387" t="s">
        <v>5391</v>
      </c>
      <c r="B5387">
        <v>0.99999676499088797</v>
      </c>
      <c r="C5387">
        <v>1.0826175544561201</v>
      </c>
      <c r="D5387">
        <v>1.0294944077878401</v>
      </c>
      <c r="E5387">
        <v>0.858384912703125</v>
      </c>
      <c r="F5387">
        <v>0.73138834271264397</v>
      </c>
      <c r="G5387">
        <v>0.70178259486201999</v>
      </c>
      <c r="H5387">
        <v>0.48724419781036898</v>
      </c>
      <c r="I5387">
        <v>0.64723065610808495</v>
      </c>
      <c r="J5387">
        <v>0.64707671389279897</v>
      </c>
      <c r="K5387">
        <v>0.56734412291587799</v>
      </c>
      <c r="L5387">
        <v>1223.1485727092099</v>
      </c>
      <c r="M5387">
        <v>23.671626423027401</v>
      </c>
      <c r="O5387">
        <v>51.3069801994031</v>
      </c>
      <c r="P5387">
        <v>-4.6591588086035099E-2</v>
      </c>
      <c r="Q5387">
        <v>0.596067676060546</v>
      </c>
      <c r="R5387">
        <v>0.90907703160618303</v>
      </c>
      <c r="S5387" t="s">
        <v>12390</v>
      </c>
      <c r="T5387" t="s">
        <v>14004</v>
      </c>
      <c r="U5387" t="s">
        <v>14004</v>
      </c>
      <c r="V5387" t="s">
        <v>14004</v>
      </c>
      <c r="W5387" t="s">
        <v>19336</v>
      </c>
      <c r="X5387">
        <v>2</v>
      </c>
      <c r="Y5387" t="s">
        <v>26138</v>
      </c>
      <c r="Z5387" t="s">
        <v>33097</v>
      </c>
      <c r="AA5387">
        <v>0.75730092673672333</v>
      </c>
      <c r="AB5387" t="str">
        <f>HYPERLINK("Melting_Curves/meltCurve_Q96I36_COX14.pdf", "Melting_Curves/meltCurve_Q96I36_COX14.pdf")</f>
        <v>Melting_Curves/meltCurve_Q96I36_COX14.pdf</v>
      </c>
    </row>
    <row r="5388" spans="1:28" x14ac:dyDescent="0.25">
      <c r="A5388" t="s">
        <v>5392</v>
      </c>
      <c r="B5388">
        <v>0.99999676499088797</v>
      </c>
      <c r="C5388">
        <v>0.98945191583824998</v>
      </c>
      <c r="D5388">
        <v>0.971607371167032</v>
      </c>
      <c r="E5388">
        <v>0.93453227995697796</v>
      </c>
      <c r="F5388">
        <v>0.50798416269867397</v>
      </c>
      <c r="G5388">
        <v>0.260197741064014</v>
      </c>
      <c r="H5388">
        <v>0.12192669146193</v>
      </c>
      <c r="I5388">
        <v>9.7932269567854904E-2</v>
      </c>
      <c r="J5388">
        <v>8.9160618138825407E-2</v>
      </c>
      <c r="K5388">
        <v>6.7933163456535495E-2</v>
      </c>
      <c r="L5388">
        <v>1459.17765275226</v>
      </c>
      <c r="M5388">
        <v>27.4267125780623</v>
      </c>
      <c r="N5388">
        <v>53.581122211338602</v>
      </c>
      <c r="O5388">
        <v>52.922364566835803</v>
      </c>
      <c r="P5388">
        <v>-0.11815691357232901</v>
      </c>
      <c r="Q5388">
        <v>8.8029971372554902E-2</v>
      </c>
      <c r="R5388">
        <v>0.99668630393417101</v>
      </c>
      <c r="S5388" t="s">
        <v>12391</v>
      </c>
      <c r="T5388" t="s">
        <v>14004</v>
      </c>
      <c r="U5388" t="s">
        <v>14004</v>
      </c>
      <c r="V5388" t="s">
        <v>14004</v>
      </c>
      <c r="W5388" t="s">
        <v>19337</v>
      </c>
      <c r="X5388">
        <v>16</v>
      </c>
      <c r="Y5388" t="s">
        <v>26139</v>
      </c>
      <c r="Z5388" t="s">
        <v>33098</v>
      </c>
      <c r="AA5388">
        <v>0.49643703846851323</v>
      </c>
      <c r="AB5388" t="str">
        <f>HYPERLINK("Melting_Curves/meltCurve_Q96I59_NARS2.pdf", "Melting_Curves/meltCurve_Q96I59_NARS2.pdf")</f>
        <v>Melting_Curves/meltCurve_Q96I59_NARS2.pdf</v>
      </c>
    </row>
    <row r="5389" spans="1:28" x14ac:dyDescent="0.25">
      <c r="A5389" t="s">
        <v>5393</v>
      </c>
      <c r="B5389">
        <v>0.99999676499088797</v>
      </c>
      <c r="C5389">
        <v>0.99781756306240299</v>
      </c>
      <c r="D5389">
        <v>1.03984245180946</v>
      </c>
      <c r="E5389">
        <v>1.1291567728448599</v>
      </c>
      <c r="F5389">
        <v>0.37041886649592398</v>
      </c>
      <c r="G5389">
        <v>0.166850910857791</v>
      </c>
      <c r="H5389">
        <v>6.9241299410776794E-2</v>
      </c>
      <c r="I5389">
        <v>5.9468466129001502E-2</v>
      </c>
      <c r="J5389">
        <v>5.9200340183552899E-2</v>
      </c>
      <c r="K5389">
        <v>4.9204937298695399E-2</v>
      </c>
      <c r="L5389">
        <v>12093.5336330837</v>
      </c>
      <c r="M5389">
        <v>228.09852479435199</v>
      </c>
      <c r="N5389">
        <v>53.059905403161402</v>
      </c>
      <c r="O5389">
        <v>53.014827732652002</v>
      </c>
      <c r="P5389">
        <v>-0.98873156781705196</v>
      </c>
      <c r="Q5389">
        <v>8.0793114563480997E-2</v>
      </c>
      <c r="R5389">
        <v>0.98672903437621196</v>
      </c>
      <c r="S5389" t="s">
        <v>12392</v>
      </c>
      <c r="T5389" t="s">
        <v>14004</v>
      </c>
      <c r="U5389" t="s">
        <v>14004</v>
      </c>
      <c r="V5389" t="s">
        <v>14004</v>
      </c>
      <c r="W5389" t="s">
        <v>19338</v>
      </c>
      <c r="X5389">
        <v>25</v>
      </c>
      <c r="Y5389" t="s">
        <v>26140</v>
      </c>
      <c r="Z5389" t="s">
        <v>33099</v>
      </c>
      <c r="AA5389">
        <v>0.47979804785834462</v>
      </c>
      <c r="AB5389" t="str">
        <f>HYPERLINK("Melting_Curves/meltCurve_Q96I99_SUCLG2.pdf", "Melting_Curves/meltCurve_Q96I99_SUCLG2.pdf")</f>
        <v>Melting_Curves/meltCurve_Q96I99_SUCLG2.pdf</v>
      </c>
    </row>
    <row r="5390" spans="1:28" x14ac:dyDescent="0.25">
      <c r="A5390" t="s">
        <v>5394</v>
      </c>
      <c r="B5390">
        <v>0.99999676499088797</v>
      </c>
      <c r="C5390">
        <v>1.17749827676444</v>
      </c>
      <c r="D5390">
        <v>0.90469170734532001</v>
      </c>
      <c r="E5390">
        <v>0.54462604632613298</v>
      </c>
      <c r="F5390">
        <v>0.497085534659713</v>
      </c>
      <c r="G5390">
        <v>0.15843904580184001</v>
      </c>
      <c r="H5390">
        <v>0.14799469793210401</v>
      </c>
      <c r="I5390">
        <v>0.151705273670347</v>
      </c>
      <c r="J5390">
        <v>0.24249914288963101</v>
      </c>
      <c r="K5390">
        <v>0.28153643672537398</v>
      </c>
      <c r="L5390">
        <v>1152.7719577469099</v>
      </c>
      <c r="M5390">
        <v>23.097871003398499</v>
      </c>
      <c r="N5390">
        <v>51.040335263438401</v>
      </c>
      <c r="O5390">
        <v>49.538571260376102</v>
      </c>
      <c r="P5390">
        <v>-9.3200104626644298E-2</v>
      </c>
      <c r="Q5390">
        <v>0.20046050352265901</v>
      </c>
      <c r="R5390">
        <v>0.93455523786366301</v>
      </c>
      <c r="S5390" t="s">
        <v>12393</v>
      </c>
      <c r="T5390" t="s">
        <v>14004</v>
      </c>
      <c r="U5390" t="s">
        <v>14004</v>
      </c>
      <c r="V5390" t="s">
        <v>14004</v>
      </c>
      <c r="W5390" t="s">
        <v>19339</v>
      </c>
      <c r="X5390">
        <v>5</v>
      </c>
      <c r="Y5390" t="s">
        <v>26141</v>
      </c>
      <c r="Z5390" t="s">
        <v>33100</v>
      </c>
      <c r="AA5390">
        <v>0.47289539445410911</v>
      </c>
      <c r="AB5390" t="str">
        <f>HYPERLINK("Melting_Curves/meltCurve_Q96IF1_AJUBA.pdf", "Melting_Curves/meltCurve_Q96IF1_AJUBA.pdf")</f>
        <v>Melting_Curves/meltCurve_Q96IF1_AJUBA.pdf</v>
      </c>
    </row>
    <row r="5391" spans="1:28" x14ac:dyDescent="0.25">
      <c r="A5391" t="s">
        <v>5395</v>
      </c>
      <c r="B5391">
        <v>0.99999676499088797</v>
      </c>
      <c r="C5391">
        <v>1.0615549319566</v>
      </c>
      <c r="D5391">
        <v>1.0858778455784499</v>
      </c>
      <c r="E5391">
        <v>1.3686209256936099</v>
      </c>
      <c r="F5391">
        <v>1.2397953791387699</v>
      </c>
      <c r="G5391">
        <v>0.73748988915139102</v>
      </c>
      <c r="H5391">
        <v>0.24110723139483201</v>
      </c>
      <c r="I5391">
        <v>8.6753697017158501E-2</v>
      </c>
      <c r="J5391">
        <v>3.6684687604669301E-2</v>
      </c>
      <c r="K5391">
        <v>2.8728741525807198E-2</v>
      </c>
      <c r="L5391">
        <v>2415.2991872226198</v>
      </c>
      <c r="M5391">
        <v>41.2729068174296</v>
      </c>
      <c r="N5391">
        <v>58.654706970312198</v>
      </c>
      <c r="O5391">
        <v>58.383334138081999</v>
      </c>
      <c r="P5391">
        <v>-0.16875422112501701</v>
      </c>
      <c r="Q5391">
        <v>4.51445110670834E-2</v>
      </c>
      <c r="R5391">
        <v>0.91627810689851497</v>
      </c>
      <c r="S5391" t="s">
        <v>12394</v>
      </c>
      <c r="T5391" t="s">
        <v>14004</v>
      </c>
      <c r="U5391" t="s">
        <v>14004</v>
      </c>
      <c r="V5391" t="s">
        <v>14004</v>
      </c>
      <c r="W5391" t="s">
        <v>19340</v>
      </c>
      <c r="X5391">
        <v>9</v>
      </c>
      <c r="Y5391" t="s">
        <v>26142</v>
      </c>
      <c r="Z5391" t="s">
        <v>33101</v>
      </c>
      <c r="AA5391">
        <v>0.63816341716712388</v>
      </c>
      <c r="AB5391" t="str">
        <f>HYPERLINK("Melting_Curves/meltCurve_Q96IJ6_GMPPA.pdf", "Melting_Curves/meltCurve_Q96IJ6_GMPPA.pdf")</f>
        <v>Melting_Curves/meltCurve_Q96IJ6_GMPPA.pdf</v>
      </c>
    </row>
    <row r="5392" spans="1:28" x14ac:dyDescent="0.25">
      <c r="A5392" t="s">
        <v>5396</v>
      </c>
      <c r="B5392">
        <v>0.99999676499088797</v>
      </c>
      <c r="C5392">
        <v>0.98341067781746505</v>
      </c>
      <c r="D5392">
        <v>0.90321083200530505</v>
      </c>
      <c r="E5392">
        <v>0.89941375233198395</v>
      </c>
      <c r="F5392">
        <v>0.80253547518448598</v>
      </c>
      <c r="G5392">
        <v>0.62884370555565905</v>
      </c>
      <c r="H5392">
        <v>0.309162287936119</v>
      </c>
      <c r="I5392">
        <v>0.21998179024808501</v>
      </c>
      <c r="J5392">
        <v>0.20916482437900499</v>
      </c>
      <c r="K5392">
        <v>0.18216615337078301</v>
      </c>
      <c r="L5392">
        <v>941.22249003397997</v>
      </c>
      <c r="M5392">
        <v>16.499914339093198</v>
      </c>
      <c r="N5392">
        <v>58.036082538766401</v>
      </c>
      <c r="O5392">
        <v>56.225923984652098</v>
      </c>
      <c r="P5392">
        <v>-6.4354259496919905E-2</v>
      </c>
      <c r="Q5392">
        <v>0.122873949444819</v>
      </c>
      <c r="R5392">
        <v>0.987027957002937</v>
      </c>
      <c r="S5392" t="s">
        <v>12395</v>
      </c>
      <c r="T5392" t="s">
        <v>14004</v>
      </c>
      <c r="U5392" t="s">
        <v>14004</v>
      </c>
      <c r="V5392" t="s">
        <v>14004</v>
      </c>
      <c r="W5392" t="s">
        <v>19341</v>
      </c>
      <c r="X5392">
        <v>4</v>
      </c>
      <c r="Y5392" t="s">
        <v>26143</v>
      </c>
      <c r="Z5392" t="s">
        <v>33102</v>
      </c>
      <c r="AA5392">
        <v>0.63414101659890953</v>
      </c>
      <c r="AB5392" t="str">
        <f>HYPERLINK("Melting_Curves/meltCurve_Q96IK1_BOD1.pdf", "Melting_Curves/meltCurve_Q96IK1_BOD1.pdf")</f>
        <v>Melting_Curves/meltCurve_Q96IK1_BOD1.pdf</v>
      </c>
    </row>
    <row r="5393" spans="1:28" x14ac:dyDescent="0.25">
      <c r="A5393" t="s">
        <v>5397</v>
      </c>
      <c r="B5393">
        <v>0.99999676499088797</v>
      </c>
      <c r="C5393">
        <v>1.04010593166258</v>
      </c>
      <c r="D5393">
        <v>0.79484877314080205</v>
      </c>
      <c r="E5393">
        <v>0.52772213834022397</v>
      </c>
      <c r="F5393">
        <v>0.25654810040770398</v>
      </c>
      <c r="G5393">
        <v>0.21958902266531199</v>
      </c>
      <c r="H5393">
        <v>0.13250546018765699</v>
      </c>
      <c r="I5393">
        <v>0.16595816475945799</v>
      </c>
      <c r="J5393">
        <v>0.16697477830850899</v>
      </c>
      <c r="K5393">
        <v>0.14881237642369399</v>
      </c>
      <c r="L5393">
        <v>1103.79564884765</v>
      </c>
      <c r="M5393">
        <v>22.575945116191001</v>
      </c>
      <c r="N5393">
        <v>49.707656360498603</v>
      </c>
      <c r="O5393">
        <v>48.513798374898997</v>
      </c>
      <c r="P5393">
        <v>-9.8342222237653001E-2</v>
      </c>
      <c r="Q5393">
        <v>0.15470079353810401</v>
      </c>
      <c r="R5393">
        <v>0.99183333352252401</v>
      </c>
      <c r="S5393" t="s">
        <v>12396</v>
      </c>
      <c r="T5393" t="s">
        <v>14004</v>
      </c>
      <c r="U5393" t="s">
        <v>14004</v>
      </c>
      <c r="V5393" t="s">
        <v>14004</v>
      </c>
      <c r="W5393" t="s">
        <v>19342</v>
      </c>
      <c r="X5393">
        <v>2</v>
      </c>
      <c r="Y5393" t="s">
        <v>26144</v>
      </c>
      <c r="Z5393" t="s">
        <v>33103</v>
      </c>
      <c r="AA5393">
        <v>0.4145044944700968</v>
      </c>
      <c r="AB5393" t="str">
        <f>HYPERLINK("Melting_Curves/meltCurve_Q96IQ9_2_ZNF414.pdf", "Melting_Curves/meltCurve_Q96IQ9_2_ZNF414.pdf")</f>
        <v>Melting_Curves/meltCurve_Q96IQ9_2_ZNF414.pdf</v>
      </c>
    </row>
    <row r="5394" spans="1:28" x14ac:dyDescent="0.25">
      <c r="A5394" t="s">
        <v>5398</v>
      </c>
      <c r="B5394">
        <v>0.99999676499088797</v>
      </c>
      <c r="C5394">
        <v>0.92225319109036397</v>
      </c>
      <c r="D5394">
        <v>0.89197086308106299</v>
      </c>
      <c r="E5394">
        <v>0.53943613072469998</v>
      </c>
      <c r="F5394">
        <v>0.32215368804489702</v>
      </c>
      <c r="G5394">
        <v>0.248002714895005</v>
      </c>
      <c r="H5394">
        <v>0.17943307079245799</v>
      </c>
      <c r="I5394">
        <v>0.17227203177484199</v>
      </c>
      <c r="J5394">
        <v>0.15909741161644</v>
      </c>
      <c r="K5394">
        <v>0.18237158524004801</v>
      </c>
      <c r="L5394">
        <v>1046.0587663359299</v>
      </c>
      <c r="M5394">
        <v>21.2040643958502</v>
      </c>
      <c r="N5394">
        <v>50.336586982093699</v>
      </c>
      <c r="O5394">
        <v>48.900441987025999</v>
      </c>
      <c r="P5394">
        <v>-8.9719025904463706E-2</v>
      </c>
      <c r="Q5394">
        <v>0.17238758919241101</v>
      </c>
      <c r="R5394">
        <v>0.99517235261252501</v>
      </c>
      <c r="S5394" t="s">
        <v>12397</v>
      </c>
      <c r="T5394" t="s">
        <v>14004</v>
      </c>
      <c r="U5394" t="s">
        <v>14004</v>
      </c>
      <c r="V5394" t="s">
        <v>14004</v>
      </c>
      <c r="W5394" t="s">
        <v>19343</v>
      </c>
      <c r="X5394">
        <v>2</v>
      </c>
      <c r="Y5394" t="s">
        <v>26145</v>
      </c>
      <c r="Z5394" t="s">
        <v>33104</v>
      </c>
      <c r="AA5394">
        <v>0.44013391855826822</v>
      </c>
      <c r="AB5394" t="str">
        <f>HYPERLINK("Melting_Curves/meltCurve_Q96IR2_ZNF845.pdf", "Melting_Curves/meltCurve_Q96IR2_ZNF845.pdf")</f>
        <v>Melting_Curves/meltCurve_Q96IR2_ZNF845.pdf</v>
      </c>
    </row>
    <row r="5395" spans="1:28" x14ac:dyDescent="0.25">
      <c r="A5395" t="s">
        <v>5399</v>
      </c>
      <c r="B5395">
        <v>0.99999676499088797</v>
      </c>
      <c r="C5395">
        <v>1.0145853835759</v>
      </c>
      <c r="D5395">
        <v>0.85532295154579396</v>
      </c>
      <c r="E5395">
        <v>0.52605274856685003</v>
      </c>
      <c r="F5395">
        <v>0.69417008226134502</v>
      </c>
      <c r="G5395">
        <v>0.57279207069558502</v>
      </c>
      <c r="H5395">
        <v>0.62399839674189606</v>
      </c>
      <c r="I5395">
        <v>0.98523399333021</v>
      </c>
      <c r="J5395">
        <v>1.0987482789787999</v>
      </c>
      <c r="K5395">
        <v>0.88074154517980097</v>
      </c>
      <c r="L5395">
        <v>11476.341241772299</v>
      </c>
      <c r="M5395">
        <v>250</v>
      </c>
      <c r="O5395">
        <v>45.9024276614768</v>
      </c>
      <c r="P5395">
        <v>-0.31477149616108502</v>
      </c>
      <c r="Q5395">
        <v>0.76881958863035105</v>
      </c>
      <c r="R5395">
        <v>0.234126538043713</v>
      </c>
      <c r="S5395" t="s">
        <v>12398</v>
      </c>
      <c r="T5395" t="s">
        <v>14004</v>
      </c>
      <c r="U5395" t="s">
        <v>14004</v>
      </c>
      <c r="V5395" t="s">
        <v>14004</v>
      </c>
      <c r="W5395" t="s">
        <v>19344</v>
      </c>
      <c r="X5395">
        <v>2</v>
      </c>
      <c r="Y5395" t="s">
        <v>26146</v>
      </c>
      <c r="Z5395" t="s">
        <v>33105</v>
      </c>
      <c r="AA5395">
        <v>0.81434503667696634</v>
      </c>
      <c r="AB5395" t="str">
        <f>HYPERLINK("Melting_Curves/meltCurve_Q96IU2_ZBED3.pdf", "Melting_Curves/meltCurve_Q96IU2_ZBED3.pdf")</f>
        <v>Melting_Curves/meltCurve_Q96IU2_ZBED3.pdf</v>
      </c>
    </row>
    <row r="5396" spans="1:28" x14ac:dyDescent="0.25">
      <c r="A5396" t="s">
        <v>5400</v>
      </c>
      <c r="B5396">
        <v>0.99999676499088797</v>
      </c>
      <c r="C5396">
        <v>0.69478926464497204</v>
      </c>
      <c r="D5396">
        <v>0.588580395528015</v>
      </c>
      <c r="E5396">
        <v>0.33988509587566201</v>
      </c>
      <c r="F5396">
        <v>0.20590186826256901</v>
      </c>
      <c r="G5396">
        <v>9.19167097294981E-2</v>
      </c>
      <c r="H5396">
        <v>4.8575904067650902E-2</v>
      </c>
      <c r="I5396">
        <v>2.92525084706684E-2</v>
      </c>
      <c r="J5396">
        <v>2.2462876750107299E-2</v>
      </c>
      <c r="K5396">
        <v>1.8484089683228198E-2</v>
      </c>
      <c r="L5396">
        <v>605.31570595690903</v>
      </c>
      <c r="M5396">
        <v>12.8723557025879</v>
      </c>
      <c r="N5396">
        <v>47.039456732145197</v>
      </c>
      <c r="O5396">
        <v>45.932946854502099</v>
      </c>
      <c r="P5396">
        <v>-6.9930113435804797E-2</v>
      </c>
      <c r="Q5396">
        <v>2.0456044585584901E-3</v>
      </c>
      <c r="R5396">
        <v>0.98489907429550405</v>
      </c>
      <c r="S5396" t="s">
        <v>12399</v>
      </c>
      <c r="T5396" t="s">
        <v>14004</v>
      </c>
      <c r="U5396" t="s">
        <v>14004</v>
      </c>
      <c r="V5396" t="s">
        <v>14004</v>
      </c>
      <c r="W5396" t="s">
        <v>19345</v>
      </c>
      <c r="X5396">
        <v>4</v>
      </c>
      <c r="Y5396" t="s">
        <v>26147</v>
      </c>
      <c r="Z5396" t="s">
        <v>33106</v>
      </c>
      <c r="AA5396">
        <v>0.27239445369439058</v>
      </c>
      <c r="AB5396" t="str">
        <f>HYPERLINK("Melting_Curves/meltCurve_Q96IU4_ABHD14B.pdf", "Melting_Curves/meltCurve_Q96IU4_ABHD14B.pdf")</f>
        <v>Melting_Curves/meltCurve_Q96IU4_ABHD14B.pdf</v>
      </c>
    </row>
    <row r="5397" spans="1:28" x14ac:dyDescent="0.25">
      <c r="A5397" t="s">
        <v>5401</v>
      </c>
      <c r="B5397">
        <v>0.99999676499088797</v>
      </c>
      <c r="C5397">
        <v>1.0365375049219701</v>
      </c>
      <c r="D5397">
        <v>0.84492933270699</v>
      </c>
      <c r="E5397">
        <v>0.513014175350895</v>
      </c>
      <c r="F5397">
        <v>0.284528427235271</v>
      </c>
      <c r="G5397">
        <v>0.18432765712871099</v>
      </c>
      <c r="H5397">
        <v>9.4196494623038404E-2</v>
      </c>
      <c r="I5397">
        <v>0.103555384505102</v>
      </c>
      <c r="J5397">
        <v>8.9017382309963894E-2</v>
      </c>
      <c r="K5397">
        <v>8.5676352198168396E-2</v>
      </c>
      <c r="L5397">
        <v>1040.72735872369</v>
      </c>
      <c r="M5397">
        <v>21.0173172680501</v>
      </c>
      <c r="N5397">
        <v>50.013893538958001</v>
      </c>
      <c r="O5397">
        <v>49.075845849171003</v>
      </c>
      <c r="P5397">
        <v>-9.6991014967057004E-2</v>
      </c>
      <c r="Q5397">
        <v>9.4120245869602603E-2</v>
      </c>
      <c r="R5397">
        <v>0.99455059596349804</v>
      </c>
      <c r="S5397" t="s">
        <v>12400</v>
      </c>
      <c r="T5397" t="s">
        <v>14004</v>
      </c>
      <c r="U5397" t="s">
        <v>14004</v>
      </c>
      <c r="V5397" t="s">
        <v>14004</v>
      </c>
      <c r="W5397" t="s">
        <v>19346</v>
      </c>
      <c r="X5397">
        <v>5</v>
      </c>
      <c r="Y5397" t="s">
        <v>26148</v>
      </c>
      <c r="Z5397" t="s">
        <v>33107</v>
      </c>
      <c r="AA5397">
        <v>0.39296139106037398</v>
      </c>
      <c r="AB5397" t="str">
        <f>HYPERLINK("Melting_Curves/meltCurve_Q96IV0_5_NGLY1.pdf", "Melting_Curves/meltCurve_Q96IV0_5_NGLY1.pdf")</f>
        <v>Melting_Curves/meltCurve_Q96IV0_5_NGLY1.pdf</v>
      </c>
    </row>
    <row r="5398" spans="1:28" x14ac:dyDescent="0.25">
      <c r="A5398" t="s">
        <v>5402</v>
      </c>
      <c r="B5398">
        <v>0.99999676499088797</v>
      </c>
      <c r="C5398">
        <v>0.92880165026744999</v>
      </c>
      <c r="D5398">
        <v>1.0317160893741999</v>
      </c>
      <c r="E5398">
        <v>1.0181704460457399</v>
      </c>
      <c r="F5398">
        <v>0.99903115970618395</v>
      </c>
      <c r="G5398">
        <v>0.78411483895019995</v>
      </c>
      <c r="H5398">
        <v>0.57513614168392002</v>
      </c>
      <c r="I5398">
        <v>0.51682275456180804</v>
      </c>
      <c r="J5398">
        <v>0.453635502503067</v>
      </c>
      <c r="K5398">
        <v>0.67927121061101203</v>
      </c>
      <c r="L5398">
        <v>3299.26974837333</v>
      </c>
      <c r="M5398">
        <v>58.0073661027347</v>
      </c>
      <c r="O5398">
        <v>56.809258342808697</v>
      </c>
      <c r="P5398">
        <v>-0.114037934294312</v>
      </c>
      <c r="Q5398">
        <v>0.55327001380029395</v>
      </c>
      <c r="R5398">
        <v>0.92703146047456397</v>
      </c>
      <c r="S5398" t="s">
        <v>12401</v>
      </c>
      <c r="T5398" t="s">
        <v>14004</v>
      </c>
      <c r="U5398" t="s">
        <v>14004</v>
      </c>
      <c r="V5398" t="s">
        <v>14004</v>
      </c>
      <c r="W5398" t="s">
        <v>19347</v>
      </c>
      <c r="X5398">
        <v>3</v>
      </c>
      <c r="Y5398" t="s">
        <v>26149</v>
      </c>
      <c r="Z5398" t="s">
        <v>33108</v>
      </c>
      <c r="AA5398">
        <v>0.80541257956006052</v>
      </c>
      <c r="AB5398" t="str">
        <f>HYPERLINK("Melting_Curves/meltCurve_Q96IX5_USMG5.pdf", "Melting_Curves/meltCurve_Q96IX5_USMG5.pdf")</f>
        <v>Melting_Curves/meltCurve_Q96IX5_USMG5.pdf</v>
      </c>
    </row>
    <row r="5399" spans="1:28" x14ac:dyDescent="0.25">
      <c r="A5399" t="s">
        <v>5403</v>
      </c>
      <c r="B5399">
        <v>0.99999676499088797</v>
      </c>
      <c r="C5399">
        <v>1.0436927425090099</v>
      </c>
      <c r="D5399">
        <v>1.00432086132702</v>
      </c>
      <c r="E5399">
        <v>0.50724815918757105</v>
      </c>
      <c r="F5399">
        <v>0.33516621890654003</v>
      </c>
      <c r="G5399">
        <v>0.25057863021343302</v>
      </c>
      <c r="H5399">
        <v>0.16979548309813999</v>
      </c>
      <c r="I5399">
        <v>0.22173668106653199</v>
      </c>
      <c r="J5399">
        <v>0.19083143926487101</v>
      </c>
      <c r="K5399">
        <v>0.223703225496204</v>
      </c>
      <c r="L5399">
        <v>2080.9519403313402</v>
      </c>
      <c r="M5399">
        <v>42.3843520610992</v>
      </c>
      <c r="N5399">
        <v>49.796958175891199</v>
      </c>
      <c r="O5399">
        <v>48.988238110911503</v>
      </c>
      <c r="P5399">
        <v>-0.16776389000475</v>
      </c>
      <c r="Q5399">
        <v>0.22438855879492101</v>
      </c>
      <c r="R5399">
        <v>0.98698458510757103</v>
      </c>
      <c r="S5399" t="s">
        <v>12402</v>
      </c>
      <c r="T5399" t="s">
        <v>14004</v>
      </c>
      <c r="U5399" t="s">
        <v>14004</v>
      </c>
      <c r="V5399" t="s">
        <v>14004</v>
      </c>
      <c r="W5399" t="s">
        <v>19348</v>
      </c>
      <c r="X5399">
        <v>6</v>
      </c>
      <c r="Y5399" t="s">
        <v>26150</v>
      </c>
      <c r="Z5399" t="s">
        <v>33109</v>
      </c>
      <c r="AA5399">
        <v>0.46192815175358509</v>
      </c>
      <c r="AB5399" t="str">
        <f>HYPERLINK("Melting_Curves/meltCurve_Q96IY1_NSL1.pdf", "Melting_Curves/meltCurve_Q96IY1_NSL1.pdf")</f>
        <v>Melting_Curves/meltCurve_Q96IY1_NSL1.pdf</v>
      </c>
    </row>
    <row r="5400" spans="1:28" x14ac:dyDescent="0.25">
      <c r="A5400" t="s">
        <v>5404</v>
      </c>
      <c r="B5400">
        <v>0.99999676499088797</v>
      </c>
      <c r="C5400">
        <v>1.05885950468117</v>
      </c>
      <c r="D5400">
        <v>1.09212037865001</v>
      </c>
      <c r="E5400">
        <v>1.0812587659706701</v>
      </c>
      <c r="F5400">
        <v>0.92187614595740597</v>
      </c>
      <c r="G5400">
        <v>0.91390859885422504</v>
      </c>
      <c r="H5400">
        <v>0.76380339270460296</v>
      </c>
      <c r="I5400">
        <v>0.92371011391699398</v>
      </c>
      <c r="J5400">
        <v>0.89706559810028197</v>
      </c>
      <c r="K5400">
        <v>0.97457263872158195</v>
      </c>
      <c r="L5400">
        <v>13243.9950749773</v>
      </c>
      <c r="M5400">
        <v>250</v>
      </c>
      <c r="O5400">
        <v>52.972613166623198</v>
      </c>
      <c r="P5400">
        <v>-0.124342531394772</v>
      </c>
      <c r="Q5400">
        <v>0.89461206447660802</v>
      </c>
      <c r="R5400">
        <v>0.52446214750359799</v>
      </c>
      <c r="S5400" t="s">
        <v>12403</v>
      </c>
      <c r="T5400" t="s">
        <v>14004</v>
      </c>
      <c r="U5400" t="s">
        <v>14004</v>
      </c>
      <c r="V5400" t="s">
        <v>14004</v>
      </c>
      <c r="W5400" t="s">
        <v>19349</v>
      </c>
      <c r="X5400">
        <v>6</v>
      </c>
      <c r="Y5400" t="s">
        <v>26151</v>
      </c>
      <c r="Z5400" t="s">
        <v>33110</v>
      </c>
      <c r="AA5400">
        <v>0.94020558844594393</v>
      </c>
      <c r="AB5400" t="str">
        <f>HYPERLINK("Melting_Curves/meltCurve_Q96IZ0_PAWR.pdf", "Melting_Curves/meltCurve_Q96IZ0_PAWR.pdf")</f>
        <v>Melting_Curves/meltCurve_Q96IZ0_PAWR.pdf</v>
      </c>
    </row>
    <row r="5401" spans="1:28" x14ac:dyDescent="0.25">
      <c r="A5401" t="s">
        <v>5405</v>
      </c>
      <c r="B5401">
        <v>0.99999676499088797</v>
      </c>
      <c r="C5401">
        <v>0.91094139560766796</v>
      </c>
      <c r="D5401">
        <v>0.91997828010585903</v>
      </c>
      <c r="E5401">
        <v>0.88948345325272804</v>
      </c>
      <c r="F5401">
        <v>0.83029418532290999</v>
      </c>
      <c r="G5401">
        <v>0.70309638273201502</v>
      </c>
      <c r="H5401">
        <v>0.40673166805524202</v>
      </c>
      <c r="I5401">
        <v>0.46505444778361699</v>
      </c>
      <c r="J5401">
        <v>0.48066205360043102</v>
      </c>
      <c r="K5401">
        <v>0.60643858280907204</v>
      </c>
      <c r="L5401">
        <v>1133.18644549081</v>
      </c>
      <c r="M5401">
        <v>20.796288916611399</v>
      </c>
      <c r="N5401">
        <v>64.918743319723106</v>
      </c>
      <c r="O5401">
        <v>53.993503528969498</v>
      </c>
      <c r="P5401">
        <v>-4.9851449251426497E-2</v>
      </c>
      <c r="Q5401">
        <v>0.482296222983774</v>
      </c>
      <c r="R5401">
        <v>0.87769458085958696</v>
      </c>
      <c r="S5401" t="s">
        <v>12404</v>
      </c>
      <c r="T5401" t="s">
        <v>14004</v>
      </c>
      <c r="U5401" t="s">
        <v>14004</v>
      </c>
      <c r="V5401" t="s">
        <v>14004</v>
      </c>
      <c r="W5401" t="s">
        <v>19350</v>
      </c>
      <c r="X5401">
        <v>12</v>
      </c>
      <c r="Y5401" t="s">
        <v>26152</v>
      </c>
      <c r="Z5401" t="s">
        <v>33111</v>
      </c>
      <c r="AA5401">
        <v>0.7389017052856498</v>
      </c>
      <c r="AB5401" t="str">
        <f>HYPERLINK("Melting_Curves/meltCurve_Q96IZ7_2_RSRC1.pdf", "Melting_Curves/meltCurve_Q96IZ7_2_RSRC1.pdf")</f>
        <v>Melting_Curves/meltCurve_Q96IZ7_2_RSRC1.pdf</v>
      </c>
    </row>
    <row r="5402" spans="1:28" x14ac:dyDescent="0.25">
      <c r="A5402" t="s">
        <v>5406</v>
      </c>
      <c r="B5402">
        <v>0.99999676499088797</v>
      </c>
      <c r="C5402">
        <v>0.84541466142728094</v>
      </c>
      <c r="D5402">
        <v>0.92463902636894202</v>
      </c>
      <c r="E5402">
        <v>0.91407684831004798</v>
      </c>
      <c r="F5402">
        <v>0.81981741736400804</v>
      </c>
      <c r="G5402">
        <v>0.47253173603162602</v>
      </c>
      <c r="H5402">
        <v>0.171263917934561</v>
      </c>
      <c r="I5402">
        <v>0.118379925023233</v>
      </c>
      <c r="J5402">
        <v>0.10954976791596401</v>
      </c>
      <c r="K5402">
        <v>8.7382087198125E-2</v>
      </c>
      <c r="L5402">
        <v>1348.3793889610999</v>
      </c>
      <c r="M5402">
        <v>24.059388737529201</v>
      </c>
      <c r="N5402">
        <v>56.432215459293502</v>
      </c>
      <c r="O5402">
        <v>55.660920373980801</v>
      </c>
      <c r="P5402">
        <v>-9.9817881615036505E-2</v>
      </c>
      <c r="Q5402">
        <v>7.6307676758253007E-2</v>
      </c>
      <c r="R5402">
        <v>0.97652646174859203</v>
      </c>
      <c r="S5402" t="s">
        <v>12405</v>
      </c>
      <c r="T5402" t="s">
        <v>14004</v>
      </c>
      <c r="U5402" t="s">
        <v>14004</v>
      </c>
      <c r="V5402" t="s">
        <v>14004</v>
      </c>
      <c r="W5402" t="s">
        <v>19351</v>
      </c>
      <c r="X5402">
        <v>14</v>
      </c>
      <c r="Y5402" t="s">
        <v>26153</v>
      </c>
      <c r="Z5402" t="s">
        <v>33112</v>
      </c>
      <c r="AA5402">
        <v>0.57931461819910079</v>
      </c>
      <c r="AB5402" t="str">
        <f>HYPERLINK("Melting_Curves/meltCurve_Q96J01_THOC3.pdf", "Melting_Curves/meltCurve_Q96J01_THOC3.pdf")</f>
        <v>Melting_Curves/meltCurve_Q96J01_THOC3.pdf</v>
      </c>
    </row>
    <row r="5403" spans="1:28" x14ac:dyDescent="0.25">
      <c r="A5403" t="s">
        <v>5407</v>
      </c>
      <c r="B5403">
        <v>0.99999676499088797</v>
      </c>
      <c r="C5403">
        <v>0.88838754702774503</v>
      </c>
      <c r="D5403">
        <v>0.70410628818346899</v>
      </c>
      <c r="E5403">
        <v>0.30467096007515798</v>
      </c>
      <c r="F5403">
        <v>0.26202468553807801</v>
      </c>
      <c r="G5403">
        <v>0.15325043172293901</v>
      </c>
      <c r="H5403">
        <v>7.8277673382373E-2</v>
      </c>
      <c r="I5403">
        <v>8.4023559901776998E-2</v>
      </c>
      <c r="J5403">
        <v>5.9127942452114703E-2</v>
      </c>
      <c r="K5403">
        <v>4.8430418008647301E-2</v>
      </c>
      <c r="L5403">
        <v>861.49392018098604</v>
      </c>
      <c r="M5403">
        <v>18.0915085120876</v>
      </c>
      <c r="N5403">
        <v>48.033472192305403</v>
      </c>
      <c r="O5403">
        <v>47.048328001378202</v>
      </c>
      <c r="P5403">
        <v>-8.9184904754247896E-2</v>
      </c>
      <c r="Q5403">
        <v>7.2316857268215295E-2</v>
      </c>
      <c r="R5403">
        <v>0.988783404822561</v>
      </c>
      <c r="S5403" t="s">
        <v>12406</v>
      </c>
      <c r="T5403" t="s">
        <v>14004</v>
      </c>
      <c r="U5403" t="s">
        <v>14004</v>
      </c>
      <c r="V5403" t="s">
        <v>14004</v>
      </c>
      <c r="W5403" t="s">
        <v>19352</v>
      </c>
      <c r="X5403">
        <v>11</v>
      </c>
      <c r="Y5403" t="s">
        <v>26154</v>
      </c>
      <c r="Z5403" t="s">
        <v>33113</v>
      </c>
      <c r="AA5403">
        <v>0.32439940349308838</v>
      </c>
      <c r="AB5403" t="str">
        <f>HYPERLINK("Melting_Curves/meltCurve_Q96J02_2_ITCH.pdf", "Melting_Curves/meltCurve_Q96J02_2_ITCH.pdf")</f>
        <v>Melting_Curves/meltCurve_Q96J02_2_ITCH.pdf</v>
      </c>
    </row>
    <row r="5404" spans="1:28" x14ac:dyDescent="0.25">
      <c r="A5404" t="s">
        <v>5408</v>
      </c>
      <c r="B5404">
        <v>0.99999676499088797</v>
      </c>
      <c r="C5404">
        <v>1.0072568891799101</v>
      </c>
      <c r="D5404">
        <v>1.03935157640626</v>
      </c>
      <c r="E5404">
        <v>0.97069775671948999</v>
      </c>
      <c r="F5404">
        <v>0.87805173505246703</v>
      </c>
      <c r="G5404">
        <v>0.58381947653634303</v>
      </c>
      <c r="H5404">
        <v>0.39499881205955201</v>
      </c>
      <c r="I5404">
        <v>0.40215871465562503</v>
      </c>
      <c r="J5404">
        <v>0.36460258225334202</v>
      </c>
      <c r="K5404">
        <v>0.45008661590333499</v>
      </c>
      <c r="L5404">
        <v>1920.7546623355599</v>
      </c>
      <c r="M5404">
        <v>34.6914778854415</v>
      </c>
      <c r="N5404">
        <v>57.998370174366002</v>
      </c>
      <c r="O5404">
        <v>55.183750238829099</v>
      </c>
      <c r="P5404">
        <v>-9.4863737420241803E-2</v>
      </c>
      <c r="Q5404">
        <v>0.39640302264223198</v>
      </c>
      <c r="R5404">
        <v>0.99121613749889703</v>
      </c>
      <c r="S5404" t="s">
        <v>12407</v>
      </c>
      <c r="T5404" t="s">
        <v>14004</v>
      </c>
      <c r="U5404" t="s">
        <v>14004</v>
      </c>
      <c r="V5404" t="s">
        <v>14004</v>
      </c>
      <c r="W5404" t="s">
        <v>19353</v>
      </c>
      <c r="X5404">
        <v>9</v>
      </c>
      <c r="Y5404" t="s">
        <v>26155</v>
      </c>
      <c r="Z5404" t="s">
        <v>33114</v>
      </c>
      <c r="AA5404">
        <v>0.70862237679230722</v>
      </c>
      <c r="AB5404" t="str">
        <f>HYPERLINK("Melting_Curves/meltCurve_Q96J84_2_KIRREL.pdf", "Melting_Curves/meltCurve_Q96J84_2_KIRREL.pdf")</f>
        <v>Melting_Curves/meltCurve_Q96J84_2_KIRREL.pdf</v>
      </c>
    </row>
    <row r="5405" spans="1:28" x14ac:dyDescent="0.25">
      <c r="A5405" t="s">
        <v>5409</v>
      </c>
      <c r="B5405">
        <v>0.99999676499088797</v>
      </c>
      <c r="C5405">
        <v>0.91303029815180703</v>
      </c>
      <c r="D5405">
        <v>0.94835789194145004</v>
      </c>
      <c r="E5405">
        <v>0.82015385667437501</v>
      </c>
      <c r="F5405">
        <v>0.81488838293495702</v>
      </c>
      <c r="G5405">
        <v>0.60903348823482495</v>
      </c>
      <c r="H5405">
        <v>0.43165412654628299</v>
      </c>
      <c r="I5405">
        <v>0.46583771349643299</v>
      </c>
      <c r="J5405">
        <v>0.41628925951496898</v>
      </c>
      <c r="K5405">
        <v>0.61477604397558405</v>
      </c>
      <c r="L5405">
        <v>858.75914929519695</v>
      </c>
      <c r="M5405">
        <v>16.1478499318902</v>
      </c>
      <c r="N5405">
        <v>63.259633839960003</v>
      </c>
      <c r="O5405">
        <v>52.385476649435098</v>
      </c>
      <c r="P5405">
        <v>-4.1475521020269697E-2</v>
      </c>
      <c r="Q5405">
        <v>0.46183532944046102</v>
      </c>
      <c r="R5405">
        <v>0.88922961907896803</v>
      </c>
      <c r="S5405" t="s">
        <v>12408</v>
      </c>
      <c r="T5405" t="s">
        <v>14004</v>
      </c>
      <c r="U5405" t="s">
        <v>14004</v>
      </c>
      <c r="V5405" t="s">
        <v>14004</v>
      </c>
      <c r="W5405" t="s">
        <v>19354</v>
      </c>
      <c r="X5405">
        <v>3</v>
      </c>
      <c r="Y5405" t="s">
        <v>26156</v>
      </c>
      <c r="Z5405" t="s">
        <v>33115</v>
      </c>
      <c r="AA5405">
        <v>0.70864261714625409</v>
      </c>
      <c r="AB5405" t="str">
        <f>HYPERLINK("Melting_Curves/meltCurve_Q96J88_2_EPSTI1.pdf", "Melting_Curves/meltCurve_Q96J88_2_EPSTI1.pdf")</f>
        <v>Melting_Curves/meltCurve_Q96J88_2_EPSTI1.pdf</v>
      </c>
    </row>
    <row r="5406" spans="1:28" x14ac:dyDescent="0.25">
      <c r="A5406" t="s">
        <v>5410</v>
      </c>
      <c r="B5406">
        <v>0.99999676499088797</v>
      </c>
      <c r="C5406">
        <v>0.91409501640166102</v>
      </c>
      <c r="D5406">
        <v>0.55121021147920202</v>
      </c>
      <c r="E5406">
        <v>0.29299897212231701</v>
      </c>
      <c r="F5406">
        <v>0.19169304638982901</v>
      </c>
      <c r="G5406">
        <v>0.14087961417056999</v>
      </c>
      <c r="H5406">
        <v>6.8742672761854695E-2</v>
      </c>
      <c r="I5406">
        <v>6.0317307462357597E-2</v>
      </c>
      <c r="J5406">
        <v>6.1666237510281101E-2</v>
      </c>
      <c r="K5406">
        <v>5.6580408774454402E-2</v>
      </c>
      <c r="L5406">
        <v>941.73003504439998</v>
      </c>
      <c r="M5406">
        <v>20.198570666392701</v>
      </c>
      <c r="N5406">
        <v>47.0082534885725</v>
      </c>
      <c r="O5406">
        <v>46.173815407895297</v>
      </c>
      <c r="P5406">
        <v>-0.10103451994585</v>
      </c>
      <c r="Q5406">
        <v>7.6171611041595394E-2</v>
      </c>
      <c r="R5406">
        <v>0.99064831100232897</v>
      </c>
      <c r="S5406" t="s">
        <v>12409</v>
      </c>
      <c r="T5406" t="s">
        <v>14004</v>
      </c>
      <c r="U5406" t="s">
        <v>14004</v>
      </c>
      <c r="V5406" t="s">
        <v>14004</v>
      </c>
      <c r="W5406" t="s">
        <v>19355</v>
      </c>
      <c r="X5406">
        <v>7</v>
      </c>
      <c r="Y5406" t="s">
        <v>26157</v>
      </c>
      <c r="Z5406" t="s">
        <v>33116</v>
      </c>
      <c r="AA5406">
        <v>0.29359507406523477</v>
      </c>
      <c r="AB5406" t="str">
        <f>HYPERLINK("Melting_Curves/meltCurve_Q96JB2_COG3.pdf", "Melting_Curves/meltCurve_Q96JB2_COG3.pdf")</f>
        <v>Melting_Curves/meltCurve_Q96JB2_COG3.pdf</v>
      </c>
    </row>
    <row r="5407" spans="1:28" x14ac:dyDescent="0.25">
      <c r="A5407" t="s">
        <v>5411</v>
      </c>
      <c r="B5407">
        <v>0.99999676499088797</v>
      </c>
      <c r="C5407">
        <v>0.85301672075395196</v>
      </c>
      <c r="D5407">
        <v>0.82897013372043904</v>
      </c>
      <c r="E5407">
        <v>0.42218365365508298</v>
      </c>
      <c r="F5407">
        <v>0.15264251745207399</v>
      </c>
      <c r="G5407">
        <v>0.11210205396537901</v>
      </c>
      <c r="H5407">
        <v>5.5234601303637797E-2</v>
      </c>
      <c r="I5407">
        <v>6.3574341027750905E-2</v>
      </c>
      <c r="J5407">
        <v>5.98754829956148E-2</v>
      </c>
      <c r="K5407">
        <v>4.69655838668128E-2</v>
      </c>
      <c r="L5407">
        <v>1043.0599738900301</v>
      </c>
      <c r="M5407">
        <v>21.4562481134713</v>
      </c>
      <c r="N5407">
        <v>48.856833648760201</v>
      </c>
      <c r="O5407">
        <v>48.196959760210397</v>
      </c>
      <c r="P5407">
        <v>-0.105653799833324</v>
      </c>
      <c r="Q5407">
        <v>5.0706700465084201E-2</v>
      </c>
      <c r="R5407">
        <v>0.99065754680611195</v>
      </c>
      <c r="S5407" t="s">
        <v>12410</v>
      </c>
      <c r="T5407" t="s">
        <v>14004</v>
      </c>
      <c r="U5407" t="s">
        <v>14004</v>
      </c>
      <c r="V5407" t="s">
        <v>14004</v>
      </c>
      <c r="W5407" t="s">
        <v>19356</v>
      </c>
      <c r="X5407">
        <v>15</v>
      </c>
      <c r="Y5407" t="s">
        <v>26158</v>
      </c>
      <c r="Z5407" t="s">
        <v>33117</v>
      </c>
      <c r="AA5407">
        <v>0.33480330075642051</v>
      </c>
      <c r="AB5407" t="str">
        <f>HYPERLINK("Melting_Curves/meltCurve_Q96JB5_CDK5RAP3.pdf", "Melting_Curves/meltCurve_Q96JB5_CDK5RAP3.pdf")</f>
        <v>Melting_Curves/meltCurve_Q96JB5_CDK5RAP3.pdf</v>
      </c>
    </row>
    <row r="5408" spans="1:28" x14ac:dyDescent="0.25">
      <c r="A5408" t="s">
        <v>5412</v>
      </c>
      <c r="B5408">
        <v>0.99999676499088797</v>
      </c>
      <c r="C5408">
        <v>0.97123342740460705</v>
      </c>
      <c r="D5408">
        <v>0.91458732582255498</v>
      </c>
      <c r="E5408">
        <v>0.46226772539400102</v>
      </c>
      <c r="F5408">
        <v>0.30108857120271298</v>
      </c>
      <c r="G5408">
        <v>0.13755703171111799</v>
      </c>
      <c r="H5408">
        <v>7.2153882952052606E-2</v>
      </c>
      <c r="I5408">
        <v>5.1836241123408101E-2</v>
      </c>
      <c r="J5408">
        <v>6.0930373593054199E-2</v>
      </c>
      <c r="K5408">
        <v>5.1176078186106103E-2</v>
      </c>
      <c r="L5408">
        <v>1051.1443619632901</v>
      </c>
      <c r="M5408">
        <v>21.1714469697705</v>
      </c>
      <c r="N5408">
        <v>49.949649294069303</v>
      </c>
      <c r="O5408">
        <v>49.212569448378702</v>
      </c>
      <c r="P5408">
        <v>-0.101122633603</v>
      </c>
      <c r="Q5408">
        <v>5.9795111225281999E-2</v>
      </c>
      <c r="R5408">
        <v>0.99121210966467399</v>
      </c>
      <c r="S5408" t="s">
        <v>12411</v>
      </c>
      <c r="T5408" t="s">
        <v>14004</v>
      </c>
      <c r="U5408" t="s">
        <v>14004</v>
      </c>
      <c r="V5408" t="s">
        <v>14004</v>
      </c>
      <c r="W5408" t="s">
        <v>19357</v>
      </c>
      <c r="X5408">
        <v>5</v>
      </c>
      <c r="Y5408" t="s">
        <v>26159</v>
      </c>
      <c r="Z5408" t="s">
        <v>33118</v>
      </c>
      <c r="AA5408">
        <v>0.37390761688615559</v>
      </c>
      <c r="AB5408" t="str">
        <f>HYPERLINK("Melting_Curves/meltCurve_Q96JC1_2_VPS39.pdf", "Melting_Curves/meltCurve_Q96JC1_2_VPS39.pdf")</f>
        <v>Melting_Curves/meltCurve_Q96JC1_2_VPS39.pdf</v>
      </c>
    </row>
    <row r="5409" spans="1:28" x14ac:dyDescent="0.25">
      <c r="A5409" t="s">
        <v>5413</v>
      </c>
      <c r="B5409">
        <v>0.99999676499088797</v>
      </c>
      <c r="C5409">
        <v>0.87085132911570695</v>
      </c>
      <c r="D5409">
        <v>0.85092076295608399</v>
      </c>
      <c r="E5409">
        <v>0.69210974406048198</v>
      </c>
      <c r="F5409">
        <v>0.60256219307024195</v>
      </c>
      <c r="G5409">
        <v>0.523595486002016</v>
      </c>
      <c r="H5409">
        <v>0.40329483835677898</v>
      </c>
      <c r="I5409">
        <v>0.328771020024206</v>
      </c>
      <c r="J5409">
        <v>0.297307670117679</v>
      </c>
      <c r="K5409">
        <v>0.300213279813272</v>
      </c>
      <c r="L5409">
        <v>444.41347132134302</v>
      </c>
      <c r="M5409">
        <v>8.3075232328439093</v>
      </c>
      <c r="N5409">
        <v>56.586967685449999</v>
      </c>
      <c r="O5409">
        <v>50.664499840912796</v>
      </c>
      <c r="P5409">
        <v>-3.3547715883178002E-2</v>
      </c>
      <c r="Q5409">
        <v>0.18242263824906399</v>
      </c>
      <c r="R5409">
        <v>0.98948880531178296</v>
      </c>
      <c r="S5409" t="s">
        <v>12412</v>
      </c>
      <c r="T5409" t="s">
        <v>14004</v>
      </c>
      <c r="U5409" t="s">
        <v>14004</v>
      </c>
      <c r="V5409" t="s">
        <v>14004</v>
      </c>
      <c r="W5409" t="s">
        <v>19358</v>
      </c>
      <c r="X5409">
        <v>5</v>
      </c>
      <c r="Y5409" t="s">
        <v>26160</v>
      </c>
      <c r="Z5409" t="s">
        <v>33119</v>
      </c>
      <c r="AA5409">
        <v>0.58019002656941943</v>
      </c>
      <c r="AB5409" t="str">
        <f>HYPERLINK("Melting_Curves/meltCurve_Q96JC9_EAF1.pdf", "Melting_Curves/meltCurve_Q96JC9_EAF1.pdf")</f>
        <v>Melting_Curves/meltCurve_Q96JC9_EAF1.pdf</v>
      </c>
    </row>
    <row r="5410" spans="1:28" x14ac:dyDescent="0.25">
      <c r="A5410" t="s">
        <v>5414</v>
      </c>
      <c r="B5410">
        <v>0.99999676499088797</v>
      </c>
      <c r="C5410">
        <v>1.1280917126991601</v>
      </c>
      <c r="D5410">
        <v>1.04258573994702</v>
      </c>
      <c r="E5410">
        <v>0.60784455833623496</v>
      </c>
      <c r="F5410">
        <v>0.42055027156686298</v>
      </c>
      <c r="G5410">
        <v>0.17820049173674099</v>
      </c>
      <c r="H5410">
        <v>8.84970117839841E-2</v>
      </c>
      <c r="I5410">
        <v>6.9244487636999405E-2</v>
      </c>
      <c r="J5410">
        <v>7.1221028784384605E-2</v>
      </c>
      <c r="K5410">
        <v>7.2256925301254604E-2</v>
      </c>
      <c r="L5410">
        <v>1134.3505742242701</v>
      </c>
      <c r="M5410">
        <v>22.0898503499158</v>
      </c>
      <c r="N5410">
        <v>51.701490510695898</v>
      </c>
      <c r="O5410">
        <v>50.936387702103097</v>
      </c>
      <c r="P5410">
        <v>-0.100895338813127</v>
      </c>
      <c r="Q5410">
        <v>6.9413307515359401E-2</v>
      </c>
      <c r="R5410">
        <v>0.97469944373569695</v>
      </c>
      <c r="S5410" t="s">
        <v>12413</v>
      </c>
      <c r="T5410" t="s">
        <v>14004</v>
      </c>
      <c r="U5410" t="s">
        <v>14004</v>
      </c>
      <c r="V5410" t="s">
        <v>14004</v>
      </c>
      <c r="W5410" t="s">
        <v>19359</v>
      </c>
      <c r="X5410">
        <v>6</v>
      </c>
      <c r="Y5410" t="s">
        <v>26161</v>
      </c>
      <c r="Z5410" t="s">
        <v>33120</v>
      </c>
      <c r="AA5410">
        <v>0.43225044554360731</v>
      </c>
      <c r="AB5410" t="str">
        <f>HYPERLINK("Melting_Curves/meltCurve_Q96JG6_CCDC132.pdf", "Melting_Curves/meltCurve_Q96JG6_CCDC132.pdf")</f>
        <v>Melting_Curves/meltCurve_Q96JG6_CCDC132.pdf</v>
      </c>
    </row>
    <row r="5411" spans="1:28" x14ac:dyDescent="0.25">
      <c r="A5411" t="s">
        <v>5415</v>
      </c>
      <c r="B5411">
        <v>0.99999676499088797</v>
      </c>
      <c r="C5411">
        <v>0.66951865955709</v>
      </c>
      <c r="D5411">
        <v>0.32870021097649998</v>
      </c>
      <c r="E5411">
        <v>0.22130412502722499</v>
      </c>
      <c r="F5411">
        <v>0.19090210775048899</v>
      </c>
      <c r="G5411">
        <v>0.12346730031316</v>
      </c>
      <c r="H5411">
        <v>4.5229859568416401E-2</v>
      </c>
      <c r="I5411">
        <v>6.2847508808649394E-2</v>
      </c>
      <c r="J5411">
        <v>5.8393837132458298E-2</v>
      </c>
      <c r="K5411">
        <v>8.3548076086823006E-2</v>
      </c>
      <c r="L5411">
        <v>996.39831185748994</v>
      </c>
      <c r="M5411">
        <v>22.5468118356697</v>
      </c>
      <c r="N5411">
        <v>44.603229634723697</v>
      </c>
      <c r="O5411">
        <v>43.849195710306198</v>
      </c>
      <c r="P5411">
        <v>-0.116496876872057</v>
      </c>
      <c r="Q5411">
        <v>9.3762703807286296E-2</v>
      </c>
      <c r="R5411">
        <v>0.97518928869328403</v>
      </c>
      <c r="S5411" t="s">
        <v>12414</v>
      </c>
      <c r="T5411" t="s">
        <v>14004</v>
      </c>
      <c r="U5411" t="s">
        <v>14004</v>
      </c>
      <c r="V5411" t="s">
        <v>14004</v>
      </c>
      <c r="W5411" t="s">
        <v>19360</v>
      </c>
      <c r="X5411">
        <v>8</v>
      </c>
      <c r="Y5411" t="s">
        <v>26162</v>
      </c>
      <c r="Z5411" t="s">
        <v>33121</v>
      </c>
      <c r="AA5411">
        <v>0.23329735280221059</v>
      </c>
      <c r="AB5411" t="str">
        <f>HYPERLINK("Melting_Curves/meltCurve_Q96JH7_VCPIP1.pdf", "Melting_Curves/meltCurve_Q96JH7_VCPIP1.pdf")</f>
        <v>Melting_Curves/meltCurve_Q96JH7_VCPIP1.pdf</v>
      </c>
    </row>
    <row r="5412" spans="1:28" x14ac:dyDescent="0.25">
      <c r="A5412" t="s">
        <v>5416</v>
      </c>
      <c r="B5412">
        <v>0.99999676499088797</v>
      </c>
      <c r="C5412">
        <v>0.98161130709211497</v>
      </c>
      <c r="D5412">
        <v>0.94180739083588405</v>
      </c>
      <c r="E5412">
        <v>0.90176374047211705</v>
      </c>
      <c r="F5412">
        <v>0.54816679222325404</v>
      </c>
      <c r="G5412">
        <v>0.28044084182456402</v>
      </c>
      <c r="H5412">
        <v>0.13625986815204799</v>
      </c>
      <c r="I5412">
        <v>0.140421669309861</v>
      </c>
      <c r="J5412">
        <v>0.15211696824174101</v>
      </c>
      <c r="K5412">
        <v>0.105314142242424</v>
      </c>
      <c r="L5412">
        <v>1360.6043371230901</v>
      </c>
      <c r="M5412">
        <v>25.581303133674201</v>
      </c>
      <c r="N5412">
        <v>53.778797268457801</v>
      </c>
      <c r="O5412">
        <v>52.865603727587001</v>
      </c>
      <c r="P5412">
        <v>-0.106143899457499</v>
      </c>
      <c r="Q5412">
        <v>0.12259446382466201</v>
      </c>
      <c r="R5412">
        <v>0.99698030438636698</v>
      </c>
      <c r="S5412" t="s">
        <v>12415</v>
      </c>
      <c r="T5412" t="s">
        <v>14004</v>
      </c>
      <c r="U5412" t="s">
        <v>14004</v>
      </c>
      <c r="V5412" t="s">
        <v>14004</v>
      </c>
      <c r="W5412" t="s">
        <v>19361</v>
      </c>
      <c r="X5412">
        <v>13</v>
      </c>
      <c r="Y5412" t="s">
        <v>26163</v>
      </c>
      <c r="Z5412" t="s">
        <v>33122</v>
      </c>
      <c r="AA5412">
        <v>0.51603338905994356</v>
      </c>
      <c r="AB5412" t="str">
        <f>HYPERLINK("Melting_Curves/meltCurve_Q96JJ7_TMX3.pdf", "Melting_Curves/meltCurve_Q96JJ7_TMX3.pdf")</f>
        <v>Melting_Curves/meltCurve_Q96JJ7_TMX3.pdf</v>
      </c>
    </row>
    <row r="5413" spans="1:28" x14ac:dyDescent="0.25">
      <c r="A5413" t="s">
        <v>5417</v>
      </c>
      <c r="B5413">
        <v>0.99999676499088797</v>
      </c>
      <c r="C5413">
        <v>0.93349402172577001</v>
      </c>
      <c r="D5413">
        <v>0.75563498069425905</v>
      </c>
      <c r="E5413">
        <v>0.49622276272340698</v>
      </c>
      <c r="F5413">
        <v>0.37457030459658802</v>
      </c>
      <c r="G5413">
        <v>0.252810087020233</v>
      </c>
      <c r="H5413">
        <v>0.261929481246368</v>
      </c>
      <c r="I5413">
        <v>0.31263669218147799</v>
      </c>
      <c r="J5413">
        <v>0.29719525959861698</v>
      </c>
      <c r="K5413">
        <v>0.31454756691649699</v>
      </c>
      <c r="L5413">
        <v>1018.60716164359</v>
      </c>
      <c r="M5413">
        <v>21.448890303121601</v>
      </c>
      <c r="N5413">
        <v>49.450367648478398</v>
      </c>
      <c r="O5413">
        <v>47.0829268898907</v>
      </c>
      <c r="P5413">
        <v>-8.1277679456142005E-2</v>
      </c>
      <c r="Q5413">
        <v>0.28635965957303799</v>
      </c>
      <c r="R5413">
        <v>0.99189125145814705</v>
      </c>
      <c r="S5413" t="s">
        <v>12416</v>
      </c>
      <c r="T5413" t="s">
        <v>14004</v>
      </c>
      <c r="U5413" t="s">
        <v>14004</v>
      </c>
      <c r="V5413" t="s">
        <v>14004</v>
      </c>
      <c r="W5413" t="s">
        <v>19362</v>
      </c>
      <c r="X5413">
        <v>29</v>
      </c>
      <c r="Y5413" t="s">
        <v>26164</v>
      </c>
      <c r="Z5413" t="s">
        <v>33123</v>
      </c>
      <c r="AA5413">
        <v>0.47335519143477089</v>
      </c>
      <c r="AB5413" t="str">
        <f>HYPERLINK("Melting_Curves/meltCurve_Q96JM3_CHAMP1.pdf", "Melting_Curves/meltCurve_Q96JM3_CHAMP1.pdf")</f>
        <v>Melting_Curves/meltCurve_Q96JM3_CHAMP1.pdf</v>
      </c>
    </row>
    <row r="5414" spans="1:28" x14ac:dyDescent="0.25">
      <c r="A5414" t="s">
        <v>5418</v>
      </c>
      <c r="B5414">
        <v>0.99999676499088797</v>
      </c>
      <c r="C5414">
        <v>0.95272839701816903</v>
      </c>
      <c r="D5414">
        <v>0.84542485618534002</v>
      </c>
      <c r="E5414">
        <v>0.74545887067933003</v>
      </c>
      <c r="F5414">
        <v>0.384348133194298</v>
      </c>
      <c r="G5414">
        <v>0.33631888291936801</v>
      </c>
      <c r="H5414">
        <v>0.16988223227777799</v>
      </c>
      <c r="I5414">
        <v>0.164381848626486</v>
      </c>
      <c r="J5414">
        <v>0.20295199699321501</v>
      </c>
      <c r="K5414">
        <v>0.182806166464687</v>
      </c>
      <c r="L5414">
        <v>880.25003329595199</v>
      </c>
      <c r="M5414">
        <v>17.242341538043199</v>
      </c>
      <c r="N5414">
        <v>52.238223848820603</v>
      </c>
      <c r="O5414">
        <v>50.379796525811201</v>
      </c>
      <c r="P5414">
        <v>-7.1702523906819401E-2</v>
      </c>
      <c r="Q5414">
        <v>0.16202860745431399</v>
      </c>
      <c r="R5414">
        <v>0.98627136772693602</v>
      </c>
      <c r="S5414" t="s">
        <v>12417</v>
      </c>
      <c r="T5414" t="s">
        <v>14004</v>
      </c>
      <c r="U5414" t="s">
        <v>14004</v>
      </c>
      <c r="V5414" t="s">
        <v>14004</v>
      </c>
      <c r="W5414" t="s">
        <v>19363</v>
      </c>
      <c r="X5414">
        <v>8</v>
      </c>
      <c r="Y5414" t="s">
        <v>26165</v>
      </c>
      <c r="Z5414" t="s">
        <v>33124</v>
      </c>
      <c r="AA5414">
        <v>0.48596266018597351</v>
      </c>
      <c r="AB5414" t="str">
        <f>HYPERLINK("Melting_Curves/meltCurve_Q96JP5_ZFP91.pdf", "Melting_Curves/meltCurve_Q96JP5_ZFP91.pdf")</f>
        <v>Melting_Curves/meltCurve_Q96JP5_ZFP91.pdf</v>
      </c>
    </row>
    <row r="5415" spans="1:28" x14ac:dyDescent="0.25">
      <c r="A5415" t="s">
        <v>5419</v>
      </c>
      <c r="B5415">
        <v>0.99999676499088797</v>
      </c>
      <c r="C5415">
        <v>0.82040091909631996</v>
      </c>
      <c r="D5415">
        <v>0.77451707225977295</v>
      </c>
      <c r="E5415">
        <v>0.50731513225273295</v>
      </c>
      <c r="F5415">
        <v>0.28079117460716602</v>
      </c>
      <c r="G5415">
        <v>0.170558814939441</v>
      </c>
      <c r="H5415">
        <v>0.115149944291637</v>
      </c>
      <c r="I5415">
        <v>9.5775754851027906E-2</v>
      </c>
      <c r="J5415">
        <v>7.5306475161607503E-2</v>
      </c>
      <c r="K5415">
        <v>0.10683813634490701</v>
      </c>
      <c r="L5415">
        <v>708.14347693726802</v>
      </c>
      <c r="M5415">
        <v>14.4431852150382</v>
      </c>
      <c r="N5415">
        <v>49.523049796769797</v>
      </c>
      <c r="O5415">
        <v>48.118408837254201</v>
      </c>
      <c r="P5415">
        <v>-7.0018864805066805E-2</v>
      </c>
      <c r="Q5415">
        <v>6.7019260386582E-2</v>
      </c>
      <c r="R5415">
        <v>0.99172077622140298</v>
      </c>
      <c r="S5415" t="s">
        <v>12418</v>
      </c>
      <c r="T5415" t="s">
        <v>14004</v>
      </c>
      <c r="U5415" t="s">
        <v>14004</v>
      </c>
      <c r="V5415" t="s">
        <v>14004</v>
      </c>
      <c r="W5415" t="s">
        <v>19364</v>
      </c>
      <c r="X5415">
        <v>2</v>
      </c>
      <c r="Y5415" t="s">
        <v>26166</v>
      </c>
      <c r="Z5415" t="s">
        <v>33125</v>
      </c>
      <c r="AA5415">
        <v>0.37251411591395223</v>
      </c>
      <c r="AB5415" t="str">
        <f>HYPERLINK("Melting_Curves/meltCurve_Q96JQ2_CLMN.pdf", "Melting_Curves/meltCurve_Q96JQ2_CLMN.pdf")</f>
        <v>Melting_Curves/meltCurve_Q96JQ2_CLMN.pdf</v>
      </c>
    </row>
    <row r="5416" spans="1:28" x14ac:dyDescent="0.25">
      <c r="A5416" t="s">
        <v>5420</v>
      </c>
      <c r="B5416">
        <v>0.99999676499088797</v>
      </c>
      <c r="C5416">
        <v>0.903667496094546</v>
      </c>
      <c r="D5416">
        <v>0.83159679411086995</v>
      </c>
      <c r="E5416">
        <v>0.63051553548498995</v>
      </c>
      <c r="F5416">
        <v>0.442038391323615</v>
      </c>
      <c r="G5416">
        <v>0.28140474779119501</v>
      </c>
      <c r="H5416">
        <v>0.19115347871886901</v>
      </c>
      <c r="I5416">
        <v>0.22909025165737901</v>
      </c>
      <c r="J5416">
        <v>0.21755728397152799</v>
      </c>
      <c r="K5416">
        <v>0.25060083303918701</v>
      </c>
      <c r="L5416">
        <v>783.52807186527696</v>
      </c>
      <c r="M5416">
        <v>15.697663937549899</v>
      </c>
      <c r="N5416">
        <v>51.585787349789904</v>
      </c>
      <c r="O5416">
        <v>49.124722470540497</v>
      </c>
      <c r="P5416">
        <v>-6.3962612304674593E-2</v>
      </c>
      <c r="Q5416">
        <v>0.19940225627927999</v>
      </c>
      <c r="R5416">
        <v>0.99153876397645502</v>
      </c>
      <c r="S5416" t="s">
        <v>12419</v>
      </c>
      <c r="T5416" t="s">
        <v>14004</v>
      </c>
      <c r="U5416" t="s">
        <v>14004</v>
      </c>
      <c r="V5416" t="s">
        <v>14004</v>
      </c>
      <c r="W5416" t="s">
        <v>19365</v>
      </c>
      <c r="X5416">
        <v>8</v>
      </c>
      <c r="Y5416" t="s">
        <v>26167</v>
      </c>
      <c r="Z5416" t="s">
        <v>33126</v>
      </c>
      <c r="AA5416">
        <v>0.48160557499109818</v>
      </c>
      <c r="AB5416" t="str">
        <f>HYPERLINK("Melting_Curves/meltCurve_Q96JY6_PDLIM2.pdf", "Melting_Curves/meltCurve_Q96JY6_PDLIM2.pdf")</f>
        <v>Melting_Curves/meltCurve_Q96JY6_PDLIM2.pdf</v>
      </c>
    </row>
    <row r="5417" spans="1:28" x14ac:dyDescent="0.25">
      <c r="A5417" t="s">
        <v>5421</v>
      </c>
      <c r="B5417">
        <v>0.99999676499088797</v>
      </c>
      <c r="C5417">
        <v>1.0182328733727299</v>
      </c>
      <c r="D5417">
        <v>0.935830323603144</v>
      </c>
      <c r="E5417">
        <v>0.66349395347801099</v>
      </c>
      <c r="F5417">
        <v>0.54214845967771397</v>
      </c>
      <c r="G5417">
        <v>0.46941240896752501</v>
      </c>
      <c r="H5417">
        <v>0.36038722394494899</v>
      </c>
      <c r="I5417">
        <v>0.28674628820008702</v>
      </c>
      <c r="J5417">
        <v>0.27139895572525102</v>
      </c>
      <c r="K5417">
        <v>0.195322777620971</v>
      </c>
      <c r="L5417">
        <v>666.73352808991001</v>
      </c>
      <c r="M5417">
        <v>12.751539137187001</v>
      </c>
      <c r="N5417">
        <v>54.703122946481599</v>
      </c>
      <c r="O5417">
        <v>51.050631391546901</v>
      </c>
      <c r="P5417">
        <v>-4.9007685938117398E-2</v>
      </c>
      <c r="Q5417">
        <v>0.21534273705444101</v>
      </c>
      <c r="R5417">
        <v>0.97888426909947002</v>
      </c>
      <c r="S5417" t="s">
        <v>12420</v>
      </c>
      <c r="T5417" t="s">
        <v>14004</v>
      </c>
      <c r="U5417" t="s">
        <v>14004</v>
      </c>
      <c r="V5417" t="s">
        <v>14004</v>
      </c>
      <c r="W5417" t="s">
        <v>19366</v>
      </c>
      <c r="X5417">
        <v>5</v>
      </c>
      <c r="Y5417" t="s">
        <v>26168</v>
      </c>
      <c r="Z5417" t="s">
        <v>33127</v>
      </c>
      <c r="AA5417">
        <v>0.55849459197575868</v>
      </c>
      <c r="AB5417" t="str">
        <f>HYPERLINK("Melting_Curves/meltCurve_Q96K19_2_RNF170.pdf", "Melting_Curves/meltCurve_Q96K19_2_RNF170.pdf")</f>
        <v>Melting_Curves/meltCurve_Q96K19_2_RNF170.pdf</v>
      </c>
    </row>
    <row r="5418" spans="1:28" x14ac:dyDescent="0.25">
      <c r="A5418" t="s">
        <v>5422</v>
      </c>
      <c r="B5418">
        <v>0.99999676499088797</v>
      </c>
      <c r="C5418">
        <v>0.82389020057609197</v>
      </c>
      <c r="D5418">
        <v>0.99346391345238005</v>
      </c>
      <c r="E5418">
        <v>0.82383389512834704</v>
      </c>
      <c r="F5418">
        <v>0.64196925601683996</v>
      </c>
      <c r="G5418">
        <v>0.62544357613589896</v>
      </c>
      <c r="H5418">
        <v>0.27370906950622598</v>
      </c>
      <c r="I5418">
        <v>0.119262111255464</v>
      </c>
      <c r="J5418">
        <v>0.104891109390054</v>
      </c>
      <c r="K5418">
        <v>8.2933065763161604E-2</v>
      </c>
      <c r="L5418">
        <v>720.93167585813501</v>
      </c>
      <c r="M5418">
        <v>12.722928550129501</v>
      </c>
      <c r="N5418">
        <v>56.663971432081901</v>
      </c>
      <c r="O5418">
        <v>55.318809098194698</v>
      </c>
      <c r="P5418">
        <v>-5.75092310526246E-2</v>
      </c>
      <c r="Q5418">
        <v>0</v>
      </c>
      <c r="R5418">
        <v>0.95581732518750295</v>
      </c>
      <c r="S5418" t="s">
        <v>12421</v>
      </c>
      <c r="T5418" t="s">
        <v>14004</v>
      </c>
      <c r="U5418" t="s">
        <v>14004</v>
      </c>
      <c r="V5418" t="s">
        <v>14004</v>
      </c>
      <c r="W5418" t="s">
        <v>19367</v>
      </c>
      <c r="X5418">
        <v>1</v>
      </c>
      <c r="Y5418" t="s">
        <v>26169</v>
      </c>
      <c r="Z5418" t="s">
        <v>33128</v>
      </c>
      <c r="AA5418">
        <v>0.57333693626236737</v>
      </c>
      <c r="AB5418" t="str">
        <f>HYPERLINK("Melting_Curves/meltCurve_Q96K31_C8orf76.pdf", "Melting_Curves/meltCurve_Q96K31_C8orf76.pdf")</f>
        <v>Melting_Curves/meltCurve_Q96K31_C8orf76.pdf</v>
      </c>
    </row>
    <row r="5419" spans="1:28" x14ac:dyDescent="0.25">
      <c r="A5419" t="s">
        <v>5423</v>
      </c>
      <c r="B5419">
        <v>0.99999676499088797</v>
      </c>
      <c r="C5419">
        <v>0.84137839008366599</v>
      </c>
      <c r="D5419">
        <v>0.80023027836582905</v>
      </c>
      <c r="E5419">
        <v>0.70554359800893995</v>
      </c>
      <c r="F5419">
        <v>0.61453823177923605</v>
      </c>
      <c r="G5419">
        <v>0.43320388670772603</v>
      </c>
      <c r="H5419">
        <v>0.25320803540923398</v>
      </c>
      <c r="I5419">
        <v>0.32704274634024599</v>
      </c>
      <c r="J5419">
        <v>0.31282116340236799</v>
      </c>
      <c r="K5419">
        <v>0.36005591086099797</v>
      </c>
      <c r="L5419">
        <v>535.57601520858702</v>
      </c>
      <c r="M5419">
        <v>10.502985634765899</v>
      </c>
      <c r="N5419">
        <v>54.652763313471802</v>
      </c>
      <c r="O5419">
        <v>49.248227449475998</v>
      </c>
      <c r="P5419">
        <v>-3.9867913303469199E-2</v>
      </c>
      <c r="Q5419">
        <v>0.25254295156747802</v>
      </c>
      <c r="R5419">
        <v>0.95206320539335698</v>
      </c>
      <c r="S5419" t="s">
        <v>12422</v>
      </c>
      <c r="T5419" t="s">
        <v>14004</v>
      </c>
      <c r="U5419" t="s">
        <v>14004</v>
      </c>
      <c r="V5419" t="s">
        <v>14004</v>
      </c>
      <c r="W5419" t="s">
        <v>19368</v>
      </c>
      <c r="X5419">
        <v>2</v>
      </c>
      <c r="Y5419" t="s">
        <v>26170</v>
      </c>
      <c r="Z5419" t="s">
        <v>33129</v>
      </c>
      <c r="AA5419">
        <v>0.55566729301828488</v>
      </c>
      <c r="AB5419" t="str">
        <f>HYPERLINK("Melting_Curves/meltCurve_Q96K80_ZC3H10.pdf", "Melting_Curves/meltCurve_Q96K80_ZC3H10.pdf")</f>
        <v>Melting_Curves/meltCurve_Q96K80_ZC3H10.pdf</v>
      </c>
    </row>
    <row r="5420" spans="1:28" x14ac:dyDescent="0.25">
      <c r="A5420" t="s">
        <v>5424</v>
      </c>
      <c r="B5420">
        <v>0.99999676499088797</v>
      </c>
      <c r="C5420">
        <v>0.97147820974506005</v>
      </c>
      <c r="D5420">
        <v>0.96933063911776596</v>
      </c>
      <c r="E5420">
        <v>0.77640436459503803</v>
      </c>
      <c r="F5420">
        <v>0.255482926055356</v>
      </c>
      <c r="G5420">
        <v>0.17852395801346199</v>
      </c>
      <c r="H5420">
        <v>5.78527038726196E-2</v>
      </c>
      <c r="I5420">
        <v>5.56370532598425E-2</v>
      </c>
      <c r="J5420">
        <v>4.7540819450416001E-2</v>
      </c>
      <c r="K5420">
        <v>4.1611285120941803E-2</v>
      </c>
      <c r="L5420">
        <v>1620.44803845361</v>
      </c>
      <c r="M5420">
        <v>31.6019947380838</v>
      </c>
      <c r="N5420">
        <v>51.489776713472601</v>
      </c>
      <c r="O5420">
        <v>51.072728393586701</v>
      </c>
      <c r="P5420">
        <v>-0.14521304639243801</v>
      </c>
      <c r="Q5420">
        <v>6.1275706562076801E-2</v>
      </c>
      <c r="R5420">
        <v>0.99494589523352805</v>
      </c>
      <c r="S5420" t="s">
        <v>12423</v>
      </c>
      <c r="T5420" t="s">
        <v>14004</v>
      </c>
      <c r="U5420" t="s">
        <v>14004</v>
      </c>
      <c r="V5420" t="s">
        <v>14004</v>
      </c>
      <c r="W5420" t="s">
        <v>19369</v>
      </c>
      <c r="X5420">
        <v>13</v>
      </c>
      <c r="Y5420" t="s">
        <v>26171</v>
      </c>
      <c r="Z5420" t="s">
        <v>33130</v>
      </c>
      <c r="AA5420">
        <v>0.41947764469666921</v>
      </c>
      <c r="AB5420" t="str">
        <f>HYPERLINK("Melting_Curves/meltCurve_Q96KA5_2_CLPTM1L.pdf", "Melting_Curves/meltCurve_Q96KA5_2_CLPTM1L.pdf")</f>
        <v>Melting_Curves/meltCurve_Q96KA5_2_CLPTM1L.pdf</v>
      </c>
    </row>
    <row r="5421" spans="1:28" x14ac:dyDescent="0.25">
      <c r="A5421" t="s">
        <v>5425</v>
      </c>
      <c r="B5421">
        <v>0.99999676499088797</v>
      </c>
      <c r="C5421">
        <v>1.02384946477012</v>
      </c>
      <c r="D5421">
        <v>0.68844251878043905</v>
      </c>
      <c r="E5421">
        <v>0.25925264368293899</v>
      </c>
      <c r="F5421">
        <v>0.17691969448709399</v>
      </c>
      <c r="G5421">
        <v>0.12062592480412899</v>
      </c>
      <c r="H5421">
        <v>5.5626659364547401E-2</v>
      </c>
      <c r="I5421">
        <v>6.0015432891348301E-2</v>
      </c>
      <c r="J5421">
        <v>4.9082335160661898E-2</v>
      </c>
      <c r="K5421">
        <v>4.0844710035670299E-2</v>
      </c>
      <c r="L5421">
        <v>1329.6131107916301</v>
      </c>
      <c r="M5421">
        <v>28.114450955655101</v>
      </c>
      <c r="N5421">
        <v>47.559966336389998</v>
      </c>
      <c r="O5421">
        <v>47.0555554040738</v>
      </c>
      <c r="P5421">
        <v>-0.138461528341766</v>
      </c>
      <c r="Q5421">
        <v>7.3028007891962607E-2</v>
      </c>
      <c r="R5421">
        <v>0.99032577026033697</v>
      </c>
      <c r="S5421" t="s">
        <v>12424</v>
      </c>
      <c r="T5421" t="s">
        <v>14004</v>
      </c>
      <c r="U5421" t="s">
        <v>14004</v>
      </c>
      <c r="V5421" t="s">
        <v>14004</v>
      </c>
      <c r="W5421" t="s">
        <v>19370</v>
      </c>
      <c r="X5421">
        <v>15</v>
      </c>
      <c r="Y5421" t="s">
        <v>26172</v>
      </c>
      <c r="Z5421" t="s">
        <v>33131</v>
      </c>
      <c r="AA5421">
        <v>0.3047579886408362</v>
      </c>
      <c r="AB5421" t="str">
        <f>HYPERLINK("Melting_Curves/meltCurve_Q96KB5_PBK.pdf", "Melting_Curves/meltCurve_Q96KB5_PBK.pdf")</f>
        <v>Melting_Curves/meltCurve_Q96KB5_PBK.pdf</v>
      </c>
    </row>
    <row r="5422" spans="1:28" x14ac:dyDescent="0.25">
      <c r="A5422" t="s">
        <v>5426</v>
      </c>
      <c r="B5422">
        <v>0.99999676499088797</v>
      </c>
      <c r="C5422">
        <v>0.96779448642563404</v>
      </c>
      <c r="D5422">
        <v>0.93349618419976699</v>
      </c>
      <c r="E5422">
        <v>0.63561096465459399</v>
      </c>
      <c r="F5422">
        <v>0.38046405561625801</v>
      </c>
      <c r="G5422">
        <v>0.196660876958414</v>
      </c>
      <c r="H5422">
        <v>4.9399790818255802E-2</v>
      </c>
      <c r="I5422">
        <v>6.1236750994989597E-2</v>
      </c>
      <c r="J5422">
        <v>7.6645827126798405E-2</v>
      </c>
      <c r="K5422">
        <v>5.5764498180877101E-2</v>
      </c>
      <c r="L5422">
        <v>962.61625154294802</v>
      </c>
      <c r="M5422">
        <v>18.7820927077472</v>
      </c>
      <c r="N5422">
        <v>51.508602477342798</v>
      </c>
      <c r="O5422">
        <v>50.681418342324399</v>
      </c>
      <c r="P5422">
        <v>-8.8510814577483304E-2</v>
      </c>
      <c r="Q5422">
        <v>4.4692929387987398E-2</v>
      </c>
      <c r="R5422">
        <v>0.996553455984443</v>
      </c>
      <c r="S5422" t="s">
        <v>12425</v>
      </c>
      <c r="T5422" t="s">
        <v>14004</v>
      </c>
      <c r="U5422" t="s">
        <v>14004</v>
      </c>
      <c r="V5422" t="s">
        <v>14004</v>
      </c>
      <c r="W5422" t="s">
        <v>19371</v>
      </c>
      <c r="X5422">
        <v>3</v>
      </c>
      <c r="Y5422" t="s">
        <v>26173</v>
      </c>
      <c r="Z5422" t="s">
        <v>33132</v>
      </c>
      <c r="AA5422">
        <v>0.41785976655073598</v>
      </c>
      <c r="AB5422" t="str">
        <f>HYPERLINK("Melting_Curves/meltCurve_Q96KC8_DNAJC1.pdf", "Melting_Curves/meltCurve_Q96KC8_DNAJC1.pdf")</f>
        <v>Melting_Curves/meltCurve_Q96KC8_DNAJC1.pdf</v>
      </c>
    </row>
    <row r="5423" spans="1:28" x14ac:dyDescent="0.25">
      <c r="A5423" t="s">
        <v>5427</v>
      </c>
      <c r="B5423">
        <v>0.99999676499088797</v>
      </c>
      <c r="C5423">
        <v>0.91717333031801695</v>
      </c>
      <c r="D5423">
        <v>0.81652491319857101</v>
      </c>
      <c r="E5423">
        <v>0.64935649968495901</v>
      </c>
      <c r="F5423">
        <v>0.363327860984897</v>
      </c>
      <c r="G5423">
        <v>0.29212624639746498</v>
      </c>
      <c r="H5423">
        <v>0.119732169613425</v>
      </c>
      <c r="I5423">
        <v>0.14826708084523499</v>
      </c>
      <c r="J5423">
        <v>0.17408682054805599</v>
      </c>
      <c r="K5423">
        <v>0.16466279791257099</v>
      </c>
      <c r="L5423">
        <v>782.151537715828</v>
      </c>
      <c r="M5423">
        <v>15.5488659639181</v>
      </c>
      <c r="N5423">
        <v>51.295539317706002</v>
      </c>
      <c r="O5423">
        <v>49.492795054900398</v>
      </c>
      <c r="P5423">
        <v>-6.8342084148933099E-2</v>
      </c>
      <c r="Q5423">
        <v>0.12993166692282401</v>
      </c>
      <c r="R5423">
        <v>0.99027391027695399</v>
      </c>
      <c r="S5423" t="s">
        <v>12426</v>
      </c>
      <c r="T5423" t="s">
        <v>14004</v>
      </c>
      <c r="U5423" t="s">
        <v>14004</v>
      </c>
      <c r="V5423" t="s">
        <v>14004</v>
      </c>
      <c r="W5423" t="s">
        <v>19372</v>
      </c>
      <c r="X5423">
        <v>5</v>
      </c>
      <c r="Y5423" t="s">
        <v>26174</v>
      </c>
      <c r="Z5423" t="s">
        <v>33133</v>
      </c>
      <c r="AA5423">
        <v>0.44803132288609948</v>
      </c>
      <c r="AB5423" t="str">
        <f>HYPERLINK("Melting_Curves/meltCurve_Q96KM6_ZNF512B.pdf", "Melting_Curves/meltCurve_Q96KM6_ZNF512B.pdf")</f>
        <v>Melting_Curves/meltCurve_Q96KM6_ZNF512B.pdf</v>
      </c>
    </row>
    <row r="5424" spans="1:28" x14ac:dyDescent="0.25">
      <c r="A5424" t="s">
        <v>5428</v>
      </c>
      <c r="B5424">
        <v>0.99999676499088797</v>
      </c>
      <c r="C5424">
        <v>0.96659360414584194</v>
      </c>
      <c r="D5424">
        <v>0.83505310528861998</v>
      </c>
      <c r="E5424">
        <v>0.29523994149622901</v>
      </c>
      <c r="F5424">
        <v>0.22622916113639899</v>
      </c>
      <c r="G5424">
        <v>0.117525398060718</v>
      </c>
      <c r="H5424">
        <v>5.0758761712488103E-2</v>
      </c>
      <c r="I5424">
        <v>4.2657613673904603E-2</v>
      </c>
      <c r="J5424">
        <v>3.5718949298550302E-2</v>
      </c>
      <c r="K5424">
        <v>3.59567868070714E-2</v>
      </c>
      <c r="L5424">
        <v>1321.1490340709099</v>
      </c>
      <c r="M5424">
        <v>27.428967164814502</v>
      </c>
      <c r="N5424">
        <v>48.4078555910449</v>
      </c>
      <c r="O5424">
        <v>47.912358838198401</v>
      </c>
      <c r="P5424">
        <v>-0.133964344015128</v>
      </c>
      <c r="Q5424">
        <v>6.3984007713705701E-2</v>
      </c>
      <c r="R5424">
        <v>0.98765391699356098</v>
      </c>
      <c r="S5424" t="s">
        <v>12427</v>
      </c>
      <c r="T5424" t="s">
        <v>14004</v>
      </c>
      <c r="U5424" t="s">
        <v>14004</v>
      </c>
      <c r="V5424" t="s">
        <v>14004</v>
      </c>
      <c r="W5424" t="s">
        <v>19373</v>
      </c>
      <c r="X5424">
        <v>7</v>
      </c>
      <c r="Y5424" t="s">
        <v>26175</v>
      </c>
      <c r="Z5424" t="s">
        <v>33134</v>
      </c>
      <c r="AA5424">
        <v>0.32557794194837869</v>
      </c>
      <c r="AB5424" t="str">
        <f>HYPERLINK("Melting_Curves/meltCurve_Q96KP1_EXOC2.pdf", "Melting_Curves/meltCurve_Q96KP1_EXOC2.pdf")</f>
        <v>Melting_Curves/meltCurve_Q96KP1_EXOC2.pdf</v>
      </c>
    </row>
    <row r="5425" spans="1:28" x14ac:dyDescent="0.25">
      <c r="A5425" t="s">
        <v>5429</v>
      </c>
      <c r="B5425">
        <v>0.99999676499088797</v>
      </c>
      <c r="C5425">
        <v>1.0141019186423701</v>
      </c>
      <c r="D5425">
        <v>0.98070685196155305</v>
      </c>
      <c r="E5425">
        <v>0.99910806975697897</v>
      </c>
      <c r="F5425">
        <v>0.95862239547677897</v>
      </c>
      <c r="G5425">
        <v>0.87719611721827595</v>
      </c>
      <c r="H5425">
        <v>0.55254649988700699</v>
      </c>
      <c r="I5425">
        <v>0.49354768161064899</v>
      </c>
      <c r="J5425">
        <v>0.37982589701749098</v>
      </c>
      <c r="K5425">
        <v>0.364697295094218</v>
      </c>
      <c r="L5425">
        <v>1590.4071534536399</v>
      </c>
      <c r="M5425">
        <v>26.780008570311601</v>
      </c>
      <c r="N5425">
        <v>62.444278509989701</v>
      </c>
      <c r="O5425">
        <v>59.059670057138497</v>
      </c>
      <c r="P5425">
        <v>-7.1962039609006698E-2</v>
      </c>
      <c r="Q5425">
        <v>0.365196577702673</v>
      </c>
      <c r="R5425">
        <v>0.99276805308282101</v>
      </c>
      <c r="S5425" t="s">
        <v>12428</v>
      </c>
      <c r="T5425" t="s">
        <v>14004</v>
      </c>
      <c r="U5425" t="s">
        <v>14004</v>
      </c>
      <c r="V5425" t="s">
        <v>14004</v>
      </c>
      <c r="W5425" t="s">
        <v>19374</v>
      </c>
      <c r="X5425">
        <v>27</v>
      </c>
      <c r="Y5425" t="s">
        <v>26176</v>
      </c>
      <c r="Z5425" t="s">
        <v>33135</v>
      </c>
      <c r="AA5425">
        <v>0.7800970804585996</v>
      </c>
      <c r="AB5425" t="str">
        <f>HYPERLINK("Melting_Curves/meltCurve_Q96KP4_CNDP2.pdf", "Melting_Curves/meltCurve_Q96KP4_CNDP2.pdf")</f>
        <v>Melting_Curves/meltCurve_Q96KP4_CNDP2.pdf</v>
      </c>
    </row>
    <row r="5426" spans="1:28" x14ac:dyDescent="0.25">
      <c r="A5426" t="s">
        <v>5430</v>
      </c>
      <c r="B5426">
        <v>0.99999676499088797</v>
      </c>
      <c r="C5426">
        <v>0.80951339056054294</v>
      </c>
      <c r="D5426">
        <v>0.357843163442295</v>
      </c>
      <c r="E5426">
        <v>0.18961179661292901</v>
      </c>
      <c r="F5426">
        <v>9.0259171127848301E-2</v>
      </c>
      <c r="G5426">
        <v>0.106610686547678</v>
      </c>
      <c r="H5426">
        <v>5.2949658335743902E-2</v>
      </c>
      <c r="I5426">
        <v>5.2009832631913201E-2</v>
      </c>
      <c r="J5426">
        <v>7.7121027761701003E-2</v>
      </c>
      <c r="K5426">
        <v>5.3580052891309501E-2</v>
      </c>
      <c r="L5426">
        <v>1258.66903255956</v>
      </c>
      <c r="M5426">
        <v>28.052667826364001</v>
      </c>
      <c r="N5426">
        <v>45.132027591425299</v>
      </c>
      <c r="O5426">
        <v>44.641922299809401</v>
      </c>
      <c r="P5426">
        <v>-0.14521371630715199</v>
      </c>
      <c r="Q5426">
        <v>7.5658069444324794E-2</v>
      </c>
      <c r="R5426">
        <v>0.99344627114165696</v>
      </c>
      <c r="S5426" t="s">
        <v>12429</v>
      </c>
      <c r="T5426" t="s">
        <v>14004</v>
      </c>
      <c r="U5426" t="s">
        <v>14004</v>
      </c>
      <c r="V5426" t="s">
        <v>14004</v>
      </c>
      <c r="W5426" t="s">
        <v>19375</v>
      </c>
      <c r="X5426">
        <v>3</v>
      </c>
      <c r="Y5426" t="s">
        <v>26177</v>
      </c>
      <c r="Z5426" t="s">
        <v>33136</v>
      </c>
      <c r="AA5426">
        <v>0.23272329300572481</v>
      </c>
      <c r="AB5426" t="str">
        <f>HYPERLINK("Melting_Curves/meltCurve_Q96KQ4_PPP1R13B.pdf", "Melting_Curves/meltCurve_Q96KQ4_PPP1R13B.pdf")</f>
        <v>Melting_Curves/meltCurve_Q96KQ4_PPP1R13B.pdf</v>
      </c>
    </row>
    <row r="5427" spans="1:28" x14ac:dyDescent="0.25">
      <c r="A5427" t="s">
        <v>5431</v>
      </c>
      <c r="B5427">
        <v>0.99999676499088797</v>
      </c>
      <c r="C5427">
        <v>1.02556529090218</v>
      </c>
      <c r="D5427">
        <v>1.14556331970603</v>
      </c>
      <c r="E5427">
        <v>1.0408397035661201</v>
      </c>
      <c r="F5427">
        <v>0.861622496500417</v>
      </c>
      <c r="G5427">
        <v>0.89553838434217403</v>
      </c>
      <c r="H5427">
        <v>0.33524837611436598</v>
      </c>
      <c r="I5427">
        <v>0.42609811520549201</v>
      </c>
      <c r="J5427">
        <v>0.41082596872055799</v>
      </c>
      <c r="K5427">
        <v>0.412184634813615</v>
      </c>
      <c r="L5427">
        <v>14288.874083533399</v>
      </c>
      <c r="M5427">
        <v>250</v>
      </c>
      <c r="N5427">
        <v>57.516950691661798</v>
      </c>
      <c r="O5427">
        <v>57.151862914183504</v>
      </c>
      <c r="P5427">
        <v>-0.66042359279243101</v>
      </c>
      <c r="Q5427">
        <v>0.39608923599121598</v>
      </c>
      <c r="R5427">
        <v>0.94805208114730199</v>
      </c>
      <c r="S5427" t="s">
        <v>12430</v>
      </c>
      <c r="T5427" t="s">
        <v>14004</v>
      </c>
      <c r="U5427" t="s">
        <v>14004</v>
      </c>
      <c r="V5427" t="s">
        <v>14004</v>
      </c>
      <c r="W5427" t="s">
        <v>19376</v>
      </c>
      <c r="X5427">
        <v>10</v>
      </c>
      <c r="Y5427" t="s">
        <v>26178</v>
      </c>
      <c r="Z5427" t="s">
        <v>33137</v>
      </c>
      <c r="AA5427">
        <v>0.74149610907538299</v>
      </c>
      <c r="AB5427" t="str">
        <f>HYPERLINK("Melting_Curves/meltCurve_Q96KR1_ZFR.pdf", "Melting_Curves/meltCurve_Q96KR1_ZFR.pdf")</f>
        <v>Melting_Curves/meltCurve_Q96KR1_ZFR.pdf</v>
      </c>
    </row>
    <row r="5428" spans="1:28" x14ac:dyDescent="0.25">
      <c r="A5428" t="s">
        <v>5432</v>
      </c>
      <c r="B5428">
        <v>0.99999676499088797</v>
      </c>
      <c r="C5428">
        <v>1.0673339422848001</v>
      </c>
      <c r="D5428">
        <v>0.61135979364021797</v>
      </c>
      <c r="E5428">
        <v>0.20733989016696799</v>
      </c>
      <c r="F5428">
        <v>0.134163683982572</v>
      </c>
      <c r="G5428">
        <v>7.1633511138004202E-2</v>
      </c>
      <c r="H5428">
        <v>4.1598567889697902E-2</v>
      </c>
      <c r="I5428">
        <v>5.5774680828709601E-2</v>
      </c>
      <c r="J5428">
        <v>4.0038389293284501E-2</v>
      </c>
      <c r="K5428">
        <v>2.84834139242609E-2</v>
      </c>
      <c r="L5428">
        <v>1581.6821017755401</v>
      </c>
      <c r="M5428">
        <v>33.861234250093197</v>
      </c>
      <c r="N5428">
        <v>46.893450199341203</v>
      </c>
      <c r="O5428">
        <v>46.548694550188799</v>
      </c>
      <c r="P5428">
        <v>-0.17061921542730399</v>
      </c>
      <c r="Q5428">
        <v>6.1809874336948498E-2</v>
      </c>
      <c r="R5428">
        <v>0.98664000959728704</v>
      </c>
      <c r="S5428" t="s">
        <v>12431</v>
      </c>
      <c r="T5428" t="s">
        <v>14004</v>
      </c>
      <c r="U5428" t="s">
        <v>14004</v>
      </c>
      <c r="V5428" t="s">
        <v>14004</v>
      </c>
      <c r="W5428" t="s">
        <v>19377</v>
      </c>
      <c r="X5428">
        <v>4</v>
      </c>
      <c r="Y5428" t="s">
        <v>26179</v>
      </c>
      <c r="Z5428" t="s">
        <v>33138</v>
      </c>
      <c r="AA5428">
        <v>0.27601838973586551</v>
      </c>
      <c r="AB5428" t="str">
        <f>HYPERLINK("Melting_Curves/meltCurve_Q96L50_LRR1.pdf", "Melting_Curves/meltCurve_Q96L50_LRR1.pdf")</f>
        <v>Melting_Curves/meltCurve_Q96L50_LRR1.pdf</v>
      </c>
    </row>
    <row r="5429" spans="1:28" x14ac:dyDescent="0.25">
      <c r="A5429" t="s">
        <v>5433</v>
      </c>
      <c r="B5429">
        <v>0.99999676499088797</v>
      </c>
      <c r="C5429">
        <v>0.81629327947149999</v>
      </c>
      <c r="D5429">
        <v>0.66131681763446903</v>
      </c>
      <c r="E5429">
        <v>0.343855241221319</v>
      </c>
      <c r="F5429">
        <v>0.25426965924028</v>
      </c>
      <c r="G5429">
        <v>0.19058161238177901</v>
      </c>
      <c r="H5429">
        <v>0.17043204452229599</v>
      </c>
      <c r="I5429">
        <v>0.28232503154930999</v>
      </c>
      <c r="J5429">
        <v>0.28949306679130898</v>
      </c>
      <c r="K5429">
        <v>0.36808700501525998</v>
      </c>
      <c r="L5429">
        <v>1070.63306085003</v>
      </c>
      <c r="M5429">
        <v>23.3411725308919</v>
      </c>
      <c r="N5429">
        <v>47.294099047694303</v>
      </c>
      <c r="O5429">
        <v>45.536147930812497</v>
      </c>
      <c r="P5429">
        <v>-9.5784680936033206E-2</v>
      </c>
      <c r="Q5429">
        <v>0.25255008594619099</v>
      </c>
      <c r="R5429">
        <v>0.95241117225378802</v>
      </c>
      <c r="S5429" t="s">
        <v>12432</v>
      </c>
      <c r="T5429" t="s">
        <v>14004</v>
      </c>
      <c r="U5429" t="s">
        <v>14004</v>
      </c>
      <c r="V5429" t="s">
        <v>14004</v>
      </c>
      <c r="W5429" t="s">
        <v>19378</v>
      </c>
      <c r="X5429">
        <v>5</v>
      </c>
      <c r="Y5429" t="s">
        <v>26180</v>
      </c>
      <c r="Z5429" t="s">
        <v>33139</v>
      </c>
      <c r="AA5429">
        <v>0.40692953712908247</v>
      </c>
      <c r="AB5429" t="str">
        <f>HYPERLINK("Melting_Curves/meltCurve_Q96L91_4_EP400.pdf", "Melting_Curves/meltCurve_Q96L91_4_EP400.pdf")</f>
        <v>Melting_Curves/meltCurve_Q96L91_4_EP400.pdf</v>
      </c>
    </row>
    <row r="5430" spans="1:28" x14ac:dyDescent="0.25">
      <c r="A5430" t="s">
        <v>5434</v>
      </c>
      <c r="B5430">
        <v>0.99999676499088797</v>
      </c>
      <c r="C5430">
        <v>1.0024330778893</v>
      </c>
      <c r="D5430">
        <v>0.77113542627212806</v>
      </c>
      <c r="E5430">
        <v>0.290376154453442</v>
      </c>
      <c r="F5430">
        <v>0.20253020365139299</v>
      </c>
      <c r="G5430">
        <v>0.15005511504501301</v>
      </c>
      <c r="H5430">
        <v>8.8691427865928193E-2</v>
      </c>
      <c r="I5430">
        <v>0.11024006007023</v>
      </c>
      <c r="J5430">
        <v>0.123225072271962</v>
      </c>
      <c r="K5430">
        <v>6.8915360557601502E-2</v>
      </c>
      <c r="L5430">
        <v>1481.1834323830401</v>
      </c>
      <c r="M5430">
        <v>31.142284179216599</v>
      </c>
      <c r="N5430">
        <v>47.964634443508402</v>
      </c>
      <c r="O5430">
        <v>47.366985649160398</v>
      </c>
      <c r="P5430">
        <v>-0.145454347444852</v>
      </c>
      <c r="Q5430">
        <v>0.115068726433941</v>
      </c>
      <c r="R5430">
        <v>0.993816638378621</v>
      </c>
      <c r="S5430" t="s">
        <v>12433</v>
      </c>
      <c r="T5430" t="s">
        <v>14004</v>
      </c>
      <c r="U5430" t="s">
        <v>14004</v>
      </c>
      <c r="V5430" t="s">
        <v>14004</v>
      </c>
      <c r="W5430" t="s">
        <v>19379</v>
      </c>
      <c r="X5430">
        <v>15</v>
      </c>
      <c r="Y5430" t="s">
        <v>26181</v>
      </c>
      <c r="Z5430" t="s">
        <v>33140</v>
      </c>
      <c r="AA5430">
        <v>0.34303289743074888</v>
      </c>
      <c r="AB5430" t="str">
        <f>HYPERLINK("Melting_Curves/meltCurve_Q96L92_3_SNX27.pdf", "Melting_Curves/meltCurve_Q96L92_3_SNX27.pdf")</f>
        <v>Melting_Curves/meltCurve_Q96L92_3_SNX27.pdf</v>
      </c>
    </row>
    <row r="5431" spans="1:28" x14ac:dyDescent="0.25">
      <c r="A5431" t="s">
        <v>5435</v>
      </c>
      <c r="B5431">
        <v>0.99999676499088797</v>
      </c>
      <c r="C5431">
        <v>0.66411907992166896</v>
      </c>
      <c r="D5431">
        <v>0.59121369059724405</v>
      </c>
      <c r="E5431">
        <v>0.35270268144028</v>
      </c>
      <c r="F5431">
        <v>0.35921008752078099</v>
      </c>
      <c r="G5431">
        <v>9.4865115987519094E-2</v>
      </c>
      <c r="H5431">
        <v>0.20233780298644799</v>
      </c>
      <c r="I5431">
        <v>0.92368495217476299</v>
      </c>
      <c r="J5431">
        <v>2.9869820873866302</v>
      </c>
      <c r="K5431">
        <v>1.5716567763587701</v>
      </c>
      <c r="L5431">
        <v>15000</v>
      </c>
      <c r="M5431">
        <v>230.40576480428601</v>
      </c>
      <c r="O5431">
        <v>65.0976331393489</v>
      </c>
      <c r="P5431">
        <v>0.44242346962157902</v>
      </c>
      <c r="Q5431">
        <v>1.5</v>
      </c>
      <c r="R5431">
        <v>0.28383909242307698</v>
      </c>
      <c r="S5431" t="s">
        <v>12434</v>
      </c>
      <c r="T5431" t="s">
        <v>14004</v>
      </c>
      <c r="U5431" t="s">
        <v>14004</v>
      </c>
      <c r="V5431" t="s">
        <v>14004</v>
      </c>
      <c r="W5431" t="s">
        <v>19380</v>
      </c>
      <c r="X5431">
        <v>1</v>
      </c>
      <c r="Y5431" t="s">
        <v>26182</v>
      </c>
      <c r="Z5431" t="s">
        <v>33141</v>
      </c>
      <c r="AA5431">
        <v>1.081557112273674</v>
      </c>
      <c r="AB5431" t="str">
        <f>HYPERLINK("Melting_Curves/meltCurve_Q96L93_6_KIF16B.pdf", "Melting_Curves/meltCurve_Q96L93_6_KIF16B.pdf")</f>
        <v>Melting_Curves/meltCurve_Q96L93_6_KIF16B.pdf</v>
      </c>
    </row>
    <row r="5432" spans="1:28" x14ac:dyDescent="0.25">
      <c r="A5432" t="s">
        <v>5436</v>
      </c>
      <c r="B5432">
        <v>0.99999676499088797</v>
      </c>
      <c r="C5432">
        <v>1.12114808310309</v>
      </c>
      <c r="D5432">
        <v>1.06636692988479</v>
      </c>
      <c r="E5432">
        <v>0.88045780452567202</v>
      </c>
      <c r="F5432">
        <v>0.674464686011782</v>
      </c>
      <c r="G5432">
        <v>0.73592237347176304</v>
      </c>
      <c r="H5432">
        <v>0.44037701765142001</v>
      </c>
      <c r="I5432">
        <v>0.47941629216485498</v>
      </c>
      <c r="J5432">
        <v>0.49802516772033001</v>
      </c>
      <c r="K5432">
        <v>0.159529576370078</v>
      </c>
      <c r="L5432">
        <v>575.57692620312196</v>
      </c>
      <c r="M5432">
        <v>9.5963070779350996</v>
      </c>
      <c r="N5432">
        <v>61.573899863985901</v>
      </c>
      <c r="O5432">
        <v>57.547901975314801</v>
      </c>
      <c r="P5432">
        <v>-3.7122056175225203E-2</v>
      </c>
      <c r="Q5432">
        <v>0.110040506007527</v>
      </c>
      <c r="R5432">
        <v>0.88454520192647801</v>
      </c>
      <c r="S5432" t="s">
        <v>12435</v>
      </c>
      <c r="T5432" t="s">
        <v>14004</v>
      </c>
      <c r="U5432" t="s">
        <v>14004</v>
      </c>
      <c r="V5432" t="s">
        <v>14004</v>
      </c>
      <c r="W5432" t="s">
        <v>19381</v>
      </c>
      <c r="X5432">
        <v>2</v>
      </c>
      <c r="Y5432" t="s">
        <v>26183</v>
      </c>
      <c r="Z5432" t="s">
        <v>33142</v>
      </c>
      <c r="AA5432">
        <v>0.69773507832138115</v>
      </c>
      <c r="AB5432" t="str">
        <f>HYPERLINK("Melting_Curves/meltCurve_Q96LA8_PRMT6.pdf", "Melting_Curves/meltCurve_Q96LA8_PRMT6.pdf")</f>
        <v>Melting_Curves/meltCurve_Q96LA8_PRMT6.pdf</v>
      </c>
    </row>
    <row r="5433" spans="1:28" x14ac:dyDescent="0.25">
      <c r="A5433" t="s">
        <v>5437</v>
      </c>
      <c r="B5433">
        <v>0.99999676499088797</v>
      </c>
      <c r="C5433">
        <v>0.98280471111700196</v>
      </c>
      <c r="D5433">
        <v>0.90552588426978098</v>
      </c>
      <c r="E5433">
        <v>0.47676861569907603</v>
      </c>
      <c r="F5433">
        <v>0.26088585651434498</v>
      </c>
      <c r="G5433">
        <v>0.180806574045484</v>
      </c>
      <c r="H5433">
        <v>7.6112072036015499E-2</v>
      </c>
      <c r="I5433">
        <v>5.31101735774267E-2</v>
      </c>
      <c r="J5433">
        <v>2.7788444842530801E-2</v>
      </c>
      <c r="K5433">
        <v>4.07464031222462E-2</v>
      </c>
      <c r="L5433">
        <v>1047.76462347756</v>
      </c>
      <c r="M5433">
        <v>21.095110974066898</v>
      </c>
      <c r="N5433">
        <v>49.943781388803302</v>
      </c>
      <c r="O5433">
        <v>49.228730672415701</v>
      </c>
      <c r="P5433">
        <v>-0.101253169036333</v>
      </c>
      <c r="Q5433">
        <v>5.4864905743854601E-2</v>
      </c>
      <c r="R5433">
        <v>0.99198489765243802</v>
      </c>
      <c r="S5433" t="s">
        <v>12436</v>
      </c>
      <c r="T5433" t="s">
        <v>14004</v>
      </c>
      <c r="U5433" t="s">
        <v>14004</v>
      </c>
      <c r="V5433" t="s">
        <v>14004</v>
      </c>
      <c r="W5433" t="s">
        <v>19382</v>
      </c>
      <c r="X5433">
        <v>1</v>
      </c>
      <c r="Y5433" t="s">
        <v>26184</v>
      </c>
      <c r="Z5433" t="s">
        <v>33143</v>
      </c>
      <c r="AA5433">
        <v>0.37132221647995611</v>
      </c>
      <c r="AB5433" t="str">
        <f>HYPERLINK("Melting_Curves/meltCurve_Q96LJ7_DHRS1.pdf", "Melting_Curves/meltCurve_Q96LJ7_DHRS1.pdf")</f>
        <v>Melting_Curves/meltCurve_Q96LJ7_DHRS1.pdf</v>
      </c>
    </row>
    <row r="5434" spans="1:28" x14ac:dyDescent="0.25">
      <c r="A5434" t="s">
        <v>5438</v>
      </c>
      <c r="B5434">
        <v>0.99999676499088797</v>
      </c>
      <c r="C5434">
        <v>0.89552565731975298</v>
      </c>
      <c r="D5434">
        <v>1.00062482928192</v>
      </c>
      <c r="E5434">
        <v>0.79648367154598099</v>
      </c>
      <c r="F5434">
        <v>0.30679474979532401</v>
      </c>
      <c r="G5434">
        <v>0.132535348064071</v>
      </c>
      <c r="H5434">
        <v>7.92309670285576E-2</v>
      </c>
      <c r="I5434">
        <v>4.4275322229898703E-2</v>
      </c>
      <c r="J5434">
        <v>5.8080088616502303E-2</v>
      </c>
      <c r="K5434">
        <v>4.7726396522873103E-2</v>
      </c>
      <c r="L5434">
        <v>1629.6398597833099</v>
      </c>
      <c r="M5434">
        <v>31.596714793250602</v>
      </c>
      <c r="N5434">
        <v>51.781125059259402</v>
      </c>
      <c r="O5434">
        <v>51.370976934160602</v>
      </c>
      <c r="P5434">
        <v>-0.14473191540977001</v>
      </c>
      <c r="Q5434">
        <v>5.87655489698546E-2</v>
      </c>
      <c r="R5434">
        <v>0.99255946867573996</v>
      </c>
      <c r="S5434" t="s">
        <v>12437</v>
      </c>
      <c r="T5434" t="s">
        <v>14004</v>
      </c>
      <c r="U5434" t="s">
        <v>14004</v>
      </c>
      <c r="V5434" t="s">
        <v>14004</v>
      </c>
      <c r="W5434" t="s">
        <v>19383</v>
      </c>
      <c r="X5434">
        <v>5</v>
      </c>
      <c r="Y5434" t="s">
        <v>26185</v>
      </c>
      <c r="Z5434" t="s">
        <v>33144</v>
      </c>
      <c r="AA5434">
        <v>0.42735060417841392</v>
      </c>
      <c r="AB5434" t="str">
        <f>HYPERLINK("Melting_Curves/meltCurve_Q96LR5_UBE2E2.pdf", "Melting_Curves/meltCurve_Q96LR5_UBE2E2.pdf")</f>
        <v>Melting_Curves/meltCurve_Q96LR5_UBE2E2.pdf</v>
      </c>
    </row>
    <row r="5435" spans="1:28" x14ac:dyDescent="0.25">
      <c r="A5435" t="s">
        <v>5439</v>
      </c>
      <c r="B5435">
        <v>0.99999676499088797</v>
      </c>
      <c r="C5435">
        <v>1.0360757722224501</v>
      </c>
      <c r="D5435">
        <v>0.86067903677527702</v>
      </c>
      <c r="E5435">
        <v>0.80923916329913403</v>
      </c>
      <c r="F5435">
        <v>0.68122114915526499</v>
      </c>
      <c r="G5435">
        <v>0.43028084551359203</v>
      </c>
      <c r="H5435">
        <v>0.122421657395913</v>
      </c>
      <c r="I5435">
        <v>2.4035680276781698E-2</v>
      </c>
      <c r="J5435">
        <v>7.3417723303697793E-2</v>
      </c>
      <c r="K5435">
        <v>9.4550811635117204E-3</v>
      </c>
      <c r="L5435">
        <v>912.75730419600904</v>
      </c>
      <c r="M5435">
        <v>16.573227264422801</v>
      </c>
      <c r="N5435">
        <v>55.074201306351</v>
      </c>
      <c r="O5435">
        <v>54.291106154781502</v>
      </c>
      <c r="P5435">
        <v>-7.6321705566794504E-2</v>
      </c>
      <c r="Q5435">
        <v>0</v>
      </c>
      <c r="R5435">
        <v>0.98260977397353</v>
      </c>
      <c r="S5435" t="s">
        <v>12438</v>
      </c>
      <c r="T5435" t="s">
        <v>14004</v>
      </c>
      <c r="U5435" t="s">
        <v>14004</v>
      </c>
      <c r="V5435" t="s">
        <v>14004</v>
      </c>
      <c r="W5435" t="s">
        <v>19384</v>
      </c>
      <c r="X5435">
        <v>4</v>
      </c>
      <c r="Y5435" t="s">
        <v>26186</v>
      </c>
      <c r="Z5435" t="s">
        <v>33145</v>
      </c>
      <c r="AA5435">
        <v>0.5196086925018476</v>
      </c>
      <c r="AB5435" t="str">
        <f>HYPERLINK("Melting_Curves/meltCurve_Q96LT7_C9orf72.pdf", "Melting_Curves/meltCurve_Q96LT7_C9orf72.pdf")</f>
        <v>Melting_Curves/meltCurve_Q96LT7_C9orf72.pdf</v>
      </c>
    </row>
    <row r="5436" spans="1:28" x14ac:dyDescent="0.25">
      <c r="A5436" t="s">
        <v>5440</v>
      </c>
      <c r="B5436">
        <v>0.99999676499088797</v>
      </c>
      <c r="C5436">
        <v>1.20120808769446</v>
      </c>
      <c r="D5436">
        <v>0.91299186882131</v>
      </c>
      <c r="E5436">
        <v>0.806232439455426</v>
      </c>
      <c r="F5436">
        <v>0.615317940078694</v>
      </c>
      <c r="G5436">
        <v>0.53220457765334295</v>
      </c>
      <c r="H5436">
        <v>0.252936508610485</v>
      </c>
      <c r="I5436">
        <v>7.9878746303767206E-2</v>
      </c>
      <c r="J5436">
        <v>0</v>
      </c>
      <c r="K5436">
        <v>0</v>
      </c>
      <c r="L5436">
        <v>829.63455112055999</v>
      </c>
      <c r="M5436">
        <v>14.890249316017799</v>
      </c>
      <c r="N5436">
        <v>55.716615720939203</v>
      </c>
      <c r="O5436">
        <v>54.7406706006646</v>
      </c>
      <c r="P5436">
        <v>-6.8010661133822203E-2</v>
      </c>
      <c r="Q5436">
        <v>0</v>
      </c>
      <c r="R5436">
        <v>0.95714236421451604</v>
      </c>
      <c r="S5436" t="s">
        <v>12439</v>
      </c>
      <c r="T5436" t="s">
        <v>14004</v>
      </c>
      <c r="U5436" t="s">
        <v>14004</v>
      </c>
      <c r="V5436" t="s">
        <v>14004</v>
      </c>
      <c r="W5436" t="s">
        <v>19385</v>
      </c>
      <c r="X5436">
        <v>1</v>
      </c>
      <c r="Y5436" t="s">
        <v>26187</v>
      </c>
      <c r="Z5436" t="s">
        <v>33146</v>
      </c>
      <c r="AA5436">
        <v>0.54222351239427935</v>
      </c>
      <c r="AB5436" t="str">
        <f>HYPERLINK("Melting_Curves/meltCurve_Q96LU5_IMMP1L.pdf", "Melting_Curves/meltCurve_Q96LU5_IMMP1L.pdf")</f>
        <v>Melting_Curves/meltCurve_Q96LU5_IMMP1L.pdf</v>
      </c>
    </row>
    <row r="5437" spans="1:28" x14ac:dyDescent="0.25">
      <c r="A5437" t="s">
        <v>5441</v>
      </c>
      <c r="B5437">
        <v>0.99999676499088797</v>
      </c>
      <c r="C5437">
        <v>0.98450165637868403</v>
      </c>
      <c r="D5437">
        <v>1.0385088922764201</v>
      </c>
      <c r="E5437">
        <v>1.1994003663471899</v>
      </c>
      <c r="F5437">
        <v>0.82213785401922401</v>
      </c>
      <c r="G5437">
        <v>0.47187799678641901</v>
      </c>
      <c r="H5437">
        <v>0.23186116893593101</v>
      </c>
      <c r="I5437">
        <v>0.18139648305394901</v>
      </c>
      <c r="J5437">
        <v>0.18498129059421001</v>
      </c>
      <c r="K5437">
        <v>0.15003057384586899</v>
      </c>
      <c r="L5437">
        <v>1894.68961076459</v>
      </c>
      <c r="M5437">
        <v>33.974922358190199</v>
      </c>
      <c r="N5437">
        <v>56.469453941855797</v>
      </c>
      <c r="O5437">
        <v>55.575155133200902</v>
      </c>
      <c r="P5437">
        <v>-0.12650315377354701</v>
      </c>
      <c r="Q5437">
        <v>0.17228308484392299</v>
      </c>
      <c r="R5437">
        <v>0.96931981675978296</v>
      </c>
      <c r="S5437" t="s">
        <v>12440</v>
      </c>
      <c r="T5437" t="s">
        <v>14004</v>
      </c>
      <c r="U5437" t="s">
        <v>14004</v>
      </c>
      <c r="V5437" t="s">
        <v>14004</v>
      </c>
      <c r="W5437" t="s">
        <v>19386</v>
      </c>
      <c r="X5437">
        <v>1</v>
      </c>
      <c r="Y5437" t="s">
        <v>26188</v>
      </c>
      <c r="Z5437" t="s">
        <v>33147</v>
      </c>
      <c r="AA5437">
        <v>0.61167380052501985</v>
      </c>
      <c r="AB5437" t="str">
        <f>HYPERLINK("Melting_Curves/meltCurve_Q96LW7_2_C9orf89.pdf", "Melting_Curves/meltCurve_Q96LW7_2_C9orf89.pdf")</f>
        <v>Melting_Curves/meltCurve_Q96LW7_2_C9orf89.pdf</v>
      </c>
    </row>
    <row r="5438" spans="1:28" x14ac:dyDescent="0.25">
      <c r="A5438" t="s">
        <v>5442</v>
      </c>
      <c r="B5438">
        <v>0.99999676499088797</v>
      </c>
      <c r="C5438">
        <v>1.24897050801412</v>
      </c>
      <c r="D5438">
        <v>1.27344716974283</v>
      </c>
      <c r="E5438">
        <v>1.77817981825848</v>
      </c>
      <c r="F5438">
        <v>0.90202652016539897</v>
      </c>
      <c r="G5438">
        <v>1.1480206429027999</v>
      </c>
      <c r="H5438">
        <v>0.79426514416896399</v>
      </c>
      <c r="I5438">
        <v>2.6853131920959799</v>
      </c>
      <c r="J5438">
        <v>3.6461858119708901</v>
      </c>
      <c r="K5438">
        <v>4.9986113778027699</v>
      </c>
      <c r="L5438">
        <v>929.68205168699501</v>
      </c>
      <c r="M5438">
        <v>21.177331611075701</v>
      </c>
      <c r="O5438">
        <v>43.5140701274779</v>
      </c>
      <c r="P5438">
        <v>6.0836337391286001E-2</v>
      </c>
      <c r="Q5438">
        <v>1.5</v>
      </c>
      <c r="R5438">
        <v>-9.4062726886248602E-2</v>
      </c>
      <c r="S5438" t="s">
        <v>12441</v>
      </c>
      <c r="T5438" t="s">
        <v>14004</v>
      </c>
      <c r="U5438" t="s">
        <v>14004</v>
      </c>
      <c r="V5438" t="s">
        <v>14004</v>
      </c>
      <c r="W5438" t="s">
        <v>19387</v>
      </c>
      <c r="X5438">
        <v>2</v>
      </c>
      <c r="Y5438" t="s">
        <v>26189</v>
      </c>
      <c r="Z5438" t="s">
        <v>33148</v>
      </c>
      <c r="AA5438">
        <v>1.4263394907048961</v>
      </c>
      <c r="AB5438" t="str">
        <f>HYPERLINK("Melting_Curves/meltCurve_Q96M20_2_CNBD2.pdf", "Melting_Curves/meltCurve_Q96M20_2_CNBD2.pdf")</f>
        <v>Melting_Curves/meltCurve_Q96M20_2_CNBD2.pdf</v>
      </c>
    </row>
    <row r="5439" spans="1:28" x14ac:dyDescent="0.25">
      <c r="A5439" t="s">
        <v>5443</v>
      </c>
      <c r="B5439">
        <v>0.99999676499088797</v>
      </c>
      <c r="C5439">
        <v>0.96271628358724703</v>
      </c>
      <c r="D5439">
        <v>0.96056785040326398</v>
      </c>
      <c r="E5439">
        <v>0.75902892522815102</v>
      </c>
      <c r="F5439">
        <v>0.63215655003358895</v>
      </c>
      <c r="G5439">
        <v>0.61387661361703905</v>
      </c>
      <c r="H5439">
        <v>0.417781505244121</v>
      </c>
      <c r="I5439">
        <v>0.428814337175495</v>
      </c>
      <c r="J5439">
        <v>0.35882025882195701</v>
      </c>
      <c r="K5439">
        <v>0.28407207322384298</v>
      </c>
      <c r="L5439">
        <v>541.05612788597603</v>
      </c>
      <c r="M5439">
        <v>9.8537704630924505</v>
      </c>
      <c r="N5439">
        <v>58.749358107440699</v>
      </c>
      <c r="O5439">
        <v>52.790487197233901</v>
      </c>
      <c r="P5439">
        <v>-3.5601873907019597E-2</v>
      </c>
      <c r="Q5439">
        <v>0.237459657318811</v>
      </c>
      <c r="R5439">
        <v>0.97655689161174697</v>
      </c>
      <c r="S5439" t="s">
        <v>12442</v>
      </c>
      <c r="T5439" t="s">
        <v>14004</v>
      </c>
      <c r="U5439" t="s">
        <v>14004</v>
      </c>
      <c r="V5439" t="s">
        <v>14004</v>
      </c>
      <c r="W5439" t="s">
        <v>19388</v>
      </c>
      <c r="X5439">
        <v>11</v>
      </c>
      <c r="Y5439" t="s">
        <v>26190</v>
      </c>
      <c r="Z5439" t="s">
        <v>33149</v>
      </c>
      <c r="AA5439">
        <v>0.63656939459206729</v>
      </c>
      <c r="AB5439" t="str">
        <f>HYPERLINK("Melting_Curves/meltCurve_Q96M27_PRRC1.pdf", "Melting_Curves/meltCurve_Q96M27_PRRC1.pdf")</f>
        <v>Melting_Curves/meltCurve_Q96M27_PRRC1.pdf</v>
      </c>
    </row>
    <row r="5440" spans="1:28" x14ac:dyDescent="0.25">
      <c r="A5440" t="s">
        <v>5444</v>
      </c>
      <c r="B5440">
        <v>0.99999676499088797</v>
      </c>
      <c r="C5440">
        <v>1.2038299237199399</v>
      </c>
      <c r="D5440">
        <v>1.0721285579426401</v>
      </c>
      <c r="E5440">
        <v>1.1069652022480301</v>
      </c>
      <c r="F5440">
        <v>0.99149633894329203</v>
      </c>
      <c r="G5440">
        <v>0.73727242171672902</v>
      </c>
      <c r="H5440">
        <v>0.503988461584289</v>
      </c>
      <c r="I5440">
        <v>0.420123092459051</v>
      </c>
      <c r="J5440">
        <v>0.22038391812358199</v>
      </c>
      <c r="K5440">
        <v>0.2785461735036</v>
      </c>
      <c r="L5440">
        <v>1363.95672302657</v>
      </c>
      <c r="M5440">
        <v>23.0856502039654</v>
      </c>
      <c r="N5440">
        <v>60.840338241438801</v>
      </c>
      <c r="O5440">
        <v>58.644473927678703</v>
      </c>
      <c r="P5440">
        <v>-7.4462707625713206E-2</v>
      </c>
      <c r="Q5440">
        <v>0.243383497236135</v>
      </c>
      <c r="R5440">
        <v>0.93965390759962397</v>
      </c>
      <c r="S5440" t="s">
        <v>12443</v>
      </c>
      <c r="T5440" t="s">
        <v>14004</v>
      </c>
      <c r="U5440" t="s">
        <v>14004</v>
      </c>
      <c r="V5440" t="s">
        <v>14004</v>
      </c>
      <c r="W5440" t="s">
        <v>19389</v>
      </c>
      <c r="X5440">
        <v>1</v>
      </c>
      <c r="Y5440" t="s">
        <v>26191</v>
      </c>
      <c r="Z5440" t="s">
        <v>33150</v>
      </c>
      <c r="AA5440">
        <v>0.73136291903395667</v>
      </c>
      <c r="AB5440" t="str">
        <f>HYPERLINK("Melting_Curves/meltCurve_Q96MC6_HIAT1.pdf", "Melting_Curves/meltCurve_Q96MC6_HIAT1.pdf")</f>
        <v>Melting_Curves/meltCurve_Q96MC6_HIAT1.pdf</v>
      </c>
    </row>
    <row r="5441" spans="1:28" x14ac:dyDescent="0.25">
      <c r="A5441" t="s">
        <v>5445</v>
      </c>
      <c r="B5441">
        <v>0.99999676499088797</v>
      </c>
      <c r="C5441">
        <v>1.08015670448579</v>
      </c>
      <c r="D5441">
        <v>1.0620591961349</v>
      </c>
      <c r="E5441">
        <v>1.12647466922814</v>
      </c>
      <c r="F5441">
        <v>0.70675466612390003</v>
      </c>
      <c r="G5441">
        <v>0.61507336770009002</v>
      </c>
      <c r="H5441">
        <v>0.37871350899335599</v>
      </c>
      <c r="I5441">
        <v>0.33510860556215799</v>
      </c>
      <c r="J5441">
        <v>0.282323852610114</v>
      </c>
      <c r="K5441">
        <v>0.22914850313900001</v>
      </c>
      <c r="L5441">
        <v>1189.8676015384599</v>
      </c>
      <c r="M5441">
        <v>21.215511803072602</v>
      </c>
      <c r="N5441">
        <v>58.046858903464098</v>
      </c>
      <c r="O5441">
        <v>55.593630554526499</v>
      </c>
      <c r="P5441">
        <v>-7.0990387019517806E-2</v>
      </c>
      <c r="Q5441">
        <v>0.25591961642734501</v>
      </c>
      <c r="R5441">
        <v>0.95183283926709294</v>
      </c>
      <c r="S5441" t="s">
        <v>12444</v>
      </c>
      <c r="T5441" t="s">
        <v>14004</v>
      </c>
      <c r="U5441" t="s">
        <v>14004</v>
      </c>
      <c r="V5441" t="s">
        <v>14004</v>
      </c>
      <c r="W5441" t="s">
        <v>19390</v>
      </c>
      <c r="X5441">
        <v>1</v>
      </c>
      <c r="Y5441" t="s">
        <v>26192</v>
      </c>
      <c r="Z5441" t="s">
        <v>33151</v>
      </c>
      <c r="AA5441">
        <v>0.66366378334492038</v>
      </c>
      <c r="AB5441" t="str">
        <f>HYPERLINK("Melting_Curves/meltCurve_Q96MD7_1_C9orf85.pdf", "Melting_Curves/meltCurve_Q96MD7_1_C9orf85.pdf")</f>
        <v>Melting_Curves/meltCurve_Q96MD7_1_C9orf85.pdf</v>
      </c>
    </row>
    <row r="5442" spans="1:28" x14ac:dyDescent="0.25">
      <c r="A5442" t="s">
        <v>5446</v>
      </c>
      <c r="B5442">
        <v>0.99999676499088797</v>
      </c>
      <c r="C5442">
        <v>1.0529034586260599</v>
      </c>
      <c r="D5442">
        <v>1.0522633401124399</v>
      </c>
      <c r="E5442">
        <v>1.1218804713039601</v>
      </c>
      <c r="F5442">
        <v>0.617921730912809</v>
      </c>
      <c r="G5442">
        <v>0.19896660787334</v>
      </c>
      <c r="H5442">
        <v>6.4943993448199705E-2</v>
      </c>
      <c r="I5442">
        <v>5.7257837610836103E-2</v>
      </c>
      <c r="J5442">
        <v>5.5592827307844997E-2</v>
      </c>
      <c r="K5442">
        <v>3.5535476142242998E-2</v>
      </c>
      <c r="L5442">
        <v>2304.62749055227</v>
      </c>
      <c r="M5442">
        <v>42.7933814846186</v>
      </c>
      <c r="N5442">
        <v>54.015290934322501</v>
      </c>
      <c r="O5442">
        <v>53.737557765180497</v>
      </c>
      <c r="P5442">
        <v>-0.18719775799323299</v>
      </c>
      <c r="Q5442">
        <v>5.9711193281310998E-2</v>
      </c>
      <c r="R5442">
        <v>0.98572281603088596</v>
      </c>
      <c r="S5442" t="s">
        <v>12445</v>
      </c>
      <c r="T5442" t="s">
        <v>14004</v>
      </c>
      <c r="U5442" t="s">
        <v>14004</v>
      </c>
      <c r="V5442" t="s">
        <v>14004</v>
      </c>
      <c r="W5442" t="s">
        <v>19391</v>
      </c>
      <c r="X5442">
        <v>14</v>
      </c>
      <c r="Y5442" t="s">
        <v>26193</v>
      </c>
      <c r="Z5442" t="s">
        <v>33152</v>
      </c>
      <c r="AA5442">
        <v>0.49701256753218592</v>
      </c>
      <c r="AB5442" t="str">
        <f>HYPERLINK("Melting_Curves/meltCurve_Q96ME1_4_FBXL18.pdf", "Melting_Curves/meltCurve_Q96ME1_4_FBXL18.pdf")</f>
        <v>Melting_Curves/meltCurve_Q96ME1_4_FBXL18.pdf</v>
      </c>
    </row>
    <row r="5443" spans="1:28" x14ac:dyDescent="0.25">
      <c r="A5443" t="s">
        <v>5447</v>
      </c>
      <c r="B5443">
        <v>0.99999676499088797</v>
      </c>
      <c r="C5443">
        <v>1.06566602907248</v>
      </c>
      <c r="D5443">
        <v>0.99017564411611403</v>
      </c>
      <c r="E5443">
        <v>0.84793510532069005</v>
      </c>
      <c r="F5443">
        <v>0.45872906573988098</v>
      </c>
      <c r="G5443">
        <v>0.30085660170896</v>
      </c>
      <c r="H5443">
        <v>0.116165469679229</v>
      </c>
      <c r="I5443">
        <v>0.118574068322605</v>
      </c>
      <c r="J5443">
        <v>9.4957418816418795E-2</v>
      </c>
      <c r="K5443">
        <v>8.7261755016277906E-2</v>
      </c>
      <c r="L5443">
        <v>1211.0971920560601</v>
      </c>
      <c r="M5443">
        <v>22.960613091473299</v>
      </c>
      <c r="N5443">
        <v>53.2356823911338</v>
      </c>
      <c r="O5443">
        <v>52.351503476614901</v>
      </c>
      <c r="P5443">
        <v>-9.9224497077230397E-2</v>
      </c>
      <c r="Q5443">
        <v>9.5067048362081005E-2</v>
      </c>
      <c r="R5443">
        <v>0.99263663854053197</v>
      </c>
      <c r="S5443" t="s">
        <v>12446</v>
      </c>
      <c r="T5443" t="s">
        <v>14004</v>
      </c>
      <c r="U5443" t="s">
        <v>14004</v>
      </c>
      <c r="V5443" t="s">
        <v>14004</v>
      </c>
      <c r="W5443" t="s">
        <v>19392</v>
      </c>
      <c r="X5443">
        <v>3</v>
      </c>
      <c r="Y5443" t="s">
        <v>26194</v>
      </c>
      <c r="Z5443" t="s">
        <v>33153</v>
      </c>
      <c r="AA5443">
        <v>0.48931115851261492</v>
      </c>
      <c r="AB5443" t="str">
        <f>HYPERLINK("Melting_Curves/meltCurve_Q96MG7_NDNL2.pdf", "Melting_Curves/meltCurve_Q96MG7_NDNL2.pdf")</f>
        <v>Melting_Curves/meltCurve_Q96MG7_NDNL2.pdf</v>
      </c>
    </row>
    <row r="5444" spans="1:28" x14ac:dyDescent="0.25">
      <c r="A5444" t="s">
        <v>5448</v>
      </c>
      <c r="B5444">
        <v>0.99999676499088797</v>
      </c>
      <c r="C5444">
        <v>0.18668206209236199</v>
      </c>
      <c r="D5444">
        <v>0.250714210319186</v>
      </c>
      <c r="E5444">
        <v>0.31133420373880999</v>
      </c>
      <c r="F5444">
        <v>0.168752557779734</v>
      </c>
      <c r="G5444">
        <v>0</v>
      </c>
      <c r="H5444">
        <v>0</v>
      </c>
      <c r="I5444">
        <v>0.35699927464683501</v>
      </c>
      <c r="J5444">
        <v>0.30335987159975603</v>
      </c>
      <c r="K5444">
        <v>0.25389694808851798</v>
      </c>
      <c r="L5444">
        <v>10283.8603971666</v>
      </c>
      <c r="M5444">
        <v>250</v>
      </c>
      <c r="N5444">
        <v>41.221617784551803</v>
      </c>
      <c r="O5444">
        <v>41.132809190248601</v>
      </c>
      <c r="P5444">
        <v>-1.21022054806436</v>
      </c>
      <c r="Q5444">
        <v>0.203523666769068</v>
      </c>
      <c r="R5444">
        <v>0.80962530363738505</v>
      </c>
      <c r="S5444" t="s">
        <v>12447</v>
      </c>
      <c r="T5444" t="s">
        <v>14004</v>
      </c>
      <c r="U5444" t="s">
        <v>14004</v>
      </c>
      <c r="V5444" t="s">
        <v>14004</v>
      </c>
      <c r="W5444" t="s">
        <v>19393</v>
      </c>
      <c r="X5444">
        <v>2</v>
      </c>
      <c r="Y5444" t="s">
        <v>26195</v>
      </c>
      <c r="Z5444" t="s">
        <v>33154</v>
      </c>
      <c r="AA5444">
        <v>0.23372963687648701</v>
      </c>
      <c r="AB5444" t="str">
        <f>HYPERLINK("Melting_Curves/meltCurve_Q96MG8_PCMTD1.pdf", "Melting_Curves/meltCurve_Q96MG8_PCMTD1.pdf")</f>
        <v>Melting_Curves/meltCurve_Q96MG8_PCMTD1.pdf</v>
      </c>
    </row>
    <row r="5445" spans="1:28" x14ac:dyDescent="0.25">
      <c r="A5445" t="s">
        <v>5449</v>
      </c>
      <c r="B5445">
        <v>0.99999676499088797</v>
      </c>
      <c r="C5445">
        <v>1.0971131286843201</v>
      </c>
      <c r="D5445">
        <v>0.97424650656544598</v>
      </c>
      <c r="E5445">
        <v>0.95291410191219905</v>
      </c>
      <c r="F5445">
        <v>0.83185917221054095</v>
      </c>
      <c r="G5445">
        <v>0.69869678869153595</v>
      </c>
      <c r="H5445">
        <v>0.51226241919055004</v>
      </c>
      <c r="I5445">
        <v>0.46790670999212902</v>
      </c>
      <c r="J5445">
        <v>0.53469010221685798</v>
      </c>
      <c r="K5445">
        <v>0.57408285755903399</v>
      </c>
      <c r="L5445">
        <v>1339.6608257862899</v>
      </c>
      <c r="M5445">
        <v>24.423814679045599</v>
      </c>
      <c r="O5445">
        <v>54.4868561419825</v>
      </c>
      <c r="P5445">
        <v>-5.4566271094123001E-2</v>
      </c>
      <c r="Q5445">
        <v>0.51308170289350796</v>
      </c>
      <c r="R5445">
        <v>0.95801939400111102</v>
      </c>
      <c r="S5445" t="s">
        <v>12448</v>
      </c>
      <c r="T5445" t="s">
        <v>14004</v>
      </c>
      <c r="U5445" t="s">
        <v>14004</v>
      </c>
      <c r="V5445" t="s">
        <v>14004</v>
      </c>
      <c r="W5445" t="s">
        <v>19394</v>
      </c>
      <c r="X5445">
        <v>7</v>
      </c>
      <c r="Y5445" t="s">
        <v>26196</v>
      </c>
      <c r="Z5445" t="s">
        <v>33155</v>
      </c>
      <c r="AA5445">
        <v>0.75881073284217782</v>
      </c>
      <c r="AB5445" t="str">
        <f>HYPERLINK("Melting_Curves/meltCurve_Q96MH2_HEXIM2.pdf", "Melting_Curves/meltCurve_Q96MH2_HEXIM2.pdf")</f>
        <v>Melting_Curves/meltCurve_Q96MH2_HEXIM2.pdf</v>
      </c>
    </row>
    <row r="5446" spans="1:28" x14ac:dyDescent="0.25">
      <c r="A5446" t="s">
        <v>5450</v>
      </c>
      <c r="B5446">
        <v>0.99999676499088797</v>
      </c>
      <c r="C5446">
        <v>0.98693841360213097</v>
      </c>
      <c r="D5446">
        <v>0.94655302460776403</v>
      </c>
      <c r="E5446">
        <v>1.03198682707707</v>
      </c>
      <c r="F5446">
        <v>1.06282269162317</v>
      </c>
      <c r="G5446">
        <v>0.85989873552131202</v>
      </c>
      <c r="H5446">
        <v>0.36822171663797598</v>
      </c>
      <c r="I5446">
        <v>0.16674673048476399</v>
      </c>
      <c r="J5446">
        <v>0.122011335414575</v>
      </c>
      <c r="K5446">
        <v>0.101847115740901</v>
      </c>
      <c r="L5446">
        <v>2304.9835220854302</v>
      </c>
      <c r="M5446">
        <v>38.805547440541197</v>
      </c>
      <c r="N5446">
        <v>59.775510595736698</v>
      </c>
      <c r="O5446">
        <v>59.241216390041899</v>
      </c>
      <c r="P5446">
        <v>-0.145976493266644</v>
      </c>
      <c r="Q5446">
        <v>0.108601179660472</v>
      </c>
      <c r="R5446">
        <v>0.99391576874610299</v>
      </c>
      <c r="S5446" t="s">
        <v>12449</v>
      </c>
      <c r="T5446" t="s">
        <v>14004</v>
      </c>
      <c r="U5446" t="s">
        <v>14004</v>
      </c>
      <c r="V5446" t="s">
        <v>14004</v>
      </c>
      <c r="W5446" t="s">
        <v>19395</v>
      </c>
      <c r="X5446">
        <v>7</v>
      </c>
      <c r="Y5446" t="s">
        <v>26197</v>
      </c>
      <c r="Z5446" t="s">
        <v>33156</v>
      </c>
      <c r="AA5446">
        <v>0.68869185965118718</v>
      </c>
      <c r="AB5446" t="str">
        <f>HYPERLINK("Melting_Curves/meltCurve_Q96MH6_TMEM68.pdf", "Melting_Curves/meltCurve_Q96MH6_TMEM68.pdf")</f>
        <v>Melting_Curves/meltCurve_Q96MH6_TMEM68.pdf</v>
      </c>
    </row>
    <row r="5447" spans="1:28" x14ac:dyDescent="0.25">
      <c r="A5447" t="s">
        <v>5451</v>
      </c>
      <c r="B5447">
        <v>0.99999676499088797</v>
      </c>
      <c r="C5447">
        <v>1.02986006247113</v>
      </c>
      <c r="D5447">
        <v>0.98239762915164397</v>
      </c>
      <c r="E5447">
        <v>0.65834278186288298</v>
      </c>
      <c r="F5447">
        <v>0.46549713364017498</v>
      </c>
      <c r="G5447">
        <v>0.43486662248619601</v>
      </c>
      <c r="H5447">
        <v>0.30126393709820698</v>
      </c>
      <c r="I5447">
        <v>0.40424623872932303</v>
      </c>
      <c r="J5447">
        <v>0.45176485058843502</v>
      </c>
      <c r="K5447">
        <v>0.47545007000428302</v>
      </c>
      <c r="L5447">
        <v>2008.77756537391</v>
      </c>
      <c r="M5447">
        <v>40.794759548932497</v>
      </c>
      <c r="N5447">
        <v>51.500880040787798</v>
      </c>
      <c r="O5447">
        <v>49.123188875185598</v>
      </c>
      <c r="P5447">
        <v>-0.121138571754363</v>
      </c>
      <c r="Q5447">
        <v>0.41652295499680098</v>
      </c>
      <c r="R5447">
        <v>0.971221822750443</v>
      </c>
      <c r="S5447" t="s">
        <v>12450</v>
      </c>
      <c r="T5447" t="s">
        <v>14004</v>
      </c>
      <c r="U5447" t="s">
        <v>14004</v>
      </c>
      <c r="V5447" t="s">
        <v>14004</v>
      </c>
      <c r="W5447" t="s">
        <v>19396</v>
      </c>
      <c r="X5447">
        <v>7</v>
      </c>
      <c r="Y5447" t="s">
        <v>26198</v>
      </c>
      <c r="Z5447" t="s">
        <v>33157</v>
      </c>
      <c r="AA5447">
        <v>0.59816483056538727</v>
      </c>
      <c r="AB5447" t="str">
        <f>HYPERLINK("Melting_Curves/meltCurve_Q96MX3_ZNF48.pdf", "Melting_Curves/meltCurve_Q96MX3_ZNF48.pdf")</f>
        <v>Melting_Curves/meltCurve_Q96MX3_ZNF48.pdf</v>
      </c>
    </row>
    <row r="5448" spans="1:28" x14ac:dyDescent="0.25">
      <c r="A5448" t="s">
        <v>5452</v>
      </c>
      <c r="B5448">
        <v>0.99999676499088797</v>
      </c>
      <c r="C5448">
        <v>1.02415394363969</v>
      </c>
      <c r="D5448">
        <v>1.0670082536716801</v>
      </c>
      <c r="E5448">
        <v>1.2238145918715799</v>
      </c>
      <c r="F5448">
        <v>1.2895959360370699</v>
      </c>
      <c r="G5448">
        <v>0.80634917870398604</v>
      </c>
      <c r="H5448">
        <v>0.23362886396148699</v>
      </c>
      <c r="I5448">
        <v>0.17505520684277601</v>
      </c>
      <c r="J5448">
        <v>0.18630250423980399</v>
      </c>
      <c r="K5448">
        <v>0.16793734173143501</v>
      </c>
      <c r="L5448">
        <v>4037.6270314984099</v>
      </c>
      <c r="M5448">
        <v>69.861382245458898</v>
      </c>
      <c r="N5448">
        <v>58.176290844863601</v>
      </c>
      <c r="O5448">
        <v>57.747532341819898</v>
      </c>
      <c r="P5448">
        <v>-0.24686934137702701</v>
      </c>
      <c r="Q5448">
        <v>0.18374978405456299</v>
      </c>
      <c r="R5448">
        <v>0.929402937736442</v>
      </c>
      <c r="S5448" t="s">
        <v>12451</v>
      </c>
      <c r="T5448" t="s">
        <v>14004</v>
      </c>
      <c r="U5448" t="s">
        <v>14004</v>
      </c>
      <c r="V5448" t="s">
        <v>14004</v>
      </c>
      <c r="W5448" t="s">
        <v>19397</v>
      </c>
      <c r="X5448">
        <v>11</v>
      </c>
      <c r="Y5448" t="s">
        <v>26199</v>
      </c>
      <c r="Z5448" t="s">
        <v>33158</v>
      </c>
      <c r="AA5448">
        <v>0.66898052227181748</v>
      </c>
      <c r="AB5448" t="str">
        <f>HYPERLINK("Melting_Curves/meltCurve_Q96MX6_WDR92.pdf", "Melting_Curves/meltCurve_Q96MX6_WDR92.pdf")</f>
        <v>Melting_Curves/meltCurve_Q96MX6_WDR92.pdf</v>
      </c>
    </row>
    <row r="5449" spans="1:28" x14ac:dyDescent="0.25">
      <c r="A5449" t="s">
        <v>5453</v>
      </c>
      <c r="B5449">
        <v>0.99999676499088797</v>
      </c>
      <c r="C5449">
        <v>1.02845458644095</v>
      </c>
      <c r="D5449">
        <v>0.77908188889290098</v>
      </c>
      <c r="E5449">
        <v>0.75672849970442002</v>
      </c>
      <c r="F5449">
        <v>0.47204567939585201</v>
      </c>
      <c r="G5449">
        <v>0.30495415425169697</v>
      </c>
      <c r="H5449">
        <v>0.19370578417305201</v>
      </c>
      <c r="I5449">
        <v>0.18534742486737699</v>
      </c>
      <c r="J5449">
        <v>0.148821685535655</v>
      </c>
      <c r="K5449">
        <v>0.156783600618009</v>
      </c>
      <c r="L5449">
        <v>759.89126423637003</v>
      </c>
      <c r="M5449">
        <v>14.669800539613499</v>
      </c>
      <c r="N5449">
        <v>52.826312167923902</v>
      </c>
      <c r="O5449">
        <v>50.865693348330602</v>
      </c>
      <c r="P5449">
        <v>-6.3165304010224105E-2</v>
      </c>
      <c r="Q5449">
        <v>0.124025460454933</v>
      </c>
      <c r="R5449">
        <v>0.98318338089064305</v>
      </c>
      <c r="S5449" t="s">
        <v>12452</v>
      </c>
      <c r="T5449" t="s">
        <v>14004</v>
      </c>
      <c r="U5449" t="s">
        <v>14004</v>
      </c>
      <c r="V5449" t="s">
        <v>14004</v>
      </c>
      <c r="W5449" t="s">
        <v>19398</v>
      </c>
      <c r="X5449">
        <v>4</v>
      </c>
      <c r="Y5449" t="s">
        <v>26200</v>
      </c>
      <c r="Z5449" t="s">
        <v>33159</v>
      </c>
      <c r="AA5449">
        <v>0.48897472411645421</v>
      </c>
      <c r="AB5449" t="str">
        <f>HYPERLINK("Melting_Curves/meltCurve_Q96MY1_C20orf112.pdf", "Melting_Curves/meltCurve_Q96MY1_C20orf112.pdf")</f>
        <v>Melting_Curves/meltCurve_Q96MY1_C20orf112.pdf</v>
      </c>
    </row>
    <row r="5450" spans="1:28" x14ac:dyDescent="0.25">
      <c r="A5450" t="s">
        <v>5454</v>
      </c>
      <c r="B5450">
        <v>0.99999676499088797</v>
      </c>
      <c r="C5450">
        <v>1.01197897221482</v>
      </c>
      <c r="D5450">
        <v>1.02802920399121</v>
      </c>
      <c r="E5450">
        <v>0.87242083954189298</v>
      </c>
      <c r="F5450">
        <v>0.22069846319655501</v>
      </c>
      <c r="G5450">
        <v>5.91787121955605E-2</v>
      </c>
      <c r="H5450">
        <v>2.3974918968260098E-2</v>
      </c>
      <c r="I5450">
        <v>3.7953426085862003E-2</v>
      </c>
      <c r="J5450">
        <v>0</v>
      </c>
      <c r="K5450">
        <v>2.6432256074545701E-2</v>
      </c>
      <c r="L5450">
        <v>2393.0226181786002</v>
      </c>
      <c r="M5450">
        <v>46.354100891908899</v>
      </c>
      <c r="N5450">
        <v>51.684565722543802</v>
      </c>
      <c r="O5450">
        <v>51.529025444171701</v>
      </c>
      <c r="P5450">
        <v>-0.21902772606173401</v>
      </c>
      <c r="Q5450">
        <v>2.6082119189958002E-2</v>
      </c>
      <c r="R5450">
        <v>0.99887311642209797</v>
      </c>
      <c r="S5450" t="s">
        <v>12453</v>
      </c>
      <c r="T5450" t="s">
        <v>14004</v>
      </c>
      <c r="U5450" t="s">
        <v>14004</v>
      </c>
      <c r="V5450" t="s">
        <v>14004</v>
      </c>
      <c r="W5450" t="s">
        <v>19399</v>
      </c>
      <c r="X5450">
        <v>1</v>
      </c>
      <c r="Y5450" t="s">
        <v>26201</v>
      </c>
      <c r="Z5450" t="s">
        <v>33160</v>
      </c>
      <c r="AA5450">
        <v>0.40605224766057257</v>
      </c>
      <c r="AB5450" t="str">
        <f>HYPERLINK("Melting_Curves/meltCurve_Q96N11_2_C7orf26.pdf", "Melting_Curves/meltCurve_Q96N11_2_C7orf26.pdf")</f>
        <v>Melting_Curves/meltCurve_Q96N11_2_C7orf26.pdf</v>
      </c>
    </row>
    <row r="5451" spans="1:28" x14ac:dyDescent="0.25">
      <c r="A5451" t="s">
        <v>5455</v>
      </c>
      <c r="B5451">
        <v>0.99999676499088797</v>
      </c>
      <c r="C5451">
        <v>0.64202456749856196</v>
      </c>
      <c r="D5451">
        <v>0.37584901751159999</v>
      </c>
      <c r="E5451">
        <v>0.24801856144149001</v>
      </c>
      <c r="F5451">
        <v>0.21661870012566301</v>
      </c>
      <c r="G5451">
        <v>0.13874223039302799</v>
      </c>
      <c r="H5451">
        <v>6.72783335960708E-2</v>
      </c>
      <c r="I5451">
        <v>6.6810349708780303E-2</v>
      </c>
      <c r="J5451">
        <v>9.2467941389814498E-2</v>
      </c>
      <c r="K5451">
        <v>7.9417996362786694E-2</v>
      </c>
      <c r="L5451">
        <v>846.26725554483505</v>
      </c>
      <c r="M5451">
        <v>19.080633090650601</v>
      </c>
      <c r="N5451">
        <v>44.887829528589201</v>
      </c>
      <c r="O5451">
        <v>43.873609989964898</v>
      </c>
      <c r="P5451">
        <v>-9.7658220536799997E-2</v>
      </c>
      <c r="Q5451">
        <v>0.101822202825379</v>
      </c>
      <c r="R5451">
        <v>0.97025569280395896</v>
      </c>
      <c r="S5451" t="s">
        <v>12454</v>
      </c>
      <c r="T5451" t="s">
        <v>14004</v>
      </c>
      <c r="U5451" t="s">
        <v>14004</v>
      </c>
      <c r="V5451" t="s">
        <v>14004</v>
      </c>
      <c r="W5451" t="s">
        <v>19400</v>
      </c>
      <c r="X5451">
        <v>4</v>
      </c>
      <c r="Y5451" t="s">
        <v>26202</v>
      </c>
      <c r="Z5451" t="s">
        <v>33161</v>
      </c>
      <c r="AA5451">
        <v>0.25054469678137081</v>
      </c>
      <c r="AB5451" t="str">
        <f>HYPERLINK("Melting_Curves/meltCurve_Q96N16_JAKMIP1.pdf", "Melting_Curves/meltCurve_Q96N16_JAKMIP1.pdf")</f>
        <v>Melting_Curves/meltCurve_Q96N16_JAKMIP1.pdf</v>
      </c>
    </row>
    <row r="5452" spans="1:28" x14ac:dyDescent="0.25">
      <c r="A5452" t="s">
        <v>5456</v>
      </c>
      <c r="B5452">
        <v>0.99999676499088797</v>
      </c>
      <c r="C5452">
        <v>1.1110666613918401</v>
      </c>
      <c r="D5452">
        <v>1.3072148315296701</v>
      </c>
      <c r="E5452">
        <v>1.0518673250039701</v>
      </c>
      <c r="F5452">
        <v>1.09858941850859</v>
      </c>
      <c r="G5452">
        <v>0.81799982777636304</v>
      </c>
      <c r="H5452">
        <v>1.2518588585970101</v>
      </c>
      <c r="I5452">
        <v>4.6726025864549197</v>
      </c>
      <c r="J5452">
        <v>5.50768234222922</v>
      </c>
      <c r="K5452">
        <v>4.1604979012761998</v>
      </c>
      <c r="L5452">
        <v>15000</v>
      </c>
      <c r="M5452">
        <v>246.725836560809</v>
      </c>
      <c r="O5452">
        <v>60.792208232448402</v>
      </c>
      <c r="P5452">
        <v>0.50731365157842301</v>
      </c>
      <c r="Q5452">
        <v>1.5</v>
      </c>
      <c r="R5452">
        <v>-0.124619278607788</v>
      </c>
      <c r="S5452" t="s">
        <v>12455</v>
      </c>
      <c r="T5452" t="s">
        <v>14004</v>
      </c>
      <c r="U5452" t="s">
        <v>14004</v>
      </c>
      <c r="V5452" t="s">
        <v>14004</v>
      </c>
      <c r="W5452" t="s">
        <v>19401</v>
      </c>
      <c r="X5452">
        <v>2</v>
      </c>
      <c r="Y5452" t="s">
        <v>26203</v>
      </c>
      <c r="Z5452" t="s">
        <v>33162</v>
      </c>
      <c r="AA5452">
        <v>1.1533414405464659</v>
      </c>
      <c r="AB5452" t="str">
        <f>HYPERLINK("Melting_Curves/meltCurve_Q96N46_TTC14.pdf", "Melting_Curves/meltCurve_Q96N46_TTC14.pdf")</f>
        <v>Melting_Curves/meltCurve_Q96N46_TTC14.pdf</v>
      </c>
    </row>
    <row r="5453" spans="1:28" x14ac:dyDescent="0.25">
      <c r="A5453" t="s">
        <v>5457</v>
      </c>
      <c r="B5453">
        <v>0.99999676499088797</v>
      </c>
      <c r="C5453">
        <v>1.1185451900717001</v>
      </c>
      <c r="D5453">
        <v>1.1954221284605999</v>
      </c>
      <c r="E5453">
        <v>1.2450133864620001</v>
      </c>
      <c r="F5453">
        <v>1.3853303458078901</v>
      </c>
      <c r="G5453">
        <v>1.29040893707119</v>
      </c>
      <c r="H5453">
        <v>0.82762998152711298</v>
      </c>
      <c r="I5453">
        <v>0.29279559508713199</v>
      </c>
      <c r="J5453">
        <v>0.137597681455704</v>
      </c>
      <c r="K5453">
        <v>0.10694042891906901</v>
      </c>
      <c r="L5453">
        <v>3623.24454180363</v>
      </c>
      <c r="M5453">
        <v>58.058484108627098</v>
      </c>
      <c r="N5453">
        <v>62.692557297524601</v>
      </c>
      <c r="O5453">
        <v>62.332896398180303</v>
      </c>
      <c r="P5453">
        <v>-0.20578598013035701</v>
      </c>
      <c r="Q5453">
        <v>0.11625456553906099</v>
      </c>
      <c r="R5453">
        <v>0.84358816179537599</v>
      </c>
      <c r="S5453" t="s">
        <v>12456</v>
      </c>
      <c r="T5453" t="s">
        <v>14004</v>
      </c>
      <c r="U5453" t="s">
        <v>14004</v>
      </c>
      <c r="V5453" t="s">
        <v>14004</v>
      </c>
      <c r="W5453" t="s">
        <v>19402</v>
      </c>
      <c r="X5453">
        <v>6</v>
      </c>
      <c r="Y5453" t="s">
        <v>26204</v>
      </c>
      <c r="Z5453" t="s">
        <v>33163</v>
      </c>
      <c r="AA5453">
        <v>0.77804373611396949</v>
      </c>
      <c r="AB5453" t="str">
        <f>HYPERLINK("Melting_Curves/meltCurve_Q96N66_2_MBOAT7.pdf", "Melting_Curves/meltCurve_Q96N66_2_MBOAT7.pdf")</f>
        <v>Melting_Curves/meltCurve_Q96N66_2_MBOAT7.pdf</v>
      </c>
    </row>
    <row r="5454" spans="1:28" x14ac:dyDescent="0.25">
      <c r="A5454" t="s">
        <v>5458</v>
      </c>
      <c r="B5454">
        <v>0.99999676499088797</v>
      </c>
      <c r="C5454">
        <v>1.09533717247429</v>
      </c>
      <c r="D5454">
        <v>0.79137176877490201</v>
      </c>
      <c r="E5454">
        <v>0.37157690758498502</v>
      </c>
      <c r="F5454">
        <v>0.20619230288160001</v>
      </c>
      <c r="G5454">
        <v>0.13256851276704301</v>
      </c>
      <c r="H5454">
        <v>9.4869396588548996E-2</v>
      </c>
      <c r="I5454">
        <v>8.6592912694622604E-2</v>
      </c>
      <c r="J5454">
        <v>6.6572899331300894E-2</v>
      </c>
      <c r="K5454">
        <v>7.9852244635809297E-2</v>
      </c>
      <c r="L5454">
        <v>1341.54277147573</v>
      </c>
      <c r="M5454">
        <v>27.797582290310999</v>
      </c>
      <c r="N5454">
        <v>48.630157550560497</v>
      </c>
      <c r="O5454">
        <v>48.013435813006701</v>
      </c>
      <c r="P5454">
        <v>-0.13097672914080899</v>
      </c>
      <c r="Q5454">
        <v>9.5088587997969806E-2</v>
      </c>
      <c r="R5454">
        <v>0.98688742429780096</v>
      </c>
      <c r="S5454" t="s">
        <v>12457</v>
      </c>
      <c r="T5454" t="s">
        <v>14004</v>
      </c>
      <c r="U5454" t="s">
        <v>14004</v>
      </c>
      <c r="V5454" t="s">
        <v>14004</v>
      </c>
      <c r="W5454" t="s">
        <v>19403</v>
      </c>
      <c r="X5454">
        <v>7</v>
      </c>
      <c r="Y5454" t="s">
        <v>26205</v>
      </c>
      <c r="Z5454" t="s">
        <v>33164</v>
      </c>
      <c r="AA5454">
        <v>0.35067553302263782</v>
      </c>
      <c r="AB5454" t="str">
        <f>HYPERLINK("Melting_Curves/meltCurve_Q96N67_4_DOCK7.pdf", "Melting_Curves/meltCurve_Q96N67_4_DOCK7.pdf")</f>
        <v>Melting_Curves/meltCurve_Q96N67_4_DOCK7.pdf</v>
      </c>
    </row>
    <row r="5455" spans="1:28" x14ac:dyDescent="0.25">
      <c r="A5455" t="s">
        <v>5459</v>
      </c>
      <c r="B5455">
        <v>0.99999676499088797</v>
      </c>
      <c r="C5455">
        <v>0.548591602962757</v>
      </c>
      <c r="D5455">
        <v>0.63573344734542503</v>
      </c>
      <c r="E5455">
        <v>0.16471728655246201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765.29261244117799</v>
      </c>
      <c r="M5455">
        <v>16.796091127894801</v>
      </c>
      <c r="N5455">
        <v>45.563756447911501</v>
      </c>
      <c r="O5455">
        <v>44.9325419759722</v>
      </c>
      <c r="P5455">
        <v>-9.34577448651428E-2</v>
      </c>
      <c r="Q5455">
        <v>0</v>
      </c>
      <c r="R5455">
        <v>0.92820640304009305</v>
      </c>
      <c r="S5455" t="s">
        <v>12458</v>
      </c>
      <c r="T5455" t="s">
        <v>14004</v>
      </c>
      <c r="U5455" t="s">
        <v>14004</v>
      </c>
      <c r="V5455" t="s">
        <v>14004</v>
      </c>
      <c r="W5455" t="s">
        <v>19404</v>
      </c>
      <c r="X5455">
        <v>1</v>
      </c>
      <c r="Y5455" t="s">
        <v>26206</v>
      </c>
      <c r="Z5455" t="s">
        <v>33165</v>
      </c>
      <c r="AA5455">
        <v>0.2092281969770558</v>
      </c>
      <c r="AB5455" t="str">
        <f>HYPERLINK("Melting_Curves/meltCurve_Q96NB1_FOPNL.pdf", "Melting_Curves/meltCurve_Q96NB1_FOPNL.pdf")</f>
        <v>Melting_Curves/meltCurve_Q96NB1_FOPNL.pdf</v>
      </c>
    </row>
    <row r="5456" spans="1:28" x14ac:dyDescent="0.25">
      <c r="A5456" t="s">
        <v>5460</v>
      </c>
      <c r="B5456">
        <v>0.99999676499088797</v>
      </c>
      <c r="C5456">
        <v>1.04665613393112</v>
      </c>
      <c r="D5456">
        <v>1.03049158105907</v>
      </c>
      <c r="E5456">
        <v>1.0296968036746199</v>
      </c>
      <c r="F5456">
        <v>0.35440005442214401</v>
      </c>
      <c r="G5456">
        <v>0.15793102786909499</v>
      </c>
      <c r="H5456">
        <v>7.5547816906138598E-2</v>
      </c>
      <c r="I5456">
        <v>5.9056415454503602E-2</v>
      </c>
      <c r="J5456">
        <v>4.10976928491927E-2</v>
      </c>
      <c r="K5456">
        <v>2.5482482967206E-2</v>
      </c>
      <c r="L5456">
        <v>4744.1430851288396</v>
      </c>
      <c r="M5456">
        <v>89.994369379889207</v>
      </c>
      <c r="N5456">
        <v>52.806346587266397</v>
      </c>
      <c r="O5456">
        <v>52.689985695327003</v>
      </c>
      <c r="P5456">
        <v>-0.39652420349733303</v>
      </c>
      <c r="Q5456">
        <v>7.1370682285280096E-2</v>
      </c>
      <c r="R5456">
        <v>0.99288455671405595</v>
      </c>
      <c r="S5456" t="s">
        <v>12459</v>
      </c>
      <c r="T5456" t="s">
        <v>14004</v>
      </c>
      <c r="U5456" t="s">
        <v>14004</v>
      </c>
      <c r="V5456" t="s">
        <v>14004</v>
      </c>
      <c r="W5456" t="s">
        <v>19405</v>
      </c>
      <c r="X5456">
        <v>2</v>
      </c>
      <c r="Y5456" t="s">
        <v>26207</v>
      </c>
      <c r="Z5456" t="s">
        <v>33166</v>
      </c>
      <c r="AA5456">
        <v>0.46564964375529361</v>
      </c>
      <c r="AB5456" t="str">
        <f>HYPERLINK("Melting_Curves/meltCurve_Q96NB2_SFXN2.pdf", "Melting_Curves/meltCurve_Q96NB2_SFXN2.pdf")</f>
        <v>Melting_Curves/meltCurve_Q96NB2_SFXN2.pdf</v>
      </c>
    </row>
    <row r="5457" spans="1:28" x14ac:dyDescent="0.25">
      <c r="A5457" t="s">
        <v>5461</v>
      </c>
      <c r="B5457">
        <v>0.99999676499088797</v>
      </c>
      <c r="C5457">
        <v>0.966816589445879</v>
      </c>
      <c r="D5457">
        <v>1.04575423755715</v>
      </c>
      <c r="E5457">
        <v>1.08548497471719</v>
      </c>
      <c r="F5457">
        <v>0.96847303336375701</v>
      </c>
      <c r="G5457">
        <v>0.87759633080759503</v>
      </c>
      <c r="H5457">
        <v>0.60156730956821702</v>
      </c>
      <c r="I5457">
        <v>0.53386871185816798</v>
      </c>
      <c r="J5457">
        <v>0.48791409815035802</v>
      </c>
      <c r="K5457">
        <v>0.61659601122007801</v>
      </c>
      <c r="L5457">
        <v>2591.2402181144898</v>
      </c>
      <c r="M5457">
        <v>44.6391172273295</v>
      </c>
      <c r="O5457">
        <v>57.932507988583701</v>
      </c>
      <c r="P5457">
        <v>-8.7730726192093905E-2</v>
      </c>
      <c r="Q5457">
        <v>0.54457396039891603</v>
      </c>
      <c r="R5457">
        <v>0.95863934173326304</v>
      </c>
      <c r="S5457" t="s">
        <v>12460</v>
      </c>
      <c r="T5457" t="s">
        <v>14004</v>
      </c>
      <c r="U5457" t="s">
        <v>14004</v>
      </c>
      <c r="V5457" t="s">
        <v>14004</v>
      </c>
      <c r="W5457" t="s">
        <v>19406</v>
      </c>
      <c r="X5457">
        <v>13</v>
      </c>
      <c r="Y5457" t="s">
        <v>26208</v>
      </c>
      <c r="Z5457" t="s">
        <v>33167</v>
      </c>
      <c r="AA5457">
        <v>0.82001831336925024</v>
      </c>
      <c r="AB5457" t="str">
        <f>HYPERLINK("Melting_Curves/meltCurve_Q96NB3_ZNF830.pdf", "Melting_Curves/meltCurve_Q96NB3_ZNF830.pdf")</f>
        <v>Melting_Curves/meltCurve_Q96NB3_ZNF830.pdf</v>
      </c>
    </row>
    <row r="5458" spans="1:28" x14ac:dyDescent="0.25">
      <c r="A5458" t="s">
        <v>5462</v>
      </c>
      <c r="B5458">
        <v>0.99999676499088797</v>
      </c>
      <c r="C5458">
        <v>0.93394477112221796</v>
      </c>
      <c r="D5458">
        <v>0.90082786482964305</v>
      </c>
      <c r="E5458">
        <v>0.86919728280127595</v>
      </c>
      <c r="F5458">
        <v>0.65030214005059295</v>
      </c>
      <c r="G5458">
        <v>0.65227606832523299</v>
      </c>
      <c r="H5458">
        <v>0.39678284143214698</v>
      </c>
      <c r="I5458">
        <v>0.47178038497720698</v>
      </c>
      <c r="J5458">
        <v>0.41338203389591299</v>
      </c>
      <c r="K5458">
        <v>0.451245892267646</v>
      </c>
      <c r="L5458">
        <v>678.21622873815897</v>
      </c>
      <c r="M5458">
        <v>12.7603762382958</v>
      </c>
      <c r="N5458">
        <v>60.230823664375102</v>
      </c>
      <c r="O5458">
        <v>51.895550241677597</v>
      </c>
      <c r="P5458">
        <v>-3.7600299340508597E-2</v>
      </c>
      <c r="Q5458">
        <v>0.38844508857545401</v>
      </c>
      <c r="R5458">
        <v>0.95483409953439602</v>
      </c>
      <c r="S5458" t="s">
        <v>12461</v>
      </c>
      <c r="T5458" t="s">
        <v>14004</v>
      </c>
      <c r="U5458" t="s">
        <v>14004</v>
      </c>
      <c r="V5458" t="s">
        <v>14004</v>
      </c>
      <c r="W5458" t="s">
        <v>19407</v>
      </c>
      <c r="X5458">
        <v>13</v>
      </c>
      <c r="Y5458" t="s">
        <v>26209</v>
      </c>
      <c r="Z5458" t="s">
        <v>33168</v>
      </c>
      <c r="AA5458">
        <v>0.6725668191685884</v>
      </c>
      <c r="AB5458" t="str">
        <f>HYPERLINK("Melting_Curves/meltCurve_Q96NC0_ZMAT2.pdf", "Melting_Curves/meltCurve_Q96NC0_ZMAT2.pdf")</f>
        <v>Melting_Curves/meltCurve_Q96NC0_ZMAT2.pdf</v>
      </c>
    </row>
    <row r="5459" spans="1:28" x14ac:dyDescent="0.25">
      <c r="A5459" t="s">
        <v>5463</v>
      </c>
      <c r="B5459">
        <v>0.99999676499088797</v>
      </c>
      <c r="C5459">
        <v>0.88823833942230002</v>
      </c>
      <c r="D5459">
        <v>0.587343572078454</v>
      </c>
      <c r="E5459">
        <v>0.48494007334263001</v>
      </c>
      <c r="F5459">
        <v>0.41404509268648299</v>
      </c>
      <c r="G5459">
        <v>0.31460546012493201</v>
      </c>
      <c r="H5459">
        <v>0.17554838450493099</v>
      </c>
      <c r="I5459">
        <v>0.197694217835613</v>
      </c>
      <c r="J5459">
        <v>0.136356853770394</v>
      </c>
      <c r="K5459">
        <v>0.23673669976756601</v>
      </c>
      <c r="L5459">
        <v>604.07426374947295</v>
      </c>
      <c r="M5459">
        <v>12.657047824948499</v>
      </c>
      <c r="N5459">
        <v>49.3949416325027</v>
      </c>
      <c r="O5459">
        <v>46.581982890837999</v>
      </c>
      <c r="P5459">
        <v>-5.6123209103891798E-2</v>
      </c>
      <c r="Q5459">
        <v>0.17395651141027399</v>
      </c>
      <c r="R5459">
        <v>0.96307486512725404</v>
      </c>
      <c r="S5459" t="s">
        <v>12462</v>
      </c>
      <c r="T5459" t="s">
        <v>14004</v>
      </c>
      <c r="U5459" t="s">
        <v>14004</v>
      </c>
      <c r="V5459" t="s">
        <v>14004</v>
      </c>
      <c r="W5459" t="s">
        <v>19408</v>
      </c>
      <c r="X5459">
        <v>1</v>
      </c>
      <c r="Y5459" t="s">
        <v>26210</v>
      </c>
      <c r="Z5459" t="s">
        <v>33169</v>
      </c>
      <c r="AA5459">
        <v>0.41658648859146191</v>
      </c>
      <c r="AB5459" t="str">
        <f>HYPERLINK("Melting_Curves/meltCurve_Q96NJ6_ZFP3.pdf", "Melting_Curves/meltCurve_Q96NJ6_ZFP3.pdf")</f>
        <v>Melting_Curves/meltCurve_Q96NJ6_ZFP3.pdf</v>
      </c>
    </row>
    <row r="5460" spans="1:28" x14ac:dyDescent="0.25">
      <c r="A5460" t="s">
        <v>5464</v>
      </c>
      <c r="B5460">
        <v>0.99999676499088797</v>
      </c>
      <c r="C5460">
        <v>1.02265385318668</v>
      </c>
      <c r="D5460">
        <v>0.87194819805496704</v>
      </c>
      <c r="E5460">
        <v>0.85714845354706404</v>
      </c>
      <c r="F5460">
        <v>0.56194414352445798</v>
      </c>
      <c r="G5460">
        <v>0.463673268539332</v>
      </c>
      <c r="H5460">
        <v>0.43414986276863698</v>
      </c>
      <c r="I5460">
        <v>0.72015329646360704</v>
      </c>
      <c r="J5460">
        <v>0.80597413660137196</v>
      </c>
      <c r="K5460">
        <v>0.64062470367677504</v>
      </c>
      <c r="L5460">
        <v>12428.2972910433</v>
      </c>
      <c r="M5460">
        <v>250</v>
      </c>
      <c r="O5460">
        <v>49.710008140910404</v>
      </c>
      <c r="P5460">
        <v>-0.49735973647215298</v>
      </c>
      <c r="Q5460">
        <v>0.60441989799613605</v>
      </c>
      <c r="R5460">
        <v>0.68884567371740002</v>
      </c>
      <c r="S5460" t="s">
        <v>12463</v>
      </c>
      <c r="T5460" t="s">
        <v>14004</v>
      </c>
      <c r="U5460" t="s">
        <v>14004</v>
      </c>
      <c r="V5460" t="s">
        <v>14004</v>
      </c>
      <c r="W5460" t="s">
        <v>19409</v>
      </c>
      <c r="X5460">
        <v>1</v>
      </c>
      <c r="Y5460" t="s">
        <v>26211</v>
      </c>
      <c r="Z5460" t="s">
        <v>33170</v>
      </c>
      <c r="AA5460">
        <v>0.73253255607246759</v>
      </c>
      <c r="AB5460" t="str">
        <f>HYPERLINK("Melting_Curves/meltCurve_Q96NL8_C8orf37.pdf", "Melting_Curves/meltCurve_Q96NL8_C8orf37.pdf")</f>
        <v>Melting_Curves/meltCurve_Q96NL8_C8orf37.pdf</v>
      </c>
    </row>
    <row r="5461" spans="1:28" x14ac:dyDescent="0.25">
      <c r="A5461" t="s">
        <v>5465</v>
      </c>
      <c r="B5461">
        <v>0.99999676499088797</v>
      </c>
      <c r="C5461">
        <v>1.2489328057306099</v>
      </c>
      <c r="D5461">
        <v>0.92406767123223499</v>
      </c>
      <c r="E5461">
        <v>0.68312699354220396</v>
      </c>
      <c r="F5461">
        <v>0.62730440469905302</v>
      </c>
      <c r="G5461">
        <v>0.41182911901013902</v>
      </c>
      <c r="H5461">
        <v>0.22098338296051201</v>
      </c>
      <c r="I5461">
        <v>0.156593998744985</v>
      </c>
      <c r="J5461">
        <v>0.11589305741786</v>
      </c>
      <c r="K5461">
        <v>8.3205587870036901E-2</v>
      </c>
      <c r="L5461">
        <v>749.38598917442903</v>
      </c>
      <c r="M5461">
        <v>13.799589028565499</v>
      </c>
      <c r="N5461">
        <v>54.7352927897904</v>
      </c>
      <c r="O5461">
        <v>53.202672875596598</v>
      </c>
      <c r="P5461">
        <v>-6.1519517639233398E-2</v>
      </c>
      <c r="Q5461">
        <v>5.14084762874122E-2</v>
      </c>
      <c r="R5461">
        <v>0.94196464837031202</v>
      </c>
      <c r="S5461" t="s">
        <v>12464</v>
      </c>
      <c r="T5461" t="s">
        <v>14004</v>
      </c>
      <c r="U5461" t="s">
        <v>14004</v>
      </c>
      <c r="V5461" t="s">
        <v>14004</v>
      </c>
      <c r="W5461" t="s">
        <v>19410</v>
      </c>
      <c r="X5461">
        <v>2</v>
      </c>
      <c r="Y5461" t="s">
        <v>26212</v>
      </c>
      <c r="Z5461" t="s">
        <v>33171</v>
      </c>
      <c r="AA5461">
        <v>0.52474509666084823</v>
      </c>
      <c r="AB5461" t="str">
        <f>HYPERLINK("Melting_Curves/meltCurve_Q96NT0_CCDC115.pdf", "Melting_Curves/meltCurve_Q96NT0_CCDC115.pdf")</f>
        <v>Melting_Curves/meltCurve_Q96NT0_CCDC115.pdf</v>
      </c>
    </row>
    <row r="5462" spans="1:28" x14ac:dyDescent="0.25">
      <c r="A5462" t="s">
        <v>5466</v>
      </c>
      <c r="B5462">
        <v>0.99999676499088797</v>
      </c>
      <c r="C5462">
        <v>1.0871451764960101</v>
      </c>
      <c r="D5462">
        <v>0.96200703839095902</v>
      </c>
      <c r="E5462">
        <v>0.57721731022092704</v>
      </c>
      <c r="F5462">
        <v>0.45548362527645703</v>
      </c>
      <c r="G5462">
        <v>0.54382760023325605</v>
      </c>
      <c r="H5462">
        <v>0.46086188104471698</v>
      </c>
      <c r="I5462">
        <v>0.56266745728675305</v>
      </c>
      <c r="J5462">
        <v>0.57228223785068899</v>
      </c>
      <c r="K5462">
        <v>0.67825257354775204</v>
      </c>
      <c r="L5462">
        <v>3272.9443847245402</v>
      </c>
      <c r="M5462">
        <v>68.697936716434597</v>
      </c>
      <c r="O5462">
        <v>47.602219618128601</v>
      </c>
      <c r="P5462">
        <v>-0.16381430637108199</v>
      </c>
      <c r="Q5462">
        <v>0.54595884026630304</v>
      </c>
      <c r="R5462">
        <v>0.91670368114166001</v>
      </c>
      <c r="S5462" t="s">
        <v>12465</v>
      </c>
      <c r="T5462" t="s">
        <v>14004</v>
      </c>
      <c r="U5462" t="s">
        <v>14004</v>
      </c>
      <c r="V5462" t="s">
        <v>14004</v>
      </c>
      <c r="W5462" t="s">
        <v>19411</v>
      </c>
      <c r="X5462">
        <v>2</v>
      </c>
      <c r="Y5462" t="s">
        <v>26213</v>
      </c>
      <c r="Z5462" t="s">
        <v>33172</v>
      </c>
      <c r="AA5462">
        <v>0.66213061155688657</v>
      </c>
      <c r="AB5462" t="str">
        <f>HYPERLINK("Melting_Curves/meltCurve_Q96NT1_NAP1L5.pdf", "Melting_Curves/meltCurve_Q96NT1_NAP1L5.pdf")</f>
        <v>Melting_Curves/meltCurve_Q96NT1_NAP1L5.pdf</v>
      </c>
    </row>
    <row r="5463" spans="1:28" x14ac:dyDescent="0.25">
      <c r="A5463" t="s">
        <v>5467</v>
      </c>
      <c r="B5463">
        <v>0.99999676499088797</v>
      </c>
      <c r="C5463">
        <v>0.91583540105691597</v>
      </c>
      <c r="D5463">
        <v>0.51834585001538203</v>
      </c>
      <c r="E5463">
        <v>0.26401097344062702</v>
      </c>
      <c r="F5463">
        <v>0.18147241076575599</v>
      </c>
      <c r="G5463">
        <v>0.15338289226226101</v>
      </c>
      <c r="H5463">
        <v>7.8376415508596295E-2</v>
      </c>
      <c r="I5463">
        <v>7.2094671818833903E-2</v>
      </c>
      <c r="J5463">
        <v>5.6464394022310703E-2</v>
      </c>
      <c r="K5463">
        <v>4.2972727482773303E-2</v>
      </c>
      <c r="L5463">
        <v>1033.8199788418699</v>
      </c>
      <c r="M5463">
        <v>22.357981086487399</v>
      </c>
      <c r="N5463">
        <v>46.627747052700599</v>
      </c>
      <c r="O5463">
        <v>45.874277234247103</v>
      </c>
      <c r="P5463">
        <v>-0.111496044858963</v>
      </c>
      <c r="Q5463">
        <v>8.4945524565689601E-2</v>
      </c>
      <c r="R5463">
        <v>0.98745979095761705</v>
      </c>
      <c r="S5463" t="s">
        <v>12466</v>
      </c>
      <c r="T5463" t="s">
        <v>14004</v>
      </c>
      <c r="U5463" t="s">
        <v>14004</v>
      </c>
      <c r="V5463" t="s">
        <v>14004</v>
      </c>
      <c r="W5463" t="s">
        <v>19412</v>
      </c>
      <c r="X5463">
        <v>16</v>
      </c>
      <c r="Y5463" t="s">
        <v>26214</v>
      </c>
      <c r="Z5463" t="s">
        <v>33173</v>
      </c>
      <c r="AA5463">
        <v>0.28605236027183978</v>
      </c>
      <c r="AB5463" t="str">
        <f>HYPERLINK("Melting_Curves/meltCurve_Q96P11_2_NSUN5.pdf", "Melting_Curves/meltCurve_Q96P11_2_NSUN5.pdf")</f>
        <v>Melting_Curves/meltCurve_Q96P11_2_NSUN5.pdf</v>
      </c>
    </row>
    <row r="5464" spans="1:28" x14ac:dyDescent="0.25">
      <c r="A5464" t="s">
        <v>5468</v>
      </c>
      <c r="B5464">
        <v>0.99999676499088797</v>
      </c>
      <c r="C5464">
        <v>0.95328241433315597</v>
      </c>
      <c r="D5464">
        <v>0.721467510395435</v>
      </c>
      <c r="E5464">
        <v>0.35382141299699499</v>
      </c>
      <c r="F5464">
        <v>0.27034280254514997</v>
      </c>
      <c r="G5464">
        <v>0.19064401780458801</v>
      </c>
      <c r="H5464">
        <v>0.10937468565834001</v>
      </c>
      <c r="I5464">
        <v>0.11147623592275099</v>
      </c>
      <c r="J5464">
        <v>9.7618094299756999E-2</v>
      </c>
      <c r="K5464">
        <v>9.5449346985912203E-2</v>
      </c>
      <c r="L5464">
        <v>967.96513512709498</v>
      </c>
      <c r="M5464">
        <v>20.261486307221201</v>
      </c>
      <c r="N5464">
        <v>48.393407724556397</v>
      </c>
      <c r="O5464">
        <v>47.315584166152</v>
      </c>
      <c r="P5464">
        <v>-9.4824302271148395E-2</v>
      </c>
      <c r="Q5464">
        <v>0.11427454511391701</v>
      </c>
      <c r="R5464">
        <v>0.99189586959447795</v>
      </c>
      <c r="S5464" t="s">
        <v>12467</v>
      </c>
      <c r="T5464" t="s">
        <v>14004</v>
      </c>
      <c r="U5464" t="s">
        <v>14004</v>
      </c>
      <c r="V5464" t="s">
        <v>14004</v>
      </c>
      <c r="W5464" t="s">
        <v>19413</v>
      </c>
      <c r="X5464">
        <v>8</v>
      </c>
      <c r="Y5464" t="s">
        <v>26215</v>
      </c>
      <c r="Z5464" t="s">
        <v>33174</v>
      </c>
      <c r="AA5464">
        <v>0.35608949700696779</v>
      </c>
      <c r="AB5464" t="str">
        <f>HYPERLINK("Melting_Curves/meltCurve_Q96P16_RPRD1A.pdf", "Melting_Curves/meltCurve_Q96P16_RPRD1A.pdf")</f>
        <v>Melting_Curves/meltCurve_Q96P16_RPRD1A.pdf</v>
      </c>
    </row>
    <row r="5465" spans="1:28" x14ac:dyDescent="0.25">
      <c r="A5465" t="s">
        <v>5469</v>
      </c>
      <c r="B5465">
        <v>0.99999676499088797</v>
      </c>
      <c r="C5465">
        <v>0.98845276746591804</v>
      </c>
      <c r="D5465">
        <v>0.94408940918747097</v>
      </c>
      <c r="E5465">
        <v>0.65934701061469103</v>
      </c>
      <c r="F5465">
        <v>0.35959000896096699</v>
      </c>
      <c r="G5465">
        <v>0.19729260664222401</v>
      </c>
      <c r="H5465">
        <v>0.101837721344924</v>
      </c>
      <c r="I5465">
        <v>9.0488957154592403E-2</v>
      </c>
      <c r="J5465">
        <v>9.7853569356484302E-2</v>
      </c>
      <c r="K5465">
        <v>7.5440470980577101E-2</v>
      </c>
      <c r="L5465">
        <v>1074.6955145593299</v>
      </c>
      <c r="M5465">
        <v>21.051684602385102</v>
      </c>
      <c r="N5465">
        <v>51.488241574081698</v>
      </c>
      <c r="O5465">
        <v>50.596374476828998</v>
      </c>
      <c r="P5465">
        <v>-9.5494531785847506E-2</v>
      </c>
      <c r="Q5465">
        <v>8.1964429718100001E-2</v>
      </c>
      <c r="R5465">
        <v>0.99880747503688505</v>
      </c>
      <c r="S5465" t="s">
        <v>12468</v>
      </c>
      <c r="T5465" t="s">
        <v>14004</v>
      </c>
      <c r="U5465" t="s">
        <v>14004</v>
      </c>
      <c r="V5465" t="s">
        <v>14004</v>
      </c>
      <c r="W5465" t="s">
        <v>19414</v>
      </c>
      <c r="X5465">
        <v>17</v>
      </c>
      <c r="Y5465" t="s">
        <v>26216</v>
      </c>
      <c r="Z5465" t="s">
        <v>33175</v>
      </c>
      <c r="AA5465">
        <v>0.43168816933741738</v>
      </c>
      <c r="AB5465" t="str">
        <f>HYPERLINK("Melting_Curves/meltCurve_Q96P70_IPO9.pdf", "Melting_Curves/meltCurve_Q96P70_IPO9.pdf")</f>
        <v>Melting_Curves/meltCurve_Q96P70_IPO9.pdf</v>
      </c>
    </row>
    <row r="5466" spans="1:28" x14ac:dyDescent="0.25">
      <c r="A5466" t="s">
        <v>5470</v>
      </c>
      <c r="B5466">
        <v>0.99999676499088797</v>
      </c>
      <c r="C5466">
        <v>1.69781098567269</v>
      </c>
      <c r="D5466">
        <v>0.954124843345312</v>
      </c>
      <c r="E5466">
        <v>0.89431486728337894</v>
      </c>
      <c r="F5466">
        <v>0.70663708906364298</v>
      </c>
      <c r="G5466">
        <v>0.39703717685300799</v>
      </c>
      <c r="H5466">
        <v>0.36995062328865502</v>
      </c>
      <c r="I5466">
        <v>0</v>
      </c>
      <c r="J5466">
        <v>0</v>
      </c>
      <c r="K5466">
        <v>0.11963427962473699</v>
      </c>
      <c r="L5466">
        <v>1007.26628937652</v>
      </c>
      <c r="M5466">
        <v>18.0080012959972</v>
      </c>
      <c r="N5466">
        <v>56.077186102720297</v>
      </c>
      <c r="O5466">
        <v>55.258296193319197</v>
      </c>
      <c r="P5466">
        <v>-7.9650120174555902E-2</v>
      </c>
      <c r="Q5466">
        <v>2.2409409182456101E-2</v>
      </c>
      <c r="R5466">
        <v>0.79297874558526804</v>
      </c>
      <c r="S5466" t="s">
        <v>12469</v>
      </c>
      <c r="T5466" t="s">
        <v>14004</v>
      </c>
      <c r="U5466" t="s">
        <v>14004</v>
      </c>
      <c r="V5466" t="s">
        <v>14004</v>
      </c>
      <c r="W5466" t="s">
        <v>19415</v>
      </c>
      <c r="X5466">
        <v>2</v>
      </c>
      <c r="Y5466" t="s">
        <v>26217</v>
      </c>
      <c r="Z5466" t="s">
        <v>33176</v>
      </c>
      <c r="AA5466">
        <v>0.55610081866504402</v>
      </c>
      <c r="AB5466" t="str">
        <f>HYPERLINK("Melting_Curves/meltCurve_Q96PD2_DCBLD2.pdf", "Melting_Curves/meltCurve_Q96PD2_DCBLD2.pdf")</f>
        <v>Melting_Curves/meltCurve_Q96PD2_DCBLD2.pdf</v>
      </c>
    </row>
    <row r="5467" spans="1:28" x14ac:dyDescent="0.25">
      <c r="A5467" t="s">
        <v>5471</v>
      </c>
      <c r="B5467">
        <v>0.99999676499088797</v>
      </c>
      <c r="C5467">
        <v>0.99029720737377003</v>
      </c>
      <c r="D5467">
        <v>1.0085517213745101</v>
      </c>
      <c r="E5467">
        <v>0.98733487408989695</v>
      </c>
      <c r="F5467">
        <v>0.9921595182338</v>
      </c>
      <c r="G5467">
        <v>0.96842464526405603</v>
      </c>
      <c r="H5467">
        <v>0.60893075278364805</v>
      </c>
      <c r="I5467">
        <v>0.57806387784310498</v>
      </c>
      <c r="J5467">
        <v>0.35355341297252801</v>
      </c>
      <c r="K5467">
        <v>0.20514907396609999</v>
      </c>
      <c r="L5467">
        <v>1061.44950705837</v>
      </c>
      <c r="M5467">
        <v>16.5805727300908</v>
      </c>
      <c r="N5467">
        <v>64.298565993483905</v>
      </c>
      <c r="O5467">
        <v>63.1081846617003</v>
      </c>
      <c r="P5467">
        <v>-6.3392666689295399E-2</v>
      </c>
      <c r="Q5467">
        <v>3.4937227773971798E-2</v>
      </c>
      <c r="R5467">
        <v>0.97443464108154498</v>
      </c>
      <c r="S5467" t="s">
        <v>12470</v>
      </c>
      <c r="T5467" t="s">
        <v>14004</v>
      </c>
      <c r="U5467" t="s">
        <v>14004</v>
      </c>
      <c r="V5467" t="s">
        <v>14004</v>
      </c>
      <c r="W5467" t="s">
        <v>19416</v>
      </c>
      <c r="X5467">
        <v>6</v>
      </c>
      <c r="Y5467" t="s">
        <v>26218</v>
      </c>
      <c r="Z5467" t="s">
        <v>33177</v>
      </c>
      <c r="AA5467">
        <v>0.79559644869053392</v>
      </c>
      <c r="AB5467" t="str">
        <f>HYPERLINK("Melting_Curves/meltCurve_Q96PE7_MCEE.pdf", "Melting_Curves/meltCurve_Q96PE7_MCEE.pdf")</f>
        <v>Melting_Curves/meltCurve_Q96PE7_MCEE.pdf</v>
      </c>
    </row>
    <row r="5468" spans="1:28" x14ac:dyDescent="0.25">
      <c r="A5468" t="s">
        <v>5472</v>
      </c>
      <c r="B5468">
        <v>0.99999676499088797</v>
      </c>
      <c r="C5468">
        <v>0.71134967756288203</v>
      </c>
      <c r="D5468">
        <v>0.322676029398477</v>
      </c>
      <c r="E5468">
        <v>0.179926162436152</v>
      </c>
      <c r="F5468">
        <v>0.12651343338705001</v>
      </c>
      <c r="G5468">
        <v>8.8530761064632105E-2</v>
      </c>
      <c r="H5468">
        <v>6.2779461816689502E-2</v>
      </c>
      <c r="I5468">
        <v>8.6182331122624301E-2</v>
      </c>
      <c r="J5468">
        <v>0.10183665054041501</v>
      </c>
      <c r="K5468">
        <v>7.6130139587074097E-2</v>
      </c>
      <c r="L5468">
        <v>1188.8007200271099</v>
      </c>
      <c r="M5468">
        <v>26.8746755046026</v>
      </c>
      <c r="N5468">
        <v>44.576634764232502</v>
      </c>
      <c r="O5468">
        <v>43.992230369161199</v>
      </c>
      <c r="P5468">
        <v>-0.13851125631064501</v>
      </c>
      <c r="Q5468">
        <v>9.3070670792551699E-2</v>
      </c>
      <c r="R5468">
        <v>0.99321753732401696</v>
      </c>
      <c r="S5468" t="s">
        <v>12471</v>
      </c>
      <c r="T5468" t="s">
        <v>14004</v>
      </c>
      <c r="U5468" t="s">
        <v>14004</v>
      </c>
      <c r="V5468" t="s">
        <v>14004</v>
      </c>
      <c r="W5468" t="s">
        <v>19417</v>
      </c>
      <c r="X5468">
        <v>12</v>
      </c>
      <c r="Y5468" t="s">
        <v>26219</v>
      </c>
      <c r="Z5468" t="s">
        <v>33178</v>
      </c>
      <c r="AA5468">
        <v>0.22945996059426521</v>
      </c>
      <c r="AB5468" t="str">
        <f>HYPERLINK("Melting_Curves/meltCurve_Q96PK6_RBM14.pdf", "Melting_Curves/meltCurve_Q96PK6_RBM14.pdf")</f>
        <v>Melting_Curves/meltCurve_Q96PK6_RBM14.pdf</v>
      </c>
    </row>
    <row r="5469" spans="1:28" x14ac:dyDescent="0.25">
      <c r="A5469" t="s">
        <v>5473</v>
      </c>
      <c r="B5469">
        <v>0.99999676499088797</v>
      </c>
      <c r="C5469">
        <v>0.91421635190461004</v>
      </c>
      <c r="D5469">
        <v>0.937346778636023</v>
      </c>
      <c r="E5469">
        <v>0.82818337039318601</v>
      </c>
      <c r="F5469">
        <v>0.49383066725853397</v>
      </c>
      <c r="G5469">
        <v>0.26328438087773398</v>
      </c>
      <c r="H5469">
        <v>0.170356324502309</v>
      </c>
      <c r="I5469">
        <v>0.16939257608539199</v>
      </c>
      <c r="J5469">
        <v>0.190030650353021</v>
      </c>
      <c r="K5469">
        <v>0.26792659791870399</v>
      </c>
      <c r="L5469">
        <v>1351.8397993237099</v>
      </c>
      <c r="M5469">
        <v>25.985668565754899</v>
      </c>
      <c r="N5469">
        <v>53.0109693030481</v>
      </c>
      <c r="O5469">
        <v>51.717366479058299</v>
      </c>
      <c r="P5469">
        <v>-0.101496530824119</v>
      </c>
      <c r="Q5469">
        <v>0.19200512352796101</v>
      </c>
      <c r="R5469">
        <v>0.98552287877755496</v>
      </c>
      <c r="S5469" t="s">
        <v>12472</v>
      </c>
      <c r="T5469" t="s">
        <v>14004</v>
      </c>
      <c r="U5469" t="s">
        <v>14004</v>
      </c>
      <c r="V5469" t="s">
        <v>14004</v>
      </c>
      <c r="W5469" t="s">
        <v>19418</v>
      </c>
      <c r="X5469">
        <v>11</v>
      </c>
      <c r="Y5469" t="s">
        <v>26220</v>
      </c>
      <c r="Z5469" t="s">
        <v>33179</v>
      </c>
      <c r="AA5469">
        <v>0.52265617546462428</v>
      </c>
      <c r="AB5469" t="str">
        <f>HYPERLINK("Melting_Curves/meltCurve_Q96PM5_RCHY1.pdf", "Melting_Curves/meltCurve_Q96PM5_RCHY1.pdf")</f>
        <v>Melting_Curves/meltCurve_Q96PM5_RCHY1.pdf</v>
      </c>
    </row>
    <row r="5470" spans="1:28" x14ac:dyDescent="0.25">
      <c r="A5470" t="s">
        <v>5474</v>
      </c>
      <c r="B5470">
        <v>0.99999676499088797</v>
      </c>
      <c r="C5470">
        <v>0.61155435363394695</v>
      </c>
      <c r="D5470">
        <v>0.36641022324211803</v>
      </c>
      <c r="E5470">
        <v>0.17482112680032599</v>
      </c>
      <c r="F5470">
        <v>0.12956351404167199</v>
      </c>
      <c r="G5470">
        <v>0.101936854140706</v>
      </c>
      <c r="H5470">
        <v>5.1017773956798303E-2</v>
      </c>
      <c r="I5470">
        <v>6.7243397403058097E-2</v>
      </c>
      <c r="J5470">
        <v>7.1044660870504206E-2</v>
      </c>
      <c r="K5470">
        <v>7.0394580278551694E-2</v>
      </c>
      <c r="L5470">
        <v>950.04375640329101</v>
      </c>
      <c r="M5470">
        <v>21.543868963808301</v>
      </c>
      <c r="N5470">
        <v>44.452778413366502</v>
      </c>
      <c r="O5470">
        <v>43.723425813566799</v>
      </c>
      <c r="P5470">
        <v>-0.113457999145752</v>
      </c>
      <c r="Q5470">
        <v>7.8967178147998598E-2</v>
      </c>
      <c r="R5470">
        <v>0.98277955546530604</v>
      </c>
      <c r="S5470" t="s">
        <v>12473</v>
      </c>
      <c r="T5470" t="s">
        <v>14004</v>
      </c>
      <c r="U5470" t="s">
        <v>14004</v>
      </c>
      <c r="V5470" t="s">
        <v>14004</v>
      </c>
      <c r="W5470" t="s">
        <v>19419</v>
      </c>
      <c r="X5470">
        <v>4</v>
      </c>
      <c r="Y5470" t="s">
        <v>26221</v>
      </c>
      <c r="Z5470" t="s">
        <v>33180</v>
      </c>
      <c r="AA5470">
        <v>0.21960336838425901</v>
      </c>
      <c r="AB5470" t="str">
        <f>HYPERLINK("Melting_Curves/meltCurve_Q96PU4_UHRF2.pdf", "Melting_Curves/meltCurve_Q96PU4_UHRF2.pdf")</f>
        <v>Melting_Curves/meltCurve_Q96PU4_UHRF2.pdf</v>
      </c>
    </row>
    <row r="5471" spans="1:28" x14ac:dyDescent="0.25">
      <c r="A5471" t="s">
        <v>5475</v>
      </c>
      <c r="B5471">
        <v>0.99999676499088797</v>
      </c>
      <c r="C5471">
        <v>1.00842657709396</v>
      </c>
      <c r="D5471">
        <v>0.82456975326375004</v>
      </c>
      <c r="E5471">
        <v>0.34380645866548598</v>
      </c>
      <c r="F5471">
        <v>0.23163030363786999</v>
      </c>
      <c r="G5471">
        <v>0.16222578194322801</v>
      </c>
      <c r="H5471">
        <v>8.5804844168947098E-2</v>
      </c>
      <c r="I5471">
        <v>8.3848920957899295E-2</v>
      </c>
      <c r="J5471">
        <v>9.5094629670217506E-2</v>
      </c>
      <c r="K5471">
        <v>0.10727084036390699</v>
      </c>
      <c r="L5471">
        <v>1385.74546352987</v>
      </c>
      <c r="M5471">
        <v>28.797601977530501</v>
      </c>
      <c r="N5471">
        <v>48.5495170188439</v>
      </c>
      <c r="O5471">
        <v>47.889916904572303</v>
      </c>
      <c r="P5471">
        <v>-0.13343407646028699</v>
      </c>
      <c r="Q5471">
        <v>0.11241249063319</v>
      </c>
      <c r="R5471">
        <v>0.99254656478361403</v>
      </c>
      <c r="S5471" t="s">
        <v>12474</v>
      </c>
      <c r="T5471" t="s">
        <v>14004</v>
      </c>
      <c r="U5471" t="s">
        <v>14004</v>
      </c>
      <c r="V5471" t="s">
        <v>14004</v>
      </c>
      <c r="W5471" t="s">
        <v>19420</v>
      </c>
      <c r="X5471">
        <v>9</v>
      </c>
      <c r="Y5471" t="s">
        <v>26222</v>
      </c>
      <c r="Z5471" t="s">
        <v>33181</v>
      </c>
      <c r="AA5471">
        <v>0.35848252170148631</v>
      </c>
      <c r="AB5471" t="str">
        <f>HYPERLINK("Melting_Curves/meltCurve_Q96PU5_2_NEDD4L.pdf", "Melting_Curves/meltCurve_Q96PU5_2_NEDD4L.pdf")</f>
        <v>Melting_Curves/meltCurve_Q96PU5_2_NEDD4L.pdf</v>
      </c>
    </row>
    <row r="5472" spans="1:28" x14ac:dyDescent="0.25">
      <c r="A5472" t="s">
        <v>5476</v>
      </c>
      <c r="B5472">
        <v>0.99999676499088797</v>
      </c>
      <c r="C5472">
        <v>0.91307303609991797</v>
      </c>
      <c r="D5472">
        <v>0.66505112914196496</v>
      </c>
      <c r="E5472">
        <v>0.36834434959998003</v>
      </c>
      <c r="F5472">
        <v>0.227329331517305</v>
      </c>
      <c r="G5472">
        <v>0.15409187380023401</v>
      </c>
      <c r="H5472">
        <v>6.0719236874593498E-2</v>
      </c>
      <c r="I5472">
        <v>6.1809800395580899E-2</v>
      </c>
      <c r="J5472">
        <v>6.2871740391239994E-2</v>
      </c>
      <c r="K5472">
        <v>3.4218999663466802E-2</v>
      </c>
      <c r="L5472">
        <v>811.28845269356498</v>
      </c>
      <c r="M5472">
        <v>16.944451994467201</v>
      </c>
      <c r="N5472">
        <v>48.1997942254309</v>
      </c>
      <c r="O5472">
        <v>47.227336577894199</v>
      </c>
      <c r="P5472">
        <v>-8.4922672796955506E-2</v>
      </c>
      <c r="Q5472">
        <v>5.3278083488616401E-2</v>
      </c>
      <c r="R5472">
        <v>0.99519793614934404</v>
      </c>
      <c r="S5472" t="s">
        <v>12475</v>
      </c>
      <c r="T5472" t="s">
        <v>14004</v>
      </c>
      <c r="U5472" t="s">
        <v>14004</v>
      </c>
      <c r="V5472" t="s">
        <v>14004</v>
      </c>
      <c r="W5472" t="s">
        <v>19421</v>
      </c>
      <c r="X5472">
        <v>4</v>
      </c>
      <c r="Y5472" t="s">
        <v>26223</v>
      </c>
      <c r="Z5472" t="s">
        <v>33182</v>
      </c>
      <c r="AA5472">
        <v>0.32105402942759009</v>
      </c>
      <c r="AB5472" t="str">
        <f>HYPERLINK("Melting_Curves/meltCurve_Q96PU8_9_QKI.pdf", "Melting_Curves/meltCurve_Q96PU8_9_QKI.pdf")</f>
        <v>Melting_Curves/meltCurve_Q96PU8_9_QKI.pdf</v>
      </c>
    </row>
    <row r="5473" spans="1:28" x14ac:dyDescent="0.25">
      <c r="A5473" t="s">
        <v>5477</v>
      </c>
      <c r="B5473">
        <v>0.99999676499088797</v>
      </c>
      <c r="C5473">
        <v>1.0272892396353099</v>
      </c>
      <c r="D5473">
        <v>0.85612764138198105</v>
      </c>
      <c r="E5473">
        <v>0.37929370209208002</v>
      </c>
      <c r="F5473">
        <v>0.25519101096011498</v>
      </c>
      <c r="G5473">
        <v>0.178417536307824</v>
      </c>
      <c r="H5473">
        <v>0.14189896227113999</v>
      </c>
      <c r="I5473">
        <v>0.248809936363068</v>
      </c>
      <c r="J5473">
        <v>0.26796970537681702</v>
      </c>
      <c r="K5473">
        <v>0.128885231010471</v>
      </c>
      <c r="L5473">
        <v>1736.77410087526</v>
      </c>
      <c r="M5473">
        <v>36.211979616207103</v>
      </c>
      <c r="N5473">
        <v>48.640692485878802</v>
      </c>
      <c r="O5473">
        <v>47.815767068148801</v>
      </c>
      <c r="P5473">
        <v>-0.15175150177614199</v>
      </c>
      <c r="Q5473">
        <v>0.19848736045194801</v>
      </c>
      <c r="R5473">
        <v>0.984298288879911</v>
      </c>
      <c r="S5473" t="s">
        <v>12476</v>
      </c>
      <c r="T5473" t="s">
        <v>14004</v>
      </c>
      <c r="U5473" t="s">
        <v>14004</v>
      </c>
      <c r="V5473" t="s">
        <v>14004</v>
      </c>
      <c r="W5473" t="s">
        <v>19422</v>
      </c>
      <c r="X5473">
        <v>2</v>
      </c>
      <c r="Y5473" t="s">
        <v>26224</v>
      </c>
      <c r="Z5473" t="s">
        <v>33183</v>
      </c>
      <c r="AA5473">
        <v>0.41445651577204828</v>
      </c>
      <c r="AB5473" t="str">
        <f>HYPERLINK("Melting_Curves/meltCurve_Q96PV6_2_LENG8.pdf", "Melting_Curves/meltCurve_Q96PV6_2_LENG8.pdf")</f>
        <v>Melting_Curves/meltCurve_Q96PV6_2_LENG8.pdf</v>
      </c>
    </row>
    <row r="5474" spans="1:28" x14ac:dyDescent="0.25">
      <c r="A5474" t="s">
        <v>5478</v>
      </c>
      <c r="B5474">
        <v>0.99999676499088797</v>
      </c>
      <c r="C5474">
        <v>1.4716514129828899</v>
      </c>
      <c r="D5474">
        <v>0.819183949339233</v>
      </c>
      <c r="E5474">
        <v>0.385214417759841</v>
      </c>
      <c r="F5474">
        <v>0.16909510627288801</v>
      </c>
      <c r="G5474">
        <v>0.19345782545678</v>
      </c>
      <c r="H5474">
        <v>0</v>
      </c>
      <c r="I5474">
        <v>0</v>
      </c>
      <c r="J5474">
        <v>0</v>
      </c>
      <c r="K5474">
        <v>0</v>
      </c>
      <c r="S5474" t="s">
        <v>12477</v>
      </c>
      <c r="T5474" t="s">
        <v>14004</v>
      </c>
      <c r="U5474" t="s">
        <v>14005</v>
      </c>
      <c r="V5474" t="s">
        <v>14004</v>
      </c>
      <c r="W5474" t="s">
        <v>19423</v>
      </c>
      <c r="X5474">
        <v>2</v>
      </c>
      <c r="Y5474" t="s">
        <v>26225</v>
      </c>
      <c r="Z5474" t="s">
        <v>33184</v>
      </c>
      <c r="AB5474" t="str">
        <f>HYPERLINK("Melting_Curves/meltCurve_Q96PY6_2_NEK1.pdf", "Melting_Curves/meltCurve_Q96PY6_2_NEK1.pdf")</f>
        <v>Melting_Curves/meltCurve_Q96PY6_2_NEK1.pdf</v>
      </c>
    </row>
    <row r="5475" spans="1:28" x14ac:dyDescent="0.25">
      <c r="A5475" t="s">
        <v>5479</v>
      </c>
      <c r="B5475">
        <v>0.99999676499088797</v>
      </c>
      <c r="C5475">
        <v>0.97723210467184995</v>
      </c>
      <c r="D5475">
        <v>0.89314255316226498</v>
      </c>
      <c r="E5475">
        <v>0.721518784212278</v>
      </c>
      <c r="F5475">
        <v>0.33618220949990701</v>
      </c>
      <c r="G5475">
        <v>0.20535498587519499</v>
      </c>
      <c r="H5475">
        <v>9.1509412488163494E-2</v>
      </c>
      <c r="I5475">
        <v>8.9844055919101107E-2</v>
      </c>
      <c r="J5475">
        <v>8.47925822059412E-2</v>
      </c>
      <c r="K5475">
        <v>7.2404291192188802E-2</v>
      </c>
      <c r="L5475">
        <v>1071.4532253902801</v>
      </c>
      <c r="M5475">
        <v>20.907477482817701</v>
      </c>
      <c r="N5475">
        <v>51.6361085683846</v>
      </c>
      <c r="O5475">
        <v>50.785441021665498</v>
      </c>
      <c r="P5475">
        <v>-9.5428918292938605E-2</v>
      </c>
      <c r="Q5475">
        <v>7.2816342640059706E-2</v>
      </c>
      <c r="R5475">
        <v>0.99746623870409201</v>
      </c>
      <c r="S5475" t="s">
        <v>12478</v>
      </c>
      <c r="T5475" t="s">
        <v>14004</v>
      </c>
      <c r="U5475" t="s">
        <v>14004</v>
      </c>
      <c r="V5475" t="s">
        <v>14004</v>
      </c>
      <c r="W5475" t="s">
        <v>19424</v>
      </c>
      <c r="X5475">
        <v>29</v>
      </c>
      <c r="Y5475" t="s">
        <v>26226</v>
      </c>
      <c r="Z5475" t="s">
        <v>33185</v>
      </c>
      <c r="AA5475">
        <v>0.4322696345803026</v>
      </c>
      <c r="AB5475" t="str">
        <f>HYPERLINK("Melting_Curves/meltCurve_Q96PZ0_PUS7.pdf", "Melting_Curves/meltCurve_Q96PZ0_PUS7.pdf")</f>
        <v>Melting_Curves/meltCurve_Q96PZ0_PUS7.pdf</v>
      </c>
    </row>
    <row r="5476" spans="1:28" x14ac:dyDescent="0.25">
      <c r="A5476" t="s">
        <v>5480</v>
      </c>
      <c r="B5476">
        <v>0.99999676499088797</v>
      </c>
      <c r="C5476">
        <v>1.1819089721679601</v>
      </c>
      <c r="D5476">
        <v>0.988957173191922</v>
      </c>
      <c r="E5476">
        <v>0.62963495408499803</v>
      </c>
      <c r="F5476">
        <v>0.16602165700583399</v>
      </c>
      <c r="G5476">
        <v>0.245299144614401</v>
      </c>
      <c r="H5476">
        <v>0.19690194706293301</v>
      </c>
      <c r="I5476">
        <v>0.14110634644963599</v>
      </c>
      <c r="J5476">
        <v>0.22256387721243401</v>
      </c>
      <c r="K5476">
        <v>0.166036590683697</v>
      </c>
      <c r="L5476">
        <v>12408.5431135852</v>
      </c>
      <c r="M5476">
        <v>250</v>
      </c>
      <c r="N5476">
        <v>49.729051551666899</v>
      </c>
      <c r="O5476">
        <v>49.630996190788203</v>
      </c>
      <c r="P5476">
        <v>-1.02046244064614</v>
      </c>
      <c r="Q5476">
        <v>0.18965492078343801</v>
      </c>
      <c r="R5476">
        <v>0.97370466732670802</v>
      </c>
      <c r="S5476" t="s">
        <v>12479</v>
      </c>
      <c r="T5476" t="s">
        <v>14004</v>
      </c>
      <c r="U5476" t="s">
        <v>14004</v>
      </c>
      <c r="V5476" t="s">
        <v>14004</v>
      </c>
      <c r="W5476" t="s">
        <v>19425</v>
      </c>
      <c r="X5476">
        <v>2</v>
      </c>
      <c r="Y5476" t="s">
        <v>26227</v>
      </c>
      <c r="Z5476" t="s">
        <v>33186</v>
      </c>
      <c r="AA5476">
        <v>0.44995898236442461</v>
      </c>
      <c r="AB5476" t="str">
        <f>HYPERLINK("Melting_Curves/meltCurve_Q96PZ2_FAM111A.pdf", "Melting_Curves/meltCurve_Q96PZ2_FAM111A.pdf")</f>
        <v>Melting_Curves/meltCurve_Q96PZ2_FAM111A.pdf</v>
      </c>
    </row>
    <row r="5477" spans="1:28" x14ac:dyDescent="0.25">
      <c r="A5477" t="s">
        <v>5481</v>
      </c>
      <c r="B5477">
        <v>0.99999676499088797</v>
      </c>
      <c r="C5477">
        <v>0.98125925604636299</v>
      </c>
      <c r="D5477">
        <v>0.977429099011483</v>
      </c>
      <c r="E5477">
        <v>0.93335013369772402</v>
      </c>
      <c r="F5477">
        <v>0.44449280259173901</v>
      </c>
      <c r="G5477">
        <v>0.27830972726063402</v>
      </c>
      <c r="H5477">
        <v>0.134452905783355</v>
      </c>
      <c r="I5477">
        <v>0.10486815723842401</v>
      </c>
      <c r="J5477">
        <v>8.0195547668494793E-2</v>
      </c>
      <c r="K5477">
        <v>7.0112117253084194E-2</v>
      </c>
      <c r="L5477">
        <v>1476.5912005856201</v>
      </c>
      <c r="M5477">
        <v>27.955903265658701</v>
      </c>
      <c r="N5477">
        <v>53.234757118496098</v>
      </c>
      <c r="O5477">
        <v>52.550534371412297</v>
      </c>
      <c r="P5477">
        <v>-0.11994172639282399</v>
      </c>
      <c r="Q5477">
        <v>9.8158658967538198E-2</v>
      </c>
      <c r="R5477">
        <v>0.99146358618470598</v>
      </c>
      <c r="S5477" t="s">
        <v>12480</v>
      </c>
      <c r="T5477" t="s">
        <v>14004</v>
      </c>
      <c r="U5477" t="s">
        <v>14004</v>
      </c>
      <c r="V5477" t="s">
        <v>14004</v>
      </c>
      <c r="W5477" t="s">
        <v>19426</v>
      </c>
      <c r="X5477">
        <v>5</v>
      </c>
      <c r="Y5477" t="s">
        <v>26228</v>
      </c>
      <c r="Z5477" t="s">
        <v>33187</v>
      </c>
      <c r="AA5477">
        <v>0.49019797938061582</v>
      </c>
      <c r="AB5477" t="str">
        <f>HYPERLINK("Melting_Curves/meltCurve_Q96Q05_3_TRAPPC9.pdf", "Melting_Curves/meltCurve_Q96Q05_3_TRAPPC9.pdf")</f>
        <v>Melting_Curves/meltCurve_Q96Q05_3_TRAPPC9.pdf</v>
      </c>
    </row>
    <row r="5478" spans="1:28" x14ac:dyDescent="0.25">
      <c r="A5478" t="s">
        <v>5482</v>
      </c>
      <c r="B5478">
        <v>0.99999676499088797</v>
      </c>
      <c r="C5478">
        <v>1.0130559065389599</v>
      </c>
      <c r="D5478">
        <v>1.01441372174611</v>
      </c>
      <c r="E5478">
        <v>1.01263511158366</v>
      </c>
      <c r="F5478">
        <v>0.24924824988798699</v>
      </c>
      <c r="G5478">
        <v>0.17147319195775601</v>
      </c>
      <c r="H5478">
        <v>6.7601327178052895E-2</v>
      </c>
      <c r="I5478">
        <v>7.1849472256052802E-2</v>
      </c>
      <c r="J5478">
        <v>6.07775519329165E-2</v>
      </c>
      <c r="K5478">
        <v>5.0623766697417298E-2</v>
      </c>
      <c r="L5478">
        <v>7253.6539340556801</v>
      </c>
      <c r="M5478">
        <v>137.862920095335</v>
      </c>
      <c r="N5478">
        <v>52.6856768932603</v>
      </c>
      <c r="O5478">
        <v>52.603904500961796</v>
      </c>
      <c r="P5478">
        <v>-0.59986174649831603</v>
      </c>
      <c r="Q5478">
        <v>8.4450857950589903E-2</v>
      </c>
      <c r="R5478">
        <v>0.99478866104257202</v>
      </c>
      <c r="S5478" t="s">
        <v>12481</v>
      </c>
      <c r="T5478" t="s">
        <v>14004</v>
      </c>
      <c r="U5478" t="s">
        <v>14004</v>
      </c>
      <c r="V5478" t="s">
        <v>14004</v>
      </c>
      <c r="W5478" t="s">
        <v>19427</v>
      </c>
      <c r="X5478">
        <v>16</v>
      </c>
      <c r="Y5478" t="s">
        <v>26229</v>
      </c>
      <c r="Z5478" t="s">
        <v>33188</v>
      </c>
      <c r="AA5478">
        <v>0.46971661760352112</v>
      </c>
      <c r="AB5478" t="str">
        <f>HYPERLINK("Melting_Curves/meltCurve_Q96Q11_2_TRNT1.pdf", "Melting_Curves/meltCurve_Q96Q11_2_TRNT1.pdf")</f>
        <v>Melting_Curves/meltCurve_Q96Q11_2_TRNT1.pdf</v>
      </c>
    </row>
    <row r="5479" spans="1:28" x14ac:dyDescent="0.25">
      <c r="A5479" t="s">
        <v>5483</v>
      </c>
      <c r="B5479">
        <v>0.99999676499088797</v>
      </c>
      <c r="C5479">
        <v>1.1092992819166101</v>
      </c>
      <c r="D5479">
        <v>1.12820546014284</v>
      </c>
      <c r="E5479">
        <v>1.1817804991857199</v>
      </c>
      <c r="F5479">
        <v>0.97854244274132196</v>
      </c>
      <c r="G5479">
        <v>0.84280718554734602</v>
      </c>
      <c r="H5479">
        <v>0.62421393707533002</v>
      </c>
      <c r="I5479">
        <v>0.55174455788309096</v>
      </c>
      <c r="J5479">
        <v>0.51484179439743105</v>
      </c>
      <c r="K5479">
        <v>0.62457573159079904</v>
      </c>
      <c r="L5479">
        <v>2330.1790691773999</v>
      </c>
      <c r="M5479">
        <v>40.417339952285602</v>
      </c>
      <c r="O5479">
        <v>57.512375182152901</v>
      </c>
      <c r="P5479">
        <v>-7.6608434977500001E-2</v>
      </c>
      <c r="Q5479">
        <v>0.563957162216425</v>
      </c>
      <c r="R5479">
        <v>0.88523977200276904</v>
      </c>
      <c r="S5479" t="s">
        <v>12482</v>
      </c>
      <c r="T5479" t="s">
        <v>14004</v>
      </c>
      <c r="U5479" t="s">
        <v>14004</v>
      </c>
      <c r="V5479" t="s">
        <v>14004</v>
      </c>
      <c r="W5479" t="s">
        <v>19428</v>
      </c>
      <c r="X5479">
        <v>10</v>
      </c>
      <c r="Y5479" t="s">
        <v>26230</v>
      </c>
      <c r="Z5479" t="s">
        <v>33189</v>
      </c>
      <c r="AA5479">
        <v>0.82221470406176633</v>
      </c>
      <c r="AB5479" t="str">
        <f>HYPERLINK("Melting_Curves/meltCurve_Q96Q45_2_TMEM237.pdf", "Melting_Curves/meltCurve_Q96Q45_2_TMEM237.pdf")</f>
        <v>Melting_Curves/meltCurve_Q96Q45_2_TMEM237.pdf</v>
      </c>
    </row>
    <row r="5480" spans="1:28" x14ac:dyDescent="0.25">
      <c r="A5480" t="s">
        <v>5484</v>
      </c>
      <c r="B5480">
        <v>0.99999676499088797</v>
      </c>
      <c r="C5480">
        <v>1.0783110142140599</v>
      </c>
      <c r="D5480">
        <v>1.04361518596198</v>
      </c>
      <c r="E5480">
        <v>0.93338958586712895</v>
      </c>
      <c r="F5480">
        <v>0.76266182798011095</v>
      </c>
      <c r="G5480">
        <v>0.73878331917221096</v>
      </c>
      <c r="H5480">
        <v>0.45349857133502602</v>
      </c>
      <c r="I5480">
        <v>0.50582590685314599</v>
      </c>
      <c r="J5480">
        <v>0.43244146398438099</v>
      </c>
      <c r="K5480">
        <v>0.42299073113373598</v>
      </c>
      <c r="L5480">
        <v>947.98369307871997</v>
      </c>
      <c r="M5480">
        <v>16.9697088545668</v>
      </c>
      <c r="N5480">
        <v>61.928734308414299</v>
      </c>
      <c r="O5480">
        <v>55.104826760073998</v>
      </c>
      <c r="P5480">
        <v>-4.5801202024771698E-2</v>
      </c>
      <c r="Q5480">
        <v>0.405125862102238</v>
      </c>
      <c r="R5480">
        <v>0.95909448216849902</v>
      </c>
      <c r="S5480" t="s">
        <v>12483</v>
      </c>
      <c r="T5480" t="s">
        <v>14004</v>
      </c>
      <c r="U5480" t="s">
        <v>14004</v>
      </c>
      <c r="V5480" t="s">
        <v>14004</v>
      </c>
      <c r="W5480" t="s">
        <v>19429</v>
      </c>
      <c r="X5480">
        <v>11</v>
      </c>
      <c r="Y5480" t="s">
        <v>26231</v>
      </c>
      <c r="Z5480" t="s">
        <v>33190</v>
      </c>
      <c r="AA5480">
        <v>0.72913749947337336</v>
      </c>
      <c r="AB5480" t="str">
        <f>HYPERLINK("Melting_Curves/meltCurve_Q96Q83_ALKBH3.pdf", "Melting_Curves/meltCurve_Q96Q83_ALKBH3.pdf")</f>
        <v>Melting_Curves/meltCurve_Q96Q83_ALKBH3.pdf</v>
      </c>
    </row>
    <row r="5481" spans="1:28" x14ac:dyDescent="0.25">
      <c r="A5481" t="s">
        <v>5485</v>
      </c>
      <c r="B5481">
        <v>0.99999676499088797</v>
      </c>
      <c r="C5481">
        <v>0.830200052652038</v>
      </c>
      <c r="D5481">
        <v>0.72542337623441799</v>
      </c>
      <c r="E5481">
        <v>0.55122876883539196</v>
      </c>
      <c r="F5481">
        <v>0.36701725207769997</v>
      </c>
      <c r="G5481">
        <v>0.32357840981827402</v>
      </c>
      <c r="H5481">
        <v>0.23010773026185899</v>
      </c>
      <c r="I5481">
        <v>0.274905416060999</v>
      </c>
      <c r="J5481">
        <v>0.25491217779129</v>
      </c>
      <c r="K5481">
        <v>0.28344261109206198</v>
      </c>
      <c r="L5481">
        <v>685.13874551941603</v>
      </c>
      <c r="M5481">
        <v>14.3530345267112</v>
      </c>
      <c r="N5481">
        <v>50.0855757524347</v>
      </c>
      <c r="O5481">
        <v>46.836856845075502</v>
      </c>
      <c r="P5481">
        <v>-5.7842462683180301E-2</v>
      </c>
      <c r="Q5481">
        <v>0.24508426966255301</v>
      </c>
      <c r="R5481">
        <v>0.98757541950141503</v>
      </c>
      <c r="S5481" t="s">
        <v>12484</v>
      </c>
      <c r="T5481" t="s">
        <v>14004</v>
      </c>
      <c r="U5481" t="s">
        <v>14004</v>
      </c>
      <c r="V5481" t="s">
        <v>14004</v>
      </c>
      <c r="W5481" t="s">
        <v>19430</v>
      </c>
      <c r="X5481">
        <v>18</v>
      </c>
      <c r="Y5481" t="s">
        <v>26232</v>
      </c>
      <c r="Z5481" t="s">
        <v>33191</v>
      </c>
      <c r="AA5481">
        <v>0.46120012474517491</v>
      </c>
      <c r="AB5481" t="str">
        <f>HYPERLINK("Melting_Curves/meltCurve_Q96QC0_PPP1R10.pdf", "Melting_Curves/meltCurve_Q96QC0_PPP1R10.pdf")</f>
        <v>Melting_Curves/meltCurve_Q96QC0_PPP1R10.pdf</v>
      </c>
    </row>
    <row r="5482" spans="1:28" x14ac:dyDescent="0.25">
      <c r="A5482" t="s">
        <v>5486</v>
      </c>
      <c r="B5482">
        <v>0.99999676499088797</v>
      </c>
      <c r="C5482">
        <v>0.95085227182548504</v>
      </c>
      <c r="D5482">
        <v>1.00806323524901</v>
      </c>
      <c r="E5482">
        <v>0.88747061895847901</v>
      </c>
      <c r="F5482">
        <v>0.78761749387424196</v>
      </c>
      <c r="G5482">
        <v>0.82070335441498998</v>
      </c>
      <c r="H5482">
        <v>0.58558754681500902</v>
      </c>
      <c r="I5482">
        <v>0.55941299320603599</v>
      </c>
      <c r="J5482">
        <v>0.49554971567781603</v>
      </c>
      <c r="K5482">
        <v>0.41376878472138001</v>
      </c>
      <c r="L5482">
        <v>491.01707170823602</v>
      </c>
      <c r="M5482">
        <v>7.81319541980743</v>
      </c>
      <c r="N5482">
        <v>66.162556325229403</v>
      </c>
      <c r="O5482">
        <v>59.126549349256997</v>
      </c>
      <c r="P5482">
        <v>-2.7715383814614698E-2</v>
      </c>
      <c r="Q5482">
        <v>0.162087622338418</v>
      </c>
      <c r="R5482">
        <v>0.96558120849706097</v>
      </c>
      <c r="S5482" t="s">
        <v>12485</v>
      </c>
      <c r="T5482" t="s">
        <v>14004</v>
      </c>
      <c r="U5482" t="s">
        <v>14004</v>
      </c>
      <c r="V5482" t="s">
        <v>14004</v>
      </c>
      <c r="W5482" t="s">
        <v>19431</v>
      </c>
      <c r="X5482">
        <v>3</v>
      </c>
      <c r="Y5482" t="s">
        <v>26233</v>
      </c>
      <c r="Z5482" t="s">
        <v>33192</v>
      </c>
      <c r="AA5482">
        <v>0.75916053308170606</v>
      </c>
      <c r="AB5482" t="str">
        <f>HYPERLINK("Melting_Curves/meltCurve_Q96QD8_SLC38A2.pdf", "Melting_Curves/meltCurve_Q96QD8_SLC38A2.pdf")</f>
        <v>Melting_Curves/meltCurve_Q96QD8_SLC38A2.pdf</v>
      </c>
    </row>
    <row r="5483" spans="1:28" x14ac:dyDescent="0.25">
      <c r="A5483" t="s">
        <v>5487</v>
      </c>
      <c r="B5483">
        <v>0.99999676499088797</v>
      </c>
      <c r="C5483">
        <v>1.03740083199652</v>
      </c>
      <c r="D5483">
        <v>1.01706911120925</v>
      </c>
      <c r="E5483">
        <v>0.92681434468347601</v>
      </c>
      <c r="F5483">
        <v>0.96297345215275298</v>
      </c>
      <c r="G5483">
        <v>1.08965057203949</v>
      </c>
      <c r="H5483">
        <v>0.73364979325749902</v>
      </c>
      <c r="I5483">
        <v>0.772276777509875</v>
      </c>
      <c r="J5483">
        <v>0.66794671972128605</v>
      </c>
      <c r="K5483">
        <v>0.70520904065972401</v>
      </c>
      <c r="L5483">
        <v>15000</v>
      </c>
      <c r="M5483">
        <v>249.37719637485</v>
      </c>
      <c r="O5483">
        <v>60.145992197066597</v>
      </c>
      <c r="P5483">
        <v>-0.29526754597098598</v>
      </c>
      <c r="Q5483">
        <v>0.71514387847285299</v>
      </c>
      <c r="R5483">
        <v>0.89899506526276796</v>
      </c>
      <c r="S5483" t="s">
        <v>12486</v>
      </c>
      <c r="T5483" t="s">
        <v>14004</v>
      </c>
      <c r="U5483" t="s">
        <v>14004</v>
      </c>
      <c r="V5483" t="s">
        <v>14004</v>
      </c>
      <c r="W5483" t="s">
        <v>19432</v>
      </c>
      <c r="X5483">
        <v>2</v>
      </c>
      <c r="Y5483" t="s">
        <v>26234</v>
      </c>
      <c r="Z5483" t="s">
        <v>33193</v>
      </c>
      <c r="AA5483">
        <v>0.90650099985288568</v>
      </c>
      <c r="AB5483" t="str">
        <f>HYPERLINK("Melting_Curves/meltCurve_Q96QE2_SLC2A13.pdf", "Melting_Curves/meltCurve_Q96QE2_SLC2A13.pdf")</f>
        <v>Melting_Curves/meltCurve_Q96QE2_SLC2A13.pdf</v>
      </c>
    </row>
    <row r="5484" spans="1:28" x14ac:dyDescent="0.25">
      <c r="A5484" t="s">
        <v>5488</v>
      </c>
      <c r="B5484">
        <v>0.99999676499088797</v>
      </c>
      <c r="C5484">
        <v>0.90922933808572903</v>
      </c>
      <c r="D5484">
        <v>0.92135623581479098</v>
      </c>
      <c r="E5484">
        <v>0.85281656124647098</v>
      </c>
      <c r="F5484">
        <v>0.35517248691328601</v>
      </c>
      <c r="G5484">
        <v>0.18705609997803499</v>
      </c>
      <c r="H5484">
        <v>9.8459336079850496E-2</v>
      </c>
      <c r="I5484">
        <v>9.8962513539092106E-2</v>
      </c>
      <c r="J5484">
        <v>0.12885406509185399</v>
      </c>
      <c r="K5484">
        <v>8.5817993657685193E-2</v>
      </c>
      <c r="L5484">
        <v>1665.84124604568</v>
      </c>
      <c r="M5484">
        <v>32.151226417620599</v>
      </c>
      <c r="N5484">
        <v>52.196546202359698</v>
      </c>
      <c r="O5484">
        <v>51.613478973301604</v>
      </c>
      <c r="P5484">
        <v>-0.13933516488270201</v>
      </c>
      <c r="Q5484">
        <v>0.10528627086702</v>
      </c>
      <c r="R5484">
        <v>0.98950030523878496</v>
      </c>
      <c r="S5484" t="s">
        <v>12487</v>
      </c>
      <c r="T5484" t="s">
        <v>14004</v>
      </c>
      <c r="U5484" t="s">
        <v>14004</v>
      </c>
      <c r="V5484" t="s">
        <v>14004</v>
      </c>
      <c r="W5484" t="s">
        <v>19433</v>
      </c>
      <c r="X5484">
        <v>8</v>
      </c>
      <c r="Y5484" t="s">
        <v>26235</v>
      </c>
      <c r="Z5484" t="s">
        <v>33194</v>
      </c>
      <c r="AA5484">
        <v>0.4625503721289434</v>
      </c>
      <c r="AB5484" t="str">
        <f>HYPERLINK("Melting_Curves/meltCurve_Q96QF0_2_RAB3IP.pdf", "Melting_Curves/meltCurve_Q96QF0_2_RAB3IP.pdf")</f>
        <v>Melting_Curves/meltCurve_Q96QF0_2_RAB3IP.pdf</v>
      </c>
    </row>
    <row r="5485" spans="1:28" x14ac:dyDescent="0.25">
      <c r="A5485" t="s">
        <v>5489</v>
      </c>
      <c r="B5485">
        <v>0.99999676499088797</v>
      </c>
      <c r="C5485">
        <v>1.04157543387562</v>
      </c>
      <c r="D5485">
        <v>1.0896459628256301</v>
      </c>
      <c r="E5485">
        <v>1.1760566986666099</v>
      </c>
      <c r="F5485">
        <v>0.733042805905748</v>
      </c>
      <c r="G5485">
        <v>0.24590590580166699</v>
      </c>
      <c r="H5485">
        <v>0.114374733558915</v>
      </c>
      <c r="I5485">
        <v>0.100591944947388</v>
      </c>
      <c r="J5485">
        <v>9.23460898754076E-2</v>
      </c>
      <c r="K5485">
        <v>7.9494826278486405E-2</v>
      </c>
      <c r="L5485">
        <v>2395.4570925358698</v>
      </c>
      <c r="M5485">
        <v>44.007564986359597</v>
      </c>
      <c r="N5485">
        <v>54.703974242641003</v>
      </c>
      <c r="O5485">
        <v>54.320819579130401</v>
      </c>
      <c r="P5485">
        <v>-0.182691929948995</v>
      </c>
      <c r="Q5485">
        <v>9.7976984514121193E-2</v>
      </c>
      <c r="R5485">
        <v>0.97730822997401501</v>
      </c>
      <c r="S5485" t="s">
        <v>12488</v>
      </c>
      <c r="T5485" t="s">
        <v>14004</v>
      </c>
      <c r="U5485" t="s">
        <v>14004</v>
      </c>
      <c r="V5485" t="s">
        <v>14004</v>
      </c>
      <c r="W5485" t="s">
        <v>19434</v>
      </c>
      <c r="X5485">
        <v>33</v>
      </c>
      <c r="Y5485" t="s">
        <v>26236</v>
      </c>
      <c r="Z5485" t="s">
        <v>33195</v>
      </c>
      <c r="AA5485">
        <v>0.5347324081169148</v>
      </c>
      <c r="AB5485" t="str">
        <f>HYPERLINK("Melting_Curves/meltCurve_Q96QK1_VPS35.pdf", "Melting_Curves/meltCurve_Q96QK1_VPS35.pdf")</f>
        <v>Melting_Curves/meltCurve_Q96QK1_VPS35.pdf</v>
      </c>
    </row>
    <row r="5486" spans="1:28" x14ac:dyDescent="0.25">
      <c r="A5486" t="s">
        <v>5490</v>
      </c>
      <c r="B5486">
        <v>0.99999676499088797</v>
      </c>
      <c r="C5486">
        <v>1.0603772266318701</v>
      </c>
      <c r="D5486">
        <v>1.0587422488804401</v>
      </c>
      <c r="E5486">
        <v>0.82377203215768302</v>
      </c>
      <c r="F5486">
        <v>0.68443457732490098</v>
      </c>
      <c r="G5486">
        <v>0.69947418233605996</v>
      </c>
      <c r="H5486">
        <v>0.34822382281436398</v>
      </c>
      <c r="I5486">
        <v>0.191472734975319</v>
      </c>
      <c r="J5486">
        <v>0.14378603372918899</v>
      </c>
      <c r="K5486">
        <v>0.126158928472865</v>
      </c>
      <c r="L5486">
        <v>741.83266424770898</v>
      </c>
      <c r="M5486">
        <v>12.751633520996</v>
      </c>
      <c r="N5486">
        <v>58.175500680876802</v>
      </c>
      <c r="O5486">
        <v>56.800439141132003</v>
      </c>
      <c r="P5486">
        <v>-5.6135399442294599E-2</v>
      </c>
      <c r="Q5486">
        <v>0</v>
      </c>
      <c r="R5486">
        <v>0.96606003458678402</v>
      </c>
      <c r="S5486" t="s">
        <v>12489</v>
      </c>
      <c r="T5486" t="s">
        <v>14004</v>
      </c>
      <c r="U5486" t="s">
        <v>14004</v>
      </c>
      <c r="V5486" t="s">
        <v>14004</v>
      </c>
      <c r="W5486" t="s">
        <v>19435</v>
      </c>
      <c r="X5486">
        <v>6</v>
      </c>
      <c r="Y5486" t="s">
        <v>26237</v>
      </c>
      <c r="Z5486" t="s">
        <v>33196</v>
      </c>
      <c r="AA5486">
        <v>0.61832563149738984</v>
      </c>
      <c r="AB5486" t="str">
        <f>HYPERLINK("Melting_Curves/meltCurve_Q96QR8_PURB.pdf", "Melting_Curves/meltCurve_Q96QR8_PURB.pdf")</f>
        <v>Melting_Curves/meltCurve_Q96QR8_PURB.pdf</v>
      </c>
    </row>
    <row r="5487" spans="1:28" x14ac:dyDescent="0.25">
      <c r="A5487" t="s">
        <v>5491</v>
      </c>
      <c r="B5487">
        <v>0.99999676499088797</v>
      </c>
      <c r="C5487">
        <v>1.1141963920790301</v>
      </c>
      <c r="D5487">
        <v>0.99713675102205901</v>
      </c>
      <c r="E5487">
        <v>0.58562953714439703</v>
      </c>
      <c r="F5487">
        <v>0.50815442375002995</v>
      </c>
      <c r="G5487">
        <v>0.42708031696907101</v>
      </c>
      <c r="H5487">
        <v>0.37741096961290599</v>
      </c>
      <c r="I5487">
        <v>0.93737025272913999</v>
      </c>
      <c r="J5487">
        <v>2.6136525533250801</v>
      </c>
      <c r="K5487">
        <v>3.3468985738222998</v>
      </c>
      <c r="L5487">
        <v>15000</v>
      </c>
      <c r="M5487">
        <v>230.35133651651299</v>
      </c>
      <c r="O5487">
        <v>65.113011754610895</v>
      </c>
      <c r="P5487">
        <v>0.442214484453405</v>
      </c>
      <c r="Q5487">
        <v>1.5</v>
      </c>
      <c r="R5487">
        <v>0.34789076903683702</v>
      </c>
      <c r="S5487" t="s">
        <v>12490</v>
      </c>
      <c r="T5487" t="s">
        <v>14004</v>
      </c>
      <c r="U5487" t="s">
        <v>14004</v>
      </c>
      <c r="V5487" t="s">
        <v>14004</v>
      </c>
      <c r="W5487" t="s">
        <v>19436</v>
      </c>
      <c r="X5487">
        <v>2</v>
      </c>
      <c r="Y5487" t="s">
        <v>26238</v>
      </c>
      <c r="Z5487" t="s">
        <v>33197</v>
      </c>
      <c r="AA5487">
        <v>1.081300686697616</v>
      </c>
      <c r="AB5487" t="str">
        <f>HYPERLINK("Melting_Curves/meltCurve_Q96QV1_HHIP.pdf", "Melting_Curves/meltCurve_Q96QV1_HHIP.pdf")</f>
        <v>Melting_Curves/meltCurve_Q96QV1_HHIP.pdf</v>
      </c>
    </row>
    <row r="5488" spans="1:28" x14ac:dyDescent="0.25">
      <c r="A5488" t="s">
        <v>5492</v>
      </c>
      <c r="B5488">
        <v>0.99999676499088797</v>
      </c>
      <c r="C5488">
        <v>1.1087698373160499</v>
      </c>
      <c r="D5488">
        <v>1.0050638598170001</v>
      </c>
      <c r="E5488">
        <v>0.63813666868423102</v>
      </c>
      <c r="F5488">
        <v>0.52317891032189201</v>
      </c>
      <c r="G5488">
        <v>0.36288267670074997</v>
      </c>
      <c r="H5488">
        <v>0.193744998334409</v>
      </c>
      <c r="I5488">
        <v>0.16681268307236199</v>
      </c>
      <c r="J5488">
        <v>0.12756371533140801</v>
      </c>
      <c r="K5488">
        <v>5.7574783761440498E-2</v>
      </c>
      <c r="L5488">
        <v>802.16525246262199</v>
      </c>
      <c r="M5488">
        <v>15.1884081708682</v>
      </c>
      <c r="N5488">
        <v>53.464162488445901</v>
      </c>
      <c r="O5488">
        <v>51.924150014678702</v>
      </c>
      <c r="P5488">
        <v>-6.6970525730676495E-2</v>
      </c>
      <c r="Q5488">
        <v>8.4287685928643899E-2</v>
      </c>
      <c r="R5488">
        <v>0.96932136561271698</v>
      </c>
      <c r="S5488" t="s">
        <v>12491</v>
      </c>
      <c r="T5488" t="s">
        <v>14004</v>
      </c>
      <c r="U5488" t="s">
        <v>14004</v>
      </c>
      <c r="V5488" t="s">
        <v>14004</v>
      </c>
      <c r="W5488" t="s">
        <v>19437</v>
      </c>
      <c r="X5488">
        <v>4</v>
      </c>
      <c r="Y5488" t="s">
        <v>26239</v>
      </c>
      <c r="Z5488" t="s">
        <v>33198</v>
      </c>
      <c r="AA5488">
        <v>0.49493490320686617</v>
      </c>
      <c r="AB5488" t="str">
        <f>HYPERLINK("Melting_Curves/meltCurve_Q96QZ7_6_MAGI1.pdf", "Melting_Curves/meltCurve_Q96QZ7_6_MAGI1.pdf")</f>
        <v>Melting_Curves/meltCurve_Q96QZ7_6_MAGI1.pdf</v>
      </c>
    </row>
    <row r="5489" spans="1:28" x14ac:dyDescent="0.25">
      <c r="A5489" t="s">
        <v>5493</v>
      </c>
      <c r="B5489">
        <v>0.99999676499088797</v>
      </c>
      <c r="C5489">
        <v>0.765203450322406</v>
      </c>
      <c r="D5489">
        <v>0.47772919341454401</v>
      </c>
      <c r="E5489">
        <v>0.28369096608035499</v>
      </c>
      <c r="F5489">
        <v>0.220321250912656</v>
      </c>
      <c r="G5489">
        <v>0.16106075523803901</v>
      </c>
      <c r="H5489">
        <v>8.4353792170974801E-2</v>
      </c>
      <c r="I5489">
        <v>7.7082717081139202E-2</v>
      </c>
      <c r="J5489">
        <v>7.4787685878723295E-2</v>
      </c>
      <c r="K5489">
        <v>5.9045864335227301E-2</v>
      </c>
      <c r="L5489">
        <v>767.67279839851903</v>
      </c>
      <c r="M5489">
        <v>16.7910308635728</v>
      </c>
      <c r="N5489">
        <v>46.239036654882298</v>
      </c>
      <c r="O5489">
        <v>45.085506665566299</v>
      </c>
      <c r="P5489">
        <v>-8.5104059740201105E-2</v>
      </c>
      <c r="Q5489">
        <v>8.6009441013939605E-2</v>
      </c>
      <c r="R5489">
        <v>0.98543197896011903</v>
      </c>
      <c r="S5489" t="s">
        <v>12492</v>
      </c>
      <c r="T5489" t="s">
        <v>14004</v>
      </c>
      <c r="U5489" t="s">
        <v>14004</v>
      </c>
      <c r="V5489" t="s">
        <v>14004</v>
      </c>
      <c r="W5489" t="s">
        <v>19438</v>
      </c>
      <c r="X5489">
        <v>6</v>
      </c>
      <c r="Y5489" t="s">
        <v>26240</v>
      </c>
      <c r="Z5489" t="s">
        <v>33199</v>
      </c>
      <c r="AA5489">
        <v>0.28169052132755362</v>
      </c>
      <c r="AB5489" t="str">
        <f>HYPERLINK("Melting_Curves/meltCurve_Q96R06_SPAG5.pdf", "Melting_Curves/meltCurve_Q96R06_SPAG5.pdf")</f>
        <v>Melting_Curves/meltCurve_Q96R06_SPAG5.pdf</v>
      </c>
    </row>
    <row r="5490" spans="1:28" x14ac:dyDescent="0.25">
      <c r="A5490" t="s">
        <v>5494</v>
      </c>
      <c r="B5490">
        <v>0.99999676499088797</v>
      </c>
      <c r="C5490">
        <v>0.92380033939058703</v>
      </c>
      <c r="D5490">
        <v>0.98185566440512095</v>
      </c>
      <c r="E5490">
        <v>0.879959510078408</v>
      </c>
      <c r="F5490">
        <v>0.87019493565807504</v>
      </c>
      <c r="G5490">
        <v>0.73757138223415197</v>
      </c>
      <c r="H5490">
        <v>0.56384206323014896</v>
      </c>
      <c r="I5490">
        <v>0.53744625468994001</v>
      </c>
      <c r="J5490">
        <v>0.39196871713246001</v>
      </c>
      <c r="K5490">
        <v>0.50522078461081299</v>
      </c>
      <c r="L5490">
        <v>718.58533344379896</v>
      </c>
      <c r="M5490">
        <v>12.4936702657829</v>
      </c>
      <c r="N5490">
        <v>65.038567673278195</v>
      </c>
      <c r="O5490">
        <v>56.102041299754298</v>
      </c>
      <c r="P5490">
        <v>-3.44060234527402E-2</v>
      </c>
      <c r="Q5490">
        <v>0.38213485388413498</v>
      </c>
      <c r="R5490">
        <v>0.95559522422030097</v>
      </c>
      <c r="S5490" t="s">
        <v>12493</v>
      </c>
      <c r="T5490" t="s">
        <v>14004</v>
      </c>
      <c r="U5490" t="s">
        <v>14004</v>
      </c>
      <c r="V5490" t="s">
        <v>14004</v>
      </c>
      <c r="W5490" t="s">
        <v>19439</v>
      </c>
      <c r="X5490">
        <v>1</v>
      </c>
      <c r="Y5490" t="s">
        <v>26241</v>
      </c>
      <c r="Z5490" t="s">
        <v>33200</v>
      </c>
      <c r="AA5490">
        <v>0.75211699711723945</v>
      </c>
      <c r="AB5490" t="str">
        <f>HYPERLINK("Melting_Curves/meltCurve_Q96RD7_2_PANX1.pdf", "Melting_Curves/meltCurve_Q96RD7_2_PANX1.pdf")</f>
        <v>Melting_Curves/meltCurve_Q96RD7_2_PANX1.pdf</v>
      </c>
    </row>
    <row r="5491" spans="1:28" x14ac:dyDescent="0.25">
      <c r="A5491" t="s">
        <v>5495</v>
      </c>
      <c r="B5491">
        <v>0.99999676499088797</v>
      </c>
      <c r="C5491">
        <v>0.901231480864914</v>
      </c>
      <c r="D5491">
        <v>0.68503372169770904</v>
      </c>
      <c r="E5491">
        <v>0.32950307185496802</v>
      </c>
      <c r="F5491">
        <v>0.18002534473314799</v>
      </c>
      <c r="G5491">
        <v>0.10416185741406001</v>
      </c>
      <c r="H5491">
        <v>6.2864143318896601E-2</v>
      </c>
      <c r="I5491">
        <v>5.1145416347648499E-2</v>
      </c>
      <c r="J5491">
        <v>4.6503918738026402E-2</v>
      </c>
      <c r="K5491">
        <v>4.6118818820278601E-2</v>
      </c>
      <c r="L5491">
        <v>931.303091135567</v>
      </c>
      <c r="M5491">
        <v>19.562746727621199</v>
      </c>
      <c r="N5491">
        <v>47.869480014357897</v>
      </c>
      <c r="O5491">
        <v>47.116880903223198</v>
      </c>
      <c r="P5491">
        <v>-9.8503578014410995E-2</v>
      </c>
      <c r="Q5491">
        <v>5.1050419900338997E-2</v>
      </c>
      <c r="R5491">
        <v>0.99869022352164505</v>
      </c>
      <c r="S5491" t="s">
        <v>12494</v>
      </c>
      <c r="T5491" t="s">
        <v>14004</v>
      </c>
      <c r="U5491" t="s">
        <v>14004</v>
      </c>
      <c r="V5491" t="s">
        <v>14004</v>
      </c>
      <c r="W5491" t="s">
        <v>19440</v>
      </c>
      <c r="X5491">
        <v>7</v>
      </c>
      <c r="Y5491" t="s">
        <v>26242</v>
      </c>
      <c r="Z5491" t="s">
        <v>33201</v>
      </c>
      <c r="AA5491">
        <v>0.30591619008320531</v>
      </c>
      <c r="AB5491" t="str">
        <f>HYPERLINK("Melting_Curves/meltCurve_Q96RE7_NACC1.pdf", "Melting_Curves/meltCurve_Q96RE7_NACC1.pdf")</f>
        <v>Melting_Curves/meltCurve_Q96RE7_NACC1.pdf</v>
      </c>
    </row>
    <row r="5492" spans="1:28" x14ac:dyDescent="0.25">
      <c r="A5492" t="s">
        <v>5496</v>
      </c>
      <c r="B5492">
        <v>0.99999676499088797</v>
      </c>
      <c r="C5492">
        <v>1.0345718207146299</v>
      </c>
      <c r="D5492">
        <v>0.83284253327362001</v>
      </c>
      <c r="E5492">
        <v>0.487115974197322</v>
      </c>
      <c r="F5492">
        <v>0.35048230224974503</v>
      </c>
      <c r="G5492">
        <v>0.17604678695918799</v>
      </c>
      <c r="H5492">
        <v>9.83160842883401E-2</v>
      </c>
      <c r="I5492">
        <v>7.0823670435171598E-2</v>
      </c>
      <c r="J5492">
        <v>6.3398068637662994E-2</v>
      </c>
      <c r="K5492">
        <v>4.8297958042401001E-2</v>
      </c>
      <c r="L5492">
        <v>871.80479397317401</v>
      </c>
      <c r="M5492">
        <v>17.466605793969201</v>
      </c>
      <c r="N5492">
        <v>50.270020536932499</v>
      </c>
      <c r="O5492">
        <v>49.272195597267803</v>
      </c>
      <c r="P5492">
        <v>-8.3453549197529203E-2</v>
      </c>
      <c r="Q5492">
        <v>5.8383455963134101E-2</v>
      </c>
      <c r="R5492">
        <v>0.98916902263068196</v>
      </c>
      <c r="S5492" t="s">
        <v>12495</v>
      </c>
      <c r="T5492" t="s">
        <v>14004</v>
      </c>
      <c r="U5492" t="s">
        <v>14004</v>
      </c>
      <c r="V5492" t="s">
        <v>14004</v>
      </c>
      <c r="W5492" t="s">
        <v>19441</v>
      </c>
      <c r="X5492">
        <v>5</v>
      </c>
      <c r="Y5492" t="s">
        <v>26243</v>
      </c>
      <c r="Z5492" t="s">
        <v>33202</v>
      </c>
      <c r="AA5492">
        <v>0.38653563357780102</v>
      </c>
      <c r="AB5492" t="str">
        <f>HYPERLINK("Melting_Curves/meltCurve_Q96RG2_PASK.pdf", "Melting_Curves/meltCurve_Q96RG2_PASK.pdf")</f>
        <v>Melting_Curves/meltCurve_Q96RG2_PASK.pdf</v>
      </c>
    </row>
    <row r="5493" spans="1:28" x14ac:dyDescent="0.25">
      <c r="A5493" t="s">
        <v>5497</v>
      </c>
      <c r="B5493">
        <v>0.99999676499088797</v>
      </c>
      <c r="C5493">
        <v>0.90211145695571504</v>
      </c>
      <c r="D5493">
        <v>0.87534110115029196</v>
      </c>
      <c r="E5493">
        <v>0.84101190758732902</v>
      </c>
      <c r="F5493">
        <v>0.77845256921254502</v>
      </c>
      <c r="G5493">
        <v>0.357574022318566</v>
      </c>
      <c r="H5493">
        <v>0.117666831984629</v>
      </c>
      <c r="I5493">
        <v>7.6046912924990606E-2</v>
      </c>
      <c r="J5493">
        <v>6.5894600243619095E-2</v>
      </c>
      <c r="K5493">
        <v>7.8098631835605295E-2</v>
      </c>
      <c r="L5493">
        <v>1193.5198745473899</v>
      </c>
      <c r="M5493">
        <v>21.621756452221302</v>
      </c>
      <c r="N5493">
        <v>55.401742899728902</v>
      </c>
      <c r="O5493">
        <v>54.734294208470502</v>
      </c>
      <c r="P5493">
        <v>-9.5020234619113006E-2</v>
      </c>
      <c r="Q5493">
        <v>3.7869183083825503E-2</v>
      </c>
      <c r="R5493">
        <v>0.97484848033192495</v>
      </c>
      <c r="S5493" t="s">
        <v>12496</v>
      </c>
      <c r="T5493" t="s">
        <v>14004</v>
      </c>
      <c r="U5493" t="s">
        <v>14004</v>
      </c>
      <c r="V5493" t="s">
        <v>14004</v>
      </c>
      <c r="W5493" t="s">
        <v>19442</v>
      </c>
      <c r="X5493">
        <v>5</v>
      </c>
      <c r="Y5493" t="s">
        <v>26244</v>
      </c>
      <c r="Z5493" t="s">
        <v>33203</v>
      </c>
      <c r="AA5493">
        <v>0.5366607220011651</v>
      </c>
      <c r="AB5493" t="str">
        <f>HYPERLINK("Melting_Curves/meltCurve_Q96RL7_4_VPS13A.pdf", "Melting_Curves/meltCurve_Q96RL7_4_VPS13A.pdf")</f>
        <v>Melting_Curves/meltCurve_Q96RL7_4_VPS13A.pdf</v>
      </c>
    </row>
    <row r="5494" spans="1:28" x14ac:dyDescent="0.25">
      <c r="A5494" t="s">
        <v>5498</v>
      </c>
      <c r="B5494">
        <v>0.99999676499088797</v>
      </c>
      <c r="C5494">
        <v>0.94391010188384605</v>
      </c>
      <c r="D5494">
        <v>0.87315712799277401</v>
      </c>
      <c r="E5494">
        <v>0.70648808408795505</v>
      </c>
      <c r="F5494">
        <v>0.44070339778896001</v>
      </c>
      <c r="G5494">
        <v>0.24194535372807799</v>
      </c>
      <c r="H5494">
        <v>0.115512209862441</v>
      </c>
      <c r="I5494">
        <v>0.12054251583463201</v>
      </c>
      <c r="J5494">
        <v>0.12220170611886701</v>
      </c>
      <c r="K5494">
        <v>0.105270543305237</v>
      </c>
      <c r="L5494">
        <v>857.35169865285104</v>
      </c>
      <c r="M5494">
        <v>16.608810855107102</v>
      </c>
      <c r="N5494">
        <v>52.1925499578754</v>
      </c>
      <c r="O5494">
        <v>50.889374750480201</v>
      </c>
      <c r="P5494">
        <v>-7.4805819377270502E-2</v>
      </c>
      <c r="Q5494">
        <v>8.3242357523489505E-2</v>
      </c>
      <c r="R5494">
        <v>0.99737262705240404</v>
      </c>
      <c r="S5494" t="s">
        <v>12497</v>
      </c>
      <c r="T5494" t="s">
        <v>14004</v>
      </c>
      <c r="U5494" t="s">
        <v>14004</v>
      </c>
      <c r="V5494" t="s">
        <v>14004</v>
      </c>
      <c r="W5494" t="s">
        <v>19443</v>
      </c>
      <c r="X5494">
        <v>10</v>
      </c>
      <c r="Y5494" t="s">
        <v>26245</v>
      </c>
      <c r="Z5494" t="s">
        <v>33204</v>
      </c>
      <c r="AA5494">
        <v>0.45593402578060771</v>
      </c>
      <c r="AB5494" t="str">
        <f>HYPERLINK("Melting_Curves/meltCurve_Q96RN5_3_MED15.pdf", "Melting_Curves/meltCurve_Q96RN5_3_MED15.pdf")</f>
        <v>Melting_Curves/meltCurve_Q96RN5_3_MED15.pdf</v>
      </c>
    </row>
    <row r="5495" spans="1:28" x14ac:dyDescent="0.25">
      <c r="A5495" t="s">
        <v>5499</v>
      </c>
      <c r="B5495">
        <v>0.99999676499088797</v>
      </c>
      <c r="C5495">
        <v>1.0047121829591099</v>
      </c>
      <c r="D5495">
        <v>0.98516661173935505</v>
      </c>
      <c r="E5495">
        <v>0.78747581320182802</v>
      </c>
      <c r="F5495">
        <v>0.21603389059025099</v>
      </c>
      <c r="G5495">
        <v>0.171564298828594</v>
      </c>
      <c r="H5495">
        <v>7.6384264246207006E-2</v>
      </c>
      <c r="I5495">
        <v>6.7438381508447401E-2</v>
      </c>
      <c r="J5495">
        <v>5.8597477213811401E-2</v>
      </c>
      <c r="K5495">
        <v>4.9224295578828799E-2</v>
      </c>
      <c r="L5495">
        <v>2017.77322386114</v>
      </c>
      <c r="M5495">
        <v>39.5168138771771</v>
      </c>
      <c r="N5495">
        <v>51.2809481491811</v>
      </c>
      <c r="O5495">
        <v>50.930893418646498</v>
      </c>
      <c r="P5495">
        <v>-0.178861207208455</v>
      </c>
      <c r="Q5495">
        <v>7.7907313145832102E-2</v>
      </c>
      <c r="R5495">
        <v>0.99560049697717901</v>
      </c>
      <c r="S5495" t="s">
        <v>12498</v>
      </c>
      <c r="T5495" t="s">
        <v>14004</v>
      </c>
      <c r="U5495" t="s">
        <v>14004</v>
      </c>
      <c r="V5495" t="s">
        <v>14004</v>
      </c>
      <c r="W5495" t="s">
        <v>19444</v>
      </c>
      <c r="X5495">
        <v>20</v>
      </c>
      <c r="Y5495" t="s">
        <v>26246</v>
      </c>
      <c r="Z5495" t="s">
        <v>33205</v>
      </c>
      <c r="AA5495">
        <v>0.42122180289032157</v>
      </c>
      <c r="AB5495" t="str">
        <f>HYPERLINK("Melting_Curves/meltCurve_Q96RP9_GFM1.pdf", "Melting_Curves/meltCurve_Q96RP9_GFM1.pdf")</f>
        <v>Melting_Curves/meltCurve_Q96RP9_GFM1.pdf</v>
      </c>
    </row>
    <row r="5496" spans="1:28" x14ac:dyDescent="0.25">
      <c r="A5496" t="s">
        <v>5500</v>
      </c>
      <c r="B5496">
        <v>0.99999676499088797</v>
      </c>
      <c r="C5496">
        <v>0.80415554328445704</v>
      </c>
      <c r="D5496">
        <v>0.77126864755981195</v>
      </c>
      <c r="E5496">
        <v>0.53872055242809802</v>
      </c>
      <c r="F5496">
        <v>0.33206945333778198</v>
      </c>
      <c r="G5496">
        <v>0.16269104963828401</v>
      </c>
      <c r="H5496">
        <v>6.4305969659673098E-2</v>
      </c>
      <c r="I5496">
        <v>9.3082951038714307E-2</v>
      </c>
      <c r="J5496">
        <v>0.10869139198566399</v>
      </c>
      <c r="K5496">
        <v>9.3372151647692095E-2</v>
      </c>
      <c r="L5496">
        <v>661.90782807516302</v>
      </c>
      <c r="M5496">
        <v>13.3804848687929</v>
      </c>
      <c r="N5496">
        <v>49.852861150607097</v>
      </c>
      <c r="O5496">
        <v>48.4024098047717</v>
      </c>
      <c r="P5496">
        <v>-6.5730982673420105E-2</v>
      </c>
      <c r="Q5496">
        <v>4.90521374591429E-2</v>
      </c>
      <c r="R5496">
        <v>0.98546979339616803</v>
      </c>
      <c r="S5496" t="s">
        <v>12499</v>
      </c>
      <c r="T5496" t="s">
        <v>14004</v>
      </c>
      <c r="U5496" t="s">
        <v>14004</v>
      </c>
      <c r="V5496" t="s">
        <v>14004</v>
      </c>
      <c r="W5496" t="s">
        <v>19445</v>
      </c>
      <c r="X5496">
        <v>2</v>
      </c>
      <c r="Y5496" t="s">
        <v>26247</v>
      </c>
      <c r="Z5496" t="s">
        <v>33206</v>
      </c>
      <c r="AA5496">
        <v>0.37747021439378908</v>
      </c>
      <c r="AB5496" t="str">
        <f>HYPERLINK("Melting_Curves/meltCurve_Q96RR1_PEO1.pdf", "Melting_Curves/meltCurve_Q96RR1_PEO1.pdf")</f>
        <v>Melting_Curves/meltCurve_Q96RR1_PEO1.pdf</v>
      </c>
    </row>
    <row r="5497" spans="1:28" x14ac:dyDescent="0.25">
      <c r="A5497" t="s">
        <v>5501</v>
      </c>
      <c r="B5497">
        <v>0.99999676499088797</v>
      </c>
      <c r="C5497">
        <v>0.96785101766794801</v>
      </c>
      <c r="D5497">
        <v>0.80094251602335298</v>
      </c>
      <c r="E5497">
        <v>0.58608767403844397</v>
      </c>
      <c r="F5497">
        <v>0.30396113760973298</v>
      </c>
      <c r="G5497">
        <v>0.189892337300508</v>
      </c>
      <c r="H5497">
        <v>8.3721800472506894E-2</v>
      </c>
      <c r="I5497">
        <v>8.6426772632988605E-2</v>
      </c>
      <c r="J5497">
        <v>6.9067562885460704E-2</v>
      </c>
      <c r="K5497">
        <v>5.10652076602695E-2</v>
      </c>
      <c r="L5497">
        <v>823.77835966308396</v>
      </c>
      <c r="M5497">
        <v>16.4140413356997</v>
      </c>
      <c r="N5497">
        <v>50.508213804628603</v>
      </c>
      <c r="O5497">
        <v>49.460230163860601</v>
      </c>
      <c r="P5497">
        <v>-7.8864592100478595E-2</v>
      </c>
      <c r="Q5497">
        <v>4.9500587626929597E-2</v>
      </c>
      <c r="R5497">
        <v>0.99809790277627997</v>
      </c>
      <c r="S5497" t="s">
        <v>12500</v>
      </c>
      <c r="T5497" t="s">
        <v>14004</v>
      </c>
      <c r="U5497" t="s">
        <v>14004</v>
      </c>
      <c r="V5497" t="s">
        <v>14004</v>
      </c>
      <c r="W5497" t="s">
        <v>19446</v>
      </c>
      <c r="X5497">
        <v>6</v>
      </c>
      <c r="Y5497" t="s">
        <v>26248</v>
      </c>
      <c r="Z5497" t="s">
        <v>33207</v>
      </c>
      <c r="AA5497">
        <v>0.39145386238588209</v>
      </c>
      <c r="AB5497" t="str">
        <f>HYPERLINK("Melting_Curves/meltCurve_Q96RR4_2_CAMKK2.pdf", "Melting_Curves/meltCurve_Q96RR4_2_CAMKK2.pdf")</f>
        <v>Melting_Curves/meltCurve_Q96RR4_2_CAMKK2.pdf</v>
      </c>
    </row>
    <row r="5498" spans="1:28" x14ac:dyDescent="0.25">
      <c r="A5498" t="s">
        <v>5502</v>
      </c>
      <c r="B5498">
        <v>0.99999676499088797</v>
      </c>
      <c r="C5498">
        <v>0.73018483511740895</v>
      </c>
      <c r="D5498">
        <v>0.477830908873003</v>
      </c>
      <c r="E5498">
        <v>0.37416670757749698</v>
      </c>
      <c r="F5498">
        <v>0.336194056098095</v>
      </c>
      <c r="G5498">
        <v>0.23242710974753999</v>
      </c>
      <c r="H5498">
        <v>0.12930433366715799</v>
      </c>
      <c r="I5498">
        <v>7.1994009268162407E-2</v>
      </c>
      <c r="J5498">
        <v>5.3301489436772299E-2</v>
      </c>
      <c r="K5498">
        <v>3.5053104465447599E-2</v>
      </c>
      <c r="L5498">
        <v>489.573574934948</v>
      </c>
      <c r="M5498">
        <v>10.3783752929183</v>
      </c>
      <c r="N5498">
        <v>47.488426198183603</v>
      </c>
      <c r="O5498">
        <v>45.521870193051001</v>
      </c>
      <c r="P5498">
        <v>-5.5118469189661297E-2</v>
      </c>
      <c r="Q5498">
        <v>3.3359808952519103E-2</v>
      </c>
      <c r="R5498">
        <v>0.957217908808629</v>
      </c>
      <c r="S5498" t="s">
        <v>12501</v>
      </c>
      <c r="T5498" t="s">
        <v>14004</v>
      </c>
      <c r="U5498" t="s">
        <v>14004</v>
      </c>
      <c r="V5498" t="s">
        <v>14004</v>
      </c>
      <c r="W5498" t="s">
        <v>19447</v>
      </c>
      <c r="X5498">
        <v>3</v>
      </c>
      <c r="Y5498" t="s">
        <v>26249</v>
      </c>
      <c r="Z5498" t="s">
        <v>33208</v>
      </c>
      <c r="AA5498">
        <v>0.31600870971615119</v>
      </c>
      <c r="AB5498" t="str">
        <f>HYPERLINK("Melting_Curves/meltCurve_Q96RS0_TGS1.pdf", "Melting_Curves/meltCurve_Q96RS0_TGS1.pdf")</f>
        <v>Melting_Curves/meltCurve_Q96RS0_TGS1.pdf</v>
      </c>
    </row>
    <row r="5499" spans="1:28" x14ac:dyDescent="0.25">
      <c r="A5499" t="s">
        <v>5503</v>
      </c>
      <c r="B5499">
        <v>0.99999676499088797</v>
      </c>
      <c r="C5499">
        <v>0.83517150238251903</v>
      </c>
      <c r="D5499">
        <v>0.823240516505932</v>
      </c>
      <c r="E5499">
        <v>0.81128263785949195</v>
      </c>
      <c r="F5499">
        <v>0.43131510625283798</v>
      </c>
      <c r="G5499">
        <v>0.20599337171996801</v>
      </c>
      <c r="H5499">
        <v>0.133723161868298</v>
      </c>
      <c r="I5499">
        <v>8.4478105014824001E-2</v>
      </c>
      <c r="J5499">
        <v>7.7617124102613802E-2</v>
      </c>
      <c r="K5499">
        <v>7.5124698730685405E-2</v>
      </c>
      <c r="L5499">
        <v>798.70907462458001</v>
      </c>
      <c r="M5499">
        <v>15.2978744567222</v>
      </c>
      <c r="N5499">
        <v>52.461401537275698</v>
      </c>
      <c r="O5499">
        <v>51.3426859009178</v>
      </c>
      <c r="P5499">
        <v>-7.1867746683081601E-2</v>
      </c>
      <c r="Q5499">
        <v>3.52808843416531E-2</v>
      </c>
      <c r="R5499">
        <v>0.971434232265314</v>
      </c>
      <c r="S5499" t="s">
        <v>12502</v>
      </c>
      <c r="T5499" t="s">
        <v>14004</v>
      </c>
      <c r="U5499" t="s">
        <v>14004</v>
      </c>
      <c r="V5499" t="s">
        <v>14004</v>
      </c>
      <c r="W5499" t="s">
        <v>19448</v>
      </c>
      <c r="X5499">
        <v>16</v>
      </c>
      <c r="Y5499" t="s">
        <v>26250</v>
      </c>
      <c r="Z5499" t="s">
        <v>33209</v>
      </c>
      <c r="AA5499">
        <v>0.44871703354141201</v>
      </c>
      <c r="AB5499" t="str">
        <f>HYPERLINK("Melting_Curves/meltCurve_Q96RS6_NUDCD1.pdf", "Melting_Curves/meltCurve_Q96RS6_NUDCD1.pdf")</f>
        <v>Melting_Curves/meltCurve_Q96RS6_NUDCD1.pdf</v>
      </c>
    </row>
    <row r="5500" spans="1:28" x14ac:dyDescent="0.25">
      <c r="A5500" t="s">
        <v>5504</v>
      </c>
      <c r="B5500">
        <v>0.99999676499088797</v>
      </c>
      <c r="C5500">
        <v>0.89823864469468695</v>
      </c>
      <c r="D5500">
        <v>0.75330978950734295</v>
      </c>
      <c r="E5500">
        <v>0.50190973087081403</v>
      </c>
      <c r="F5500">
        <v>0.56859164650163696</v>
      </c>
      <c r="G5500">
        <v>0.227158674577424</v>
      </c>
      <c r="H5500">
        <v>0.115348735246377</v>
      </c>
      <c r="I5500">
        <v>9.4929975647237805E-2</v>
      </c>
      <c r="J5500">
        <v>0.130861466909581</v>
      </c>
      <c r="K5500">
        <v>0.12852580403947</v>
      </c>
      <c r="L5500">
        <v>562.74250383848096</v>
      </c>
      <c r="M5500">
        <v>11.064276249640599</v>
      </c>
      <c r="N5500">
        <v>51.284842157135898</v>
      </c>
      <c r="O5500">
        <v>49.284526336906197</v>
      </c>
      <c r="P5500">
        <v>-5.3691191615938702E-2</v>
      </c>
      <c r="Q5500">
        <v>4.3671240160199E-2</v>
      </c>
      <c r="R5500">
        <v>0.95865948025544101</v>
      </c>
      <c r="S5500" t="s">
        <v>12503</v>
      </c>
      <c r="T5500" t="s">
        <v>14004</v>
      </c>
      <c r="U5500" t="s">
        <v>14004</v>
      </c>
      <c r="V5500" t="s">
        <v>14004</v>
      </c>
      <c r="W5500" t="s">
        <v>19449</v>
      </c>
      <c r="X5500">
        <v>11</v>
      </c>
      <c r="Y5500" t="s">
        <v>26251</v>
      </c>
      <c r="Z5500" t="s">
        <v>33210</v>
      </c>
      <c r="AA5500">
        <v>0.42516083410212352</v>
      </c>
      <c r="AB5500" t="str">
        <f>HYPERLINK("Melting_Curves/meltCurve_Q96RT1_7_ERBB2IP.pdf", "Melting_Curves/meltCurve_Q96RT1_7_ERBB2IP.pdf")</f>
        <v>Melting_Curves/meltCurve_Q96RT1_7_ERBB2IP.pdf</v>
      </c>
    </row>
    <row r="5501" spans="1:28" x14ac:dyDescent="0.25">
      <c r="A5501" t="s">
        <v>5505</v>
      </c>
      <c r="B5501">
        <v>0.99999676499088797</v>
      </c>
      <c r="C5501">
        <v>0.99031389814974602</v>
      </c>
      <c r="D5501">
        <v>0.93059161377509303</v>
      </c>
      <c r="E5501">
        <v>0.58280665137022702</v>
      </c>
      <c r="F5501">
        <v>0.205840367965552</v>
      </c>
      <c r="G5501">
        <v>0.13377931234078899</v>
      </c>
      <c r="H5501">
        <v>6.6984317456832698E-2</v>
      </c>
      <c r="I5501">
        <v>8.1817229880256595E-2</v>
      </c>
      <c r="J5501">
        <v>7.5137875442450194E-2</v>
      </c>
      <c r="K5501">
        <v>7.5770658910199101E-2</v>
      </c>
      <c r="L5501">
        <v>1430.20140331831</v>
      </c>
      <c r="M5501">
        <v>28.643436941068</v>
      </c>
      <c r="N5501">
        <v>50.229026457762401</v>
      </c>
      <c r="O5501">
        <v>49.689734179632197</v>
      </c>
      <c r="P5501">
        <v>-0.13285800959359301</v>
      </c>
      <c r="Q5501">
        <v>7.8095639032813705E-2</v>
      </c>
      <c r="R5501">
        <v>0.99926500813188701</v>
      </c>
      <c r="S5501" t="s">
        <v>12504</v>
      </c>
      <c r="T5501" t="s">
        <v>14004</v>
      </c>
      <c r="U5501" t="s">
        <v>14004</v>
      </c>
      <c r="V5501" t="s">
        <v>14004</v>
      </c>
      <c r="W5501" t="s">
        <v>19450</v>
      </c>
      <c r="X5501">
        <v>8</v>
      </c>
      <c r="Y5501" t="s">
        <v>26252</v>
      </c>
      <c r="Z5501" t="s">
        <v>33211</v>
      </c>
      <c r="AA5501">
        <v>0.38953835233715239</v>
      </c>
      <c r="AB5501" t="str">
        <f>HYPERLINK("Melting_Curves/meltCurve_Q96S19_C16orf13.pdf", "Melting_Curves/meltCurve_Q96S19_C16orf13.pdf")</f>
        <v>Melting_Curves/meltCurve_Q96S19_C16orf13.pdf</v>
      </c>
    </row>
    <row r="5502" spans="1:28" x14ac:dyDescent="0.25">
      <c r="A5502" t="s">
        <v>5506</v>
      </c>
      <c r="B5502">
        <v>0.99999676499088797</v>
      </c>
      <c r="C5502">
        <v>1.0225793450101699</v>
      </c>
      <c r="D5502">
        <v>1.1037245509906199</v>
      </c>
      <c r="E5502">
        <v>1.3779730312534599</v>
      </c>
      <c r="F5502">
        <v>1.1515714752846</v>
      </c>
      <c r="G5502">
        <v>0.83157395436225301</v>
      </c>
      <c r="H5502">
        <v>0.25426746813237899</v>
      </c>
      <c r="I5502">
        <v>0.117089455003583</v>
      </c>
      <c r="J5502">
        <v>8.6761144995546699E-2</v>
      </c>
      <c r="K5502">
        <v>7.9595224143196405E-2</v>
      </c>
      <c r="L5502">
        <v>2745.11319941687</v>
      </c>
      <c r="M5502">
        <v>46.707816697213801</v>
      </c>
      <c r="N5502">
        <v>59.017403739524397</v>
      </c>
      <c r="O5502">
        <v>58.664604408602301</v>
      </c>
      <c r="P5502">
        <v>-0.18148012779471601</v>
      </c>
      <c r="Q5502">
        <v>8.8251355316944502E-2</v>
      </c>
      <c r="R5502">
        <v>0.92303049698662798</v>
      </c>
      <c r="S5502" t="s">
        <v>12505</v>
      </c>
      <c r="T5502" t="s">
        <v>14004</v>
      </c>
      <c r="U5502" t="s">
        <v>14004</v>
      </c>
      <c r="V5502" t="s">
        <v>14004</v>
      </c>
      <c r="W5502" t="s">
        <v>19451</v>
      </c>
      <c r="X5502">
        <v>6</v>
      </c>
      <c r="Y5502" t="s">
        <v>26253</v>
      </c>
      <c r="Z5502" t="s">
        <v>33212</v>
      </c>
      <c r="AA5502">
        <v>0.66144272253580871</v>
      </c>
      <c r="AB5502" t="str">
        <f>HYPERLINK("Melting_Curves/meltCurve_Q96S44_TP53RK.pdf", "Melting_Curves/meltCurve_Q96S44_TP53RK.pdf")</f>
        <v>Melting_Curves/meltCurve_Q96S44_TP53RK.pdf</v>
      </c>
    </row>
    <row r="5503" spans="1:28" x14ac:dyDescent="0.25">
      <c r="A5503" t="s">
        <v>5507</v>
      </c>
      <c r="B5503">
        <v>0.99999676499088797</v>
      </c>
      <c r="C5503">
        <v>0.77886105140849604</v>
      </c>
      <c r="D5503">
        <v>0.88391662368205304</v>
      </c>
      <c r="E5503">
        <v>0.86320999484802696</v>
      </c>
      <c r="F5503">
        <v>0.29206062656264398</v>
      </c>
      <c r="G5503">
        <v>0.21070520808707</v>
      </c>
      <c r="H5503">
        <v>9.2929531984503905E-2</v>
      </c>
      <c r="I5503">
        <v>0.13074291068355501</v>
      </c>
      <c r="J5503">
        <v>0.16069697926856399</v>
      </c>
      <c r="K5503">
        <v>0.109999153115763</v>
      </c>
      <c r="L5503">
        <v>2100.6148873564398</v>
      </c>
      <c r="M5503">
        <v>40.842857478105202</v>
      </c>
      <c r="N5503">
        <v>51.82852525837</v>
      </c>
      <c r="O5503">
        <v>51.3087983530515</v>
      </c>
      <c r="P5503">
        <v>-0.17228238914733399</v>
      </c>
      <c r="Q5503">
        <v>0.134283358164836</v>
      </c>
      <c r="R5503">
        <v>0.94685064102230398</v>
      </c>
      <c r="S5503" t="s">
        <v>12506</v>
      </c>
      <c r="T5503" t="s">
        <v>14004</v>
      </c>
      <c r="U5503" t="s">
        <v>14004</v>
      </c>
      <c r="V5503" t="s">
        <v>14004</v>
      </c>
      <c r="W5503" t="s">
        <v>19452</v>
      </c>
      <c r="X5503">
        <v>4</v>
      </c>
      <c r="Y5503" t="s">
        <v>26254</v>
      </c>
      <c r="Z5503" t="s">
        <v>33213</v>
      </c>
      <c r="AA5503">
        <v>0.46711907077777781</v>
      </c>
      <c r="AB5503" t="str">
        <f>HYPERLINK("Melting_Curves/meltCurve_Q96S52_PIGS.pdf", "Melting_Curves/meltCurve_Q96S52_PIGS.pdf")</f>
        <v>Melting_Curves/meltCurve_Q96S52_PIGS.pdf</v>
      </c>
    </row>
    <row r="5504" spans="1:28" x14ac:dyDescent="0.25">
      <c r="A5504" t="s">
        <v>5508</v>
      </c>
      <c r="B5504">
        <v>0.99999676499088797</v>
      </c>
      <c r="C5504">
        <v>1.03688769484099</v>
      </c>
      <c r="D5504">
        <v>0.79167545172185505</v>
      </c>
      <c r="E5504">
        <v>0.41007587574680798</v>
      </c>
      <c r="F5504">
        <v>0.28053271835017002</v>
      </c>
      <c r="G5504">
        <v>0.189486890778018</v>
      </c>
      <c r="H5504">
        <v>0.100338978782876</v>
      </c>
      <c r="I5504">
        <v>0.11847403136962199</v>
      </c>
      <c r="J5504">
        <v>0.111400871773624</v>
      </c>
      <c r="K5504">
        <v>8.4967462839640406E-2</v>
      </c>
      <c r="L5504">
        <v>1085.89466021824</v>
      </c>
      <c r="M5504">
        <v>22.382975105065299</v>
      </c>
      <c r="N5504">
        <v>49.094280717666201</v>
      </c>
      <c r="O5504">
        <v>48.132067465222597</v>
      </c>
      <c r="P5504">
        <v>-0.102754181679309</v>
      </c>
      <c r="Q5504">
        <v>0.11617359975808</v>
      </c>
      <c r="R5504">
        <v>0.98862909853646996</v>
      </c>
      <c r="S5504" t="s">
        <v>12507</v>
      </c>
      <c r="T5504" t="s">
        <v>14004</v>
      </c>
      <c r="U5504" t="s">
        <v>14004</v>
      </c>
      <c r="V5504" t="s">
        <v>14004</v>
      </c>
      <c r="W5504" t="s">
        <v>19453</v>
      </c>
      <c r="X5504">
        <v>9</v>
      </c>
      <c r="Y5504" t="s">
        <v>26255</v>
      </c>
      <c r="Z5504" t="s">
        <v>33214</v>
      </c>
      <c r="AA5504">
        <v>0.37685901031127422</v>
      </c>
      <c r="AB5504" t="str">
        <f>HYPERLINK("Melting_Curves/meltCurve_Q96S55_2_WRNIP1.pdf", "Melting_Curves/meltCurve_Q96S55_2_WRNIP1.pdf")</f>
        <v>Melting_Curves/meltCurve_Q96S55_2_WRNIP1.pdf</v>
      </c>
    </row>
    <row r="5505" spans="1:28" x14ac:dyDescent="0.25">
      <c r="A5505" t="s">
        <v>5509</v>
      </c>
      <c r="B5505">
        <v>0.99999676499088797</v>
      </c>
      <c r="C5505">
        <v>1.08821841058626</v>
      </c>
      <c r="D5505">
        <v>1.0551571115618701</v>
      </c>
      <c r="E5505">
        <v>1.0184265501063601</v>
      </c>
      <c r="F5505">
        <v>0.59445197024196095</v>
      </c>
      <c r="G5505">
        <v>0.31478131426892603</v>
      </c>
      <c r="H5505">
        <v>0.14946139340828599</v>
      </c>
      <c r="I5505">
        <v>0.11568177782134501</v>
      </c>
      <c r="J5505">
        <v>0.104368051156988</v>
      </c>
      <c r="K5505">
        <v>8.6250394230334398E-2</v>
      </c>
      <c r="L5505">
        <v>1602.3500131163</v>
      </c>
      <c r="M5505">
        <v>29.703709398977999</v>
      </c>
      <c r="N5505">
        <v>54.392199069148297</v>
      </c>
      <c r="O5505">
        <v>53.701713426477497</v>
      </c>
      <c r="P5505">
        <v>-0.123283810588033</v>
      </c>
      <c r="Q5505">
        <v>0.108460574541699</v>
      </c>
      <c r="R5505">
        <v>0.987102778756906</v>
      </c>
      <c r="S5505" t="s">
        <v>12508</v>
      </c>
      <c r="T5505" t="s">
        <v>14004</v>
      </c>
      <c r="U5505" t="s">
        <v>14004</v>
      </c>
      <c r="V5505" t="s">
        <v>14004</v>
      </c>
      <c r="W5505" t="s">
        <v>19454</v>
      </c>
      <c r="X5505">
        <v>14</v>
      </c>
      <c r="Y5505" t="s">
        <v>26256</v>
      </c>
      <c r="Z5505" t="s">
        <v>33215</v>
      </c>
      <c r="AA5505">
        <v>0.52882684346096565</v>
      </c>
      <c r="AB5505" t="str">
        <f>HYPERLINK("Melting_Curves/meltCurve_Q96S59_RANBP9.pdf", "Melting_Curves/meltCurve_Q96S59_RANBP9.pdf")</f>
        <v>Melting_Curves/meltCurve_Q96S59_RANBP9.pdf</v>
      </c>
    </row>
    <row r="5506" spans="1:28" x14ac:dyDescent="0.25">
      <c r="A5506" t="s">
        <v>5510</v>
      </c>
      <c r="B5506">
        <v>0.99999676499088797</v>
      </c>
      <c r="C5506">
        <v>0.95776339857579196</v>
      </c>
      <c r="D5506">
        <v>0.998862901727396</v>
      </c>
      <c r="E5506">
        <v>1.0217842664908201</v>
      </c>
      <c r="F5506">
        <v>0.73584995855362501</v>
      </c>
      <c r="G5506">
        <v>0.508036679433578</v>
      </c>
      <c r="H5506">
        <v>0.28089589961605599</v>
      </c>
      <c r="I5506">
        <v>0.22590899327334801</v>
      </c>
      <c r="J5506">
        <v>0.19930510982020799</v>
      </c>
      <c r="K5506">
        <v>0.21658928573025699</v>
      </c>
      <c r="L5506">
        <v>1320.64165507598</v>
      </c>
      <c r="M5506">
        <v>23.8505196617986</v>
      </c>
      <c r="N5506">
        <v>56.578704100126103</v>
      </c>
      <c r="O5506">
        <v>54.986737564075398</v>
      </c>
      <c r="P5506">
        <v>-8.6816045779329498E-2</v>
      </c>
      <c r="Q5506">
        <v>0.199404451238611</v>
      </c>
      <c r="R5506">
        <v>0.99215528173253598</v>
      </c>
      <c r="S5506" t="s">
        <v>12509</v>
      </c>
      <c r="T5506" t="s">
        <v>14004</v>
      </c>
      <c r="U5506" t="s">
        <v>14004</v>
      </c>
      <c r="V5506" t="s">
        <v>14004</v>
      </c>
      <c r="W5506" t="s">
        <v>19455</v>
      </c>
      <c r="X5506">
        <v>11</v>
      </c>
      <c r="Y5506" t="s">
        <v>26257</v>
      </c>
      <c r="Z5506" t="s">
        <v>33216</v>
      </c>
      <c r="AA5506">
        <v>0.61762668657824038</v>
      </c>
      <c r="AB5506" t="str">
        <f>HYPERLINK("Melting_Curves/meltCurve_Q96S66_CLCC1.pdf", "Melting_Curves/meltCurve_Q96S66_CLCC1.pdf")</f>
        <v>Melting_Curves/meltCurve_Q96S66_CLCC1.pdf</v>
      </c>
    </row>
    <row r="5507" spans="1:28" x14ac:dyDescent="0.25">
      <c r="A5507" t="s">
        <v>5511</v>
      </c>
      <c r="B5507">
        <v>0.99999676499088797</v>
      </c>
      <c r="C5507">
        <v>0.97905602835050498</v>
      </c>
      <c r="D5507">
        <v>0.93977103361678405</v>
      </c>
      <c r="E5507">
        <v>0.64866644618463398</v>
      </c>
      <c r="F5507">
        <v>0.33884882723606002</v>
      </c>
      <c r="G5507">
        <v>0.20295670901100099</v>
      </c>
      <c r="H5507">
        <v>0.13812350495597001</v>
      </c>
      <c r="I5507">
        <v>0.14939802431094801</v>
      </c>
      <c r="J5507">
        <v>0.158483265125102</v>
      </c>
      <c r="K5507">
        <v>0.15073771312680401</v>
      </c>
      <c r="L5507">
        <v>1234.0468115993699</v>
      </c>
      <c r="M5507">
        <v>24.477273114427401</v>
      </c>
      <c r="N5507">
        <v>51.138547915754998</v>
      </c>
      <c r="O5507">
        <v>50.083135648324998</v>
      </c>
      <c r="P5507">
        <v>-0.10432343575016401</v>
      </c>
      <c r="Q5507">
        <v>0.14618463250701</v>
      </c>
      <c r="R5507">
        <v>0.99921452786639597</v>
      </c>
      <c r="S5507" t="s">
        <v>12510</v>
      </c>
      <c r="T5507" t="s">
        <v>14004</v>
      </c>
      <c r="U5507" t="s">
        <v>14004</v>
      </c>
      <c r="V5507" t="s">
        <v>14004</v>
      </c>
      <c r="W5507" t="s">
        <v>19456</v>
      </c>
      <c r="X5507">
        <v>4</v>
      </c>
      <c r="Y5507" t="s">
        <v>26258</v>
      </c>
      <c r="Z5507" t="s">
        <v>33217</v>
      </c>
      <c r="AA5507">
        <v>0.45062371959582842</v>
      </c>
      <c r="AB5507" t="str">
        <f>HYPERLINK("Melting_Curves/meltCurve_Q96S82_UBL7.pdf", "Melting_Curves/meltCurve_Q96S82_UBL7.pdf")</f>
        <v>Melting_Curves/meltCurve_Q96S82_UBL7.pdf</v>
      </c>
    </row>
    <row r="5508" spans="1:28" x14ac:dyDescent="0.25">
      <c r="A5508" t="s">
        <v>5512</v>
      </c>
      <c r="B5508">
        <v>0.99999676499088797</v>
      </c>
      <c r="C5508">
        <v>0.72154753545388095</v>
      </c>
      <c r="D5508">
        <v>0.55979625497295904</v>
      </c>
      <c r="E5508">
        <v>0.36829423208670098</v>
      </c>
      <c r="F5508">
        <v>0.16725742386405701</v>
      </c>
      <c r="G5508">
        <v>0.13306832934732701</v>
      </c>
      <c r="H5508">
        <v>7.3826173265229306E-2</v>
      </c>
      <c r="I5508">
        <v>9.4936619240503006E-2</v>
      </c>
      <c r="J5508">
        <v>0.111638249048459</v>
      </c>
      <c r="K5508">
        <v>0.13906765286098399</v>
      </c>
      <c r="L5508">
        <v>718.21401969561305</v>
      </c>
      <c r="M5508">
        <v>15.5684897981254</v>
      </c>
      <c r="N5508">
        <v>46.752823975320403</v>
      </c>
      <c r="O5508">
        <v>45.391509273958</v>
      </c>
      <c r="P5508">
        <v>-7.77516759355774E-2</v>
      </c>
      <c r="Q5508">
        <v>9.3307624630311906E-2</v>
      </c>
      <c r="R5508">
        <v>0.98219798027077398</v>
      </c>
      <c r="S5508" t="s">
        <v>12511</v>
      </c>
      <c r="T5508" t="s">
        <v>14004</v>
      </c>
      <c r="U5508" t="s">
        <v>14004</v>
      </c>
      <c r="V5508" t="s">
        <v>14004</v>
      </c>
      <c r="W5508" t="s">
        <v>19457</v>
      </c>
      <c r="X5508">
        <v>5</v>
      </c>
      <c r="Y5508" t="s">
        <v>26259</v>
      </c>
      <c r="Z5508" t="s">
        <v>33218</v>
      </c>
      <c r="AA5508">
        <v>0.30286438640971269</v>
      </c>
      <c r="AB5508" t="str">
        <f>HYPERLINK("Melting_Curves/meltCurve_Q96S90_LYSMD1.pdf", "Melting_Curves/meltCurve_Q96S90_LYSMD1.pdf")</f>
        <v>Melting_Curves/meltCurve_Q96S90_LYSMD1.pdf</v>
      </c>
    </row>
    <row r="5509" spans="1:28" x14ac:dyDescent="0.25">
      <c r="A5509" t="s">
        <v>5513</v>
      </c>
      <c r="B5509">
        <v>0.99999676499088797</v>
      </c>
      <c r="C5509">
        <v>0.832706029463393</v>
      </c>
      <c r="D5509">
        <v>0.234316019941187</v>
      </c>
      <c r="E5509">
        <v>8.5829876235328798E-2</v>
      </c>
      <c r="F5509">
        <v>5.6834292903408801E-2</v>
      </c>
      <c r="G5509">
        <v>3.8746141648330401E-2</v>
      </c>
      <c r="H5509">
        <v>1.2887161482137199E-2</v>
      </c>
      <c r="I5509">
        <v>6.7842010060706797E-3</v>
      </c>
      <c r="J5509">
        <v>7.9410499152891695E-3</v>
      </c>
      <c r="K5509">
        <v>1.32407700913817E-2</v>
      </c>
      <c r="L5509">
        <v>1787.8725728152599</v>
      </c>
      <c r="M5509">
        <v>40.131788233504601</v>
      </c>
      <c r="N5509">
        <v>44.614904650865597</v>
      </c>
      <c r="O5509">
        <v>44.439847139338298</v>
      </c>
      <c r="P5509">
        <v>-0.219364692897424</v>
      </c>
      <c r="Q5509">
        <v>2.8349974713931001E-2</v>
      </c>
      <c r="R5509">
        <v>0.99670181187443696</v>
      </c>
      <c r="S5509" t="s">
        <v>12512</v>
      </c>
      <c r="T5509" t="s">
        <v>14004</v>
      </c>
      <c r="U5509" t="s">
        <v>14004</v>
      </c>
      <c r="V5509" t="s">
        <v>14004</v>
      </c>
      <c r="W5509" t="s">
        <v>19458</v>
      </c>
      <c r="X5509">
        <v>3</v>
      </c>
      <c r="Y5509" t="s">
        <v>26260</v>
      </c>
      <c r="Z5509" t="s">
        <v>33219</v>
      </c>
      <c r="AA5509">
        <v>0.17897870284437989</v>
      </c>
      <c r="AB5509" t="str">
        <f>HYPERLINK("Melting_Curves/meltCurve_Q96S94_CCNL2.pdf", "Melting_Curves/meltCurve_Q96S94_CCNL2.pdf")</f>
        <v>Melting_Curves/meltCurve_Q96S94_CCNL2.pdf</v>
      </c>
    </row>
    <row r="5510" spans="1:28" x14ac:dyDescent="0.25">
      <c r="A5510" t="s">
        <v>5514</v>
      </c>
      <c r="B5510">
        <v>0.99999676499088797</v>
      </c>
      <c r="C5510">
        <v>0.80654489043306199</v>
      </c>
      <c r="D5510">
        <v>0.83286163916510403</v>
      </c>
      <c r="E5510">
        <v>0.89986816356081301</v>
      </c>
      <c r="F5510">
        <v>0.78395909162517696</v>
      </c>
      <c r="G5510">
        <v>0.77413754513454103</v>
      </c>
      <c r="H5510">
        <v>0.80960676719298297</v>
      </c>
      <c r="I5510">
        <v>0.62126123049621296</v>
      </c>
      <c r="J5510">
        <v>0.42334641884024898</v>
      </c>
      <c r="K5510">
        <v>0.65949361065038803</v>
      </c>
      <c r="L5510">
        <v>233.65997427464399</v>
      </c>
      <c r="M5510">
        <v>3.04973264640515</v>
      </c>
      <c r="O5510">
        <v>56.820223567947203</v>
      </c>
      <c r="P5510">
        <v>-1.3813608843740201E-2</v>
      </c>
      <c r="Q5510">
        <v>0</v>
      </c>
      <c r="R5510">
        <v>0.65672661235398</v>
      </c>
      <c r="S5510" t="s">
        <v>12513</v>
      </c>
      <c r="T5510" t="s">
        <v>14004</v>
      </c>
      <c r="U5510" t="s">
        <v>14004</v>
      </c>
      <c r="V5510" t="s">
        <v>14004</v>
      </c>
      <c r="W5510" t="s">
        <v>19459</v>
      </c>
      <c r="X5510">
        <v>1</v>
      </c>
      <c r="Y5510" t="s">
        <v>26261</v>
      </c>
      <c r="Z5510" t="s">
        <v>33220</v>
      </c>
      <c r="AA5510">
        <v>0.76490145849710489</v>
      </c>
      <c r="AB5510" t="str">
        <f>HYPERLINK("Melting_Curves/meltCurve_Q96S97_MYADM.pdf", "Melting_Curves/meltCurve_Q96S97_MYADM.pdf")</f>
        <v>Melting_Curves/meltCurve_Q96S97_MYADM.pdf</v>
      </c>
    </row>
    <row r="5511" spans="1:28" x14ac:dyDescent="0.25">
      <c r="A5511" t="s">
        <v>5515</v>
      </c>
      <c r="B5511">
        <v>0.99999676499088797</v>
      </c>
      <c r="C5511">
        <v>1.00027034952309</v>
      </c>
      <c r="D5511">
        <v>0.62437073597217696</v>
      </c>
      <c r="E5511">
        <v>0.25553654735681802</v>
      </c>
      <c r="F5511">
        <v>0.17023818158902801</v>
      </c>
      <c r="G5511">
        <v>0.128500023259917</v>
      </c>
      <c r="H5511">
        <v>6.6175007652511803E-2</v>
      </c>
      <c r="I5511">
        <v>4.5476945229603299E-2</v>
      </c>
      <c r="J5511">
        <v>4.1693901032161397E-2</v>
      </c>
      <c r="K5511">
        <v>5.12402817877382E-2</v>
      </c>
      <c r="L5511">
        <v>1232.7762770986101</v>
      </c>
      <c r="M5511">
        <v>26.259920254846602</v>
      </c>
      <c r="N5511">
        <v>47.230122239922999</v>
      </c>
      <c r="O5511">
        <v>46.675457869749998</v>
      </c>
      <c r="P5511">
        <v>-0.13034879147953901</v>
      </c>
      <c r="Q5511">
        <v>7.3261126667525697E-2</v>
      </c>
      <c r="R5511">
        <v>0.98963531136959304</v>
      </c>
      <c r="S5511" t="s">
        <v>12514</v>
      </c>
      <c r="T5511" t="s">
        <v>14004</v>
      </c>
      <c r="U5511" t="s">
        <v>14004</v>
      </c>
      <c r="V5511" t="s">
        <v>14004</v>
      </c>
      <c r="W5511" t="s">
        <v>19460</v>
      </c>
      <c r="X5511">
        <v>2</v>
      </c>
      <c r="Y5511" t="s">
        <v>26262</v>
      </c>
      <c r="Z5511" t="s">
        <v>33221</v>
      </c>
      <c r="AA5511">
        <v>0.29523852838806752</v>
      </c>
      <c r="AB5511" t="str">
        <f>HYPERLINK("Melting_Curves/meltCurve_Q96S99_PLEKHF1.pdf", "Melting_Curves/meltCurve_Q96S99_PLEKHF1.pdf")</f>
        <v>Melting_Curves/meltCurve_Q96S99_PLEKHF1.pdf</v>
      </c>
    </row>
    <row r="5512" spans="1:28" x14ac:dyDescent="0.25">
      <c r="A5512" t="s">
        <v>5516</v>
      </c>
      <c r="B5512">
        <v>0.99999676499088797</v>
      </c>
      <c r="C5512">
        <v>0.95660285697303504</v>
      </c>
      <c r="D5512">
        <v>0.785576688894568</v>
      </c>
      <c r="E5512">
        <v>0.36970649543901501</v>
      </c>
      <c r="F5512">
        <v>0.26791584695799597</v>
      </c>
      <c r="G5512">
        <v>0.24020987949174699</v>
      </c>
      <c r="H5512">
        <v>0.16483997494893499</v>
      </c>
      <c r="I5512">
        <v>0.243348980219976</v>
      </c>
      <c r="J5512">
        <v>0.25388766310452698</v>
      </c>
      <c r="K5512">
        <v>0.26855815612353401</v>
      </c>
      <c r="L5512">
        <v>1513.7524616422099</v>
      </c>
      <c r="M5512">
        <v>32.003131972176</v>
      </c>
      <c r="N5512">
        <v>48.256012519350897</v>
      </c>
      <c r="O5512">
        <v>47.116607801399802</v>
      </c>
      <c r="P5512">
        <v>-0.12994670794657801</v>
      </c>
      <c r="Q5512">
        <v>0.234747895819338</v>
      </c>
      <c r="R5512">
        <v>0.99260978215347895</v>
      </c>
      <c r="S5512" t="s">
        <v>12515</v>
      </c>
      <c r="T5512" t="s">
        <v>14004</v>
      </c>
      <c r="U5512" t="s">
        <v>14004</v>
      </c>
      <c r="V5512" t="s">
        <v>14004</v>
      </c>
      <c r="W5512" t="s">
        <v>19461</v>
      </c>
      <c r="X5512">
        <v>4</v>
      </c>
      <c r="Y5512" t="s">
        <v>26263</v>
      </c>
      <c r="Z5512" t="s">
        <v>33222</v>
      </c>
      <c r="AA5512">
        <v>0.42496383459812159</v>
      </c>
      <c r="AB5512" t="str">
        <f>HYPERLINK("Melting_Curves/meltCurve_Q96SB3_PPP1R9B.pdf", "Melting_Curves/meltCurve_Q96SB3_PPP1R9B.pdf")</f>
        <v>Melting_Curves/meltCurve_Q96SB3_PPP1R9B.pdf</v>
      </c>
    </row>
    <row r="5513" spans="1:28" x14ac:dyDescent="0.25">
      <c r="A5513" t="s">
        <v>5517</v>
      </c>
      <c r="B5513">
        <v>0.99999676499088797</v>
      </c>
      <c r="C5513">
        <v>0.93807763798171095</v>
      </c>
      <c r="D5513">
        <v>0.94103121606983597</v>
      </c>
      <c r="E5513">
        <v>0.88366799025799703</v>
      </c>
      <c r="F5513">
        <v>0.322449566251652</v>
      </c>
      <c r="G5513">
        <v>0.16914876597067199</v>
      </c>
      <c r="H5513">
        <v>7.1404621825264594E-2</v>
      </c>
      <c r="I5513">
        <v>7.3727582065640701E-2</v>
      </c>
      <c r="J5513">
        <v>6.0991170284853097E-2</v>
      </c>
      <c r="K5513">
        <v>5.1322095339484397E-2</v>
      </c>
      <c r="L5513">
        <v>1915.6627957547801</v>
      </c>
      <c r="M5513">
        <v>36.889712746582198</v>
      </c>
      <c r="N5513">
        <v>52.154761477544099</v>
      </c>
      <c r="O5513">
        <v>51.777563560224401</v>
      </c>
      <c r="P5513">
        <v>-0.16499727138286299</v>
      </c>
      <c r="Q5513">
        <v>7.36569478690626E-2</v>
      </c>
      <c r="R5513">
        <v>0.99307871857810504</v>
      </c>
      <c r="S5513" t="s">
        <v>12516</v>
      </c>
      <c r="T5513" t="s">
        <v>14004</v>
      </c>
      <c r="U5513" t="s">
        <v>14004</v>
      </c>
      <c r="V5513" t="s">
        <v>14004</v>
      </c>
      <c r="W5513" t="s">
        <v>19462</v>
      </c>
      <c r="X5513">
        <v>18</v>
      </c>
      <c r="Y5513" t="s">
        <v>26264</v>
      </c>
      <c r="Z5513" t="s">
        <v>33223</v>
      </c>
      <c r="AA5513">
        <v>0.44592686725719699</v>
      </c>
      <c r="AB5513" t="str">
        <f>HYPERLINK("Melting_Curves/meltCurve_Q96SB4_SRPK1.pdf", "Melting_Curves/meltCurve_Q96SB4_SRPK1.pdf")</f>
        <v>Melting_Curves/meltCurve_Q96SB4_SRPK1.pdf</v>
      </c>
    </row>
    <row r="5514" spans="1:28" x14ac:dyDescent="0.25">
      <c r="A5514" t="s">
        <v>5518</v>
      </c>
      <c r="B5514">
        <v>0.99999676499088797</v>
      </c>
      <c r="C5514">
        <v>1.0560060622406</v>
      </c>
      <c r="D5514">
        <v>1.02065898345828</v>
      </c>
      <c r="E5514">
        <v>0.93637677913549699</v>
      </c>
      <c r="F5514">
        <v>0.28037454354616698</v>
      </c>
      <c r="G5514">
        <v>0.20451128988230899</v>
      </c>
      <c r="H5514">
        <v>9.1064218571865405E-2</v>
      </c>
      <c r="I5514">
        <v>9.42486132040634E-2</v>
      </c>
      <c r="J5514">
        <v>7.6412065754247402E-2</v>
      </c>
      <c r="K5514">
        <v>7.0386125150948595E-2</v>
      </c>
      <c r="L5514">
        <v>2755.66074249036</v>
      </c>
      <c r="M5514">
        <v>53.1360667867256</v>
      </c>
      <c r="N5514">
        <v>52.088886144110901</v>
      </c>
      <c r="O5514">
        <v>51.787160914724303</v>
      </c>
      <c r="P5514">
        <v>-0.22985396295101701</v>
      </c>
      <c r="Q5514">
        <v>0.103924953082523</v>
      </c>
      <c r="R5514">
        <v>0.99222256673381004</v>
      </c>
      <c r="S5514" t="s">
        <v>12517</v>
      </c>
      <c r="T5514" t="s">
        <v>14004</v>
      </c>
      <c r="U5514" t="s">
        <v>14004</v>
      </c>
      <c r="V5514" t="s">
        <v>14004</v>
      </c>
      <c r="W5514" t="s">
        <v>19463</v>
      </c>
      <c r="X5514">
        <v>12</v>
      </c>
      <c r="Y5514" t="s">
        <v>26265</v>
      </c>
      <c r="Z5514" t="s">
        <v>33224</v>
      </c>
      <c r="AA5514">
        <v>0.4600007600219635</v>
      </c>
      <c r="AB5514" t="str">
        <f>HYPERLINK("Melting_Curves/meltCurve_Q96SB8_SMC6.pdf", "Melting_Curves/meltCurve_Q96SB8_SMC6.pdf")</f>
        <v>Melting_Curves/meltCurve_Q96SB8_SMC6.pdf</v>
      </c>
    </row>
    <row r="5515" spans="1:28" x14ac:dyDescent="0.25">
      <c r="A5515" t="s">
        <v>5519</v>
      </c>
      <c r="B5515">
        <v>0.99999676499088797</v>
      </c>
      <c r="C5515">
        <v>1.0955064581751599</v>
      </c>
      <c r="D5515">
        <v>1.0736731407048099</v>
      </c>
      <c r="E5515">
        <v>0.85854987009127903</v>
      </c>
      <c r="F5515">
        <v>0.76066820164600002</v>
      </c>
      <c r="G5515">
        <v>0.62004897795229197</v>
      </c>
      <c r="H5515">
        <v>0.34337866447272097</v>
      </c>
      <c r="I5515">
        <v>0.32610966018639298</v>
      </c>
      <c r="J5515">
        <v>0.22583582452876899</v>
      </c>
      <c r="K5515">
        <v>0.16656886032232099</v>
      </c>
      <c r="L5515">
        <v>830.72729391887106</v>
      </c>
      <c r="M5515">
        <v>14.533815067052</v>
      </c>
      <c r="N5515">
        <v>58.374962266146703</v>
      </c>
      <c r="O5515">
        <v>56.1088259842643</v>
      </c>
      <c r="P5515">
        <v>-5.6301531923125897E-2</v>
      </c>
      <c r="Q5515">
        <v>0.130675121239334</v>
      </c>
      <c r="R5515">
        <v>0.97505275443750705</v>
      </c>
      <c r="S5515" t="s">
        <v>12518</v>
      </c>
      <c r="T5515" t="s">
        <v>14004</v>
      </c>
      <c r="U5515" t="s">
        <v>14004</v>
      </c>
      <c r="V5515" t="s">
        <v>14004</v>
      </c>
      <c r="W5515" t="s">
        <v>19464</v>
      </c>
      <c r="X5515">
        <v>1</v>
      </c>
      <c r="Y5515" t="s">
        <v>26266</v>
      </c>
      <c r="Z5515" t="s">
        <v>33225</v>
      </c>
      <c r="AA5515">
        <v>0.64153495693837437</v>
      </c>
      <c r="AB5515" t="str">
        <f>HYPERLINK("Melting_Curves/meltCurve_Q96SI1_KCTD15.pdf", "Melting_Curves/meltCurve_Q96SI1_KCTD15.pdf")</f>
        <v>Melting_Curves/meltCurve_Q96SI1_KCTD15.pdf</v>
      </c>
    </row>
    <row r="5516" spans="1:28" x14ac:dyDescent="0.25">
      <c r="A5516" t="s">
        <v>5520</v>
      </c>
      <c r="B5516">
        <v>0.99999676499088797</v>
      </c>
      <c r="C5516">
        <v>1.0165799486062701</v>
      </c>
      <c r="D5516">
        <v>1.1363523360991701</v>
      </c>
      <c r="E5516">
        <v>1.08150356058564</v>
      </c>
      <c r="F5516">
        <v>0.31081638202895201</v>
      </c>
      <c r="G5516">
        <v>0.19536791197900499</v>
      </c>
      <c r="H5516">
        <v>6.9000801614885199E-2</v>
      </c>
      <c r="I5516">
        <v>8.3974153582710404E-2</v>
      </c>
      <c r="J5516">
        <v>9.4340709201006803E-2</v>
      </c>
      <c r="K5516">
        <v>5.8975679093975199E-2</v>
      </c>
      <c r="L5516">
        <v>13236.899734152799</v>
      </c>
      <c r="M5516">
        <v>250</v>
      </c>
      <c r="N5516">
        <v>52.995096905826998</v>
      </c>
      <c r="O5516">
        <v>52.944211685249101</v>
      </c>
      <c r="P5516">
        <v>-1.0620473826643799</v>
      </c>
      <c r="Q5516">
        <v>0.100331835625054</v>
      </c>
      <c r="R5516">
        <v>0.98217797994455203</v>
      </c>
      <c r="S5516" t="s">
        <v>12519</v>
      </c>
      <c r="T5516" t="s">
        <v>14004</v>
      </c>
      <c r="U5516" t="s">
        <v>14004</v>
      </c>
      <c r="V5516" t="s">
        <v>14004</v>
      </c>
      <c r="W5516" t="s">
        <v>19465</v>
      </c>
      <c r="X5516">
        <v>6</v>
      </c>
      <c r="Y5516" t="s">
        <v>26267</v>
      </c>
      <c r="Z5516" t="s">
        <v>33226</v>
      </c>
      <c r="AA5516">
        <v>0.48870018705983342</v>
      </c>
      <c r="AB5516" t="str">
        <f>HYPERLINK("Melting_Curves/meltCurve_Q96SK2_2_TMEM209.pdf", "Melting_Curves/meltCurve_Q96SK2_2_TMEM209.pdf")</f>
        <v>Melting_Curves/meltCurve_Q96SK2_2_TMEM209.pdf</v>
      </c>
    </row>
    <row r="5517" spans="1:28" x14ac:dyDescent="0.25">
      <c r="A5517" t="s">
        <v>5521</v>
      </c>
      <c r="B5517">
        <v>0.99999676499088797</v>
      </c>
      <c r="C5517">
        <v>1.2712521377654</v>
      </c>
      <c r="D5517">
        <v>1.0911973329256801</v>
      </c>
      <c r="E5517">
        <v>0.813546260087049</v>
      </c>
      <c r="F5517">
        <v>0.449101563386751</v>
      </c>
      <c r="G5517">
        <v>0.292949475249486</v>
      </c>
      <c r="H5517">
        <v>0.30630889068712902</v>
      </c>
      <c r="I5517">
        <v>0.37201594841041802</v>
      </c>
      <c r="J5517">
        <v>0.66438546794242803</v>
      </c>
      <c r="K5517">
        <v>0.72466722931936101</v>
      </c>
      <c r="L5517">
        <v>12430.5662011844</v>
      </c>
      <c r="M5517">
        <v>250</v>
      </c>
      <c r="N5517">
        <v>50.276584297339603</v>
      </c>
      <c r="O5517">
        <v>49.719083159196003</v>
      </c>
      <c r="P5517">
        <v>-0.668458014726659</v>
      </c>
      <c r="Q5517">
        <v>0.46823808933070099</v>
      </c>
      <c r="R5517">
        <v>0.76500287151752899</v>
      </c>
      <c r="S5517" t="s">
        <v>12520</v>
      </c>
      <c r="T5517" t="s">
        <v>14004</v>
      </c>
      <c r="U5517" t="s">
        <v>14004</v>
      </c>
      <c r="V5517" t="s">
        <v>14004</v>
      </c>
      <c r="W5517" t="s">
        <v>19466</v>
      </c>
      <c r="X5517">
        <v>3</v>
      </c>
      <c r="Y5517" t="s">
        <v>26268</v>
      </c>
      <c r="Z5517" t="s">
        <v>33227</v>
      </c>
      <c r="AA5517">
        <v>0.64061549545267182</v>
      </c>
      <c r="AB5517" t="str">
        <f>HYPERLINK("Melting_Curves/meltCurve_Q96SL8_FIZ1.pdf", "Melting_Curves/meltCurve_Q96SL8_FIZ1.pdf")</f>
        <v>Melting_Curves/meltCurve_Q96SL8_FIZ1.pdf</v>
      </c>
    </row>
    <row r="5518" spans="1:28" x14ac:dyDescent="0.25">
      <c r="A5518" t="s">
        <v>5522</v>
      </c>
      <c r="B5518">
        <v>0.99999676499088797</v>
      </c>
      <c r="C5518">
        <v>1.105987858657</v>
      </c>
      <c r="D5518">
        <v>1.16212854140135</v>
      </c>
      <c r="E5518">
        <v>1.1410928635080999</v>
      </c>
      <c r="F5518">
        <v>0.71629146763709906</v>
      </c>
      <c r="G5518">
        <v>0.77576543321616098</v>
      </c>
      <c r="H5518">
        <v>0.62996484664081598</v>
      </c>
      <c r="I5518">
        <v>0.77047515897804497</v>
      </c>
      <c r="J5518">
        <v>0.63526704212719698</v>
      </c>
      <c r="K5518">
        <v>0.528943108884526</v>
      </c>
      <c r="L5518">
        <v>13205.707701232001</v>
      </c>
      <c r="M5518">
        <v>250</v>
      </c>
      <c r="O5518">
        <v>52.8194753391207</v>
      </c>
      <c r="P5518">
        <v>-0.39274938004132598</v>
      </c>
      <c r="Q5518">
        <v>0.66808309627133899</v>
      </c>
      <c r="R5518">
        <v>0.796143602135857</v>
      </c>
      <c r="S5518" t="s">
        <v>12521</v>
      </c>
      <c r="T5518" t="s">
        <v>14004</v>
      </c>
      <c r="U5518" t="s">
        <v>14004</v>
      </c>
      <c r="V5518" t="s">
        <v>14004</v>
      </c>
      <c r="W5518" t="s">
        <v>19467</v>
      </c>
      <c r="X5518">
        <v>2</v>
      </c>
      <c r="Y5518" t="s">
        <v>26269</v>
      </c>
      <c r="Z5518" t="s">
        <v>33228</v>
      </c>
      <c r="AA5518">
        <v>0.80998434263930719</v>
      </c>
      <c r="AB5518" t="str">
        <f>HYPERLINK("Melting_Curves/meltCurve_Q96SN7_ORAI2.pdf", "Melting_Curves/meltCurve_Q96SN7_ORAI2.pdf")</f>
        <v>Melting_Curves/meltCurve_Q96SN7_ORAI2.pdf</v>
      </c>
    </row>
    <row r="5519" spans="1:28" x14ac:dyDescent="0.25">
      <c r="A5519" t="s">
        <v>5523</v>
      </c>
      <c r="B5519">
        <v>0.99999676499088797</v>
      </c>
      <c r="C5519">
        <v>1.00274023748838</v>
      </c>
      <c r="D5519">
        <v>0.72645479351693698</v>
      </c>
      <c r="E5519">
        <v>0.40643311214083699</v>
      </c>
      <c r="F5519">
        <v>0.30989957944400798</v>
      </c>
      <c r="G5519">
        <v>0.23609076285162001</v>
      </c>
      <c r="H5519">
        <v>0.15313613026699399</v>
      </c>
      <c r="I5519">
        <v>0.15171262850077899</v>
      </c>
      <c r="J5519">
        <v>0.15540821613345501</v>
      </c>
      <c r="K5519">
        <v>0.16969651902767699</v>
      </c>
      <c r="L5519">
        <v>1024.11154985655</v>
      </c>
      <c r="M5519">
        <v>21.415742926173401</v>
      </c>
      <c r="N5519">
        <v>48.769015669736902</v>
      </c>
      <c r="O5519">
        <v>47.409394749110099</v>
      </c>
      <c r="P5519">
        <v>-9.3696737663024193E-2</v>
      </c>
      <c r="Q5519">
        <v>0.17033085369267401</v>
      </c>
      <c r="R5519">
        <v>0.98899231398225995</v>
      </c>
      <c r="S5519" t="s">
        <v>12522</v>
      </c>
      <c r="T5519" t="s">
        <v>14004</v>
      </c>
      <c r="U5519" t="s">
        <v>14004</v>
      </c>
      <c r="V5519" t="s">
        <v>14004</v>
      </c>
      <c r="W5519" t="s">
        <v>19468</v>
      </c>
      <c r="X5519">
        <v>14</v>
      </c>
      <c r="Y5519" t="s">
        <v>26270</v>
      </c>
      <c r="Z5519" t="s">
        <v>33229</v>
      </c>
      <c r="AA5519">
        <v>0.39683636719912868</v>
      </c>
      <c r="AB5519" t="str">
        <f>HYPERLINK("Melting_Curves/meltCurve_Q96ST2_IWS1.pdf", "Melting_Curves/meltCurve_Q96ST2_IWS1.pdf")</f>
        <v>Melting_Curves/meltCurve_Q96ST2_IWS1.pdf</v>
      </c>
    </row>
    <row r="5520" spans="1:28" x14ac:dyDescent="0.25">
      <c r="A5520" t="s">
        <v>5524</v>
      </c>
      <c r="B5520">
        <v>0.99999676499088797</v>
      </c>
      <c r="C5520">
        <v>0.89697875153503204</v>
      </c>
      <c r="D5520">
        <v>0.73865035373937404</v>
      </c>
      <c r="E5520">
        <v>0.480465648570719</v>
      </c>
      <c r="F5520">
        <v>0.30347688674978701</v>
      </c>
      <c r="G5520">
        <v>0.24952235102537501</v>
      </c>
      <c r="H5520">
        <v>0.129006104190514</v>
      </c>
      <c r="I5520">
        <v>0.167892373763112</v>
      </c>
      <c r="J5520">
        <v>0.172512422362784</v>
      </c>
      <c r="K5520">
        <v>0.13526253465333599</v>
      </c>
      <c r="L5520">
        <v>779.001372711562</v>
      </c>
      <c r="M5520">
        <v>16.1056976692098</v>
      </c>
      <c r="N5520">
        <v>49.399678484010202</v>
      </c>
      <c r="O5520">
        <v>47.6408167162731</v>
      </c>
      <c r="P5520">
        <v>-7.2452158412987397E-2</v>
      </c>
      <c r="Q5520">
        <v>0.14280864396245399</v>
      </c>
      <c r="R5520">
        <v>0.99526691883950502</v>
      </c>
      <c r="S5520" t="s">
        <v>12523</v>
      </c>
      <c r="T5520" t="s">
        <v>14004</v>
      </c>
      <c r="U5520" t="s">
        <v>14004</v>
      </c>
      <c r="V5520" t="s">
        <v>14004</v>
      </c>
      <c r="W5520" t="s">
        <v>19469</v>
      </c>
      <c r="X5520">
        <v>20</v>
      </c>
      <c r="Y5520" t="s">
        <v>26271</v>
      </c>
      <c r="Z5520" t="s">
        <v>33230</v>
      </c>
      <c r="AA5520">
        <v>0.40076864948776519</v>
      </c>
      <c r="AB5520" t="str">
        <f>HYPERLINK("Melting_Curves/meltCurve_Q96ST3_SIN3A.pdf", "Melting_Curves/meltCurve_Q96ST3_SIN3A.pdf")</f>
        <v>Melting_Curves/meltCurve_Q96ST3_SIN3A.pdf</v>
      </c>
    </row>
    <row r="5521" spans="1:28" x14ac:dyDescent="0.25">
      <c r="A5521" t="s">
        <v>5525</v>
      </c>
      <c r="B5521">
        <v>0.99999676499088797</v>
      </c>
      <c r="C5521">
        <v>1.0224973350011699</v>
      </c>
      <c r="D5521">
        <v>0.933481126211826</v>
      </c>
      <c r="E5521">
        <v>0.78031062461321898</v>
      </c>
      <c r="F5521">
        <v>0.68435241794859303</v>
      </c>
      <c r="G5521">
        <v>0.52563800029650198</v>
      </c>
      <c r="H5521">
        <v>0.25218520973306902</v>
      </c>
      <c r="I5521">
        <v>0.155876168169965</v>
      </c>
      <c r="J5521">
        <v>0.11670831165529701</v>
      </c>
      <c r="K5521">
        <v>9.7715825101933607E-2</v>
      </c>
      <c r="L5521">
        <v>693.82641697506301</v>
      </c>
      <c r="M5521">
        <v>12.3351927929645</v>
      </c>
      <c r="N5521">
        <v>56.247720119149598</v>
      </c>
      <c r="O5521">
        <v>54.830700097484701</v>
      </c>
      <c r="P5521">
        <v>-5.62543417481665E-2</v>
      </c>
      <c r="Q5521">
        <v>0</v>
      </c>
      <c r="R5521">
        <v>0.99154454343232301</v>
      </c>
      <c r="S5521" t="s">
        <v>12524</v>
      </c>
      <c r="T5521" t="s">
        <v>14004</v>
      </c>
      <c r="U5521" t="s">
        <v>14004</v>
      </c>
      <c r="V5521" t="s">
        <v>14004</v>
      </c>
      <c r="W5521" t="s">
        <v>19470</v>
      </c>
      <c r="X5521">
        <v>13</v>
      </c>
      <c r="Y5521" t="s">
        <v>26272</v>
      </c>
      <c r="Z5521" t="s">
        <v>33231</v>
      </c>
      <c r="AA5521">
        <v>0.5609662670723683</v>
      </c>
      <c r="AB5521" t="str">
        <f>HYPERLINK("Melting_Curves/meltCurve_Q96SZ5_ADO.pdf", "Melting_Curves/meltCurve_Q96SZ5_ADO.pdf")</f>
        <v>Melting_Curves/meltCurve_Q96SZ5_ADO.pdf</v>
      </c>
    </row>
    <row r="5522" spans="1:28" x14ac:dyDescent="0.25">
      <c r="A5522" t="s">
        <v>5526</v>
      </c>
      <c r="B5522">
        <v>0.99999676499088797</v>
      </c>
      <c r="C5522">
        <v>0.80300324987662197</v>
      </c>
      <c r="D5522">
        <v>0.46604295404685298</v>
      </c>
      <c r="E5522">
        <v>0.27845966774229902</v>
      </c>
      <c r="F5522">
        <v>0.214573836321334</v>
      </c>
      <c r="G5522">
        <v>0.14261421716147499</v>
      </c>
      <c r="H5522">
        <v>6.6224075750123901E-2</v>
      </c>
      <c r="I5522">
        <v>6.4860317122206301E-2</v>
      </c>
      <c r="J5522">
        <v>6.2683511073762396E-2</v>
      </c>
      <c r="K5522">
        <v>4.9386774339054203E-2</v>
      </c>
      <c r="L5522">
        <v>807.668461662396</v>
      </c>
      <c r="M5522">
        <v>17.620532742802201</v>
      </c>
      <c r="N5522">
        <v>46.267508214169403</v>
      </c>
      <c r="O5522">
        <v>45.258631009802002</v>
      </c>
      <c r="P5522">
        <v>-8.9974487932887898E-2</v>
      </c>
      <c r="Q5522">
        <v>7.5645737991877599E-2</v>
      </c>
      <c r="R5522">
        <v>0.98509662152663702</v>
      </c>
      <c r="S5522" t="s">
        <v>12525</v>
      </c>
      <c r="T5522" t="s">
        <v>14004</v>
      </c>
      <c r="U5522" t="s">
        <v>14004</v>
      </c>
      <c r="V5522" t="s">
        <v>14004</v>
      </c>
      <c r="W5522" t="s">
        <v>19471</v>
      </c>
      <c r="X5522">
        <v>26</v>
      </c>
      <c r="Y5522" t="s">
        <v>26273</v>
      </c>
      <c r="Z5522" t="s">
        <v>33232</v>
      </c>
      <c r="AA5522">
        <v>0.27477085079177799</v>
      </c>
      <c r="AB5522" t="str">
        <f>HYPERLINK("Melting_Curves/meltCurve_Q96T37_2_RBM15.pdf", "Melting_Curves/meltCurve_Q96T37_2_RBM15.pdf")</f>
        <v>Melting_Curves/meltCurve_Q96T37_2_RBM15.pdf</v>
      </c>
    </row>
    <row r="5523" spans="1:28" x14ac:dyDescent="0.25">
      <c r="A5523" t="s">
        <v>5527</v>
      </c>
      <c r="B5523">
        <v>0.99999676499088797</v>
      </c>
      <c r="C5523">
        <v>0.88711597123644703</v>
      </c>
      <c r="D5523">
        <v>0.54544521974114102</v>
      </c>
      <c r="E5523">
        <v>0.26914417144464697</v>
      </c>
      <c r="F5523">
        <v>0.240702956191328</v>
      </c>
      <c r="G5523">
        <v>0.12883824389569901</v>
      </c>
      <c r="H5523">
        <v>7.6332948885611096E-2</v>
      </c>
      <c r="I5523">
        <v>6.5398243872774597E-2</v>
      </c>
      <c r="J5523">
        <v>6.3648365845543398E-2</v>
      </c>
      <c r="K5523">
        <v>5.0680410398172303E-2</v>
      </c>
      <c r="L5523">
        <v>894.22839805305296</v>
      </c>
      <c r="M5523">
        <v>19.233164693031199</v>
      </c>
      <c r="N5523">
        <v>46.910048214972001</v>
      </c>
      <c r="O5523">
        <v>46.000186412283703</v>
      </c>
      <c r="P5523">
        <v>-9.6336548769481903E-2</v>
      </c>
      <c r="Q5523">
        <v>7.8397563836876696E-2</v>
      </c>
      <c r="R5523">
        <v>0.98677107916308504</v>
      </c>
      <c r="S5523" t="s">
        <v>12526</v>
      </c>
      <c r="T5523" t="s">
        <v>14004</v>
      </c>
      <c r="U5523" t="s">
        <v>14004</v>
      </c>
      <c r="V5523" t="s">
        <v>14004</v>
      </c>
      <c r="W5523" t="s">
        <v>19472</v>
      </c>
      <c r="X5523">
        <v>12</v>
      </c>
      <c r="Y5523" t="s">
        <v>26274</v>
      </c>
      <c r="Z5523" t="s">
        <v>33233</v>
      </c>
      <c r="AA5523">
        <v>0.29298166998947878</v>
      </c>
      <c r="AB5523" t="str">
        <f>HYPERLINK("Melting_Curves/meltCurve_Q96T51_RUFY1.pdf", "Melting_Curves/meltCurve_Q96T51_RUFY1.pdf")</f>
        <v>Melting_Curves/meltCurve_Q96T51_RUFY1.pdf</v>
      </c>
    </row>
    <row r="5524" spans="1:28" x14ac:dyDescent="0.25">
      <c r="A5524" t="s">
        <v>5528</v>
      </c>
      <c r="B5524">
        <v>0.99999676499088797</v>
      </c>
      <c r="C5524">
        <v>0.93557369363052501</v>
      </c>
      <c r="D5524">
        <v>0.77978318223331999</v>
      </c>
      <c r="E5524">
        <v>0.56095792678983303</v>
      </c>
      <c r="F5524">
        <v>0.42104250124866299</v>
      </c>
      <c r="G5524">
        <v>0.40562902054146399</v>
      </c>
      <c r="H5524">
        <v>0.31367633086679703</v>
      </c>
      <c r="I5524">
        <v>0.48177291358068097</v>
      </c>
      <c r="J5524">
        <v>0.53302067690911203</v>
      </c>
      <c r="K5524">
        <v>0.50437569525167802</v>
      </c>
      <c r="L5524">
        <v>1250.08715670724</v>
      </c>
      <c r="M5524">
        <v>26.7540286410817</v>
      </c>
      <c r="N5524">
        <v>50.810614222561803</v>
      </c>
      <c r="O5524">
        <v>46.466483829978401</v>
      </c>
      <c r="P5524">
        <v>-8.0345977982578295E-2</v>
      </c>
      <c r="Q5524">
        <v>0.44182511142540798</v>
      </c>
      <c r="R5524">
        <v>0.92857511645348501</v>
      </c>
      <c r="S5524" t="s">
        <v>12527</v>
      </c>
      <c r="T5524" t="s">
        <v>14004</v>
      </c>
      <c r="U5524" t="s">
        <v>14004</v>
      </c>
      <c r="V5524" t="s">
        <v>14004</v>
      </c>
      <c r="W5524" t="s">
        <v>19473</v>
      </c>
      <c r="X5524">
        <v>11</v>
      </c>
      <c r="Y5524" t="s">
        <v>26275</v>
      </c>
      <c r="Z5524" t="s">
        <v>33234</v>
      </c>
      <c r="AA5524">
        <v>0.5712662327613699</v>
      </c>
      <c r="AB5524" t="str">
        <f>HYPERLINK("Melting_Curves/meltCurve_Q96T58_SPEN.pdf", "Melting_Curves/meltCurve_Q96T58_SPEN.pdf")</f>
        <v>Melting_Curves/meltCurve_Q96T58_SPEN.pdf</v>
      </c>
    </row>
    <row r="5525" spans="1:28" x14ac:dyDescent="0.25">
      <c r="A5525" t="s">
        <v>5529</v>
      </c>
      <c r="B5525">
        <v>0.99999676499088797</v>
      </c>
      <c r="C5525">
        <v>1.0110152332161599</v>
      </c>
      <c r="D5525">
        <v>0.78517385949182095</v>
      </c>
      <c r="E5525">
        <v>0.32375962724775798</v>
      </c>
      <c r="F5525">
        <v>0.16393879438610301</v>
      </c>
      <c r="G5525">
        <v>0.107963402965774</v>
      </c>
      <c r="H5525">
        <v>6.3120611297264401E-2</v>
      </c>
      <c r="I5525">
        <v>6.8982222392476006E-2</v>
      </c>
      <c r="J5525">
        <v>8.0335533136954906E-2</v>
      </c>
      <c r="K5525">
        <v>7.7536502889307704E-2</v>
      </c>
      <c r="L5525">
        <v>1387.4370822400599</v>
      </c>
      <c r="M5525">
        <v>28.941446928200499</v>
      </c>
      <c r="N5525">
        <v>48.236564470929501</v>
      </c>
      <c r="O5525">
        <v>47.712300985514197</v>
      </c>
      <c r="P5525">
        <v>-0.139266419539254</v>
      </c>
      <c r="Q5525">
        <v>8.1638969616414606E-2</v>
      </c>
      <c r="R5525">
        <v>0.99740482032308597</v>
      </c>
      <c r="S5525" t="s">
        <v>12528</v>
      </c>
      <c r="T5525" t="s">
        <v>14004</v>
      </c>
      <c r="U5525" t="s">
        <v>14004</v>
      </c>
      <c r="V5525" t="s">
        <v>14004</v>
      </c>
      <c r="W5525" t="s">
        <v>19474</v>
      </c>
      <c r="X5525">
        <v>18</v>
      </c>
      <c r="Y5525" t="s">
        <v>26276</v>
      </c>
      <c r="Z5525" t="s">
        <v>33235</v>
      </c>
      <c r="AA5525">
        <v>0.33063816335866397</v>
      </c>
      <c r="AB5525" t="str">
        <f>HYPERLINK("Melting_Curves/meltCurve_Q96T60_PNKP.pdf", "Melting_Curves/meltCurve_Q96T60_PNKP.pdf")</f>
        <v>Melting_Curves/meltCurve_Q96T60_PNKP.pdf</v>
      </c>
    </row>
    <row r="5526" spans="1:28" x14ac:dyDescent="0.25">
      <c r="A5526" t="s">
        <v>5530</v>
      </c>
      <c r="B5526">
        <v>0.99999676499088797</v>
      </c>
      <c r="C5526">
        <v>1.0060524743771699</v>
      </c>
      <c r="D5526">
        <v>0.69220030219284101</v>
      </c>
      <c r="E5526">
        <v>0.226217094061018</v>
      </c>
      <c r="F5526">
        <v>0.18119559690872</v>
      </c>
      <c r="G5526">
        <v>0.12892714379942799</v>
      </c>
      <c r="H5526">
        <v>6.1123861753982899E-2</v>
      </c>
      <c r="I5526">
        <v>3.3903602841873902E-2</v>
      </c>
      <c r="J5526">
        <v>5.3406075158595599E-2</v>
      </c>
      <c r="K5526">
        <v>8.9046681625688899E-3</v>
      </c>
      <c r="L5526">
        <v>1385.88799594698</v>
      </c>
      <c r="M5526">
        <v>29.369309898767401</v>
      </c>
      <c r="N5526">
        <v>47.422633763209603</v>
      </c>
      <c r="O5526">
        <v>46.971155762039302</v>
      </c>
      <c r="P5526">
        <v>-0.14575895667861699</v>
      </c>
      <c r="Q5526">
        <v>6.7541223196468506E-2</v>
      </c>
      <c r="R5526">
        <v>0.98766272951100398</v>
      </c>
      <c r="S5526" t="s">
        <v>12529</v>
      </c>
      <c r="T5526" t="s">
        <v>14004</v>
      </c>
      <c r="U5526" t="s">
        <v>14004</v>
      </c>
      <c r="V5526" t="s">
        <v>14004</v>
      </c>
      <c r="W5526" t="s">
        <v>19475</v>
      </c>
      <c r="X5526">
        <v>3</v>
      </c>
      <c r="Y5526" t="s">
        <v>26277</v>
      </c>
      <c r="Z5526" t="s">
        <v>33236</v>
      </c>
      <c r="AA5526">
        <v>0.29681944929364579</v>
      </c>
      <c r="AB5526" t="str">
        <f>HYPERLINK("Melting_Curves/meltCurve_Q96T76_MMS19.pdf", "Melting_Curves/meltCurve_Q96T76_MMS19.pdf")</f>
        <v>Melting_Curves/meltCurve_Q96T76_MMS19.pdf</v>
      </c>
    </row>
    <row r="5527" spans="1:28" x14ac:dyDescent="0.25">
      <c r="A5527" t="s">
        <v>5531</v>
      </c>
      <c r="B5527">
        <v>0.99999676499088797</v>
      </c>
      <c r="C5527">
        <v>1.0360143234022099</v>
      </c>
      <c r="D5527">
        <v>0.98226733434975899</v>
      </c>
      <c r="E5527">
        <v>0.90106439731788701</v>
      </c>
      <c r="F5527">
        <v>0.89271373695226897</v>
      </c>
      <c r="G5527">
        <v>0.66697936371302702</v>
      </c>
      <c r="H5527">
        <v>0.50703364942809104</v>
      </c>
      <c r="I5527">
        <v>0.50631872073742201</v>
      </c>
      <c r="J5527">
        <v>0.40813497726762199</v>
      </c>
      <c r="K5527">
        <v>0.51820505315957199</v>
      </c>
      <c r="L5527">
        <v>1267.5871651663001</v>
      </c>
      <c r="M5527">
        <v>22.7696450941778</v>
      </c>
      <c r="N5527">
        <v>62.490404718355997</v>
      </c>
      <c r="O5527">
        <v>55.2459942479326</v>
      </c>
      <c r="P5527">
        <v>-5.5812107499340402E-2</v>
      </c>
      <c r="Q5527">
        <v>0.45834296874633401</v>
      </c>
      <c r="R5527">
        <v>0.97252293318043104</v>
      </c>
      <c r="S5527" t="s">
        <v>12530</v>
      </c>
      <c r="T5527" t="s">
        <v>14004</v>
      </c>
      <c r="U5527" t="s">
        <v>14004</v>
      </c>
      <c r="V5527" t="s">
        <v>14004</v>
      </c>
      <c r="W5527" t="s">
        <v>19476</v>
      </c>
      <c r="X5527">
        <v>8</v>
      </c>
      <c r="Y5527" t="s">
        <v>26278</v>
      </c>
      <c r="Z5527" t="s">
        <v>33237</v>
      </c>
      <c r="AA5527">
        <v>0.74708649611065592</v>
      </c>
      <c r="AB5527" t="str">
        <f>HYPERLINK("Melting_Curves/meltCurve_Q96T83_SLC9A7.pdf", "Melting_Curves/meltCurve_Q96T83_SLC9A7.pdf")</f>
        <v>Melting_Curves/meltCurve_Q96T83_SLC9A7.pdf</v>
      </c>
    </row>
    <row r="5528" spans="1:28" x14ac:dyDescent="0.25">
      <c r="A5528" t="s">
        <v>5532</v>
      </c>
      <c r="B5528">
        <v>0.99999676499088797</v>
      </c>
      <c r="C5528">
        <v>0.66614598943692005</v>
      </c>
      <c r="D5528">
        <v>0.27274427350831698</v>
      </c>
      <c r="E5528">
        <v>0.188791831607067</v>
      </c>
      <c r="F5528">
        <v>0.14183590138489499</v>
      </c>
      <c r="G5528">
        <v>0.10022610506773</v>
      </c>
      <c r="H5528">
        <v>5.1829288325883502E-2</v>
      </c>
      <c r="I5528">
        <v>4.8438649890299598E-2</v>
      </c>
      <c r="J5528">
        <v>4.7629304060497001E-2</v>
      </c>
      <c r="K5528">
        <v>3.0675083772412601E-2</v>
      </c>
      <c r="L5528">
        <v>1168.91519610007</v>
      </c>
      <c r="M5528">
        <v>26.5946628392945</v>
      </c>
      <c r="N5528">
        <v>44.228080095506499</v>
      </c>
      <c r="O5528">
        <v>43.7067408037692</v>
      </c>
      <c r="P5528">
        <v>-0.14052563897935499</v>
      </c>
      <c r="Q5528">
        <v>7.62277177858139E-2</v>
      </c>
      <c r="R5528">
        <v>0.981483887779526</v>
      </c>
      <c r="S5528" t="s">
        <v>12531</v>
      </c>
      <c r="T5528" t="s">
        <v>14004</v>
      </c>
      <c r="U5528" t="s">
        <v>14004</v>
      </c>
      <c r="V5528" t="s">
        <v>14004</v>
      </c>
      <c r="W5528" t="s">
        <v>19477</v>
      </c>
      <c r="X5528">
        <v>19</v>
      </c>
      <c r="Y5528" t="s">
        <v>26279</v>
      </c>
      <c r="Z5528" t="s">
        <v>33238</v>
      </c>
      <c r="AA5528">
        <v>0.20711951587308269</v>
      </c>
      <c r="AB5528" t="str">
        <f>HYPERLINK("Melting_Curves/meltCurve_Q96T88_UHRF1.pdf", "Melting_Curves/meltCurve_Q96T88_UHRF1.pdf")</f>
        <v>Melting_Curves/meltCurve_Q96T88_UHRF1.pdf</v>
      </c>
    </row>
    <row r="5529" spans="1:28" x14ac:dyDescent="0.25">
      <c r="A5529" t="s">
        <v>5533</v>
      </c>
      <c r="B5529">
        <v>0.99999676499088797</v>
      </c>
      <c r="C5529">
        <v>1.0091564050963</v>
      </c>
      <c r="D5529">
        <v>1.08930748325926</v>
      </c>
      <c r="E5529">
        <v>1.1961320184198201</v>
      </c>
      <c r="F5529">
        <v>0.62849424872109105</v>
      </c>
      <c r="G5529">
        <v>0.19919016925032099</v>
      </c>
      <c r="H5529">
        <v>7.4887192013151402E-2</v>
      </c>
      <c r="I5529">
        <v>7.2526817766522395E-2</v>
      </c>
      <c r="J5529">
        <v>6.5027187942161696E-2</v>
      </c>
      <c r="K5529">
        <v>5.9200241784223603E-2</v>
      </c>
      <c r="L5529">
        <v>2685.8449740436499</v>
      </c>
      <c r="M5529">
        <v>49.963198827670197</v>
      </c>
      <c r="N5529">
        <v>53.9431637973628</v>
      </c>
      <c r="O5529">
        <v>53.670557699985999</v>
      </c>
      <c r="P5529">
        <v>-0.214252515377124</v>
      </c>
      <c r="Q5529">
        <v>7.9399040679474606E-2</v>
      </c>
      <c r="R5529">
        <v>0.97367445036568401</v>
      </c>
      <c r="S5529" t="s">
        <v>12532</v>
      </c>
      <c r="T5529" t="s">
        <v>14004</v>
      </c>
      <c r="U5529" t="s">
        <v>14004</v>
      </c>
      <c r="V5529" t="s">
        <v>14004</v>
      </c>
      <c r="W5529" t="s">
        <v>19478</v>
      </c>
      <c r="X5529">
        <v>8</v>
      </c>
      <c r="Y5529" t="s">
        <v>26280</v>
      </c>
      <c r="Z5529" t="s">
        <v>33239</v>
      </c>
      <c r="AA5529">
        <v>0.50372519112097081</v>
      </c>
      <c r="AB5529" t="str">
        <f>HYPERLINK("Melting_Curves/meltCurve_Q96TA1_2_FAM129B.pdf", "Melting_Curves/meltCurve_Q96TA1_2_FAM129B.pdf")</f>
        <v>Melting_Curves/meltCurve_Q96TA1_2_FAM129B.pdf</v>
      </c>
    </row>
    <row r="5530" spans="1:28" x14ac:dyDescent="0.25">
      <c r="A5530" t="s">
        <v>5534</v>
      </c>
      <c r="B5530">
        <v>0.99999676499088797</v>
      </c>
      <c r="C5530">
        <v>1.0215898316237</v>
      </c>
      <c r="D5530">
        <v>0.978114237645614</v>
      </c>
      <c r="E5530">
        <v>0.96980463153005902</v>
      </c>
      <c r="F5530">
        <v>0.53175491496051497</v>
      </c>
      <c r="G5530">
        <v>0.34281777043054801</v>
      </c>
      <c r="H5530">
        <v>0.11106297090136</v>
      </c>
      <c r="I5530">
        <v>9.9368508872184805E-2</v>
      </c>
      <c r="J5530">
        <v>9.9738930950200005E-2</v>
      </c>
      <c r="K5530">
        <v>9.5040747632080702E-2</v>
      </c>
      <c r="L5530">
        <v>1348.7903208564201</v>
      </c>
      <c r="M5530">
        <v>25.121725512987201</v>
      </c>
      <c r="N5530">
        <v>54.129779852873497</v>
      </c>
      <c r="O5530">
        <v>53.353451337107998</v>
      </c>
      <c r="P5530">
        <v>-0.106853194359465</v>
      </c>
      <c r="Q5530">
        <v>9.2273911895645697E-2</v>
      </c>
      <c r="R5530">
        <v>0.99047705268486896</v>
      </c>
      <c r="S5530" t="s">
        <v>12533</v>
      </c>
      <c r="T5530" t="s">
        <v>14004</v>
      </c>
      <c r="U5530" t="s">
        <v>14004</v>
      </c>
      <c r="V5530" t="s">
        <v>14004</v>
      </c>
      <c r="W5530" t="s">
        <v>19479</v>
      </c>
      <c r="X5530">
        <v>20</v>
      </c>
      <c r="Y5530" t="s">
        <v>26281</v>
      </c>
      <c r="Z5530" t="s">
        <v>33240</v>
      </c>
      <c r="AA5530">
        <v>0.51482143722595197</v>
      </c>
      <c r="AB5530" t="str">
        <f>HYPERLINK("Melting_Curves/meltCurve_Q96TA2_3_YME1L1.pdf", "Melting_Curves/meltCurve_Q96TA2_3_YME1L1.pdf")</f>
        <v>Melting_Curves/meltCurve_Q96TA2_3_YME1L1.pdf</v>
      </c>
    </row>
    <row r="5531" spans="1:28" x14ac:dyDescent="0.25">
      <c r="A5531" t="s">
        <v>5535</v>
      </c>
      <c r="B5531">
        <v>0.99999676499088797</v>
      </c>
      <c r="C5531">
        <v>1.0141856077042799</v>
      </c>
      <c r="D5531">
        <v>1.0077439217975901</v>
      </c>
      <c r="E5531">
        <v>0.89201288571725801</v>
      </c>
      <c r="F5531">
        <v>0.32521199747641999</v>
      </c>
      <c r="G5531">
        <v>0.23763563546182401</v>
      </c>
      <c r="H5531">
        <v>0.113673059045757</v>
      </c>
      <c r="I5531">
        <v>7.9411275682233995E-2</v>
      </c>
      <c r="J5531">
        <v>8.4776136185578096E-2</v>
      </c>
      <c r="K5531">
        <v>5.05447506516686E-2</v>
      </c>
      <c r="L5531">
        <v>1957.4692815283499</v>
      </c>
      <c r="M5531">
        <v>37.704658803369597</v>
      </c>
      <c r="N5531">
        <v>52.2273313502712</v>
      </c>
      <c r="O5531">
        <v>51.770454930214797</v>
      </c>
      <c r="P5531">
        <v>-0.16374321678763001</v>
      </c>
      <c r="Q5531">
        <v>0.10069059153016199</v>
      </c>
      <c r="R5531">
        <v>0.99064266264963496</v>
      </c>
      <c r="S5531" t="s">
        <v>12534</v>
      </c>
      <c r="T5531" t="s">
        <v>14004</v>
      </c>
      <c r="U5531" t="s">
        <v>14004</v>
      </c>
      <c r="V5531" t="s">
        <v>14004</v>
      </c>
      <c r="W5531" t="s">
        <v>19480</v>
      </c>
      <c r="X5531">
        <v>1</v>
      </c>
      <c r="Y5531" t="s">
        <v>26282</v>
      </c>
      <c r="Z5531" t="s">
        <v>33241</v>
      </c>
      <c r="AA5531">
        <v>0.46152447703856952</v>
      </c>
      <c r="AB5531" t="str">
        <f>HYPERLINK("Melting_Curves/meltCurve_Q96TC7_RMDN3.pdf", "Melting_Curves/meltCurve_Q96TC7_RMDN3.pdf")</f>
        <v>Melting_Curves/meltCurve_Q96TC7_RMDN3.pdf</v>
      </c>
    </row>
    <row r="5532" spans="1:28" x14ac:dyDescent="0.25">
      <c r="A5532" t="s">
        <v>5536</v>
      </c>
      <c r="B5532">
        <v>0.99999676499088797</v>
      </c>
      <c r="C5532">
        <v>0.79090363729859103</v>
      </c>
      <c r="D5532">
        <v>0.51908180796937597</v>
      </c>
      <c r="E5532">
        <v>0.28713641192048101</v>
      </c>
      <c r="F5532">
        <v>0.24335553766620399</v>
      </c>
      <c r="G5532">
        <v>0.20728268013353299</v>
      </c>
      <c r="H5532">
        <v>0.16939716027174201</v>
      </c>
      <c r="I5532">
        <v>0.23921587691266299</v>
      </c>
      <c r="J5532">
        <v>0.247304779714694</v>
      </c>
      <c r="K5532">
        <v>0.29227835619599701</v>
      </c>
      <c r="L5532">
        <v>1118.08062983427</v>
      </c>
      <c r="M5532">
        <v>24.907308457308801</v>
      </c>
      <c r="N5532">
        <v>46.024283809635698</v>
      </c>
      <c r="O5532">
        <v>44.603297140966497</v>
      </c>
      <c r="P5532">
        <v>-0.107578481369699</v>
      </c>
      <c r="Q5532">
        <v>0.22941661968810301</v>
      </c>
      <c r="R5532">
        <v>0.98468949965875197</v>
      </c>
      <c r="S5532" t="s">
        <v>12535</v>
      </c>
      <c r="T5532" t="s">
        <v>14004</v>
      </c>
      <c r="U5532" t="s">
        <v>14004</v>
      </c>
      <c r="V5532" t="s">
        <v>14004</v>
      </c>
      <c r="W5532" t="s">
        <v>19481</v>
      </c>
      <c r="X5532">
        <v>9</v>
      </c>
      <c r="Y5532" t="s">
        <v>26283</v>
      </c>
      <c r="Z5532" t="s">
        <v>33242</v>
      </c>
      <c r="AA5532">
        <v>0.36285185922422808</v>
      </c>
      <c r="AB5532" t="str">
        <f>HYPERLINK("Melting_Curves/meltCurve_Q99081_TCF12.pdf", "Melting_Curves/meltCurve_Q99081_TCF12.pdf")</f>
        <v>Melting_Curves/meltCurve_Q99081_TCF12.pdf</v>
      </c>
    </row>
    <row r="5533" spans="1:28" x14ac:dyDescent="0.25">
      <c r="A5533" t="s">
        <v>5537</v>
      </c>
      <c r="B5533">
        <v>0.99999676499088797</v>
      </c>
      <c r="C5533">
        <v>0.99344806560254695</v>
      </c>
      <c r="D5533">
        <v>1.0253682730412499</v>
      </c>
      <c r="E5533">
        <v>1.07760024040113</v>
      </c>
      <c r="F5533">
        <v>0.96484152159124403</v>
      </c>
      <c r="G5533">
        <v>0.94031265659684404</v>
      </c>
      <c r="H5533">
        <v>0.61929910049874504</v>
      </c>
      <c r="I5533">
        <v>0.65258527578048398</v>
      </c>
      <c r="J5533">
        <v>0.54248159717427802</v>
      </c>
      <c r="K5533">
        <v>0.64508681630453202</v>
      </c>
      <c r="L5533">
        <v>4662.2271978119898</v>
      </c>
      <c r="M5533">
        <v>80.387702735747297</v>
      </c>
      <c r="O5533">
        <v>57.960908957583598</v>
      </c>
      <c r="P5533">
        <v>-0.13435548538102099</v>
      </c>
      <c r="Q5533">
        <v>0.61250963536401504</v>
      </c>
      <c r="R5533">
        <v>0.95876368432608305</v>
      </c>
      <c r="S5533" t="s">
        <v>12536</v>
      </c>
      <c r="T5533" t="s">
        <v>14004</v>
      </c>
      <c r="U5533" t="s">
        <v>14004</v>
      </c>
      <c r="V5533" t="s">
        <v>14004</v>
      </c>
      <c r="W5533" t="s">
        <v>19482</v>
      </c>
      <c r="X5533">
        <v>13</v>
      </c>
      <c r="Y5533" t="s">
        <v>26284</v>
      </c>
      <c r="Z5533" t="s">
        <v>33243</v>
      </c>
      <c r="AA5533">
        <v>0.84534432066800258</v>
      </c>
      <c r="AB5533" t="str">
        <f>HYPERLINK("Melting_Curves/meltCurve_Q99417_MYCBP.pdf", "Melting_Curves/meltCurve_Q99417_MYCBP.pdf")</f>
        <v>Melting_Curves/meltCurve_Q99417_MYCBP.pdf</v>
      </c>
    </row>
    <row r="5534" spans="1:28" x14ac:dyDescent="0.25">
      <c r="A5534" t="s">
        <v>5538</v>
      </c>
      <c r="B5534">
        <v>0.99999676499088797</v>
      </c>
      <c r="C5534">
        <v>0.90698115914737398</v>
      </c>
      <c r="D5534">
        <v>0.81517225046356601</v>
      </c>
      <c r="E5534">
        <v>0.35791518969146602</v>
      </c>
      <c r="F5534">
        <v>0.21827749990612499</v>
      </c>
      <c r="G5534">
        <v>0.15964888397097601</v>
      </c>
      <c r="H5534">
        <v>9.3847104639306497E-2</v>
      </c>
      <c r="I5534">
        <v>0.104705902414677</v>
      </c>
      <c r="J5534">
        <v>8.7794346890322394E-2</v>
      </c>
      <c r="K5534">
        <v>9.8381385635882501E-2</v>
      </c>
      <c r="L5534">
        <v>1147.56662435351</v>
      </c>
      <c r="M5534">
        <v>23.856649752440202</v>
      </c>
      <c r="N5534">
        <v>48.578258931324903</v>
      </c>
      <c r="O5534">
        <v>47.768426097129101</v>
      </c>
      <c r="P5534">
        <v>-0.111852378474047</v>
      </c>
      <c r="Q5534">
        <v>0.104161661151237</v>
      </c>
      <c r="R5534">
        <v>0.99355486118247005</v>
      </c>
      <c r="S5534" t="s">
        <v>12537</v>
      </c>
      <c r="T5534" t="s">
        <v>14004</v>
      </c>
      <c r="U5534" t="s">
        <v>14004</v>
      </c>
      <c r="V5534" t="s">
        <v>14004</v>
      </c>
      <c r="W5534" t="s">
        <v>19483</v>
      </c>
      <c r="X5534">
        <v>19</v>
      </c>
      <c r="Y5534" t="s">
        <v>26285</v>
      </c>
      <c r="Z5534" t="s">
        <v>33244</v>
      </c>
      <c r="AA5534">
        <v>0.35485740882335531</v>
      </c>
      <c r="AB5534" t="str">
        <f>HYPERLINK("Melting_Curves/meltCurve_Q99426_TBCB.pdf", "Melting_Curves/meltCurve_Q99426_TBCB.pdf")</f>
        <v>Melting_Curves/meltCurve_Q99426_TBCB.pdf</v>
      </c>
    </row>
    <row r="5535" spans="1:28" x14ac:dyDescent="0.25">
      <c r="A5535" t="s">
        <v>5539</v>
      </c>
      <c r="B5535">
        <v>0.99999676499088797</v>
      </c>
      <c r="C5535">
        <v>1.08745301560019</v>
      </c>
      <c r="D5535">
        <v>1.20996548747925</v>
      </c>
      <c r="E5535">
        <v>1.39989355840041</v>
      </c>
      <c r="F5535">
        <v>1.3116977062042801</v>
      </c>
      <c r="G5535">
        <v>1.41378425794437</v>
      </c>
      <c r="H5535">
        <v>0.88669871734432104</v>
      </c>
      <c r="I5535">
        <v>0.76660710179358704</v>
      </c>
      <c r="J5535">
        <v>0.49804793569488298</v>
      </c>
      <c r="K5535">
        <v>0.448622597597851</v>
      </c>
      <c r="L5535">
        <v>2719.2608621511899</v>
      </c>
      <c r="M5535">
        <v>42.243741870849099</v>
      </c>
      <c r="N5535">
        <v>67.364480626380399</v>
      </c>
      <c r="O5535">
        <v>64.226989220794195</v>
      </c>
      <c r="P5535">
        <v>-9.4794472497905402E-2</v>
      </c>
      <c r="Q5535">
        <v>0.42350244859040498</v>
      </c>
      <c r="R5535">
        <v>0.55846903502272005</v>
      </c>
      <c r="S5535" t="s">
        <v>12538</v>
      </c>
      <c r="T5535" t="s">
        <v>14004</v>
      </c>
      <c r="U5535" t="s">
        <v>14004</v>
      </c>
      <c r="V5535" t="s">
        <v>14004</v>
      </c>
      <c r="W5535" t="s">
        <v>19484</v>
      </c>
      <c r="X5535">
        <v>11</v>
      </c>
      <c r="Y5535" t="s">
        <v>26286</v>
      </c>
      <c r="Z5535" t="s">
        <v>33245</v>
      </c>
      <c r="AA5535">
        <v>0.89291897272976972</v>
      </c>
      <c r="AB5535" t="str">
        <f>HYPERLINK("Melting_Curves/meltCurve_Q99436_PSMB7.pdf", "Melting_Curves/meltCurve_Q99436_PSMB7.pdf")</f>
        <v>Melting_Curves/meltCurve_Q99436_PSMB7.pdf</v>
      </c>
    </row>
    <row r="5536" spans="1:28" x14ac:dyDescent="0.25">
      <c r="A5536" t="s">
        <v>5540</v>
      </c>
      <c r="B5536">
        <v>0.99999676499088797</v>
      </c>
      <c r="C5536">
        <v>0.989312674772445</v>
      </c>
      <c r="D5536">
        <v>0.99287987862086602</v>
      </c>
      <c r="E5536">
        <v>0.85680914763425398</v>
      </c>
      <c r="F5536">
        <v>0.65213660128141204</v>
      </c>
      <c r="G5536">
        <v>0.55697140157495295</v>
      </c>
      <c r="H5536">
        <v>0.26095585990156001</v>
      </c>
      <c r="I5536">
        <v>0.22608293395095999</v>
      </c>
      <c r="J5536">
        <v>0.164856450272027</v>
      </c>
      <c r="K5536">
        <v>0.157480520598197</v>
      </c>
      <c r="L5536">
        <v>790.64914334667401</v>
      </c>
      <c r="M5536">
        <v>14.1868256940921</v>
      </c>
      <c r="N5536">
        <v>56.584835165439301</v>
      </c>
      <c r="O5536">
        <v>54.658967095315397</v>
      </c>
      <c r="P5536">
        <v>-5.8644503772175102E-2</v>
      </c>
      <c r="Q5536">
        <v>9.6332186838297099E-2</v>
      </c>
      <c r="R5536">
        <v>0.99109595834834796</v>
      </c>
      <c r="S5536" t="s">
        <v>12539</v>
      </c>
      <c r="T5536" t="s">
        <v>14004</v>
      </c>
      <c r="U5536" t="s">
        <v>14004</v>
      </c>
      <c r="V5536" t="s">
        <v>14004</v>
      </c>
      <c r="W5536" t="s">
        <v>19485</v>
      </c>
      <c r="X5536">
        <v>8</v>
      </c>
      <c r="Y5536" t="s">
        <v>26287</v>
      </c>
      <c r="Z5536" t="s">
        <v>33246</v>
      </c>
      <c r="AA5536">
        <v>0.5874359393944526</v>
      </c>
      <c r="AB5536" t="str">
        <f>HYPERLINK("Melting_Curves/meltCurve_Q99442_SEC62.pdf", "Melting_Curves/meltCurve_Q99442_SEC62.pdf")</f>
        <v>Melting_Curves/meltCurve_Q99442_SEC62.pdf</v>
      </c>
    </row>
    <row r="5537" spans="1:28" x14ac:dyDescent="0.25">
      <c r="A5537" t="s">
        <v>5541</v>
      </c>
      <c r="B5537">
        <v>0.99999676499088797</v>
      </c>
      <c r="C5537">
        <v>0.97700797372992798</v>
      </c>
      <c r="D5537">
        <v>1.01068526230356</v>
      </c>
      <c r="E5537">
        <v>1.15817166452105</v>
      </c>
      <c r="F5537">
        <v>0.90875340572360896</v>
      </c>
      <c r="G5537">
        <v>0.407752487081596</v>
      </c>
      <c r="H5537">
        <v>0.13345034763352201</v>
      </c>
      <c r="I5537">
        <v>0.106831714541873</v>
      </c>
      <c r="J5537">
        <v>9.6380126375753897E-2</v>
      </c>
      <c r="K5537">
        <v>0.113958996790574</v>
      </c>
      <c r="L5537">
        <v>2531.1691336092299</v>
      </c>
      <c r="M5537">
        <v>45.246186025087802</v>
      </c>
      <c r="N5537">
        <v>56.238411544808002</v>
      </c>
      <c r="O5537">
        <v>55.833182441836101</v>
      </c>
      <c r="P5537">
        <v>-0.18111398201274001</v>
      </c>
      <c r="Q5537">
        <v>0.10603193388868</v>
      </c>
      <c r="R5537">
        <v>0.98558920641194003</v>
      </c>
      <c r="S5537" t="s">
        <v>12540</v>
      </c>
      <c r="T5537" t="s">
        <v>14004</v>
      </c>
      <c r="U5537" t="s">
        <v>14004</v>
      </c>
      <c r="V5537" t="s">
        <v>14004</v>
      </c>
      <c r="W5537" t="s">
        <v>19486</v>
      </c>
      <c r="X5537">
        <v>17</v>
      </c>
      <c r="Y5537" t="s">
        <v>26288</v>
      </c>
      <c r="Z5537" t="s">
        <v>33247</v>
      </c>
      <c r="AA5537">
        <v>0.58378150052881073</v>
      </c>
      <c r="AB5537" t="str">
        <f>HYPERLINK("Melting_Curves/meltCurve_Q99447_PCYT2.pdf", "Melting_Curves/meltCurve_Q99447_PCYT2.pdf")</f>
        <v>Melting_Curves/meltCurve_Q99447_PCYT2.pdf</v>
      </c>
    </row>
    <row r="5538" spans="1:28" x14ac:dyDescent="0.25">
      <c r="A5538" t="s">
        <v>5542</v>
      </c>
      <c r="B5538">
        <v>0.99999676499088797</v>
      </c>
      <c r="C5538">
        <v>1.10545770848379</v>
      </c>
      <c r="D5538">
        <v>0.81804337330757804</v>
      </c>
      <c r="E5538">
        <v>0.305655021317221</v>
      </c>
      <c r="F5538">
        <v>0.19950822370726301</v>
      </c>
      <c r="G5538">
        <v>0.148754891145959</v>
      </c>
      <c r="H5538">
        <v>8.1734941309288003E-2</v>
      </c>
      <c r="I5538">
        <v>9.5300268175810193E-2</v>
      </c>
      <c r="J5538">
        <v>0.110748068687408</v>
      </c>
      <c r="K5538">
        <v>0.111185190882235</v>
      </c>
      <c r="L5538">
        <v>1723.8466539383101</v>
      </c>
      <c r="M5538">
        <v>36.024847030768498</v>
      </c>
      <c r="N5538">
        <v>48.2149203237298</v>
      </c>
      <c r="O5538">
        <v>47.7048690497233</v>
      </c>
      <c r="P5538">
        <v>-0.166349701430442</v>
      </c>
      <c r="Q5538">
        <v>0.118867511813722</v>
      </c>
      <c r="R5538">
        <v>0.986341782455191</v>
      </c>
      <c r="S5538" t="s">
        <v>12541</v>
      </c>
      <c r="T5538" t="s">
        <v>14004</v>
      </c>
      <c r="U5538" t="s">
        <v>14004</v>
      </c>
      <c r="V5538" t="s">
        <v>14004</v>
      </c>
      <c r="W5538" t="s">
        <v>19487</v>
      </c>
      <c r="X5538">
        <v>19</v>
      </c>
      <c r="Y5538" t="s">
        <v>26289</v>
      </c>
      <c r="Z5538" t="s">
        <v>33248</v>
      </c>
      <c r="AA5538">
        <v>0.35310036554441482</v>
      </c>
      <c r="AB5538" t="str">
        <f>HYPERLINK("Melting_Curves/meltCurve_Q99459_CDC5L.pdf", "Melting_Curves/meltCurve_Q99459_CDC5L.pdf")</f>
        <v>Melting_Curves/meltCurve_Q99459_CDC5L.pdf</v>
      </c>
    </row>
    <row r="5539" spans="1:28" x14ac:dyDescent="0.25">
      <c r="A5539" t="s">
        <v>5543</v>
      </c>
      <c r="B5539">
        <v>0.99999676499088797</v>
      </c>
      <c r="C5539">
        <v>0.97969007433893196</v>
      </c>
      <c r="D5539">
        <v>1.0570499982035599</v>
      </c>
      <c r="E5539">
        <v>1.2471247798076901</v>
      </c>
      <c r="F5539">
        <v>1.2897953155720301</v>
      </c>
      <c r="G5539">
        <v>0.57974848003697399</v>
      </c>
      <c r="H5539">
        <v>0.15566164094774099</v>
      </c>
      <c r="I5539">
        <v>0.11664994411266801</v>
      </c>
      <c r="J5539">
        <v>0.103225220796717</v>
      </c>
      <c r="K5539">
        <v>8.5926727040866305E-2</v>
      </c>
      <c r="L5539">
        <v>14205.671805019099</v>
      </c>
      <c r="M5539">
        <v>250</v>
      </c>
      <c r="N5539">
        <v>56.882393836309603</v>
      </c>
      <c r="O5539">
        <v>56.819075074454197</v>
      </c>
      <c r="P5539">
        <v>-0.97308267018629202</v>
      </c>
      <c r="Q5539">
        <v>0.115365857569997</v>
      </c>
      <c r="R5539">
        <v>0.93454389857319298</v>
      </c>
      <c r="S5539" t="s">
        <v>12542</v>
      </c>
      <c r="T5539" t="s">
        <v>14004</v>
      </c>
      <c r="U5539" t="s">
        <v>14004</v>
      </c>
      <c r="V5539" t="s">
        <v>14004</v>
      </c>
      <c r="W5539" t="s">
        <v>19488</v>
      </c>
      <c r="X5539">
        <v>40</v>
      </c>
      <c r="Y5539" t="s">
        <v>26290</v>
      </c>
      <c r="Z5539" t="s">
        <v>33249</v>
      </c>
      <c r="AA5539">
        <v>0.61151819195685697</v>
      </c>
      <c r="AB5539" t="str">
        <f>HYPERLINK("Melting_Curves/meltCurve_Q99460_PSMD1.pdf", "Melting_Curves/meltCurve_Q99460_PSMD1.pdf")</f>
        <v>Melting_Curves/meltCurve_Q99460_PSMD1.pdf</v>
      </c>
    </row>
    <row r="5540" spans="1:28" x14ac:dyDescent="0.25">
      <c r="A5540" t="s">
        <v>5544</v>
      </c>
      <c r="B5540">
        <v>0.99999676499088797</v>
      </c>
      <c r="C5540">
        <v>0.89212104255698099</v>
      </c>
      <c r="D5540">
        <v>0.89555782502966297</v>
      </c>
      <c r="E5540">
        <v>0.95340338323920704</v>
      </c>
      <c r="F5540">
        <v>0.78758552786505798</v>
      </c>
      <c r="G5540">
        <v>0.55759746798594201</v>
      </c>
      <c r="H5540">
        <v>0.26629740157942799</v>
      </c>
      <c r="I5540">
        <v>0.12629749716077099</v>
      </c>
      <c r="J5540">
        <v>0.121079799317002</v>
      </c>
      <c r="K5540">
        <v>0.10973419385717501</v>
      </c>
      <c r="L5540">
        <v>1058.6915571204299</v>
      </c>
      <c r="M5540">
        <v>18.625408880885001</v>
      </c>
      <c r="N5540">
        <v>57.2337514011097</v>
      </c>
      <c r="O5540">
        <v>56.198166417272297</v>
      </c>
      <c r="P5540">
        <v>-7.7891717317292705E-2</v>
      </c>
      <c r="Q5540">
        <v>5.9954503297824403E-2</v>
      </c>
      <c r="R5540">
        <v>0.98244189452197905</v>
      </c>
      <c r="S5540" t="s">
        <v>12543</v>
      </c>
      <c r="T5540" t="s">
        <v>14004</v>
      </c>
      <c r="U5540" t="s">
        <v>14004</v>
      </c>
      <c r="V5540" t="s">
        <v>14004</v>
      </c>
      <c r="W5540" t="s">
        <v>19489</v>
      </c>
      <c r="X5540">
        <v>2</v>
      </c>
      <c r="Y5540" t="s">
        <v>26291</v>
      </c>
      <c r="Z5540" t="s">
        <v>33250</v>
      </c>
      <c r="AA5540">
        <v>0.60028209903517227</v>
      </c>
      <c r="AB5540" t="str">
        <f>HYPERLINK("Melting_Curves/meltCurve_Q99470_SDF2.pdf", "Melting_Curves/meltCurve_Q99470_SDF2.pdf")</f>
        <v>Melting_Curves/meltCurve_Q99470_SDF2.pdf</v>
      </c>
    </row>
    <row r="5541" spans="1:28" x14ac:dyDescent="0.25">
      <c r="A5541" t="s">
        <v>5545</v>
      </c>
      <c r="B5541">
        <v>0.99999676499088797</v>
      </c>
      <c r="C5541">
        <v>1.0589250283384199</v>
      </c>
      <c r="D5541">
        <v>1.0516961986333799</v>
      </c>
      <c r="E5541">
        <v>0.96474820841645004</v>
      </c>
      <c r="F5541">
        <v>0.915703534121171</v>
      </c>
      <c r="G5541">
        <v>0.86095521279507803</v>
      </c>
      <c r="H5541">
        <v>0.49853968903211598</v>
      </c>
      <c r="I5541">
        <v>0.38029083663603303</v>
      </c>
      <c r="J5541">
        <v>0.211000739610957</v>
      </c>
      <c r="K5541">
        <v>0.18537449660272301</v>
      </c>
      <c r="L5541">
        <v>1256.4281888221799</v>
      </c>
      <c r="M5541">
        <v>20.791914960878799</v>
      </c>
      <c r="N5541">
        <v>61.350969673318602</v>
      </c>
      <c r="O5541">
        <v>59.878030868970299</v>
      </c>
      <c r="P5541">
        <v>-7.5160441057472993E-2</v>
      </c>
      <c r="Q5541">
        <v>0.134214705195671</v>
      </c>
      <c r="R5541">
        <v>0.98784956437221305</v>
      </c>
      <c r="S5541" t="s">
        <v>12544</v>
      </c>
      <c r="T5541" t="s">
        <v>14004</v>
      </c>
      <c r="U5541" t="s">
        <v>14004</v>
      </c>
      <c r="V5541" t="s">
        <v>14004</v>
      </c>
      <c r="W5541" t="s">
        <v>19490</v>
      </c>
      <c r="X5541">
        <v>14</v>
      </c>
      <c r="Y5541" t="s">
        <v>26292</v>
      </c>
      <c r="Z5541" t="s">
        <v>33251</v>
      </c>
      <c r="AA5541">
        <v>0.73025591496148579</v>
      </c>
      <c r="AB5541" t="str">
        <f>HYPERLINK("Melting_Curves/meltCurve_Q99471_PFDN5.pdf", "Melting_Curves/meltCurve_Q99471_PFDN5.pdf")</f>
        <v>Melting_Curves/meltCurve_Q99471_PFDN5.pdf</v>
      </c>
    </row>
    <row r="5542" spans="1:28" x14ac:dyDescent="0.25">
      <c r="A5542" t="s">
        <v>5546</v>
      </c>
      <c r="B5542">
        <v>0.99999676499088797</v>
      </c>
      <c r="C5542">
        <v>1.08466424052249</v>
      </c>
      <c r="D5542">
        <v>1.05410341577056</v>
      </c>
      <c r="E5542">
        <v>0.765422210030545</v>
      </c>
      <c r="F5542">
        <v>0.56345768374433802</v>
      </c>
      <c r="G5542">
        <v>0.359145402954818</v>
      </c>
      <c r="H5542">
        <v>0.118109125384874</v>
      </c>
      <c r="I5542">
        <v>0.17278416683173101</v>
      </c>
      <c r="J5542">
        <v>0.12015377921605699</v>
      </c>
      <c r="K5542">
        <v>8.6060992130020594E-2</v>
      </c>
      <c r="L5542">
        <v>1010.95008877268</v>
      </c>
      <c r="M5542">
        <v>18.929462432614699</v>
      </c>
      <c r="N5542">
        <v>54.003977455619101</v>
      </c>
      <c r="O5542">
        <v>52.820855339458198</v>
      </c>
      <c r="P5542">
        <v>-8.11272372467811E-2</v>
      </c>
      <c r="Q5542">
        <v>9.4525468352189904E-2</v>
      </c>
      <c r="R5542">
        <v>0.98122725350000894</v>
      </c>
      <c r="S5542" t="s">
        <v>12545</v>
      </c>
      <c r="T5542" t="s">
        <v>14004</v>
      </c>
      <c r="U5542" t="s">
        <v>14004</v>
      </c>
      <c r="V5542" t="s">
        <v>14004</v>
      </c>
      <c r="W5542" t="s">
        <v>19491</v>
      </c>
      <c r="X5542">
        <v>4</v>
      </c>
      <c r="Y5542" t="s">
        <v>26293</v>
      </c>
      <c r="Z5542" t="s">
        <v>33252</v>
      </c>
      <c r="AA5542">
        <v>0.51273292085618793</v>
      </c>
      <c r="AB5542" t="str">
        <f>HYPERLINK("Melting_Curves/meltCurve_Q99487_PAFAH2.pdf", "Melting_Curves/meltCurve_Q99487_PAFAH2.pdf")</f>
        <v>Melting_Curves/meltCurve_Q99487_PAFAH2.pdf</v>
      </c>
    </row>
    <row r="5543" spans="1:28" x14ac:dyDescent="0.25">
      <c r="A5543" t="s">
        <v>5547</v>
      </c>
      <c r="B5543">
        <v>0.99999676499088797</v>
      </c>
      <c r="C5543">
        <v>0.92576034018148901</v>
      </c>
      <c r="D5543">
        <v>0.72692144324369601</v>
      </c>
      <c r="E5543">
        <v>0.275997272928443</v>
      </c>
      <c r="F5543">
        <v>0.20202154278517301</v>
      </c>
      <c r="G5543">
        <v>0.11752286320364699</v>
      </c>
      <c r="H5543">
        <v>5.7410786141495501E-2</v>
      </c>
      <c r="I5543">
        <v>5.2325237205349699E-2</v>
      </c>
      <c r="J5543">
        <v>4.9213167323707403E-2</v>
      </c>
      <c r="K5543">
        <v>4.0940365713156499E-2</v>
      </c>
      <c r="L5543">
        <v>1088.7618379338001</v>
      </c>
      <c r="M5543">
        <v>22.891072460668301</v>
      </c>
      <c r="N5543">
        <v>47.842322987326298</v>
      </c>
      <c r="O5543">
        <v>47.204208041442001</v>
      </c>
      <c r="P5543">
        <v>-0.11364623541938</v>
      </c>
      <c r="Q5543">
        <v>6.2607826346336298E-2</v>
      </c>
      <c r="R5543">
        <v>0.99311006338082697</v>
      </c>
      <c r="S5543" t="s">
        <v>12546</v>
      </c>
      <c r="T5543" t="s">
        <v>14004</v>
      </c>
      <c r="U5543" t="s">
        <v>14004</v>
      </c>
      <c r="V5543" t="s">
        <v>14004</v>
      </c>
      <c r="W5543" t="s">
        <v>19492</v>
      </c>
      <c r="X5543">
        <v>17</v>
      </c>
      <c r="Y5543" t="s">
        <v>26294</v>
      </c>
      <c r="Z5543" t="s">
        <v>33253</v>
      </c>
      <c r="AA5543">
        <v>0.30896459015395439</v>
      </c>
      <c r="AB5543" t="str">
        <f>HYPERLINK("Melting_Curves/meltCurve_Q99490_2_AGAP2.pdf", "Melting_Curves/meltCurve_Q99490_2_AGAP2.pdf")</f>
        <v>Melting_Curves/meltCurve_Q99490_2_AGAP2.pdf</v>
      </c>
    </row>
    <row r="5544" spans="1:28" x14ac:dyDescent="0.25">
      <c r="A5544" t="s">
        <v>5548</v>
      </c>
      <c r="B5544">
        <v>0.99999676499088797</v>
      </c>
      <c r="C5544">
        <v>0.94999691403229103</v>
      </c>
      <c r="D5544">
        <v>0.73982887734401004</v>
      </c>
      <c r="E5544">
        <v>0.56540819388470298</v>
      </c>
      <c r="F5544">
        <v>0.37086487182026601</v>
      </c>
      <c r="G5544">
        <v>0.27956953840374998</v>
      </c>
      <c r="H5544">
        <v>0.15193221209414001</v>
      </c>
      <c r="I5544">
        <v>0.175299400688329</v>
      </c>
      <c r="J5544">
        <v>0.18297922156996599</v>
      </c>
      <c r="K5544">
        <v>0.18514285887645501</v>
      </c>
      <c r="L5544">
        <v>742.19402803715695</v>
      </c>
      <c r="M5544">
        <v>15.082358496095701</v>
      </c>
      <c r="N5544">
        <v>50.473845319265401</v>
      </c>
      <c r="O5544">
        <v>48.368640590805299</v>
      </c>
      <c r="P5544">
        <v>-6.5697300800183503E-2</v>
      </c>
      <c r="Q5544">
        <v>0.15732675459430601</v>
      </c>
      <c r="R5544">
        <v>0.992659897104328</v>
      </c>
      <c r="S5544" t="s">
        <v>12547</v>
      </c>
      <c r="T5544" t="s">
        <v>14004</v>
      </c>
      <c r="U5544" t="s">
        <v>14004</v>
      </c>
      <c r="V5544" t="s">
        <v>14004</v>
      </c>
      <c r="W5544" t="s">
        <v>19493</v>
      </c>
      <c r="X5544">
        <v>9</v>
      </c>
      <c r="Y5544" t="s">
        <v>26295</v>
      </c>
      <c r="Z5544" t="s">
        <v>33254</v>
      </c>
      <c r="AA5544">
        <v>0.43644083002535539</v>
      </c>
      <c r="AB5544" t="str">
        <f>HYPERLINK("Melting_Curves/meltCurve_Q99496_RNF2.pdf", "Melting_Curves/meltCurve_Q99496_RNF2.pdf")</f>
        <v>Melting_Curves/meltCurve_Q99496_RNF2.pdf</v>
      </c>
    </row>
    <row r="5545" spans="1:28" x14ac:dyDescent="0.25">
      <c r="A5545" t="s">
        <v>5549</v>
      </c>
      <c r="B5545">
        <v>0.99999676499088797</v>
      </c>
      <c r="C5545">
        <v>0.926077764812824</v>
      </c>
      <c r="D5545">
        <v>0.95650079589844195</v>
      </c>
      <c r="E5545">
        <v>0.87646824432376402</v>
      </c>
      <c r="F5545">
        <v>0.76425015156305998</v>
      </c>
      <c r="G5545">
        <v>0.49613370106758498</v>
      </c>
      <c r="H5545">
        <v>0.231903188725226</v>
      </c>
      <c r="I5545">
        <v>0.154416202486195</v>
      </c>
      <c r="J5545">
        <v>0.12665685631353499</v>
      </c>
      <c r="K5545">
        <v>0.12048521641537099</v>
      </c>
      <c r="L5545">
        <v>977.86928367616099</v>
      </c>
      <c r="M5545">
        <v>17.452973867949101</v>
      </c>
      <c r="N5545">
        <v>56.539604521601802</v>
      </c>
      <c r="O5545">
        <v>55.308751942002402</v>
      </c>
      <c r="P5545">
        <v>-7.3138999774196897E-2</v>
      </c>
      <c r="Q5545">
        <v>7.29369125969173E-2</v>
      </c>
      <c r="R5545">
        <v>0.992960198541737</v>
      </c>
      <c r="S5545" t="s">
        <v>12548</v>
      </c>
      <c r="T5545" t="s">
        <v>14004</v>
      </c>
      <c r="U5545" t="s">
        <v>14004</v>
      </c>
      <c r="V5545" t="s">
        <v>14004</v>
      </c>
      <c r="W5545" t="s">
        <v>19494</v>
      </c>
      <c r="X5545">
        <v>21</v>
      </c>
      <c r="Y5545" t="s">
        <v>26296</v>
      </c>
      <c r="Z5545" t="s">
        <v>33255</v>
      </c>
      <c r="AA5545">
        <v>0.58238819750643855</v>
      </c>
      <c r="AB5545" t="str">
        <f>HYPERLINK("Melting_Curves/meltCurve_Q99497_PARK7.pdf", "Melting_Curves/meltCurve_Q99497_PARK7.pdf")</f>
        <v>Melting_Curves/meltCurve_Q99497_PARK7.pdf</v>
      </c>
    </row>
    <row r="5546" spans="1:28" x14ac:dyDescent="0.25">
      <c r="A5546" t="s">
        <v>5550</v>
      </c>
      <c r="B5546">
        <v>0.99999676499088797</v>
      </c>
      <c r="C5546">
        <v>0.93329257007716504</v>
      </c>
      <c r="D5546">
        <v>0.75094125480548901</v>
      </c>
      <c r="E5546">
        <v>0.56495903743543796</v>
      </c>
      <c r="F5546">
        <v>0.44816758015470898</v>
      </c>
      <c r="G5546">
        <v>0.42684742253817998</v>
      </c>
      <c r="H5546">
        <v>0.40511463278028997</v>
      </c>
      <c r="I5546">
        <v>0.172653450310539</v>
      </c>
      <c r="J5546">
        <v>0.196693228494146</v>
      </c>
      <c r="K5546">
        <v>0.210332204108305</v>
      </c>
      <c r="L5546">
        <v>518.97432051231306</v>
      </c>
      <c r="M5546">
        <v>10.2896257199118</v>
      </c>
      <c r="N5546">
        <v>52.532107671225603</v>
      </c>
      <c r="O5546">
        <v>48.643069106266999</v>
      </c>
      <c r="P5546">
        <v>-4.4001089920476501E-2</v>
      </c>
      <c r="Q5546">
        <v>0.168321479363751</v>
      </c>
      <c r="R5546">
        <v>0.95813163119551803</v>
      </c>
      <c r="S5546" t="s">
        <v>12549</v>
      </c>
      <c r="T5546" t="s">
        <v>14004</v>
      </c>
      <c r="U5546" t="s">
        <v>14004</v>
      </c>
      <c r="V5546" t="s">
        <v>14004</v>
      </c>
      <c r="W5546" t="s">
        <v>19495</v>
      </c>
      <c r="X5546">
        <v>3</v>
      </c>
      <c r="Y5546" t="s">
        <v>26297</v>
      </c>
      <c r="Z5546" t="s">
        <v>33256</v>
      </c>
      <c r="AA5546">
        <v>0.49258268914078129</v>
      </c>
      <c r="AB5546" t="str">
        <f>HYPERLINK("Melting_Curves/meltCurve_Q99501_GAS2L1.pdf", "Melting_Curves/meltCurve_Q99501_GAS2L1.pdf")</f>
        <v>Melting_Curves/meltCurve_Q99501_GAS2L1.pdf</v>
      </c>
    </row>
    <row r="5547" spans="1:28" x14ac:dyDescent="0.25">
      <c r="A5547" t="s">
        <v>5551</v>
      </c>
      <c r="B5547">
        <v>0.99999676499088797</v>
      </c>
      <c r="C5547">
        <v>0.95863344035410503</v>
      </c>
      <c r="D5547">
        <v>0.64607728750664395</v>
      </c>
      <c r="E5547">
        <v>0.52156140020450303</v>
      </c>
      <c r="F5547">
        <v>0.49942261822372402</v>
      </c>
      <c r="G5547">
        <v>0.357189694806057</v>
      </c>
      <c r="H5547">
        <v>0.158506846025214</v>
      </c>
      <c r="I5547">
        <v>0.15452391438591401</v>
      </c>
      <c r="J5547">
        <v>0.12729976715379901</v>
      </c>
      <c r="K5547">
        <v>0.117024334273736</v>
      </c>
      <c r="L5547">
        <v>496.39593117862302</v>
      </c>
      <c r="M5547">
        <v>9.7578948471600597</v>
      </c>
      <c r="N5547">
        <v>51.420222259091801</v>
      </c>
      <c r="O5547">
        <v>48.872652006769599</v>
      </c>
      <c r="P5547">
        <v>-4.7470930322792301E-2</v>
      </c>
      <c r="Q5547">
        <v>4.9470482342371502E-2</v>
      </c>
      <c r="R5547">
        <v>0.96151565808969797</v>
      </c>
      <c r="S5547" t="s">
        <v>12550</v>
      </c>
      <c r="T5547" t="s">
        <v>14004</v>
      </c>
      <c r="U5547" t="s">
        <v>14004</v>
      </c>
      <c r="V5547" t="s">
        <v>14004</v>
      </c>
      <c r="W5547" t="s">
        <v>19496</v>
      </c>
      <c r="X5547">
        <v>3</v>
      </c>
      <c r="Y5547" t="s">
        <v>26298</v>
      </c>
      <c r="Z5547" t="s">
        <v>33257</v>
      </c>
      <c r="AA5547">
        <v>0.43512574863671938</v>
      </c>
      <c r="AB5547" t="str">
        <f>HYPERLINK("Melting_Curves/meltCurve_Q99504_2_EYA3.pdf", "Melting_Curves/meltCurve_Q99504_2_EYA3.pdf")</f>
        <v>Melting_Curves/meltCurve_Q99504_2_EYA3.pdf</v>
      </c>
    </row>
    <row r="5548" spans="1:28" x14ac:dyDescent="0.25">
      <c r="A5548" t="s">
        <v>5552</v>
      </c>
      <c r="B5548">
        <v>0.99999676499088797</v>
      </c>
      <c r="C5548">
        <v>1.04042094150118</v>
      </c>
      <c r="D5548">
        <v>0.90575931473551097</v>
      </c>
      <c r="E5548">
        <v>0.90746880967847499</v>
      </c>
      <c r="F5548">
        <v>0.80569131096109903</v>
      </c>
      <c r="G5548">
        <v>0.60443859383143805</v>
      </c>
      <c r="H5548">
        <v>0.167443494445779</v>
      </c>
      <c r="I5548">
        <v>0.13385743413468901</v>
      </c>
      <c r="J5548">
        <v>0.128695368687997</v>
      </c>
      <c r="K5548">
        <v>0.117814758624306</v>
      </c>
      <c r="L5548">
        <v>1291.96658959248</v>
      </c>
      <c r="M5548">
        <v>22.776467967593</v>
      </c>
      <c r="N5548">
        <v>57.166281016311899</v>
      </c>
      <c r="O5548">
        <v>56.291911525215603</v>
      </c>
      <c r="P5548">
        <v>-9.2979579521562605E-2</v>
      </c>
      <c r="Q5548">
        <v>8.0823863764971401E-2</v>
      </c>
      <c r="R5548">
        <v>0.98178805068566999</v>
      </c>
      <c r="S5548" t="s">
        <v>12551</v>
      </c>
      <c r="T5548" t="s">
        <v>14004</v>
      </c>
      <c r="U5548" t="s">
        <v>14004</v>
      </c>
      <c r="V5548" t="s">
        <v>14004</v>
      </c>
      <c r="W5548" t="s">
        <v>19497</v>
      </c>
      <c r="X5548">
        <v>4</v>
      </c>
      <c r="Y5548" t="s">
        <v>26299</v>
      </c>
      <c r="Z5548" t="s">
        <v>33258</v>
      </c>
      <c r="AA5548">
        <v>0.60282593686132979</v>
      </c>
      <c r="AB5548" t="str">
        <f>HYPERLINK("Melting_Curves/meltCurve_Q99519_NEU1.pdf", "Melting_Curves/meltCurve_Q99519_NEU1.pdf")</f>
        <v>Melting_Curves/meltCurve_Q99519_NEU1.pdf</v>
      </c>
    </row>
    <row r="5549" spans="1:28" x14ac:dyDescent="0.25">
      <c r="A5549" t="s">
        <v>5553</v>
      </c>
      <c r="B5549">
        <v>0.99999676499088797</v>
      </c>
      <c r="C5549">
        <v>1.0140157319524099</v>
      </c>
      <c r="D5549">
        <v>1.02661669795976</v>
      </c>
      <c r="E5549">
        <v>1.1620828432002701</v>
      </c>
      <c r="F5549">
        <v>1.10488672299133</v>
      </c>
      <c r="G5549">
        <v>0.91375571530333599</v>
      </c>
      <c r="H5549">
        <v>0.50335279018498302</v>
      </c>
      <c r="I5549">
        <v>0.26424551285996301</v>
      </c>
      <c r="J5549">
        <v>0.19567452303503999</v>
      </c>
      <c r="K5549">
        <v>0.17450008828722399</v>
      </c>
      <c r="L5549">
        <v>2335.5711048084499</v>
      </c>
      <c r="M5549">
        <v>38.829010425885599</v>
      </c>
      <c r="N5549">
        <v>60.851450682696097</v>
      </c>
      <c r="O5549">
        <v>59.991278167961902</v>
      </c>
      <c r="P5549">
        <v>-0.13262305502983401</v>
      </c>
      <c r="Q5549">
        <v>0.180385191398442</v>
      </c>
      <c r="R5549">
        <v>0.97289864524067304</v>
      </c>
      <c r="S5549" t="s">
        <v>12552</v>
      </c>
      <c r="T5549" t="s">
        <v>14004</v>
      </c>
      <c r="U5549" t="s">
        <v>14004</v>
      </c>
      <c r="V5549" t="s">
        <v>14004</v>
      </c>
      <c r="W5549" t="s">
        <v>19498</v>
      </c>
      <c r="X5549">
        <v>21</v>
      </c>
      <c r="Y5549" t="s">
        <v>26300</v>
      </c>
      <c r="Z5549" t="s">
        <v>33259</v>
      </c>
      <c r="AA5549">
        <v>0.73425843325018347</v>
      </c>
      <c r="AB5549" t="str">
        <f>HYPERLINK("Melting_Curves/meltCurve_Q99523_SORT1.pdf", "Melting_Curves/meltCurve_Q99523_SORT1.pdf")</f>
        <v>Melting_Curves/meltCurve_Q99523_SORT1.pdf</v>
      </c>
    </row>
    <row r="5550" spans="1:28" x14ac:dyDescent="0.25">
      <c r="A5550" t="s">
        <v>5554</v>
      </c>
      <c r="B5550">
        <v>0.99999676499088797</v>
      </c>
      <c r="C5550">
        <v>0.97559145551314197</v>
      </c>
      <c r="D5550">
        <v>0.99779009011038799</v>
      </c>
      <c r="E5550">
        <v>1.0463783666628901</v>
      </c>
      <c r="F5550">
        <v>0.994115603820932</v>
      </c>
      <c r="G5550">
        <v>0.85382658853600701</v>
      </c>
      <c r="H5550">
        <v>0.43932916128594501</v>
      </c>
      <c r="I5550">
        <v>0.20728688332916301</v>
      </c>
      <c r="J5550">
        <v>0.14287849156622201</v>
      </c>
      <c r="K5550">
        <v>0.124137744862432</v>
      </c>
      <c r="L5550">
        <v>1922.9117035725601</v>
      </c>
      <c r="M5550">
        <v>32.192285495849397</v>
      </c>
      <c r="N5550">
        <v>60.229696921649598</v>
      </c>
      <c r="O5550">
        <v>59.502991231322198</v>
      </c>
      <c r="P5550">
        <v>-0.11946157912654</v>
      </c>
      <c r="Q5550">
        <v>0.116771505011139</v>
      </c>
      <c r="R5550">
        <v>0.99789079519233603</v>
      </c>
      <c r="S5550" t="s">
        <v>12553</v>
      </c>
      <c r="T5550" t="s">
        <v>14004</v>
      </c>
      <c r="U5550" t="s">
        <v>14004</v>
      </c>
      <c r="V5550" t="s">
        <v>14004</v>
      </c>
      <c r="W5550" t="s">
        <v>19499</v>
      </c>
      <c r="X5550">
        <v>19</v>
      </c>
      <c r="Y5550" t="s">
        <v>26301</v>
      </c>
      <c r="Z5550" t="s">
        <v>33260</v>
      </c>
      <c r="AA5550">
        <v>0.70264242757942696</v>
      </c>
      <c r="AB5550" t="str">
        <f>HYPERLINK("Melting_Curves/meltCurve_Q99536_VAT1.pdf", "Melting_Curves/meltCurve_Q99536_VAT1.pdf")</f>
        <v>Melting_Curves/meltCurve_Q99536_VAT1.pdf</v>
      </c>
    </row>
    <row r="5551" spans="1:28" x14ac:dyDescent="0.25">
      <c r="A5551" t="s">
        <v>5555</v>
      </c>
      <c r="B5551">
        <v>0.99999676499088797</v>
      </c>
      <c r="C5551">
        <v>0.80138574137206398</v>
      </c>
      <c r="D5551">
        <v>0.38558910893384601</v>
      </c>
      <c r="E5551">
        <v>0.21295877916457601</v>
      </c>
      <c r="F5551">
        <v>0.141125625522426</v>
      </c>
      <c r="G5551">
        <v>0.102300903196671</v>
      </c>
      <c r="H5551">
        <v>5.9567270469871897E-2</v>
      </c>
      <c r="I5551">
        <v>5.6683961147907899E-2</v>
      </c>
      <c r="J5551">
        <v>5.3389960521009902E-2</v>
      </c>
      <c r="K5551">
        <v>5.46398067739267E-2</v>
      </c>
      <c r="L5551">
        <v>1088.8355861628299</v>
      </c>
      <c r="M5551">
        <v>24.169268379925601</v>
      </c>
      <c r="N5551">
        <v>45.360626055420497</v>
      </c>
      <c r="O5551">
        <v>44.745420981715597</v>
      </c>
      <c r="P5551">
        <v>-0.12475367388639801</v>
      </c>
      <c r="Q5551">
        <v>7.6170943326221596E-2</v>
      </c>
      <c r="R5551">
        <v>0.99093822879730298</v>
      </c>
      <c r="S5551" t="s">
        <v>12554</v>
      </c>
      <c r="T5551" t="s">
        <v>14004</v>
      </c>
      <c r="U5551" t="s">
        <v>14004</v>
      </c>
      <c r="V5551" t="s">
        <v>14004</v>
      </c>
      <c r="W5551" t="s">
        <v>19500</v>
      </c>
      <c r="X5551">
        <v>21</v>
      </c>
      <c r="Y5551" t="s">
        <v>26302</v>
      </c>
      <c r="Z5551" t="s">
        <v>33261</v>
      </c>
      <c r="AA5551">
        <v>0.2416248210777846</v>
      </c>
      <c r="AB5551" t="str">
        <f>HYPERLINK("Melting_Curves/meltCurve_Q99543_DNAJC2.pdf", "Melting_Curves/meltCurve_Q99543_DNAJC2.pdf")</f>
        <v>Melting_Curves/meltCurve_Q99543_DNAJC2.pdf</v>
      </c>
    </row>
    <row r="5552" spans="1:28" x14ac:dyDescent="0.25">
      <c r="A5552" t="s">
        <v>5556</v>
      </c>
      <c r="B5552">
        <v>0.99999676499088797</v>
      </c>
      <c r="C5552">
        <v>0.88190512972867896</v>
      </c>
      <c r="D5552">
        <v>0.77635588650127796</v>
      </c>
      <c r="E5552">
        <v>0.37006192387549602</v>
      </c>
      <c r="F5552">
        <v>0.25071796153994602</v>
      </c>
      <c r="G5552">
        <v>0.184062239693217</v>
      </c>
      <c r="H5552">
        <v>0.113059687859137</v>
      </c>
      <c r="I5552">
        <v>0.227451479265253</v>
      </c>
      <c r="J5552">
        <v>0.17972597120811801</v>
      </c>
      <c r="K5552">
        <v>0.157923127767569</v>
      </c>
      <c r="L5552">
        <v>1112.2778880886301</v>
      </c>
      <c r="M5552">
        <v>23.3966431325988</v>
      </c>
      <c r="N5552">
        <v>48.389006915865899</v>
      </c>
      <c r="O5552">
        <v>47.196849398091203</v>
      </c>
      <c r="P5552">
        <v>-0.10307138083614099</v>
      </c>
      <c r="Q5552">
        <v>0.168332093239007</v>
      </c>
      <c r="R5552">
        <v>0.98737527904497802</v>
      </c>
      <c r="S5552" t="s">
        <v>12555</v>
      </c>
      <c r="T5552" t="s">
        <v>14004</v>
      </c>
      <c r="U5552" t="s">
        <v>14004</v>
      </c>
      <c r="V5552" t="s">
        <v>14004</v>
      </c>
      <c r="W5552" t="s">
        <v>19501</v>
      </c>
      <c r="X5552">
        <v>5</v>
      </c>
      <c r="Y5552" t="s">
        <v>26303</v>
      </c>
      <c r="Z5552" t="s">
        <v>33262</v>
      </c>
      <c r="AA5552">
        <v>0.38586560821098548</v>
      </c>
      <c r="AB5552" t="str">
        <f>HYPERLINK("Melting_Curves/meltCurve_Q99549_MPHOSPH8.pdf", "Melting_Curves/meltCurve_Q99549_MPHOSPH8.pdf")</f>
        <v>Melting_Curves/meltCurve_Q99549_MPHOSPH8.pdf</v>
      </c>
    </row>
    <row r="5553" spans="1:28" x14ac:dyDescent="0.25">
      <c r="A5553" t="s">
        <v>5557</v>
      </c>
      <c r="B5553">
        <v>0.99999676499088797</v>
      </c>
      <c r="C5553">
        <v>0.92746706244590804</v>
      </c>
      <c r="D5553">
        <v>0.78236444247463899</v>
      </c>
      <c r="E5553">
        <v>0.50507876763189097</v>
      </c>
      <c r="F5553">
        <v>0.243507982043069</v>
      </c>
      <c r="G5553">
        <v>0.168873292788292</v>
      </c>
      <c r="H5553">
        <v>9.4411805425304404E-2</v>
      </c>
      <c r="I5553">
        <v>8.9418268408449006E-2</v>
      </c>
      <c r="J5553">
        <v>8.6043883275192301E-2</v>
      </c>
      <c r="K5553">
        <v>9.1486151763573303E-2</v>
      </c>
      <c r="L5553">
        <v>886.19663209575594</v>
      </c>
      <c r="M5553">
        <v>18.066860577749299</v>
      </c>
      <c r="N5553">
        <v>49.5247795920721</v>
      </c>
      <c r="O5553">
        <v>48.461854302024697</v>
      </c>
      <c r="P5553">
        <v>-8.5808179374438895E-2</v>
      </c>
      <c r="Q5553">
        <v>7.9370577312259605E-2</v>
      </c>
      <c r="R5553">
        <v>0.99900795030922895</v>
      </c>
      <c r="S5553" t="s">
        <v>12556</v>
      </c>
      <c r="T5553" t="s">
        <v>14004</v>
      </c>
      <c r="U5553" t="s">
        <v>14004</v>
      </c>
      <c r="V5553" t="s">
        <v>14004</v>
      </c>
      <c r="W5553" t="s">
        <v>19502</v>
      </c>
      <c r="X5553">
        <v>15</v>
      </c>
      <c r="Y5553" t="s">
        <v>26304</v>
      </c>
      <c r="Z5553" t="s">
        <v>33263</v>
      </c>
      <c r="AA5553">
        <v>0.37293666365511818</v>
      </c>
      <c r="AB5553" t="str">
        <f>HYPERLINK("Melting_Curves/meltCurve_Q99567_NUP88.pdf", "Melting_Curves/meltCurve_Q99567_NUP88.pdf")</f>
        <v>Melting_Curves/meltCurve_Q99567_NUP88.pdf</v>
      </c>
    </row>
    <row r="5554" spans="1:28" x14ac:dyDescent="0.25">
      <c r="A5554" t="s">
        <v>5558</v>
      </c>
      <c r="B5554">
        <v>0.99999676499088797</v>
      </c>
      <c r="C5554">
        <v>1.0658211944156399</v>
      </c>
      <c r="D5554">
        <v>1.0552515622701399</v>
      </c>
      <c r="E5554">
        <v>1.17657345076875</v>
      </c>
      <c r="F5554">
        <v>0.53309065688124002</v>
      </c>
      <c r="G5554">
        <v>0.197191372552426</v>
      </c>
      <c r="H5554">
        <v>0.108243780713043</v>
      </c>
      <c r="I5554">
        <v>0.16594984841886601</v>
      </c>
      <c r="J5554">
        <v>0.29968419523886802</v>
      </c>
      <c r="K5554">
        <v>0.15147723985233999</v>
      </c>
      <c r="L5554">
        <v>13284.4515936645</v>
      </c>
      <c r="M5554">
        <v>250</v>
      </c>
      <c r="N5554">
        <v>53.235862291373003</v>
      </c>
      <c r="O5554">
        <v>53.134406055064701</v>
      </c>
      <c r="P5554">
        <v>-0.95923102740373301</v>
      </c>
      <c r="Q5554">
        <v>0.18450926864948999</v>
      </c>
      <c r="R5554">
        <v>0.96706811367095902</v>
      </c>
      <c r="S5554" t="s">
        <v>12557</v>
      </c>
      <c r="T5554" t="s">
        <v>14004</v>
      </c>
      <c r="U5554" t="s">
        <v>14004</v>
      </c>
      <c r="V5554" t="s">
        <v>14004</v>
      </c>
      <c r="W5554" t="s">
        <v>19503</v>
      </c>
      <c r="X5554">
        <v>13</v>
      </c>
      <c r="Y5554" t="s">
        <v>26305</v>
      </c>
      <c r="Z5554" t="s">
        <v>33264</v>
      </c>
      <c r="AA5554">
        <v>0.54171062903241129</v>
      </c>
      <c r="AB5554" t="str">
        <f>HYPERLINK("Melting_Curves/meltCurve_Q99570_PIK3R4.pdf", "Melting_Curves/meltCurve_Q99570_PIK3R4.pdf")</f>
        <v>Melting_Curves/meltCurve_Q99570_PIK3R4.pdf</v>
      </c>
    </row>
    <row r="5555" spans="1:28" x14ac:dyDescent="0.25">
      <c r="A5555" t="s">
        <v>5559</v>
      </c>
      <c r="B5555">
        <v>0.99999676499088797</v>
      </c>
      <c r="C5555">
        <v>1.1543634373337199</v>
      </c>
      <c r="D5555">
        <v>1.20370666990896</v>
      </c>
      <c r="E5555">
        <v>1.3880347768790799</v>
      </c>
      <c r="F5555">
        <v>0.86025741337117601</v>
      </c>
      <c r="G5555">
        <v>0.63112797155658396</v>
      </c>
      <c r="H5555">
        <v>0.217124491348794</v>
      </c>
      <c r="I5555">
        <v>0.210641272871542</v>
      </c>
      <c r="J5555">
        <v>0.19175541508188801</v>
      </c>
      <c r="K5555">
        <v>0.138100848282666</v>
      </c>
      <c r="L5555">
        <v>2060.14014260661</v>
      </c>
      <c r="M5555">
        <v>36.143666237568702</v>
      </c>
      <c r="N5555">
        <v>57.6455292660373</v>
      </c>
      <c r="O5555">
        <v>56.8250084375669</v>
      </c>
      <c r="P5555">
        <v>-0.13250451094150301</v>
      </c>
      <c r="Q5555">
        <v>0.16670915085594101</v>
      </c>
      <c r="R5555">
        <v>0.89104416225173499</v>
      </c>
      <c r="S5555" t="s">
        <v>12558</v>
      </c>
      <c r="T5555" t="s">
        <v>14004</v>
      </c>
      <c r="U5555" t="s">
        <v>14004</v>
      </c>
      <c r="V5555" t="s">
        <v>14004</v>
      </c>
      <c r="W5555" t="s">
        <v>19504</v>
      </c>
      <c r="X5555">
        <v>14</v>
      </c>
      <c r="Y5555" t="s">
        <v>26306</v>
      </c>
      <c r="Z5555" t="s">
        <v>33265</v>
      </c>
      <c r="AA5555">
        <v>0.64281375777330774</v>
      </c>
      <c r="AB5555" t="str">
        <f>HYPERLINK("Melting_Curves/meltCurve_Q99575_POP1.pdf", "Melting_Curves/meltCurve_Q99575_POP1.pdf")</f>
        <v>Melting_Curves/meltCurve_Q99575_POP1.pdf</v>
      </c>
    </row>
    <row r="5556" spans="1:28" x14ac:dyDescent="0.25">
      <c r="A5556" t="s">
        <v>5560</v>
      </c>
      <c r="B5556">
        <v>0.99999676499088797</v>
      </c>
      <c r="C5556">
        <v>0.85925602344130703</v>
      </c>
      <c r="D5556">
        <v>0.74296634933902805</v>
      </c>
      <c r="E5556">
        <v>0.51181969709112896</v>
      </c>
      <c r="F5556">
        <v>0.52064273508746495</v>
      </c>
      <c r="G5556">
        <v>0.43707607500956402</v>
      </c>
      <c r="H5556">
        <v>0.32842883036616599</v>
      </c>
      <c r="I5556">
        <v>0.35220772833011199</v>
      </c>
      <c r="J5556">
        <v>0.35133032575523199</v>
      </c>
      <c r="K5556">
        <v>0.35416125512908397</v>
      </c>
      <c r="L5556">
        <v>661.47177247549996</v>
      </c>
      <c r="M5556">
        <v>13.991410706578</v>
      </c>
      <c r="N5556">
        <v>51.577205415548001</v>
      </c>
      <c r="O5556">
        <v>46.342630738312501</v>
      </c>
      <c r="P5556">
        <v>-4.9499332921285603E-2</v>
      </c>
      <c r="Q5556">
        <v>0.34427630505182499</v>
      </c>
      <c r="R5556">
        <v>0.97504947299565303</v>
      </c>
      <c r="S5556" t="s">
        <v>12559</v>
      </c>
      <c r="T5556" t="s">
        <v>14004</v>
      </c>
      <c r="U5556" t="s">
        <v>14004</v>
      </c>
      <c r="V5556" t="s">
        <v>14004</v>
      </c>
      <c r="W5556" t="s">
        <v>19505</v>
      </c>
      <c r="X5556">
        <v>4</v>
      </c>
      <c r="Y5556" t="s">
        <v>26307</v>
      </c>
      <c r="Z5556" t="s">
        <v>33266</v>
      </c>
      <c r="AA5556">
        <v>0.52348441931674683</v>
      </c>
      <c r="AB5556" t="str">
        <f>HYPERLINK("Melting_Curves/meltCurve_Q99583_MNT.pdf", "Melting_Curves/meltCurve_Q99583_MNT.pdf")</f>
        <v>Melting_Curves/meltCurve_Q99583_MNT.pdf</v>
      </c>
    </row>
    <row r="5557" spans="1:28" x14ac:dyDescent="0.25">
      <c r="A5557" t="s">
        <v>5561</v>
      </c>
      <c r="B5557">
        <v>0.99999676499088797</v>
      </c>
      <c r="C5557">
        <v>1.0550837460067499</v>
      </c>
      <c r="D5557">
        <v>0.97728005203584201</v>
      </c>
      <c r="E5557">
        <v>1.1745501217649299</v>
      </c>
      <c r="F5557">
        <v>1.3192280967164201</v>
      </c>
      <c r="G5557">
        <v>1.1718089109468599</v>
      </c>
      <c r="H5557">
        <v>0.78500659471224798</v>
      </c>
      <c r="I5557">
        <v>0.51345988902272899</v>
      </c>
      <c r="J5557">
        <v>0.38583525186343498</v>
      </c>
      <c r="K5557">
        <v>0.36733763763146199</v>
      </c>
      <c r="L5557">
        <v>2955.4804732160701</v>
      </c>
      <c r="M5557">
        <v>47.738417076568503</v>
      </c>
      <c r="N5557">
        <v>63.776999143729498</v>
      </c>
      <c r="O5557">
        <v>61.801546567386701</v>
      </c>
      <c r="P5557">
        <v>-0.12042441738259201</v>
      </c>
      <c r="Q5557">
        <v>0.37640093692218801</v>
      </c>
      <c r="R5557">
        <v>0.84056622723928398</v>
      </c>
      <c r="S5557" t="s">
        <v>12560</v>
      </c>
      <c r="T5557" t="s">
        <v>14004</v>
      </c>
      <c r="U5557" t="s">
        <v>14004</v>
      </c>
      <c r="V5557" t="s">
        <v>14004</v>
      </c>
      <c r="W5557" t="s">
        <v>19506</v>
      </c>
      <c r="X5557">
        <v>2</v>
      </c>
      <c r="Y5557" t="s">
        <v>26308</v>
      </c>
      <c r="Z5557" t="s">
        <v>33267</v>
      </c>
      <c r="AA5557">
        <v>0.83355792267801143</v>
      </c>
      <c r="AB5557" t="str">
        <f>HYPERLINK("Melting_Curves/meltCurve_Q99595_TIMM17A.pdf", "Melting_Curves/meltCurve_Q99595_TIMM17A.pdf")</f>
        <v>Melting_Curves/meltCurve_Q99595_TIMM17A.pdf</v>
      </c>
    </row>
    <row r="5558" spans="1:28" x14ac:dyDescent="0.25">
      <c r="A5558" t="s">
        <v>5562</v>
      </c>
      <c r="B5558">
        <v>0.99999676499088797</v>
      </c>
      <c r="C5558">
        <v>0.94517739113114996</v>
      </c>
      <c r="D5558">
        <v>0.98110223748861902</v>
      </c>
      <c r="E5558">
        <v>0.97473780068430904</v>
      </c>
      <c r="F5558">
        <v>0.89855393984258802</v>
      </c>
      <c r="G5558">
        <v>0.72862212401156401</v>
      </c>
      <c r="H5558">
        <v>0.42725575291295398</v>
      </c>
      <c r="I5558">
        <v>0.21967774017704</v>
      </c>
      <c r="J5558">
        <v>0.12869907883988799</v>
      </c>
      <c r="K5558">
        <v>0.129511659626941</v>
      </c>
      <c r="L5558">
        <v>1191.4750301149099</v>
      </c>
      <c r="M5558">
        <v>20.1184570199303</v>
      </c>
      <c r="N5558">
        <v>59.645725321370797</v>
      </c>
      <c r="O5558">
        <v>58.6471644275911</v>
      </c>
      <c r="P5558">
        <v>-8.0064897755538295E-2</v>
      </c>
      <c r="Q5558">
        <v>6.6443292478649094E-2</v>
      </c>
      <c r="R5558">
        <v>0.996203928751076</v>
      </c>
      <c r="S5558" t="s">
        <v>12561</v>
      </c>
      <c r="T5558" t="s">
        <v>14004</v>
      </c>
      <c r="U5558" t="s">
        <v>14004</v>
      </c>
      <c r="V5558" t="s">
        <v>14004</v>
      </c>
      <c r="W5558" t="s">
        <v>19507</v>
      </c>
      <c r="X5558">
        <v>23</v>
      </c>
      <c r="Y5558" t="s">
        <v>26309</v>
      </c>
      <c r="Z5558" t="s">
        <v>33268</v>
      </c>
      <c r="AA5558">
        <v>0.67368900112115382</v>
      </c>
      <c r="AB5558" t="str">
        <f>HYPERLINK("Melting_Curves/meltCurve_Q99598_TSNAX.pdf", "Melting_Curves/meltCurve_Q99598_TSNAX.pdf")</f>
        <v>Melting_Curves/meltCurve_Q99598_TSNAX.pdf</v>
      </c>
    </row>
    <row r="5559" spans="1:28" x14ac:dyDescent="0.25">
      <c r="A5559" t="s">
        <v>5563</v>
      </c>
      <c r="B5559">
        <v>0.99999676499088797</v>
      </c>
      <c r="C5559">
        <v>0.94605947364601894</v>
      </c>
      <c r="D5559">
        <v>0.95230234311388895</v>
      </c>
      <c r="E5559">
        <v>0.66202460095988303</v>
      </c>
      <c r="F5559">
        <v>0.41054900494260599</v>
      </c>
      <c r="G5559">
        <v>0.272515840337969</v>
      </c>
      <c r="H5559">
        <v>0.142738626696819</v>
      </c>
      <c r="I5559">
        <v>0.13617598717886101</v>
      </c>
      <c r="J5559">
        <v>0.176859414704577</v>
      </c>
      <c r="K5559">
        <v>0.1106801118327</v>
      </c>
      <c r="L5559">
        <v>969.27469911120102</v>
      </c>
      <c r="M5559">
        <v>18.957871607315401</v>
      </c>
      <c r="N5559">
        <v>51.942495940176997</v>
      </c>
      <c r="O5559">
        <v>50.569108665910697</v>
      </c>
      <c r="P5559">
        <v>-8.1672863097291701E-2</v>
      </c>
      <c r="Q5559">
        <v>0.128602807367202</v>
      </c>
      <c r="R5559">
        <v>0.99393247037161603</v>
      </c>
      <c r="S5559" t="s">
        <v>12562</v>
      </c>
      <c r="T5559" t="s">
        <v>14004</v>
      </c>
      <c r="U5559" t="s">
        <v>14004</v>
      </c>
      <c r="V5559" t="s">
        <v>14004</v>
      </c>
      <c r="W5559" t="s">
        <v>19508</v>
      </c>
      <c r="X5559">
        <v>5</v>
      </c>
      <c r="Y5559" t="s">
        <v>26310</v>
      </c>
      <c r="Z5559" t="s">
        <v>33269</v>
      </c>
      <c r="AA5559">
        <v>0.46517534425549212</v>
      </c>
      <c r="AB5559" t="str">
        <f>HYPERLINK("Melting_Curves/meltCurve_Q99608_NDN.pdf", "Melting_Curves/meltCurve_Q99608_NDN.pdf")</f>
        <v>Melting_Curves/meltCurve_Q99608_NDN.pdf</v>
      </c>
    </row>
    <row r="5560" spans="1:28" x14ac:dyDescent="0.25">
      <c r="A5560" t="s">
        <v>5564</v>
      </c>
      <c r="B5560">
        <v>0.99999676499088797</v>
      </c>
      <c r="C5560">
        <v>0.92780120505141495</v>
      </c>
      <c r="D5560">
        <v>0.89194282437442596</v>
      </c>
      <c r="E5560">
        <v>0.90797902153493704</v>
      </c>
      <c r="F5560">
        <v>0.833137708957154</v>
      </c>
      <c r="G5560">
        <v>0.70388589562405102</v>
      </c>
      <c r="H5560">
        <v>0.393117507662953</v>
      </c>
      <c r="I5560">
        <v>0.31662173367291202</v>
      </c>
      <c r="J5560">
        <v>0.19109360648165399</v>
      </c>
      <c r="K5560">
        <v>0.15285819384567301</v>
      </c>
      <c r="L5560">
        <v>730.56944560168802</v>
      </c>
      <c r="M5560">
        <v>12.240602988403699</v>
      </c>
      <c r="N5560">
        <v>59.684106005203098</v>
      </c>
      <c r="O5560">
        <v>58.158198726536398</v>
      </c>
      <c r="P5560">
        <v>-5.2629446628766098E-2</v>
      </c>
      <c r="Q5560">
        <v>0</v>
      </c>
      <c r="R5560">
        <v>0.98253365007177496</v>
      </c>
      <c r="S5560" t="s">
        <v>12563</v>
      </c>
      <c r="T5560" t="s">
        <v>14004</v>
      </c>
      <c r="U5560" t="s">
        <v>14004</v>
      </c>
      <c r="V5560" t="s">
        <v>14004</v>
      </c>
      <c r="W5560" t="s">
        <v>19509</v>
      </c>
      <c r="X5560">
        <v>7</v>
      </c>
      <c r="Y5560" t="s">
        <v>26311</v>
      </c>
      <c r="Z5560" t="s">
        <v>33270</v>
      </c>
      <c r="AA5560">
        <v>0.66082907657533674</v>
      </c>
      <c r="AB5560" t="str">
        <f>HYPERLINK("Melting_Curves/meltCurve_Q99611_SEPHS2.pdf", "Melting_Curves/meltCurve_Q99611_SEPHS2.pdf")</f>
        <v>Melting_Curves/meltCurve_Q99611_SEPHS2.pdf</v>
      </c>
    </row>
    <row r="5561" spans="1:28" x14ac:dyDescent="0.25">
      <c r="A5561" t="s">
        <v>5565</v>
      </c>
      <c r="B5561">
        <v>0.99999676499088797</v>
      </c>
      <c r="C5561">
        <v>0.89619075935217496</v>
      </c>
      <c r="D5561">
        <v>0.96075019463466904</v>
      </c>
      <c r="E5561">
        <v>0.96586138606318095</v>
      </c>
      <c r="F5561">
        <v>0.89621105511088195</v>
      </c>
      <c r="G5561">
        <v>0.67281083932236396</v>
      </c>
      <c r="H5561">
        <v>0.38886302870468198</v>
      </c>
      <c r="I5561">
        <v>0.402871781003311</v>
      </c>
      <c r="J5561">
        <v>0.38236901636782999</v>
      </c>
      <c r="K5561">
        <v>0.51728665938656004</v>
      </c>
      <c r="L5561">
        <v>1982.3573508361301</v>
      </c>
      <c r="M5561">
        <v>35.360632008308897</v>
      </c>
      <c r="N5561">
        <v>59.049355970278</v>
      </c>
      <c r="O5561">
        <v>55.8827498597065</v>
      </c>
      <c r="P5561">
        <v>-9.2309138110163599E-2</v>
      </c>
      <c r="Q5561">
        <v>0.41647299716876002</v>
      </c>
      <c r="R5561">
        <v>0.95121698323172699</v>
      </c>
      <c r="S5561" t="s">
        <v>12564</v>
      </c>
      <c r="T5561" t="s">
        <v>14004</v>
      </c>
      <c r="U5561" t="s">
        <v>14004</v>
      </c>
      <c r="V5561" t="s">
        <v>14004</v>
      </c>
      <c r="W5561" t="s">
        <v>19510</v>
      </c>
      <c r="X5561">
        <v>17</v>
      </c>
      <c r="Y5561" t="s">
        <v>26312</v>
      </c>
      <c r="Z5561" t="s">
        <v>33271</v>
      </c>
      <c r="AA5561">
        <v>0.73173284824403417</v>
      </c>
      <c r="AB5561" t="str">
        <f>HYPERLINK("Melting_Curves/meltCurve_Q99614_TTC1.pdf", "Melting_Curves/meltCurve_Q99614_TTC1.pdf")</f>
        <v>Melting_Curves/meltCurve_Q99614_TTC1.pdf</v>
      </c>
    </row>
    <row r="5562" spans="1:28" x14ac:dyDescent="0.25">
      <c r="A5562" t="s">
        <v>5566</v>
      </c>
      <c r="B5562">
        <v>0.99999676499088797</v>
      </c>
      <c r="C5562">
        <v>0.94630801580373003</v>
      </c>
      <c r="D5562">
        <v>0.91335561980786495</v>
      </c>
      <c r="E5562">
        <v>0.41497070713423301</v>
      </c>
      <c r="F5562">
        <v>0.19383824391813201</v>
      </c>
      <c r="G5562">
        <v>0.131445082186392</v>
      </c>
      <c r="H5562">
        <v>6.8627494949116102E-2</v>
      </c>
      <c r="I5562">
        <v>6.6699429111902506E-2</v>
      </c>
      <c r="J5562">
        <v>5.6106677228099498E-2</v>
      </c>
      <c r="K5562">
        <v>5.1758220300772498E-2</v>
      </c>
      <c r="L5562">
        <v>1410.0070107558299</v>
      </c>
      <c r="M5562">
        <v>28.818722809365699</v>
      </c>
      <c r="N5562">
        <v>49.200975937378402</v>
      </c>
      <c r="O5562">
        <v>48.6929994989462</v>
      </c>
      <c r="P5562">
        <v>-0.13698543517532999</v>
      </c>
      <c r="Q5562">
        <v>7.4187877474206507E-2</v>
      </c>
      <c r="R5562">
        <v>0.99454788242991099</v>
      </c>
      <c r="S5562" t="s">
        <v>12565</v>
      </c>
      <c r="T5562" t="s">
        <v>14004</v>
      </c>
      <c r="U5562" t="s">
        <v>14004</v>
      </c>
      <c r="V5562" t="s">
        <v>14004</v>
      </c>
      <c r="W5562" t="s">
        <v>19511</v>
      </c>
      <c r="X5562">
        <v>46</v>
      </c>
      <c r="Y5562" t="s">
        <v>26313</v>
      </c>
      <c r="Z5562" t="s">
        <v>33272</v>
      </c>
      <c r="AA5562">
        <v>0.35578909953196602</v>
      </c>
      <c r="AB5562" t="str">
        <f>HYPERLINK("Melting_Curves/meltCurve_Q99615_DNAJC7.pdf", "Melting_Curves/meltCurve_Q99615_DNAJC7.pdf")</f>
        <v>Melting_Curves/meltCurve_Q99615_DNAJC7.pdf</v>
      </c>
    </row>
    <row r="5563" spans="1:28" x14ac:dyDescent="0.25">
      <c r="A5563" t="s">
        <v>5567</v>
      </c>
      <c r="B5563">
        <v>0.99999676499088797</v>
      </c>
      <c r="C5563">
        <v>0.98580931220499401</v>
      </c>
      <c r="D5563">
        <v>0.98169369114730098</v>
      </c>
      <c r="E5563">
        <v>0.85125696732582001</v>
      </c>
      <c r="F5563">
        <v>0.641589148339204</v>
      </c>
      <c r="G5563">
        <v>0.58517418675049304</v>
      </c>
      <c r="H5563">
        <v>0.35788955715024801</v>
      </c>
      <c r="I5563">
        <v>0.46071395357109202</v>
      </c>
      <c r="J5563">
        <v>0.46355106265779999</v>
      </c>
      <c r="K5563">
        <v>0.42009915680888699</v>
      </c>
      <c r="L5563">
        <v>1046.81996296639</v>
      </c>
      <c r="M5563">
        <v>20.019052822513</v>
      </c>
      <c r="N5563">
        <v>57.666932679024796</v>
      </c>
      <c r="O5563">
        <v>51.777800484249703</v>
      </c>
      <c r="P5563">
        <v>-5.5808182651848497E-2</v>
      </c>
      <c r="Q5563">
        <v>0.422643932013054</v>
      </c>
      <c r="R5563">
        <v>0.972537002890833</v>
      </c>
      <c r="S5563" t="s">
        <v>12566</v>
      </c>
      <c r="T5563" t="s">
        <v>14004</v>
      </c>
      <c r="U5563" t="s">
        <v>14004</v>
      </c>
      <c r="V5563" t="s">
        <v>14004</v>
      </c>
      <c r="W5563" t="s">
        <v>19512</v>
      </c>
      <c r="X5563">
        <v>8</v>
      </c>
      <c r="Y5563" t="s">
        <v>26314</v>
      </c>
      <c r="Z5563" t="s">
        <v>33273</v>
      </c>
      <c r="AA5563">
        <v>0.66715585735157501</v>
      </c>
      <c r="AB5563" t="str">
        <f>HYPERLINK("Melting_Curves/meltCurve_Q99618_CDCA3.pdf", "Melting_Curves/meltCurve_Q99618_CDCA3.pdf")</f>
        <v>Melting_Curves/meltCurve_Q99618_CDCA3.pdf</v>
      </c>
    </row>
    <row r="5564" spans="1:28" x14ac:dyDescent="0.25">
      <c r="A5564" t="s">
        <v>5568</v>
      </c>
      <c r="B5564">
        <v>0.99999676499088797</v>
      </c>
      <c r="C5564">
        <v>0.88155240970871696</v>
      </c>
      <c r="D5564">
        <v>0.52441455471582599</v>
      </c>
      <c r="E5564">
        <v>0.217533698583562</v>
      </c>
      <c r="F5564">
        <v>0.19071187899696401</v>
      </c>
      <c r="G5564">
        <v>0.129534058744317</v>
      </c>
      <c r="H5564">
        <v>7.5703554668098805E-2</v>
      </c>
      <c r="I5564">
        <v>6.69244968979813E-2</v>
      </c>
      <c r="J5564">
        <v>6.7904364474825896E-2</v>
      </c>
      <c r="K5564">
        <v>6.4832862174555597E-2</v>
      </c>
      <c r="L5564">
        <v>1091.5683380340399</v>
      </c>
      <c r="M5564">
        <v>23.729384761643999</v>
      </c>
      <c r="N5564">
        <v>46.379991833745699</v>
      </c>
      <c r="O5564">
        <v>45.6777486319274</v>
      </c>
      <c r="P5564">
        <v>-0.11842165358345599</v>
      </c>
      <c r="Q5564">
        <v>8.8194788956787298E-2</v>
      </c>
      <c r="R5564">
        <v>0.99228317925109899</v>
      </c>
      <c r="S5564" t="s">
        <v>12567</v>
      </c>
      <c r="T5564" t="s">
        <v>14004</v>
      </c>
      <c r="U5564" t="s">
        <v>14004</v>
      </c>
      <c r="V5564" t="s">
        <v>14004</v>
      </c>
      <c r="W5564" t="s">
        <v>19513</v>
      </c>
      <c r="X5564">
        <v>5</v>
      </c>
      <c r="Y5564" t="s">
        <v>26315</v>
      </c>
      <c r="Z5564" t="s">
        <v>33274</v>
      </c>
      <c r="AA5564">
        <v>0.28007843859264769</v>
      </c>
      <c r="AB5564" t="str">
        <f>HYPERLINK("Melting_Curves/meltCurve_Q99622_C12orf57.pdf", "Melting_Curves/meltCurve_Q99622_C12orf57.pdf")</f>
        <v>Melting_Curves/meltCurve_Q99622_C12orf57.pdf</v>
      </c>
    </row>
    <row r="5565" spans="1:28" x14ac:dyDescent="0.25">
      <c r="A5565" t="s">
        <v>5569</v>
      </c>
      <c r="B5565">
        <v>0.99999676499088797</v>
      </c>
      <c r="C5565">
        <v>1.1488100467315101</v>
      </c>
      <c r="D5565">
        <v>1.3267157402051899</v>
      </c>
      <c r="E5565">
        <v>1.33724851835775</v>
      </c>
      <c r="F5565">
        <v>1.18754922163094</v>
      </c>
      <c r="G5565">
        <v>1.8443700522576501</v>
      </c>
      <c r="H5565">
        <v>1.3253599400723599</v>
      </c>
      <c r="I5565">
        <v>1.1471460640675399</v>
      </c>
      <c r="J5565">
        <v>0.51970300383235701</v>
      </c>
      <c r="K5565">
        <v>0.25773208342644699</v>
      </c>
      <c r="L5565">
        <v>15000</v>
      </c>
      <c r="M5565">
        <v>224.15279349169199</v>
      </c>
      <c r="N5565">
        <v>67.1355943115922</v>
      </c>
      <c r="O5565">
        <v>66.913317216477296</v>
      </c>
      <c r="P5565">
        <v>-0.62167095599101496</v>
      </c>
      <c r="Q5565">
        <v>0.25768378908332601</v>
      </c>
      <c r="R5565">
        <v>0.37178736622779102</v>
      </c>
      <c r="S5565" t="s">
        <v>12568</v>
      </c>
      <c r="T5565" t="s">
        <v>14004</v>
      </c>
      <c r="U5565" t="s">
        <v>14004</v>
      </c>
      <c r="V5565" t="s">
        <v>14004</v>
      </c>
      <c r="W5565" t="s">
        <v>19514</v>
      </c>
      <c r="X5565">
        <v>22</v>
      </c>
      <c r="Y5565" t="s">
        <v>26316</v>
      </c>
      <c r="Z5565" t="s">
        <v>33275</v>
      </c>
      <c r="AA5565">
        <v>0.92386323275117355</v>
      </c>
      <c r="AB5565" t="str">
        <f>HYPERLINK("Melting_Curves/meltCurve_Q99623_PHB2.pdf", "Melting_Curves/meltCurve_Q99623_PHB2.pdf")</f>
        <v>Melting_Curves/meltCurve_Q99623_PHB2.pdf</v>
      </c>
    </row>
    <row r="5566" spans="1:28" x14ac:dyDescent="0.25">
      <c r="A5566" t="s">
        <v>5570</v>
      </c>
      <c r="B5566">
        <v>0.99999676499088797</v>
      </c>
      <c r="C5566">
        <v>1.0152522059048099</v>
      </c>
      <c r="D5566">
        <v>0.82684252990333695</v>
      </c>
      <c r="E5566">
        <v>0.37382195777488503</v>
      </c>
      <c r="F5566">
        <v>0.218088137832743</v>
      </c>
      <c r="G5566">
        <v>0.149558749342805</v>
      </c>
      <c r="H5566">
        <v>8.3823481656712606E-2</v>
      </c>
      <c r="I5566">
        <v>8.9462489227584804E-2</v>
      </c>
      <c r="J5566">
        <v>0.10773300409057</v>
      </c>
      <c r="K5566">
        <v>8.6611770481093905E-2</v>
      </c>
      <c r="L5566">
        <v>1334.26791827753</v>
      </c>
      <c r="M5566">
        <v>27.615508272826101</v>
      </c>
      <c r="N5566">
        <v>48.733425562461299</v>
      </c>
      <c r="O5566">
        <v>48.064663914070103</v>
      </c>
      <c r="P5566">
        <v>-0.12850666415852799</v>
      </c>
      <c r="Q5566">
        <v>0.105347098311531</v>
      </c>
      <c r="R5566">
        <v>0.99513497741364498</v>
      </c>
      <c r="S5566" t="s">
        <v>12569</v>
      </c>
      <c r="T5566" t="s">
        <v>14004</v>
      </c>
      <c r="U5566" t="s">
        <v>14004</v>
      </c>
      <c r="V5566" t="s">
        <v>14004</v>
      </c>
      <c r="W5566" t="s">
        <v>19515</v>
      </c>
      <c r="X5566">
        <v>10</v>
      </c>
      <c r="Y5566" t="s">
        <v>26317</v>
      </c>
      <c r="Z5566" t="s">
        <v>33276</v>
      </c>
      <c r="AA5566">
        <v>0.3597596240578374</v>
      </c>
      <c r="AB5566" t="str">
        <f>HYPERLINK("Melting_Curves/meltCurve_Q99633_PRPF18.pdf", "Melting_Curves/meltCurve_Q99633_PRPF18.pdf")</f>
        <v>Melting_Curves/meltCurve_Q99633_PRPF18.pdf</v>
      </c>
    </row>
    <row r="5567" spans="1:28" x14ac:dyDescent="0.25">
      <c r="A5567" t="s">
        <v>5571</v>
      </c>
      <c r="B5567">
        <v>0.99999676499088797</v>
      </c>
      <c r="C5567">
        <v>0.94906160247232296</v>
      </c>
      <c r="D5567">
        <v>1.08329912941615</v>
      </c>
      <c r="E5567">
        <v>1.1199856233680601</v>
      </c>
      <c r="F5567">
        <v>0.870232598807961</v>
      </c>
      <c r="G5567">
        <v>0.68861144633600602</v>
      </c>
      <c r="H5567">
        <v>0.275455733482462</v>
      </c>
      <c r="I5567">
        <v>0.16456595317127401</v>
      </c>
      <c r="J5567">
        <v>0.114557483735517</v>
      </c>
      <c r="K5567">
        <v>0.114925795896515</v>
      </c>
      <c r="L5567">
        <v>1619.8311912417901</v>
      </c>
      <c r="M5567">
        <v>27.984113948462401</v>
      </c>
      <c r="N5567">
        <v>58.357214301986701</v>
      </c>
      <c r="O5567">
        <v>57.590787056722903</v>
      </c>
      <c r="P5567">
        <v>-0.10914750747566999</v>
      </c>
      <c r="Q5567">
        <v>0.10151356110062</v>
      </c>
      <c r="R5567">
        <v>0.981280550074909</v>
      </c>
      <c r="S5567" t="s">
        <v>12570</v>
      </c>
      <c r="T5567" t="s">
        <v>14004</v>
      </c>
      <c r="U5567" t="s">
        <v>14004</v>
      </c>
      <c r="V5567" t="s">
        <v>14004</v>
      </c>
      <c r="W5567" t="s">
        <v>19516</v>
      </c>
      <c r="X5567">
        <v>3</v>
      </c>
      <c r="Y5567" t="s">
        <v>26318</v>
      </c>
      <c r="Z5567" t="s">
        <v>33277</v>
      </c>
      <c r="AA5567">
        <v>0.64376467923539804</v>
      </c>
      <c r="AB5567" t="str">
        <f>HYPERLINK("Melting_Curves/meltCurve_Q99638_RAD9A.pdf", "Melting_Curves/meltCurve_Q99638_RAD9A.pdf")</f>
        <v>Melting_Curves/meltCurve_Q99638_RAD9A.pdf</v>
      </c>
    </row>
    <row r="5568" spans="1:28" x14ac:dyDescent="0.25">
      <c r="A5568" t="s">
        <v>5572</v>
      </c>
      <c r="B5568">
        <v>0.99999676499088797</v>
      </c>
      <c r="C5568">
        <v>0.90885751474828902</v>
      </c>
      <c r="D5568">
        <v>0.86699419938632505</v>
      </c>
      <c r="E5568">
        <v>0.70502331685041697</v>
      </c>
      <c r="F5568">
        <v>0.32772681377206597</v>
      </c>
      <c r="G5568">
        <v>0.21330101081677699</v>
      </c>
      <c r="H5568">
        <v>0.12002714325059</v>
      </c>
      <c r="I5568">
        <v>0.143506256202444</v>
      </c>
      <c r="J5568">
        <v>0.15808419394619</v>
      </c>
      <c r="K5568">
        <v>0.119789596532028</v>
      </c>
      <c r="L5568">
        <v>1026.9272752601801</v>
      </c>
      <c r="M5568">
        <v>20.272817956615199</v>
      </c>
      <c r="N5568">
        <v>51.357611609000998</v>
      </c>
      <c r="O5568">
        <v>50.170217767902798</v>
      </c>
      <c r="P5568">
        <v>-8.8794749911486698E-2</v>
      </c>
      <c r="Q5568">
        <v>0.121046810811145</v>
      </c>
      <c r="R5568">
        <v>0.99039642264097205</v>
      </c>
      <c r="S5568" t="s">
        <v>12571</v>
      </c>
      <c r="T5568" t="s">
        <v>14004</v>
      </c>
      <c r="U5568" t="s">
        <v>14004</v>
      </c>
      <c r="V5568" t="s">
        <v>14004</v>
      </c>
      <c r="W5568" t="s">
        <v>19517</v>
      </c>
      <c r="X5568">
        <v>9</v>
      </c>
      <c r="Y5568" t="s">
        <v>26319</v>
      </c>
      <c r="Z5568" t="s">
        <v>33278</v>
      </c>
      <c r="AA5568">
        <v>0.44513370195651181</v>
      </c>
      <c r="AB5568" t="str">
        <f>HYPERLINK("Melting_Curves/meltCurve_Q99653_CHP1.pdf", "Melting_Curves/meltCurve_Q99653_CHP1.pdf")</f>
        <v>Melting_Curves/meltCurve_Q99653_CHP1.pdf</v>
      </c>
    </row>
    <row r="5569" spans="1:28" x14ac:dyDescent="0.25">
      <c r="A5569" t="s">
        <v>5573</v>
      </c>
      <c r="B5569">
        <v>0.99999676499088797</v>
      </c>
      <c r="C5569">
        <v>0.93079733658244002</v>
      </c>
      <c r="D5569">
        <v>0.70078661897104799</v>
      </c>
      <c r="E5569">
        <v>0.38886983211512599</v>
      </c>
      <c r="F5569">
        <v>0.18711641800786499</v>
      </c>
      <c r="G5569">
        <v>0.130897414409091</v>
      </c>
      <c r="H5569">
        <v>7.1197977698570905E-2</v>
      </c>
      <c r="I5569">
        <v>6.6923309843613499E-2</v>
      </c>
      <c r="J5569">
        <v>6.1333865818840601E-2</v>
      </c>
      <c r="K5569">
        <v>5.84689871239467E-2</v>
      </c>
      <c r="L5569">
        <v>921.63359836546999</v>
      </c>
      <c r="M5569">
        <v>19.2080223467031</v>
      </c>
      <c r="N5569">
        <v>48.316587292324201</v>
      </c>
      <c r="O5569">
        <v>47.470710049607099</v>
      </c>
      <c r="P5569">
        <v>-9.4856015198342997E-2</v>
      </c>
      <c r="Q5569">
        <v>6.2327110899490598E-2</v>
      </c>
      <c r="R5569">
        <v>0.99876290054082195</v>
      </c>
      <c r="S5569" t="s">
        <v>12572</v>
      </c>
      <c r="T5569" t="s">
        <v>14004</v>
      </c>
      <c r="U5569" t="s">
        <v>14004</v>
      </c>
      <c r="V5569" t="s">
        <v>14004</v>
      </c>
      <c r="W5569" t="s">
        <v>19518</v>
      </c>
      <c r="X5569">
        <v>23</v>
      </c>
      <c r="Y5569" t="s">
        <v>26320</v>
      </c>
      <c r="Z5569" t="s">
        <v>33279</v>
      </c>
      <c r="AA5569">
        <v>0.32632275101161412</v>
      </c>
      <c r="AB5569" t="str">
        <f>HYPERLINK("Melting_Curves/meltCurve_Q99661_KIF2C.pdf", "Melting_Curves/meltCurve_Q99661_KIF2C.pdf")</f>
        <v>Melting_Curves/meltCurve_Q99661_KIF2C.pdf</v>
      </c>
    </row>
    <row r="5570" spans="1:28" x14ac:dyDescent="0.25">
      <c r="A5570" t="s">
        <v>5574</v>
      </c>
      <c r="B5570">
        <v>0.99999676499088797</v>
      </c>
      <c r="C5570">
        <v>1.1301411732584901</v>
      </c>
      <c r="D5570">
        <v>1.3786311247955001</v>
      </c>
      <c r="E5570">
        <v>0.60769803759240604</v>
      </c>
      <c r="F5570">
        <v>0.50847519170717204</v>
      </c>
      <c r="G5570">
        <v>0.23077010384867999</v>
      </c>
      <c r="H5570">
        <v>7.6150030275661404E-2</v>
      </c>
      <c r="I5570">
        <v>0.35920931293104802</v>
      </c>
      <c r="J5570">
        <v>0.116613008806128</v>
      </c>
      <c r="K5570">
        <v>0.173361409348565</v>
      </c>
      <c r="L5570">
        <v>1461.28733489105</v>
      </c>
      <c r="M5570">
        <v>28.4826988393717</v>
      </c>
      <c r="N5570">
        <v>52.168737883111604</v>
      </c>
      <c r="O5570">
        <v>51.0534836607698</v>
      </c>
      <c r="P5570">
        <v>-0.11324087745485401</v>
      </c>
      <c r="Q5570">
        <v>0.18809730574890399</v>
      </c>
      <c r="R5570">
        <v>0.85816402576153605</v>
      </c>
      <c r="S5570" t="s">
        <v>12573</v>
      </c>
      <c r="T5570" t="s">
        <v>14004</v>
      </c>
      <c r="U5570" t="s">
        <v>14004</v>
      </c>
      <c r="V5570" t="s">
        <v>14004</v>
      </c>
      <c r="W5570" t="s">
        <v>19519</v>
      </c>
      <c r="X5570">
        <v>1</v>
      </c>
      <c r="Y5570" t="s">
        <v>26321</v>
      </c>
      <c r="Z5570" t="s">
        <v>33280</v>
      </c>
      <c r="AA5570">
        <v>0.49972191442209452</v>
      </c>
      <c r="AB5570" t="str">
        <f>HYPERLINK("Melting_Curves/meltCurve_Q99674_CGREF1.pdf", "Melting_Curves/meltCurve_Q99674_CGREF1.pdf")</f>
        <v>Melting_Curves/meltCurve_Q99674_CGREF1.pdf</v>
      </c>
    </row>
    <row r="5571" spans="1:28" x14ac:dyDescent="0.25">
      <c r="A5571" t="s">
        <v>5575</v>
      </c>
      <c r="B5571">
        <v>0.99999676499088797</v>
      </c>
      <c r="C5571">
        <v>0.746076443123735</v>
      </c>
      <c r="D5571">
        <v>0.54650749319677805</v>
      </c>
      <c r="E5571">
        <v>0.26797540509801698</v>
      </c>
      <c r="F5571">
        <v>0.138076655550117</v>
      </c>
      <c r="G5571">
        <v>0.10501789432532301</v>
      </c>
      <c r="H5571">
        <v>5.2616093916988599E-2</v>
      </c>
      <c r="I5571">
        <v>7.0022853132355706E-2</v>
      </c>
      <c r="J5571">
        <v>5.30968846571368E-2</v>
      </c>
      <c r="K5571">
        <v>4.3584579722317898E-2</v>
      </c>
      <c r="L5571">
        <v>788.87929474294504</v>
      </c>
      <c r="M5571">
        <v>17.119233440278599</v>
      </c>
      <c r="N5571">
        <v>46.376485088140001</v>
      </c>
      <c r="O5571">
        <v>45.4664522469361</v>
      </c>
      <c r="P5571">
        <v>-8.9280102619942597E-2</v>
      </c>
      <c r="Q5571">
        <v>5.1591775984092099E-2</v>
      </c>
      <c r="R5571">
        <v>0.99308888845115195</v>
      </c>
      <c r="S5571" t="s">
        <v>12574</v>
      </c>
      <c r="T5571" t="s">
        <v>14004</v>
      </c>
      <c r="U5571" t="s">
        <v>14004</v>
      </c>
      <c r="V5571" t="s">
        <v>14004</v>
      </c>
      <c r="W5571" t="s">
        <v>19520</v>
      </c>
      <c r="X5571">
        <v>3</v>
      </c>
      <c r="Y5571" t="s">
        <v>26322</v>
      </c>
      <c r="Z5571" t="s">
        <v>33281</v>
      </c>
      <c r="AA5571">
        <v>0.26453793962427191</v>
      </c>
      <c r="AB5571" t="str">
        <f>HYPERLINK("Melting_Curves/meltCurve_Q99704_DOK1.pdf", "Melting_Curves/meltCurve_Q99704_DOK1.pdf")</f>
        <v>Melting_Curves/meltCurve_Q99704_DOK1.pdf</v>
      </c>
    </row>
    <row r="5572" spans="1:28" x14ac:dyDescent="0.25">
      <c r="A5572" t="s">
        <v>5576</v>
      </c>
      <c r="B5572">
        <v>0.99999676499088797</v>
      </c>
      <c r="C5572">
        <v>0.66659630220726696</v>
      </c>
      <c r="D5572">
        <v>0.46374148070288901</v>
      </c>
      <c r="E5572">
        <v>0.352409727565766</v>
      </c>
      <c r="F5572">
        <v>0.13793867826235801</v>
      </c>
      <c r="G5572">
        <v>4.5742527239880197E-2</v>
      </c>
      <c r="H5572">
        <v>5.4493330260905498E-2</v>
      </c>
      <c r="I5572">
        <v>6.3821240076500599E-2</v>
      </c>
      <c r="J5572">
        <v>4.90169526860861E-2</v>
      </c>
      <c r="K5572">
        <v>4.0577834238693697E-2</v>
      </c>
      <c r="L5572">
        <v>665.253567627385</v>
      </c>
      <c r="M5572">
        <v>14.5383427412517</v>
      </c>
      <c r="N5572">
        <v>45.986707603696203</v>
      </c>
      <c r="O5572">
        <v>44.9189577464454</v>
      </c>
      <c r="P5572">
        <v>-7.8107875818929501E-2</v>
      </c>
      <c r="Q5572">
        <v>3.4794305325709103E-2</v>
      </c>
      <c r="R5572">
        <v>0.97387807227780998</v>
      </c>
      <c r="S5572" t="s">
        <v>12575</v>
      </c>
      <c r="T5572" t="s">
        <v>14004</v>
      </c>
      <c r="U5572" t="s">
        <v>14004</v>
      </c>
      <c r="V5572" t="s">
        <v>14004</v>
      </c>
      <c r="W5572" t="s">
        <v>19521</v>
      </c>
      <c r="X5572">
        <v>3</v>
      </c>
      <c r="Y5572" t="s">
        <v>26323</v>
      </c>
      <c r="Z5572" t="s">
        <v>33282</v>
      </c>
      <c r="AA5572">
        <v>0.25079205518306569</v>
      </c>
      <c r="AB5572" t="str">
        <f>HYPERLINK("Melting_Curves/meltCurve_Q99707_MTR.pdf", "Melting_Curves/meltCurve_Q99707_MTR.pdf")</f>
        <v>Melting_Curves/meltCurve_Q99707_MTR.pdf</v>
      </c>
    </row>
    <row r="5573" spans="1:28" x14ac:dyDescent="0.25">
      <c r="A5573" t="s">
        <v>5577</v>
      </c>
      <c r="B5573">
        <v>0.99999676499088797</v>
      </c>
      <c r="C5573">
        <v>0.99339238267371299</v>
      </c>
      <c r="D5573">
        <v>0.96455750802946205</v>
      </c>
      <c r="E5573">
        <v>0.99332345933296595</v>
      </c>
      <c r="F5573">
        <v>1.0087938474406</v>
      </c>
      <c r="G5573">
        <v>0.52976132989038005</v>
      </c>
      <c r="H5573">
        <v>0.132372464386945</v>
      </c>
      <c r="I5573">
        <v>8.8460840664539797E-2</v>
      </c>
      <c r="J5573">
        <v>7.38059880058477E-2</v>
      </c>
      <c r="K5573">
        <v>5.8701444433906597E-2</v>
      </c>
      <c r="L5573">
        <v>3168.7248539607399</v>
      </c>
      <c r="M5573">
        <v>55.8119902141542</v>
      </c>
      <c r="N5573">
        <v>56.956836468972597</v>
      </c>
      <c r="O5573">
        <v>56.702210886324998</v>
      </c>
      <c r="P5573">
        <v>-0.22599255813803201</v>
      </c>
      <c r="Q5573">
        <v>8.1611257796960698E-2</v>
      </c>
      <c r="R5573">
        <v>0.99797448290845103</v>
      </c>
      <c r="S5573" t="s">
        <v>12576</v>
      </c>
      <c r="T5573" t="s">
        <v>14004</v>
      </c>
      <c r="U5573" t="s">
        <v>14004</v>
      </c>
      <c r="V5573" t="s">
        <v>14004</v>
      </c>
      <c r="W5573" t="s">
        <v>19522</v>
      </c>
      <c r="X5573">
        <v>15</v>
      </c>
      <c r="Y5573" t="s">
        <v>26324</v>
      </c>
      <c r="Z5573" t="s">
        <v>33283</v>
      </c>
      <c r="AA5573">
        <v>0.59698569353630215</v>
      </c>
      <c r="AB5573" t="str">
        <f>HYPERLINK("Melting_Curves/meltCurve_Q99714_HSD17B10.pdf", "Melting_Curves/meltCurve_Q99714_HSD17B10.pdf")</f>
        <v>Melting_Curves/meltCurve_Q99714_HSD17B10.pdf</v>
      </c>
    </row>
    <row r="5574" spans="1:28" x14ac:dyDescent="0.25">
      <c r="A5574" t="s">
        <v>5578</v>
      </c>
      <c r="B5574">
        <v>0.99999676499088797</v>
      </c>
      <c r="C5574">
        <v>0.97051993809472203</v>
      </c>
      <c r="D5574">
        <v>0.94658646681449998</v>
      </c>
      <c r="E5574">
        <v>0.93077414464902497</v>
      </c>
      <c r="F5574">
        <v>0.82826183462986103</v>
      </c>
      <c r="G5574">
        <v>0.39096436254152001</v>
      </c>
      <c r="H5574">
        <v>0.118496573986808</v>
      </c>
      <c r="I5574">
        <v>9.8066696112693905E-2</v>
      </c>
      <c r="J5574">
        <v>9.1764927079649394E-2</v>
      </c>
      <c r="K5574">
        <v>7.5593602167562807E-2</v>
      </c>
      <c r="L5574">
        <v>1731.4587008667199</v>
      </c>
      <c r="M5574">
        <v>31.149838617227601</v>
      </c>
      <c r="N5574">
        <v>55.882772353354298</v>
      </c>
      <c r="O5574">
        <v>55.357264747332202</v>
      </c>
      <c r="P5574">
        <v>-0.12991426779342599</v>
      </c>
      <c r="Q5574">
        <v>7.6507939327070604E-2</v>
      </c>
      <c r="R5574">
        <v>0.99595964123908698</v>
      </c>
      <c r="S5574" t="s">
        <v>12577</v>
      </c>
      <c r="T5574" t="s">
        <v>14004</v>
      </c>
      <c r="U5574" t="s">
        <v>14004</v>
      </c>
      <c r="V5574" t="s">
        <v>14004</v>
      </c>
      <c r="W5574" t="s">
        <v>19523</v>
      </c>
      <c r="X5574">
        <v>17</v>
      </c>
      <c r="Y5574" t="s">
        <v>26325</v>
      </c>
      <c r="Z5574" t="s">
        <v>33284</v>
      </c>
      <c r="AA5574">
        <v>0.56198833550829286</v>
      </c>
      <c r="AB5574" t="str">
        <f>HYPERLINK("Melting_Curves/meltCurve_Q99719_SEPT5.pdf", "Melting_Curves/meltCurve_Q99719_SEPT5.pdf")</f>
        <v>Melting_Curves/meltCurve_Q99719_SEPT5.pdf</v>
      </c>
    </row>
    <row r="5575" spans="1:28" x14ac:dyDescent="0.25">
      <c r="A5575" t="s">
        <v>5579</v>
      </c>
      <c r="B5575">
        <v>0.99999676499088797</v>
      </c>
      <c r="C5575">
        <v>0.89725544201933105</v>
      </c>
      <c r="D5575">
        <v>0.92142511958546902</v>
      </c>
      <c r="E5575">
        <v>0.90141626487356796</v>
      </c>
      <c r="F5575">
        <v>0.79698725030428497</v>
      </c>
      <c r="G5575">
        <v>0.59692673128086005</v>
      </c>
      <c r="H5575">
        <v>0.46945130369140797</v>
      </c>
      <c r="I5575">
        <v>0.54862410851911403</v>
      </c>
      <c r="J5575">
        <v>0.52802856055597303</v>
      </c>
      <c r="K5575">
        <v>0.67691303658844604</v>
      </c>
      <c r="L5575">
        <v>1301.4222051372101</v>
      </c>
      <c r="M5575">
        <v>24.666473360322499</v>
      </c>
      <c r="O5575">
        <v>52.417676250525403</v>
      </c>
      <c r="P5575">
        <v>-5.2866493563534803E-2</v>
      </c>
      <c r="Q5575">
        <v>0.550629104941182</v>
      </c>
      <c r="R5575">
        <v>0.86957085766142606</v>
      </c>
      <c r="S5575" t="s">
        <v>12578</v>
      </c>
      <c r="T5575" t="s">
        <v>14004</v>
      </c>
      <c r="U5575" t="s">
        <v>14004</v>
      </c>
      <c r="V5575" t="s">
        <v>14004</v>
      </c>
      <c r="W5575" t="s">
        <v>19524</v>
      </c>
      <c r="X5575">
        <v>3</v>
      </c>
      <c r="Y5575" t="s">
        <v>26326</v>
      </c>
      <c r="Z5575" t="s">
        <v>33285</v>
      </c>
      <c r="AA5575">
        <v>0.74600912049317292</v>
      </c>
      <c r="AB5575" t="str">
        <f>HYPERLINK("Melting_Curves/meltCurve_Q99720_4_SIGMAR1.pdf", "Melting_Curves/meltCurve_Q99720_4_SIGMAR1.pdf")</f>
        <v>Melting_Curves/meltCurve_Q99720_4_SIGMAR1.pdf</v>
      </c>
    </row>
    <row r="5576" spans="1:28" x14ac:dyDescent="0.25">
      <c r="A5576" t="s">
        <v>5580</v>
      </c>
      <c r="B5576">
        <v>0.99999676499088797</v>
      </c>
      <c r="C5576">
        <v>0.96861941984378397</v>
      </c>
      <c r="D5576">
        <v>0.91871202830174004</v>
      </c>
      <c r="E5576">
        <v>0.77914740722725995</v>
      </c>
      <c r="F5576">
        <v>0.54280811261806705</v>
      </c>
      <c r="G5576">
        <v>0.22071890718339099</v>
      </c>
      <c r="H5576">
        <v>8.7554259738713905E-2</v>
      </c>
      <c r="I5576">
        <v>8.5059808559425895E-2</v>
      </c>
      <c r="J5576">
        <v>8.0230256188501103E-2</v>
      </c>
      <c r="K5576">
        <v>7.7294655086231304E-2</v>
      </c>
      <c r="L5576">
        <v>1023.01601790252</v>
      </c>
      <c r="M5576">
        <v>19.339267108250301</v>
      </c>
      <c r="N5576">
        <v>53.188935015859599</v>
      </c>
      <c r="O5576">
        <v>52.3425223925274</v>
      </c>
      <c r="P5576">
        <v>-8.7741937733723199E-2</v>
      </c>
      <c r="Q5576">
        <v>5.0126676440111699E-2</v>
      </c>
      <c r="R5576">
        <v>0.99590844149379198</v>
      </c>
      <c r="S5576" t="s">
        <v>12579</v>
      </c>
      <c r="T5576" t="s">
        <v>14004</v>
      </c>
      <c r="U5576" t="s">
        <v>14004</v>
      </c>
      <c r="V5576" t="s">
        <v>14004</v>
      </c>
      <c r="W5576" t="s">
        <v>19525</v>
      </c>
      <c r="X5576">
        <v>17</v>
      </c>
      <c r="Y5576" t="s">
        <v>26327</v>
      </c>
      <c r="Z5576" t="s">
        <v>33286</v>
      </c>
      <c r="AA5576">
        <v>0.47236504143947289</v>
      </c>
      <c r="AB5576" t="str">
        <f>HYPERLINK("Melting_Curves/meltCurve_Q99733_NAP1L4.pdf", "Melting_Curves/meltCurve_Q99733_NAP1L4.pdf")</f>
        <v>Melting_Curves/meltCurve_Q99733_NAP1L4.pdf</v>
      </c>
    </row>
    <row r="5577" spans="1:28" x14ac:dyDescent="0.25">
      <c r="A5577" t="s">
        <v>5581</v>
      </c>
      <c r="B5577">
        <v>0.99999676499088797</v>
      </c>
      <c r="C5577">
        <v>0.97816776769619396</v>
      </c>
      <c r="D5577">
        <v>0.85728901225794696</v>
      </c>
      <c r="E5577">
        <v>0.32633798389471602</v>
      </c>
      <c r="F5577">
        <v>0.21965447500246901</v>
      </c>
      <c r="G5577">
        <v>0.13588486525159801</v>
      </c>
      <c r="H5577">
        <v>8.3296432806772E-2</v>
      </c>
      <c r="I5577">
        <v>8.0611053025859594E-2</v>
      </c>
      <c r="J5577">
        <v>8.2780558006239999E-2</v>
      </c>
      <c r="K5577">
        <v>7.5755341507560497E-2</v>
      </c>
      <c r="L5577">
        <v>1510.33099896569</v>
      </c>
      <c r="M5577">
        <v>31.345158564796801</v>
      </c>
      <c r="N5577">
        <v>48.529012921752603</v>
      </c>
      <c r="O5577">
        <v>47.9890385140151</v>
      </c>
      <c r="P5577">
        <v>-0.146978734806649</v>
      </c>
      <c r="Q5577">
        <v>9.9914902071530004E-2</v>
      </c>
      <c r="R5577">
        <v>0.99308230576594803</v>
      </c>
      <c r="S5577" t="s">
        <v>12580</v>
      </c>
      <c r="T5577" t="s">
        <v>14004</v>
      </c>
      <c r="U5577" t="s">
        <v>14004</v>
      </c>
      <c r="V5577" t="s">
        <v>14004</v>
      </c>
      <c r="W5577" t="s">
        <v>19526</v>
      </c>
      <c r="X5577">
        <v>20</v>
      </c>
      <c r="Y5577" t="s">
        <v>26328</v>
      </c>
      <c r="Z5577" t="s">
        <v>33287</v>
      </c>
      <c r="AA5577">
        <v>0.3504085205682787</v>
      </c>
      <c r="AB5577" t="str">
        <f>HYPERLINK("Melting_Curves/meltCurve_Q99747_NAPG.pdf", "Melting_Curves/meltCurve_Q99747_NAPG.pdf")</f>
        <v>Melting_Curves/meltCurve_Q99747_NAPG.pdf</v>
      </c>
    </row>
    <row r="5578" spans="1:28" x14ac:dyDescent="0.25">
      <c r="A5578" t="s">
        <v>5582</v>
      </c>
      <c r="B5578">
        <v>0.99999676499088797</v>
      </c>
      <c r="C5578">
        <v>1.23335348594609</v>
      </c>
      <c r="D5578">
        <v>1.04658972890622</v>
      </c>
      <c r="E5578">
        <v>0.79364657514957204</v>
      </c>
      <c r="F5578">
        <v>0.679799219255392</v>
      </c>
      <c r="G5578">
        <v>0.64450981033925203</v>
      </c>
      <c r="H5578">
        <v>0.41737039154750799</v>
      </c>
      <c r="I5578">
        <v>0.431071793938956</v>
      </c>
      <c r="J5578">
        <v>0.359693684796971</v>
      </c>
      <c r="K5578">
        <v>0.21222150153588001</v>
      </c>
      <c r="L5578">
        <v>697.80710812669895</v>
      </c>
      <c r="M5578">
        <v>12.404361458825599</v>
      </c>
      <c r="N5578">
        <v>59.143843865292403</v>
      </c>
      <c r="O5578">
        <v>54.852930270509198</v>
      </c>
      <c r="P5578">
        <v>-4.3698937103841803E-2</v>
      </c>
      <c r="Q5578">
        <v>0.227205283640111</v>
      </c>
      <c r="R5578">
        <v>0.90360634200503498</v>
      </c>
      <c r="S5578" t="s">
        <v>12581</v>
      </c>
      <c r="T5578" t="s">
        <v>14004</v>
      </c>
      <c r="U5578" t="s">
        <v>14004</v>
      </c>
      <c r="V5578" t="s">
        <v>14004</v>
      </c>
      <c r="W5578" t="s">
        <v>19527</v>
      </c>
      <c r="X5578">
        <v>5</v>
      </c>
      <c r="Y5578" t="s">
        <v>26329</v>
      </c>
      <c r="Z5578" t="s">
        <v>33288</v>
      </c>
      <c r="AA5578">
        <v>0.66085570948602756</v>
      </c>
      <c r="AB5578" t="str">
        <f>HYPERLINK("Melting_Curves/meltCurve_Q99757_TXN2.pdf", "Melting_Curves/meltCurve_Q99757_TXN2.pdf")</f>
        <v>Melting_Curves/meltCurve_Q99757_TXN2.pdf</v>
      </c>
    </row>
    <row r="5579" spans="1:28" x14ac:dyDescent="0.25">
      <c r="A5579" t="s">
        <v>5583</v>
      </c>
      <c r="B5579">
        <v>0.99999676499088797</v>
      </c>
      <c r="C5579">
        <v>0.96374781571614998</v>
      </c>
      <c r="D5579">
        <v>0.975546011158685</v>
      </c>
      <c r="E5579">
        <v>1.0099313656467901</v>
      </c>
      <c r="F5579">
        <v>0.41673309035698403</v>
      </c>
      <c r="G5579">
        <v>0.199917860886793</v>
      </c>
      <c r="H5579">
        <v>9.4113441953504504E-2</v>
      </c>
      <c r="I5579">
        <v>7.8968257044880502E-2</v>
      </c>
      <c r="J5579">
        <v>8.0122857303385003E-2</v>
      </c>
      <c r="K5579">
        <v>6.8504989582418102E-2</v>
      </c>
      <c r="L5579">
        <v>2830.4149576499199</v>
      </c>
      <c r="M5579">
        <v>53.748903311815198</v>
      </c>
      <c r="N5579">
        <v>52.877025577109599</v>
      </c>
      <c r="O5579">
        <v>52.587220941535001</v>
      </c>
      <c r="P5579">
        <v>-0.23022563482052799</v>
      </c>
      <c r="Q5579">
        <v>9.9001765934057601E-2</v>
      </c>
      <c r="R5579">
        <v>0.99289252176441201</v>
      </c>
      <c r="S5579" t="s">
        <v>12582</v>
      </c>
      <c r="T5579" t="s">
        <v>14004</v>
      </c>
      <c r="U5579" t="s">
        <v>14004</v>
      </c>
      <c r="V5579" t="s">
        <v>14004</v>
      </c>
      <c r="W5579" t="s">
        <v>19528</v>
      </c>
      <c r="X5579">
        <v>4</v>
      </c>
      <c r="Y5579" t="s">
        <v>26330</v>
      </c>
      <c r="Z5579" t="s">
        <v>33289</v>
      </c>
      <c r="AA5579">
        <v>0.48103139635956932</v>
      </c>
      <c r="AB5579" t="str">
        <f>HYPERLINK("Melting_Curves/meltCurve_Q99766_ATP5S.pdf", "Melting_Curves/meltCurve_Q99766_ATP5S.pdf")</f>
        <v>Melting_Curves/meltCurve_Q99766_ATP5S.pdf</v>
      </c>
    </row>
    <row r="5580" spans="1:28" x14ac:dyDescent="0.25">
      <c r="A5580" t="s">
        <v>5584</v>
      </c>
      <c r="B5580">
        <v>0.99999676499088797</v>
      </c>
      <c r="C5580">
        <v>1.0003350007151</v>
      </c>
      <c r="D5580">
        <v>1.01906101421123</v>
      </c>
      <c r="E5580">
        <v>1.10027301180904</v>
      </c>
      <c r="F5580">
        <v>0.89092130453376595</v>
      </c>
      <c r="G5580">
        <v>0.81916512239054196</v>
      </c>
      <c r="H5580">
        <v>0.594567691819329</v>
      </c>
      <c r="I5580">
        <v>0.56021102812331203</v>
      </c>
      <c r="J5580">
        <v>0.49577463154555501</v>
      </c>
      <c r="K5580">
        <v>0.66191883424464404</v>
      </c>
      <c r="L5580">
        <v>1770.71003758509</v>
      </c>
      <c r="M5580">
        <v>31.1241848743046</v>
      </c>
      <c r="O5580">
        <v>56.658460565875401</v>
      </c>
      <c r="P5580">
        <v>-5.9896528689712202E-2</v>
      </c>
      <c r="Q5580">
        <v>0.56385994026991904</v>
      </c>
      <c r="R5580">
        <v>0.92729666764851104</v>
      </c>
      <c r="S5580" t="s">
        <v>12583</v>
      </c>
      <c r="T5580" t="s">
        <v>14004</v>
      </c>
      <c r="U5580" t="s">
        <v>14004</v>
      </c>
      <c r="V5580" t="s">
        <v>14004</v>
      </c>
      <c r="W5580" t="s">
        <v>19529</v>
      </c>
      <c r="X5580">
        <v>4</v>
      </c>
      <c r="Y5580" t="s">
        <v>26331</v>
      </c>
      <c r="Z5580" t="s">
        <v>33290</v>
      </c>
      <c r="AA5580">
        <v>0.81215401705302392</v>
      </c>
      <c r="AB5580" t="str">
        <f>HYPERLINK("Melting_Curves/meltCurve_Q99795_GPA33.pdf", "Melting_Curves/meltCurve_Q99795_GPA33.pdf")</f>
        <v>Melting_Curves/meltCurve_Q99795_GPA33.pdf</v>
      </c>
    </row>
    <row r="5581" spans="1:28" x14ac:dyDescent="0.25">
      <c r="A5581" t="s">
        <v>5585</v>
      </c>
      <c r="B5581">
        <v>0.99999676499088797</v>
      </c>
      <c r="C5581">
        <v>1.07717816836074</v>
      </c>
      <c r="D5581">
        <v>1.0256772402411301</v>
      </c>
      <c r="E5581">
        <v>0.90647367763700604</v>
      </c>
      <c r="F5581">
        <v>0.31113041626821802</v>
      </c>
      <c r="G5581">
        <v>0.21539877366059301</v>
      </c>
      <c r="H5581">
        <v>8.8358207803644798E-2</v>
      </c>
      <c r="I5581">
        <v>7.8606021517599101E-2</v>
      </c>
      <c r="J5581">
        <v>6.3541037072749607E-2</v>
      </c>
      <c r="K5581">
        <v>4.8663310822299202E-2</v>
      </c>
      <c r="L5581">
        <v>2172.9119446255199</v>
      </c>
      <c r="M5581">
        <v>41.841589618938599</v>
      </c>
      <c r="N5581">
        <v>52.179157169890999</v>
      </c>
      <c r="O5581">
        <v>51.813666016366597</v>
      </c>
      <c r="P5581">
        <v>-0.18372837380474599</v>
      </c>
      <c r="Q5581">
        <v>8.9936667357849998E-2</v>
      </c>
      <c r="R5581">
        <v>0.98908438410401001</v>
      </c>
      <c r="S5581" t="s">
        <v>12584</v>
      </c>
      <c r="T5581" t="s">
        <v>14004</v>
      </c>
      <c r="U5581" t="s">
        <v>14004</v>
      </c>
      <c r="V5581" t="s">
        <v>14004</v>
      </c>
      <c r="W5581" t="s">
        <v>19530</v>
      </c>
      <c r="X5581">
        <v>17</v>
      </c>
      <c r="Y5581" t="s">
        <v>26332</v>
      </c>
      <c r="Z5581" t="s">
        <v>33291</v>
      </c>
      <c r="AA5581">
        <v>0.45487796675771919</v>
      </c>
      <c r="AB5581" t="str">
        <f>HYPERLINK("Melting_Curves/meltCurve_Q99797_MIPEP.pdf", "Melting_Curves/meltCurve_Q99797_MIPEP.pdf")</f>
        <v>Melting_Curves/meltCurve_Q99797_MIPEP.pdf</v>
      </c>
    </row>
    <row r="5582" spans="1:28" x14ac:dyDescent="0.25">
      <c r="A5582" t="s">
        <v>5586</v>
      </c>
      <c r="B5582">
        <v>0.99999676499088797</v>
      </c>
      <c r="C5582">
        <v>0.96141490736456903</v>
      </c>
      <c r="D5582">
        <v>0.97939592484722504</v>
      </c>
      <c r="E5582">
        <v>1.0723954615409299</v>
      </c>
      <c r="F5582">
        <v>0.77378979730473096</v>
      </c>
      <c r="G5582">
        <v>0.25905156281784603</v>
      </c>
      <c r="H5582">
        <v>0.12733018463271201</v>
      </c>
      <c r="I5582">
        <v>0.101150192572666</v>
      </c>
      <c r="J5582">
        <v>9.0932891260824503E-2</v>
      </c>
      <c r="K5582">
        <v>7.1083122671779297E-2</v>
      </c>
      <c r="L5582">
        <v>2274.2270268729399</v>
      </c>
      <c r="M5582">
        <v>41.577166966566402</v>
      </c>
      <c r="N5582">
        <v>54.974362406927298</v>
      </c>
      <c r="O5582">
        <v>54.5728591289825</v>
      </c>
      <c r="P5582">
        <v>-0.17255859845504401</v>
      </c>
      <c r="Q5582">
        <v>9.4022044602339802E-2</v>
      </c>
      <c r="R5582">
        <v>0.99427568392915699</v>
      </c>
      <c r="S5582" t="s">
        <v>12585</v>
      </c>
      <c r="T5582" t="s">
        <v>14004</v>
      </c>
      <c r="U5582" t="s">
        <v>14004</v>
      </c>
      <c r="V5582" t="s">
        <v>14004</v>
      </c>
      <c r="W5582" t="s">
        <v>19531</v>
      </c>
      <c r="X5582">
        <v>14</v>
      </c>
      <c r="Y5582" t="s">
        <v>26333</v>
      </c>
      <c r="Z5582" t="s">
        <v>33292</v>
      </c>
      <c r="AA5582">
        <v>0.54108075077111439</v>
      </c>
      <c r="AB5582" t="str">
        <f>HYPERLINK("Melting_Curves/meltCurve_Q99805_TM9SF2.pdf", "Melting_Curves/meltCurve_Q99805_TM9SF2.pdf")</f>
        <v>Melting_Curves/meltCurve_Q99805_TM9SF2.pdf</v>
      </c>
    </row>
    <row r="5583" spans="1:28" x14ac:dyDescent="0.25">
      <c r="A5583" t="s">
        <v>5587</v>
      </c>
      <c r="B5583">
        <v>0.99999676499088797</v>
      </c>
      <c r="C5583">
        <v>0.96281580783588605</v>
      </c>
      <c r="D5583">
        <v>0.95594286113789495</v>
      </c>
      <c r="E5583">
        <v>0.85821246343936797</v>
      </c>
      <c r="F5583">
        <v>0.84510368110740397</v>
      </c>
      <c r="G5583">
        <v>0.68161056789129004</v>
      </c>
      <c r="H5583">
        <v>0.52203725326605399</v>
      </c>
      <c r="I5583">
        <v>0.47734439123153499</v>
      </c>
      <c r="J5583">
        <v>0.41152362096783102</v>
      </c>
      <c r="K5583">
        <v>0.62583557017749203</v>
      </c>
      <c r="L5583">
        <v>898.63439082804803</v>
      </c>
      <c r="M5583">
        <v>16.462617323739298</v>
      </c>
      <c r="N5583">
        <v>67.285821529102606</v>
      </c>
      <c r="O5583">
        <v>53.799984324998</v>
      </c>
      <c r="P5583">
        <v>-3.9963245749839803E-2</v>
      </c>
      <c r="Q5583">
        <v>0.477635609158714</v>
      </c>
      <c r="R5583">
        <v>0.91310858745771795</v>
      </c>
      <c r="S5583" t="s">
        <v>12586</v>
      </c>
      <c r="T5583" t="s">
        <v>14004</v>
      </c>
      <c r="U5583" t="s">
        <v>14004</v>
      </c>
      <c r="V5583" t="s">
        <v>14004</v>
      </c>
      <c r="W5583" t="s">
        <v>19532</v>
      </c>
      <c r="X5583">
        <v>7</v>
      </c>
      <c r="Y5583" t="s">
        <v>26334</v>
      </c>
      <c r="Z5583" t="s">
        <v>33293</v>
      </c>
      <c r="AA5583">
        <v>0.74086913559766521</v>
      </c>
      <c r="AB5583" t="str">
        <f>HYPERLINK("Melting_Curves/meltCurve_Q99808_SLC29A1.pdf", "Melting_Curves/meltCurve_Q99808_SLC29A1.pdf")</f>
        <v>Melting_Curves/meltCurve_Q99808_SLC29A1.pdf</v>
      </c>
    </row>
    <row r="5584" spans="1:28" x14ac:dyDescent="0.25">
      <c r="A5584" t="s">
        <v>5588</v>
      </c>
      <c r="B5584">
        <v>0.99999676499088797</v>
      </c>
      <c r="C5584">
        <v>0.91432445014358699</v>
      </c>
      <c r="D5584">
        <v>0.86763411616582597</v>
      </c>
      <c r="E5584">
        <v>0.64830771574284496</v>
      </c>
      <c r="F5584">
        <v>0.31675095070367998</v>
      </c>
      <c r="G5584">
        <v>0.21268311770789999</v>
      </c>
      <c r="H5584">
        <v>9.2771416232094603E-2</v>
      </c>
      <c r="I5584">
        <v>9.6123872961104306E-2</v>
      </c>
      <c r="J5584">
        <v>9.2481032178040407E-2</v>
      </c>
      <c r="K5584">
        <v>7.4293341406323904E-2</v>
      </c>
      <c r="L5584">
        <v>894.19730244166396</v>
      </c>
      <c r="M5584">
        <v>17.6517448304384</v>
      </c>
      <c r="N5584">
        <v>51.0864619722079</v>
      </c>
      <c r="O5584">
        <v>50.0209854585652</v>
      </c>
      <c r="P5584">
        <v>-8.2152517212928794E-2</v>
      </c>
      <c r="Q5584">
        <v>6.8844283302363599E-2</v>
      </c>
      <c r="R5584">
        <v>0.99587143841584802</v>
      </c>
      <c r="S5584" t="s">
        <v>12587</v>
      </c>
      <c r="T5584" t="s">
        <v>14004</v>
      </c>
      <c r="U5584" t="s">
        <v>14004</v>
      </c>
      <c r="V5584" t="s">
        <v>14004</v>
      </c>
      <c r="W5584" t="s">
        <v>19533</v>
      </c>
      <c r="X5584">
        <v>10</v>
      </c>
      <c r="Y5584" t="s">
        <v>26335</v>
      </c>
      <c r="Z5584" t="s">
        <v>33294</v>
      </c>
      <c r="AA5584">
        <v>0.41596984391152758</v>
      </c>
      <c r="AB5584" t="str">
        <f>HYPERLINK("Melting_Curves/meltCurve_Q99816_TSG101.pdf", "Melting_Curves/meltCurve_Q99816_TSG101.pdf")</f>
        <v>Melting_Curves/meltCurve_Q99816_TSG101.pdf</v>
      </c>
    </row>
    <row r="5585" spans="1:28" x14ac:dyDescent="0.25">
      <c r="A5585" t="s">
        <v>5589</v>
      </c>
      <c r="B5585">
        <v>0.99999676499088797</v>
      </c>
      <c r="C5585">
        <v>0.97820903835198703</v>
      </c>
      <c r="D5585">
        <v>1.00637644005459</v>
      </c>
      <c r="E5585">
        <v>0.87650229696572302</v>
      </c>
      <c r="F5585">
        <v>0.33671888204690897</v>
      </c>
      <c r="G5585">
        <v>0.17101960702013</v>
      </c>
      <c r="H5585">
        <v>7.3415861569651297E-2</v>
      </c>
      <c r="I5585">
        <v>6.9077482175945407E-2</v>
      </c>
      <c r="J5585">
        <v>6.4220277530040795E-2</v>
      </c>
      <c r="K5585">
        <v>5.0202502547210197E-2</v>
      </c>
      <c r="L5585">
        <v>1879.6573838924101</v>
      </c>
      <c r="M5585">
        <v>36.150088355094397</v>
      </c>
      <c r="N5585">
        <v>52.2244027556359</v>
      </c>
      <c r="O5585">
        <v>51.837583279156497</v>
      </c>
      <c r="P5585">
        <v>-0.16159088967049201</v>
      </c>
      <c r="Q5585">
        <v>7.3146910647874694E-2</v>
      </c>
      <c r="R5585">
        <v>0.99709473343678201</v>
      </c>
      <c r="S5585" t="s">
        <v>12588</v>
      </c>
      <c r="T5585" t="s">
        <v>14004</v>
      </c>
      <c r="U5585" t="s">
        <v>14004</v>
      </c>
      <c r="V5585" t="s">
        <v>14004</v>
      </c>
      <c r="W5585" t="s">
        <v>19534</v>
      </c>
      <c r="X5585">
        <v>13</v>
      </c>
      <c r="Y5585" t="s">
        <v>26336</v>
      </c>
      <c r="Z5585" t="s">
        <v>33295</v>
      </c>
      <c r="AA5585">
        <v>0.4478427270724829</v>
      </c>
      <c r="AB5585" t="str">
        <f>HYPERLINK("Melting_Curves/meltCurve_Q99829_CPNE1.pdf", "Melting_Curves/meltCurve_Q99829_CPNE1.pdf")</f>
        <v>Melting_Curves/meltCurve_Q99829_CPNE1.pdf</v>
      </c>
    </row>
    <row r="5586" spans="1:28" x14ac:dyDescent="0.25">
      <c r="A5586" t="s">
        <v>5590</v>
      </c>
      <c r="B5586">
        <v>0.99999676499088797</v>
      </c>
      <c r="C5586">
        <v>0.99725777947871397</v>
      </c>
      <c r="D5586">
        <v>1.01288183945481</v>
      </c>
      <c r="E5586">
        <v>1.0371359114462999</v>
      </c>
      <c r="F5586">
        <v>1.0595624034290001</v>
      </c>
      <c r="G5586">
        <v>0.89842767560171999</v>
      </c>
      <c r="H5586">
        <v>0.67440816795874003</v>
      </c>
      <c r="I5586">
        <v>0.33902739195410198</v>
      </c>
      <c r="J5586">
        <v>0.12925413636378699</v>
      </c>
      <c r="K5586">
        <v>0.105778110406352</v>
      </c>
      <c r="L5586">
        <v>1771.6996578328301</v>
      </c>
      <c r="M5586">
        <v>28.543921950313099</v>
      </c>
      <c r="N5586">
        <v>62.314783159485401</v>
      </c>
      <c r="O5586">
        <v>61.766988580221501</v>
      </c>
      <c r="P5586">
        <v>-0.10938659195242</v>
      </c>
      <c r="Q5586">
        <v>5.3188735467780301E-2</v>
      </c>
      <c r="R5586">
        <v>0.99363296386064603</v>
      </c>
      <c r="S5586" t="s">
        <v>12589</v>
      </c>
      <c r="T5586" t="s">
        <v>14004</v>
      </c>
      <c r="U5586" t="s">
        <v>14004</v>
      </c>
      <c r="V5586" t="s">
        <v>14004</v>
      </c>
      <c r="W5586" t="s">
        <v>19535</v>
      </c>
      <c r="X5586">
        <v>46</v>
      </c>
      <c r="Y5586" t="s">
        <v>26337</v>
      </c>
      <c r="Z5586" t="s">
        <v>33296</v>
      </c>
      <c r="AA5586">
        <v>0.75407103254057073</v>
      </c>
      <c r="AB5586" t="str">
        <f>HYPERLINK("Melting_Curves/meltCurve_Q99832_CCT7.pdf", "Melting_Curves/meltCurve_Q99832_CCT7.pdf")</f>
        <v>Melting_Curves/meltCurve_Q99832_CCT7.pdf</v>
      </c>
    </row>
    <row r="5587" spans="1:28" x14ac:dyDescent="0.25">
      <c r="A5587" t="s">
        <v>5591</v>
      </c>
      <c r="B5587">
        <v>0.99999676499088797</v>
      </c>
      <c r="C5587">
        <v>0.41702206038075501</v>
      </c>
      <c r="D5587">
        <v>0.17739887280384201</v>
      </c>
      <c r="E5587">
        <v>0.18375161353371</v>
      </c>
      <c r="F5587">
        <v>9.1593193701253198E-2</v>
      </c>
      <c r="G5587">
        <v>6.7687853286864594E-2</v>
      </c>
      <c r="H5587">
        <v>7.1738035376607404E-2</v>
      </c>
      <c r="I5587">
        <v>4.18149434703705E-2</v>
      </c>
      <c r="J5587">
        <v>6.9101384125594204E-2</v>
      </c>
      <c r="K5587">
        <v>3.9279341481977002E-2</v>
      </c>
      <c r="L5587">
        <v>2232.9477359973398</v>
      </c>
      <c r="M5587">
        <v>52.577125531585502</v>
      </c>
      <c r="N5587">
        <v>42.630662531293197</v>
      </c>
      <c r="O5587">
        <v>42.408640797909001</v>
      </c>
      <c r="P5587">
        <v>-0.28207624439741402</v>
      </c>
      <c r="Q5587">
        <v>8.9911304520325405E-2</v>
      </c>
      <c r="R5587">
        <v>0.97338425937148598</v>
      </c>
      <c r="S5587" t="s">
        <v>12590</v>
      </c>
      <c r="T5587" t="s">
        <v>14004</v>
      </c>
      <c r="U5587" t="s">
        <v>14004</v>
      </c>
      <c r="V5587" t="s">
        <v>14004</v>
      </c>
      <c r="W5587" t="s">
        <v>19536</v>
      </c>
      <c r="X5587">
        <v>2</v>
      </c>
      <c r="Y5587" t="s">
        <v>26338</v>
      </c>
      <c r="Z5587" t="s">
        <v>33297</v>
      </c>
      <c r="AA5587">
        <v>0.16718259809042521</v>
      </c>
      <c r="AB5587" t="str">
        <f>HYPERLINK("Melting_Curves/meltCurve_Q99856_ARID3A.pdf", "Melting_Curves/meltCurve_Q99856_ARID3A.pdf")</f>
        <v>Melting_Curves/meltCurve_Q99856_ARID3A.pdf</v>
      </c>
    </row>
    <row r="5588" spans="1:28" x14ac:dyDescent="0.25">
      <c r="A5588" t="s">
        <v>5592</v>
      </c>
      <c r="B5588">
        <v>0.99999676499088797</v>
      </c>
      <c r="C5588">
        <v>1.0317233599911499</v>
      </c>
      <c r="D5588">
        <v>1.06219840118202</v>
      </c>
      <c r="E5588">
        <v>0.82395466067091305</v>
      </c>
      <c r="F5588">
        <v>0.44554410565010699</v>
      </c>
      <c r="G5588">
        <v>0.807306248310527</v>
      </c>
      <c r="H5588">
        <v>0.62158570404489499</v>
      </c>
      <c r="I5588">
        <v>0.43777998877221402</v>
      </c>
      <c r="J5588">
        <v>0.56555949180110598</v>
      </c>
      <c r="K5588">
        <v>0.505540382739604</v>
      </c>
      <c r="L5588">
        <v>12419.354112590099</v>
      </c>
      <c r="M5588">
        <v>250</v>
      </c>
      <c r="O5588">
        <v>49.674231171260303</v>
      </c>
      <c r="P5588">
        <v>-0.54871755154753599</v>
      </c>
      <c r="Q5588">
        <v>0.56388598544358903</v>
      </c>
      <c r="R5588">
        <v>0.81495379261336698</v>
      </c>
      <c r="S5588" t="s">
        <v>12591</v>
      </c>
      <c r="T5588" t="s">
        <v>14004</v>
      </c>
      <c r="U5588" t="s">
        <v>14004</v>
      </c>
      <c r="V5588" t="s">
        <v>14004</v>
      </c>
      <c r="W5588" t="s">
        <v>19537</v>
      </c>
      <c r="X5588">
        <v>11</v>
      </c>
      <c r="Y5588" t="s">
        <v>26339</v>
      </c>
      <c r="Z5588" t="s">
        <v>33298</v>
      </c>
      <c r="AA5588">
        <v>0.70460590516885369</v>
      </c>
      <c r="AB5588" t="str">
        <f>HYPERLINK("Melting_Curves/meltCurve_Q99879_HIST1H2BM.pdf", "Melting_Curves/meltCurve_Q99879_HIST1H2BM.pdf")</f>
        <v>Melting_Curves/meltCurve_Q99879_HIST1H2BM.pdf</v>
      </c>
    </row>
    <row r="5589" spans="1:28" x14ac:dyDescent="0.25">
      <c r="A5589" t="s">
        <v>5593</v>
      </c>
      <c r="B5589">
        <v>0.99999676499088797</v>
      </c>
      <c r="C5589">
        <v>1.3373907824073099</v>
      </c>
      <c r="D5589">
        <v>1.2192397346677599</v>
      </c>
      <c r="E5589">
        <v>1.23783692764235</v>
      </c>
      <c r="F5589">
        <v>1.02917998162053</v>
      </c>
      <c r="G5589">
        <v>1.3052670316723201</v>
      </c>
      <c r="H5589">
        <v>0.86411508473238996</v>
      </c>
      <c r="I5589">
        <v>1.0457214662904599</v>
      </c>
      <c r="J5589">
        <v>1.0780291782318101</v>
      </c>
      <c r="K5589">
        <v>1.1969604102023701</v>
      </c>
      <c r="L5589">
        <v>1.0000000000000001E-5</v>
      </c>
      <c r="M5589">
        <v>1.0000000000000001E-5</v>
      </c>
      <c r="Q5589">
        <v>1.26274618213987</v>
      </c>
      <c r="R5589">
        <v>-7.1837642501293397E-9</v>
      </c>
      <c r="S5589" t="s">
        <v>12592</v>
      </c>
      <c r="T5589" t="s">
        <v>14004</v>
      </c>
      <c r="U5589" t="s">
        <v>14004</v>
      </c>
      <c r="V5589" t="s">
        <v>14004</v>
      </c>
      <c r="W5589" t="s">
        <v>19538</v>
      </c>
      <c r="X5589">
        <v>5</v>
      </c>
      <c r="Y5589" t="s">
        <v>26340</v>
      </c>
      <c r="Z5589" t="s">
        <v>33299</v>
      </c>
      <c r="AA5589">
        <v>1.1313737356823139</v>
      </c>
      <c r="AB5589" t="str">
        <f>HYPERLINK("Melting_Curves/meltCurve_Q99952_2_PTPN18.pdf", "Melting_Curves/meltCurve_Q99952_2_PTPN18.pdf")</f>
        <v>Melting_Curves/meltCurve_Q99952_2_PTPN18.pdf</v>
      </c>
    </row>
    <row r="5590" spans="1:28" x14ac:dyDescent="0.25">
      <c r="A5590" t="s">
        <v>5594</v>
      </c>
      <c r="B5590">
        <v>0.99999676499088797</v>
      </c>
      <c r="C5590">
        <v>0.74307140836099494</v>
      </c>
      <c r="D5590">
        <v>0.45016675472191198</v>
      </c>
      <c r="E5590">
        <v>0.27140889935426299</v>
      </c>
      <c r="F5590">
        <v>0.216519036263119</v>
      </c>
      <c r="G5590">
        <v>0.13251110378613901</v>
      </c>
      <c r="H5590">
        <v>9.7664503971771996E-2</v>
      </c>
      <c r="I5590">
        <v>0.10369289105907099</v>
      </c>
      <c r="J5590">
        <v>0.108875670076332</v>
      </c>
      <c r="K5590">
        <v>9.9833981261480395E-2</v>
      </c>
      <c r="L5590">
        <v>857.64947542357095</v>
      </c>
      <c r="M5590">
        <v>18.9962907244274</v>
      </c>
      <c r="N5590">
        <v>45.7681326685343</v>
      </c>
      <c r="O5590">
        <v>44.6568641683861</v>
      </c>
      <c r="P5590">
        <v>-9.4287395100770804E-2</v>
      </c>
      <c r="Q5590">
        <v>0.113424590861855</v>
      </c>
      <c r="R5590">
        <v>0.98807218418001996</v>
      </c>
      <c r="S5590" t="s">
        <v>12593</v>
      </c>
      <c r="T5590" t="s">
        <v>14004</v>
      </c>
      <c r="U5590" t="s">
        <v>14004</v>
      </c>
      <c r="V5590" t="s">
        <v>14004</v>
      </c>
      <c r="W5590" t="s">
        <v>19539</v>
      </c>
      <c r="X5590">
        <v>2</v>
      </c>
      <c r="Y5590" t="s">
        <v>26341</v>
      </c>
      <c r="Z5590" t="s">
        <v>33300</v>
      </c>
      <c r="AA5590">
        <v>0.28220473492706921</v>
      </c>
      <c r="AB5590" t="str">
        <f>HYPERLINK("Melting_Curves/meltCurve_Q99956_DUSP9.pdf", "Melting_Curves/meltCurve_Q99956_DUSP9.pdf")</f>
        <v>Melting_Curves/meltCurve_Q99956_DUSP9.pdf</v>
      </c>
    </row>
    <row r="5591" spans="1:28" x14ac:dyDescent="0.25">
      <c r="A5591" t="s">
        <v>5595</v>
      </c>
      <c r="B5591">
        <v>0.99999676499088797</v>
      </c>
      <c r="C5591">
        <v>0.89356931137228701</v>
      </c>
      <c r="D5591">
        <v>0.87232770750654998</v>
      </c>
      <c r="E5591">
        <v>0.30979921382647702</v>
      </c>
      <c r="F5591">
        <v>0.21945260370737599</v>
      </c>
      <c r="G5591">
        <v>0.14240536405085</v>
      </c>
      <c r="H5591">
        <v>7.6212151972440897E-2</v>
      </c>
      <c r="I5591">
        <v>8.5751585563299995E-2</v>
      </c>
      <c r="J5591">
        <v>9.1001609364167596E-2</v>
      </c>
      <c r="K5591">
        <v>0.10774760795533</v>
      </c>
      <c r="L5591">
        <v>1561.70540966113</v>
      </c>
      <c r="M5591">
        <v>32.488652026313297</v>
      </c>
      <c r="N5591">
        <v>48.434983140339497</v>
      </c>
      <c r="O5591">
        <v>47.888217546613099</v>
      </c>
      <c r="P5591">
        <v>-0.151158983917418</v>
      </c>
      <c r="Q5591">
        <v>0.10877154807294501</v>
      </c>
      <c r="R5591">
        <v>0.985436983294535</v>
      </c>
      <c r="S5591" t="s">
        <v>12594</v>
      </c>
      <c r="T5591" t="s">
        <v>14004</v>
      </c>
      <c r="U5591" t="s">
        <v>14004</v>
      </c>
      <c r="V5591" t="s">
        <v>14004</v>
      </c>
      <c r="W5591" t="s">
        <v>19540</v>
      </c>
      <c r="X5591">
        <v>16</v>
      </c>
      <c r="Y5591" t="s">
        <v>26342</v>
      </c>
      <c r="Z5591" t="s">
        <v>33301</v>
      </c>
      <c r="AA5591">
        <v>0.35303833563407661</v>
      </c>
      <c r="AB5591" t="str">
        <f>HYPERLINK("Melting_Curves/meltCurve_Q99961_SH3GL1.pdf", "Melting_Curves/meltCurve_Q99961_SH3GL1.pdf")</f>
        <v>Melting_Curves/meltCurve_Q99961_SH3GL1.pdf</v>
      </c>
    </row>
    <row r="5592" spans="1:28" x14ac:dyDescent="0.25">
      <c r="A5592" t="s">
        <v>5596</v>
      </c>
      <c r="B5592">
        <v>0.99999676499088797</v>
      </c>
      <c r="C5592">
        <v>1.0584931499788099</v>
      </c>
      <c r="D5592">
        <v>0.79161514664025801</v>
      </c>
      <c r="E5592">
        <v>0.31427719622303901</v>
      </c>
      <c r="F5592">
        <v>0.271935484140927</v>
      </c>
      <c r="G5592">
        <v>0.14127477869264701</v>
      </c>
      <c r="H5592">
        <v>0.109395393749501</v>
      </c>
      <c r="I5592">
        <v>0.129077038771515</v>
      </c>
      <c r="J5592">
        <v>9.7639475971880593E-2</v>
      </c>
      <c r="K5592">
        <v>0.101331619283027</v>
      </c>
      <c r="L5592">
        <v>1467.9488441943499</v>
      </c>
      <c r="M5592">
        <v>30.715970092930299</v>
      </c>
      <c r="N5592">
        <v>48.264015880486397</v>
      </c>
      <c r="O5592">
        <v>47.589882963387701</v>
      </c>
      <c r="P5592">
        <v>-0.14038863856113301</v>
      </c>
      <c r="Q5592">
        <v>0.129959217793085</v>
      </c>
      <c r="R5592">
        <v>0.98442561539282403</v>
      </c>
      <c r="S5592" t="s">
        <v>12595</v>
      </c>
      <c r="T5592" t="s">
        <v>14004</v>
      </c>
      <c r="U5592" t="s">
        <v>14004</v>
      </c>
      <c r="V5592" t="s">
        <v>14004</v>
      </c>
      <c r="W5592" t="s">
        <v>19541</v>
      </c>
      <c r="X5592">
        <v>2</v>
      </c>
      <c r="Y5592" t="s">
        <v>26343</v>
      </c>
      <c r="Z5592" t="s">
        <v>33302</v>
      </c>
      <c r="AA5592">
        <v>0.36088616737662138</v>
      </c>
      <c r="AB5592" t="str">
        <f>HYPERLINK("Melting_Curves/meltCurve_Q99963_4_SH3GL3.pdf", "Melting_Curves/meltCurve_Q99963_4_SH3GL3.pdf")</f>
        <v>Melting_Curves/meltCurve_Q99963_4_SH3GL3.pdf</v>
      </c>
    </row>
    <row r="5593" spans="1:28" x14ac:dyDescent="0.25">
      <c r="A5593" t="s">
        <v>5597</v>
      </c>
      <c r="B5593">
        <v>0.99999676499088797</v>
      </c>
      <c r="C5593">
        <v>1.01668199145509</v>
      </c>
      <c r="D5593">
        <v>0.91618463886852497</v>
      </c>
      <c r="E5593">
        <v>0.47654103911912099</v>
      </c>
      <c r="F5593">
        <v>0.171111674164799</v>
      </c>
      <c r="G5593">
        <v>0.12956094840049001</v>
      </c>
      <c r="H5593">
        <v>6.11206814581838E-2</v>
      </c>
      <c r="I5593">
        <v>6.5421087157433597E-2</v>
      </c>
      <c r="J5593">
        <v>6.8939691605605397E-2</v>
      </c>
      <c r="K5593">
        <v>5.4553210189640801E-2</v>
      </c>
      <c r="L5593">
        <v>1496.7603649652999</v>
      </c>
      <c r="M5593">
        <v>30.383232023672399</v>
      </c>
      <c r="N5593">
        <v>49.518169814572701</v>
      </c>
      <c r="O5593">
        <v>49.050782454485201</v>
      </c>
      <c r="P5593">
        <v>-0.143624284500942</v>
      </c>
      <c r="Q5593">
        <v>7.2535813847496106E-2</v>
      </c>
      <c r="R5593">
        <v>0.99786626013018198</v>
      </c>
      <c r="S5593" t="s">
        <v>12596</v>
      </c>
      <c r="T5593" t="s">
        <v>14004</v>
      </c>
      <c r="U5593" t="s">
        <v>14004</v>
      </c>
      <c r="V5593" t="s">
        <v>14004</v>
      </c>
      <c r="W5593" t="s">
        <v>19542</v>
      </c>
      <c r="X5593">
        <v>20</v>
      </c>
      <c r="Y5593" t="s">
        <v>21902</v>
      </c>
      <c r="Z5593" t="s">
        <v>33303</v>
      </c>
      <c r="AA5593">
        <v>0.36442240005472998</v>
      </c>
      <c r="AB5593" t="str">
        <f>HYPERLINK("Melting_Curves/meltCurve_Q99986_VRK1.pdf", "Melting_Curves/meltCurve_Q99986_VRK1.pdf")</f>
        <v>Melting_Curves/meltCurve_Q99986_VRK1.pdf</v>
      </c>
    </row>
    <row r="5594" spans="1:28" x14ac:dyDescent="0.25">
      <c r="A5594" t="s">
        <v>5598</v>
      </c>
      <c r="B5594">
        <v>0.99999676499088797</v>
      </c>
      <c r="C5594">
        <v>0.93924537629791305</v>
      </c>
      <c r="D5594">
        <v>0.40152705006182998</v>
      </c>
      <c r="E5594">
        <v>0.244873878698041</v>
      </c>
      <c r="F5594">
        <v>0.11263737818346301</v>
      </c>
      <c r="G5594">
        <v>0.15944050974607901</v>
      </c>
      <c r="H5594">
        <v>0</v>
      </c>
      <c r="I5594">
        <v>9.3191482798347006E-2</v>
      </c>
      <c r="J5594">
        <v>0</v>
      </c>
      <c r="K5594">
        <v>0.14091951009949799</v>
      </c>
      <c r="L5594">
        <v>1567.84576359384</v>
      </c>
      <c r="M5594">
        <v>34.551553237631403</v>
      </c>
      <c r="N5594">
        <v>45.6593434448286</v>
      </c>
      <c r="O5594">
        <v>45.225800863179401</v>
      </c>
      <c r="P5594">
        <v>-0.17262401659013499</v>
      </c>
      <c r="Q5594">
        <v>9.61876201858642E-2</v>
      </c>
      <c r="R5594">
        <v>0.96755329125339895</v>
      </c>
      <c r="S5594" t="s">
        <v>12597</v>
      </c>
      <c r="T5594" t="s">
        <v>14004</v>
      </c>
      <c r="U5594" t="s">
        <v>14004</v>
      </c>
      <c r="V5594" t="s">
        <v>14004</v>
      </c>
      <c r="W5594" t="s">
        <v>19543</v>
      </c>
      <c r="X5594">
        <v>2</v>
      </c>
      <c r="Y5594" t="s">
        <v>26344</v>
      </c>
      <c r="Z5594" t="s">
        <v>33304</v>
      </c>
      <c r="AA5594">
        <v>0.26227263038559723</v>
      </c>
      <c r="AB5594" t="str">
        <f>HYPERLINK("Melting_Curves/meltCurve_Q99996_5_AKAP9.pdf", "Melting_Curves/meltCurve_Q99996_5_AKAP9.pdf")</f>
        <v>Melting_Curves/meltCurve_Q99996_5_AKAP9.pdf</v>
      </c>
    </row>
    <row r="5595" spans="1:28" x14ac:dyDescent="0.25">
      <c r="A5595" t="s">
        <v>5599</v>
      </c>
      <c r="B5595">
        <v>0.99999676499088797</v>
      </c>
      <c r="C5595">
        <v>1.10372184143393</v>
      </c>
      <c r="D5595">
        <v>1.0335422862232899</v>
      </c>
      <c r="E5595">
        <v>0.97827849323529403</v>
      </c>
      <c r="F5595">
        <v>0.84252634736110499</v>
      </c>
      <c r="G5595">
        <v>0.81684134638597905</v>
      </c>
      <c r="H5595">
        <v>0.20696279510704299</v>
      </c>
      <c r="I5595">
        <v>0.14020268853147699</v>
      </c>
      <c r="J5595">
        <v>0.11775135826897799</v>
      </c>
      <c r="K5595">
        <v>7.7826400415347205E-2</v>
      </c>
      <c r="L5595">
        <v>2564.24119177176</v>
      </c>
      <c r="M5595">
        <v>43.942545751426799</v>
      </c>
      <c r="N5595">
        <v>58.649049996710701</v>
      </c>
      <c r="O5595">
        <v>58.233948473588597</v>
      </c>
      <c r="P5595">
        <v>-0.169962272772093</v>
      </c>
      <c r="Q5595">
        <v>9.9045487471065105E-2</v>
      </c>
      <c r="R5595">
        <v>0.97910941861309397</v>
      </c>
      <c r="S5595" t="s">
        <v>12598</v>
      </c>
      <c r="T5595" t="s">
        <v>14004</v>
      </c>
      <c r="U5595" t="s">
        <v>14004</v>
      </c>
      <c r="V5595" t="s">
        <v>14004</v>
      </c>
      <c r="W5595" t="s">
        <v>19544</v>
      </c>
      <c r="X5595">
        <v>17</v>
      </c>
      <c r="Y5595" t="s">
        <v>26345</v>
      </c>
      <c r="Z5595" t="s">
        <v>33305</v>
      </c>
      <c r="AA5595">
        <v>0.65322857980877436</v>
      </c>
      <c r="AB5595" t="str">
        <f>HYPERLINK("Melting_Curves/meltCurve_Q9BPW8_NIPSNAP1.pdf", "Melting_Curves/meltCurve_Q9BPW8_NIPSNAP1.pdf")</f>
        <v>Melting_Curves/meltCurve_Q9BPW8_NIPSNAP1.pdf</v>
      </c>
    </row>
    <row r="5596" spans="1:28" x14ac:dyDescent="0.25">
      <c r="A5596" t="s">
        <v>5600</v>
      </c>
      <c r="B5596">
        <v>0.99999676499088797</v>
      </c>
      <c r="C5596">
        <v>0.99899380920268699</v>
      </c>
      <c r="D5596">
        <v>0.84617680049006005</v>
      </c>
      <c r="E5596">
        <v>0.31224977434607298</v>
      </c>
      <c r="F5596">
        <v>0.24241348135770299</v>
      </c>
      <c r="G5596">
        <v>0.16834416795653701</v>
      </c>
      <c r="H5596">
        <v>9.7452963277447902E-2</v>
      </c>
      <c r="I5596">
        <v>8.9830183042085607E-2</v>
      </c>
      <c r="J5596">
        <v>8.08577509966414E-2</v>
      </c>
      <c r="K5596">
        <v>7.8816676528026805E-2</v>
      </c>
      <c r="L5596">
        <v>1546.7539004902301</v>
      </c>
      <c r="M5596">
        <v>32.203866320914798</v>
      </c>
      <c r="N5596">
        <v>48.420306214861697</v>
      </c>
      <c r="O5596">
        <v>47.846014506315299</v>
      </c>
      <c r="P5596">
        <v>-0.149036307266593</v>
      </c>
      <c r="Q5596">
        <v>0.114298117779179</v>
      </c>
      <c r="R5596">
        <v>0.98860725489887002</v>
      </c>
      <c r="S5596" t="s">
        <v>12599</v>
      </c>
      <c r="T5596" t="s">
        <v>14004</v>
      </c>
      <c r="U5596" t="s">
        <v>14004</v>
      </c>
      <c r="V5596" t="s">
        <v>14004</v>
      </c>
      <c r="W5596" t="s">
        <v>19545</v>
      </c>
      <c r="X5596">
        <v>21</v>
      </c>
      <c r="Y5596" t="s">
        <v>26346</v>
      </c>
      <c r="Z5596" t="s">
        <v>33306</v>
      </c>
      <c r="AA5596">
        <v>0.3559740951047477</v>
      </c>
      <c r="AB5596" t="str">
        <f>HYPERLINK("Melting_Curves/meltCurve_Q9BPX3_NCAPG.pdf", "Melting_Curves/meltCurve_Q9BPX3_NCAPG.pdf")</f>
        <v>Melting_Curves/meltCurve_Q9BPX3_NCAPG.pdf</v>
      </c>
    </row>
    <row r="5597" spans="1:28" x14ac:dyDescent="0.25">
      <c r="A5597" t="s">
        <v>5601</v>
      </c>
      <c r="B5597">
        <v>0.99999676499088797</v>
      </c>
      <c r="C5597">
        <v>0.93292405088647601</v>
      </c>
      <c r="D5597">
        <v>0.864653676801034</v>
      </c>
      <c r="E5597">
        <v>0.67067404697007904</v>
      </c>
      <c r="F5597">
        <v>0.59059018951422504</v>
      </c>
      <c r="G5597">
        <v>0.55656337205187401</v>
      </c>
      <c r="H5597">
        <v>0.29166300889191399</v>
      </c>
      <c r="I5597">
        <v>0.19372338909606199</v>
      </c>
      <c r="J5597">
        <v>0.11316230727845999</v>
      </c>
      <c r="K5597">
        <v>8.6726966938115393E-2</v>
      </c>
      <c r="L5597">
        <v>523.17460358655705</v>
      </c>
      <c r="M5597">
        <v>9.4650343802571992</v>
      </c>
      <c r="N5597">
        <v>55.274453581260701</v>
      </c>
      <c r="O5597">
        <v>52.9757189667557</v>
      </c>
      <c r="P5597">
        <v>-4.4693651332467603E-2</v>
      </c>
      <c r="Q5597">
        <v>0</v>
      </c>
      <c r="R5597">
        <v>0.97674081416886704</v>
      </c>
      <c r="S5597" t="s">
        <v>12600</v>
      </c>
      <c r="T5597" t="s">
        <v>14004</v>
      </c>
      <c r="U5597" t="s">
        <v>14004</v>
      </c>
      <c r="V5597" t="s">
        <v>14004</v>
      </c>
      <c r="W5597" t="s">
        <v>19546</v>
      </c>
      <c r="X5597">
        <v>6</v>
      </c>
      <c r="Y5597" t="s">
        <v>26347</v>
      </c>
      <c r="Z5597" t="s">
        <v>33307</v>
      </c>
      <c r="AA5597">
        <v>0.53409256179283782</v>
      </c>
      <c r="AB5597" t="str">
        <f>HYPERLINK("Melting_Curves/meltCurve_Q9BPX5_ARPC5L.pdf", "Melting_Curves/meltCurve_Q9BPX5_ARPC5L.pdf")</f>
        <v>Melting_Curves/meltCurve_Q9BPX5_ARPC5L.pdf</v>
      </c>
    </row>
    <row r="5598" spans="1:28" x14ac:dyDescent="0.25">
      <c r="A5598" t="s">
        <v>5602</v>
      </c>
      <c r="B5598">
        <v>0.99999676499088797</v>
      </c>
      <c r="C5598">
        <v>1.1634609145111801</v>
      </c>
      <c r="D5598">
        <v>1.01889062961749</v>
      </c>
      <c r="E5598">
        <v>0.44021147318123099</v>
      </c>
      <c r="F5598">
        <v>0.26286722082953301</v>
      </c>
      <c r="G5598">
        <v>0.16126541303911601</v>
      </c>
      <c r="H5598">
        <v>6.6449851365617305E-2</v>
      </c>
      <c r="I5598">
        <v>7.8751923160010104E-2</v>
      </c>
      <c r="J5598">
        <v>7.08617207206024E-2</v>
      </c>
      <c r="K5598">
        <v>7.7313965151097105E-2</v>
      </c>
      <c r="L5598">
        <v>2021.4431264335201</v>
      </c>
      <c r="M5598">
        <v>41.106613912356003</v>
      </c>
      <c r="N5598">
        <v>49.471044725339802</v>
      </c>
      <c r="O5598">
        <v>49.059647362980002</v>
      </c>
      <c r="P5598">
        <v>-0.186675736466062</v>
      </c>
      <c r="Q5598">
        <v>0.10883126881432501</v>
      </c>
      <c r="R5598">
        <v>0.97006852272141497</v>
      </c>
      <c r="S5598" t="s">
        <v>12601</v>
      </c>
      <c r="T5598" t="s">
        <v>14004</v>
      </c>
      <c r="U5598" t="s">
        <v>14004</v>
      </c>
      <c r="V5598" t="s">
        <v>14004</v>
      </c>
      <c r="W5598" t="s">
        <v>19547</v>
      </c>
      <c r="X5598">
        <v>3</v>
      </c>
      <c r="Y5598" t="s">
        <v>26348</v>
      </c>
      <c r="Z5598" t="s">
        <v>33308</v>
      </c>
      <c r="AA5598">
        <v>0.38426795042429363</v>
      </c>
      <c r="AB5598" t="str">
        <f>HYPERLINK("Melting_Curves/meltCurve_Q9BPX7_C7orf25.pdf", "Melting_Curves/meltCurve_Q9BPX7_C7orf25.pdf")</f>
        <v>Melting_Curves/meltCurve_Q9BPX7_C7orf25.pdf</v>
      </c>
    </row>
    <row r="5599" spans="1:28" x14ac:dyDescent="0.25">
      <c r="A5599" t="s">
        <v>5603</v>
      </c>
      <c r="B5599">
        <v>0.99999676499088797</v>
      </c>
      <c r="C5599">
        <v>1.4410404063155</v>
      </c>
      <c r="D5599">
        <v>1.03773368008741</v>
      </c>
      <c r="E5599">
        <v>0.51170278824090498</v>
      </c>
      <c r="F5599">
        <v>0.26223678241019699</v>
      </c>
      <c r="G5599">
        <v>0.20286031394391499</v>
      </c>
      <c r="H5599">
        <v>0.13250522504126899</v>
      </c>
      <c r="I5599">
        <v>0.19442425703320401</v>
      </c>
      <c r="J5599">
        <v>0.24059561295544099</v>
      </c>
      <c r="K5599">
        <v>0.175228139476752</v>
      </c>
      <c r="L5599">
        <v>3602.1915268995199</v>
      </c>
      <c r="M5599">
        <v>73.064153112966096</v>
      </c>
      <c r="N5599">
        <v>49.649914227043901</v>
      </c>
      <c r="O5599">
        <v>49.2648672932932</v>
      </c>
      <c r="P5599">
        <v>-0.29644995374085198</v>
      </c>
      <c r="Q5599">
        <v>0.20045252046252099</v>
      </c>
      <c r="R5599">
        <v>0.89498121124669805</v>
      </c>
      <c r="S5599" t="s">
        <v>12602</v>
      </c>
      <c r="T5599" t="s">
        <v>14004</v>
      </c>
      <c r="U5599" t="s">
        <v>14004</v>
      </c>
      <c r="V5599" t="s">
        <v>14004</v>
      </c>
      <c r="W5599" t="s">
        <v>19548</v>
      </c>
      <c r="X5599">
        <v>4</v>
      </c>
      <c r="Y5599" t="s">
        <v>26349</v>
      </c>
      <c r="Z5599" t="s">
        <v>33309</v>
      </c>
      <c r="AA5599">
        <v>0.44917108032200609</v>
      </c>
      <c r="AB5599" t="str">
        <f>HYPERLINK("Melting_Curves/meltCurve_Q9BPZ3_PAIP2.pdf", "Melting_Curves/meltCurve_Q9BPZ3_PAIP2.pdf")</f>
        <v>Melting_Curves/meltCurve_Q9BPZ3_PAIP2.pdf</v>
      </c>
    </row>
    <row r="5600" spans="1:28" x14ac:dyDescent="0.25">
      <c r="A5600" t="s">
        <v>5604</v>
      </c>
      <c r="B5600">
        <v>0.99999676499088797</v>
      </c>
      <c r="C5600">
        <v>0.80536801690462401</v>
      </c>
      <c r="D5600">
        <v>0.47576842534722003</v>
      </c>
      <c r="E5600">
        <v>0.25808415799801199</v>
      </c>
      <c r="F5600">
        <v>0.208952441062731</v>
      </c>
      <c r="G5600">
        <v>0.12930665678269701</v>
      </c>
      <c r="H5600">
        <v>8.1995511290086698E-2</v>
      </c>
      <c r="I5600">
        <v>9.4809627528300203E-2</v>
      </c>
      <c r="J5600">
        <v>9.3096687017033095E-2</v>
      </c>
      <c r="K5600">
        <v>0.13198671593646699</v>
      </c>
      <c r="L5600">
        <v>950.02201124317401</v>
      </c>
      <c r="M5600">
        <v>20.891432677722602</v>
      </c>
      <c r="N5600">
        <v>46.0348354060757</v>
      </c>
      <c r="O5600">
        <v>45.063743619308703</v>
      </c>
      <c r="P5600">
        <v>-0.10288524152758501</v>
      </c>
      <c r="Q5600">
        <v>0.112312483345372</v>
      </c>
      <c r="R5600">
        <v>0.99094894937967803</v>
      </c>
      <c r="S5600" t="s">
        <v>12603</v>
      </c>
      <c r="T5600" t="s">
        <v>14004</v>
      </c>
      <c r="U5600" t="s">
        <v>14004</v>
      </c>
      <c r="V5600" t="s">
        <v>14004</v>
      </c>
      <c r="W5600" t="s">
        <v>19549</v>
      </c>
      <c r="X5600">
        <v>19</v>
      </c>
      <c r="Y5600" t="s">
        <v>26350</v>
      </c>
      <c r="Z5600" t="s">
        <v>33310</v>
      </c>
      <c r="AA5600">
        <v>0.28722888101344268</v>
      </c>
      <c r="AB5600" t="str">
        <f>HYPERLINK("Melting_Curves/meltCurve_Q9BQ04_RBM4B.pdf", "Melting_Curves/meltCurve_Q9BQ04_RBM4B.pdf")</f>
        <v>Melting_Curves/meltCurve_Q9BQ04_RBM4B.pdf</v>
      </c>
    </row>
    <row r="5601" spans="1:28" x14ac:dyDescent="0.25">
      <c r="A5601" t="s">
        <v>5605</v>
      </c>
      <c r="B5601">
        <v>0.99999676499088797</v>
      </c>
      <c r="C5601">
        <v>0.839189327722209</v>
      </c>
      <c r="D5601">
        <v>0.62228033837271002</v>
      </c>
      <c r="E5601">
        <v>0.22184825747746501</v>
      </c>
      <c r="F5601">
        <v>0.174859548675703</v>
      </c>
      <c r="G5601">
        <v>0.107664982424682</v>
      </c>
      <c r="H5601">
        <v>4.5737371774200501E-2</v>
      </c>
      <c r="I5601">
        <v>4.6669764817313303E-2</v>
      </c>
      <c r="J5601">
        <v>4.3995976684972897E-2</v>
      </c>
      <c r="K5601">
        <v>4.8241963837659302E-2</v>
      </c>
      <c r="L5601">
        <v>952.30772769409896</v>
      </c>
      <c r="M5601">
        <v>20.414104756787999</v>
      </c>
      <c r="N5601">
        <v>46.912887112409798</v>
      </c>
      <c r="O5601">
        <v>46.208769807537301</v>
      </c>
      <c r="P5601">
        <v>-0.104468086272559</v>
      </c>
      <c r="Q5601">
        <v>5.4144783912738498E-2</v>
      </c>
      <c r="R5601">
        <v>0.99278464102025199</v>
      </c>
      <c r="S5601" t="s">
        <v>12604</v>
      </c>
      <c r="T5601" t="s">
        <v>14004</v>
      </c>
      <c r="U5601" t="s">
        <v>14004</v>
      </c>
      <c r="V5601" t="s">
        <v>14004</v>
      </c>
      <c r="W5601" t="s">
        <v>19550</v>
      </c>
      <c r="X5601">
        <v>11</v>
      </c>
      <c r="Y5601" t="s">
        <v>26351</v>
      </c>
      <c r="Z5601" t="s">
        <v>33311</v>
      </c>
      <c r="AA5601">
        <v>0.27722753014222001</v>
      </c>
      <c r="AB5601" t="str">
        <f>HYPERLINK("Melting_Curves/meltCurve_Q9BQ39_DDX50.pdf", "Melting_Curves/meltCurve_Q9BQ39_DDX50.pdf")</f>
        <v>Melting_Curves/meltCurve_Q9BQ39_DDX50.pdf</v>
      </c>
    </row>
    <row r="5602" spans="1:28" x14ac:dyDescent="0.25">
      <c r="A5602" t="s">
        <v>5606</v>
      </c>
      <c r="B5602">
        <v>0.99999676499088797</v>
      </c>
      <c r="C5602">
        <v>1.08498030040421</v>
      </c>
      <c r="D5602">
        <v>1.0728186100385499</v>
      </c>
      <c r="E5602">
        <v>1.1726997581524501</v>
      </c>
      <c r="F5602">
        <v>1.0453623512554699</v>
      </c>
      <c r="G5602">
        <v>0.94177676525015197</v>
      </c>
      <c r="H5602">
        <v>0.52133159785033201</v>
      </c>
      <c r="I5602">
        <v>0.30590425563998802</v>
      </c>
      <c r="J5602">
        <v>0.143589211367426</v>
      </c>
      <c r="K5602">
        <v>0.108550131959831</v>
      </c>
      <c r="L5602">
        <v>1959.24955525614</v>
      </c>
      <c r="M5602">
        <v>32.225465141381598</v>
      </c>
      <c r="N5602">
        <v>61.279393214318098</v>
      </c>
      <c r="O5602">
        <v>60.565470164231598</v>
      </c>
      <c r="P5602">
        <v>-0.11814911094767799</v>
      </c>
      <c r="Q5602">
        <v>0.111792670512935</v>
      </c>
      <c r="R5602">
        <v>0.96905173556005098</v>
      </c>
      <c r="S5602" t="s">
        <v>12605</v>
      </c>
      <c r="T5602" t="s">
        <v>14004</v>
      </c>
      <c r="U5602" t="s">
        <v>14004</v>
      </c>
      <c r="V5602" t="s">
        <v>14004</v>
      </c>
      <c r="W5602" t="s">
        <v>19551</v>
      </c>
      <c r="X5602">
        <v>37</v>
      </c>
      <c r="Y5602" t="s">
        <v>26352</v>
      </c>
      <c r="Z5602" t="s">
        <v>33312</v>
      </c>
      <c r="AA5602">
        <v>0.73219413709614467</v>
      </c>
      <c r="AB5602" t="str">
        <f>HYPERLINK("Melting_Curves/meltCurve_Q9BQ52_ELAC2.pdf", "Melting_Curves/meltCurve_Q9BQ52_ELAC2.pdf")</f>
        <v>Melting_Curves/meltCurve_Q9BQ52_ELAC2.pdf</v>
      </c>
    </row>
    <row r="5603" spans="1:28" x14ac:dyDescent="0.25">
      <c r="A5603" t="s">
        <v>5607</v>
      </c>
      <c r="B5603">
        <v>0.99999676499088797</v>
      </c>
      <c r="C5603">
        <v>0.95751943858342004</v>
      </c>
      <c r="D5603">
        <v>1.0763887126224101</v>
      </c>
      <c r="E5603">
        <v>1.16234746303041</v>
      </c>
      <c r="F5603">
        <v>1.0954644612536999</v>
      </c>
      <c r="G5603">
        <v>1.0765529317079401</v>
      </c>
      <c r="H5603">
        <v>0.835891513717127</v>
      </c>
      <c r="I5603">
        <v>0.91569937492711795</v>
      </c>
      <c r="J5603">
        <v>0.80674767332693298</v>
      </c>
      <c r="K5603">
        <v>1.11079914091105</v>
      </c>
      <c r="L5603">
        <v>3386.8243299403498</v>
      </c>
      <c r="M5603">
        <v>57.668737597132001</v>
      </c>
      <c r="O5603">
        <v>58.658452400769697</v>
      </c>
      <c r="P5603">
        <v>-1.95845289112716E-2</v>
      </c>
      <c r="Q5603">
        <v>0.92031747765780303</v>
      </c>
      <c r="R5603">
        <v>0.17947115273366901</v>
      </c>
      <c r="S5603" t="s">
        <v>12606</v>
      </c>
      <c r="T5603" t="s">
        <v>14004</v>
      </c>
      <c r="U5603" t="s">
        <v>14004</v>
      </c>
      <c r="V5603" t="s">
        <v>14004</v>
      </c>
      <c r="W5603" t="s">
        <v>19552</v>
      </c>
      <c r="X5603">
        <v>12</v>
      </c>
      <c r="Y5603" t="s">
        <v>26353</v>
      </c>
      <c r="Z5603" t="s">
        <v>33313</v>
      </c>
      <c r="AA5603">
        <v>0.97021772423033115</v>
      </c>
      <c r="AB5603" t="str">
        <f>HYPERLINK("Melting_Curves/meltCurve_Q9BQ61_C19orf43.pdf", "Melting_Curves/meltCurve_Q9BQ61_C19orf43.pdf")</f>
        <v>Melting_Curves/meltCurve_Q9BQ61_C19orf43.pdf</v>
      </c>
    </row>
    <row r="5604" spans="1:28" x14ac:dyDescent="0.25">
      <c r="A5604" t="s">
        <v>5608</v>
      </c>
      <c r="B5604">
        <v>0.99999676499088797</v>
      </c>
      <c r="C5604">
        <v>0.95106757387274099</v>
      </c>
      <c r="D5604">
        <v>0.93413351641002895</v>
      </c>
      <c r="E5604">
        <v>0.81653827444210103</v>
      </c>
      <c r="F5604">
        <v>0.60941197730317298</v>
      </c>
      <c r="G5604">
        <v>0.351076615403559</v>
      </c>
      <c r="H5604">
        <v>0.127701296395833</v>
      </c>
      <c r="I5604">
        <v>0.13626731829244301</v>
      </c>
      <c r="J5604">
        <v>0.14479794360591899</v>
      </c>
      <c r="K5604">
        <v>0.13982790954295701</v>
      </c>
      <c r="L5604">
        <v>983.25440643075899</v>
      </c>
      <c r="M5604">
        <v>18.3419949502312</v>
      </c>
      <c r="N5604">
        <v>54.273355789815803</v>
      </c>
      <c r="O5604">
        <v>52.981710258619799</v>
      </c>
      <c r="P5604">
        <v>-7.7822918672176902E-2</v>
      </c>
      <c r="Q5604">
        <v>0.10086049124115</v>
      </c>
      <c r="R5604">
        <v>0.99309941369469701</v>
      </c>
      <c r="S5604" t="s">
        <v>12607</v>
      </c>
      <c r="T5604" t="s">
        <v>14004</v>
      </c>
      <c r="U5604" t="s">
        <v>14004</v>
      </c>
      <c r="V5604" t="s">
        <v>14004</v>
      </c>
      <c r="W5604" t="s">
        <v>19553</v>
      </c>
      <c r="X5604">
        <v>11</v>
      </c>
      <c r="Y5604" t="s">
        <v>26354</v>
      </c>
      <c r="Z5604" t="s">
        <v>33314</v>
      </c>
      <c r="AA5604">
        <v>0.52278879844863124</v>
      </c>
      <c r="AB5604" t="str">
        <f>HYPERLINK("Melting_Curves/meltCurve_Q9BQ67_GRWD1.pdf", "Melting_Curves/meltCurve_Q9BQ67_GRWD1.pdf")</f>
        <v>Melting_Curves/meltCurve_Q9BQ67_GRWD1.pdf</v>
      </c>
    </row>
    <row r="5605" spans="1:28" x14ac:dyDescent="0.25">
      <c r="A5605" t="s">
        <v>5609</v>
      </c>
      <c r="B5605">
        <v>0.99999676499088797</v>
      </c>
      <c r="C5605">
        <v>0.88419309183767703</v>
      </c>
      <c r="D5605">
        <v>0.803800034308645</v>
      </c>
      <c r="E5605">
        <v>0.36564891328400001</v>
      </c>
      <c r="F5605">
        <v>0.23425813301630199</v>
      </c>
      <c r="G5605">
        <v>0.13644376544652401</v>
      </c>
      <c r="H5605">
        <v>7.2300452126723494E-2</v>
      </c>
      <c r="I5605">
        <v>6.7289042277813793E-2</v>
      </c>
      <c r="J5605">
        <v>6.12426774593086E-2</v>
      </c>
      <c r="K5605">
        <v>5.6957475422741301E-2</v>
      </c>
      <c r="L5605">
        <v>949.18041699620699</v>
      </c>
      <c r="M5605">
        <v>19.625005175699801</v>
      </c>
      <c r="N5605">
        <v>48.708369786318102</v>
      </c>
      <c r="O5605">
        <v>47.872074836022001</v>
      </c>
      <c r="P5605">
        <v>-9.5884884878108798E-2</v>
      </c>
      <c r="Q5605">
        <v>6.4449191622166405E-2</v>
      </c>
      <c r="R5605">
        <v>0.99216377016744195</v>
      </c>
      <c r="S5605" t="s">
        <v>12608</v>
      </c>
      <c r="T5605" t="s">
        <v>14004</v>
      </c>
      <c r="U5605" t="s">
        <v>14004</v>
      </c>
      <c r="V5605" t="s">
        <v>14004</v>
      </c>
      <c r="W5605" t="s">
        <v>19554</v>
      </c>
      <c r="X5605">
        <v>15</v>
      </c>
      <c r="Y5605" t="s">
        <v>26355</v>
      </c>
      <c r="Z5605" t="s">
        <v>33315</v>
      </c>
      <c r="AA5605">
        <v>0.33907846805444808</v>
      </c>
      <c r="AB5605" t="str">
        <f>HYPERLINK("Melting_Curves/meltCurve_Q9BQ69_MACROD1.pdf", "Melting_Curves/meltCurve_Q9BQ69_MACROD1.pdf")</f>
        <v>Melting_Curves/meltCurve_Q9BQ69_MACROD1.pdf</v>
      </c>
    </row>
    <row r="5606" spans="1:28" x14ac:dyDescent="0.25">
      <c r="A5606" t="s">
        <v>5610</v>
      </c>
      <c r="B5606">
        <v>0.99999676499088797</v>
      </c>
      <c r="C5606">
        <v>0.94796680613054696</v>
      </c>
      <c r="D5606">
        <v>0.83755087555597796</v>
      </c>
      <c r="E5606">
        <v>0.38408867249858702</v>
      </c>
      <c r="F5606">
        <v>0.216234346251575</v>
      </c>
      <c r="G5606">
        <v>0.13102232204418099</v>
      </c>
      <c r="H5606">
        <v>6.4407847863793596E-2</v>
      </c>
      <c r="I5606">
        <v>6.1191981591837197E-2</v>
      </c>
      <c r="J5606">
        <v>8.0259492010528205E-2</v>
      </c>
      <c r="K5606">
        <v>8.2864383032239197E-2</v>
      </c>
      <c r="L5606">
        <v>1182.0838080486899</v>
      </c>
      <c r="M5606">
        <v>24.364661441744399</v>
      </c>
      <c r="N5606">
        <v>48.866976809406601</v>
      </c>
      <c r="O5606">
        <v>48.193042513351799</v>
      </c>
      <c r="P5606">
        <v>-0.11625600850307501</v>
      </c>
      <c r="Q5606">
        <v>8.0201143184326695E-2</v>
      </c>
      <c r="R5606">
        <v>0.99592030628337702</v>
      </c>
      <c r="S5606" t="s">
        <v>12609</v>
      </c>
      <c r="T5606" t="s">
        <v>14004</v>
      </c>
      <c r="U5606" t="s">
        <v>14004</v>
      </c>
      <c r="V5606" t="s">
        <v>14004</v>
      </c>
      <c r="W5606" t="s">
        <v>19555</v>
      </c>
      <c r="X5606">
        <v>4</v>
      </c>
      <c r="Y5606" t="s">
        <v>26356</v>
      </c>
      <c r="Z5606" t="s">
        <v>33316</v>
      </c>
      <c r="AA5606">
        <v>0.34989255617333348</v>
      </c>
      <c r="AB5606" t="str">
        <f>HYPERLINK("Melting_Curves/meltCurve_Q9BQ70_TCF25.pdf", "Melting_Curves/meltCurve_Q9BQ70_TCF25.pdf")</f>
        <v>Melting_Curves/meltCurve_Q9BQ70_TCF25.pdf</v>
      </c>
    </row>
    <row r="5607" spans="1:28" x14ac:dyDescent="0.25">
      <c r="A5607" t="s">
        <v>5611</v>
      </c>
      <c r="B5607">
        <v>0.99999676499088797</v>
      </c>
      <c r="C5607">
        <v>1.0326967944601999</v>
      </c>
      <c r="D5607">
        <v>1.05921687500659</v>
      </c>
      <c r="E5607">
        <v>1.0772680630448801</v>
      </c>
      <c r="F5607">
        <v>0.87524047602126398</v>
      </c>
      <c r="G5607">
        <v>0.67017383568382705</v>
      </c>
      <c r="H5607">
        <v>0.30254364896692298</v>
      </c>
      <c r="I5607">
        <v>0.184335119826982</v>
      </c>
      <c r="J5607">
        <v>0.120808137316506</v>
      </c>
      <c r="K5607">
        <v>8.4732623418281597E-2</v>
      </c>
      <c r="L5607">
        <v>1414.7185709790999</v>
      </c>
      <c r="M5607">
        <v>24.372079783613501</v>
      </c>
      <c r="N5607">
        <v>58.484049073077799</v>
      </c>
      <c r="O5607">
        <v>57.660133980307499</v>
      </c>
      <c r="P5607">
        <v>-9.6869205033776801E-2</v>
      </c>
      <c r="Q5607">
        <v>8.3310365800482303E-2</v>
      </c>
      <c r="R5607">
        <v>0.99070619938712201</v>
      </c>
      <c r="S5607" t="s">
        <v>12610</v>
      </c>
      <c r="T5607" t="s">
        <v>14004</v>
      </c>
      <c r="U5607" t="s">
        <v>14004</v>
      </c>
      <c r="V5607" t="s">
        <v>14004</v>
      </c>
      <c r="W5607" t="s">
        <v>19556</v>
      </c>
      <c r="X5607">
        <v>14</v>
      </c>
      <c r="Y5607" t="s">
        <v>26357</v>
      </c>
      <c r="Z5607" t="s">
        <v>33317</v>
      </c>
      <c r="AA5607">
        <v>0.64298754942891645</v>
      </c>
      <c r="AB5607" t="str">
        <f>HYPERLINK("Melting_Curves/meltCurve_Q9BQ95_ECSIT.pdf", "Melting_Curves/meltCurve_Q9BQ95_ECSIT.pdf")</f>
        <v>Melting_Curves/meltCurve_Q9BQ95_ECSIT.pdf</v>
      </c>
    </row>
    <row r="5608" spans="1:28" x14ac:dyDescent="0.25">
      <c r="A5608" t="s">
        <v>5612</v>
      </c>
      <c r="B5608">
        <v>0.99999676499088797</v>
      </c>
      <c r="C5608">
        <v>0.99211851508008497</v>
      </c>
      <c r="D5608">
        <v>1.0434562310120301</v>
      </c>
      <c r="E5608">
        <v>1.1885110414952</v>
      </c>
      <c r="F5608">
        <v>1.0831920695489199</v>
      </c>
      <c r="G5608">
        <v>0.70296950184463503</v>
      </c>
      <c r="H5608">
        <v>0.19379864690356199</v>
      </c>
      <c r="I5608">
        <v>0.177582177413738</v>
      </c>
      <c r="J5608">
        <v>0.157535431943852</v>
      </c>
      <c r="K5608">
        <v>0.15560995282920501</v>
      </c>
      <c r="L5608">
        <v>6133.7961098818696</v>
      </c>
      <c r="M5608">
        <v>107.404795031086</v>
      </c>
      <c r="N5608">
        <v>57.3322411395377</v>
      </c>
      <c r="O5608">
        <v>57.089355978561898</v>
      </c>
      <c r="P5608">
        <v>-0.39000308285936902</v>
      </c>
      <c r="Q5608">
        <v>0.17079964568303199</v>
      </c>
      <c r="R5608">
        <v>0.97463382863797199</v>
      </c>
      <c r="S5608" t="s">
        <v>12611</v>
      </c>
      <c r="T5608" t="s">
        <v>14004</v>
      </c>
      <c r="U5608" t="s">
        <v>14004</v>
      </c>
      <c r="V5608" t="s">
        <v>14004</v>
      </c>
      <c r="W5608" t="s">
        <v>19557</v>
      </c>
      <c r="X5608">
        <v>8</v>
      </c>
      <c r="Y5608" t="s">
        <v>26358</v>
      </c>
      <c r="Z5608" t="s">
        <v>33318</v>
      </c>
      <c r="AA5608">
        <v>0.64414734950067765</v>
      </c>
      <c r="AB5608" t="str">
        <f>HYPERLINK("Melting_Curves/meltCurve_Q9BQA1_WDR77.pdf", "Melting_Curves/meltCurve_Q9BQA1_WDR77.pdf")</f>
        <v>Melting_Curves/meltCurve_Q9BQA1_WDR77.pdf</v>
      </c>
    </row>
    <row r="5609" spans="1:28" x14ac:dyDescent="0.25">
      <c r="A5609" t="s">
        <v>5613</v>
      </c>
      <c r="B5609">
        <v>0.99999676499088797</v>
      </c>
      <c r="C5609">
        <v>0.74335578031786798</v>
      </c>
      <c r="D5609">
        <v>0.88191730805211599</v>
      </c>
      <c r="E5609">
        <v>0.31339520715781199</v>
      </c>
      <c r="F5609">
        <v>0.34277839223006701</v>
      </c>
      <c r="G5609">
        <v>0.36515384877531898</v>
      </c>
      <c r="H5609">
        <v>0.21153688053750799</v>
      </c>
      <c r="I5609">
        <v>9.2539326942897002E-2</v>
      </c>
      <c r="J5609">
        <v>0</v>
      </c>
      <c r="K5609">
        <v>0</v>
      </c>
      <c r="L5609">
        <v>500.14380849845702</v>
      </c>
      <c r="M5609">
        <v>10.0084387880815</v>
      </c>
      <c r="N5609">
        <v>49.972219630326798</v>
      </c>
      <c r="O5609">
        <v>48.100089128549499</v>
      </c>
      <c r="P5609">
        <v>-5.2044036740409201E-2</v>
      </c>
      <c r="Q5609">
        <v>0</v>
      </c>
      <c r="R5609">
        <v>0.89779737581215102</v>
      </c>
      <c r="S5609" t="s">
        <v>12612</v>
      </c>
      <c r="T5609" t="s">
        <v>14004</v>
      </c>
      <c r="U5609" t="s">
        <v>14004</v>
      </c>
      <c r="V5609" t="s">
        <v>14004</v>
      </c>
      <c r="W5609" t="s">
        <v>19558</v>
      </c>
      <c r="X5609">
        <v>3</v>
      </c>
      <c r="Y5609" t="s">
        <v>26359</v>
      </c>
      <c r="Z5609" t="s">
        <v>33319</v>
      </c>
      <c r="AA5609">
        <v>0.37766216215615223</v>
      </c>
      <c r="AB5609" t="str">
        <f>HYPERLINK("Melting_Curves/meltCurve_Q9BQA9_2_C17orf62.pdf", "Melting_Curves/meltCurve_Q9BQA9_2_C17orf62.pdf")</f>
        <v>Melting_Curves/meltCurve_Q9BQA9_2_C17orf62.pdf</v>
      </c>
    </row>
    <row r="5610" spans="1:28" x14ac:dyDescent="0.25">
      <c r="A5610" t="s">
        <v>5614</v>
      </c>
      <c r="B5610">
        <v>0.99999676499088797</v>
      </c>
      <c r="C5610">
        <v>1.0580687600044301</v>
      </c>
      <c r="D5610">
        <v>1.0294388547383799</v>
      </c>
      <c r="E5610">
        <v>0.97601059058068795</v>
      </c>
      <c r="F5610">
        <v>0.85704491680950001</v>
      </c>
      <c r="G5610">
        <v>0.58709775814804199</v>
      </c>
      <c r="H5610">
        <v>0.32623932227717301</v>
      </c>
      <c r="I5610">
        <v>0.23785910928401099</v>
      </c>
      <c r="J5610">
        <v>0.166072998208911</v>
      </c>
      <c r="K5610">
        <v>0.166072078962853</v>
      </c>
      <c r="L5610">
        <v>1260.43234491826</v>
      </c>
      <c r="M5610">
        <v>22.1048163148957</v>
      </c>
      <c r="N5610">
        <v>57.970113124255498</v>
      </c>
      <c r="O5610">
        <v>56.5601971406929</v>
      </c>
      <c r="P5610">
        <v>-8.2868691900639405E-2</v>
      </c>
      <c r="Q5610">
        <v>0.15186508273369101</v>
      </c>
      <c r="R5610">
        <v>0.99611033158443196</v>
      </c>
      <c r="S5610" t="s">
        <v>12613</v>
      </c>
      <c r="T5610" t="s">
        <v>14004</v>
      </c>
      <c r="U5610" t="s">
        <v>14004</v>
      </c>
      <c r="V5610" t="s">
        <v>14004</v>
      </c>
      <c r="W5610" t="s">
        <v>19559</v>
      </c>
      <c r="X5610">
        <v>10</v>
      </c>
      <c r="Y5610" t="s">
        <v>26360</v>
      </c>
      <c r="Z5610" t="s">
        <v>33320</v>
      </c>
      <c r="AA5610">
        <v>0.64219119270104874</v>
      </c>
      <c r="AB5610" t="str">
        <f>HYPERLINK("Melting_Curves/meltCurve_Q9BQC3_DPH2.pdf", "Melting_Curves/meltCurve_Q9BQC3_DPH2.pdf")</f>
        <v>Melting_Curves/meltCurve_Q9BQC3_DPH2.pdf</v>
      </c>
    </row>
    <row r="5611" spans="1:28" x14ac:dyDescent="0.25">
      <c r="A5611" t="s">
        <v>5615</v>
      </c>
      <c r="B5611">
        <v>0.99999676499088797</v>
      </c>
      <c r="C5611">
        <v>0.95552759761030803</v>
      </c>
      <c r="D5611">
        <v>0.91343706714464601</v>
      </c>
      <c r="E5611">
        <v>0.825533017933198</v>
      </c>
      <c r="F5611">
        <v>1.1422494410725199</v>
      </c>
      <c r="G5611">
        <v>0.94701628721319597</v>
      </c>
      <c r="H5611">
        <v>0.72605544829348601</v>
      </c>
      <c r="I5611">
        <v>0.63036316413948001</v>
      </c>
      <c r="J5611">
        <v>0.62097042980061001</v>
      </c>
      <c r="K5611">
        <v>0.81876617605979796</v>
      </c>
      <c r="L5611">
        <v>3700.8795680918302</v>
      </c>
      <c r="M5611">
        <v>63.439341206697897</v>
      </c>
      <c r="O5611">
        <v>58.279413277402298</v>
      </c>
      <c r="P5611">
        <v>-8.3550397234494395E-2</v>
      </c>
      <c r="Q5611">
        <v>0.69298128741237996</v>
      </c>
      <c r="R5611">
        <v>0.65696673646630599</v>
      </c>
      <c r="S5611" t="s">
        <v>12614</v>
      </c>
      <c r="T5611" t="s">
        <v>14004</v>
      </c>
      <c r="U5611" t="s">
        <v>14004</v>
      </c>
      <c r="V5611" t="s">
        <v>14004</v>
      </c>
      <c r="W5611" t="s">
        <v>19560</v>
      </c>
      <c r="X5611">
        <v>5</v>
      </c>
      <c r="Y5611" t="s">
        <v>26361</v>
      </c>
      <c r="Z5611" t="s">
        <v>33321</v>
      </c>
      <c r="AA5611">
        <v>0.88113374025434166</v>
      </c>
      <c r="AB5611" t="str">
        <f>HYPERLINK("Melting_Curves/meltCurve_Q9BQE9_4_BCL7B.pdf", "Melting_Curves/meltCurve_Q9BQE9_4_BCL7B.pdf")</f>
        <v>Melting_Curves/meltCurve_Q9BQE9_4_BCL7B.pdf</v>
      </c>
    </row>
    <row r="5612" spans="1:28" x14ac:dyDescent="0.25">
      <c r="A5612" t="s">
        <v>5616</v>
      </c>
      <c r="B5612">
        <v>0.99999676499088797</v>
      </c>
      <c r="C5612">
        <v>0.95510983530816196</v>
      </c>
      <c r="D5612">
        <v>0.62396337939042101</v>
      </c>
      <c r="E5612">
        <v>0.44155888065111898</v>
      </c>
      <c r="F5612">
        <v>0.37858361324899797</v>
      </c>
      <c r="G5612">
        <v>0.137423525944629</v>
      </c>
      <c r="H5612">
        <v>0.141096903167585</v>
      </c>
      <c r="I5612">
        <v>0.13324626307491799</v>
      </c>
      <c r="J5612">
        <v>0.14659091588422099</v>
      </c>
      <c r="K5612">
        <v>0.135991872297717</v>
      </c>
      <c r="L5612">
        <v>751.93729286198095</v>
      </c>
      <c r="M5612">
        <v>15.682265710879101</v>
      </c>
      <c r="N5612">
        <v>48.848255425144401</v>
      </c>
      <c r="O5612">
        <v>47.188896466629899</v>
      </c>
      <c r="P5612">
        <v>-7.2664083180082398E-2</v>
      </c>
      <c r="Q5612">
        <v>0.125471468837144</v>
      </c>
      <c r="R5612">
        <v>0.974559744660348</v>
      </c>
      <c r="S5612" t="s">
        <v>12615</v>
      </c>
      <c r="T5612" t="s">
        <v>14004</v>
      </c>
      <c r="U5612" t="s">
        <v>14004</v>
      </c>
      <c r="V5612" t="s">
        <v>14004</v>
      </c>
      <c r="W5612" t="s">
        <v>19561</v>
      </c>
      <c r="X5612">
        <v>2</v>
      </c>
      <c r="Y5612" t="s">
        <v>26362</v>
      </c>
      <c r="Z5612" t="s">
        <v>33322</v>
      </c>
      <c r="AA5612">
        <v>0.37780990144926663</v>
      </c>
      <c r="AB5612" t="str">
        <f>HYPERLINK("Melting_Curves/meltCurve_Q9BQF6_5_SENP7.pdf", "Melting_Curves/meltCurve_Q9BQF6_5_SENP7.pdf")</f>
        <v>Melting_Curves/meltCurve_Q9BQF6_5_SENP7.pdf</v>
      </c>
    </row>
    <row r="5613" spans="1:28" x14ac:dyDescent="0.25">
      <c r="A5613" t="s">
        <v>5617</v>
      </c>
      <c r="B5613">
        <v>0.99999676499088797</v>
      </c>
      <c r="C5613">
        <v>0.91797830610311404</v>
      </c>
      <c r="D5613">
        <v>1.14806492739848</v>
      </c>
      <c r="E5613">
        <v>1.3530745202493399</v>
      </c>
      <c r="F5613">
        <v>1.1320763981608</v>
      </c>
      <c r="G5613">
        <v>0.91216287791925899</v>
      </c>
      <c r="H5613">
        <v>0.51405373903478602</v>
      </c>
      <c r="I5613">
        <v>0.30581759798122599</v>
      </c>
      <c r="J5613">
        <v>0.26048476363497203</v>
      </c>
      <c r="K5613">
        <v>0.32667623107032501</v>
      </c>
      <c r="L5613">
        <v>2687.1326113375899</v>
      </c>
      <c r="M5613">
        <v>45.018855893066302</v>
      </c>
      <c r="N5613">
        <v>60.840871792736202</v>
      </c>
      <c r="O5613">
        <v>59.5716497205145</v>
      </c>
      <c r="P5613">
        <v>-0.13474691980755099</v>
      </c>
      <c r="Q5613">
        <v>0.286780367894854</v>
      </c>
      <c r="R5613">
        <v>0.87884137556826303</v>
      </c>
      <c r="S5613" t="s">
        <v>12616</v>
      </c>
      <c r="T5613" t="s">
        <v>14004</v>
      </c>
      <c r="U5613" t="s">
        <v>14004</v>
      </c>
      <c r="V5613" t="s">
        <v>14004</v>
      </c>
      <c r="W5613" t="s">
        <v>19562</v>
      </c>
      <c r="X5613">
        <v>5</v>
      </c>
      <c r="Y5613" t="s">
        <v>26363</v>
      </c>
      <c r="Z5613" t="s">
        <v>33323</v>
      </c>
      <c r="AA5613">
        <v>0.75712661569188799</v>
      </c>
      <c r="AB5613" t="str">
        <f>HYPERLINK("Melting_Curves/meltCurve_Q9BQI0_AIF1L.pdf", "Melting_Curves/meltCurve_Q9BQI0_AIF1L.pdf")</f>
        <v>Melting_Curves/meltCurve_Q9BQI0_AIF1L.pdf</v>
      </c>
    </row>
    <row r="5614" spans="1:28" x14ac:dyDescent="0.25">
      <c r="A5614" t="s">
        <v>5618</v>
      </c>
      <c r="B5614">
        <v>0.99999676499088797</v>
      </c>
      <c r="C5614">
        <v>0.98606938883928497</v>
      </c>
      <c r="D5614">
        <v>0.95496916660979003</v>
      </c>
      <c r="E5614">
        <v>0.82638731552945</v>
      </c>
      <c r="F5614">
        <v>0.58791814438861201</v>
      </c>
      <c r="G5614">
        <v>0.28785100168854899</v>
      </c>
      <c r="H5614">
        <v>6.6075451102866806E-2</v>
      </c>
      <c r="I5614">
        <v>7.9440715245945301E-2</v>
      </c>
      <c r="J5614">
        <v>6.6594936341545105E-2</v>
      </c>
      <c r="K5614">
        <v>5.2085721129924503E-2</v>
      </c>
      <c r="L5614">
        <v>1077.2180005692001</v>
      </c>
      <c r="M5614">
        <v>20.037783313261698</v>
      </c>
      <c r="N5614">
        <v>53.939096220397197</v>
      </c>
      <c r="O5614">
        <v>53.232497657891301</v>
      </c>
      <c r="P5614">
        <v>-9.1068553857489104E-2</v>
      </c>
      <c r="Q5614">
        <v>3.2298158559888698E-2</v>
      </c>
      <c r="R5614">
        <v>0.997203842419079</v>
      </c>
      <c r="S5614" t="s">
        <v>12617</v>
      </c>
      <c r="T5614" t="s">
        <v>14004</v>
      </c>
      <c r="U5614" t="s">
        <v>14004</v>
      </c>
      <c r="V5614" t="s">
        <v>14004</v>
      </c>
      <c r="W5614" t="s">
        <v>19563</v>
      </c>
      <c r="X5614">
        <v>2</v>
      </c>
      <c r="Y5614" t="s">
        <v>26364</v>
      </c>
      <c r="Z5614" t="s">
        <v>33324</v>
      </c>
      <c r="AA5614">
        <v>0.4892876903615086</v>
      </c>
      <c r="AB5614" t="str">
        <f>HYPERLINK("Melting_Curves/meltCurve_Q9BQI3_2_EIF2AK1.pdf", "Melting_Curves/meltCurve_Q9BQI3_2_EIF2AK1.pdf")</f>
        <v>Melting_Curves/meltCurve_Q9BQI3_2_EIF2AK1.pdf</v>
      </c>
    </row>
    <row r="5615" spans="1:28" x14ac:dyDescent="0.25">
      <c r="A5615" t="s">
        <v>5619</v>
      </c>
      <c r="B5615">
        <v>0.99999676499088797</v>
      </c>
      <c r="C5615">
        <v>1.15061350571247</v>
      </c>
      <c r="D5615">
        <v>1.07002293178287</v>
      </c>
      <c r="E5615">
        <v>0.96309407654567503</v>
      </c>
      <c r="F5615">
        <v>0.63485914827199696</v>
      </c>
      <c r="G5615">
        <v>0.26573775843890601</v>
      </c>
      <c r="H5615">
        <v>7.9177594343066093E-2</v>
      </c>
      <c r="I5615">
        <v>7.3879014467183604E-2</v>
      </c>
      <c r="J5615">
        <v>6.2723490222663006E-2</v>
      </c>
      <c r="K5615">
        <v>3.77080023213072E-2</v>
      </c>
      <c r="L5615">
        <v>1600.67846135847</v>
      </c>
      <c r="M5615">
        <v>29.536679008544802</v>
      </c>
      <c r="N5615">
        <v>54.399371925578599</v>
      </c>
      <c r="O5615">
        <v>53.9463192140568</v>
      </c>
      <c r="P5615">
        <v>-0.12962295955981301</v>
      </c>
      <c r="Q5615">
        <v>5.3023864160282798E-2</v>
      </c>
      <c r="R5615">
        <v>0.98523124298679998</v>
      </c>
      <c r="S5615" t="s">
        <v>12618</v>
      </c>
      <c r="T5615" t="s">
        <v>14004</v>
      </c>
      <c r="U5615" t="s">
        <v>14004</v>
      </c>
      <c r="V5615" t="s">
        <v>14004</v>
      </c>
      <c r="W5615" t="s">
        <v>19564</v>
      </c>
      <c r="X5615">
        <v>4</v>
      </c>
      <c r="Y5615" t="s">
        <v>26365</v>
      </c>
      <c r="Z5615" t="s">
        <v>33325</v>
      </c>
      <c r="AA5615">
        <v>0.50745811061985657</v>
      </c>
      <c r="AB5615" t="str">
        <f>HYPERLINK("Melting_Curves/meltCurve_Q9BQP7_MGME1.pdf", "Melting_Curves/meltCurve_Q9BQP7_MGME1.pdf")</f>
        <v>Melting_Curves/meltCurve_Q9BQP7_MGME1.pdf</v>
      </c>
    </row>
    <row r="5616" spans="1:28" x14ac:dyDescent="0.25">
      <c r="A5616" t="s">
        <v>5620</v>
      </c>
      <c r="B5616">
        <v>0.99999676499088797</v>
      </c>
      <c r="C5616">
        <v>0.83263134137212502</v>
      </c>
      <c r="D5616">
        <v>0.60336830125033802</v>
      </c>
      <c r="E5616">
        <v>0.26413540884327003</v>
      </c>
      <c r="F5616">
        <v>0.225446104682759</v>
      </c>
      <c r="G5616">
        <v>0.161197775395021</v>
      </c>
      <c r="H5616">
        <v>8.8823238580571506E-2</v>
      </c>
      <c r="I5616">
        <v>7.3381908967588505E-2</v>
      </c>
      <c r="J5616">
        <v>6.7958515306371994E-2</v>
      </c>
      <c r="K5616">
        <v>5.0693184196553998E-2</v>
      </c>
      <c r="L5616">
        <v>837.35425210502603</v>
      </c>
      <c r="M5616">
        <v>17.9592780895854</v>
      </c>
      <c r="N5616">
        <v>47.077728620340302</v>
      </c>
      <c r="O5616">
        <v>46.0586095899341</v>
      </c>
      <c r="P5616">
        <v>-8.9756578697702594E-2</v>
      </c>
      <c r="Q5616">
        <v>7.9282168461414795E-2</v>
      </c>
      <c r="R5616">
        <v>0.98975094060105095</v>
      </c>
      <c r="S5616" t="s">
        <v>12619</v>
      </c>
      <c r="T5616" t="s">
        <v>14004</v>
      </c>
      <c r="U5616" t="s">
        <v>14004</v>
      </c>
      <c r="V5616" t="s">
        <v>14004</v>
      </c>
      <c r="W5616" t="s">
        <v>19565</v>
      </c>
      <c r="X5616">
        <v>8</v>
      </c>
      <c r="Y5616" t="s">
        <v>26366</v>
      </c>
      <c r="Z5616" t="s">
        <v>33326</v>
      </c>
      <c r="AA5616">
        <v>0.30003104680177228</v>
      </c>
      <c r="AB5616" t="str">
        <f>HYPERLINK("Melting_Curves/meltCurve_Q9BR61_ACBD6.pdf", "Melting_Curves/meltCurve_Q9BR61_ACBD6.pdf")</f>
        <v>Melting_Curves/meltCurve_Q9BR61_ACBD6.pdf</v>
      </c>
    </row>
    <row r="5617" spans="1:28" x14ac:dyDescent="0.25">
      <c r="A5617" t="s">
        <v>5621</v>
      </c>
      <c r="B5617">
        <v>0.99999676499088797</v>
      </c>
      <c r="C5617">
        <v>0.97528807740988599</v>
      </c>
      <c r="D5617">
        <v>0.90431479616060195</v>
      </c>
      <c r="E5617">
        <v>0.76842429195211104</v>
      </c>
      <c r="F5617">
        <v>0.332436383378097</v>
      </c>
      <c r="G5617">
        <v>0.21839487319760501</v>
      </c>
      <c r="H5617">
        <v>0.129296842552828</v>
      </c>
      <c r="I5617">
        <v>0.120191308986035</v>
      </c>
      <c r="J5617">
        <v>9.7317281186187404E-2</v>
      </c>
      <c r="K5617">
        <v>7.5892455739903303E-2</v>
      </c>
      <c r="L5617">
        <v>1213.10067167327</v>
      </c>
      <c r="M5617">
        <v>23.618854618062201</v>
      </c>
      <c r="N5617">
        <v>51.847296888042798</v>
      </c>
      <c r="O5617">
        <v>50.997583049193103</v>
      </c>
      <c r="P5617">
        <v>-0.104293593780071</v>
      </c>
      <c r="Q5617">
        <v>9.9256405464712302E-2</v>
      </c>
      <c r="R5617">
        <v>0.99474341662327204</v>
      </c>
      <c r="S5617" t="s">
        <v>12620</v>
      </c>
      <c r="T5617" t="s">
        <v>14004</v>
      </c>
      <c r="U5617" t="s">
        <v>14004</v>
      </c>
      <c r="V5617" t="s">
        <v>14004</v>
      </c>
      <c r="W5617" t="s">
        <v>19566</v>
      </c>
      <c r="X5617">
        <v>8</v>
      </c>
      <c r="Y5617" t="s">
        <v>26367</v>
      </c>
      <c r="Z5617" t="s">
        <v>33327</v>
      </c>
      <c r="AA5617">
        <v>0.44950644853860089</v>
      </c>
      <c r="AB5617" t="str">
        <f>HYPERLINK("Melting_Curves/meltCurve_Q9BR76_CORO1B.pdf", "Melting_Curves/meltCurve_Q9BR76_CORO1B.pdf")</f>
        <v>Melting_Curves/meltCurve_Q9BR76_CORO1B.pdf</v>
      </c>
    </row>
    <row r="5618" spans="1:28" x14ac:dyDescent="0.25">
      <c r="A5618" t="s">
        <v>5622</v>
      </c>
      <c r="B5618">
        <v>0.99999676499088797</v>
      </c>
      <c r="C5618">
        <v>1.05327008509822</v>
      </c>
      <c r="D5618">
        <v>1.04225822009626</v>
      </c>
      <c r="E5618">
        <v>1.0273204459112399</v>
      </c>
      <c r="F5618">
        <v>0.55255566172685799</v>
      </c>
      <c r="G5618">
        <v>0.30953775086928398</v>
      </c>
      <c r="H5618">
        <v>0.120540810566986</v>
      </c>
      <c r="I5618">
        <v>0.106017876535817</v>
      </c>
      <c r="J5618">
        <v>0.11134134695336401</v>
      </c>
      <c r="K5618">
        <v>8.3161816340428005E-2</v>
      </c>
      <c r="L5618">
        <v>1662.7209850670099</v>
      </c>
      <c r="M5618">
        <v>30.984828753395998</v>
      </c>
      <c r="N5618">
        <v>54.081541357593103</v>
      </c>
      <c r="O5618">
        <v>53.440389738750497</v>
      </c>
      <c r="P5618">
        <v>-0.129479867401259</v>
      </c>
      <c r="Q5618">
        <v>0.106735209310741</v>
      </c>
      <c r="R5618">
        <v>0.98732513213409001</v>
      </c>
      <c r="S5618" t="s">
        <v>12621</v>
      </c>
      <c r="T5618" t="s">
        <v>14004</v>
      </c>
      <c r="U5618" t="s">
        <v>14004</v>
      </c>
      <c r="V5618" t="s">
        <v>14004</v>
      </c>
      <c r="W5618" t="s">
        <v>19567</v>
      </c>
      <c r="X5618">
        <v>3</v>
      </c>
      <c r="Y5618" t="s">
        <v>26368</v>
      </c>
      <c r="Z5618" t="s">
        <v>33328</v>
      </c>
      <c r="AA5618">
        <v>0.51902852409301337</v>
      </c>
      <c r="AB5618" t="str">
        <f>HYPERLINK("Melting_Curves/meltCurve_Q9BRA0_2_LSMD1.pdf", "Melting_Curves/meltCurve_Q9BRA0_2_LSMD1.pdf")</f>
        <v>Melting_Curves/meltCurve_Q9BRA0_2_LSMD1.pdf</v>
      </c>
    </row>
    <row r="5619" spans="1:28" x14ac:dyDescent="0.25">
      <c r="A5619" t="s">
        <v>5623</v>
      </c>
      <c r="B5619">
        <v>0.99999676499088797</v>
      </c>
      <c r="C5619">
        <v>0.87708495573886902</v>
      </c>
      <c r="D5619">
        <v>0.78331156321732098</v>
      </c>
      <c r="E5619">
        <v>0.42376406114563903</v>
      </c>
      <c r="F5619">
        <v>0.250419877072596</v>
      </c>
      <c r="G5619">
        <v>0.14589548673686401</v>
      </c>
      <c r="H5619">
        <v>6.76062802757562E-2</v>
      </c>
      <c r="I5619">
        <v>5.9486614411472002E-2</v>
      </c>
      <c r="J5619">
        <v>5.6277882115510998E-2</v>
      </c>
      <c r="K5619">
        <v>4.6033274926042499E-2</v>
      </c>
      <c r="L5619">
        <v>814.96083502821705</v>
      </c>
      <c r="M5619">
        <v>16.70313288134</v>
      </c>
      <c r="N5619">
        <v>49.0658465440575</v>
      </c>
      <c r="O5619">
        <v>48.107640773932097</v>
      </c>
      <c r="P5619">
        <v>-8.2928399846944806E-2</v>
      </c>
      <c r="Q5619">
        <v>4.4676115034572403E-2</v>
      </c>
      <c r="R5619">
        <v>0.996036428514534</v>
      </c>
      <c r="S5619" t="s">
        <v>12622</v>
      </c>
      <c r="T5619" t="s">
        <v>14004</v>
      </c>
      <c r="U5619" t="s">
        <v>14004</v>
      </c>
      <c r="V5619" t="s">
        <v>14004</v>
      </c>
      <c r="W5619" t="s">
        <v>19568</v>
      </c>
      <c r="X5619">
        <v>8</v>
      </c>
      <c r="Y5619" t="s">
        <v>26369</v>
      </c>
      <c r="Z5619" t="s">
        <v>33329</v>
      </c>
      <c r="AA5619">
        <v>0.34390391390334579</v>
      </c>
      <c r="AB5619" t="str">
        <f>HYPERLINK("Melting_Curves/meltCurve_Q9BRA2_TXNDC17.pdf", "Melting_Curves/meltCurve_Q9BRA2_TXNDC17.pdf")</f>
        <v>Melting_Curves/meltCurve_Q9BRA2_TXNDC17.pdf</v>
      </c>
    </row>
    <row r="5620" spans="1:28" x14ac:dyDescent="0.25">
      <c r="A5620" t="s">
        <v>5624</v>
      </c>
      <c r="B5620">
        <v>0.99999676499088797</v>
      </c>
      <c r="C5620">
        <v>1.2010751643828499</v>
      </c>
      <c r="D5620">
        <v>1.0987072467013199</v>
      </c>
      <c r="E5620">
        <v>1.21749047147398</v>
      </c>
      <c r="F5620">
        <v>0.69495688614226403</v>
      </c>
      <c r="G5620">
        <v>0.36516518689773603</v>
      </c>
      <c r="H5620">
        <v>0.14175117128258499</v>
      </c>
      <c r="I5620">
        <v>0.14019133662230701</v>
      </c>
      <c r="J5620">
        <v>0.24210969734889101</v>
      </c>
      <c r="K5620">
        <v>0.14577047715790001</v>
      </c>
      <c r="L5620">
        <v>2107.3001078631501</v>
      </c>
      <c r="M5620">
        <v>38.742770444601597</v>
      </c>
      <c r="N5620">
        <v>54.9931246944153</v>
      </c>
      <c r="O5620">
        <v>54.247778508442003</v>
      </c>
      <c r="P5620">
        <v>-0.147728396051861</v>
      </c>
      <c r="Q5620">
        <v>0.17260244589775001</v>
      </c>
      <c r="R5620">
        <v>0.93788430210362095</v>
      </c>
      <c r="S5620" t="s">
        <v>12623</v>
      </c>
      <c r="T5620" t="s">
        <v>14004</v>
      </c>
      <c r="U5620" t="s">
        <v>14004</v>
      </c>
      <c r="V5620" t="s">
        <v>14004</v>
      </c>
      <c r="W5620" t="s">
        <v>19569</v>
      </c>
      <c r="X5620">
        <v>1</v>
      </c>
      <c r="Y5620" t="s">
        <v>26370</v>
      </c>
      <c r="Z5620" t="s">
        <v>33330</v>
      </c>
      <c r="AA5620">
        <v>0.57284170126407075</v>
      </c>
      <c r="AB5620" t="str">
        <f>HYPERLINK("Melting_Curves/meltCurve_Q9BRB3_2_PIGQ.pdf", "Melting_Curves/meltCurve_Q9BRB3_2_PIGQ.pdf")</f>
        <v>Melting_Curves/meltCurve_Q9BRB3_2_PIGQ.pdf</v>
      </c>
    </row>
    <row r="5621" spans="1:28" x14ac:dyDescent="0.25">
      <c r="A5621" t="s">
        <v>5625</v>
      </c>
      <c r="B5621">
        <v>0.99999676499088797</v>
      </c>
      <c r="C5621">
        <v>0.96095143452624299</v>
      </c>
      <c r="D5621">
        <v>0.91599482123573395</v>
      </c>
      <c r="E5621">
        <v>0.82840897245629597</v>
      </c>
      <c r="F5621">
        <v>0.66644074748427395</v>
      </c>
      <c r="G5621">
        <v>0.59799365134940696</v>
      </c>
      <c r="H5621">
        <v>0.51332033724423598</v>
      </c>
      <c r="I5621">
        <v>0.61158036020054296</v>
      </c>
      <c r="J5621">
        <v>0.59569826326221198</v>
      </c>
      <c r="K5621">
        <v>0.73012106610503702</v>
      </c>
      <c r="L5621">
        <v>1166.7228213317701</v>
      </c>
      <c r="M5621">
        <v>23.552809468834599</v>
      </c>
      <c r="O5621">
        <v>49.1835046291542</v>
      </c>
      <c r="P5621">
        <v>-4.7163111890659998E-2</v>
      </c>
      <c r="Q5621">
        <v>0.60605844214305604</v>
      </c>
      <c r="R5621">
        <v>0.89550173960337798</v>
      </c>
      <c r="S5621" t="s">
        <v>12624</v>
      </c>
      <c r="T5621" t="s">
        <v>14004</v>
      </c>
      <c r="U5621" t="s">
        <v>14004</v>
      </c>
      <c r="V5621" t="s">
        <v>14004</v>
      </c>
      <c r="W5621" t="s">
        <v>19570</v>
      </c>
      <c r="X5621">
        <v>12</v>
      </c>
      <c r="Y5621" t="s">
        <v>26371</v>
      </c>
      <c r="Z5621" t="s">
        <v>33331</v>
      </c>
      <c r="AA5621">
        <v>0.73524183874164317</v>
      </c>
      <c r="AB5621" t="str">
        <f>HYPERLINK("Melting_Curves/meltCurve_Q9BRD0_BUD13.pdf", "Melting_Curves/meltCurve_Q9BRD0_BUD13.pdf")</f>
        <v>Melting_Curves/meltCurve_Q9BRD0_BUD13.pdf</v>
      </c>
    </row>
    <row r="5622" spans="1:28" x14ac:dyDescent="0.25">
      <c r="A5622" t="s">
        <v>5626</v>
      </c>
      <c r="B5622">
        <v>0.99999676499088797</v>
      </c>
      <c r="C5622">
        <v>0.981658210263467</v>
      </c>
      <c r="D5622">
        <v>1.0324859216137701</v>
      </c>
      <c r="E5622">
        <v>1.08214819295036</v>
      </c>
      <c r="F5622">
        <v>1.21190555069957</v>
      </c>
      <c r="G5622">
        <v>0.95330881004504298</v>
      </c>
      <c r="H5622">
        <v>0.77286343790164402</v>
      </c>
      <c r="I5622">
        <v>0.67021735839695595</v>
      </c>
      <c r="J5622">
        <v>0.51820674752284601</v>
      </c>
      <c r="K5622">
        <v>0.82069869537727003</v>
      </c>
      <c r="L5622">
        <v>3065.99286822269</v>
      </c>
      <c r="M5622">
        <v>51.324520133215898</v>
      </c>
      <c r="O5622">
        <v>59.6469097633627</v>
      </c>
      <c r="P5622">
        <v>-7.1489565013841294E-2</v>
      </c>
      <c r="Q5622">
        <v>0.667673208374302</v>
      </c>
      <c r="R5622">
        <v>0.74218988316613399</v>
      </c>
      <c r="S5622" t="s">
        <v>12625</v>
      </c>
      <c r="T5622" t="s">
        <v>14004</v>
      </c>
      <c r="U5622" t="s">
        <v>14004</v>
      </c>
      <c r="V5622" t="s">
        <v>14004</v>
      </c>
      <c r="W5622" t="s">
        <v>19571</v>
      </c>
      <c r="X5622">
        <v>9</v>
      </c>
      <c r="Y5622" t="s">
        <v>26372</v>
      </c>
      <c r="Z5622" t="s">
        <v>33332</v>
      </c>
      <c r="AA5622">
        <v>0.88713614530324747</v>
      </c>
      <c r="AB5622" t="str">
        <f>HYPERLINK("Melting_Curves/meltCurve_Q9BRF8_CPPED1.pdf", "Melting_Curves/meltCurve_Q9BRF8_CPPED1.pdf")</f>
        <v>Melting_Curves/meltCurve_Q9BRF8_CPPED1.pdf</v>
      </c>
    </row>
    <row r="5623" spans="1:28" x14ac:dyDescent="0.25">
      <c r="A5623" t="s">
        <v>5627</v>
      </c>
      <c r="B5623">
        <v>0.99999676499088797</v>
      </c>
      <c r="C5623">
        <v>0.90664658449010105</v>
      </c>
      <c r="D5623">
        <v>0.97874279811619502</v>
      </c>
      <c r="E5623">
        <v>0.979172727971379</v>
      </c>
      <c r="F5623">
        <v>0.61695672856981498</v>
      </c>
      <c r="G5623">
        <v>0.24920644400997999</v>
      </c>
      <c r="H5623">
        <v>8.2060924523205403E-2</v>
      </c>
      <c r="I5623">
        <v>7.1919345598867396E-2</v>
      </c>
      <c r="J5623">
        <v>4.7908904570470298E-2</v>
      </c>
      <c r="K5623">
        <v>4.6397173903253999E-2</v>
      </c>
      <c r="L5623">
        <v>1613.54921631757</v>
      </c>
      <c r="M5623">
        <v>29.8538647432704</v>
      </c>
      <c r="N5623">
        <v>54.249892091258502</v>
      </c>
      <c r="O5623">
        <v>53.8074794445698</v>
      </c>
      <c r="P5623">
        <v>-0.131423653683407</v>
      </c>
      <c r="Q5623">
        <v>5.2514154514309699E-2</v>
      </c>
      <c r="R5623">
        <v>0.99336895234621303</v>
      </c>
      <c r="S5623" t="s">
        <v>12626</v>
      </c>
      <c r="T5623" t="s">
        <v>14004</v>
      </c>
      <c r="U5623" t="s">
        <v>14004</v>
      </c>
      <c r="V5623" t="s">
        <v>14004</v>
      </c>
      <c r="W5623" t="s">
        <v>19572</v>
      </c>
      <c r="X5623">
        <v>8</v>
      </c>
      <c r="Y5623" t="s">
        <v>26373</v>
      </c>
      <c r="Z5623" t="s">
        <v>33333</v>
      </c>
      <c r="AA5623">
        <v>0.50248422993547137</v>
      </c>
      <c r="AB5623" t="str">
        <f>HYPERLINK("Melting_Curves/meltCurve_Q9BRG1_VPS25.pdf", "Melting_Curves/meltCurve_Q9BRG1_VPS25.pdf")</f>
        <v>Melting_Curves/meltCurve_Q9BRG1_VPS25.pdf</v>
      </c>
    </row>
    <row r="5624" spans="1:28" x14ac:dyDescent="0.25">
      <c r="A5624" t="s">
        <v>5628</v>
      </c>
      <c r="B5624">
        <v>0.99999676499088797</v>
      </c>
      <c r="C5624">
        <v>0.86201564215000703</v>
      </c>
      <c r="D5624">
        <v>0.52334833634531297</v>
      </c>
      <c r="E5624">
        <v>0.41466707444226603</v>
      </c>
      <c r="F5624">
        <v>0.13601981643253</v>
      </c>
      <c r="G5624">
        <v>0.13877588725585999</v>
      </c>
      <c r="H5624">
        <v>6.6905529906105293E-2</v>
      </c>
      <c r="I5624">
        <v>7.3406370424868195E-2</v>
      </c>
      <c r="J5624">
        <v>5.4692570979238103E-2</v>
      </c>
      <c r="K5624">
        <v>6.0901333332163202E-2</v>
      </c>
      <c r="L5624">
        <v>761.45652388709004</v>
      </c>
      <c r="M5624">
        <v>16.222063075876498</v>
      </c>
      <c r="N5624">
        <v>47.2934615738845</v>
      </c>
      <c r="O5624">
        <v>46.243648762402998</v>
      </c>
      <c r="P5624">
        <v>-8.26925867297192E-2</v>
      </c>
      <c r="Q5624">
        <v>5.7155229090099298E-2</v>
      </c>
      <c r="R5624">
        <v>0.98256685897476304</v>
      </c>
      <c r="S5624" t="s">
        <v>12627</v>
      </c>
      <c r="T5624" t="s">
        <v>14004</v>
      </c>
      <c r="U5624" t="s">
        <v>14004</v>
      </c>
      <c r="V5624" t="s">
        <v>14004</v>
      </c>
      <c r="W5624" t="s">
        <v>19573</v>
      </c>
      <c r="X5624">
        <v>6</v>
      </c>
      <c r="Y5624" t="s">
        <v>26374</v>
      </c>
      <c r="Z5624" t="s">
        <v>33334</v>
      </c>
      <c r="AA5624">
        <v>0.29707983481344358</v>
      </c>
      <c r="AB5624" t="str">
        <f>HYPERLINK("Melting_Curves/meltCurve_Q9BRJ2_MRPL45.pdf", "Melting_Curves/meltCurve_Q9BRJ2_MRPL45.pdf")</f>
        <v>Melting_Curves/meltCurve_Q9BRJ2_MRPL45.pdf</v>
      </c>
    </row>
    <row r="5625" spans="1:28" x14ac:dyDescent="0.25">
      <c r="A5625" t="s">
        <v>5629</v>
      </c>
      <c r="B5625">
        <v>0.99999676499088797</v>
      </c>
      <c r="C5625">
        <v>1.00015114463854</v>
      </c>
      <c r="D5625">
        <v>0.90668474612230698</v>
      </c>
      <c r="E5625">
        <v>0.73262635834994905</v>
      </c>
      <c r="F5625">
        <v>0.45067779600580199</v>
      </c>
      <c r="G5625">
        <v>0.34224626806744601</v>
      </c>
      <c r="H5625">
        <v>0.19113042606959901</v>
      </c>
      <c r="I5625">
        <v>0.236043198626854</v>
      </c>
      <c r="J5625">
        <v>0.20601828194048699</v>
      </c>
      <c r="K5625">
        <v>0.26963589079092098</v>
      </c>
      <c r="L5625">
        <v>1033.98946598014</v>
      </c>
      <c r="M5625">
        <v>20.241709204956599</v>
      </c>
      <c r="N5625">
        <v>52.581483658488601</v>
      </c>
      <c r="O5625">
        <v>50.5913926675426</v>
      </c>
      <c r="P5625">
        <v>-7.80959327202769E-2</v>
      </c>
      <c r="Q5625">
        <v>0.21926368067079499</v>
      </c>
      <c r="R5625">
        <v>0.99251811574573701</v>
      </c>
      <c r="S5625" t="s">
        <v>12628</v>
      </c>
      <c r="T5625" t="s">
        <v>14004</v>
      </c>
      <c r="U5625" t="s">
        <v>14004</v>
      </c>
      <c r="V5625" t="s">
        <v>14004</v>
      </c>
      <c r="W5625" t="s">
        <v>19574</v>
      </c>
      <c r="X5625">
        <v>5</v>
      </c>
      <c r="Y5625" t="s">
        <v>26375</v>
      </c>
      <c r="Z5625" t="s">
        <v>33335</v>
      </c>
      <c r="AA5625">
        <v>0.51826592985423614</v>
      </c>
      <c r="AB5625" t="str">
        <f>HYPERLINK("Melting_Curves/meltCurve_Q9BRK5_SDF4.pdf", "Melting_Curves/meltCurve_Q9BRK5_SDF4.pdf")</f>
        <v>Melting_Curves/meltCurve_Q9BRK5_SDF4.pdf</v>
      </c>
    </row>
    <row r="5626" spans="1:28" x14ac:dyDescent="0.25">
      <c r="A5626" t="s">
        <v>5630</v>
      </c>
      <c r="B5626">
        <v>0.99999676499088797</v>
      </c>
      <c r="C5626">
        <v>0.86932157190300297</v>
      </c>
      <c r="D5626">
        <v>0.65536677047695202</v>
      </c>
      <c r="E5626">
        <v>0.50830331144922003</v>
      </c>
      <c r="F5626">
        <v>0.32428125270792102</v>
      </c>
      <c r="G5626">
        <v>0.232149583848241</v>
      </c>
      <c r="H5626">
        <v>0.217585350358282</v>
      </c>
      <c r="I5626">
        <v>0.57611105252274197</v>
      </c>
      <c r="J5626">
        <v>0.80860515822558698</v>
      </c>
      <c r="K5626">
        <v>0.96131439643996197</v>
      </c>
      <c r="L5626">
        <v>1502.8185719921501</v>
      </c>
      <c r="M5626">
        <v>33.856389954796398</v>
      </c>
      <c r="O5626">
        <v>44.234031655697201</v>
      </c>
      <c r="P5626">
        <v>-9.2140119889550398E-2</v>
      </c>
      <c r="Q5626">
        <v>0.51847051572040304</v>
      </c>
      <c r="R5626">
        <v>0.35871392682332298</v>
      </c>
      <c r="S5626" t="s">
        <v>12629</v>
      </c>
      <c r="T5626" t="s">
        <v>14004</v>
      </c>
      <c r="U5626" t="s">
        <v>14004</v>
      </c>
      <c r="V5626" t="s">
        <v>14004</v>
      </c>
      <c r="W5626" t="s">
        <v>19575</v>
      </c>
      <c r="X5626">
        <v>6</v>
      </c>
      <c r="Y5626" t="s">
        <v>26376</v>
      </c>
      <c r="Z5626" t="s">
        <v>33336</v>
      </c>
      <c r="AA5626">
        <v>0.59136389984981619</v>
      </c>
      <c r="AB5626" t="str">
        <f>HYPERLINK("Melting_Curves/meltCurve_Q9BRL6_2_SRSF8.pdf", "Melting_Curves/meltCurve_Q9BRL6_2_SRSF8.pdf")</f>
        <v>Melting_Curves/meltCurve_Q9BRL6_2_SRSF8.pdf</v>
      </c>
    </row>
    <row r="5627" spans="1:28" x14ac:dyDescent="0.25">
      <c r="A5627" t="s">
        <v>5631</v>
      </c>
      <c r="B5627">
        <v>0.99999676499088797</v>
      </c>
      <c r="C5627">
        <v>1.0294810980267499</v>
      </c>
      <c r="D5627">
        <v>1.00273825584937</v>
      </c>
      <c r="E5627">
        <v>0.66213277035446805</v>
      </c>
      <c r="F5627">
        <v>0.20419974283463099</v>
      </c>
      <c r="G5627">
        <v>0.159374472360648</v>
      </c>
      <c r="H5627">
        <v>6.47336435079508E-2</v>
      </c>
      <c r="I5627">
        <v>5.9848864680316603E-2</v>
      </c>
      <c r="J5627">
        <v>5.8609753698150101E-2</v>
      </c>
      <c r="K5627">
        <v>4.3349978111640201E-2</v>
      </c>
      <c r="L5627">
        <v>1691.5258418351</v>
      </c>
      <c r="M5627">
        <v>33.504968738139503</v>
      </c>
      <c r="N5627">
        <v>50.713977496423297</v>
      </c>
      <c r="O5627">
        <v>50.306996521773101</v>
      </c>
      <c r="P5627">
        <v>-0.15485444257074499</v>
      </c>
      <c r="Q5627">
        <v>6.9961440859432497E-2</v>
      </c>
      <c r="R5627">
        <v>0.99536308449019495</v>
      </c>
      <c r="S5627" t="s">
        <v>12630</v>
      </c>
      <c r="T5627" t="s">
        <v>14004</v>
      </c>
      <c r="U5627" t="s">
        <v>14004</v>
      </c>
      <c r="V5627" t="s">
        <v>14004</v>
      </c>
      <c r="W5627" t="s">
        <v>19576</v>
      </c>
      <c r="X5627">
        <v>9</v>
      </c>
      <c r="Y5627" t="s">
        <v>26377</v>
      </c>
      <c r="Z5627" t="s">
        <v>33337</v>
      </c>
      <c r="AA5627">
        <v>0.3996759243414128</v>
      </c>
      <c r="AB5627" t="str">
        <f>HYPERLINK("Melting_Curves/meltCurve_Q9BRP1_PDCD2L.pdf", "Melting_Curves/meltCurve_Q9BRP1_PDCD2L.pdf")</f>
        <v>Melting_Curves/meltCurve_Q9BRP1_PDCD2L.pdf</v>
      </c>
    </row>
    <row r="5628" spans="1:28" x14ac:dyDescent="0.25">
      <c r="A5628" t="s">
        <v>5632</v>
      </c>
      <c r="B5628">
        <v>0.99999676499088797</v>
      </c>
      <c r="C5628">
        <v>1.0662593183839899</v>
      </c>
      <c r="D5628">
        <v>1.09546399041591</v>
      </c>
      <c r="E5628">
        <v>1.11253353794956</v>
      </c>
      <c r="F5628">
        <v>1.09403133868591</v>
      </c>
      <c r="G5628">
        <v>0.883148288310181</v>
      </c>
      <c r="H5628">
        <v>0.376743124645185</v>
      </c>
      <c r="I5628">
        <v>0.125053665949177</v>
      </c>
      <c r="J5628">
        <v>8.3158344109165103E-2</v>
      </c>
      <c r="K5628">
        <v>8.3336391370009893E-2</v>
      </c>
      <c r="L5628">
        <v>2469.4221386659201</v>
      </c>
      <c r="M5628">
        <v>41.373439003045299</v>
      </c>
      <c r="N5628">
        <v>59.926683980709697</v>
      </c>
      <c r="O5628">
        <v>59.547234539029901</v>
      </c>
      <c r="P5628">
        <v>-0.16041257508248899</v>
      </c>
      <c r="Q5628">
        <v>7.6498471468295706E-2</v>
      </c>
      <c r="R5628">
        <v>0.98110537145407095</v>
      </c>
      <c r="S5628" t="s">
        <v>12631</v>
      </c>
      <c r="T5628" t="s">
        <v>14004</v>
      </c>
      <c r="U5628" t="s">
        <v>14004</v>
      </c>
      <c r="V5628" t="s">
        <v>14004</v>
      </c>
      <c r="W5628" t="s">
        <v>19577</v>
      </c>
      <c r="X5628">
        <v>12</v>
      </c>
      <c r="Y5628" t="s">
        <v>26378</v>
      </c>
      <c r="Z5628" t="s">
        <v>33338</v>
      </c>
      <c r="AA5628">
        <v>0.68591975069799138</v>
      </c>
      <c r="AB5628" t="str">
        <f>HYPERLINK("Melting_Curves/meltCurve_Q9BRP4_PAAF1.pdf", "Melting_Curves/meltCurve_Q9BRP4_PAAF1.pdf")</f>
        <v>Melting_Curves/meltCurve_Q9BRP4_PAAF1.pdf</v>
      </c>
    </row>
    <row r="5629" spans="1:28" x14ac:dyDescent="0.25">
      <c r="A5629" t="s">
        <v>5633</v>
      </c>
      <c r="B5629">
        <v>0.99999676499088797</v>
      </c>
      <c r="C5629">
        <v>0.96614370096837099</v>
      </c>
      <c r="D5629">
        <v>1.0064894910445501</v>
      </c>
      <c r="E5629">
        <v>0.974298164642039</v>
      </c>
      <c r="F5629">
        <v>0.72503250476053205</v>
      </c>
      <c r="G5629">
        <v>0.79534511780604</v>
      </c>
      <c r="H5629">
        <v>0.63175201123262303</v>
      </c>
      <c r="I5629">
        <v>0.76623574828758401</v>
      </c>
      <c r="J5629">
        <v>0.79425027006650395</v>
      </c>
      <c r="K5629">
        <v>0.76773559643210099</v>
      </c>
      <c r="L5629">
        <v>12508.1728991686</v>
      </c>
      <c r="M5629">
        <v>250</v>
      </c>
      <c r="O5629">
        <v>50.029489848796999</v>
      </c>
      <c r="P5629">
        <v>-0.31640688944039502</v>
      </c>
      <c r="Q5629">
        <v>0.74672519614671995</v>
      </c>
      <c r="R5629">
        <v>0.87180454531544904</v>
      </c>
      <c r="S5629" t="s">
        <v>12632</v>
      </c>
      <c r="T5629" t="s">
        <v>14004</v>
      </c>
      <c r="U5629" t="s">
        <v>14004</v>
      </c>
      <c r="V5629" t="s">
        <v>14004</v>
      </c>
      <c r="W5629" t="s">
        <v>19578</v>
      </c>
      <c r="X5629">
        <v>14</v>
      </c>
      <c r="Y5629" t="s">
        <v>26379</v>
      </c>
      <c r="Z5629" t="s">
        <v>33339</v>
      </c>
      <c r="AA5629">
        <v>0.83144836855380222</v>
      </c>
      <c r="AB5629" t="str">
        <f>HYPERLINK("Melting_Curves/meltCurve_Q9BRP8_2_WIBG.pdf", "Melting_Curves/meltCurve_Q9BRP8_2_WIBG.pdf")</f>
        <v>Melting_Curves/meltCurve_Q9BRP8_2_WIBG.pdf</v>
      </c>
    </row>
    <row r="5630" spans="1:28" x14ac:dyDescent="0.25">
      <c r="A5630" t="s">
        <v>5634</v>
      </c>
      <c r="B5630">
        <v>0.99999676499088797</v>
      </c>
      <c r="C5630">
        <v>0.96042438144687803</v>
      </c>
      <c r="D5630">
        <v>0.87163757670688002</v>
      </c>
      <c r="E5630">
        <v>0.544040881715386</v>
      </c>
      <c r="F5630">
        <v>0.42243609100963597</v>
      </c>
      <c r="G5630">
        <v>0.48553673792977498</v>
      </c>
      <c r="H5630">
        <v>0.29970680714564502</v>
      </c>
      <c r="I5630">
        <v>0.32108796727167799</v>
      </c>
      <c r="J5630">
        <v>0.30474657615247303</v>
      </c>
      <c r="K5630">
        <v>0.35980828895964201</v>
      </c>
      <c r="L5630">
        <v>1089.63673746839</v>
      </c>
      <c r="M5630">
        <v>22.533497251016701</v>
      </c>
      <c r="N5630">
        <v>50.992968219821201</v>
      </c>
      <c r="O5630">
        <v>47.980312734950701</v>
      </c>
      <c r="P5630">
        <v>-7.7015834792971402E-2</v>
      </c>
      <c r="Q5630">
        <v>0.34405787427499801</v>
      </c>
      <c r="R5630">
        <v>0.96932464765286697</v>
      </c>
      <c r="S5630" t="s">
        <v>12633</v>
      </c>
      <c r="T5630" t="s">
        <v>14004</v>
      </c>
      <c r="U5630" t="s">
        <v>14004</v>
      </c>
      <c r="V5630" t="s">
        <v>14004</v>
      </c>
      <c r="W5630" t="s">
        <v>19579</v>
      </c>
      <c r="X5630">
        <v>3</v>
      </c>
      <c r="Y5630" t="s">
        <v>26380</v>
      </c>
      <c r="Z5630" t="s">
        <v>33340</v>
      </c>
      <c r="AA5630">
        <v>0.53397793239250502</v>
      </c>
      <c r="AB5630" t="str">
        <f>HYPERLINK("Melting_Curves/meltCurve_Q9BRR0_2_ZKSCAN3.pdf", "Melting_Curves/meltCurve_Q9BRR0_2_ZKSCAN3.pdf")</f>
        <v>Melting_Curves/meltCurve_Q9BRR0_2_ZKSCAN3.pdf</v>
      </c>
    </row>
    <row r="5631" spans="1:28" x14ac:dyDescent="0.25">
      <c r="A5631" t="s">
        <v>5635</v>
      </c>
      <c r="B5631">
        <v>0.99999676499088797</v>
      </c>
      <c r="C5631">
        <v>1.0145505755845601</v>
      </c>
      <c r="D5631">
        <v>1.04628693930261</v>
      </c>
      <c r="E5631">
        <v>1.03524088164029</v>
      </c>
      <c r="F5631">
        <v>0.97654493150682298</v>
      </c>
      <c r="G5631">
        <v>0.66742305862771301</v>
      </c>
      <c r="H5631">
        <v>0.32779981454260099</v>
      </c>
      <c r="I5631">
        <v>0.12830675059489899</v>
      </c>
      <c r="J5631">
        <v>0.10496323953709701</v>
      </c>
      <c r="K5631">
        <v>9.7651630652994204E-2</v>
      </c>
      <c r="L5631">
        <v>1644.26898594963</v>
      </c>
      <c r="M5631">
        <v>28.243808769509599</v>
      </c>
      <c r="N5631">
        <v>58.602086779987602</v>
      </c>
      <c r="O5631">
        <v>57.9274675623289</v>
      </c>
      <c r="P5631">
        <v>-0.111568941754097</v>
      </c>
      <c r="Q5631">
        <v>8.4705213156285195E-2</v>
      </c>
      <c r="R5631">
        <v>0.99521476826894395</v>
      </c>
      <c r="S5631" t="s">
        <v>12634</v>
      </c>
      <c r="T5631" t="s">
        <v>14004</v>
      </c>
      <c r="U5631" t="s">
        <v>14004</v>
      </c>
      <c r="V5631" t="s">
        <v>14004</v>
      </c>
      <c r="W5631" t="s">
        <v>19580</v>
      </c>
      <c r="X5631">
        <v>9</v>
      </c>
      <c r="Y5631" t="s">
        <v>26381</v>
      </c>
      <c r="Z5631" t="s">
        <v>33341</v>
      </c>
      <c r="AA5631">
        <v>0.64710251762616222</v>
      </c>
      <c r="AB5631" t="str">
        <f>HYPERLINK("Melting_Curves/meltCurve_Q9BRR6_2_ADPGK.pdf", "Melting_Curves/meltCurve_Q9BRR6_2_ADPGK.pdf")</f>
        <v>Melting_Curves/meltCurve_Q9BRR6_2_ADPGK.pdf</v>
      </c>
    </row>
    <row r="5632" spans="1:28" x14ac:dyDescent="0.25">
      <c r="A5632" t="s">
        <v>5636</v>
      </c>
      <c r="B5632">
        <v>0.99999676499088797</v>
      </c>
      <c r="C5632">
        <v>0.94584168585573203</v>
      </c>
      <c r="D5632">
        <v>0.82774430979173597</v>
      </c>
      <c r="E5632">
        <v>0.85682655817451103</v>
      </c>
      <c r="F5632">
        <v>0.66704924707345603</v>
      </c>
      <c r="G5632">
        <v>0.42978854788530002</v>
      </c>
      <c r="H5632">
        <v>0.44061418980519801</v>
      </c>
      <c r="I5632">
        <v>0.54854256416383396</v>
      </c>
      <c r="J5632">
        <v>0.63506143268806503</v>
      </c>
      <c r="K5632">
        <v>0.93399189057800802</v>
      </c>
      <c r="L5632">
        <v>998.04466782450595</v>
      </c>
      <c r="M5632">
        <v>20.637387999902</v>
      </c>
      <c r="O5632">
        <v>47.913782007544</v>
      </c>
      <c r="P5632">
        <v>-4.25412449499517E-2</v>
      </c>
      <c r="Q5632">
        <v>0.60493966431493695</v>
      </c>
      <c r="R5632">
        <v>0.52050197896255701</v>
      </c>
      <c r="S5632" t="s">
        <v>12635</v>
      </c>
      <c r="T5632" t="s">
        <v>14004</v>
      </c>
      <c r="U5632" t="s">
        <v>14004</v>
      </c>
      <c r="V5632" t="s">
        <v>14004</v>
      </c>
      <c r="W5632" t="s">
        <v>19581</v>
      </c>
      <c r="X5632">
        <v>11</v>
      </c>
      <c r="Y5632" t="s">
        <v>26382</v>
      </c>
      <c r="Z5632" t="s">
        <v>33342</v>
      </c>
      <c r="AA5632">
        <v>0.72026641824147442</v>
      </c>
      <c r="AB5632" t="str">
        <f>HYPERLINK("Melting_Curves/meltCurve_Q9BRR8_GPATCH1.pdf", "Melting_Curves/meltCurve_Q9BRR8_GPATCH1.pdf")</f>
        <v>Melting_Curves/meltCurve_Q9BRR8_GPATCH1.pdf</v>
      </c>
    </row>
    <row r="5633" spans="1:28" x14ac:dyDescent="0.25">
      <c r="A5633" t="s">
        <v>5637</v>
      </c>
      <c r="B5633">
        <v>0.99999676499088797</v>
      </c>
      <c r="C5633">
        <v>1.0569959638908799</v>
      </c>
      <c r="D5633">
        <v>1.0176272103936601</v>
      </c>
      <c r="E5633">
        <v>1.00315329611534</v>
      </c>
      <c r="F5633">
        <v>0.87020448361923397</v>
      </c>
      <c r="G5633">
        <v>0.910979043711581</v>
      </c>
      <c r="H5633">
        <v>0.65494434809576896</v>
      </c>
      <c r="I5633">
        <v>0.40748120699493101</v>
      </c>
      <c r="J5633">
        <v>0.196932722679071</v>
      </c>
      <c r="K5633">
        <v>0.11894712604351899</v>
      </c>
      <c r="L5633">
        <v>1226.0247896431299</v>
      </c>
      <c r="M5633">
        <v>19.555250807961102</v>
      </c>
      <c r="N5633">
        <v>62.695428991901203</v>
      </c>
      <c r="O5633">
        <v>62.050847973681499</v>
      </c>
      <c r="P5633">
        <v>-7.8790017758263303E-2</v>
      </c>
      <c r="Q5633">
        <v>0</v>
      </c>
      <c r="R5633">
        <v>0.98706602609843996</v>
      </c>
      <c r="S5633" t="s">
        <v>12636</v>
      </c>
      <c r="T5633" t="s">
        <v>14004</v>
      </c>
      <c r="U5633" t="s">
        <v>14004</v>
      </c>
      <c r="V5633" t="s">
        <v>14004</v>
      </c>
      <c r="W5633" t="s">
        <v>19582</v>
      </c>
      <c r="X5633">
        <v>21</v>
      </c>
      <c r="Y5633" t="s">
        <v>26383</v>
      </c>
      <c r="Z5633" t="s">
        <v>33343</v>
      </c>
      <c r="AA5633">
        <v>0.75656939627291275</v>
      </c>
      <c r="AB5633" t="str">
        <f>HYPERLINK("Melting_Curves/meltCurve_Q9BRS2_RIOK1.pdf", "Melting_Curves/meltCurve_Q9BRS2_RIOK1.pdf")</f>
        <v>Melting_Curves/meltCurve_Q9BRS2_RIOK1.pdf</v>
      </c>
    </row>
    <row r="5634" spans="1:28" x14ac:dyDescent="0.25">
      <c r="A5634" t="s">
        <v>5638</v>
      </c>
      <c r="B5634">
        <v>0.99999676499088797</v>
      </c>
      <c r="C5634">
        <v>1.0120469326816599</v>
      </c>
      <c r="D5634">
        <v>0.908309568573343</v>
      </c>
      <c r="E5634">
        <v>0.88500628926603997</v>
      </c>
      <c r="F5634">
        <v>0.67425956847317303</v>
      </c>
      <c r="G5634">
        <v>0.41503248273389098</v>
      </c>
      <c r="H5634">
        <v>0.18104178942515201</v>
      </c>
      <c r="I5634">
        <v>0.17124946915790701</v>
      </c>
      <c r="J5634">
        <v>0.13380741561785101</v>
      </c>
      <c r="K5634">
        <v>0.115524458908229</v>
      </c>
      <c r="L5634">
        <v>994.15315630808198</v>
      </c>
      <c r="M5634">
        <v>18.160938631276299</v>
      </c>
      <c r="N5634">
        <v>55.3840050318436</v>
      </c>
      <c r="O5634">
        <v>54.090508445262898</v>
      </c>
      <c r="P5634">
        <v>-7.5966282728359799E-2</v>
      </c>
      <c r="Q5634">
        <v>9.5011734875398199E-2</v>
      </c>
      <c r="R5634">
        <v>0.99498841755971001</v>
      </c>
      <c r="S5634" t="s">
        <v>12637</v>
      </c>
      <c r="T5634" t="s">
        <v>14004</v>
      </c>
      <c r="U5634" t="s">
        <v>14004</v>
      </c>
      <c r="V5634" t="s">
        <v>14004</v>
      </c>
      <c r="W5634" t="s">
        <v>19583</v>
      </c>
      <c r="X5634">
        <v>7</v>
      </c>
      <c r="Y5634" t="s">
        <v>26384</v>
      </c>
      <c r="Z5634" t="s">
        <v>33344</v>
      </c>
      <c r="AA5634">
        <v>0.55366767920993176</v>
      </c>
      <c r="AB5634" t="str">
        <f>HYPERLINK("Melting_Curves/meltCurve_Q9BRT2_MNF1.pdf", "Melting_Curves/meltCurve_Q9BRT2_MNF1.pdf")</f>
        <v>Melting_Curves/meltCurve_Q9BRT2_MNF1.pdf</v>
      </c>
    </row>
    <row r="5635" spans="1:28" x14ac:dyDescent="0.25">
      <c r="A5635" t="s">
        <v>5639</v>
      </c>
      <c r="B5635">
        <v>0.99999676499088797</v>
      </c>
      <c r="C5635">
        <v>1.0026165083379199</v>
      </c>
      <c r="D5635">
        <v>1.1001436486892699</v>
      </c>
      <c r="E5635">
        <v>0.875346368579204</v>
      </c>
      <c r="F5635">
        <v>0.76326272806320306</v>
      </c>
      <c r="G5635">
        <v>0.56759699815723297</v>
      </c>
      <c r="H5635">
        <v>0.38353782953549498</v>
      </c>
      <c r="I5635">
        <v>0.272589239285913</v>
      </c>
      <c r="J5635">
        <v>0.196296693037327</v>
      </c>
      <c r="K5635">
        <v>0.27650320026583303</v>
      </c>
      <c r="L5635">
        <v>971.413305403099</v>
      </c>
      <c r="M5635">
        <v>17.347133308605201</v>
      </c>
      <c r="N5635">
        <v>57.761233378192301</v>
      </c>
      <c r="O5635">
        <v>55.270235195485398</v>
      </c>
      <c r="P5635">
        <v>-6.2342560142269701E-2</v>
      </c>
      <c r="Q5635">
        <v>0.20551941570003701</v>
      </c>
      <c r="R5635">
        <v>0.97965215253525195</v>
      </c>
      <c r="S5635" t="s">
        <v>12638</v>
      </c>
      <c r="T5635" t="s">
        <v>14004</v>
      </c>
      <c r="U5635" t="s">
        <v>14004</v>
      </c>
      <c r="V5635" t="s">
        <v>14004</v>
      </c>
      <c r="W5635" t="s">
        <v>19584</v>
      </c>
      <c r="X5635">
        <v>6</v>
      </c>
      <c r="Y5635" t="s">
        <v>26385</v>
      </c>
      <c r="Z5635" t="s">
        <v>33345</v>
      </c>
      <c r="AA5635">
        <v>0.64141663179450048</v>
      </c>
      <c r="AB5635" t="str">
        <f>HYPERLINK("Melting_Curves/meltCurve_Q9BRT3_MIEN1.pdf", "Melting_Curves/meltCurve_Q9BRT3_MIEN1.pdf")</f>
        <v>Melting_Curves/meltCurve_Q9BRT3_MIEN1.pdf</v>
      </c>
    </row>
    <row r="5636" spans="1:28" x14ac:dyDescent="0.25">
      <c r="A5636" t="s">
        <v>5640</v>
      </c>
      <c r="B5636">
        <v>0.99999676499088797</v>
      </c>
      <c r="C5636">
        <v>1.0085627518643301</v>
      </c>
      <c r="D5636">
        <v>1.0319872884504899</v>
      </c>
      <c r="E5636">
        <v>1.0271064829876699</v>
      </c>
      <c r="F5636">
        <v>0.40739668133936302</v>
      </c>
      <c r="G5636">
        <v>0.25932733038739297</v>
      </c>
      <c r="H5636">
        <v>0.13647680909071799</v>
      </c>
      <c r="I5636">
        <v>0.14364931806377099</v>
      </c>
      <c r="J5636">
        <v>0.14654552928822701</v>
      </c>
      <c r="K5636">
        <v>0.13628573532459501</v>
      </c>
      <c r="L5636">
        <v>4566.4221692983801</v>
      </c>
      <c r="M5636">
        <v>86.715799760125407</v>
      </c>
      <c r="N5636">
        <v>52.902015239460603</v>
      </c>
      <c r="O5636">
        <v>52.631647347805803</v>
      </c>
      <c r="P5636">
        <v>-0.344374187696323</v>
      </c>
      <c r="Q5636">
        <v>0.16393651020824701</v>
      </c>
      <c r="R5636">
        <v>0.99202177095494803</v>
      </c>
      <c r="S5636" t="s">
        <v>12639</v>
      </c>
      <c r="T5636" t="s">
        <v>14004</v>
      </c>
      <c r="U5636" t="s">
        <v>14004</v>
      </c>
      <c r="V5636" t="s">
        <v>14004</v>
      </c>
      <c r="W5636" t="s">
        <v>19585</v>
      </c>
      <c r="X5636">
        <v>11</v>
      </c>
      <c r="Y5636" t="s">
        <v>26386</v>
      </c>
      <c r="Z5636" t="s">
        <v>33346</v>
      </c>
      <c r="AA5636">
        <v>0.51738831622123838</v>
      </c>
      <c r="AB5636" t="str">
        <f>HYPERLINK("Melting_Curves/meltCurve_Q9BRT9_GINS4.pdf", "Melting_Curves/meltCurve_Q9BRT9_GINS4.pdf")</f>
        <v>Melting_Curves/meltCurve_Q9BRT9_GINS4.pdf</v>
      </c>
    </row>
    <row r="5637" spans="1:28" x14ac:dyDescent="0.25">
      <c r="A5637" t="s">
        <v>5641</v>
      </c>
      <c r="B5637">
        <v>0.99999676499088797</v>
      </c>
      <c r="C5637">
        <v>1.01703996100093</v>
      </c>
      <c r="D5637">
        <v>0.92986495559000604</v>
      </c>
      <c r="E5637">
        <v>0.704231262825044</v>
      </c>
      <c r="F5637">
        <v>0.61129456274474503</v>
      </c>
      <c r="G5637">
        <v>0.36598846868248802</v>
      </c>
      <c r="H5637">
        <v>0.239592123024788</v>
      </c>
      <c r="I5637">
        <v>0.25350333117989698</v>
      </c>
      <c r="J5637">
        <v>0.267207431197726</v>
      </c>
      <c r="K5637">
        <v>0.31364030366552098</v>
      </c>
      <c r="L5637">
        <v>902.73631959531599</v>
      </c>
      <c r="M5637">
        <v>17.431932050627498</v>
      </c>
      <c r="N5637">
        <v>53.9087076784188</v>
      </c>
      <c r="O5637">
        <v>51.119262167120702</v>
      </c>
      <c r="P5637">
        <v>-6.4088756796378599E-2</v>
      </c>
      <c r="Q5637">
        <v>0.24827918317869699</v>
      </c>
      <c r="R5637">
        <v>0.98115261516806396</v>
      </c>
      <c r="S5637" t="s">
        <v>12640</v>
      </c>
      <c r="T5637" t="s">
        <v>14004</v>
      </c>
      <c r="U5637" t="s">
        <v>14004</v>
      </c>
      <c r="V5637" t="s">
        <v>14004</v>
      </c>
      <c r="W5637" t="s">
        <v>19586</v>
      </c>
      <c r="X5637">
        <v>6</v>
      </c>
      <c r="Y5637" t="s">
        <v>26387</v>
      </c>
      <c r="Z5637" t="s">
        <v>33347</v>
      </c>
      <c r="AA5637">
        <v>0.55686799307148094</v>
      </c>
      <c r="AB5637" t="str">
        <f>HYPERLINK("Melting_Curves/meltCurve_Q9BRV8_SIKE1.pdf", "Melting_Curves/meltCurve_Q9BRV8_SIKE1.pdf")</f>
        <v>Melting_Curves/meltCurve_Q9BRV8_SIKE1.pdf</v>
      </c>
    </row>
    <row r="5638" spans="1:28" x14ac:dyDescent="0.25">
      <c r="A5638" t="s">
        <v>5642</v>
      </c>
      <c r="B5638">
        <v>0.99999676499088797</v>
      </c>
      <c r="C5638">
        <v>0.87507265177872695</v>
      </c>
      <c r="D5638">
        <v>0.56141661841011803</v>
      </c>
      <c r="E5638">
        <v>0.210396080034469</v>
      </c>
      <c r="F5638">
        <v>0.138842950386078</v>
      </c>
      <c r="G5638">
        <v>8.8150422227441599E-2</v>
      </c>
      <c r="H5638">
        <v>4.9298059503103002E-2</v>
      </c>
      <c r="I5638">
        <v>4.9267010183561999E-2</v>
      </c>
      <c r="J5638">
        <v>4.4345268969884E-2</v>
      </c>
      <c r="K5638">
        <v>4.4612255503426998E-2</v>
      </c>
      <c r="L5638">
        <v>1072.4363433728099</v>
      </c>
      <c r="M5638">
        <v>23.1546824197337</v>
      </c>
      <c r="N5638">
        <v>46.555389647459101</v>
      </c>
      <c r="O5638">
        <v>45.9748340494899</v>
      </c>
      <c r="P5638">
        <v>-0.11885012595979701</v>
      </c>
      <c r="Q5638">
        <v>5.6084110767033603E-2</v>
      </c>
      <c r="R5638">
        <v>0.997509943827113</v>
      </c>
      <c r="S5638" t="s">
        <v>12641</v>
      </c>
      <c r="T5638" t="s">
        <v>14004</v>
      </c>
      <c r="U5638" t="s">
        <v>14004</v>
      </c>
      <c r="V5638" t="s">
        <v>14004</v>
      </c>
      <c r="W5638" t="s">
        <v>19587</v>
      </c>
      <c r="X5638">
        <v>17</v>
      </c>
      <c r="Y5638" t="s">
        <v>26388</v>
      </c>
      <c r="Z5638" t="s">
        <v>33348</v>
      </c>
      <c r="AA5638">
        <v>0.26505290123831537</v>
      </c>
      <c r="AB5638" t="str">
        <f>HYPERLINK("Melting_Curves/meltCurve_Q9BRX2_PELO.pdf", "Melting_Curves/meltCurve_Q9BRX2_PELO.pdf")</f>
        <v>Melting_Curves/meltCurve_Q9BRX2_PELO.pdf</v>
      </c>
    </row>
    <row r="5639" spans="1:28" x14ac:dyDescent="0.25">
      <c r="A5639" t="s">
        <v>5643</v>
      </c>
      <c r="B5639">
        <v>0.99999676499088797</v>
      </c>
      <c r="C5639">
        <v>0.97921800461667197</v>
      </c>
      <c r="D5639">
        <v>0.96151917342911897</v>
      </c>
      <c r="E5639">
        <v>0.88220374372641097</v>
      </c>
      <c r="F5639">
        <v>0.38288363965440603</v>
      </c>
      <c r="G5639">
        <v>0.22724126488705501</v>
      </c>
      <c r="H5639">
        <v>0.151976088384249</v>
      </c>
      <c r="I5639">
        <v>0.18823992969558101</v>
      </c>
      <c r="J5639">
        <v>0.19587690351204601</v>
      </c>
      <c r="K5639">
        <v>0.249725168941936</v>
      </c>
      <c r="L5639">
        <v>2133.9778585776298</v>
      </c>
      <c r="M5639">
        <v>41.302124358024599</v>
      </c>
      <c r="N5639">
        <v>52.306656886287797</v>
      </c>
      <c r="O5639">
        <v>51.546827222885597</v>
      </c>
      <c r="P5639">
        <v>-0.16062113527816299</v>
      </c>
      <c r="Q5639">
        <v>0.19815312725664799</v>
      </c>
      <c r="R5639">
        <v>0.99480497498328602</v>
      </c>
      <c r="S5639" t="s">
        <v>12642</v>
      </c>
      <c r="T5639" t="s">
        <v>14004</v>
      </c>
      <c r="U5639" t="s">
        <v>14004</v>
      </c>
      <c r="V5639" t="s">
        <v>14004</v>
      </c>
      <c r="W5639" t="s">
        <v>19588</v>
      </c>
      <c r="X5639">
        <v>12</v>
      </c>
      <c r="Y5639" t="s">
        <v>26389</v>
      </c>
      <c r="Z5639" t="s">
        <v>33349</v>
      </c>
      <c r="AA5639">
        <v>0.51268904717258357</v>
      </c>
      <c r="AB5639" t="str">
        <f>HYPERLINK("Melting_Curves/meltCurve_Q9BRX5_GINS3.pdf", "Melting_Curves/meltCurve_Q9BRX5_GINS3.pdf")</f>
        <v>Melting_Curves/meltCurve_Q9BRX5_GINS3.pdf</v>
      </c>
    </row>
    <row r="5640" spans="1:28" x14ac:dyDescent="0.25">
      <c r="A5640" t="s">
        <v>5644</v>
      </c>
      <c r="B5640">
        <v>0.99999676499088797</v>
      </c>
      <c r="C5640">
        <v>1.06030701820845</v>
      </c>
      <c r="D5640">
        <v>1.1327144032252501</v>
      </c>
      <c r="E5640">
        <v>1.37634602619444</v>
      </c>
      <c r="F5640">
        <v>1.2713592913843099</v>
      </c>
      <c r="G5640">
        <v>0.713150097113607</v>
      </c>
      <c r="H5640">
        <v>0.18727047142667</v>
      </c>
      <c r="I5640">
        <v>0.156371967611837</v>
      </c>
      <c r="J5640">
        <v>0.137689645365416</v>
      </c>
      <c r="K5640">
        <v>0.124278844915199</v>
      </c>
      <c r="L5640">
        <v>14238.174907291101</v>
      </c>
      <c r="M5640">
        <v>250</v>
      </c>
      <c r="N5640">
        <v>57.0349875706912</v>
      </c>
      <c r="O5640">
        <v>56.949055064080099</v>
      </c>
      <c r="P5640">
        <v>-0.93131187464700604</v>
      </c>
      <c r="Q5640">
        <v>0.15140270174303799</v>
      </c>
      <c r="R5640">
        <v>0.90029585184116701</v>
      </c>
      <c r="S5640" t="s">
        <v>12643</v>
      </c>
      <c r="T5640" t="s">
        <v>14004</v>
      </c>
      <c r="U5640" t="s">
        <v>14004</v>
      </c>
      <c r="V5640" t="s">
        <v>14004</v>
      </c>
      <c r="W5640" t="s">
        <v>19589</v>
      </c>
      <c r="X5640">
        <v>8</v>
      </c>
      <c r="Y5640" t="s">
        <v>26390</v>
      </c>
      <c r="Z5640" t="s">
        <v>33350</v>
      </c>
      <c r="AA5640">
        <v>0.63102135676005999</v>
      </c>
      <c r="AB5640" t="str">
        <f>HYPERLINK("Melting_Curves/meltCurve_Q9BRX8_2_FAM213A.pdf", "Melting_Curves/meltCurve_Q9BRX8_2_FAM213A.pdf")</f>
        <v>Melting_Curves/meltCurve_Q9BRX8_2_FAM213A.pdf</v>
      </c>
    </row>
    <row r="5641" spans="1:28" x14ac:dyDescent="0.25">
      <c r="A5641" t="s">
        <v>5645</v>
      </c>
      <c r="B5641">
        <v>0.99999676499088797</v>
      </c>
      <c r="C5641">
        <v>0.96458803581163499</v>
      </c>
      <c r="D5641">
        <v>0.66623681002577495</v>
      </c>
      <c r="E5641">
        <v>0.47553619192157698</v>
      </c>
      <c r="F5641">
        <v>0.60394066652122902</v>
      </c>
      <c r="G5641">
        <v>0.376426032691771</v>
      </c>
      <c r="H5641">
        <v>0.28437195837339602</v>
      </c>
      <c r="I5641">
        <v>0.148048542396512</v>
      </c>
      <c r="J5641">
        <v>6.7465392081615602E-2</v>
      </c>
      <c r="K5641">
        <v>4.7648411609144299E-2</v>
      </c>
      <c r="L5641">
        <v>453.20916012401</v>
      </c>
      <c r="M5641">
        <v>8.6558680445076703</v>
      </c>
      <c r="N5641">
        <v>52.358600947229803</v>
      </c>
      <c r="O5641">
        <v>49.789049616422403</v>
      </c>
      <c r="P5641">
        <v>-4.3499281814901002E-2</v>
      </c>
      <c r="Q5641">
        <v>0</v>
      </c>
      <c r="R5641">
        <v>0.93037937107948598</v>
      </c>
      <c r="S5641" t="s">
        <v>12644</v>
      </c>
      <c r="T5641" t="s">
        <v>14004</v>
      </c>
      <c r="U5641" t="s">
        <v>14004</v>
      </c>
      <c r="V5641" t="s">
        <v>14004</v>
      </c>
      <c r="W5641" t="s">
        <v>19590</v>
      </c>
      <c r="X5641">
        <v>1</v>
      </c>
      <c r="Y5641" t="s">
        <v>26391</v>
      </c>
      <c r="Z5641" t="s">
        <v>33351</v>
      </c>
      <c r="AA5641">
        <v>0.45394736064141389</v>
      </c>
      <c r="AB5641" t="str">
        <f>HYPERLINK("Melting_Curves/meltCurve_Q9BRX9_WDR83.pdf", "Melting_Curves/meltCurve_Q9BRX9_WDR83.pdf")</f>
        <v>Melting_Curves/meltCurve_Q9BRX9_WDR83.pdf</v>
      </c>
    </row>
    <row r="5642" spans="1:28" x14ac:dyDescent="0.25">
      <c r="A5642" t="s">
        <v>5646</v>
      </c>
      <c r="B5642">
        <v>0.99999676499088797</v>
      </c>
      <c r="C5642">
        <v>1.0600603125563099</v>
      </c>
      <c r="D5642">
        <v>0.95440590584019003</v>
      </c>
      <c r="E5642">
        <v>0.55013617286170502</v>
      </c>
      <c r="F5642">
        <v>0.28011306833268401</v>
      </c>
      <c r="G5642">
        <v>0.20164043363328199</v>
      </c>
      <c r="H5642">
        <v>0.10095235364610999</v>
      </c>
      <c r="I5642">
        <v>0.102682165092381</v>
      </c>
      <c r="J5642">
        <v>9.9202626983164302E-2</v>
      </c>
      <c r="K5642">
        <v>7.5975355641971207E-2</v>
      </c>
      <c r="L5642">
        <v>1288.16823036766</v>
      </c>
      <c r="M5642">
        <v>25.801068903314</v>
      </c>
      <c r="N5642">
        <v>50.394139995053401</v>
      </c>
      <c r="O5642">
        <v>49.629904153021101</v>
      </c>
      <c r="P5642">
        <v>-0.116144247094346</v>
      </c>
      <c r="Q5642">
        <v>0.106368891199457</v>
      </c>
      <c r="R5642">
        <v>0.99091019650094603</v>
      </c>
      <c r="S5642" t="s">
        <v>12645</v>
      </c>
      <c r="T5642" t="s">
        <v>14004</v>
      </c>
      <c r="U5642" t="s">
        <v>14004</v>
      </c>
      <c r="V5642" t="s">
        <v>14004</v>
      </c>
      <c r="W5642" t="s">
        <v>19591</v>
      </c>
      <c r="X5642">
        <v>14</v>
      </c>
      <c r="Y5642" t="s">
        <v>26392</v>
      </c>
      <c r="Z5642" t="s">
        <v>33352</v>
      </c>
      <c r="AA5642">
        <v>0.40955890297749681</v>
      </c>
      <c r="AB5642" t="str">
        <f>HYPERLINK("Melting_Curves/meltCurve_Q9BRZ2_TRIM56.pdf", "Melting_Curves/meltCurve_Q9BRZ2_TRIM56.pdf")</f>
        <v>Melting_Curves/meltCurve_Q9BRZ2_TRIM56.pdf</v>
      </c>
    </row>
    <row r="5643" spans="1:28" x14ac:dyDescent="0.25">
      <c r="A5643" t="s">
        <v>5647</v>
      </c>
      <c r="B5643">
        <v>0.99999676499088797</v>
      </c>
      <c r="C5643">
        <v>0.85797325622481702</v>
      </c>
      <c r="D5643">
        <v>0.86013423089052599</v>
      </c>
      <c r="E5643">
        <v>0.82352819744056105</v>
      </c>
      <c r="F5643">
        <v>0.417806304656548</v>
      </c>
      <c r="G5643">
        <v>0.25283984876514998</v>
      </c>
      <c r="H5643">
        <v>0.107159375959904</v>
      </c>
      <c r="I5643">
        <v>9.5999407705764206E-2</v>
      </c>
      <c r="J5643">
        <v>8.6638573486973805E-2</v>
      </c>
      <c r="K5643">
        <v>7.5948353844866395E-2</v>
      </c>
      <c r="L5643">
        <v>907.25964514150701</v>
      </c>
      <c r="M5643">
        <v>17.343452479483101</v>
      </c>
      <c r="N5643">
        <v>52.662588580890898</v>
      </c>
      <c r="O5643">
        <v>51.630757365010801</v>
      </c>
      <c r="P5643">
        <v>-7.9396340151293807E-2</v>
      </c>
      <c r="Q5643">
        <v>5.46152115454826E-2</v>
      </c>
      <c r="R5643">
        <v>0.97849649017238904</v>
      </c>
      <c r="S5643" t="s">
        <v>12646</v>
      </c>
      <c r="T5643" t="s">
        <v>14004</v>
      </c>
      <c r="U5643" t="s">
        <v>14004</v>
      </c>
      <c r="V5643" t="s">
        <v>14004</v>
      </c>
      <c r="W5643" t="s">
        <v>19592</v>
      </c>
      <c r="X5643">
        <v>19</v>
      </c>
      <c r="Y5643" t="s">
        <v>26393</v>
      </c>
      <c r="Z5643" t="s">
        <v>33353</v>
      </c>
      <c r="AA5643">
        <v>0.45923683676878951</v>
      </c>
      <c r="AB5643" t="str">
        <f>HYPERLINK("Melting_Curves/meltCurve_Q9BS26_ERP44.pdf", "Melting_Curves/meltCurve_Q9BS26_ERP44.pdf")</f>
        <v>Melting_Curves/meltCurve_Q9BS26_ERP44.pdf</v>
      </c>
    </row>
    <row r="5644" spans="1:28" x14ac:dyDescent="0.25">
      <c r="A5644" t="s">
        <v>5648</v>
      </c>
      <c r="B5644">
        <v>0.99999676499088797</v>
      </c>
      <c r="C5644">
        <v>0.94507951563110404</v>
      </c>
      <c r="D5644">
        <v>0.76056717264242102</v>
      </c>
      <c r="E5644">
        <v>0.56003090271689704</v>
      </c>
      <c r="F5644">
        <v>0.46535662325770499</v>
      </c>
      <c r="G5644">
        <v>0.39375492625317399</v>
      </c>
      <c r="H5644">
        <v>0.286682555540058</v>
      </c>
      <c r="I5644">
        <v>0.31286678747817098</v>
      </c>
      <c r="J5644">
        <v>0.34259876445674697</v>
      </c>
      <c r="K5644">
        <v>0.24514774466821099</v>
      </c>
      <c r="L5644">
        <v>725.57523777633105</v>
      </c>
      <c r="M5644">
        <v>14.9561111569422</v>
      </c>
      <c r="N5644">
        <v>51.4709009313232</v>
      </c>
      <c r="O5644">
        <v>47.671114632520897</v>
      </c>
      <c r="P5644">
        <v>-5.5829290033801902E-2</v>
      </c>
      <c r="Q5644">
        <v>0.28827181859297302</v>
      </c>
      <c r="R5644">
        <v>0.984825916201715</v>
      </c>
      <c r="S5644" t="s">
        <v>12647</v>
      </c>
      <c r="T5644" t="s">
        <v>14004</v>
      </c>
      <c r="U5644" t="s">
        <v>14004</v>
      </c>
      <c r="V5644" t="s">
        <v>14004</v>
      </c>
      <c r="W5644" t="s">
        <v>19593</v>
      </c>
      <c r="X5644">
        <v>7</v>
      </c>
      <c r="Y5644" t="s">
        <v>26394</v>
      </c>
      <c r="Z5644" t="s">
        <v>33354</v>
      </c>
      <c r="AA5644">
        <v>0.50825734351076757</v>
      </c>
      <c r="AB5644" t="str">
        <f>HYPERLINK("Melting_Curves/meltCurve_Q9BSB4_ATG101.pdf", "Melting_Curves/meltCurve_Q9BSB4_ATG101.pdf")</f>
        <v>Melting_Curves/meltCurve_Q9BSB4_ATG101.pdf</v>
      </c>
    </row>
    <row r="5645" spans="1:28" x14ac:dyDescent="0.25">
      <c r="A5645" t="s">
        <v>5649</v>
      </c>
      <c r="B5645">
        <v>0.99999676499088797</v>
      </c>
      <c r="C5645">
        <v>0.99683028768098403</v>
      </c>
      <c r="D5645">
        <v>0.77579108155360099</v>
      </c>
      <c r="E5645">
        <v>0.60207549406618399</v>
      </c>
      <c r="F5645">
        <v>0.40761636546626501</v>
      </c>
      <c r="G5645">
        <v>0.16076869100723801</v>
      </c>
      <c r="H5645">
        <v>4.9981876205931801E-2</v>
      </c>
      <c r="I5645">
        <v>5.9486923030958899E-2</v>
      </c>
      <c r="J5645">
        <v>6.2636068838911901E-2</v>
      </c>
      <c r="K5645">
        <v>5.5123357854828497E-2</v>
      </c>
      <c r="L5645">
        <v>762.19522533024497</v>
      </c>
      <c r="M5645">
        <v>14.977074523156899</v>
      </c>
      <c r="N5645">
        <v>51.013673484950203</v>
      </c>
      <c r="O5645">
        <v>50.009377965949199</v>
      </c>
      <c r="P5645">
        <v>-7.3552405969954202E-2</v>
      </c>
      <c r="Q5645">
        <v>1.7715708461741E-2</v>
      </c>
      <c r="R5645">
        <v>0.99080386884424299</v>
      </c>
      <c r="S5645" t="s">
        <v>12648</v>
      </c>
      <c r="T5645" t="s">
        <v>14004</v>
      </c>
      <c r="U5645" t="s">
        <v>14004</v>
      </c>
      <c r="V5645" t="s">
        <v>14004</v>
      </c>
      <c r="W5645" t="s">
        <v>19594</v>
      </c>
      <c r="X5645">
        <v>11</v>
      </c>
      <c r="Y5645" t="s">
        <v>26395</v>
      </c>
      <c r="Z5645" t="s">
        <v>33355</v>
      </c>
      <c r="AA5645">
        <v>0.39714282214231722</v>
      </c>
      <c r="AB5645" t="str">
        <f>HYPERLINK("Melting_Curves/meltCurve_Q9BSD7_NTPCR.pdf", "Melting_Curves/meltCurve_Q9BSD7_NTPCR.pdf")</f>
        <v>Melting_Curves/meltCurve_Q9BSD7_NTPCR.pdf</v>
      </c>
    </row>
    <row r="5646" spans="1:28" x14ac:dyDescent="0.25">
      <c r="A5646" t="s">
        <v>5650</v>
      </c>
      <c r="B5646">
        <v>0.99999676499088797</v>
      </c>
      <c r="C5646">
        <v>0.86495223475358096</v>
      </c>
      <c r="D5646">
        <v>0.87092217416975304</v>
      </c>
      <c r="E5646">
        <v>1.09382996054159</v>
      </c>
      <c r="F5646">
        <v>0.65544067070049306</v>
      </c>
      <c r="G5646">
        <v>0.35908342308672597</v>
      </c>
      <c r="H5646">
        <v>0.18391309781114201</v>
      </c>
      <c r="I5646">
        <v>0.105946689898054</v>
      </c>
      <c r="J5646">
        <v>0.18410542704902</v>
      </c>
      <c r="K5646">
        <v>0.145403391435486</v>
      </c>
      <c r="L5646">
        <v>1717.6641102511201</v>
      </c>
      <c r="M5646">
        <v>31.639195879718901</v>
      </c>
      <c r="N5646">
        <v>54.911003508481997</v>
      </c>
      <c r="O5646">
        <v>54.073624817217102</v>
      </c>
      <c r="P5646">
        <v>-0.12425291023298</v>
      </c>
      <c r="Q5646">
        <v>0.15057644200641601</v>
      </c>
      <c r="R5646">
        <v>0.95617627480464096</v>
      </c>
      <c r="S5646" t="s">
        <v>12649</v>
      </c>
      <c r="T5646" t="s">
        <v>14004</v>
      </c>
      <c r="U5646" t="s">
        <v>14004</v>
      </c>
      <c r="V5646" t="s">
        <v>14004</v>
      </c>
      <c r="W5646" t="s">
        <v>19595</v>
      </c>
      <c r="X5646">
        <v>1</v>
      </c>
      <c r="Y5646" t="s">
        <v>26396</v>
      </c>
      <c r="Z5646" t="s">
        <v>33356</v>
      </c>
      <c r="AA5646">
        <v>0.56021164067461937</v>
      </c>
      <c r="AB5646" t="str">
        <f>HYPERLINK("Melting_Curves/meltCurve_Q9BSE4_HERPUD2.pdf", "Melting_Curves/meltCurve_Q9BSE4_HERPUD2.pdf")</f>
        <v>Melting_Curves/meltCurve_Q9BSE4_HERPUD2.pdf</v>
      </c>
    </row>
    <row r="5647" spans="1:28" x14ac:dyDescent="0.25">
      <c r="A5647" t="s">
        <v>5651</v>
      </c>
      <c r="B5647">
        <v>0.99999676499088797</v>
      </c>
      <c r="C5647">
        <v>1.12486627663858</v>
      </c>
      <c r="D5647">
        <v>1.0581209137351399</v>
      </c>
      <c r="E5647">
        <v>1.0468320827900901</v>
      </c>
      <c r="F5647">
        <v>0.665739914728395</v>
      </c>
      <c r="G5647">
        <v>0.49076942591288802</v>
      </c>
      <c r="H5647">
        <v>0.25940806123653598</v>
      </c>
      <c r="I5647">
        <v>0.241626360909068</v>
      </c>
      <c r="J5647">
        <v>0.23090306033962099</v>
      </c>
      <c r="K5647">
        <v>0.25808285982840001</v>
      </c>
      <c r="L5647">
        <v>1462.1001244797999</v>
      </c>
      <c r="M5647">
        <v>26.8323272699397</v>
      </c>
      <c r="N5647">
        <v>55.839107038303901</v>
      </c>
      <c r="O5647">
        <v>54.190285467005701</v>
      </c>
      <c r="P5647">
        <v>-9.4265375322940298E-2</v>
      </c>
      <c r="Q5647">
        <v>0.238498296830364</v>
      </c>
      <c r="R5647">
        <v>0.97069439385891998</v>
      </c>
      <c r="S5647" t="s">
        <v>12650</v>
      </c>
      <c r="T5647" t="s">
        <v>14004</v>
      </c>
      <c r="U5647" t="s">
        <v>14004</v>
      </c>
      <c r="V5647" t="s">
        <v>14004</v>
      </c>
      <c r="W5647" t="s">
        <v>19596</v>
      </c>
      <c r="X5647">
        <v>8</v>
      </c>
      <c r="Y5647" t="s">
        <v>26397</v>
      </c>
      <c r="Z5647" t="s">
        <v>33357</v>
      </c>
      <c r="AA5647">
        <v>0.61251105980417209</v>
      </c>
      <c r="AB5647" t="str">
        <f>HYPERLINK("Melting_Curves/meltCurve_Q9BSF4_C19orf52.pdf", "Melting_Curves/meltCurve_Q9BSF4_C19orf52.pdf")</f>
        <v>Melting_Curves/meltCurve_Q9BSF4_C19orf52.pdf</v>
      </c>
    </row>
    <row r="5648" spans="1:28" x14ac:dyDescent="0.25">
      <c r="A5648" t="s">
        <v>5652</v>
      </c>
      <c r="B5648">
        <v>0.99999676499088797</v>
      </c>
      <c r="C5648">
        <v>0.95548372438657203</v>
      </c>
      <c r="D5648">
        <v>0.78836312963034205</v>
      </c>
      <c r="E5648">
        <v>0.25911833704652099</v>
      </c>
      <c r="F5648">
        <v>0.19785407544507699</v>
      </c>
      <c r="G5648">
        <v>0.144533199352648</v>
      </c>
      <c r="H5648">
        <v>6.8384246316735897E-2</v>
      </c>
      <c r="I5648">
        <v>5.8947389762927398E-2</v>
      </c>
      <c r="J5648">
        <v>5.9004592361451599E-2</v>
      </c>
      <c r="K5648">
        <v>4.8371553230763503E-2</v>
      </c>
      <c r="L5648">
        <v>1434.1851947217301</v>
      </c>
      <c r="M5648">
        <v>30.1005924377776</v>
      </c>
      <c r="N5648">
        <v>47.937788267310601</v>
      </c>
      <c r="O5648">
        <v>47.437601394074697</v>
      </c>
      <c r="P5648">
        <v>-0.14537159175403599</v>
      </c>
      <c r="Q5648">
        <v>8.3601475868725697E-2</v>
      </c>
      <c r="R5648">
        <v>0.99022856343460897</v>
      </c>
      <c r="S5648" t="s">
        <v>12651</v>
      </c>
      <c r="T5648" t="s">
        <v>14004</v>
      </c>
      <c r="U5648" t="s">
        <v>14004</v>
      </c>
      <c r="V5648" t="s">
        <v>14004</v>
      </c>
      <c r="W5648" t="s">
        <v>19597</v>
      </c>
      <c r="X5648">
        <v>7</v>
      </c>
      <c r="Y5648" t="s">
        <v>26398</v>
      </c>
      <c r="Z5648" t="s">
        <v>33358</v>
      </c>
      <c r="AA5648">
        <v>0.32263624414643061</v>
      </c>
      <c r="AB5648" t="str">
        <f>HYPERLINK("Melting_Curves/meltCurve_Q9BSH4_TACO1.pdf", "Melting_Curves/meltCurve_Q9BSH4_TACO1.pdf")</f>
        <v>Melting_Curves/meltCurve_Q9BSH4_TACO1.pdf</v>
      </c>
    </row>
    <row r="5649" spans="1:28" x14ac:dyDescent="0.25">
      <c r="A5649" t="s">
        <v>5653</v>
      </c>
      <c r="B5649">
        <v>0.99999676499088797</v>
      </c>
      <c r="C5649">
        <v>1.0260981784574199</v>
      </c>
      <c r="D5649">
        <v>1.01904976308468</v>
      </c>
      <c r="E5649">
        <v>0.96990114025956897</v>
      </c>
      <c r="F5649">
        <v>0.89262185017415996</v>
      </c>
      <c r="G5649">
        <v>0.69033205626934901</v>
      </c>
      <c r="H5649">
        <v>0.29401744340054198</v>
      </c>
      <c r="I5649">
        <v>0.11273621230642</v>
      </c>
      <c r="J5649">
        <v>0.104941608392317</v>
      </c>
      <c r="K5649">
        <v>7.8026935951220996E-2</v>
      </c>
      <c r="L5649">
        <v>1486.65541929351</v>
      </c>
      <c r="M5649">
        <v>25.547447820156201</v>
      </c>
      <c r="N5649">
        <v>58.474208631986897</v>
      </c>
      <c r="O5649">
        <v>57.838897570455003</v>
      </c>
      <c r="P5649">
        <v>-0.104020319723777</v>
      </c>
      <c r="Q5649">
        <v>5.8012151217673801E-2</v>
      </c>
      <c r="R5649">
        <v>0.99759706503118495</v>
      </c>
      <c r="S5649" t="s">
        <v>12652</v>
      </c>
      <c r="T5649" t="s">
        <v>14004</v>
      </c>
      <c r="U5649" t="s">
        <v>14004</v>
      </c>
      <c r="V5649" t="s">
        <v>14004</v>
      </c>
      <c r="W5649" t="s">
        <v>19598</v>
      </c>
      <c r="X5649">
        <v>7</v>
      </c>
      <c r="Y5649" t="s">
        <v>26399</v>
      </c>
      <c r="Z5649" t="s">
        <v>33359</v>
      </c>
      <c r="AA5649">
        <v>0.63711194557876172</v>
      </c>
      <c r="AB5649" t="str">
        <f>HYPERLINK("Melting_Curves/meltCurve_Q9BSH5_HDHD3.pdf", "Melting_Curves/meltCurve_Q9BSH5_HDHD3.pdf")</f>
        <v>Melting_Curves/meltCurve_Q9BSH5_HDHD3.pdf</v>
      </c>
    </row>
    <row r="5650" spans="1:28" x14ac:dyDescent="0.25">
      <c r="A5650" t="s">
        <v>5654</v>
      </c>
      <c r="B5650">
        <v>0.99999676499088797</v>
      </c>
      <c r="C5650">
        <v>0.82389134796973096</v>
      </c>
      <c r="D5650">
        <v>0.63254842500582498</v>
      </c>
      <c r="E5650">
        <v>0.38165646002408199</v>
      </c>
      <c r="F5650">
        <v>0.304362309204737</v>
      </c>
      <c r="G5650">
        <v>0.26109427128854701</v>
      </c>
      <c r="H5650">
        <v>0.170007547555342</v>
      </c>
      <c r="I5650">
        <v>0.18718216020714801</v>
      </c>
      <c r="J5650">
        <v>0.19086888925661899</v>
      </c>
      <c r="K5650">
        <v>0.15426144217346199</v>
      </c>
      <c r="L5650">
        <v>756.56621702103496</v>
      </c>
      <c r="M5650">
        <v>16.222587070630599</v>
      </c>
      <c r="N5650">
        <v>47.936343300843902</v>
      </c>
      <c r="O5650">
        <v>45.945209551545801</v>
      </c>
      <c r="P5650">
        <v>-7.2570047724112699E-2</v>
      </c>
      <c r="Q5650">
        <v>0.177936774490322</v>
      </c>
      <c r="R5650">
        <v>0.99102252887861697</v>
      </c>
      <c r="S5650" t="s">
        <v>12653</v>
      </c>
      <c r="T5650" t="s">
        <v>14004</v>
      </c>
      <c r="U5650" t="s">
        <v>14004</v>
      </c>
      <c r="V5650" t="s">
        <v>14004</v>
      </c>
      <c r="W5650" t="s">
        <v>19599</v>
      </c>
      <c r="X5650">
        <v>3</v>
      </c>
      <c r="Y5650" t="s">
        <v>26400</v>
      </c>
      <c r="Z5650" t="s">
        <v>33360</v>
      </c>
      <c r="AA5650">
        <v>0.3791811768546961</v>
      </c>
      <c r="AB5650" t="str">
        <f>HYPERLINK("Melting_Curves/meltCurve_Q9BSI4_2_TINF2.pdf", "Melting_Curves/meltCurve_Q9BSI4_2_TINF2.pdf")</f>
        <v>Melting_Curves/meltCurve_Q9BSI4_2_TINF2.pdf</v>
      </c>
    </row>
    <row r="5651" spans="1:28" x14ac:dyDescent="0.25">
      <c r="A5651" t="s">
        <v>5655</v>
      </c>
      <c r="B5651">
        <v>0.99999676499088797</v>
      </c>
      <c r="C5651">
        <v>0.89243289167644801</v>
      </c>
      <c r="D5651">
        <v>0.96295962351500697</v>
      </c>
      <c r="E5651">
        <v>0.80774429286980098</v>
      </c>
      <c r="F5651">
        <v>0.39283303404280001</v>
      </c>
      <c r="G5651">
        <v>0.30851875444798199</v>
      </c>
      <c r="H5651">
        <v>0.17135285548577101</v>
      </c>
      <c r="I5651">
        <v>0.205289854599397</v>
      </c>
      <c r="J5651">
        <v>0.215325711437277</v>
      </c>
      <c r="K5651">
        <v>0.18944547902052</v>
      </c>
      <c r="L5651">
        <v>1432.24648961802</v>
      </c>
      <c r="M5651">
        <v>27.864487580878102</v>
      </c>
      <c r="N5651">
        <v>52.361008116559802</v>
      </c>
      <c r="O5651">
        <v>51.137888258673598</v>
      </c>
      <c r="P5651">
        <v>-0.10896399788357999</v>
      </c>
      <c r="Q5651">
        <v>0.20010899107064001</v>
      </c>
      <c r="R5651">
        <v>0.98465680313176696</v>
      </c>
      <c r="S5651" t="s">
        <v>12654</v>
      </c>
      <c r="T5651" t="s">
        <v>14004</v>
      </c>
      <c r="U5651" t="s">
        <v>14004</v>
      </c>
      <c r="V5651" t="s">
        <v>14004</v>
      </c>
      <c r="W5651" t="s">
        <v>19600</v>
      </c>
      <c r="X5651">
        <v>7</v>
      </c>
      <c r="Y5651" t="s">
        <v>26401</v>
      </c>
      <c r="Z5651" t="s">
        <v>33361</v>
      </c>
      <c r="AA5651">
        <v>0.50994182598694515</v>
      </c>
      <c r="AB5651" t="str">
        <f>HYPERLINK("Melting_Curves/meltCurve_Q9BSJ5_3_C17orf80.pdf", "Melting_Curves/meltCurve_Q9BSJ5_3_C17orf80.pdf")</f>
        <v>Melting_Curves/meltCurve_Q9BSJ5_3_C17orf80.pdf</v>
      </c>
    </row>
    <row r="5652" spans="1:28" x14ac:dyDescent="0.25">
      <c r="A5652" t="s">
        <v>5656</v>
      </c>
      <c r="B5652">
        <v>0.99999676499088797</v>
      </c>
      <c r="C5652">
        <v>0.87293515673946798</v>
      </c>
      <c r="D5652">
        <v>0.58661622289510296</v>
      </c>
      <c r="E5652">
        <v>0.225863498996203</v>
      </c>
      <c r="F5652">
        <v>0.14180911638278401</v>
      </c>
      <c r="G5652">
        <v>9.3895756012316298E-2</v>
      </c>
      <c r="H5652">
        <v>4.8047260648728898E-2</v>
      </c>
      <c r="I5652">
        <v>4.8166580991355103E-2</v>
      </c>
      <c r="J5652">
        <v>4.6183254588712197E-2</v>
      </c>
      <c r="K5652">
        <v>3.4571112047444598E-2</v>
      </c>
      <c r="L5652">
        <v>1028.6901168940799</v>
      </c>
      <c r="M5652">
        <v>22.109845217253799</v>
      </c>
      <c r="N5652">
        <v>46.760637309951299</v>
      </c>
      <c r="O5652">
        <v>46.150756066122497</v>
      </c>
      <c r="P5652">
        <v>-0.113492202639731</v>
      </c>
      <c r="Q5652">
        <v>5.24338800139365E-2</v>
      </c>
      <c r="R5652">
        <v>0.99738299595142899</v>
      </c>
      <c r="S5652" t="s">
        <v>12655</v>
      </c>
      <c r="T5652" t="s">
        <v>14004</v>
      </c>
      <c r="U5652" t="s">
        <v>14004</v>
      </c>
      <c r="V5652" t="s">
        <v>14004</v>
      </c>
      <c r="W5652" t="s">
        <v>19601</v>
      </c>
      <c r="X5652">
        <v>41</v>
      </c>
      <c r="Y5652" t="s">
        <v>26402</v>
      </c>
      <c r="Z5652" t="s">
        <v>33362</v>
      </c>
      <c r="AA5652">
        <v>0.26987734027727062</v>
      </c>
      <c r="AB5652" t="str">
        <f>HYPERLINK("Melting_Curves/meltCurve_Q9BSJ8_ESYT1.pdf", "Melting_Curves/meltCurve_Q9BSJ8_ESYT1.pdf")</f>
        <v>Melting_Curves/meltCurve_Q9BSJ8_ESYT1.pdf</v>
      </c>
    </row>
    <row r="5653" spans="1:28" x14ac:dyDescent="0.25">
      <c r="A5653" t="s">
        <v>5657</v>
      </c>
      <c r="B5653">
        <v>0.99999676499088797</v>
      </c>
      <c r="C5653">
        <v>1.0241493001249999</v>
      </c>
      <c r="D5653">
        <v>1.03756624451394</v>
      </c>
      <c r="E5653">
        <v>1.3081436687280801</v>
      </c>
      <c r="F5653">
        <v>0.72946107798096205</v>
      </c>
      <c r="G5653">
        <v>0.76492985879110298</v>
      </c>
      <c r="H5653">
        <v>0.33879155676352202</v>
      </c>
      <c r="I5653">
        <v>0.136118914977642</v>
      </c>
      <c r="J5653">
        <v>8.0220735118634798E-2</v>
      </c>
      <c r="K5653">
        <v>7.3005507706054407E-2</v>
      </c>
      <c r="L5653">
        <v>1348.0661185409101</v>
      </c>
      <c r="M5653">
        <v>22.915045860901099</v>
      </c>
      <c r="N5653">
        <v>58.9836842169927</v>
      </c>
      <c r="O5653">
        <v>58.386328601362798</v>
      </c>
      <c r="P5653">
        <v>-9.5256424819451194E-2</v>
      </c>
      <c r="Q5653">
        <v>2.9184917204955901E-2</v>
      </c>
      <c r="R5653">
        <v>0.92189513958184899</v>
      </c>
      <c r="S5653" t="s">
        <v>12656</v>
      </c>
      <c r="T5653" t="s">
        <v>14004</v>
      </c>
      <c r="U5653" t="s">
        <v>14004</v>
      </c>
      <c r="V5653" t="s">
        <v>14004</v>
      </c>
      <c r="W5653" t="s">
        <v>19602</v>
      </c>
      <c r="X5653">
        <v>1</v>
      </c>
      <c r="Y5653" t="s">
        <v>26403</v>
      </c>
      <c r="Z5653" t="s">
        <v>33363</v>
      </c>
      <c r="AA5653">
        <v>0.64738555403347275</v>
      </c>
      <c r="AB5653" t="str">
        <f>HYPERLINK("Melting_Curves/meltCurve_Q9BSK2_SLC25A33.pdf", "Melting_Curves/meltCurve_Q9BSK2_SLC25A33.pdf")</f>
        <v>Melting_Curves/meltCurve_Q9BSK2_SLC25A33.pdf</v>
      </c>
    </row>
    <row r="5654" spans="1:28" x14ac:dyDescent="0.25">
      <c r="A5654" t="s">
        <v>5658</v>
      </c>
      <c r="B5654">
        <v>0.99999676499088797</v>
      </c>
      <c r="C5654">
        <v>0.94664965793217304</v>
      </c>
      <c r="D5654">
        <v>0.93469570546651404</v>
      </c>
      <c r="E5654">
        <v>0.55715475334667597</v>
      </c>
      <c r="F5654">
        <v>0.37713844299876598</v>
      </c>
      <c r="G5654">
        <v>0.23424150147860701</v>
      </c>
      <c r="H5654">
        <v>0.107798617289179</v>
      </c>
      <c r="I5654">
        <v>9.3181979035445797E-2</v>
      </c>
      <c r="J5654">
        <v>0.10526829183320199</v>
      </c>
      <c r="K5654">
        <v>9.1885848674770204E-2</v>
      </c>
      <c r="L5654">
        <v>903.66826718456298</v>
      </c>
      <c r="M5654">
        <v>17.878441217848799</v>
      </c>
      <c r="N5654">
        <v>51.094436580722999</v>
      </c>
      <c r="O5654">
        <v>49.925492811901997</v>
      </c>
      <c r="P5654">
        <v>-8.1702429175989993E-2</v>
      </c>
      <c r="Q5654">
        <v>8.7431111325099703E-2</v>
      </c>
      <c r="R5654">
        <v>0.99133073447336495</v>
      </c>
      <c r="S5654" t="s">
        <v>12657</v>
      </c>
      <c r="T5654" t="s">
        <v>14004</v>
      </c>
      <c r="U5654" t="s">
        <v>14004</v>
      </c>
      <c r="V5654" t="s">
        <v>14004</v>
      </c>
      <c r="W5654" t="s">
        <v>19603</v>
      </c>
      <c r="X5654">
        <v>4</v>
      </c>
      <c r="Y5654" t="s">
        <v>26404</v>
      </c>
      <c r="Z5654" t="s">
        <v>33364</v>
      </c>
      <c r="AA5654">
        <v>0.42385583845872238</v>
      </c>
      <c r="AB5654" t="str">
        <f>HYPERLINK("Melting_Curves/meltCurve_Q9BSL1_UBAC1.pdf", "Melting_Curves/meltCurve_Q9BSL1_UBAC1.pdf")</f>
        <v>Melting_Curves/meltCurve_Q9BSL1_UBAC1.pdf</v>
      </c>
    </row>
    <row r="5655" spans="1:28" x14ac:dyDescent="0.25">
      <c r="A5655" t="s">
        <v>5659</v>
      </c>
      <c r="B5655">
        <v>0.99999676499088797</v>
      </c>
      <c r="C5655">
        <v>0.91366977610915301</v>
      </c>
      <c r="D5655">
        <v>0.91233325368608298</v>
      </c>
      <c r="E5655">
        <v>0.79392187838240402</v>
      </c>
      <c r="F5655">
        <v>0.63447470011917795</v>
      </c>
      <c r="G5655">
        <v>0.67397083899652099</v>
      </c>
      <c r="H5655">
        <v>0.34901604183116702</v>
      </c>
      <c r="I5655">
        <v>0.36099097026635102</v>
      </c>
      <c r="J5655">
        <v>0.28948834081327801</v>
      </c>
      <c r="K5655">
        <v>0.122453077803301</v>
      </c>
      <c r="L5655">
        <v>485.75444677441601</v>
      </c>
      <c r="M5655">
        <v>8.3261565386528407</v>
      </c>
      <c r="N5655">
        <v>58.340777624710398</v>
      </c>
      <c r="O5655">
        <v>55.266188992133202</v>
      </c>
      <c r="P5655">
        <v>-3.7700557889144899E-2</v>
      </c>
      <c r="Q5655">
        <v>0</v>
      </c>
      <c r="R5655">
        <v>0.96117386153979301</v>
      </c>
      <c r="S5655" t="s">
        <v>12658</v>
      </c>
      <c r="T5655" t="s">
        <v>14004</v>
      </c>
      <c r="U5655" t="s">
        <v>14004</v>
      </c>
      <c r="V5655" t="s">
        <v>14004</v>
      </c>
      <c r="W5655" t="s">
        <v>19604</v>
      </c>
      <c r="X5655">
        <v>3</v>
      </c>
      <c r="Y5655" t="s">
        <v>26405</v>
      </c>
      <c r="Z5655" t="s">
        <v>33365</v>
      </c>
      <c r="AA5655">
        <v>0.61346600691223108</v>
      </c>
      <c r="AB5655" t="str">
        <f>HYPERLINK("Melting_Curves/meltCurve_Q9BSR8_YIPF4.pdf", "Melting_Curves/meltCurve_Q9BSR8_YIPF4.pdf")</f>
        <v>Melting_Curves/meltCurve_Q9BSR8_YIPF4.pdf</v>
      </c>
    </row>
    <row r="5656" spans="1:28" x14ac:dyDescent="0.25">
      <c r="A5656" t="s">
        <v>5660</v>
      </c>
      <c r="B5656">
        <v>0.99999676499088797</v>
      </c>
      <c r="C5656">
        <v>0.99079085567009595</v>
      </c>
      <c r="D5656">
        <v>0.93473728740884499</v>
      </c>
      <c r="E5656">
        <v>0.87615232793660103</v>
      </c>
      <c r="F5656">
        <v>0.635964813230532</v>
      </c>
      <c r="G5656">
        <v>0.367170278472642</v>
      </c>
      <c r="H5656">
        <v>0.195983249491644</v>
      </c>
      <c r="I5656">
        <v>0.185554272327588</v>
      </c>
      <c r="J5656">
        <v>0.16043501794385001</v>
      </c>
      <c r="K5656">
        <v>0.122373136113098</v>
      </c>
      <c r="L5656">
        <v>1048.10451060742</v>
      </c>
      <c r="M5656">
        <v>19.399911138510301</v>
      </c>
      <c r="N5656">
        <v>54.8501660511387</v>
      </c>
      <c r="O5656">
        <v>53.462012727882502</v>
      </c>
      <c r="P5656">
        <v>-7.9254509258729594E-2</v>
      </c>
      <c r="Q5656">
        <v>0.12639796257269301</v>
      </c>
      <c r="R5656">
        <v>0.99792181861407703</v>
      </c>
      <c r="S5656" t="s">
        <v>12659</v>
      </c>
      <c r="T5656" t="s">
        <v>14004</v>
      </c>
      <c r="U5656" t="s">
        <v>14004</v>
      </c>
      <c r="V5656" t="s">
        <v>14004</v>
      </c>
      <c r="W5656" t="s">
        <v>19605</v>
      </c>
      <c r="X5656">
        <v>2</v>
      </c>
      <c r="Y5656" t="s">
        <v>26406</v>
      </c>
      <c r="Z5656" t="s">
        <v>33366</v>
      </c>
      <c r="AA5656">
        <v>0.54730101508898876</v>
      </c>
      <c r="AB5656" t="str">
        <f>HYPERLINK("Melting_Curves/meltCurve_Q9BSU1_C16orf70.pdf", "Melting_Curves/meltCurve_Q9BSU1_C16orf70.pdf")</f>
        <v>Melting_Curves/meltCurve_Q9BSU1_C16orf70.pdf</v>
      </c>
    </row>
    <row r="5657" spans="1:28" x14ac:dyDescent="0.25">
      <c r="A5657" t="s">
        <v>5661</v>
      </c>
      <c r="B5657">
        <v>0.99999676499088797</v>
      </c>
      <c r="C5657">
        <v>0.807553504899852</v>
      </c>
      <c r="D5657">
        <v>0.74952178451954299</v>
      </c>
      <c r="E5657">
        <v>0.52074449269672995</v>
      </c>
      <c r="F5657">
        <v>0.21269244536387999</v>
      </c>
      <c r="G5657">
        <v>0.13085710693029501</v>
      </c>
      <c r="H5657">
        <v>9.4003422738196896E-2</v>
      </c>
      <c r="I5657">
        <v>6.6991175644198306E-2</v>
      </c>
      <c r="J5657">
        <v>7.5503180575230699E-2</v>
      </c>
      <c r="K5657">
        <v>8.8884972679367E-2</v>
      </c>
      <c r="L5657">
        <v>738.96272280891606</v>
      </c>
      <c r="M5657">
        <v>15.147558987881199</v>
      </c>
      <c r="N5657">
        <v>49.130919617296399</v>
      </c>
      <c r="O5657">
        <v>47.957737668637101</v>
      </c>
      <c r="P5657">
        <v>-7.4968499977372496E-2</v>
      </c>
      <c r="Q5657">
        <v>5.0680202847524503E-2</v>
      </c>
      <c r="R5657">
        <v>0.98657959424937403</v>
      </c>
      <c r="S5657" t="s">
        <v>12660</v>
      </c>
      <c r="T5657" t="s">
        <v>14004</v>
      </c>
      <c r="U5657" t="s">
        <v>14004</v>
      </c>
      <c r="V5657" t="s">
        <v>14004</v>
      </c>
      <c r="W5657" t="s">
        <v>19606</v>
      </c>
      <c r="X5657">
        <v>5</v>
      </c>
      <c r="Y5657" t="s">
        <v>26407</v>
      </c>
      <c r="Z5657" t="s">
        <v>33367</v>
      </c>
      <c r="AA5657">
        <v>0.35183594039872368</v>
      </c>
      <c r="AB5657" t="str">
        <f>HYPERLINK("Melting_Curves/meltCurve_Q9BSV6_TSEN34.pdf", "Melting_Curves/meltCurve_Q9BSV6_TSEN34.pdf")</f>
        <v>Melting_Curves/meltCurve_Q9BSV6_TSEN34.pdf</v>
      </c>
    </row>
    <row r="5658" spans="1:28" x14ac:dyDescent="0.25">
      <c r="A5658" t="s">
        <v>5662</v>
      </c>
      <c r="B5658">
        <v>0.99999676499088797</v>
      </c>
      <c r="C5658">
        <v>0.94487065431536399</v>
      </c>
      <c r="D5658">
        <v>0.95691169986658198</v>
      </c>
      <c r="E5658">
        <v>0.76646442267847703</v>
      </c>
      <c r="F5658">
        <v>0.34934959403885701</v>
      </c>
      <c r="G5658">
        <v>0.21281579486711999</v>
      </c>
      <c r="H5658">
        <v>0.122021605718981</v>
      </c>
      <c r="I5658">
        <v>0.123821687230976</v>
      </c>
      <c r="J5658">
        <v>0.126536839974393</v>
      </c>
      <c r="K5658">
        <v>0.113810136503741</v>
      </c>
      <c r="L5658">
        <v>1372.5012618602</v>
      </c>
      <c r="M5658">
        <v>26.731072766695799</v>
      </c>
      <c r="N5658">
        <v>51.880721583842302</v>
      </c>
      <c r="O5658">
        <v>51.059994717162603</v>
      </c>
      <c r="P5658">
        <v>-0.11509176511513999</v>
      </c>
      <c r="Q5658">
        <v>0.120644812223414</v>
      </c>
      <c r="R5658">
        <v>0.99695816874126697</v>
      </c>
      <c r="S5658" t="s">
        <v>12661</v>
      </c>
      <c r="T5658" t="s">
        <v>14004</v>
      </c>
      <c r="U5658" t="s">
        <v>14004</v>
      </c>
      <c r="V5658" t="s">
        <v>14004</v>
      </c>
      <c r="W5658" t="s">
        <v>19607</v>
      </c>
      <c r="X5658">
        <v>7</v>
      </c>
      <c r="Y5658" t="s">
        <v>26408</v>
      </c>
      <c r="Z5658" t="s">
        <v>33368</v>
      </c>
      <c r="AA5658">
        <v>0.46017295828310339</v>
      </c>
      <c r="AB5658" t="str">
        <f>HYPERLINK("Melting_Curves/meltCurve_Q9BSW2_2_EFCAB4B.pdf", "Melting_Curves/meltCurve_Q9BSW2_2_EFCAB4B.pdf")</f>
        <v>Melting_Curves/meltCurve_Q9BSW2_2_EFCAB4B.pdf</v>
      </c>
    </row>
    <row r="5659" spans="1:28" x14ac:dyDescent="0.25">
      <c r="A5659" t="s">
        <v>5663</v>
      </c>
      <c r="B5659">
        <v>0.99999676499088797</v>
      </c>
      <c r="C5659">
        <v>0.86960190651473501</v>
      </c>
      <c r="D5659">
        <v>0.91316613837359795</v>
      </c>
      <c r="E5659">
        <v>0.81615693331675099</v>
      </c>
      <c r="F5659">
        <v>0.44361611430904402</v>
      </c>
      <c r="G5659">
        <v>0.36121593269306701</v>
      </c>
      <c r="H5659">
        <v>0.18342355915022501</v>
      </c>
      <c r="I5659">
        <v>0.28059056969240898</v>
      </c>
      <c r="J5659">
        <v>0.153728398238764</v>
      </c>
      <c r="K5659">
        <v>0.141178806952591</v>
      </c>
      <c r="L5659">
        <v>865.15001677406406</v>
      </c>
      <c r="M5659">
        <v>16.591661102675999</v>
      </c>
      <c r="N5659">
        <v>53.3436083313279</v>
      </c>
      <c r="O5659">
        <v>51.403844164878102</v>
      </c>
      <c r="P5659">
        <v>-6.8129896950912303E-2</v>
      </c>
      <c r="Q5659">
        <v>0.15574446249906901</v>
      </c>
      <c r="R5659">
        <v>0.96967380164699601</v>
      </c>
      <c r="S5659" t="s">
        <v>12662</v>
      </c>
      <c r="T5659" t="s">
        <v>14004</v>
      </c>
      <c r="U5659" t="s">
        <v>14004</v>
      </c>
      <c r="V5659" t="s">
        <v>14004</v>
      </c>
      <c r="W5659" t="s">
        <v>19608</v>
      </c>
      <c r="X5659">
        <v>1</v>
      </c>
      <c r="Y5659" t="s">
        <v>26409</v>
      </c>
      <c r="Z5659" t="s">
        <v>33369</v>
      </c>
      <c r="AA5659">
        <v>0.51353172193731167</v>
      </c>
      <c r="AB5659" t="str">
        <f>HYPERLINK("Melting_Curves/meltCurve_Q9BSY9_2_DESI2.pdf", "Melting_Curves/meltCurve_Q9BSY9_2_DESI2.pdf")</f>
        <v>Melting_Curves/meltCurve_Q9BSY9_2_DESI2.pdf</v>
      </c>
    </row>
    <row r="5660" spans="1:28" x14ac:dyDescent="0.25">
      <c r="A5660" t="s">
        <v>5664</v>
      </c>
      <c r="B5660">
        <v>0.99999676499088797</v>
      </c>
      <c r="C5660">
        <v>0.89876205406729404</v>
      </c>
      <c r="D5660">
        <v>0.94804139203420201</v>
      </c>
      <c r="E5660">
        <v>0.87757731327877597</v>
      </c>
      <c r="F5660">
        <v>0.76104179621339096</v>
      </c>
      <c r="G5660">
        <v>0.71565118835670605</v>
      </c>
      <c r="H5660">
        <v>0.47579791480419698</v>
      </c>
      <c r="I5660">
        <v>0.50183248615700504</v>
      </c>
      <c r="J5660">
        <v>0.46118495369128598</v>
      </c>
      <c r="K5660">
        <v>0.52040659285451296</v>
      </c>
      <c r="L5660">
        <v>668.69119567821997</v>
      </c>
      <c r="M5660">
        <v>12.2362110217815</v>
      </c>
      <c r="N5660">
        <v>65.020715349718003</v>
      </c>
      <c r="O5660">
        <v>53.2504233914065</v>
      </c>
      <c r="P5660">
        <v>-3.2809295715850999E-2</v>
      </c>
      <c r="Q5660">
        <v>0.42900022009733202</v>
      </c>
      <c r="R5660">
        <v>0.94699713670937402</v>
      </c>
      <c r="S5660" t="s">
        <v>12663</v>
      </c>
      <c r="T5660" t="s">
        <v>14004</v>
      </c>
      <c r="U5660" t="s">
        <v>14004</v>
      </c>
      <c r="V5660" t="s">
        <v>14004</v>
      </c>
      <c r="W5660" t="s">
        <v>19609</v>
      </c>
      <c r="X5660">
        <v>17</v>
      </c>
      <c r="Y5660" t="s">
        <v>26410</v>
      </c>
      <c r="Z5660" t="s">
        <v>33370</v>
      </c>
      <c r="AA5660">
        <v>0.72154613305212045</v>
      </c>
      <c r="AB5660" t="str">
        <f>HYPERLINK("Melting_Curves/meltCurve_Q9BT09_CNPY3.pdf", "Melting_Curves/meltCurve_Q9BT09_CNPY3.pdf")</f>
        <v>Melting_Curves/meltCurve_Q9BT09_CNPY3.pdf</v>
      </c>
    </row>
    <row r="5661" spans="1:28" x14ac:dyDescent="0.25">
      <c r="A5661" t="s">
        <v>5665</v>
      </c>
      <c r="B5661">
        <v>0.99999676499088797</v>
      </c>
      <c r="C5661">
        <v>0.97239346486765099</v>
      </c>
      <c r="D5661">
        <v>1.1116283278640899</v>
      </c>
      <c r="E5661">
        <v>1.1601529892208</v>
      </c>
      <c r="F5661">
        <v>0.72282955054493703</v>
      </c>
      <c r="G5661">
        <v>0.53406845671172598</v>
      </c>
      <c r="H5661">
        <v>0.35836571301268599</v>
      </c>
      <c r="I5661">
        <v>0.33280172240566003</v>
      </c>
      <c r="J5661">
        <v>0.188616417112561</v>
      </c>
      <c r="K5661">
        <v>0.10199244313476399</v>
      </c>
      <c r="L5661">
        <v>1145.3547116992399</v>
      </c>
      <c r="M5661">
        <v>20.278063851006301</v>
      </c>
      <c r="N5661">
        <v>57.6419258431104</v>
      </c>
      <c r="O5661">
        <v>55.941753697140904</v>
      </c>
      <c r="P5661">
        <v>-7.5446750655568898E-2</v>
      </c>
      <c r="Q5661">
        <v>0.16747604910585601</v>
      </c>
      <c r="R5661">
        <v>0.940788562145084</v>
      </c>
      <c r="S5661" t="s">
        <v>12664</v>
      </c>
      <c r="T5661" t="s">
        <v>14004</v>
      </c>
      <c r="U5661" t="s">
        <v>14004</v>
      </c>
      <c r="V5661" t="s">
        <v>14004</v>
      </c>
      <c r="W5661" t="s">
        <v>19610</v>
      </c>
      <c r="X5661">
        <v>4</v>
      </c>
      <c r="Y5661" t="s">
        <v>26411</v>
      </c>
      <c r="Z5661" t="s">
        <v>33371</v>
      </c>
      <c r="AA5661">
        <v>0.63518309890638847</v>
      </c>
      <c r="AB5661" t="str">
        <f>HYPERLINK("Melting_Curves/meltCurve_Q9BT22_ALG1.pdf", "Melting_Curves/meltCurve_Q9BT22_ALG1.pdf")</f>
        <v>Melting_Curves/meltCurve_Q9BT22_ALG1.pdf</v>
      </c>
    </row>
    <row r="5662" spans="1:28" x14ac:dyDescent="0.25">
      <c r="A5662" t="s">
        <v>5666</v>
      </c>
      <c r="B5662">
        <v>0.99999676499088797</v>
      </c>
      <c r="C5662">
        <v>1.14925785341613</v>
      </c>
      <c r="D5662">
        <v>0.96876225850675601</v>
      </c>
      <c r="E5662">
        <v>0.82795775794846804</v>
      </c>
      <c r="F5662">
        <v>0.51773843062184</v>
      </c>
      <c r="G5662">
        <v>0.590202489558176</v>
      </c>
      <c r="H5662">
        <v>0.36066348376256402</v>
      </c>
      <c r="I5662">
        <v>0.65196273757708501</v>
      </c>
      <c r="J5662">
        <v>0.71372617160165697</v>
      </c>
      <c r="K5662">
        <v>0.473687840716361</v>
      </c>
      <c r="L5662">
        <v>12423.5566251524</v>
      </c>
      <c r="M5662">
        <v>250</v>
      </c>
      <c r="O5662">
        <v>49.691046532622501</v>
      </c>
      <c r="P5662">
        <v>-0.56432426594518903</v>
      </c>
      <c r="Q5662">
        <v>0.55133018798866296</v>
      </c>
      <c r="R5662">
        <v>0.82184964216267198</v>
      </c>
      <c r="S5662" t="s">
        <v>12665</v>
      </c>
      <c r="T5662" t="s">
        <v>14004</v>
      </c>
      <c r="U5662" t="s">
        <v>14004</v>
      </c>
      <c r="V5662" t="s">
        <v>14004</v>
      </c>
      <c r="W5662" t="s">
        <v>19611</v>
      </c>
      <c r="X5662">
        <v>9</v>
      </c>
      <c r="Y5662" t="s">
        <v>26412</v>
      </c>
      <c r="Z5662" t="s">
        <v>33372</v>
      </c>
      <c r="AA5662">
        <v>0.69635287703432192</v>
      </c>
      <c r="AB5662" t="str">
        <f>HYPERLINK("Melting_Curves/meltCurve_Q9BT23_LIMD2.pdf", "Melting_Curves/meltCurve_Q9BT23_LIMD2.pdf")</f>
        <v>Melting_Curves/meltCurve_Q9BT23_LIMD2.pdf</v>
      </c>
    </row>
    <row r="5663" spans="1:28" x14ac:dyDescent="0.25">
      <c r="A5663" t="s">
        <v>5667</v>
      </c>
      <c r="B5663">
        <v>0.99999676499088797</v>
      </c>
      <c r="C5663">
        <v>0.74510754629884501</v>
      </c>
      <c r="D5663">
        <v>0.50451253382345296</v>
      </c>
      <c r="E5663">
        <v>0.304763409591359</v>
      </c>
      <c r="F5663">
        <v>0.22652437201009501</v>
      </c>
      <c r="G5663">
        <v>0.210007725366401</v>
      </c>
      <c r="H5663">
        <v>0.125974120732433</v>
      </c>
      <c r="I5663">
        <v>0.173616409068516</v>
      </c>
      <c r="J5663">
        <v>0.13851989214973101</v>
      </c>
      <c r="K5663">
        <v>0.28707301421968701</v>
      </c>
      <c r="L5663">
        <v>925.44116896697403</v>
      </c>
      <c r="M5663">
        <v>20.586087538816699</v>
      </c>
      <c r="N5663">
        <v>46.001317988745697</v>
      </c>
      <c r="O5663">
        <v>44.536937988661997</v>
      </c>
      <c r="P5663">
        <v>-9.39509763790813E-2</v>
      </c>
      <c r="Q5663">
        <v>0.18699136977933101</v>
      </c>
      <c r="R5663">
        <v>0.971446144918923</v>
      </c>
      <c r="S5663" t="s">
        <v>12666</v>
      </c>
      <c r="T5663" t="s">
        <v>14004</v>
      </c>
      <c r="U5663" t="s">
        <v>14004</v>
      </c>
      <c r="V5663" t="s">
        <v>14004</v>
      </c>
      <c r="W5663" t="s">
        <v>19612</v>
      </c>
      <c r="X5663">
        <v>1</v>
      </c>
      <c r="Y5663" t="s">
        <v>26413</v>
      </c>
      <c r="Z5663" t="s">
        <v>33373</v>
      </c>
      <c r="AA5663">
        <v>0.33419558523380161</v>
      </c>
      <c r="AB5663" t="str">
        <f>HYPERLINK("Melting_Curves/meltCurve_Q9BT25_2_HAUS8.pdf", "Melting_Curves/meltCurve_Q9BT25_2_HAUS8.pdf")</f>
        <v>Melting_Curves/meltCurve_Q9BT25_2_HAUS8.pdf</v>
      </c>
    </row>
    <row r="5664" spans="1:28" x14ac:dyDescent="0.25">
      <c r="A5664" t="s">
        <v>5668</v>
      </c>
      <c r="B5664">
        <v>0.99999676499088797</v>
      </c>
      <c r="C5664">
        <v>0.89466631294135701</v>
      </c>
      <c r="D5664">
        <v>0.83079956597298699</v>
      </c>
      <c r="E5664">
        <v>0.59145561768660104</v>
      </c>
      <c r="F5664">
        <v>0.34194792646116701</v>
      </c>
      <c r="G5664">
        <v>0.21994138126988899</v>
      </c>
      <c r="H5664">
        <v>0.14703054172399099</v>
      </c>
      <c r="I5664">
        <v>0.153726282653084</v>
      </c>
      <c r="J5664">
        <v>0.154210228289207</v>
      </c>
      <c r="K5664">
        <v>0.206788896127961</v>
      </c>
      <c r="L5664">
        <v>868.43095429208802</v>
      </c>
      <c r="M5664">
        <v>17.5219379225849</v>
      </c>
      <c r="N5664">
        <v>50.5829177994368</v>
      </c>
      <c r="O5664">
        <v>48.930445410933402</v>
      </c>
      <c r="P5664">
        <v>-7.6200683798671495E-2</v>
      </c>
      <c r="Q5664">
        <v>0.148877473211322</v>
      </c>
      <c r="R5664">
        <v>0.99280594292747704</v>
      </c>
      <c r="S5664" t="s">
        <v>12667</v>
      </c>
      <c r="T5664" t="s">
        <v>14004</v>
      </c>
      <c r="U5664" t="s">
        <v>14004</v>
      </c>
      <c r="V5664" t="s">
        <v>14004</v>
      </c>
      <c r="W5664" t="s">
        <v>19613</v>
      </c>
      <c r="X5664">
        <v>2</v>
      </c>
      <c r="Y5664" t="s">
        <v>26414</v>
      </c>
      <c r="Z5664" t="s">
        <v>33374</v>
      </c>
      <c r="AA5664">
        <v>0.43555628683038983</v>
      </c>
      <c r="AB5664" t="str">
        <f>HYPERLINK("Melting_Curves/meltCurve_Q9BT30_ALKBH7.pdf", "Melting_Curves/meltCurve_Q9BT30_ALKBH7.pdf")</f>
        <v>Melting_Curves/meltCurve_Q9BT30_ALKBH7.pdf</v>
      </c>
    </row>
    <row r="5665" spans="1:28" x14ac:dyDescent="0.25">
      <c r="A5665" t="s">
        <v>5669</v>
      </c>
      <c r="B5665">
        <v>0.99999676499088797</v>
      </c>
      <c r="C5665">
        <v>0.79503548478321595</v>
      </c>
      <c r="D5665">
        <v>0.84396694751748802</v>
      </c>
      <c r="E5665">
        <v>0.81938400618361096</v>
      </c>
      <c r="F5665">
        <v>0.86467664738312999</v>
      </c>
      <c r="G5665">
        <v>0.650732566795727</v>
      </c>
      <c r="H5665">
        <v>0.43482964870792801</v>
      </c>
      <c r="I5665">
        <v>0.41076516576113198</v>
      </c>
      <c r="J5665">
        <v>0.30955833667189803</v>
      </c>
      <c r="K5665">
        <v>0.26470079010304398</v>
      </c>
      <c r="L5665">
        <v>439.02023403081103</v>
      </c>
      <c r="M5665">
        <v>7.2464839557716401</v>
      </c>
      <c r="N5665">
        <v>60.583896504645303</v>
      </c>
      <c r="O5665">
        <v>56.480725749430299</v>
      </c>
      <c r="P5665">
        <v>-3.2127393483697399E-2</v>
      </c>
      <c r="Q5665">
        <v>0</v>
      </c>
      <c r="R5665">
        <v>0.91620671120080499</v>
      </c>
      <c r="S5665" t="s">
        <v>12668</v>
      </c>
      <c r="T5665" t="s">
        <v>14004</v>
      </c>
      <c r="U5665" t="s">
        <v>14004</v>
      </c>
      <c r="V5665" t="s">
        <v>14004</v>
      </c>
      <c r="W5665" t="s">
        <v>19614</v>
      </c>
      <c r="X5665">
        <v>5</v>
      </c>
      <c r="Y5665" t="s">
        <v>26415</v>
      </c>
      <c r="Z5665" t="s">
        <v>33375</v>
      </c>
      <c r="AA5665">
        <v>0.65841301801769281</v>
      </c>
      <c r="AB5665" t="str">
        <f>HYPERLINK("Melting_Curves/meltCurve_Q9BT73_PSMG3.pdf", "Melting_Curves/meltCurve_Q9BT73_PSMG3.pdf")</f>
        <v>Melting_Curves/meltCurve_Q9BT73_PSMG3.pdf</v>
      </c>
    </row>
    <row r="5666" spans="1:28" x14ac:dyDescent="0.25">
      <c r="A5666" t="s">
        <v>5670</v>
      </c>
      <c r="B5666">
        <v>0.99999676499088797</v>
      </c>
      <c r="C5666">
        <v>0.929044874419651</v>
      </c>
      <c r="D5666">
        <v>0.96988628772947805</v>
      </c>
      <c r="E5666">
        <v>1.2171099935149401</v>
      </c>
      <c r="F5666">
        <v>0.67340061043999999</v>
      </c>
      <c r="G5666">
        <v>0.238765962697916</v>
      </c>
      <c r="H5666">
        <v>0.102588014352596</v>
      </c>
      <c r="I5666">
        <v>7.5323685977110602E-2</v>
      </c>
      <c r="J5666">
        <v>6.5609495414315197E-2</v>
      </c>
      <c r="K5666">
        <v>5.8971778697865899E-2</v>
      </c>
      <c r="L5666">
        <v>2303.8255162403502</v>
      </c>
      <c r="M5666">
        <v>42.497093846697702</v>
      </c>
      <c r="N5666">
        <v>54.434796119937602</v>
      </c>
      <c r="O5666">
        <v>54.091744833176101</v>
      </c>
      <c r="P5666">
        <v>-0.18069222041578001</v>
      </c>
      <c r="Q5666">
        <v>8.0036820431412595E-2</v>
      </c>
      <c r="R5666">
        <v>0.96691288352018701</v>
      </c>
      <c r="S5666" t="s">
        <v>12669</v>
      </c>
      <c r="T5666" t="s">
        <v>14004</v>
      </c>
      <c r="U5666" t="s">
        <v>14004</v>
      </c>
      <c r="V5666" t="s">
        <v>14004</v>
      </c>
      <c r="W5666" t="s">
        <v>19615</v>
      </c>
      <c r="X5666">
        <v>25</v>
      </c>
      <c r="Y5666" t="s">
        <v>26416</v>
      </c>
      <c r="Z5666" t="s">
        <v>33376</v>
      </c>
      <c r="AA5666">
        <v>0.51888171749674006</v>
      </c>
      <c r="AB5666" t="str">
        <f>HYPERLINK("Melting_Curves/meltCurve_Q9BT78_COPS4.pdf", "Melting_Curves/meltCurve_Q9BT78_COPS4.pdf")</f>
        <v>Melting_Curves/meltCurve_Q9BT78_COPS4.pdf</v>
      </c>
    </row>
    <row r="5667" spans="1:28" x14ac:dyDescent="0.25">
      <c r="A5667" t="s">
        <v>5671</v>
      </c>
      <c r="B5667">
        <v>0.99999676499088797</v>
      </c>
      <c r="C5667">
        <v>1.02696081563505</v>
      </c>
      <c r="D5667">
        <v>0.76227080767283095</v>
      </c>
      <c r="E5667">
        <v>0.38399347152739599</v>
      </c>
      <c r="F5667">
        <v>0.31199979837275899</v>
      </c>
      <c r="G5667">
        <v>0.30426150567173199</v>
      </c>
      <c r="H5667">
        <v>0.26194490498232498</v>
      </c>
      <c r="I5667">
        <v>0.298901781877008</v>
      </c>
      <c r="J5667">
        <v>0.39491935497623798</v>
      </c>
      <c r="K5667">
        <v>0.46687849267299802</v>
      </c>
      <c r="L5667">
        <v>2357.05232641883</v>
      </c>
      <c r="M5667">
        <v>50.641117982877297</v>
      </c>
      <c r="N5667">
        <v>47.6261232494385</v>
      </c>
      <c r="O5667">
        <v>46.471830702681302</v>
      </c>
      <c r="P5667">
        <v>-0.17932840845581199</v>
      </c>
      <c r="Q5667">
        <v>0.34174338820169797</v>
      </c>
      <c r="R5667">
        <v>0.96123338628439603</v>
      </c>
      <c r="S5667" t="s">
        <v>12670</v>
      </c>
      <c r="T5667" t="s">
        <v>14004</v>
      </c>
      <c r="U5667" t="s">
        <v>14004</v>
      </c>
      <c r="V5667" t="s">
        <v>14004</v>
      </c>
      <c r="W5667" t="s">
        <v>19616</v>
      </c>
      <c r="X5667">
        <v>1</v>
      </c>
      <c r="Y5667" t="s">
        <v>26417</v>
      </c>
      <c r="Z5667" t="s">
        <v>33377</v>
      </c>
      <c r="AA5667">
        <v>0.48665725508914198</v>
      </c>
      <c r="AB5667" t="str">
        <f>HYPERLINK("Melting_Curves/meltCurve_Q9BT92_TCHP.pdf", "Melting_Curves/meltCurve_Q9BT92_TCHP.pdf")</f>
        <v>Melting_Curves/meltCurve_Q9BT92_TCHP.pdf</v>
      </c>
    </row>
    <row r="5668" spans="1:28" x14ac:dyDescent="0.25">
      <c r="A5668" t="s">
        <v>5672</v>
      </c>
      <c r="B5668">
        <v>0.99999676499088797</v>
      </c>
      <c r="C5668">
        <v>0.81564054505475603</v>
      </c>
      <c r="D5668">
        <v>0.70225461733177796</v>
      </c>
      <c r="E5668">
        <v>0.26260902360711702</v>
      </c>
      <c r="F5668">
        <v>0.32037423364564099</v>
      </c>
      <c r="G5668">
        <v>0.318133691740069</v>
      </c>
      <c r="H5668">
        <v>0.13365404547944201</v>
      </c>
      <c r="I5668">
        <v>0.18936507115099099</v>
      </c>
      <c r="J5668">
        <v>0.180485471449085</v>
      </c>
      <c r="K5668">
        <v>0.225777195650394</v>
      </c>
      <c r="L5668">
        <v>974.94951050059399</v>
      </c>
      <c r="M5668">
        <v>21.0522776986891</v>
      </c>
      <c r="N5668">
        <v>47.5046175605233</v>
      </c>
      <c r="O5668">
        <v>45.899088598878699</v>
      </c>
      <c r="P5668">
        <v>-9.1115090026209905E-2</v>
      </c>
      <c r="Q5668">
        <v>0.20540880210999299</v>
      </c>
      <c r="R5668">
        <v>0.95223150788390898</v>
      </c>
      <c r="S5668" t="s">
        <v>12671</v>
      </c>
      <c r="T5668" t="s">
        <v>14004</v>
      </c>
      <c r="U5668" t="s">
        <v>14004</v>
      </c>
      <c r="V5668" t="s">
        <v>14004</v>
      </c>
      <c r="W5668" t="s">
        <v>19617</v>
      </c>
      <c r="X5668">
        <v>6</v>
      </c>
      <c r="Y5668" t="s">
        <v>26418</v>
      </c>
      <c r="Z5668" t="s">
        <v>33378</v>
      </c>
      <c r="AA5668">
        <v>0.38327349713795178</v>
      </c>
      <c r="AB5668" t="str">
        <f>HYPERLINK("Melting_Curves/meltCurve_Q9BTA9_WAC.pdf", "Melting_Curves/meltCurve_Q9BTA9_WAC.pdf")</f>
        <v>Melting_Curves/meltCurve_Q9BTA9_WAC.pdf</v>
      </c>
    </row>
    <row r="5669" spans="1:28" x14ac:dyDescent="0.25">
      <c r="A5669" t="s">
        <v>5673</v>
      </c>
      <c r="B5669">
        <v>0.99999676499088797</v>
      </c>
      <c r="C5669">
        <v>0.89266358905743903</v>
      </c>
      <c r="D5669">
        <v>0.58843970326310002</v>
      </c>
      <c r="E5669">
        <v>0.20539766259004499</v>
      </c>
      <c r="F5669">
        <v>0.15727657906995601</v>
      </c>
      <c r="G5669">
        <v>0.122517541975549</v>
      </c>
      <c r="H5669">
        <v>7.7956861067554603E-2</v>
      </c>
      <c r="I5669">
        <v>9.1625366096606597E-2</v>
      </c>
      <c r="J5669">
        <v>0.105829648668626</v>
      </c>
      <c r="K5669">
        <v>0.110955303516626</v>
      </c>
      <c r="L5669">
        <v>1261.6035722822801</v>
      </c>
      <c r="M5669">
        <v>27.300261171563498</v>
      </c>
      <c r="N5669">
        <v>46.607988170513998</v>
      </c>
      <c r="O5669">
        <v>45.966321462041897</v>
      </c>
      <c r="P5669">
        <v>-0.13311736298122301</v>
      </c>
      <c r="Q5669">
        <v>0.103472683934903</v>
      </c>
      <c r="R5669">
        <v>0.99765944266502005</v>
      </c>
      <c r="S5669" t="s">
        <v>12672</v>
      </c>
      <c r="T5669" t="s">
        <v>14004</v>
      </c>
      <c r="U5669" t="s">
        <v>14004</v>
      </c>
      <c r="V5669" t="s">
        <v>14004</v>
      </c>
      <c r="W5669" t="s">
        <v>19618</v>
      </c>
      <c r="X5669">
        <v>6</v>
      </c>
      <c r="Y5669" t="s">
        <v>26418</v>
      </c>
      <c r="Z5669" t="s">
        <v>33379</v>
      </c>
      <c r="AA5669">
        <v>0.29583035879993319</v>
      </c>
      <c r="AB5669" t="str">
        <f>HYPERLINK("Melting_Curves/meltCurve_Q9BTA9_5_WAC.pdf", "Melting_Curves/meltCurve_Q9BTA9_5_WAC.pdf")</f>
        <v>Melting_Curves/meltCurve_Q9BTA9_5_WAC.pdf</v>
      </c>
    </row>
    <row r="5670" spans="1:28" x14ac:dyDescent="0.25">
      <c r="A5670" t="s">
        <v>5674</v>
      </c>
      <c r="B5670">
        <v>0.99999676499088797</v>
      </c>
      <c r="C5670">
        <v>0.90451946439341102</v>
      </c>
      <c r="D5670">
        <v>0.72958175440018302</v>
      </c>
      <c r="E5670">
        <v>0.422657896333761</v>
      </c>
      <c r="F5670">
        <v>0.30086198278175103</v>
      </c>
      <c r="G5670">
        <v>0.23469017812147799</v>
      </c>
      <c r="H5670">
        <v>0.17055988256869301</v>
      </c>
      <c r="I5670">
        <v>0.18551790402464599</v>
      </c>
      <c r="J5670">
        <v>0.180124620809059</v>
      </c>
      <c r="K5670">
        <v>0.187163489058564</v>
      </c>
      <c r="L5670">
        <v>904.34766923193501</v>
      </c>
      <c r="M5670">
        <v>18.991273613234501</v>
      </c>
      <c r="N5670">
        <v>48.772996666108298</v>
      </c>
      <c r="O5670">
        <v>47.1005657234833</v>
      </c>
      <c r="P5670">
        <v>-8.2563683272380894E-2</v>
      </c>
      <c r="Q5670">
        <v>0.18096278476893801</v>
      </c>
      <c r="R5670">
        <v>0.99758207944457999</v>
      </c>
      <c r="S5670" t="s">
        <v>12673</v>
      </c>
      <c r="T5670" t="s">
        <v>14004</v>
      </c>
      <c r="U5670" t="s">
        <v>14004</v>
      </c>
      <c r="V5670" t="s">
        <v>14004</v>
      </c>
      <c r="W5670" t="s">
        <v>19619</v>
      </c>
      <c r="X5670">
        <v>33</v>
      </c>
      <c r="Y5670" t="s">
        <v>26419</v>
      </c>
      <c r="Z5670" t="s">
        <v>33380</v>
      </c>
      <c r="AA5670">
        <v>0.40210126152992959</v>
      </c>
      <c r="AB5670" t="str">
        <f>HYPERLINK("Melting_Curves/meltCurve_Q9BTC0_DIDO1.pdf", "Melting_Curves/meltCurve_Q9BTC0_DIDO1.pdf")</f>
        <v>Melting_Curves/meltCurve_Q9BTC0_DIDO1.pdf</v>
      </c>
    </row>
    <row r="5671" spans="1:28" x14ac:dyDescent="0.25">
      <c r="A5671" t="s">
        <v>5675</v>
      </c>
      <c r="B5671">
        <v>0.99999676499088797</v>
      </c>
      <c r="C5671">
        <v>0.94186257368677295</v>
      </c>
      <c r="D5671">
        <v>0.912989584527238</v>
      </c>
      <c r="E5671">
        <v>0.92349089961280495</v>
      </c>
      <c r="F5671">
        <v>0.86280348222472403</v>
      </c>
      <c r="G5671">
        <v>0.738887619916335</v>
      </c>
      <c r="H5671">
        <v>0.50370157644229596</v>
      </c>
      <c r="I5671">
        <v>0.44943619150538699</v>
      </c>
      <c r="J5671">
        <v>0.21760054312258001</v>
      </c>
      <c r="K5671">
        <v>0.11512041562323901</v>
      </c>
      <c r="L5671">
        <v>768.145609023519</v>
      </c>
      <c r="M5671">
        <v>12.5482754033955</v>
      </c>
      <c r="N5671">
        <v>61.215233575985202</v>
      </c>
      <c r="O5671">
        <v>59.722957821271301</v>
      </c>
      <c r="P5671">
        <v>-5.2537675508913098E-2</v>
      </c>
      <c r="Q5671">
        <v>0</v>
      </c>
      <c r="R5671">
        <v>0.97842730544072198</v>
      </c>
      <c r="S5671" t="s">
        <v>12674</v>
      </c>
      <c r="T5671" t="s">
        <v>14004</v>
      </c>
      <c r="U5671" t="s">
        <v>14004</v>
      </c>
      <c r="V5671" t="s">
        <v>14004</v>
      </c>
      <c r="W5671" t="s">
        <v>19620</v>
      </c>
      <c r="X5671">
        <v>7</v>
      </c>
      <c r="Y5671" t="s">
        <v>26420</v>
      </c>
      <c r="Z5671" t="s">
        <v>33381</v>
      </c>
      <c r="AA5671">
        <v>0.70334950613330904</v>
      </c>
      <c r="AB5671" t="str">
        <f>HYPERLINK("Melting_Curves/meltCurve_Q9BTE1_DCTN5.pdf", "Melting_Curves/meltCurve_Q9BTE1_DCTN5.pdf")</f>
        <v>Melting_Curves/meltCurve_Q9BTE1_DCTN5.pdf</v>
      </c>
    </row>
    <row r="5672" spans="1:28" x14ac:dyDescent="0.25">
      <c r="A5672" t="s">
        <v>5676</v>
      </c>
      <c r="B5672">
        <v>0.99999676499088797</v>
      </c>
      <c r="C5672">
        <v>0.98802728148574603</v>
      </c>
      <c r="D5672">
        <v>0.90295795773242604</v>
      </c>
      <c r="E5672">
        <v>0.69864284856035497</v>
      </c>
      <c r="F5672">
        <v>0.30908425219105701</v>
      </c>
      <c r="G5672">
        <v>0.18731058020472799</v>
      </c>
      <c r="H5672">
        <v>8.7292656908427094E-2</v>
      </c>
      <c r="I5672">
        <v>8.8695698993315905E-2</v>
      </c>
      <c r="J5672">
        <v>7.8393819748287102E-2</v>
      </c>
      <c r="K5672">
        <v>6.4093762051868994E-2</v>
      </c>
      <c r="L5672">
        <v>1131.8761540514499</v>
      </c>
      <c r="M5672">
        <v>22.1943540888402</v>
      </c>
      <c r="N5672">
        <v>51.358597304904599</v>
      </c>
      <c r="O5672">
        <v>50.589770626320202</v>
      </c>
      <c r="P5672">
        <v>-0.10177497969871099</v>
      </c>
      <c r="Q5672">
        <v>7.2077084900087199E-2</v>
      </c>
      <c r="R5672">
        <v>0.99817709751190997</v>
      </c>
      <c r="S5672" t="s">
        <v>12675</v>
      </c>
      <c r="T5672" t="s">
        <v>14004</v>
      </c>
      <c r="U5672" t="s">
        <v>14004</v>
      </c>
      <c r="V5672" t="s">
        <v>14004</v>
      </c>
      <c r="W5672" t="s">
        <v>19621</v>
      </c>
      <c r="X5672">
        <v>21</v>
      </c>
      <c r="Y5672" t="s">
        <v>26421</v>
      </c>
      <c r="Z5672" t="s">
        <v>33382</v>
      </c>
      <c r="AA5672">
        <v>0.4228353068731413</v>
      </c>
      <c r="AB5672" t="str">
        <f>HYPERLINK("Melting_Curves/meltCurve_Q9BTE3_2_MCMBP.pdf", "Melting_Curves/meltCurve_Q9BTE3_2_MCMBP.pdf")</f>
        <v>Melting_Curves/meltCurve_Q9BTE3_2_MCMBP.pdf</v>
      </c>
    </row>
    <row r="5673" spans="1:28" x14ac:dyDescent="0.25">
      <c r="A5673" t="s">
        <v>5677</v>
      </c>
      <c r="B5673">
        <v>0.99999676499088797</v>
      </c>
      <c r="C5673">
        <v>0.94243992831191203</v>
      </c>
      <c r="D5673">
        <v>0.88491689097506698</v>
      </c>
      <c r="E5673">
        <v>0.53969712948512405</v>
      </c>
      <c r="F5673">
        <v>0.249655967753939</v>
      </c>
      <c r="G5673">
        <v>0.186448168457859</v>
      </c>
      <c r="H5673">
        <v>8.2526224537767506E-2</v>
      </c>
      <c r="I5673">
        <v>7.4782307543012794E-2</v>
      </c>
      <c r="J5673">
        <v>6.0280602358097402E-2</v>
      </c>
      <c r="K5673">
        <v>5.2196364840269703E-2</v>
      </c>
      <c r="L5673">
        <v>1010.92952466893</v>
      </c>
      <c r="M5673">
        <v>20.287862088140201</v>
      </c>
      <c r="N5673">
        <v>50.1711572244715</v>
      </c>
      <c r="O5673">
        <v>49.352747096773598</v>
      </c>
      <c r="P5673">
        <v>-9.6138067512399894E-2</v>
      </c>
      <c r="Q5673">
        <v>6.4557973816283795E-2</v>
      </c>
      <c r="R5673">
        <v>0.996527941851719</v>
      </c>
      <c r="S5673" t="s">
        <v>12676</v>
      </c>
      <c r="T5673" t="s">
        <v>14004</v>
      </c>
      <c r="U5673" t="s">
        <v>14004</v>
      </c>
      <c r="V5673" t="s">
        <v>14004</v>
      </c>
      <c r="W5673" t="s">
        <v>19622</v>
      </c>
      <c r="X5673">
        <v>20</v>
      </c>
      <c r="Y5673" t="s">
        <v>26422</v>
      </c>
      <c r="Z5673" t="s">
        <v>33383</v>
      </c>
      <c r="AA5673">
        <v>0.38371918049020221</v>
      </c>
      <c r="AB5673" t="str">
        <f>HYPERLINK("Melting_Curves/meltCurve_Q9BTE6_AARSD1.pdf", "Melting_Curves/meltCurve_Q9BTE6_AARSD1.pdf")</f>
        <v>Melting_Curves/meltCurve_Q9BTE6_AARSD1.pdf</v>
      </c>
    </row>
    <row r="5674" spans="1:28" x14ac:dyDescent="0.25">
      <c r="A5674" t="s">
        <v>5678</v>
      </c>
      <c r="B5674">
        <v>0.99999676499088797</v>
      </c>
      <c r="C5674">
        <v>0.83463507735546005</v>
      </c>
      <c r="D5674">
        <v>0.50976023678632099</v>
      </c>
      <c r="E5674">
        <v>0.41508320063468301</v>
      </c>
      <c r="F5674">
        <v>0.30567556473019297</v>
      </c>
      <c r="G5674">
        <v>0.283698094314428</v>
      </c>
      <c r="H5674">
        <v>0.13766850593268801</v>
      </c>
      <c r="I5674">
        <v>8.43798102994055E-2</v>
      </c>
      <c r="J5674">
        <v>6.7451440710791497E-2</v>
      </c>
      <c r="K5674">
        <v>4.9648218766894202E-2</v>
      </c>
      <c r="L5674">
        <v>538.40625889826003</v>
      </c>
      <c r="M5674">
        <v>11.290518387071801</v>
      </c>
      <c r="N5674">
        <v>48.193439950836698</v>
      </c>
      <c r="O5674">
        <v>46.264076733171798</v>
      </c>
      <c r="P5674">
        <v>-5.7613392376462499E-2</v>
      </c>
      <c r="Q5674">
        <v>5.59805333261034E-2</v>
      </c>
      <c r="R5674">
        <v>0.96282615625854595</v>
      </c>
      <c r="S5674" t="s">
        <v>12677</v>
      </c>
      <c r="T5674" t="s">
        <v>14004</v>
      </c>
      <c r="U5674" t="s">
        <v>14004</v>
      </c>
      <c r="V5674" t="s">
        <v>14004</v>
      </c>
      <c r="W5674" t="s">
        <v>19623</v>
      </c>
      <c r="X5674">
        <v>5</v>
      </c>
      <c r="Y5674" t="s">
        <v>26423</v>
      </c>
      <c r="Z5674" t="s">
        <v>33384</v>
      </c>
      <c r="AA5674">
        <v>0.33984397165909402</v>
      </c>
      <c r="AB5674" t="str">
        <f>HYPERLINK("Melting_Curves/meltCurve_Q9BTE7_DCUN1D5.pdf", "Melting_Curves/meltCurve_Q9BTE7_DCUN1D5.pdf")</f>
        <v>Melting_Curves/meltCurve_Q9BTE7_DCUN1D5.pdf</v>
      </c>
    </row>
    <row r="5675" spans="1:28" x14ac:dyDescent="0.25">
      <c r="A5675" t="s">
        <v>5679</v>
      </c>
      <c r="B5675">
        <v>0.99999676499088797</v>
      </c>
      <c r="C5675">
        <v>0.89403736615875096</v>
      </c>
      <c r="D5675">
        <v>0.92250551413799198</v>
      </c>
      <c r="E5675">
        <v>1.0557002898150001</v>
      </c>
      <c r="F5675">
        <v>0.96499267782635501</v>
      </c>
      <c r="G5675">
        <v>0.90178745445101205</v>
      </c>
      <c r="H5675">
        <v>0.64477938527533596</v>
      </c>
      <c r="I5675">
        <v>0.57295618171857499</v>
      </c>
      <c r="J5675">
        <v>0.60063021386357895</v>
      </c>
      <c r="K5675">
        <v>0.76066318605708105</v>
      </c>
      <c r="L5675">
        <v>4926.0263110286196</v>
      </c>
      <c r="M5675">
        <v>85.765563098683501</v>
      </c>
      <c r="O5675">
        <v>57.4047283792328</v>
      </c>
      <c r="P5675">
        <v>-0.132971139494833</v>
      </c>
      <c r="Q5675">
        <v>0.64399822553387098</v>
      </c>
      <c r="R5675">
        <v>0.84619684191627798</v>
      </c>
      <c r="S5675" t="s">
        <v>12678</v>
      </c>
      <c r="T5675" t="s">
        <v>14004</v>
      </c>
      <c r="U5675" t="s">
        <v>14004</v>
      </c>
      <c r="V5675" t="s">
        <v>14004</v>
      </c>
      <c r="W5675" t="s">
        <v>19624</v>
      </c>
      <c r="X5675">
        <v>4</v>
      </c>
      <c r="Y5675" t="s">
        <v>26424</v>
      </c>
      <c r="Z5675" t="s">
        <v>33385</v>
      </c>
      <c r="AA5675">
        <v>0.85121123368034846</v>
      </c>
      <c r="AB5675" t="str">
        <f>HYPERLINK("Melting_Curves/meltCurve_Q9BTL3_FAM103A1.pdf", "Melting_Curves/meltCurve_Q9BTL3_FAM103A1.pdf")</f>
        <v>Melting_Curves/meltCurve_Q9BTL3_FAM103A1.pdf</v>
      </c>
    </row>
    <row r="5676" spans="1:28" x14ac:dyDescent="0.25">
      <c r="A5676" t="s">
        <v>5680</v>
      </c>
      <c r="B5676">
        <v>0.99999676499088797</v>
      </c>
      <c r="C5676">
        <v>1.07109242472085</v>
      </c>
      <c r="D5676">
        <v>1.1525952083561899</v>
      </c>
      <c r="E5676">
        <v>1.25876676029817</v>
      </c>
      <c r="F5676">
        <v>1.0171093289856601</v>
      </c>
      <c r="G5676">
        <v>0.89380242068591098</v>
      </c>
      <c r="H5676">
        <v>0.531431591943895</v>
      </c>
      <c r="I5676">
        <v>0.36576444877983499</v>
      </c>
      <c r="J5676">
        <v>0.31999658097693401</v>
      </c>
      <c r="K5676">
        <v>0.26915121632554601</v>
      </c>
      <c r="L5676">
        <v>2078.3460490337902</v>
      </c>
      <c r="M5676">
        <v>34.804977823061598</v>
      </c>
      <c r="N5676">
        <v>61.2325989144679</v>
      </c>
      <c r="O5676">
        <v>59.517948839653997</v>
      </c>
      <c r="P5676">
        <v>-0.103932969632388</v>
      </c>
      <c r="Q5676">
        <v>0.289083893801176</v>
      </c>
      <c r="R5676">
        <v>0.92363520581750103</v>
      </c>
      <c r="S5676" t="s">
        <v>12679</v>
      </c>
      <c r="T5676" t="s">
        <v>14004</v>
      </c>
      <c r="U5676" t="s">
        <v>14004</v>
      </c>
      <c r="V5676" t="s">
        <v>14004</v>
      </c>
      <c r="W5676" t="s">
        <v>19625</v>
      </c>
      <c r="X5676">
        <v>2</v>
      </c>
      <c r="Y5676" t="s">
        <v>26425</v>
      </c>
      <c r="Z5676" t="s">
        <v>33386</v>
      </c>
      <c r="AA5676">
        <v>0.75977965235050915</v>
      </c>
      <c r="AB5676" t="str">
        <f>HYPERLINK("Melting_Curves/meltCurve_Q9BTN0_LRFN3.pdf", "Melting_Curves/meltCurve_Q9BTN0_LRFN3.pdf")</f>
        <v>Melting_Curves/meltCurve_Q9BTN0_LRFN3.pdf</v>
      </c>
    </row>
    <row r="5677" spans="1:28" x14ac:dyDescent="0.25">
      <c r="A5677" t="s">
        <v>5681</v>
      </c>
      <c r="B5677">
        <v>0.99999676499088797</v>
      </c>
      <c r="C5677">
        <v>0.87982082190565603</v>
      </c>
      <c r="D5677">
        <v>0.47050582021265602</v>
      </c>
      <c r="E5677">
        <v>0.25261545642995598</v>
      </c>
      <c r="F5677">
        <v>0.19875635744940801</v>
      </c>
      <c r="G5677">
        <v>0.13191368170176901</v>
      </c>
      <c r="H5677">
        <v>8.1041714947977003E-2</v>
      </c>
      <c r="I5677">
        <v>5.8135543299857297E-2</v>
      </c>
      <c r="J5677">
        <v>4.7671737014450197E-2</v>
      </c>
      <c r="K5677">
        <v>5.3907142176089502E-2</v>
      </c>
      <c r="L5677">
        <v>997.68496961193205</v>
      </c>
      <c r="M5677">
        <v>21.746187195051</v>
      </c>
      <c r="N5677">
        <v>46.2651985609821</v>
      </c>
      <c r="O5677">
        <v>45.4959324851745</v>
      </c>
      <c r="P5677">
        <v>-0.10957008032042</v>
      </c>
      <c r="Q5677">
        <v>8.3080328813394402E-2</v>
      </c>
      <c r="R5677">
        <v>0.98532870837387698</v>
      </c>
      <c r="S5677" t="s">
        <v>12680</v>
      </c>
      <c r="T5677" t="s">
        <v>14004</v>
      </c>
      <c r="U5677" t="s">
        <v>14004</v>
      </c>
      <c r="V5677" t="s">
        <v>14004</v>
      </c>
      <c r="W5677" t="s">
        <v>19626</v>
      </c>
      <c r="X5677">
        <v>6</v>
      </c>
      <c r="Y5677" t="s">
        <v>26426</v>
      </c>
      <c r="Z5677" t="s">
        <v>33387</v>
      </c>
      <c r="AA5677">
        <v>0.27454082221784382</v>
      </c>
      <c r="AB5677" t="str">
        <f>HYPERLINK("Melting_Curves/meltCurve_Q9BTT0_ANP32E.pdf", "Melting_Curves/meltCurve_Q9BTT0_ANP32E.pdf")</f>
        <v>Melting_Curves/meltCurve_Q9BTT0_ANP32E.pdf</v>
      </c>
    </row>
    <row r="5678" spans="1:28" x14ac:dyDescent="0.25">
      <c r="A5678" t="s">
        <v>5682</v>
      </c>
      <c r="B5678">
        <v>0.99999676499088797</v>
      </c>
      <c r="C5678">
        <v>1.0803221547872199</v>
      </c>
      <c r="D5678">
        <v>1.0385517433876199</v>
      </c>
      <c r="E5678">
        <v>0.93155089142278302</v>
      </c>
      <c r="F5678">
        <v>0.69236257759053099</v>
      </c>
      <c r="G5678">
        <v>0.49767516381766702</v>
      </c>
      <c r="H5678">
        <v>0.277061163657156</v>
      </c>
      <c r="I5678">
        <v>0.25391782268356999</v>
      </c>
      <c r="J5678">
        <v>0.20617025400641101</v>
      </c>
      <c r="K5678">
        <v>0.243446953276093</v>
      </c>
      <c r="L5678">
        <v>1173.3078329833299</v>
      </c>
      <c r="M5678">
        <v>21.433358651828101</v>
      </c>
      <c r="N5678">
        <v>56.212919416028903</v>
      </c>
      <c r="O5678">
        <v>54.2722890474558</v>
      </c>
      <c r="P5678">
        <v>-7.7543083092414505E-2</v>
      </c>
      <c r="Q5678">
        <v>0.21461934011626599</v>
      </c>
      <c r="R5678">
        <v>0.98898452937258396</v>
      </c>
      <c r="S5678" t="s">
        <v>12681</v>
      </c>
      <c r="T5678" t="s">
        <v>14004</v>
      </c>
      <c r="U5678" t="s">
        <v>14004</v>
      </c>
      <c r="V5678" t="s">
        <v>14004</v>
      </c>
      <c r="W5678" t="s">
        <v>19627</v>
      </c>
      <c r="X5678">
        <v>2</v>
      </c>
      <c r="Y5678" t="s">
        <v>26427</v>
      </c>
      <c r="Z5678" t="s">
        <v>33388</v>
      </c>
      <c r="AA5678">
        <v>0.60999803442393175</v>
      </c>
      <c r="AB5678" t="str">
        <f>HYPERLINK("Melting_Curves/meltCurve_Q9BTT4_MED10.pdf", "Melting_Curves/meltCurve_Q9BTT4_MED10.pdf")</f>
        <v>Melting_Curves/meltCurve_Q9BTT4_MED10.pdf</v>
      </c>
    </row>
    <row r="5679" spans="1:28" x14ac:dyDescent="0.25">
      <c r="A5679" t="s">
        <v>5683</v>
      </c>
      <c r="B5679">
        <v>0.99999676499088797</v>
      </c>
      <c r="C5679">
        <v>1.00079117943079</v>
      </c>
      <c r="D5679">
        <v>0.90212742591191697</v>
      </c>
      <c r="E5679">
        <v>0.59345773737760599</v>
      </c>
      <c r="F5679">
        <v>0.29179847309412499</v>
      </c>
      <c r="G5679">
        <v>0.20823834032208899</v>
      </c>
      <c r="H5679">
        <v>6.7406657939953901E-2</v>
      </c>
      <c r="I5679">
        <v>8.5984631333297201E-2</v>
      </c>
      <c r="J5679">
        <v>0.10528895680465</v>
      </c>
      <c r="K5679">
        <v>6.4801267221084397E-2</v>
      </c>
      <c r="L5679">
        <v>1061.49293202127</v>
      </c>
      <c r="M5679">
        <v>21.104494464916002</v>
      </c>
      <c r="N5679">
        <v>50.7179705736418</v>
      </c>
      <c r="O5679">
        <v>49.851952137688798</v>
      </c>
      <c r="P5679">
        <v>-9.7335333927017806E-2</v>
      </c>
      <c r="Q5679">
        <v>8.0342102062944704E-2</v>
      </c>
      <c r="R5679">
        <v>0.99591702018272998</v>
      </c>
      <c r="S5679" t="s">
        <v>12682</v>
      </c>
      <c r="T5679" t="s">
        <v>14004</v>
      </c>
      <c r="U5679" t="s">
        <v>14004</v>
      </c>
      <c r="V5679" t="s">
        <v>14004</v>
      </c>
      <c r="W5679" t="s">
        <v>19628</v>
      </c>
      <c r="X5679">
        <v>4</v>
      </c>
      <c r="Y5679" t="s">
        <v>26428</v>
      </c>
      <c r="Z5679" t="s">
        <v>33389</v>
      </c>
      <c r="AA5679">
        <v>0.40752360247957697</v>
      </c>
      <c r="AB5679" t="str">
        <f>HYPERLINK("Melting_Curves/meltCurve_Q9BTT6_LRRC1.pdf", "Melting_Curves/meltCurve_Q9BTT6_LRRC1.pdf")</f>
        <v>Melting_Curves/meltCurve_Q9BTT6_LRRC1.pdf</v>
      </c>
    </row>
    <row r="5680" spans="1:28" x14ac:dyDescent="0.25">
      <c r="A5680" t="s">
        <v>5684</v>
      </c>
      <c r="B5680">
        <v>0.99999676499088797</v>
      </c>
      <c r="C5680">
        <v>0.96064740689640804</v>
      </c>
      <c r="D5680">
        <v>0.99106713034931104</v>
      </c>
      <c r="E5680">
        <v>1.0863090013452199</v>
      </c>
      <c r="F5680">
        <v>0.90071614339766104</v>
      </c>
      <c r="G5680">
        <v>0.37854191460983699</v>
      </c>
      <c r="H5680">
        <v>0.113267279100567</v>
      </c>
      <c r="I5680">
        <v>0.105733257325458</v>
      </c>
      <c r="J5680">
        <v>0.101268459733993</v>
      </c>
      <c r="K5680">
        <v>7.3904652980470803E-2</v>
      </c>
      <c r="L5680">
        <v>2492.0667853699802</v>
      </c>
      <c r="M5680">
        <v>44.657603350182498</v>
      </c>
      <c r="N5680">
        <v>56.059692235023803</v>
      </c>
      <c r="O5680">
        <v>55.692304602790401</v>
      </c>
      <c r="P5680">
        <v>-0.1819862060455</v>
      </c>
      <c r="Q5680">
        <v>9.2184284357162402E-2</v>
      </c>
      <c r="R5680">
        <v>0.99435483528002699</v>
      </c>
      <c r="S5680" t="s">
        <v>12683</v>
      </c>
      <c r="T5680" t="s">
        <v>14004</v>
      </c>
      <c r="U5680" t="s">
        <v>14004</v>
      </c>
      <c r="V5680" t="s">
        <v>14004</v>
      </c>
      <c r="W5680" t="s">
        <v>19629</v>
      </c>
      <c r="X5680">
        <v>14</v>
      </c>
      <c r="Y5680" t="s">
        <v>26429</v>
      </c>
      <c r="Z5680" t="s">
        <v>33390</v>
      </c>
      <c r="AA5680">
        <v>0.57321537046008353</v>
      </c>
      <c r="AB5680" t="str">
        <f>HYPERLINK("Melting_Curves/meltCurve_Q9BTU6_PI4K2A.pdf", "Melting_Curves/meltCurve_Q9BTU6_PI4K2A.pdf")</f>
        <v>Melting_Curves/meltCurve_Q9BTU6_PI4K2A.pdf</v>
      </c>
    </row>
    <row r="5681" spans="1:28" x14ac:dyDescent="0.25">
      <c r="A5681" t="s">
        <v>5685</v>
      </c>
      <c r="B5681">
        <v>0.99999676499088797</v>
      </c>
      <c r="C5681">
        <v>0.96889735130593202</v>
      </c>
      <c r="D5681">
        <v>0.92283224548151499</v>
      </c>
      <c r="E5681">
        <v>0.58436773408633402</v>
      </c>
      <c r="F5681">
        <v>0.415513366010684</v>
      </c>
      <c r="G5681">
        <v>0.24952389766664501</v>
      </c>
      <c r="H5681">
        <v>0.13051277704880099</v>
      </c>
      <c r="I5681">
        <v>0.121314641681369</v>
      </c>
      <c r="J5681">
        <v>9.1749149769489793E-2</v>
      </c>
      <c r="K5681">
        <v>8.8538113501708204E-2</v>
      </c>
      <c r="L5681">
        <v>840.96840899801305</v>
      </c>
      <c r="M5681">
        <v>16.490796307594</v>
      </c>
      <c r="N5681">
        <v>51.567732677951902</v>
      </c>
      <c r="O5681">
        <v>50.264026321602302</v>
      </c>
      <c r="P5681">
        <v>-7.5176031801252305E-2</v>
      </c>
      <c r="Q5681">
        <v>8.3516331776306199E-2</v>
      </c>
      <c r="R5681">
        <v>0.99371474957781403</v>
      </c>
      <c r="S5681" t="s">
        <v>12684</v>
      </c>
      <c r="T5681" t="s">
        <v>14004</v>
      </c>
      <c r="U5681" t="s">
        <v>14004</v>
      </c>
      <c r="V5681" t="s">
        <v>14004</v>
      </c>
      <c r="W5681" t="s">
        <v>19630</v>
      </c>
      <c r="X5681">
        <v>8</v>
      </c>
      <c r="Y5681" t="s">
        <v>26430</v>
      </c>
      <c r="Z5681" t="s">
        <v>33391</v>
      </c>
      <c r="AA5681">
        <v>0.43747872963307721</v>
      </c>
      <c r="AB5681" t="str">
        <f>HYPERLINK("Melting_Curves/meltCurve_Q9BTV4_TMEM43.pdf", "Melting_Curves/meltCurve_Q9BTV4_TMEM43.pdf")</f>
        <v>Melting_Curves/meltCurve_Q9BTV4_TMEM43.pdf</v>
      </c>
    </row>
    <row r="5682" spans="1:28" x14ac:dyDescent="0.25">
      <c r="A5682" t="s">
        <v>5686</v>
      </c>
      <c r="B5682">
        <v>0.99999676499088797</v>
      </c>
      <c r="C5682">
        <v>0.99139157973945902</v>
      </c>
      <c r="D5682">
        <v>0.90862979040846403</v>
      </c>
      <c r="E5682">
        <v>0.47001992715468099</v>
      </c>
      <c r="F5682">
        <v>0.18982752581596299</v>
      </c>
      <c r="G5682">
        <v>0.15253501574126099</v>
      </c>
      <c r="H5682">
        <v>9.5437457025358094E-2</v>
      </c>
      <c r="I5682">
        <v>5.1420091537962599E-2</v>
      </c>
      <c r="J5682">
        <v>4.8803963710047998E-2</v>
      </c>
      <c r="K5682">
        <v>4.7501947737616498E-2</v>
      </c>
      <c r="L5682">
        <v>1344.92218169124</v>
      </c>
      <c r="M5682">
        <v>27.306859428468801</v>
      </c>
      <c r="N5682">
        <v>49.536046150174201</v>
      </c>
      <c r="O5682">
        <v>48.990316475647198</v>
      </c>
      <c r="P5682">
        <v>-0.129256938353566</v>
      </c>
      <c r="Q5682">
        <v>7.2426906247649206E-2</v>
      </c>
      <c r="R5682">
        <v>0.99576894139412797</v>
      </c>
      <c r="S5682" t="s">
        <v>12685</v>
      </c>
      <c r="T5682" t="s">
        <v>14004</v>
      </c>
      <c r="U5682" t="s">
        <v>14004</v>
      </c>
      <c r="V5682" t="s">
        <v>14004</v>
      </c>
      <c r="W5682" t="s">
        <v>19631</v>
      </c>
      <c r="X5682">
        <v>9</v>
      </c>
      <c r="Y5682" t="s">
        <v>26431</v>
      </c>
      <c r="Z5682" t="s">
        <v>33392</v>
      </c>
      <c r="AA5682">
        <v>0.36536877315247662</v>
      </c>
      <c r="AB5682" t="str">
        <f>HYPERLINK("Melting_Curves/meltCurve_Q9BTV5_FSD1.pdf", "Melting_Curves/meltCurve_Q9BTV5_FSD1.pdf")</f>
        <v>Melting_Curves/meltCurve_Q9BTV5_FSD1.pdf</v>
      </c>
    </row>
    <row r="5683" spans="1:28" x14ac:dyDescent="0.25">
      <c r="A5683" t="s">
        <v>5687</v>
      </c>
      <c r="B5683">
        <v>0.99999676499088797</v>
      </c>
      <c r="C5683">
        <v>0.95049510227665501</v>
      </c>
      <c r="D5683">
        <v>1.0198146569523301</v>
      </c>
      <c r="E5683">
        <v>1.06952246643837</v>
      </c>
      <c r="F5683">
        <v>1.1635180164869801</v>
      </c>
      <c r="G5683">
        <v>0.76274522671359002</v>
      </c>
      <c r="H5683">
        <v>0.35073396281220798</v>
      </c>
      <c r="I5683">
        <v>0.14252967751836601</v>
      </c>
      <c r="J5683">
        <v>0.142505949896613</v>
      </c>
      <c r="K5683">
        <v>0.10530185184876199</v>
      </c>
      <c r="L5683">
        <v>2153.1790764567399</v>
      </c>
      <c r="M5683">
        <v>36.608192700077701</v>
      </c>
      <c r="N5683">
        <v>59.248314577071397</v>
      </c>
      <c r="O5683">
        <v>58.642180080588702</v>
      </c>
      <c r="P5683">
        <v>-0.13780601247962501</v>
      </c>
      <c r="Q5683">
        <v>0.117004082226825</v>
      </c>
      <c r="R5683">
        <v>0.97368567421698704</v>
      </c>
      <c r="S5683" t="s">
        <v>12686</v>
      </c>
      <c r="T5683" t="s">
        <v>14004</v>
      </c>
      <c r="U5683" t="s">
        <v>14004</v>
      </c>
      <c r="V5683" t="s">
        <v>14004</v>
      </c>
      <c r="W5683" t="s">
        <v>19632</v>
      </c>
      <c r="X5683">
        <v>7</v>
      </c>
      <c r="Y5683" t="s">
        <v>26432</v>
      </c>
      <c r="Z5683" t="s">
        <v>33393</v>
      </c>
      <c r="AA5683">
        <v>0.67493227161710034</v>
      </c>
      <c r="AB5683" t="str">
        <f>HYPERLINK("Melting_Curves/meltCurve_Q9BTV6_WDR85.pdf", "Melting_Curves/meltCurve_Q9BTV6_WDR85.pdf")</f>
        <v>Melting_Curves/meltCurve_Q9BTV6_WDR85.pdf</v>
      </c>
    </row>
    <row r="5684" spans="1:28" x14ac:dyDescent="0.25">
      <c r="A5684" t="s">
        <v>5688</v>
      </c>
      <c r="B5684">
        <v>0.99999676499088797</v>
      </c>
      <c r="C5684">
        <v>1.2165464861474899</v>
      </c>
      <c r="D5684">
        <v>1.12680440485066</v>
      </c>
      <c r="E5684">
        <v>1.0141897196434799</v>
      </c>
      <c r="F5684">
        <v>0.46683812752026999</v>
      </c>
      <c r="G5684">
        <v>0.24955143495328999</v>
      </c>
      <c r="H5684">
        <v>0.10571379389976999</v>
      </c>
      <c r="I5684">
        <v>9.27412189014786E-2</v>
      </c>
      <c r="J5684">
        <v>0.10776106246309</v>
      </c>
      <c r="K5684">
        <v>8.8626367713708507E-2</v>
      </c>
      <c r="L5684">
        <v>2342.26168706199</v>
      </c>
      <c r="M5684">
        <v>44.315186945133199</v>
      </c>
      <c r="N5684">
        <v>53.174611476501397</v>
      </c>
      <c r="O5684">
        <v>52.747312949276697</v>
      </c>
      <c r="P5684">
        <v>-0.185451970031563</v>
      </c>
      <c r="Q5684">
        <v>0.1170449413732</v>
      </c>
      <c r="R5684">
        <v>0.96290051060075599</v>
      </c>
      <c r="S5684" t="s">
        <v>12687</v>
      </c>
      <c r="T5684" t="s">
        <v>14004</v>
      </c>
      <c r="U5684" t="s">
        <v>14004</v>
      </c>
      <c r="V5684" t="s">
        <v>14004</v>
      </c>
      <c r="W5684" t="s">
        <v>19633</v>
      </c>
      <c r="X5684">
        <v>2</v>
      </c>
      <c r="Y5684" t="s">
        <v>26433</v>
      </c>
      <c r="Z5684" t="s">
        <v>33394</v>
      </c>
      <c r="AA5684">
        <v>0.49800292397762919</v>
      </c>
      <c r="AB5684" t="str">
        <f>HYPERLINK("Melting_Curves/meltCurve_Q9BTV7_CABLES2.pdf", "Melting_Curves/meltCurve_Q9BTV7_CABLES2.pdf")</f>
        <v>Melting_Curves/meltCurve_Q9BTV7_CABLES2.pdf</v>
      </c>
    </row>
    <row r="5685" spans="1:28" x14ac:dyDescent="0.25">
      <c r="A5685" t="s">
        <v>5689</v>
      </c>
      <c r="B5685">
        <v>0.99999676499088797</v>
      </c>
      <c r="C5685">
        <v>1.1552186153275299</v>
      </c>
      <c r="D5685">
        <v>1.12268681922986</v>
      </c>
      <c r="E5685">
        <v>0.90889116194727404</v>
      </c>
      <c r="F5685">
        <v>0.41391745300275501</v>
      </c>
      <c r="G5685">
        <v>0.16671246177134399</v>
      </c>
      <c r="H5685">
        <v>7.4393690552106401E-2</v>
      </c>
      <c r="I5685">
        <v>6.5022984639610898E-2</v>
      </c>
      <c r="J5685">
        <v>7.5900776992887997E-2</v>
      </c>
      <c r="K5685">
        <v>6.0719380748752098E-2</v>
      </c>
      <c r="L5685">
        <v>1959.0656796365899</v>
      </c>
      <c r="M5685">
        <v>37.313725772418103</v>
      </c>
      <c r="N5685">
        <v>52.731996984105798</v>
      </c>
      <c r="O5685">
        <v>52.352432602149399</v>
      </c>
      <c r="P5685">
        <v>-0.16483397563045801</v>
      </c>
      <c r="Q5685">
        <v>7.4931750207348297E-2</v>
      </c>
      <c r="R5685">
        <v>0.97971406524121696</v>
      </c>
      <c r="S5685" t="s">
        <v>12688</v>
      </c>
      <c r="T5685" t="s">
        <v>14004</v>
      </c>
      <c r="U5685" t="s">
        <v>14004</v>
      </c>
      <c r="V5685" t="s">
        <v>14004</v>
      </c>
      <c r="W5685" t="s">
        <v>19634</v>
      </c>
      <c r="X5685">
        <v>6</v>
      </c>
      <c r="Y5685" t="s">
        <v>26434</v>
      </c>
      <c r="Z5685" t="s">
        <v>33395</v>
      </c>
      <c r="AA5685">
        <v>0.46431244607607403</v>
      </c>
      <c r="AB5685" t="str">
        <f>HYPERLINK("Melting_Curves/meltCurve_Q9BTX1_4_TMEM48.pdf", "Melting_Curves/meltCurve_Q9BTX1_4_TMEM48.pdf")</f>
        <v>Melting_Curves/meltCurve_Q9BTX1_4_TMEM48.pdf</v>
      </c>
    </row>
    <row r="5686" spans="1:28" x14ac:dyDescent="0.25">
      <c r="A5686" t="s">
        <v>5690</v>
      </c>
      <c r="B5686">
        <v>0.99999676499088797</v>
      </c>
      <c r="C5686">
        <v>1.2005421024420699</v>
      </c>
      <c r="D5686">
        <v>1.04175296670759</v>
      </c>
      <c r="E5686">
        <v>0.65455600836603101</v>
      </c>
      <c r="F5686">
        <v>0.43881219667076299</v>
      </c>
      <c r="G5686">
        <v>0.201507323099931</v>
      </c>
      <c r="H5686">
        <v>9.0719029437972901E-2</v>
      </c>
      <c r="I5686">
        <v>5.3631584739212299E-2</v>
      </c>
      <c r="J5686">
        <v>6.0404524060192998E-2</v>
      </c>
      <c r="K5686">
        <v>4.0039036877292898E-2</v>
      </c>
      <c r="L5686">
        <v>1112.3330049395199</v>
      </c>
      <c r="M5686">
        <v>21.4217831530616</v>
      </c>
      <c r="N5686">
        <v>52.182300729741598</v>
      </c>
      <c r="O5686">
        <v>51.479176141749399</v>
      </c>
      <c r="P5686">
        <v>-9.8825946419251395E-2</v>
      </c>
      <c r="Q5686">
        <v>5.0060013060202802E-2</v>
      </c>
      <c r="R5686">
        <v>0.96647487863803305</v>
      </c>
      <c r="S5686" t="s">
        <v>12689</v>
      </c>
      <c r="T5686" t="s">
        <v>14004</v>
      </c>
      <c r="U5686" t="s">
        <v>14004</v>
      </c>
      <c r="V5686" t="s">
        <v>14004</v>
      </c>
      <c r="W5686" t="s">
        <v>19635</v>
      </c>
      <c r="X5686">
        <v>4</v>
      </c>
      <c r="Y5686" t="s">
        <v>26435</v>
      </c>
      <c r="Z5686" t="s">
        <v>33396</v>
      </c>
      <c r="AA5686">
        <v>0.43927433946621608</v>
      </c>
      <c r="AB5686" t="str">
        <f>HYPERLINK("Melting_Curves/meltCurve_Q9BTX7_TTPAL.pdf", "Melting_Curves/meltCurve_Q9BTX7_TTPAL.pdf")</f>
        <v>Melting_Curves/meltCurve_Q9BTX7_TTPAL.pdf</v>
      </c>
    </row>
    <row r="5687" spans="1:28" x14ac:dyDescent="0.25">
      <c r="A5687" t="s">
        <v>5691</v>
      </c>
      <c r="B5687">
        <v>0.99999676499088797</v>
      </c>
      <c r="C5687">
        <v>0.88168563873481998</v>
      </c>
      <c r="D5687">
        <v>0.54403706887826797</v>
      </c>
      <c r="E5687">
        <v>0.26255184685176503</v>
      </c>
      <c r="F5687">
        <v>0.154497189615318</v>
      </c>
      <c r="G5687">
        <v>9.5555824722583005E-2</v>
      </c>
      <c r="H5687">
        <v>5.8322751436397299E-2</v>
      </c>
      <c r="I5687">
        <v>5.8022368470406802E-2</v>
      </c>
      <c r="J5687">
        <v>6.4595031913286402E-2</v>
      </c>
      <c r="K5687">
        <v>5.1703628479126199E-2</v>
      </c>
      <c r="L5687">
        <v>984.50611085111996</v>
      </c>
      <c r="M5687">
        <v>21.226388225055398</v>
      </c>
      <c r="N5687">
        <v>46.688964039980902</v>
      </c>
      <c r="O5687">
        <v>45.975461311277002</v>
      </c>
      <c r="P5687">
        <v>-0.107890524858615</v>
      </c>
      <c r="Q5687">
        <v>6.5278761414979403E-2</v>
      </c>
      <c r="R5687">
        <v>0.99658508705833204</v>
      </c>
      <c r="S5687" t="s">
        <v>12690</v>
      </c>
      <c r="T5687" t="s">
        <v>14004</v>
      </c>
      <c r="U5687" t="s">
        <v>14004</v>
      </c>
      <c r="V5687" t="s">
        <v>14004</v>
      </c>
      <c r="W5687" t="s">
        <v>19636</v>
      </c>
      <c r="X5687">
        <v>7</v>
      </c>
      <c r="Y5687" t="s">
        <v>26436</v>
      </c>
      <c r="Z5687" t="s">
        <v>33397</v>
      </c>
      <c r="AA5687">
        <v>0.27642162004866849</v>
      </c>
      <c r="AB5687" t="str">
        <f>HYPERLINK("Melting_Curves/meltCurve_Q9BTY7_FAM203A.pdf", "Melting_Curves/meltCurve_Q9BTY7_FAM203A.pdf")</f>
        <v>Melting_Curves/meltCurve_Q9BTY7_FAM203A.pdf</v>
      </c>
    </row>
    <row r="5688" spans="1:28" x14ac:dyDescent="0.25">
      <c r="A5688" t="s">
        <v>5692</v>
      </c>
      <c r="B5688">
        <v>0.99999676499088797</v>
      </c>
      <c r="C5688">
        <v>0.97478078172874905</v>
      </c>
      <c r="D5688">
        <v>0.95348836377665502</v>
      </c>
      <c r="E5688">
        <v>0.96824373806532305</v>
      </c>
      <c r="F5688">
        <v>0.897436138237515</v>
      </c>
      <c r="G5688">
        <v>0.66656300940615598</v>
      </c>
      <c r="H5688">
        <v>0.28635274571716202</v>
      </c>
      <c r="I5688">
        <v>0.19912000003309099</v>
      </c>
      <c r="J5688">
        <v>0.138879540228589</v>
      </c>
      <c r="K5688">
        <v>0.10227677689093299</v>
      </c>
      <c r="L5688">
        <v>1415.11657452951</v>
      </c>
      <c r="M5688">
        <v>24.4635666025384</v>
      </c>
      <c r="N5688">
        <v>58.386639537710998</v>
      </c>
      <c r="O5688">
        <v>57.463506097111797</v>
      </c>
      <c r="P5688">
        <v>-9.5643216674474396E-2</v>
      </c>
      <c r="Q5688">
        <v>0.101371583425268</v>
      </c>
      <c r="R5688">
        <v>0.99675471717123498</v>
      </c>
      <c r="S5688" t="s">
        <v>12691</v>
      </c>
      <c r="T5688" t="s">
        <v>14004</v>
      </c>
      <c r="U5688" t="s">
        <v>14004</v>
      </c>
      <c r="V5688" t="s">
        <v>14004</v>
      </c>
      <c r="W5688" t="s">
        <v>19637</v>
      </c>
      <c r="X5688">
        <v>15</v>
      </c>
      <c r="Y5688" t="s">
        <v>26437</v>
      </c>
      <c r="Z5688" t="s">
        <v>33398</v>
      </c>
      <c r="AA5688">
        <v>0.64404418966512145</v>
      </c>
      <c r="AB5688" t="str">
        <f>HYPERLINK("Melting_Curves/meltCurve_Q9BTZ2_DHRS4.pdf", "Melting_Curves/meltCurve_Q9BTZ2_DHRS4.pdf")</f>
        <v>Melting_Curves/meltCurve_Q9BTZ2_DHRS4.pdf</v>
      </c>
    </row>
    <row r="5689" spans="1:28" x14ac:dyDescent="0.25">
      <c r="A5689" t="s">
        <v>5693</v>
      </c>
      <c r="B5689">
        <v>0.99999676499088797</v>
      </c>
      <c r="C5689">
        <v>0.96272144273172799</v>
      </c>
      <c r="D5689">
        <v>0.79277779121223202</v>
      </c>
      <c r="E5689">
        <v>0.52719066517017699</v>
      </c>
      <c r="F5689">
        <v>0.26108073005228699</v>
      </c>
      <c r="G5689">
        <v>0.16199955598687599</v>
      </c>
      <c r="H5689">
        <v>7.3320203384807894E-2</v>
      </c>
      <c r="I5689">
        <v>7.5757261115421304E-2</v>
      </c>
      <c r="J5689">
        <v>7.4517296133559799E-2</v>
      </c>
      <c r="K5689">
        <v>5.7172104746717703E-2</v>
      </c>
      <c r="L5689">
        <v>886.21253819367303</v>
      </c>
      <c r="M5689">
        <v>17.901052655683301</v>
      </c>
      <c r="N5689">
        <v>49.8479741284686</v>
      </c>
      <c r="O5689">
        <v>48.900758748656898</v>
      </c>
      <c r="P5689">
        <v>-8.6235916501209001E-2</v>
      </c>
      <c r="Q5689">
        <v>5.7756099498569698E-2</v>
      </c>
      <c r="R5689">
        <v>0.99882047071727997</v>
      </c>
      <c r="S5689" t="s">
        <v>12692</v>
      </c>
      <c r="T5689" t="s">
        <v>14004</v>
      </c>
      <c r="U5689" t="s">
        <v>14004</v>
      </c>
      <c r="V5689" t="s">
        <v>14004</v>
      </c>
      <c r="W5689" t="s">
        <v>19638</v>
      </c>
      <c r="X5689">
        <v>8</v>
      </c>
      <c r="Y5689" t="s">
        <v>26438</v>
      </c>
      <c r="Z5689" t="s">
        <v>33399</v>
      </c>
      <c r="AA5689">
        <v>0.37268228895360839</v>
      </c>
      <c r="AB5689" t="str">
        <f>HYPERLINK("Melting_Curves/meltCurve_Q9BU02_THTPA.pdf", "Melting_Curves/meltCurve_Q9BU02_THTPA.pdf")</f>
        <v>Melting_Curves/meltCurve_Q9BU02_THTPA.pdf</v>
      </c>
    </row>
    <row r="5690" spans="1:28" x14ac:dyDescent="0.25">
      <c r="A5690" t="s">
        <v>5694</v>
      </c>
      <c r="B5690">
        <v>0.99999676499088797</v>
      </c>
      <c r="C5690">
        <v>1.04483903857685</v>
      </c>
      <c r="D5690">
        <v>0.88468778812335502</v>
      </c>
      <c r="E5690">
        <v>0.70583179917711003</v>
      </c>
      <c r="F5690">
        <v>0.359818597304428</v>
      </c>
      <c r="G5690">
        <v>0.238349497351144</v>
      </c>
      <c r="H5690">
        <v>0.120705751470121</v>
      </c>
      <c r="I5690">
        <v>0.16746571195714799</v>
      </c>
      <c r="J5690">
        <v>0.16433584616852501</v>
      </c>
      <c r="K5690">
        <v>0.13793690538179201</v>
      </c>
      <c r="L5690">
        <v>1137.0636216788801</v>
      </c>
      <c r="M5690">
        <v>22.367460835608799</v>
      </c>
      <c r="N5690">
        <v>51.6078819678184</v>
      </c>
      <c r="O5690">
        <v>50.434529116409102</v>
      </c>
      <c r="P5690">
        <v>-9.5106186534075599E-2</v>
      </c>
      <c r="Q5690">
        <v>0.14223009584068999</v>
      </c>
      <c r="R5690">
        <v>0.99352838942602895</v>
      </c>
      <c r="S5690" t="s">
        <v>12693</v>
      </c>
      <c r="T5690" t="s">
        <v>14004</v>
      </c>
      <c r="U5690" t="s">
        <v>14004</v>
      </c>
      <c r="V5690" t="s">
        <v>14004</v>
      </c>
      <c r="W5690" t="s">
        <v>19639</v>
      </c>
      <c r="X5690">
        <v>3</v>
      </c>
      <c r="Y5690" t="s">
        <v>26439</v>
      </c>
      <c r="Z5690" t="s">
        <v>33400</v>
      </c>
      <c r="AA5690">
        <v>0.46166291963624578</v>
      </c>
      <c r="AB5690" t="str">
        <f>HYPERLINK("Melting_Curves/meltCurve_Q9BU23_2_LMF2.pdf", "Melting_Curves/meltCurve_Q9BU23_2_LMF2.pdf")</f>
        <v>Melting_Curves/meltCurve_Q9BU23_2_LMF2.pdf</v>
      </c>
    </row>
    <row r="5691" spans="1:28" x14ac:dyDescent="0.25">
      <c r="A5691" t="s">
        <v>5695</v>
      </c>
      <c r="B5691">
        <v>0.99999676499088797</v>
      </c>
      <c r="C5691">
        <v>1.11491002662787</v>
      </c>
      <c r="D5691">
        <v>1.0908850323789401</v>
      </c>
      <c r="E5691">
        <v>1.08898952386089</v>
      </c>
      <c r="F5691">
        <v>0.92621140694238402</v>
      </c>
      <c r="G5691">
        <v>0.55676888436577598</v>
      </c>
      <c r="H5691">
        <v>0.123358319960661</v>
      </c>
      <c r="I5691">
        <v>0.13300501131704101</v>
      </c>
      <c r="J5691">
        <v>0.15069341176341</v>
      </c>
      <c r="K5691">
        <v>9.31419820764883E-2</v>
      </c>
      <c r="L5691">
        <v>2581.7280087234799</v>
      </c>
      <c r="M5691">
        <v>45.502821903430402</v>
      </c>
      <c r="N5691">
        <v>57.064800668609699</v>
      </c>
      <c r="O5691">
        <v>56.628519036531003</v>
      </c>
      <c r="P5691">
        <v>-0.17782633331596701</v>
      </c>
      <c r="Q5691">
        <v>0.114777943513627</v>
      </c>
      <c r="R5691">
        <v>0.982356064490154</v>
      </c>
      <c r="S5691" t="s">
        <v>12694</v>
      </c>
      <c r="T5691" t="s">
        <v>14004</v>
      </c>
      <c r="U5691" t="s">
        <v>14004</v>
      </c>
      <c r="V5691" t="s">
        <v>14004</v>
      </c>
      <c r="W5691" t="s">
        <v>19640</v>
      </c>
      <c r="X5691">
        <v>5</v>
      </c>
      <c r="Y5691" t="s">
        <v>26440</v>
      </c>
      <c r="Z5691" t="s">
        <v>33401</v>
      </c>
      <c r="AA5691">
        <v>0.61133311539358093</v>
      </c>
      <c r="AB5691" t="str">
        <f>HYPERLINK("Melting_Curves/meltCurve_Q9BU61_NDUFAF3.pdf", "Melting_Curves/meltCurve_Q9BU61_NDUFAF3.pdf")</f>
        <v>Melting_Curves/meltCurve_Q9BU61_NDUFAF3.pdf</v>
      </c>
    </row>
    <row r="5692" spans="1:28" x14ac:dyDescent="0.25">
      <c r="A5692" t="s">
        <v>5696</v>
      </c>
      <c r="B5692">
        <v>0.99999676499088797</v>
      </c>
      <c r="C5692">
        <v>0.90249881431878898</v>
      </c>
      <c r="D5692">
        <v>0.85891583215477196</v>
      </c>
      <c r="E5692">
        <v>0.73313869947764698</v>
      </c>
      <c r="F5692">
        <v>0.74078246036341799</v>
      </c>
      <c r="G5692">
        <v>0.42918701314062802</v>
      </c>
      <c r="H5692">
        <v>0.17370024773890999</v>
      </c>
      <c r="I5692">
        <v>0.16681164440023599</v>
      </c>
      <c r="J5692">
        <v>5.0353579906994399E-2</v>
      </c>
      <c r="K5692">
        <v>0.120516784660727</v>
      </c>
      <c r="L5692">
        <v>663.60627201858904</v>
      </c>
      <c r="M5692">
        <v>12.010983443231799</v>
      </c>
      <c r="N5692">
        <v>55.2499531057369</v>
      </c>
      <c r="O5692">
        <v>53.785263967294803</v>
      </c>
      <c r="P5692">
        <v>-5.5841822599649801E-2</v>
      </c>
      <c r="Q5692">
        <v>0</v>
      </c>
      <c r="R5692">
        <v>0.96739358229456596</v>
      </c>
      <c r="S5692" t="s">
        <v>12695</v>
      </c>
      <c r="T5692" t="s">
        <v>14004</v>
      </c>
      <c r="U5692" t="s">
        <v>14004</v>
      </c>
      <c r="V5692" t="s">
        <v>14004</v>
      </c>
      <c r="W5692" t="s">
        <v>19641</v>
      </c>
      <c r="X5692">
        <v>1</v>
      </c>
      <c r="Y5692" t="s">
        <v>26441</v>
      </c>
      <c r="Z5692" t="s">
        <v>33402</v>
      </c>
      <c r="AA5692">
        <v>0.53104448723396225</v>
      </c>
      <c r="AB5692" t="str">
        <f>HYPERLINK("Melting_Curves/meltCurve_Q9BU64_CENPO.pdf", "Melting_Curves/meltCurve_Q9BU64_CENPO.pdf")</f>
        <v>Melting_Curves/meltCurve_Q9BU64_CENPO.pdf</v>
      </c>
    </row>
    <row r="5693" spans="1:28" x14ac:dyDescent="0.25">
      <c r="A5693" t="s">
        <v>5697</v>
      </c>
      <c r="B5693">
        <v>0.99999676499088797</v>
      </c>
      <c r="C5693">
        <v>0.98728572959171801</v>
      </c>
      <c r="D5693">
        <v>0.91626550561583897</v>
      </c>
      <c r="E5693">
        <v>0.82695868110305704</v>
      </c>
      <c r="F5693">
        <v>0.78325841647470495</v>
      </c>
      <c r="G5693">
        <v>0.62292527509803197</v>
      </c>
      <c r="H5693">
        <v>0.63456549376653804</v>
      </c>
      <c r="I5693">
        <v>0.75745837697343199</v>
      </c>
      <c r="J5693">
        <v>0.80705865194438697</v>
      </c>
      <c r="K5693">
        <v>1.1573563485879801</v>
      </c>
      <c r="L5693">
        <v>1650.09332228213</v>
      </c>
      <c r="M5693">
        <v>35.465552675015303</v>
      </c>
      <c r="O5693">
        <v>46.379481200452602</v>
      </c>
      <c r="P5693">
        <v>-3.9195381365316903E-2</v>
      </c>
      <c r="Q5693">
        <v>0.79497233975985604</v>
      </c>
      <c r="R5693">
        <v>0.25590264961523002</v>
      </c>
      <c r="S5693" t="s">
        <v>12696</v>
      </c>
      <c r="T5693" t="s">
        <v>14004</v>
      </c>
      <c r="U5693" t="s">
        <v>14004</v>
      </c>
      <c r="V5693" t="s">
        <v>14004</v>
      </c>
      <c r="W5693" t="s">
        <v>19642</v>
      </c>
      <c r="X5693">
        <v>7</v>
      </c>
      <c r="Y5693" t="s">
        <v>26442</v>
      </c>
      <c r="Z5693" t="s">
        <v>33403</v>
      </c>
      <c r="AA5693">
        <v>0.84043741025825502</v>
      </c>
      <c r="AB5693" t="str">
        <f>HYPERLINK("Melting_Curves/meltCurve_Q9BU76_3_MMTAG2.pdf", "Melting_Curves/meltCurve_Q9BU76_3_MMTAG2.pdf")</f>
        <v>Melting_Curves/meltCurve_Q9BU76_3_MMTAG2.pdf</v>
      </c>
    </row>
    <row r="5694" spans="1:28" x14ac:dyDescent="0.25">
      <c r="A5694" t="s">
        <v>5698</v>
      </c>
      <c r="B5694">
        <v>0.99999676499088797</v>
      </c>
      <c r="C5694">
        <v>0.80253340937696405</v>
      </c>
      <c r="D5694">
        <v>0.65262928308988599</v>
      </c>
      <c r="E5694">
        <v>0.50162774557068801</v>
      </c>
      <c r="F5694">
        <v>0.416533203915948</v>
      </c>
      <c r="G5694">
        <v>0.27184480590041099</v>
      </c>
      <c r="H5694">
        <v>0.119320309835134</v>
      </c>
      <c r="I5694">
        <v>9.2366433246925797E-2</v>
      </c>
      <c r="J5694">
        <v>9.2149319195734006E-2</v>
      </c>
      <c r="K5694">
        <v>6.9875992358602507E-2</v>
      </c>
      <c r="L5694">
        <v>472.42805006265303</v>
      </c>
      <c r="M5694">
        <v>9.44087695475692</v>
      </c>
      <c r="N5694">
        <v>50.040696166301601</v>
      </c>
      <c r="O5694">
        <v>47.949677980087898</v>
      </c>
      <c r="P5694">
        <v>-4.9252653299468097E-2</v>
      </c>
      <c r="Q5694">
        <v>0</v>
      </c>
      <c r="R5694">
        <v>0.98400979337718097</v>
      </c>
      <c r="S5694" t="s">
        <v>12697</v>
      </c>
      <c r="T5694" t="s">
        <v>14004</v>
      </c>
      <c r="U5694" t="s">
        <v>14004</v>
      </c>
      <c r="V5694" t="s">
        <v>14004</v>
      </c>
      <c r="W5694" t="s">
        <v>19643</v>
      </c>
      <c r="X5694">
        <v>16</v>
      </c>
      <c r="Y5694" t="s">
        <v>26443</v>
      </c>
      <c r="Z5694" t="s">
        <v>33404</v>
      </c>
      <c r="AA5694">
        <v>0.38332499135168729</v>
      </c>
      <c r="AB5694" t="str">
        <f>HYPERLINK("Melting_Curves/meltCurve_Q9BU89_DOHH.pdf", "Melting_Curves/meltCurve_Q9BU89_DOHH.pdf")</f>
        <v>Melting_Curves/meltCurve_Q9BU89_DOHH.pdf</v>
      </c>
    </row>
    <row r="5695" spans="1:28" x14ac:dyDescent="0.25">
      <c r="A5695" t="s">
        <v>5699</v>
      </c>
      <c r="B5695">
        <v>0.99999676499088797</v>
      </c>
      <c r="C5695">
        <v>1.03594065912272</v>
      </c>
      <c r="D5695">
        <v>0.84855818992118104</v>
      </c>
      <c r="E5695">
        <v>0.63818084892601501</v>
      </c>
      <c r="F5695">
        <v>0.48443481135356398</v>
      </c>
      <c r="G5695">
        <v>0.41698685042914502</v>
      </c>
      <c r="H5695">
        <v>0.25088696978931802</v>
      </c>
      <c r="I5695">
        <v>0.25496278063515898</v>
      </c>
      <c r="J5695">
        <v>0.32186526277133498</v>
      </c>
      <c r="K5695">
        <v>0.27127270977198198</v>
      </c>
      <c r="L5695">
        <v>841.15954884102302</v>
      </c>
      <c r="M5695">
        <v>16.7773883375542</v>
      </c>
      <c r="N5695">
        <v>52.563209915087299</v>
      </c>
      <c r="O5695">
        <v>49.440456790830801</v>
      </c>
      <c r="P5695">
        <v>-6.1972831328767401E-2</v>
      </c>
      <c r="Q5695">
        <v>0.269548795963862</v>
      </c>
      <c r="R5695">
        <v>0.98065775018275803</v>
      </c>
      <c r="S5695" t="s">
        <v>12698</v>
      </c>
      <c r="T5695" t="s">
        <v>14004</v>
      </c>
      <c r="U5695" t="s">
        <v>14004</v>
      </c>
      <c r="V5695" t="s">
        <v>14004</v>
      </c>
      <c r="W5695" t="s">
        <v>19644</v>
      </c>
      <c r="X5695">
        <v>4</v>
      </c>
      <c r="Y5695" t="s">
        <v>26444</v>
      </c>
      <c r="Z5695" t="s">
        <v>33405</v>
      </c>
      <c r="AA5695">
        <v>0.53053317565634883</v>
      </c>
      <c r="AB5695" t="str">
        <f>HYPERLINK("Melting_Curves/meltCurve_Q9BUA3_C11orf84.pdf", "Melting_Curves/meltCurve_Q9BUA3_C11orf84.pdf")</f>
        <v>Melting_Curves/meltCurve_Q9BUA3_C11orf84.pdf</v>
      </c>
    </row>
    <row r="5696" spans="1:28" x14ac:dyDescent="0.25">
      <c r="A5696" t="s">
        <v>5700</v>
      </c>
      <c r="B5696">
        <v>0.99999676499088797</v>
      </c>
      <c r="C5696">
        <v>0.78494554364903402</v>
      </c>
      <c r="D5696">
        <v>0.77294061257967395</v>
      </c>
      <c r="E5696">
        <v>0.59633219901386803</v>
      </c>
      <c r="F5696">
        <v>0.24125033966967299</v>
      </c>
      <c r="G5696">
        <v>0.180342389343949</v>
      </c>
      <c r="H5696">
        <v>6.8295518908596003E-2</v>
      </c>
      <c r="I5696">
        <v>8.0517682013202294E-2</v>
      </c>
      <c r="J5696">
        <v>7.44599598950937E-2</v>
      </c>
      <c r="K5696">
        <v>7.3365135498861894E-2</v>
      </c>
      <c r="L5696">
        <v>675.13152848258903</v>
      </c>
      <c r="M5696">
        <v>13.610108054355001</v>
      </c>
      <c r="N5696">
        <v>49.843581223730503</v>
      </c>
      <c r="O5696">
        <v>48.570993529228097</v>
      </c>
      <c r="P5696">
        <v>-6.7854981395582395E-2</v>
      </c>
      <c r="Q5696">
        <v>3.1514813573809697E-2</v>
      </c>
      <c r="R5696">
        <v>0.97696667251985103</v>
      </c>
      <c r="S5696" t="s">
        <v>12699</v>
      </c>
      <c r="T5696" t="s">
        <v>14004</v>
      </c>
      <c r="U5696" t="s">
        <v>14004</v>
      </c>
      <c r="V5696" t="s">
        <v>14004</v>
      </c>
      <c r="W5696" t="s">
        <v>19645</v>
      </c>
      <c r="X5696">
        <v>5</v>
      </c>
      <c r="Y5696" t="s">
        <v>26445</v>
      </c>
      <c r="Z5696" t="s">
        <v>33406</v>
      </c>
      <c r="AA5696">
        <v>0.36940041192504891</v>
      </c>
      <c r="AB5696" t="str">
        <f>HYPERLINK("Melting_Curves/meltCurve_Q9BUB5_2_MKNK1.pdf", "Melting_Curves/meltCurve_Q9BUB5_2_MKNK1.pdf")</f>
        <v>Melting_Curves/meltCurve_Q9BUB5_2_MKNK1.pdf</v>
      </c>
    </row>
    <row r="5697" spans="1:28" x14ac:dyDescent="0.25">
      <c r="A5697" t="s">
        <v>5701</v>
      </c>
      <c r="B5697">
        <v>0.99999676499088797</v>
      </c>
      <c r="C5697">
        <v>2.5187080990952899</v>
      </c>
      <c r="D5697">
        <v>3.4769054094346901</v>
      </c>
      <c r="E5697">
        <v>3.78147151866209</v>
      </c>
      <c r="F5697">
        <v>2.4731602120796401</v>
      </c>
      <c r="G5697">
        <v>2.6451330732024299</v>
      </c>
      <c r="H5697">
        <v>0.90919341462690195</v>
      </c>
      <c r="I5697">
        <v>0.73895787262169699</v>
      </c>
      <c r="J5697">
        <v>0.90060770417815195</v>
      </c>
      <c r="K5697">
        <v>1.37513401980376</v>
      </c>
      <c r="L5697">
        <v>15000</v>
      </c>
      <c r="M5697">
        <v>215.38414295831299</v>
      </c>
      <c r="O5697">
        <v>69.637011455920003</v>
      </c>
      <c r="P5697">
        <v>0.38661940766153902</v>
      </c>
      <c r="Q5697">
        <v>1.5</v>
      </c>
      <c r="R5697">
        <v>-0.81624806629260804</v>
      </c>
      <c r="S5697" t="s">
        <v>12700</v>
      </c>
      <c r="T5697" t="s">
        <v>14004</v>
      </c>
      <c r="U5697" t="s">
        <v>14004</v>
      </c>
      <c r="V5697" t="s">
        <v>14004</v>
      </c>
      <c r="W5697" t="s">
        <v>19646</v>
      </c>
      <c r="X5697">
        <v>1</v>
      </c>
      <c r="Y5697" t="s">
        <v>26446</v>
      </c>
      <c r="Z5697" t="s">
        <v>33407</v>
      </c>
      <c r="AA5697">
        <v>1.0074499535533921</v>
      </c>
      <c r="AB5697" t="str">
        <f>HYPERLINK("Melting_Curves/meltCurve_Q9BUB7_TMEM70.pdf", "Melting_Curves/meltCurve_Q9BUB7_TMEM70.pdf")</f>
        <v>Melting_Curves/meltCurve_Q9BUB7_TMEM70.pdf</v>
      </c>
    </row>
    <row r="5698" spans="1:28" x14ac:dyDescent="0.25">
      <c r="A5698" t="s">
        <v>5702</v>
      </c>
      <c r="B5698">
        <v>0.99999676499088797</v>
      </c>
      <c r="C5698">
        <v>1.0100269674221301</v>
      </c>
      <c r="D5698">
        <v>0.90013928553287703</v>
      </c>
      <c r="E5698">
        <v>0.71960107514093297</v>
      </c>
      <c r="F5698">
        <v>0.51149316096157504</v>
      </c>
      <c r="G5698">
        <v>0.44772677812418599</v>
      </c>
      <c r="H5698">
        <v>0.179146732865166</v>
      </c>
      <c r="I5698">
        <v>0.15033105969999799</v>
      </c>
      <c r="J5698">
        <v>0.106654179420673</v>
      </c>
      <c r="K5698">
        <v>7.6323355758129596E-2</v>
      </c>
      <c r="L5698">
        <v>645.02903125892601</v>
      </c>
      <c r="M5698">
        <v>11.946320881476399</v>
      </c>
      <c r="N5698">
        <v>54.149596966378198</v>
      </c>
      <c r="O5698">
        <v>52.547702927285698</v>
      </c>
      <c r="P5698">
        <v>-5.5890034916630797E-2</v>
      </c>
      <c r="Q5698">
        <v>1.6877996618186099E-2</v>
      </c>
      <c r="R5698">
        <v>0.98927241507831698</v>
      </c>
      <c r="S5698" t="s">
        <v>12701</v>
      </c>
      <c r="T5698" t="s">
        <v>14004</v>
      </c>
      <c r="U5698" t="s">
        <v>14004</v>
      </c>
      <c r="V5698" t="s">
        <v>14004</v>
      </c>
      <c r="W5698" t="s">
        <v>19647</v>
      </c>
      <c r="X5698">
        <v>3</v>
      </c>
      <c r="Y5698" t="s">
        <v>26447</v>
      </c>
      <c r="Z5698" t="s">
        <v>33408</v>
      </c>
      <c r="AA5698">
        <v>0.50126786736069973</v>
      </c>
      <c r="AB5698" t="str">
        <f>HYPERLINK("Melting_Curves/meltCurve_Q9BUE0_MED18.pdf", "Melting_Curves/meltCurve_Q9BUE0_MED18.pdf")</f>
        <v>Melting_Curves/meltCurve_Q9BUE0_MED18.pdf</v>
      </c>
    </row>
    <row r="5699" spans="1:28" x14ac:dyDescent="0.25">
      <c r="A5699" t="s">
        <v>5703</v>
      </c>
      <c r="B5699">
        <v>0.99999676499088797</v>
      </c>
      <c r="C5699">
        <v>1.1186743611750001</v>
      </c>
      <c r="D5699">
        <v>1.14921096179524</v>
      </c>
      <c r="E5699">
        <v>1.3197322178419499</v>
      </c>
      <c r="F5699">
        <v>1.4464617325370099</v>
      </c>
      <c r="G5699">
        <v>0.95615308477382999</v>
      </c>
      <c r="H5699">
        <v>0.29103172591031201</v>
      </c>
      <c r="I5699">
        <v>0.155231236457677</v>
      </c>
      <c r="J5699">
        <v>0.18758423790179499</v>
      </c>
      <c r="K5699">
        <v>0.10204378485744101</v>
      </c>
      <c r="L5699">
        <v>4055.0013925465701</v>
      </c>
      <c r="M5699">
        <v>68.288557366074798</v>
      </c>
      <c r="N5699">
        <v>59.682806136514998</v>
      </c>
      <c r="O5699">
        <v>59.329530611538601</v>
      </c>
      <c r="P5699">
        <v>-0.24566553819241799</v>
      </c>
      <c r="Q5699">
        <v>0.14625709405668799</v>
      </c>
      <c r="R5699">
        <v>0.86354385077829299</v>
      </c>
      <c r="S5699" t="s">
        <v>12702</v>
      </c>
      <c r="T5699" t="s">
        <v>14004</v>
      </c>
      <c r="U5699" t="s">
        <v>14004</v>
      </c>
      <c r="V5699" t="s">
        <v>14004</v>
      </c>
      <c r="W5699" t="s">
        <v>19648</v>
      </c>
      <c r="X5699">
        <v>15</v>
      </c>
      <c r="Y5699" t="s">
        <v>26448</v>
      </c>
      <c r="Z5699" t="s">
        <v>33409</v>
      </c>
      <c r="AA5699">
        <v>0.69898078221704141</v>
      </c>
      <c r="AB5699" t="str">
        <f>HYPERLINK("Melting_Curves/meltCurve_Q9BUF5_TUBB6.pdf", "Melting_Curves/meltCurve_Q9BUF5_TUBB6.pdf")</f>
        <v>Melting_Curves/meltCurve_Q9BUF5_TUBB6.pdf</v>
      </c>
    </row>
    <row r="5700" spans="1:28" x14ac:dyDescent="0.25">
      <c r="A5700" t="s">
        <v>5704</v>
      </c>
      <c r="B5700">
        <v>0.99999676499088797</v>
      </c>
      <c r="C5700">
        <v>1.00327288692623</v>
      </c>
      <c r="D5700">
        <v>1.0020155386010901</v>
      </c>
      <c r="E5700">
        <v>0.98056664294859297</v>
      </c>
      <c r="F5700">
        <v>0.96009382205945903</v>
      </c>
      <c r="G5700">
        <v>0.84821958383291796</v>
      </c>
      <c r="H5700">
        <v>0.53921331023295604</v>
      </c>
      <c r="I5700">
        <v>0.45874866681374199</v>
      </c>
      <c r="J5700">
        <v>0.34179466074795001</v>
      </c>
      <c r="K5700">
        <v>0.31231929603001202</v>
      </c>
      <c r="L5700">
        <v>1385.08164909417</v>
      </c>
      <c r="M5700">
        <v>23.238880053176999</v>
      </c>
      <c r="N5700">
        <v>62.063674912954198</v>
      </c>
      <c r="O5700">
        <v>59.165828338705602</v>
      </c>
      <c r="P5700">
        <v>-6.8629545985561299E-2</v>
      </c>
      <c r="Q5700">
        <v>0.30109355153190298</v>
      </c>
      <c r="R5700">
        <v>0.99579186576290202</v>
      </c>
      <c r="S5700" t="s">
        <v>12703</v>
      </c>
      <c r="T5700" t="s">
        <v>14004</v>
      </c>
      <c r="U5700" t="s">
        <v>14004</v>
      </c>
      <c r="V5700" t="s">
        <v>14004</v>
      </c>
      <c r="W5700" t="s">
        <v>19649</v>
      </c>
      <c r="X5700">
        <v>15</v>
      </c>
      <c r="Y5700" t="s">
        <v>26449</v>
      </c>
      <c r="Z5700" t="s">
        <v>33410</v>
      </c>
      <c r="AA5700">
        <v>0.76356301287460637</v>
      </c>
      <c r="AB5700" t="str">
        <f>HYPERLINK("Melting_Curves/meltCurve_Q9BUH6_C9orf142.pdf", "Melting_Curves/meltCurve_Q9BUH6_C9orf142.pdf")</f>
        <v>Melting_Curves/meltCurve_Q9BUH6_C9orf142.pdf</v>
      </c>
    </row>
    <row r="5701" spans="1:28" x14ac:dyDescent="0.25">
      <c r="A5701" t="s">
        <v>5705</v>
      </c>
      <c r="B5701">
        <v>0.99999676499088797</v>
      </c>
      <c r="C5701">
        <v>0.94784898749070201</v>
      </c>
      <c r="D5701">
        <v>0.88977466437059904</v>
      </c>
      <c r="E5701">
        <v>0.72817990881314998</v>
      </c>
      <c r="F5701">
        <v>0.51221278009108495</v>
      </c>
      <c r="G5701">
        <v>0.25754518381184099</v>
      </c>
      <c r="H5701">
        <v>8.2323525413431797E-2</v>
      </c>
      <c r="I5701">
        <v>6.9897582114554005E-2</v>
      </c>
      <c r="J5701">
        <v>6.4655420033256403E-2</v>
      </c>
      <c r="K5701">
        <v>5.6622281419487198E-2</v>
      </c>
      <c r="L5701">
        <v>815.42691039777401</v>
      </c>
      <c r="M5701">
        <v>15.4423972620953</v>
      </c>
      <c r="N5701">
        <v>52.899213718838503</v>
      </c>
      <c r="O5701">
        <v>51.942687169423401</v>
      </c>
      <c r="P5701">
        <v>-7.3316787527406099E-2</v>
      </c>
      <c r="Q5701">
        <v>1.36433892140347E-2</v>
      </c>
      <c r="R5701">
        <v>0.99649922309097505</v>
      </c>
      <c r="S5701" t="s">
        <v>12704</v>
      </c>
      <c r="T5701" t="s">
        <v>14004</v>
      </c>
      <c r="U5701" t="s">
        <v>14004</v>
      </c>
      <c r="V5701" t="s">
        <v>14004</v>
      </c>
      <c r="W5701" t="s">
        <v>19650</v>
      </c>
      <c r="X5701">
        <v>13</v>
      </c>
      <c r="Y5701" t="s">
        <v>26450</v>
      </c>
      <c r="Z5701" t="s">
        <v>33411</v>
      </c>
      <c r="AA5701">
        <v>0.45515653426519243</v>
      </c>
      <c r="AB5701" t="str">
        <f>HYPERLINK("Melting_Curves/meltCurve_Q9BUI4_POLR3C.pdf", "Melting_Curves/meltCurve_Q9BUI4_POLR3C.pdf")</f>
        <v>Melting_Curves/meltCurve_Q9BUI4_POLR3C.pdf</v>
      </c>
    </row>
    <row r="5702" spans="1:28" x14ac:dyDescent="0.25">
      <c r="A5702" t="s">
        <v>5706</v>
      </c>
      <c r="B5702">
        <v>0.99999676499088797</v>
      </c>
      <c r="C5702">
        <v>0.97934222397481696</v>
      </c>
      <c r="D5702">
        <v>0.931147942886424</v>
      </c>
      <c r="E5702">
        <v>0.40514690133451498</v>
      </c>
      <c r="F5702">
        <v>0.23344201766661399</v>
      </c>
      <c r="G5702">
        <v>0.15589143857596099</v>
      </c>
      <c r="H5702">
        <v>8.4079056279899395E-2</v>
      </c>
      <c r="I5702">
        <v>8.6830289219550397E-2</v>
      </c>
      <c r="J5702">
        <v>8.5591809502188504E-2</v>
      </c>
      <c r="K5702">
        <v>6.8704590141569502E-2</v>
      </c>
      <c r="L5702">
        <v>1534.9916118460301</v>
      </c>
      <c r="M5702">
        <v>31.425555756463002</v>
      </c>
      <c r="N5702">
        <v>49.2027986599537</v>
      </c>
      <c r="O5702">
        <v>48.648815706621903</v>
      </c>
      <c r="P5702">
        <v>-0.145010244663792</v>
      </c>
      <c r="Q5702">
        <v>0.102063541339699</v>
      </c>
      <c r="R5702">
        <v>0.99178203210948601</v>
      </c>
      <c r="S5702" t="s">
        <v>12705</v>
      </c>
      <c r="T5702" t="s">
        <v>14004</v>
      </c>
      <c r="U5702" t="s">
        <v>14004</v>
      </c>
      <c r="V5702" t="s">
        <v>14004</v>
      </c>
      <c r="W5702" t="s">
        <v>19651</v>
      </c>
      <c r="X5702">
        <v>26</v>
      </c>
      <c r="Y5702" t="s">
        <v>26451</v>
      </c>
      <c r="Z5702" t="s">
        <v>33412</v>
      </c>
      <c r="AA5702">
        <v>0.37177630158485347</v>
      </c>
      <c r="AB5702" t="str">
        <f>HYPERLINK("Melting_Curves/meltCurve_Q9BUJ2_2_HNRNPUL1.pdf", "Melting_Curves/meltCurve_Q9BUJ2_2_HNRNPUL1.pdf")</f>
        <v>Melting_Curves/meltCurve_Q9BUJ2_2_HNRNPUL1.pdf</v>
      </c>
    </row>
    <row r="5703" spans="1:28" x14ac:dyDescent="0.25">
      <c r="A5703" t="s">
        <v>5707</v>
      </c>
      <c r="B5703">
        <v>0.99999676499088797</v>
      </c>
      <c r="C5703">
        <v>1.45985781861129</v>
      </c>
      <c r="D5703">
        <v>1.30000975129411</v>
      </c>
      <c r="E5703">
        <v>0.99372672539270301</v>
      </c>
      <c r="F5703">
        <v>1.2901507086834001</v>
      </c>
      <c r="G5703">
        <v>1.02778015424731</v>
      </c>
      <c r="H5703">
        <v>0.58803106365949498</v>
      </c>
      <c r="I5703">
        <v>0.66294493841992497</v>
      </c>
      <c r="J5703">
        <v>0.58714671696944398</v>
      </c>
      <c r="K5703">
        <v>0.39503326688641799</v>
      </c>
      <c r="L5703">
        <v>10725.028131122001</v>
      </c>
      <c r="M5703">
        <v>178.73791030425701</v>
      </c>
      <c r="O5703">
        <v>59.996704494141298</v>
      </c>
      <c r="P5703">
        <v>-0.33637196513307399</v>
      </c>
      <c r="Q5703">
        <v>0.54836197381514395</v>
      </c>
      <c r="R5703">
        <v>0.63328227511704605</v>
      </c>
      <c r="S5703" t="s">
        <v>12706</v>
      </c>
      <c r="T5703" t="s">
        <v>14004</v>
      </c>
      <c r="U5703" t="s">
        <v>14004</v>
      </c>
      <c r="V5703" t="s">
        <v>14004</v>
      </c>
      <c r="W5703" t="s">
        <v>19652</v>
      </c>
      <c r="X5703">
        <v>2</v>
      </c>
      <c r="Y5703" t="s">
        <v>26452</v>
      </c>
      <c r="Z5703" t="s">
        <v>33413</v>
      </c>
      <c r="AA5703">
        <v>0.84961052209767562</v>
      </c>
      <c r="AB5703" t="str">
        <f>HYPERLINK("Melting_Curves/meltCurve_Q9BUL9_RPP25.pdf", "Melting_Curves/meltCurve_Q9BUL9_RPP25.pdf")</f>
        <v>Melting_Curves/meltCurve_Q9BUL9_RPP25.pdf</v>
      </c>
    </row>
    <row r="5704" spans="1:28" x14ac:dyDescent="0.25">
      <c r="A5704" t="s">
        <v>5708</v>
      </c>
      <c r="B5704">
        <v>0.99999676499088797</v>
      </c>
      <c r="C5704">
        <v>0.96547238864070695</v>
      </c>
      <c r="D5704">
        <v>0.81719109115044997</v>
      </c>
      <c r="E5704">
        <v>0.53492352708347402</v>
      </c>
      <c r="F5704">
        <v>0.47027416543098599</v>
      </c>
      <c r="G5704">
        <v>0.28959496803065798</v>
      </c>
      <c r="H5704">
        <v>0.17736593591002101</v>
      </c>
      <c r="I5704">
        <v>0.183155792504899</v>
      </c>
      <c r="J5704">
        <v>0.201329121619056</v>
      </c>
      <c r="K5704">
        <v>0.226656396390572</v>
      </c>
      <c r="L5704">
        <v>766.89984700460195</v>
      </c>
      <c r="M5704">
        <v>15.444358205624701</v>
      </c>
      <c r="N5704">
        <v>51.157974762448298</v>
      </c>
      <c r="O5704">
        <v>48.845511199855203</v>
      </c>
      <c r="P5704">
        <v>-6.46415880101993E-2</v>
      </c>
      <c r="Q5704">
        <v>0.182311914222821</v>
      </c>
      <c r="R5704">
        <v>0.98507141178055502</v>
      </c>
      <c r="S5704" t="s">
        <v>12707</v>
      </c>
      <c r="T5704" t="s">
        <v>14004</v>
      </c>
      <c r="U5704" t="s">
        <v>14004</v>
      </c>
      <c r="V5704" t="s">
        <v>14004</v>
      </c>
      <c r="W5704" t="s">
        <v>19653</v>
      </c>
      <c r="X5704">
        <v>2</v>
      </c>
      <c r="Y5704" t="s">
        <v>26453</v>
      </c>
      <c r="Z5704" t="s">
        <v>33414</v>
      </c>
      <c r="AA5704">
        <v>0.46418848727268242</v>
      </c>
      <c r="AB5704" t="str">
        <f>HYPERLINK("Melting_Curves/meltCurve_Q9BUN5_CCDC28B.pdf", "Melting_Curves/meltCurve_Q9BUN5_CCDC28B.pdf")</f>
        <v>Melting_Curves/meltCurve_Q9BUN5_CCDC28B.pdf</v>
      </c>
    </row>
    <row r="5705" spans="1:28" x14ac:dyDescent="0.25">
      <c r="A5705" t="s">
        <v>5709</v>
      </c>
      <c r="B5705">
        <v>0.99999676499088797</v>
      </c>
      <c r="C5705">
        <v>0.5467370329158</v>
      </c>
      <c r="D5705">
        <v>0.62299784018113702</v>
      </c>
      <c r="E5705">
        <v>0.76952041028482099</v>
      </c>
      <c r="F5705">
        <v>0.38437792967261802</v>
      </c>
      <c r="G5705">
        <v>0.25929720648742699</v>
      </c>
      <c r="H5705">
        <v>0</v>
      </c>
      <c r="I5705">
        <v>0</v>
      </c>
      <c r="J5705">
        <v>0</v>
      </c>
      <c r="K5705">
        <v>0</v>
      </c>
      <c r="L5705">
        <v>496.38819644696599</v>
      </c>
      <c r="M5705">
        <v>9.9670048215463893</v>
      </c>
      <c r="N5705">
        <v>49.803146646633003</v>
      </c>
      <c r="O5705">
        <v>47.922773141368701</v>
      </c>
      <c r="P5705">
        <v>-5.20207497878293E-2</v>
      </c>
      <c r="Q5705">
        <v>0</v>
      </c>
      <c r="R5705">
        <v>0.83414402139190402</v>
      </c>
      <c r="S5705" t="s">
        <v>12708</v>
      </c>
      <c r="T5705" t="s">
        <v>14004</v>
      </c>
      <c r="U5705" t="s">
        <v>14004</v>
      </c>
      <c r="V5705" t="s">
        <v>14004</v>
      </c>
      <c r="W5705" t="s">
        <v>19654</v>
      </c>
      <c r="X5705">
        <v>4</v>
      </c>
      <c r="Y5705" t="s">
        <v>26454</v>
      </c>
      <c r="Z5705" t="s">
        <v>33415</v>
      </c>
      <c r="AA5705">
        <v>0.37290993359114222</v>
      </c>
      <c r="AB5705" t="str">
        <f>HYPERLINK("Melting_Curves/meltCurve_Q9BUP0_EFHD1.pdf", "Melting_Curves/meltCurve_Q9BUP0_EFHD1.pdf")</f>
        <v>Melting_Curves/meltCurve_Q9BUP0_EFHD1.pdf</v>
      </c>
    </row>
    <row r="5706" spans="1:28" x14ac:dyDescent="0.25">
      <c r="A5706" t="s">
        <v>5710</v>
      </c>
      <c r="B5706">
        <v>0.99999676499088797</v>
      </c>
      <c r="C5706">
        <v>0.979413935864761</v>
      </c>
      <c r="D5706">
        <v>1.0119410293527999</v>
      </c>
      <c r="E5706">
        <v>1.5306945620210199</v>
      </c>
      <c r="F5706">
        <v>0.56952707296698901</v>
      </c>
      <c r="G5706">
        <v>0.26205276585979398</v>
      </c>
      <c r="H5706">
        <v>0.120327407767765</v>
      </c>
      <c r="I5706">
        <v>0.11336405875675</v>
      </c>
      <c r="J5706">
        <v>0.106455009434351</v>
      </c>
      <c r="K5706">
        <v>9.1558646755163106E-2</v>
      </c>
      <c r="L5706">
        <v>9219.6382010245998</v>
      </c>
      <c r="M5706">
        <v>173.30068692606901</v>
      </c>
      <c r="N5706">
        <v>53.300206610250001</v>
      </c>
      <c r="O5706">
        <v>53.1931564417158</v>
      </c>
      <c r="P5706">
        <v>-0.70147990925437098</v>
      </c>
      <c r="Q5706">
        <v>0.13874708824766599</v>
      </c>
      <c r="R5706">
        <v>0.87531455164139504</v>
      </c>
      <c r="S5706" t="s">
        <v>12709</v>
      </c>
      <c r="T5706" t="s">
        <v>14004</v>
      </c>
      <c r="U5706" t="s">
        <v>14004</v>
      </c>
      <c r="V5706" t="s">
        <v>14004</v>
      </c>
      <c r="W5706" t="s">
        <v>19655</v>
      </c>
      <c r="X5706">
        <v>27</v>
      </c>
      <c r="Y5706" t="s">
        <v>26455</v>
      </c>
      <c r="Z5706" t="s">
        <v>33416</v>
      </c>
      <c r="AA5706">
        <v>0.51787264909597341</v>
      </c>
      <c r="AB5706" t="str">
        <f>HYPERLINK("Melting_Curves/meltCurve_Q9BUQ8_DDX23.pdf", "Melting_Curves/meltCurve_Q9BUQ8_DDX23.pdf")</f>
        <v>Melting_Curves/meltCurve_Q9BUQ8_DDX23.pdf</v>
      </c>
    </row>
    <row r="5707" spans="1:28" x14ac:dyDescent="0.25">
      <c r="A5707" t="s">
        <v>5711</v>
      </c>
      <c r="B5707">
        <v>0.99999676499088797</v>
      </c>
      <c r="C5707">
        <v>1.06154211920592</v>
      </c>
      <c r="D5707">
        <v>0.959089457689556</v>
      </c>
      <c r="E5707">
        <v>0.84252267934260305</v>
      </c>
      <c r="F5707">
        <v>0.64623892645915604</v>
      </c>
      <c r="G5707">
        <v>0.41905302118460702</v>
      </c>
      <c r="H5707">
        <v>0.215165109704399</v>
      </c>
      <c r="I5707">
        <v>0.17652504838260899</v>
      </c>
      <c r="J5707">
        <v>0.17464269199150201</v>
      </c>
      <c r="K5707">
        <v>0.15824141955134099</v>
      </c>
      <c r="L5707">
        <v>974.82193264371199</v>
      </c>
      <c r="M5707">
        <v>17.9821583001352</v>
      </c>
      <c r="N5707">
        <v>55.176195342774598</v>
      </c>
      <c r="O5707">
        <v>53.553418827178298</v>
      </c>
      <c r="P5707">
        <v>-7.2615651136850298E-2</v>
      </c>
      <c r="Q5707">
        <v>0.13500399659707901</v>
      </c>
      <c r="R5707">
        <v>0.99473374345425603</v>
      </c>
      <c r="S5707" t="s">
        <v>12710</v>
      </c>
      <c r="T5707" t="s">
        <v>14004</v>
      </c>
      <c r="U5707" t="s">
        <v>14004</v>
      </c>
      <c r="V5707" t="s">
        <v>14004</v>
      </c>
      <c r="W5707" t="s">
        <v>19656</v>
      </c>
      <c r="X5707">
        <v>11</v>
      </c>
      <c r="Y5707" t="s">
        <v>26456</v>
      </c>
      <c r="Z5707" t="s">
        <v>33417</v>
      </c>
      <c r="AA5707">
        <v>0.55851433519535665</v>
      </c>
      <c r="AB5707" t="str">
        <f>HYPERLINK("Melting_Curves/meltCurve_Q9BUR4_WRAP53.pdf", "Melting_Curves/meltCurve_Q9BUR4_WRAP53.pdf")</f>
        <v>Melting_Curves/meltCurve_Q9BUR4_WRAP53.pdf</v>
      </c>
    </row>
    <row r="5708" spans="1:28" x14ac:dyDescent="0.25">
      <c r="A5708" t="s">
        <v>5712</v>
      </c>
      <c r="B5708">
        <v>0.99999676499088797</v>
      </c>
      <c r="C5708">
        <v>1.05808131205986</v>
      </c>
      <c r="D5708">
        <v>1.0626557915342401</v>
      </c>
      <c r="E5708">
        <v>1.02910494508176</v>
      </c>
      <c r="F5708">
        <v>0.498002105071844</v>
      </c>
      <c r="G5708">
        <v>0.104617461391824</v>
      </c>
      <c r="H5708">
        <v>4.2760715961779598E-2</v>
      </c>
      <c r="I5708">
        <v>2.5792769683202599E-2</v>
      </c>
      <c r="J5708">
        <v>3.2649502744139997E-2</v>
      </c>
      <c r="K5708">
        <v>2.6586495446487501E-2</v>
      </c>
      <c r="L5708">
        <v>2950.1033178348698</v>
      </c>
      <c r="M5708">
        <v>55.513859229814997</v>
      </c>
      <c r="N5708">
        <v>53.2222063484746</v>
      </c>
      <c r="O5708">
        <v>53.072918228877199</v>
      </c>
      <c r="P5708">
        <v>-0.25097275114686801</v>
      </c>
      <c r="Q5708">
        <v>4.0250562270248001E-2</v>
      </c>
      <c r="R5708">
        <v>0.99474484280006203</v>
      </c>
      <c r="S5708" t="s">
        <v>12711</v>
      </c>
      <c r="T5708" t="s">
        <v>14004</v>
      </c>
      <c r="U5708" t="s">
        <v>14004</v>
      </c>
      <c r="V5708" t="s">
        <v>14004</v>
      </c>
      <c r="W5708" t="s">
        <v>19657</v>
      </c>
      <c r="X5708">
        <v>13</v>
      </c>
      <c r="Y5708" t="s">
        <v>26457</v>
      </c>
      <c r="Z5708" t="s">
        <v>33418</v>
      </c>
      <c r="AA5708">
        <v>0.4624996369722934</v>
      </c>
      <c r="AB5708" t="str">
        <f>HYPERLINK("Melting_Curves/meltCurve_Q9BUT1_BDH2.pdf", "Melting_Curves/meltCurve_Q9BUT1_BDH2.pdf")</f>
        <v>Melting_Curves/meltCurve_Q9BUT1_BDH2.pdf</v>
      </c>
    </row>
    <row r="5709" spans="1:28" x14ac:dyDescent="0.25">
      <c r="A5709" t="s">
        <v>5713</v>
      </c>
      <c r="B5709">
        <v>0.99999676499088797</v>
      </c>
      <c r="C5709">
        <v>1.13713717628865</v>
      </c>
      <c r="D5709">
        <v>0.83433919365479403</v>
      </c>
      <c r="E5709">
        <v>0.68800124344233604</v>
      </c>
      <c r="F5709">
        <v>0.75038881140150404</v>
      </c>
      <c r="G5709">
        <v>0.23728332097207799</v>
      </c>
      <c r="H5709">
        <v>0.147352415051164</v>
      </c>
      <c r="I5709">
        <v>9.3705893189034301E-2</v>
      </c>
      <c r="J5709">
        <v>0.13350729780701701</v>
      </c>
      <c r="K5709">
        <v>0.15495406116867499</v>
      </c>
      <c r="L5709">
        <v>874.56985916429403</v>
      </c>
      <c r="M5709">
        <v>16.341170820076599</v>
      </c>
      <c r="N5709">
        <v>54.059520045304097</v>
      </c>
      <c r="O5709">
        <v>52.737180288060998</v>
      </c>
      <c r="P5709">
        <v>-7.16358865562782E-2</v>
      </c>
      <c r="Q5709">
        <v>7.5316681991175097E-2</v>
      </c>
      <c r="R5709">
        <v>0.93173569518735799</v>
      </c>
      <c r="S5709" t="s">
        <v>12712</v>
      </c>
      <c r="T5709" t="s">
        <v>14004</v>
      </c>
      <c r="U5709" t="s">
        <v>14004</v>
      </c>
      <c r="V5709" t="s">
        <v>14004</v>
      </c>
      <c r="W5709" t="s">
        <v>19658</v>
      </c>
      <c r="X5709">
        <v>2</v>
      </c>
      <c r="Y5709" t="s">
        <v>26458</v>
      </c>
      <c r="Z5709" t="s">
        <v>33419</v>
      </c>
      <c r="AA5709">
        <v>0.50930989226957379</v>
      </c>
      <c r="AB5709" t="str">
        <f>HYPERLINK("Melting_Curves/meltCurve_Q9BUT9_FAM195A.pdf", "Melting_Curves/meltCurve_Q9BUT9_FAM195A.pdf")</f>
        <v>Melting_Curves/meltCurve_Q9BUT9_FAM195A.pdf</v>
      </c>
    </row>
    <row r="5710" spans="1:28" x14ac:dyDescent="0.25">
      <c r="A5710" t="s">
        <v>5714</v>
      </c>
      <c r="B5710">
        <v>0.99999676499088797</v>
      </c>
      <c r="C5710">
        <v>0.94000271075548103</v>
      </c>
      <c r="D5710">
        <v>0.95766117755666202</v>
      </c>
      <c r="E5710">
        <v>0.73903179799587104</v>
      </c>
      <c r="F5710">
        <v>0.72279668532002594</v>
      </c>
      <c r="G5710">
        <v>0.70089892247224295</v>
      </c>
      <c r="H5710">
        <v>0.38390676590754902</v>
      </c>
      <c r="I5710">
        <v>0.38153349230392303</v>
      </c>
      <c r="J5710">
        <v>0.43858876655010198</v>
      </c>
      <c r="K5710">
        <v>0.51234436169442399</v>
      </c>
      <c r="L5710">
        <v>642.15664899698902</v>
      </c>
      <c r="M5710">
        <v>12.097633713902299</v>
      </c>
      <c r="N5710">
        <v>60.770170871985101</v>
      </c>
      <c r="O5710">
        <v>51.693205983546697</v>
      </c>
      <c r="P5710">
        <v>-3.5591975185919403E-2</v>
      </c>
      <c r="Q5710">
        <v>0.39180384370578403</v>
      </c>
      <c r="R5710">
        <v>0.90023077962624498</v>
      </c>
      <c r="S5710" t="s">
        <v>12713</v>
      </c>
      <c r="T5710" t="s">
        <v>14004</v>
      </c>
      <c r="U5710" t="s">
        <v>14004</v>
      </c>
      <c r="V5710" t="s">
        <v>14004</v>
      </c>
      <c r="W5710" t="s">
        <v>19659</v>
      </c>
      <c r="X5710">
        <v>3</v>
      </c>
      <c r="Y5710" t="s">
        <v>26459</v>
      </c>
      <c r="Z5710" t="s">
        <v>33420</v>
      </c>
      <c r="AA5710">
        <v>0.67405308479105985</v>
      </c>
      <c r="AB5710" t="str">
        <f>HYPERLINK("Melting_Curves/meltCurve_Q9BUW7_C9orf16.pdf", "Melting_Curves/meltCurve_Q9BUW7_C9orf16.pdf")</f>
        <v>Melting_Curves/meltCurve_Q9BUW7_C9orf16.pdf</v>
      </c>
    </row>
    <row r="5711" spans="1:28" x14ac:dyDescent="0.25">
      <c r="A5711" t="s">
        <v>5715</v>
      </c>
      <c r="B5711">
        <v>0.99999676499088797</v>
      </c>
      <c r="C5711">
        <v>1.0948177956123299</v>
      </c>
      <c r="D5711">
        <v>1.2092401157885799</v>
      </c>
      <c r="E5711">
        <v>1.1943475090095801</v>
      </c>
      <c r="F5711">
        <v>1.3525058926859499</v>
      </c>
      <c r="G5711">
        <v>1.25486428106407</v>
      </c>
      <c r="H5711">
        <v>0.56153972750185899</v>
      </c>
      <c r="I5711">
        <v>8.6840915559745005E-2</v>
      </c>
      <c r="J5711">
        <v>9.7754941532539302E-2</v>
      </c>
      <c r="K5711">
        <v>0</v>
      </c>
      <c r="L5711">
        <v>7273.9267367789898</v>
      </c>
      <c r="M5711">
        <v>119.50161481879501</v>
      </c>
      <c r="N5711">
        <v>60.934659925669401</v>
      </c>
      <c r="O5711">
        <v>60.8518160478936</v>
      </c>
      <c r="P5711">
        <v>-0.46122855145948799</v>
      </c>
      <c r="Q5711">
        <v>6.0545107906634699E-2</v>
      </c>
      <c r="R5711">
        <v>0.89262420136790999</v>
      </c>
      <c r="S5711" t="s">
        <v>12714</v>
      </c>
      <c r="T5711" t="s">
        <v>14004</v>
      </c>
      <c r="U5711" t="s">
        <v>14004</v>
      </c>
      <c r="V5711" t="s">
        <v>14004</v>
      </c>
      <c r="W5711" t="s">
        <v>19660</v>
      </c>
      <c r="X5711">
        <v>1</v>
      </c>
      <c r="Y5711" t="s">
        <v>26460</v>
      </c>
      <c r="Z5711" t="s">
        <v>33421</v>
      </c>
      <c r="AA5711">
        <v>0.71449631629401145</v>
      </c>
      <c r="AB5711" t="str">
        <f>HYPERLINK("Melting_Curves/meltCurve_Q9BV10_ALG12.pdf", "Melting_Curves/meltCurve_Q9BV10_ALG12.pdf")</f>
        <v>Melting_Curves/meltCurve_Q9BV10_ALG12.pdf</v>
      </c>
    </row>
    <row r="5712" spans="1:28" x14ac:dyDescent="0.25">
      <c r="A5712" t="s">
        <v>5716</v>
      </c>
      <c r="B5712">
        <v>0.99999676499088797</v>
      </c>
      <c r="C5712">
        <v>1.0379897046304201</v>
      </c>
      <c r="D5712">
        <v>1.1235630566966901</v>
      </c>
      <c r="E5712">
        <v>1.28512102996999</v>
      </c>
      <c r="F5712">
        <v>1.03444256876086</v>
      </c>
      <c r="G5712">
        <v>1.0640805662645501</v>
      </c>
      <c r="H5712">
        <v>0.41794093551200001</v>
      </c>
      <c r="I5712">
        <v>0.27332807970341899</v>
      </c>
      <c r="J5712">
        <v>0.207404060632459</v>
      </c>
      <c r="K5712">
        <v>0.220584971264494</v>
      </c>
      <c r="L5712">
        <v>9316.2245507461703</v>
      </c>
      <c r="M5712">
        <v>154.377418785477</v>
      </c>
      <c r="N5712">
        <v>60.594370960937901</v>
      </c>
      <c r="O5712">
        <v>60.336962512181202</v>
      </c>
      <c r="P5712">
        <v>-0.490149002662079</v>
      </c>
      <c r="Q5712">
        <v>0.233719751975909</v>
      </c>
      <c r="R5712">
        <v>0.93632171284036203</v>
      </c>
      <c r="S5712" t="s">
        <v>12715</v>
      </c>
      <c r="T5712" t="s">
        <v>14004</v>
      </c>
      <c r="U5712" t="s">
        <v>14004</v>
      </c>
      <c r="V5712" t="s">
        <v>14004</v>
      </c>
      <c r="W5712" t="s">
        <v>19661</v>
      </c>
      <c r="X5712">
        <v>3</v>
      </c>
      <c r="Y5712" t="s">
        <v>26461</v>
      </c>
      <c r="Z5712" t="s">
        <v>33422</v>
      </c>
      <c r="AA5712">
        <v>0.75365119425004812</v>
      </c>
      <c r="AB5712" t="str">
        <f>HYPERLINK("Melting_Curves/meltCurve_Q9BV19_C1orf50.pdf", "Melting_Curves/meltCurve_Q9BV19_C1orf50.pdf")</f>
        <v>Melting_Curves/meltCurve_Q9BV19_C1orf50.pdf</v>
      </c>
    </row>
    <row r="5713" spans="1:28" x14ac:dyDescent="0.25">
      <c r="A5713" t="s">
        <v>5717</v>
      </c>
      <c r="B5713">
        <v>0.99999676499088797</v>
      </c>
      <c r="C5713">
        <v>1.0434304379299</v>
      </c>
      <c r="D5713">
        <v>1.00842988086562</v>
      </c>
      <c r="E5713">
        <v>1.02219782469646</v>
      </c>
      <c r="F5713">
        <v>0.77470966170843203</v>
      </c>
      <c r="G5713">
        <v>0.40147199740165301</v>
      </c>
      <c r="H5713">
        <v>0.13972598727398899</v>
      </c>
      <c r="I5713">
        <v>0.10275362087765599</v>
      </c>
      <c r="J5713">
        <v>9.1721368381304902E-2</v>
      </c>
      <c r="K5713">
        <v>9.1817874808525005E-2</v>
      </c>
      <c r="L5713">
        <v>1640.1632711516099</v>
      </c>
      <c r="M5713">
        <v>29.581083014097899</v>
      </c>
      <c r="N5713">
        <v>55.803218596723802</v>
      </c>
      <c r="O5713">
        <v>55.194814369327098</v>
      </c>
      <c r="P5713">
        <v>-0.12243923285592501</v>
      </c>
      <c r="Q5713">
        <v>8.61776045563655E-2</v>
      </c>
      <c r="R5713">
        <v>0.99701457573878005</v>
      </c>
      <c r="S5713" t="s">
        <v>12716</v>
      </c>
      <c r="T5713" t="s">
        <v>14004</v>
      </c>
      <c r="U5713" t="s">
        <v>14004</v>
      </c>
      <c r="V5713" t="s">
        <v>14004</v>
      </c>
      <c r="W5713" t="s">
        <v>19662</v>
      </c>
      <c r="X5713">
        <v>10</v>
      </c>
      <c r="Y5713" t="s">
        <v>26462</v>
      </c>
      <c r="Z5713" t="s">
        <v>33423</v>
      </c>
      <c r="AA5713">
        <v>0.56292636468183987</v>
      </c>
      <c r="AB5713" t="str">
        <f>HYPERLINK("Melting_Curves/meltCurve_Q9BV20_MRI1.pdf", "Melting_Curves/meltCurve_Q9BV20_MRI1.pdf")</f>
        <v>Melting_Curves/meltCurve_Q9BV20_MRI1.pdf</v>
      </c>
    </row>
    <row r="5714" spans="1:28" x14ac:dyDescent="0.25">
      <c r="A5714" t="s">
        <v>5718</v>
      </c>
      <c r="B5714">
        <v>0.99999676499088797</v>
      </c>
      <c r="C5714">
        <v>0.93223906860527195</v>
      </c>
      <c r="D5714">
        <v>0.574475072076713</v>
      </c>
      <c r="E5714">
        <v>0.32305687865779198</v>
      </c>
      <c r="F5714">
        <v>0.196456912792076</v>
      </c>
      <c r="G5714">
        <v>9.75362723506355E-2</v>
      </c>
      <c r="H5714">
        <v>5.55132016027374E-2</v>
      </c>
      <c r="I5714">
        <v>5.3320029036873898E-2</v>
      </c>
      <c r="J5714">
        <v>7.6221532335743997E-2</v>
      </c>
      <c r="K5714">
        <v>4.39522139707378E-2</v>
      </c>
      <c r="L5714">
        <v>912.58434353458495</v>
      </c>
      <c r="M5714">
        <v>19.4062883319652</v>
      </c>
      <c r="N5714">
        <v>47.346658026404697</v>
      </c>
      <c r="O5714">
        <v>46.534386807279901</v>
      </c>
      <c r="P5714">
        <v>-9.78259772882904E-2</v>
      </c>
      <c r="Q5714">
        <v>6.1725791882261301E-2</v>
      </c>
      <c r="R5714">
        <v>0.99143241292398299</v>
      </c>
      <c r="S5714" t="s">
        <v>12717</v>
      </c>
      <c r="T5714" t="s">
        <v>14004</v>
      </c>
      <c r="U5714" t="s">
        <v>14004</v>
      </c>
      <c r="V5714" t="s">
        <v>14004</v>
      </c>
      <c r="W5714" t="s">
        <v>19663</v>
      </c>
      <c r="X5714">
        <v>3</v>
      </c>
      <c r="Y5714" t="s">
        <v>26463</v>
      </c>
      <c r="Z5714" t="s">
        <v>33424</v>
      </c>
      <c r="AA5714">
        <v>0.29610888694294291</v>
      </c>
      <c r="AB5714" t="str">
        <f>HYPERLINK("Melting_Curves/meltCurve_Q9BV23_ABHD6.pdf", "Melting_Curves/meltCurve_Q9BV23_ABHD6.pdf")</f>
        <v>Melting_Curves/meltCurve_Q9BV23_ABHD6.pdf</v>
      </c>
    </row>
    <row r="5715" spans="1:28" x14ac:dyDescent="0.25">
      <c r="A5715" t="s">
        <v>5719</v>
      </c>
      <c r="B5715">
        <v>0.99999676499088797</v>
      </c>
      <c r="C5715">
        <v>0.93812461618272203</v>
      </c>
      <c r="D5715">
        <v>0.92395052954110002</v>
      </c>
      <c r="E5715">
        <v>0.82909072072079704</v>
      </c>
      <c r="F5715">
        <v>0.70297705583494097</v>
      </c>
      <c r="G5715">
        <v>0.248705621874899</v>
      </c>
      <c r="H5715">
        <v>0.10985276063574</v>
      </c>
      <c r="I5715">
        <v>0.110422567339857</v>
      </c>
      <c r="J5715">
        <v>9.1554013686423102E-2</v>
      </c>
      <c r="K5715">
        <v>7.8372470743340597E-2</v>
      </c>
      <c r="L5715">
        <v>1268.01817848418</v>
      </c>
      <c r="M5715">
        <v>23.430286898592399</v>
      </c>
      <c r="N5715">
        <v>54.455885128282603</v>
      </c>
      <c r="O5715">
        <v>53.729163582324396</v>
      </c>
      <c r="P5715">
        <v>-0.101662181792617</v>
      </c>
      <c r="Q5715">
        <v>6.7509669097310099E-2</v>
      </c>
      <c r="R5715">
        <v>0.98511158709380398</v>
      </c>
      <c r="S5715" t="s">
        <v>12718</v>
      </c>
      <c r="T5715" t="s">
        <v>14004</v>
      </c>
      <c r="U5715" t="s">
        <v>14004</v>
      </c>
      <c r="V5715" t="s">
        <v>14004</v>
      </c>
      <c r="W5715" t="s">
        <v>19664</v>
      </c>
      <c r="X5715">
        <v>8</v>
      </c>
      <c r="Y5715" t="s">
        <v>26464</v>
      </c>
      <c r="Z5715" t="s">
        <v>33425</v>
      </c>
      <c r="AA5715">
        <v>0.5160555633050915</v>
      </c>
      <c r="AB5715" t="str">
        <f>HYPERLINK("Melting_Curves/meltCurve_Q9BV38_WDR18.pdf", "Melting_Curves/meltCurve_Q9BV38_WDR18.pdf")</f>
        <v>Melting_Curves/meltCurve_Q9BV38_WDR18.pdf</v>
      </c>
    </row>
    <row r="5716" spans="1:28" x14ac:dyDescent="0.25">
      <c r="A5716" t="s">
        <v>5720</v>
      </c>
      <c r="B5716">
        <v>0.99999676499088797</v>
      </c>
      <c r="C5716">
        <v>1.0518834501024801</v>
      </c>
      <c r="D5716">
        <v>1.0715792050227999</v>
      </c>
      <c r="E5716">
        <v>1.18767784239174</v>
      </c>
      <c r="F5716">
        <v>0.64950816433955405</v>
      </c>
      <c r="G5716">
        <v>0.23554822897362601</v>
      </c>
      <c r="H5716">
        <v>0.103285245222152</v>
      </c>
      <c r="I5716">
        <v>7.7465162026581394E-2</v>
      </c>
      <c r="J5716">
        <v>7.0161446079932799E-2</v>
      </c>
      <c r="K5716">
        <v>5.76778562790893E-2</v>
      </c>
      <c r="L5716">
        <v>2304.4184270781998</v>
      </c>
      <c r="M5716">
        <v>42.637097364719601</v>
      </c>
      <c r="N5716">
        <v>54.279135653721902</v>
      </c>
      <c r="O5716">
        <v>53.928788885279999</v>
      </c>
      <c r="P5716">
        <v>-0.181197158736325</v>
      </c>
      <c r="Q5716">
        <v>8.3265418157524806E-2</v>
      </c>
      <c r="R5716">
        <v>0.97376016582829905</v>
      </c>
      <c r="S5716" t="s">
        <v>12719</v>
      </c>
      <c r="T5716" t="s">
        <v>14004</v>
      </c>
      <c r="U5716" t="s">
        <v>14004</v>
      </c>
      <c r="V5716" t="s">
        <v>14004</v>
      </c>
      <c r="W5716" t="s">
        <v>19665</v>
      </c>
      <c r="X5716">
        <v>12</v>
      </c>
      <c r="Y5716" t="s">
        <v>26465</v>
      </c>
      <c r="Z5716" t="s">
        <v>33426</v>
      </c>
      <c r="AA5716">
        <v>0.51552691782091009</v>
      </c>
      <c r="AB5716" t="str">
        <f>HYPERLINK("Melting_Curves/meltCurve_Q9BV44_THUMPD3.pdf", "Melting_Curves/meltCurve_Q9BV44_THUMPD3.pdf")</f>
        <v>Melting_Curves/meltCurve_Q9BV44_THUMPD3.pdf</v>
      </c>
    </row>
    <row r="5717" spans="1:28" x14ac:dyDescent="0.25">
      <c r="A5717" t="s">
        <v>5721</v>
      </c>
      <c r="B5717">
        <v>0.99999676499088797</v>
      </c>
      <c r="C5717">
        <v>0.77902159237169699</v>
      </c>
      <c r="D5717">
        <v>0.60038638454072402</v>
      </c>
      <c r="E5717">
        <v>0.262607551401423</v>
      </c>
      <c r="F5717">
        <v>0.14436895917025899</v>
      </c>
      <c r="G5717">
        <v>8.2721630961065398E-2</v>
      </c>
      <c r="H5717">
        <v>4.6910604638111801E-2</v>
      </c>
      <c r="I5717">
        <v>4.3474019083494797E-2</v>
      </c>
      <c r="J5717">
        <v>4.4119110103008702E-2</v>
      </c>
      <c r="K5717">
        <v>5.0654655793983698E-2</v>
      </c>
      <c r="L5717">
        <v>826.99018384144404</v>
      </c>
      <c r="M5717">
        <v>17.7662078504273</v>
      </c>
      <c r="N5717">
        <v>46.7720209452417</v>
      </c>
      <c r="O5717">
        <v>45.970758977779397</v>
      </c>
      <c r="P5717">
        <v>-9.2689298982362694E-2</v>
      </c>
      <c r="Q5717">
        <v>4.07010638102525E-2</v>
      </c>
      <c r="R5717">
        <v>0.99454748279051797</v>
      </c>
      <c r="S5717" t="s">
        <v>12720</v>
      </c>
      <c r="T5717" t="s">
        <v>14004</v>
      </c>
      <c r="U5717" t="s">
        <v>14004</v>
      </c>
      <c r="V5717" t="s">
        <v>14004</v>
      </c>
      <c r="W5717" t="s">
        <v>19666</v>
      </c>
      <c r="X5717">
        <v>13</v>
      </c>
      <c r="Y5717" t="s">
        <v>26466</v>
      </c>
      <c r="Z5717" t="s">
        <v>33427</v>
      </c>
      <c r="AA5717">
        <v>0.26877145086245591</v>
      </c>
      <c r="AB5717" t="str">
        <f>HYPERLINK("Melting_Curves/meltCurve_Q9BV57_ADI1.pdf", "Melting_Curves/meltCurve_Q9BV57_ADI1.pdf")</f>
        <v>Melting_Curves/meltCurve_Q9BV57_ADI1.pdf</v>
      </c>
    </row>
    <row r="5718" spans="1:28" x14ac:dyDescent="0.25">
      <c r="A5718" t="s">
        <v>5722</v>
      </c>
      <c r="B5718">
        <v>0.99999676499088797</v>
      </c>
      <c r="C5718">
        <v>1.0755884627544401</v>
      </c>
      <c r="D5718">
        <v>1.0373568739524099</v>
      </c>
      <c r="E5718">
        <v>0.81371428611955599</v>
      </c>
      <c r="F5718">
        <v>0.75189231624380204</v>
      </c>
      <c r="G5718">
        <v>0.57900445284467295</v>
      </c>
      <c r="H5718">
        <v>0.427408559188447</v>
      </c>
      <c r="I5718">
        <v>0.507304022654401</v>
      </c>
      <c r="J5718">
        <v>0.57932810979571303</v>
      </c>
      <c r="K5718">
        <v>0.77648983125397297</v>
      </c>
      <c r="L5718">
        <v>1370.8273035161901</v>
      </c>
      <c r="M5718">
        <v>26.800759860605101</v>
      </c>
      <c r="O5718">
        <v>50.866597995206099</v>
      </c>
      <c r="P5718">
        <v>-5.6084740586533899E-2</v>
      </c>
      <c r="Q5718">
        <v>0.57421940948694905</v>
      </c>
      <c r="R5718">
        <v>0.81867853781831401</v>
      </c>
      <c r="S5718" t="s">
        <v>12721</v>
      </c>
      <c r="T5718" t="s">
        <v>14004</v>
      </c>
      <c r="U5718" t="s">
        <v>14004</v>
      </c>
      <c r="V5718" t="s">
        <v>14004</v>
      </c>
      <c r="W5718" t="s">
        <v>19667</v>
      </c>
      <c r="X5718">
        <v>4</v>
      </c>
      <c r="Y5718" t="s">
        <v>26467</v>
      </c>
      <c r="Z5718" t="s">
        <v>33428</v>
      </c>
      <c r="AA5718">
        <v>0.73581026817678163</v>
      </c>
      <c r="AB5718" t="str">
        <f>HYPERLINK("Melting_Curves/meltCurve_Q9BV68_2_RNF126.pdf", "Melting_Curves/meltCurve_Q9BV68_2_RNF126.pdf")</f>
        <v>Melting_Curves/meltCurve_Q9BV68_2_RNF126.pdf</v>
      </c>
    </row>
    <row r="5719" spans="1:28" x14ac:dyDescent="0.25">
      <c r="A5719" t="s">
        <v>5723</v>
      </c>
      <c r="B5719">
        <v>0.99999676499088797</v>
      </c>
      <c r="C5719">
        <v>1.0000551001578299</v>
      </c>
      <c r="D5719">
        <v>0.95827428890204802</v>
      </c>
      <c r="E5719">
        <v>0.74768690335096399</v>
      </c>
      <c r="F5719">
        <v>0.42444863623736701</v>
      </c>
      <c r="G5719">
        <v>0.16583836598625601</v>
      </c>
      <c r="H5719">
        <v>6.7115820606558393E-2</v>
      </c>
      <c r="I5719">
        <v>5.3937550929953802E-2</v>
      </c>
      <c r="J5719">
        <v>4.72862781062365E-2</v>
      </c>
      <c r="K5719">
        <v>5.87491895611231E-2</v>
      </c>
      <c r="L5719">
        <v>1150.40311360296</v>
      </c>
      <c r="M5719">
        <v>22.090886189796699</v>
      </c>
      <c r="N5719">
        <v>52.277502890376198</v>
      </c>
      <c r="O5719">
        <v>51.654810589610904</v>
      </c>
      <c r="P5719">
        <v>-0.102552928519783</v>
      </c>
      <c r="Q5719">
        <v>4.0828745283932801E-2</v>
      </c>
      <c r="R5719">
        <v>0.99944489252069701</v>
      </c>
      <c r="S5719" t="s">
        <v>12722</v>
      </c>
      <c r="T5719" t="s">
        <v>14004</v>
      </c>
      <c r="U5719" t="s">
        <v>14004</v>
      </c>
      <c r="V5719" t="s">
        <v>14004</v>
      </c>
      <c r="W5719" t="s">
        <v>19668</v>
      </c>
      <c r="X5719">
        <v>8</v>
      </c>
      <c r="Y5719" t="s">
        <v>26468</v>
      </c>
      <c r="Z5719" t="s">
        <v>33429</v>
      </c>
      <c r="AA5719">
        <v>0.43799543582245742</v>
      </c>
      <c r="AB5719" t="str">
        <f>HYPERLINK("Melting_Curves/meltCurve_Q9BV79_MECR.pdf", "Melting_Curves/meltCurve_Q9BV79_MECR.pdf")</f>
        <v>Melting_Curves/meltCurve_Q9BV79_MECR.pdf</v>
      </c>
    </row>
    <row r="5720" spans="1:28" x14ac:dyDescent="0.25">
      <c r="A5720" t="s">
        <v>5724</v>
      </c>
      <c r="B5720">
        <v>0.99999676499088797</v>
      </c>
      <c r="C5720">
        <v>0.89578793126846801</v>
      </c>
      <c r="D5720">
        <v>0.91291360269775901</v>
      </c>
      <c r="E5720">
        <v>0.86394048851347804</v>
      </c>
      <c r="F5720">
        <v>0.548670332714006</v>
      </c>
      <c r="G5720">
        <v>0.38682513527558698</v>
      </c>
      <c r="H5720">
        <v>0.212589101492766</v>
      </c>
      <c r="I5720">
        <v>0.23506384871793501</v>
      </c>
      <c r="J5720">
        <v>0.20025382513631601</v>
      </c>
      <c r="K5720">
        <v>9.7395088726908496E-2</v>
      </c>
      <c r="L5720">
        <v>824.67174067213602</v>
      </c>
      <c r="M5720">
        <v>15.4049835668344</v>
      </c>
      <c r="N5720">
        <v>54.551546527158003</v>
      </c>
      <c r="O5720">
        <v>52.655031138419702</v>
      </c>
      <c r="P5720">
        <v>-6.4004055166088494E-2</v>
      </c>
      <c r="Q5720">
        <v>0.12500294197385201</v>
      </c>
      <c r="R5720">
        <v>0.98201907794140197</v>
      </c>
      <c r="S5720" t="s">
        <v>12723</v>
      </c>
      <c r="T5720" t="s">
        <v>14004</v>
      </c>
      <c r="U5720" t="s">
        <v>14004</v>
      </c>
      <c r="V5720" t="s">
        <v>14004</v>
      </c>
      <c r="W5720" t="s">
        <v>19669</v>
      </c>
      <c r="X5720">
        <v>1</v>
      </c>
      <c r="Y5720" t="s">
        <v>26469</v>
      </c>
      <c r="Z5720" t="s">
        <v>33430</v>
      </c>
      <c r="AA5720">
        <v>0.53745155000179234</v>
      </c>
      <c r="AB5720" t="str">
        <f>HYPERLINK("Melting_Curves/meltCurve_Q9BV81_EMC6.pdf", "Melting_Curves/meltCurve_Q9BV81_EMC6.pdf")</f>
        <v>Melting_Curves/meltCurve_Q9BV81_EMC6.pdf</v>
      </c>
    </row>
    <row r="5721" spans="1:28" x14ac:dyDescent="0.25">
      <c r="A5721" t="s">
        <v>5725</v>
      </c>
      <c r="B5721">
        <v>0.99999676499088797</v>
      </c>
      <c r="C5721">
        <v>0.94975256161196098</v>
      </c>
      <c r="D5721">
        <v>0.96387222551656704</v>
      </c>
      <c r="E5721">
        <v>0.88041602221391302</v>
      </c>
      <c r="F5721">
        <v>0.30372181248840002</v>
      </c>
      <c r="G5721">
        <v>0.25558904890042</v>
      </c>
      <c r="H5721">
        <v>0.121566812369361</v>
      </c>
      <c r="I5721">
        <v>0.14289023826442701</v>
      </c>
      <c r="J5721">
        <v>0.112617545328312</v>
      </c>
      <c r="K5721">
        <v>8.8947854635019197E-2</v>
      </c>
      <c r="L5721">
        <v>2148.6508230066502</v>
      </c>
      <c r="M5721">
        <v>41.646378871325801</v>
      </c>
      <c r="N5721">
        <v>51.991013973300603</v>
      </c>
      <c r="O5721">
        <v>51.474210114171697</v>
      </c>
      <c r="P5721">
        <v>-0.174644958302799</v>
      </c>
      <c r="Q5721">
        <v>0.13656882259084999</v>
      </c>
      <c r="R5721">
        <v>0.988274408438096</v>
      </c>
      <c r="S5721" t="s">
        <v>12724</v>
      </c>
      <c r="T5721" t="s">
        <v>14004</v>
      </c>
      <c r="U5721" t="s">
        <v>14004</v>
      </c>
      <c r="V5721" t="s">
        <v>14004</v>
      </c>
      <c r="W5721" t="s">
        <v>19670</v>
      </c>
      <c r="X5721">
        <v>12</v>
      </c>
      <c r="Y5721" t="s">
        <v>26470</v>
      </c>
      <c r="Z5721" t="s">
        <v>33431</v>
      </c>
      <c r="AA5721">
        <v>0.47305824625630072</v>
      </c>
      <c r="AB5721" t="str">
        <f>HYPERLINK("Melting_Curves/meltCurve_Q9BV86_NTMT1.pdf", "Melting_Curves/meltCurve_Q9BV86_NTMT1.pdf")</f>
        <v>Melting_Curves/meltCurve_Q9BV86_NTMT1.pdf</v>
      </c>
    </row>
    <row r="5722" spans="1:28" x14ac:dyDescent="0.25">
      <c r="A5722" t="s">
        <v>5726</v>
      </c>
      <c r="B5722">
        <v>0.99999676499088797</v>
      </c>
      <c r="C5722">
        <v>0.94340616288487</v>
      </c>
      <c r="D5722">
        <v>0.87546945208891602</v>
      </c>
      <c r="E5722">
        <v>0.63765783324583003</v>
      </c>
      <c r="F5722">
        <v>0.32126911938623198</v>
      </c>
      <c r="G5722">
        <v>0.13919156326601201</v>
      </c>
      <c r="H5722">
        <v>5.6267011985893699E-2</v>
      </c>
      <c r="I5722">
        <v>6.4015910206510401E-2</v>
      </c>
      <c r="J5722">
        <v>6.4729215066173407E-2</v>
      </c>
      <c r="K5722">
        <v>5.67042124598168E-2</v>
      </c>
      <c r="L5722">
        <v>983.75663633531803</v>
      </c>
      <c r="M5722">
        <v>19.393672808812099</v>
      </c>
      <c r="N5722">
        <v>50.960397657764197</v>
      </c>
      <c r="O5722">
        <v>50.1955496779239</v>
      </c>
      <c r="P5722">
        <v>-9.2466558801785906E-2</v>
      </c>
      <c r="Q5722">
        <v>4.2731271790117598E-2</v>
      </c>
      <c r="R5722">
        <v>0.99856418280835102</v>
      </c>
      <c r="S5722" t="s">
        <v>12725</v>
      </c>
      <c r="T5722" t="s">
        <v>14004</v>
      </c>
      <c r="U5722" t="s">
        <v>14004</v>
      </c>
      <c r="V5722" t="s">
        <v>14004</v>
      </c>
      <c r="W5722" t="s">
        <v>19671</v>
      </c>
      <c r="X5722">
        <v>15</v>
      </c>
      <c r="Y5722" t="s">
        <v>26471</v>
      </c>
      <c r="Z5722" t="s">
        <v>33432</v>
      </c>
      <c r="AA5722">
        <v>0.39906736112503233</v>
      </c>
      <c r="AB5722" t="str">
        <f>HYPERLINK("Melting_Curves/meltCurve_Q9BVA0_KATNB1.pdf", "Melting_Curves/meltCurve_Q9BVA0_KATNB1.pdf")</f>
        <v>Melting_Curves/meltCurve_Q9BVA0_KATNB1.pdf</v>
      </c>
    </row>
    <row r="5723" spans="1:28" x14ac:dyDescent="0.25">
      <c r="A5723" t="s">
        <v>5727</v>
      </c>
      <c r="B5723">
        <v>0.99999676499088797</v>
      </c>
      <c r="C5723">
        <v>0.88292645232429701</v>
      </c>
      <c r="D5723">
        <v>0.61554975980994697</v>
      </c>
      <c r="E5723">
        <v>0.27591596417453601</v>
      </c>
      <c r="F5723">
        <v>0.238844452277199</v>
      </c>
      <c r="G5723">
        <v>0.13892400406707101</v>
      </c>
      <c r="H5723">
        <v>7.0062482893771399E-2</v>
      </c>
      <c r="I5723">
        <v>7.0058439856820504E-2</v>
      </c>
      <c r="J5723">
        <v>6.6658664220986694E-2</v>
      </c>
      <c r="K5723">
        <v>4.5562730772881699E-2</v>
      </c>
      <c r="L5723">
        <v>878.90721055277595</v>
      </c>
      <c r="M5723">
        <v>18.725116762086898</v>
      </c>
      <c r="N5723">
        <v>47.336704759231097</v>
      </c>
      <c r="O5723">
        <v>46.411842181552402</v>
      </c>
      <c r="P5723">
        <v>-9.3498190780375898E-2</v>
      </c>
      <c r="Q5723">
        <v>7.3065313518427197E-2</v>
      </c>
      <c r="R5723">
        <v>0.99024398203819397</v>
      </c>
      <c r="S5723" t="s">
        <v>12726</v>
      </c>
      <c r="T5723" t="s">
        <v>14004</v>
      </c>
      <c r="U5723" t="s">
        <v>14004</v>
      </c>
      <c r="V5723" t="s">
        <v>14004</v>
      </c>
      <c r="W5723" t="s">
        <v>19672</v>
      </c>
      <c r="X5723">
        <v>9</v>
      </c>
      <c r="Y5723" t="s">
        <v>26472</v>
      </c>
      <c r="Z5723" t="s">
        <v>33433</v>
      </c>
      <c r="AA5723">
        <v>0.30314795744632739</v>
      </c>
      <c r="AB5723" t="str">
        <f>HYPERLINK("Melting_Curves/meltCurve_Q9BVC3_DSCC1.pdf", "Melting_Curves/meltCurve_Q9BVC3_DSCC1.pdf")</f>
        <v>Melting_Curves/meltCurve_Q9BVC3_DSCC1.pdf</v>
      </c>
    </row>
    <row r="5724" spans="1:28" x14ac:dyDescent="0.25">
      <c r="A5724" t="s">
        <v>5728</v>
      </c>
      <c r="B5724">
        <v>0.99999676499088797</v>
      </c>
      <c r="C5724">
        <v>0.98931080658271497</v>
      </c>
      <c r="D5724">
        <v>0.74236715197282199</v>
      </c>
      <c r="E5724">
        <v>0.42739447030930799</v>
      </c>
      <c r="F5724">
        <v>0.175253939805356</v>
      </c>
      <c r="G5724">
        <v>0.130698157416204</v>
      </c>
      <c r="H5724">
        <v>5.8040611759859098E-2</v>
      </c>
      <c r="I5724">
        <v>9.3018998507132897E-2</v>
      </c>
      <c r="J5724">
        <v>0.20885604439259001</v>
      </c>
      <c r="K5724">
        <v>0.105331102459223</v>
      </c>
      <c r="L5724">
        <v>1147.45215707073</v>
      </c>
      <c r="M5724">
        <v>23.869392834067099</v>
      </c>
      <c r="N5724">
        <v>48.589282123747402</v>
      </c>
      <c r="O5724">
        <v>47.738525919146902</v>
      </c>
      <c r="P5724">
        <v>-0.110980880213834</v>
      </c>
      <c r="Q5724">
        <v>0.112172383604109</v>
      </c>
      <c r="R5724">
        <v>0.98692720207981</v>
      </c>
      <c r="S5724" t="s">
        <v>12727</v>
      </c>
      <c r="T5724" t="s">
        <v>14004</v>
      </c>
      <c r="U5724" t="s">
        <v>14004</v>
      </c>
      <c r="V5724" t="s">
        <v>14004</v>
      </c>
      <c r="W5724" t="s">
        <v>19673</v>
      </c>
      <c r="X5724">
        <v>5</v>
      </c>
      <c r="Y5724" t="s">
        <v>26473</v>
      </c>
      <c r="Z5724" t="s">
        <v>33434</v>
      </c>
      <c r="AA5724">
        <v>0.35971588076045052</v>
      </c>
      <c r="AB5724" t="str">
        <f>HYPERLINK("Melting_Curves/meltCurve_Q9BVC4_MLST8.pdf", "Melting_Curves/meltCurve_Q9BVC4_MLST8.pdf")</f>
        <v>Melting_Curves/meltCurve_Q9BVC4_MLST8.pdf</v>
      </c>
    </row>
    <row r="5725" spans="1:28" x14ac:dyDescent="0.25">
      <c r="A5725" t="s">
        <v>5729</v>
      </c>
      <c r="B5725">
        <v>0.99999676499088797</v>
      </c>
      <c r="C5725">
        <v>1.0086128074630101</v>
      </c>
      <c r="D5725">
        <v>0.91376633478159996</v>
      </c>
      <c r="E5725">
        <v>0.62204333005536505</v>
      </c>
      <c r="F5725">
        <v>0.32900926823420301</v>
      </c>
      <c r="G5725">
        <v>0.26041844585905</v>
      </c>
      <c r="H5725">
        <v>0.178290409483288</v>
      </c>
      <c r="I5725">
        <v>0.15900368644620799</v>
      </c>
      <c r="J5725">
        <v>0.23905765546850799</v>
      </c>
      <c r="K5725">
        <v>0.16842481098451301</v>
      </c>
      <c r="L5725">
        <v>1231.0407756132799</v>
      </c>
      <c r="M5725">
        <v>24.662181723753498</v>
      </c>
      <c r="N5725">
        <v>50.894925946487099</v>
      </c>
      <c r="O5725">
        <v>49.591412696018097</v>
      </c>
      <c r="P5725">
        <v>-0.100850705078253</v>
      </c>
      <c r="Q5725">
        <v>0.18883771133706501</v>
      </c>
      <c r="R5725">
        <v>0.99491828307706998</v>
      </c>
      <c r="S5725" t="s">
        <v>12728</v>
      </c>
      <c r="T5725" t="s">
        <v>14004</v>
      </c>
      <c r="U5725" t="s">
        <v>14004</v>
      </c>
      <c r="V5725" t="s">
        <v>14004</v>
      </c>
      <c r="W5725" t="s">
        <v>19674</v>
      </c>
      <c r="X5725">
        <v>3</v>
      </c>
      <c r="Y5725" t="s">
        <v>26474</v>
      </c>
      <c r="Z5725" t="s">
        <v>33435</v>
      </c>
      <c r="AA5725">
        <v>0.46440257967479409</v>
      </c>
      <c r="AB5725" t="str">
        <f>HYPERLINK("Melting_Curves/meltCurve_Q9BVC5_C2orf49.pdf", "Melting_Curves/meltCurve_Q9BVC5_C2orf49.pdf")</f>
        <v>Melting_Curves/meltCurve_Q9BVC5_C2orf49.pdf</v>
      </c>
    </row>
    <row r="5726" spans="1:28" x14ac:dyDescent="0.25">
      <c r="A5726" t="s">
        <v>5730</v>
      </c>
      <c r="B5726">
        <v>0.99999676499088797</v>
      </c>
      <c r="C5726">
        <v>1.05300529470522</v>
      </c>
      <c r="D5726">
        <v>1.0236330725470999</v>
      </c>
      <c r="E5726">
        <v>0.98727323464341898</v>
      </c>
      <c r="F5726">
        <v>1.0802533883560601</v>
      </c>
      <c r="G5726">
        <v>0.84245742705325599</v>
      </c>
      <c r="H5726">
        <v>0.72492514676824804</v>
      </c>
      <c r="I5726">
        <v>0.507239921478295</v>
      </c>
      <c r="J5726">
        <v>0.45711260227457401</v>
      </c>
      <c r="K5726">
        <v>0.54454672024787198</v>
      </c>
      <c r="L5726">
        <v>1724.2219203868201</v>
      </c>
      <c r="M5726">
        <v>28.8869969080049</v>
      </c>
      <c r="N5726">
        <v>67.435622117687998</v>
      </c>
      <c r="O5726">
        <v>59.404660844692998</v>
      </c>
      <c r="P5726">
        <v>-6.2985501641415503E-2</v>
      </c>
      <c r="Q5726">
        <v>0.48189782077379301</v>
      </c>
      <c r="R5726">
        <v>0.95271812417457002</v>
      </c>
      <c r="S5726" t="s">
        <v>12729</v>
      </c>
      <c r="T5726" t="s">
        <v>14004</v>
      </c>
      <c r="U5726" t="s">
        <v>14004</v>
      </c>
      <c r="V5726" t="s">
        <v>14004</v>
      </c>
      <c r="W5726" t="s">
        <v>19675</v>
      </c>
      <c r="X5726">
        <v>8</v>
      </c>
      <c r="Y5726" t="s">
        <v>26475</v>
      </c>
      <c r="Z5726" t="s">
        <v>33436</v>
      </c>
      <c r="AA5726">
        <v>0.82529779319230578</v>
      </c>
      <c r="AB5726" t="str">
        <f>HYPERLINK("Melting_Curves/meltCurve_Q9BVC6_TMEM109.pdf", "Melting_Curves/meltCurve_Q9BVC6_TMEM109.pdf")</f>
        <v>Melting_Curves/meltCurve_Q9BVC6_TMEM109.pdf</v>
      </c>
    </row>
    <row r="5727" spans="1:28" x14ac:dyDescent="0.25">
      <c r="A5727" t="s">
        <v>5731</v>
      </c>
      <c r="B5727">
        <v>0.99999676499088797</v>
      </c>
      <c r="C5727">
        <v>0.80191354191568298</v>
      </c>
      <c r="D5727">
        <v>0.48105738933791398</v>
      </c>
      <c r="E5727">
        <v>0.20147793500087</v>
      </c>
      <c r="F5727">
        <v>0.10391720909001501</v>
      </c>
      <c r="G5727">
        <v>6.2975388318615697E-2</v>
      </c>
      <c r="H5727">
        <v>7.6931971824696202E-2</v>
      </c>
      <c r="I5727">
        <v>0</v>
      </c>
      <c r="J5727">
        <v>4.6254351496972601E-2</v>
      </c>
      <c r="K5727">
        <v>3.81247664190041E-2</v>
      </c>
      <c r="L5727">
        <v>975.78784356193501</v>
      </c>
      <c r="M5727">
        <v>21.345979790978799</v>
      </c>
      <c r="N5727">
        <v>45.908198534599201</v>
      </c>
      <c r="O5727">
        <v>45.3174133671154</v>
      </c>
      <c r="P5727">
        <v>-0.112651469087727</v>
      </c>
      <c r="Q5727">
        <v>4.3389533864049402E-2</v>
      </c>
      <c r="R5727">
        <v>0.995404263733082</v>
      </c>
      <c r="S5727" t="s">
        <v>12730</v>
      </c>
      <c r="T5727" t="s">
        <v>14004</v>
      </c>
      <c r="U5727" t="s">
        <v>14004</v>
      </c>
      <c r="V5727" t="s">
        <v>14004</v>
      </c>
      <c r="W5727" t="s">
        <v>19676</v>
      </c>
      <c r="X5727">
        <v>2</v>
      </c>
      <c r="Y5727" t="s">
        <v>26476</v>
      </c>
      <c r="Z5727" t="s">
        <v>33437</v>
      </c>
      <c r="AA5727">
        <v>0.23855487871313821</v>
      </c>
      <c r="AB5727" t="str">
        <f>HYPERLINK("Melting_Curves/meltCurve_Q9BVI0_PHF20.pdf", "Melting_Curves/meltCurve_Q9BVI0_PHF20.pdf")</f>
        <v>Melting_Curves/meltCurve_Q9BVI0_PHF20.pdf</v>
      </c>
    </row>
    <row r="5728" spans="1:28" x14ac:dyDescent="0.25">
      <c r="A5728" t="s">
        <v>5732</v>
      </c>
      <c r="B5728">
        <v>0.99999676499088797</v>
      </c>
      <c r="C5728">
        <v>0.98030270163929401</v>
      </c>
      <c r="D5728">
        <v>0.53909031154217402</v>
      </c>
      <c r="E5728">
        <v>0.29484880586368001</v>
      </c>
      <c r="F5728">
        <v>0.18513862549865601</v>
      </c>
      <c r="G5728">
        <v>0.11282268808669201</v>
      </c>
      <c r="H5728">
        <v>5.9600751644422398E-2</v>
      </c>
      <c r="I5728">
        <v>6.6853123166504103E-2</v>
      </c>
      <c r="J5728">
        <v>5.4778648958065203E-2</v>
      </c>
      <c r="K5728">
        <v>7.1612328805915407E-2</v>
      </c>
      <c r="L5728">
        <v>1074.1928365952999</v>
      </c>
      <c r="M5728">
        <v>23.039004305840798</v>
      </c>
      <c r="N5728">
        <v>46.980606446603403</v>
      </c>
      <c r="O5728">
        <v>46.2779774356055</v>
      </c>
      <c r="P5728">
        <v>-0.114502726937212</v>
      </c>
      <c r="Q5728">
        <v>8.0020315290040403E-2</v>
      </c>
      <c r="R5728">
        <v>0.984612343570201</v>
      </c>
      <c r="S5728" t="s">
        <v>12731</v>
      </c>
      <c r="T5728" t="s">
        <v>14004</v>
      </c>
      <c r="U5728" t="s">
        <v>14004</v>
      </c>
      <c r="V5728" t="s">
        <v>14004</v>
      </c>
      <c r="W5728" t="s">
        <v>19677</v>
      </c>
      <c r="X5728">
        <v>6</v>
      </c>
      <c r="Y5728" t="s">
        <v>26477</v>
      </c>
      <c r="Z5728" t="s">
        <v>33438</v>
      </c>
      <c r="AA5728">
        <v>0.29314277012572082</v>
      </c>
      <c r="AB5728" t="str">
        <f>HYPERLINK("Melting_Curves/meltCurve_Q9BVI4_NOC4L.pdf", "Melting_Curves/meltCurve_Q9BVI4_NOC4L.pdf")</f>
        <v>Melting_Curves/meltCurve_Q9BVI4_NOC4L.pdf</v>
      </c>
    </row>
    <row r="5729" spans="1:28" x14ac:dyDescent="0.25">
      <c r="A5729" t="s">
        <v>5733</v>
      </c>
      <c r="B5729">
        <v>0.99999676499088797</v>
      </c>
      <c r="C5729">
        <v>0.87915462018572599</v>
      </c>
      <c r="D5729">
        <v>0.76254633199764899</v>
      </c>
      <c r="E5729">
        <v>0.56229221797805895</v>
      </c>
      <c r="F5729">
        <v>0.39644876158601999</v>
      </c>
      <c r="G5729">
        <v>0.38114920111897999</v>
      </c>
      <c r="H5729">
        <v>0.44573576170858897</v>
      </c>
      <c r="I5729">
        <v>0.68513583376037801</v>
      </c>
      <c r="J5729">
        <v>0.73093099238482295</v>
      </c>
      <c r="K5729">
        <v>1.04987078559692</v>
      </c>
      <c r="L5729">
        <v>1418.43261873544</v>
      </c>
      <c r="M5729">
        <v>31.820551562739201</v>
      </c>
      <c r="O5729">
        <v>44.401047770844499</v>
      </c>
      <c r="P5729">
        <v>-7.0009463733034794E-2</v>
      </c>
      <c r="Q5729">
        <v>0.60924907521709704</v>
      </c>
      <c r="R5729">
        <v>0.33979513845661102</v>
      </c>
      <c r="S5729" t="s">
        <v>12732</v>
      </c>
      <c r="T5729" t="s">
        <v>14004</v>
      </c>
      <c r="U5729" t="s">
        <v>14004</v>
      </c>
      <c r="V5729" t="s">
        <v>14004</v>
      </c>
      <c r="W5729" t="s">
        <v>19678</v>
      </c>
      <c r="X5729">
        <v>21</v>
      </c>
      <c r="Y5729" t="s">
        <v>26478</v>
      </c>
      <c r="Z5729" t="s">
        <v>33439</v>
      </c>
      <c r="AA5729">
        <v>0.67112471940832585</v>
      </c>
      <c r="AB5729" t="str">
        <f>HYPERLINK("Melting_Curves/meltCurve_Q9BVJ6_UTP14A.pdf", "Melting_Curves/meltCurve_Q9BVJ6_UTP14A.pdf")</f>
        <v>Melting_Curves/meltCurve_Q9BVJ6_UTP14A.pdf</v>
      </c>
    </row>
    <row r="5730" spans="1:28" x14ac:dyDescent="0.25">
      <c r="A5730" t="s">
        <v>5734</v>
      </c>
      <c r="B5730">
        <v>0.99999676499088797</v>
      </c>
      <c r="C5730">
        <v>1.04693635041946</v>
      </c>
      <c r="D5730">
        <v>1.0224011109890501</v>
      </c>
      <c r="E5730">
        <v>1.0078929408420501</v>
      </c>
      <c r="F5730">
        <v>0.744327024093005</v>
      </c>
      <c r="G5730">
        <v>0.38564430094666602</v>
      </c>
      <c r="H5730">
        <v>0.149210880234492</v>
      </c>
      <c r="I5730">
        <v>0.114824981375634</v>
      </c>
      <c r="J5730">
        <v>0.112059281547755</v>
      </c>
      <c r="K5730">
        <v>8.2858958918614098E-2</v>
      </c>
      <c r="L5730">
        <v>1565.6725650083799</v>
      </c>
      <c r="M5730">
        <v>28.375512130483401</v>
      </c>
      <c r="N5730">
        <v>55.586373397078901</v>
      </c>
      <c r="O5730">
        <v>54.905026892035004</v>
      </c>
      <c r="P5730">
        <v>-0.117017935496345</v>
      </c>
      <c r="Q5730">
        <v>9.43147540217084E-2</v>
      </c>
      <c r="R5730">
        <v>0.99659936645926905</v>
      </c>
      <c r="S5730" t="s">
        <v>12733</v>
      </c>
      <c r="T5730" t="s">
        <v>14004</v>
      </c>
      <c r="U5730" t="s">
        <v>14004</v>
      </c>
      <c r="V5730" t="s">
        <v>14004</v>
      </c>
      <c r="W5730" t="s">
        <v>19679</v>
      </c>
      <c r="X5730">
        <v>14</v>
      </c>
      <c r="Y5730" t="s">
        <v>26479</v>
      </c>
      <c r="Z5730" t="s">
        <v>33440</v>
      </c>
      <c r="AA5730">
        <v>0.5591701065893202</v>
      </c>
      <c r="AB5730" t="str">
        <f>HYPERLINK("Melting_Curves/meltCurve_Q9BVK6_TMED9.pdf", "Melting_Curves/meltCurve_Q9BVK6_TMED9.pdf")</f>
        <v>Melting_Curves/meltCurve_Q9BVK6_TMED9.pdf</v>
      </c>
    </row>
    <row r="5731" spans="1:28" x14ac:dyDescent="0.25">
      <c r="A5731" t="s">
        <v>5735</v>
      </c>
      <c r="B5731">
        <v>0.99999676499088797</v>
      </c>
      <c r="C5731">
        <v>0.97328809882035605</v>
      </c>
      <c r="D5731">
        <v>0.97630602470226902</v>
      </c>
      <c r="E5731">
        <v>0.84746040869258699</v>
      </c>
      <c r="F5731">
        <v>0.54990386996225504</v>
      </c>
      <c r="G5731">
        <v>0.36541629977603901</v>
      </c>
      <c r="H5731">
        <v>0.21809914265514699</v>
      </c>
      <c r="I5731">
        <v>0.25580197465375798</v>
      </c>
      <c r="J5731">
        <v>0.26276213220301198</v>
      </c>
      <c r="K5731">
        <v>0.216528022983457</v>
      </c>
      <c r="L5731">
        <v>1223.3315784347899</v>
      </c>
      <c r="M5731">
        <v>23.292557429558101</v>
      </c>
      <c r="N5731">
        <v>53.946468417696501</v>
      </c>
      <c r="O5731">
        <v>52.137753393521002</v>
      </c>
      <c r="P5731">
        <v>-8.6012948198534403E-2</v>
      </c>
      <c r="Q5731">
        <v>0.229892710214781</v>
      </c>
      <c r="R5731">
        <v>0.99613524581952095</v>
      </c>
      <c r="S5731" t="s">
        <v>12734</v>
      </c>
      <c r="T5731" t="s">
        <v>14004</v>
      </c>
      <c r="U5731" t="s">
        <v>14004</v>
      </c>
      <c r="V5731" t="s">
        <v>14004</v>
      </c>
      <c r="W5731" t="s">
        <v>19680</v>
      </c>
      <c r="X5731">
        <v>14</v>
      </c>
      <c r="Y5731" t="s">
        <v>26480</v>
      </c>
      <c r="Z5731" t="s">
        <v>33441</v>
      </c>
      <c r="AA5731">
        <v>0.5593609395595146</v>
      </c>
      <c r="AB5731" t="str">
        <f>HYPERLINK("Melting_Curves/meltCurve_Q9BVL2_3_NUPL1.pdf", "Melting_Curves/meltCurve_Q9BVL2_3_NUPL1.pdf")</f>
        <v>Melting_Curves/meltCurve_Q9BVL2_3_NUPL1.pdf</v>
      </c>
    </row>
    <row r="5732" spans="1:28" x14ac:dyDescent="0.25">
      <c r="A5732" t="s">
        <v>5736</v>
      </c>
      <c r="B5732">
        <v>0.99999676499088797</v>
      </c>
      <c r="C5732">
        <v>1.08076956475332</v>
      </c>
      <c r="D5732">
        <v>0.62033124960842601</v>
      </c>
      <c r="E5732">
        <v>0.28899230885992599</v>
      </c>
      <c r="F5732">
        <v>0.13698308024748301</v>
      </c>
      <c r="G5732">
        <v>0.15627524396981199</v>
      </c>
      <c r="H5732">
        <v>0.108065918792146</v>
      </c>
      <c r="I5732">
        <v>0.14536883588685401</v>
      </c>
      <c r="J5732">
        <v>0.15815240840070399</v>
      </c>
      <c r="K5732">
        <v>8.7766234839629198E-2</v>
      </c>
      <c r="L5732">
        <v>1618.8788099465</v>
      </c>
      <c r="M5732">
        <v>34.728494859883199</v>
      </c>
      <c r="N5732">
        <v>47.046686025273303</v>
      </c>
      <c r="O5732">
        <v>46.4615448282984</v>
      </c>
      <c r="P5732">
        <v>-0.16138625511183899</v>
      </c>
      <c r="Q5732">
        <v>0.13636039325867999</v>
      </c>
      <c r="R5732">
        <v>0.98143376936301996</v>
      </c>
      <c r="S5732" t="s">
        <v>12735</v>
      </c>
      <c r="T5732" t="s">
        <v>14004</v>
      </c>
      <c r="U5732" t="s">
        <v>14004</v>
      </c>
      <c r="V5732" t="s">
        <v>14004</v>
      </c>
      <c r="W5732" t="s">
        <v>19681</v>
      </c>
      <c r="X5732">
        <v>2</v>
      </c>
      <c r="Y5732" t="s">
        <v>26481</v>
      </c>
      <c r="Z5732" t="s">
        <v>33442</v>
      </c>
      <c r="AA5732">
        <v>0.33059079244224993</v>
      </c>
      <c r="AB5732" t="str">
        <f>HYPERLINK("Melting_Curves/meltCurve_Q9BVL4_SELO.pdf", "Melting_Curves/meltCurve_Q9BVL4_SELO.pdf")</f>
        <v>Melting_Curves/meltCurve_Q9BVL4_SELO.pdf</v>
      </c>
    </row>
    <row r="5733" spans="1:28" x14ac:dyDescent="0.25">
      <c r="A5733" t="s">
        <v>5737</v>
      </c>
      <c r="B5733">
        <v>0.99999676499088797</v>
      </c>
      <c r="C5733">
        <v>1.01755106420259</v>
      </c>
      <c r="D5733">
        <v>0.78021908930216</v>
      </c>
      <c r="E5733">
        <v>0.52630416856961104</v>
      </c>
      <c r="F5733">
        <v>0.29593839973619901</v>
      </c>
      <c r="G5733">
        <v>0.16036814890738099</v>
      </c>
      <c r="H5733">
        <v>9.2949870101538601E-2</v>
      </c>
      <c r="I5733">
        <v>9.0950246605074406E-2</v>
      </c>
      <c r="J5733">
        <v>7.6273163377630696E-2</v>
      </c>
      <c r="K5733">
        <v>6.28715421344547E-2</v>
      </c>
      <c r="L5733">
        <v>890.10487542413102</v>
      </c>
      <c r="M5733">
        <v>17.953348119445199</v>
      </c>
      <c r="N5733">
        <v>49.987166474090003</v>
      </c>
      <c r="O5733">
        <v>48.975951387848198</v>
      </c>
      <c r="P5733">
        <v>-8.5396525518948704E-2</v>
      </c>
      <c r="Q5733">
        <v>6.8214870786438606E-2</v>
      </c>
      <c r="R5733">
        <v>0.99493087621273402</v>
      </c>
      <c r="S5733" t="s">
        <v>12736</v>
      </c>
      <c r="T5733" t="s">
        <v>14004</v>
      </c>
      <c r="U5733" t="s">
        <v>14004</v>
      </c>
      <c r="V5733" t="s">
        <v>14004</v>
      </c>
      <c r="W5733" t="s">
        <v>19682</v>
      </c>
      <c r="X5733">
        <v>1</v>
      </c>
      <c r="Y5733" t="s">
        <v>26482</v>
      </c>
      <c r="Z5733" t="s">
        <v>33443</v>
      </c>
      <c r="AA5733">
        <v>0.38179094540599551</v>
      </c>
      <c r="AB5733" t="str">
        <f>HYPERLINK("Melting_Curves/meltCurve_Q9BVM4_GGACT.pdf", "Melting_Curves/meltCurve_Q9BVM4_GGACT.pdf")</f>
        <v>Melting_Curves/meltCurve_Q9BVM4_GGACT.pdf</v>
      </c>
    </row>
    <row r="5734" spans="1:28" x14ac:dyDescent="0.25">
      <c r="A5734" t="s">
        <v>5738</v>
      </c>
      <c r="B5734">
        <v>0.99999676499088797</v>
      </c>
      <c r="C5734">
        <v>0.80635451881793396</v>
      </c>
      <c r="D5734">
        <v>0.347420507474408</v>
      </c>
      <c r="E5734">
        <v>0.221169755221126</v>
      </c>
      <c r="F5734">
        <v>0.153131918091958</v>
      </c>
      <c r="G5734">
        <v>8.5364256891402701E-2</v>
      </c>
      <c r="H5734">
        <v>2.6978923034337101E-2</v>
      </c>
      <c r="I5734">
        <v>2.81211104198297E-2</v>
      </c>
      <c r="J5734">
        <v>2.4239128658709998E-2</v>
      </c>
      <c r="K5734">
        <v>2.2142206527091202E-2</v>
      </c>
      <c r="L5734">
        <v>1056.22248944796</v>
      </c>
      <c r="M5734">
        <v>23.448434467707401</v>
      </c>
      <c r="N5734">
        <v>45.269576756245101</v>
      </c>
      <c r="O5734">
        <v>44.720706826859399</v>
      </c>
      <c r="P5734">
        <v>-0.123871385900421</v>
      </c>
      <c r="Q5734">
        <v>5.5029644971660199E-2</v>
      </c>
      <c r="R5734">
        <v>0.98047735153099502</v>
      </c>
      <c r="S5734" t="s">
        <v>12737</v>
      </c>
      <c r="T5734" t="s">
        <v>14004</v>
      </c>
      <c r="U5734" t="s">
        <v>14004</v>
      </c>
      <c r="V5734" t="s">
        <v>14004</v>
      </c>
      <c r="W5734" t="s">
        <v>19683</v>
      </c>
      <c r="X5734">
        <v>3</v>
      </c>
      <c r="Y5734" t="s">
        <v>26483</v>
      </c>
      <c r="Z5734" t="s">
        <v>33444</v>
      </c>
      <c r="AA5734">
        <v>0.22485277142863239</v>
      </c>
      <c r="AB5734" t="str">
        <f>HYPERLINK("Melting_Curves/meltCurve_Q9BVP2_2_GNL3.pdf", "Melting_Curves/meltCurve_Q9BVP2_2_GNL3.pdf")</f>
        <v>Melting_Curves/meltCurve_Q9BVP2_2_GNL3.pdf</v>
      </c>
    </row>
    <row r="5735" spans="1:28" x14ac:dyDescent="0.25">
      <c r="A5735" t="s">
        <v>5739</v>
      </c>
      <c r="B5735">
        <v>0.99999676499088797</v>
      </c>
      <c r="C5735">
        <v>1.08663003404903</v>
      </c>
      <c r="D5735">
        <v>1.1415639393774899</v>
      </c>
      <c r="E5735">
        <v>1.4330218568119399</v>
      </c>
      <c r="F5735">
        <v>1.50746760415123</v>
      </c>
      <c r="G5735">
        <v>1.66473180754691</v>
      </c>
      <c r="H5735">
        <v>0.22064821292603201</v>
      </c>
      <c r="I5735">
        <v>0.14864944313623399</v>
      </c>
      <c r="J5735">
        <v>0.12226991208157401</v>
      </c>
      <c r="K5735">
        <v>7.93868023246357E-2</v>
      </c>
      <c r="L5735">
        <v>15000</v>
      </c>
      <c r="M5735">
        <v>248.72573474901299</v>
      </c>
      <c r="N5735">
        <v>60.371967609700597</v>
      </c>
      <c r="O5735">
        <v>60.303487154289698</v>
      </c>
      <c r="P5735">
        <v>-0.91073705303296404</v>
      </c>
      <c r="Q5735">
        <v>0.116768127560659</v>
      </c>
      <c r="R5735">
        <v>0.74601171064289595</v>
      </c>
      <c r="S5735" t="s">
        <v>12738</v>
      </c>
      <c r="T5735" t="s">
        <v>14004</v>
      </c>
      <c r="U5735" t="s">
        <v>14004</v>
      </c>
      <c r="V5735" t="s">
        <v>14004</v>
      </c>
      <c r="W5735" t="s">
        <v>19684</v>
      </c>
      <c r="X5735">
        <v>16</v>
      </c>
      <c r="Y5735" t="s">
        <v>26484</v>
      </c>
      <c r="Z5735" t="s">
        <v>33445</v>
      </c>
      <c r="AA5735">
        <v>0.71473371768277816</v>
      </c>
      <c r="AB5735" t="str">
        <f>HYPERLINK("Melting_Curves/meltCurve_Q9BVQ7_SPATA5L1.pdf", "Melting_Curves/meltCurve_Q9BVQ7_SPATA5L1.pdf")</f>
        <v>Melting_Curves/meltCurve_Q9BVQ7_SPATA5L1.pdf</v>
      </c>
    </row>
    <row r="5736" spans="1:28" x14ac:dyDescent="0.25">
      <c r="A5736" t="s">
        <v>5740</v>
      </c>
      <c r="B5736">
        <v>0.99999676499088797</v>
      </c>
      <c r="C5736">
        <v>1.0286384885766999</v>
      </c>
      <c r="D5736">
        <v>1.0373575390601599</v>
      </c>
      <c r="E5736">
        <v>1.05111547373402</v>
      </c>
      <c r="F5736">
        <v>0.63183668454144404</v>
      </c>
      <c r="G5736">
        <v>0.49829176817826099</v>
      </c>
      <c r="H5736">
        <v>0.14719979496116301</v>
      </c>
      <c r="I5736">
        <v>0.124726006189737</v>
      </c>
      <c r="J5736">
        <v>0.125164578105422</v>
      </c>
      <c r="K5736">
        <v>0.120525369665252</v>
      </c>
      <c r="L5736">
        <v>1271.6968604563001</v>
      </c>
      <c r="M5736">
        <v>23.0171690986489</v>
      </c>
      <c r="N5736">
        <v>55.789096623113799</v>
      </c>
      <c r="O5736">
        <v>54.837947921735598</v>
      </c>
      <c r="P5736">
        <v>-9.4470388943737396E-2</v>
      </c>
      <c r="Q5736">
        <v>9.9721418710122606E-2</v>
      </c>
      <c r="R5736">
        <v>0.97730915285172903</v>
      </c>
      <c r="S5736" t="s">
        <v>12739</v>
      </c>
      <c r="T5736" t="s">
        <v>14004</v>
      </c>
      <c r="U5736" t="s">
        <v>14004</v>
      </c>
      <c r="V5736" t="s">
        <v>14004</v>
      </c>
      <c r="W5736" t="s">
        <v>19685</v>
      </c>
      <c r="X5736">
        <v>8</v>
      </c>
      <c r="Y5736" t="s">
        <v>26485</v>
      </c>
      <c r="Z5736" t="s">
        <v>33446</v>
      </c>
      <c r="AA5736">
        <v>0.56692587136014105</v>
      </c>
      <c r="AB5736" t="str">
        <f>HYPERLINK("Melting_Curves/meltCurve_Q9BVS4_RIOK2.pdf", "Melting_Curves/meltCurve_Q9BVS4_RIOK2.pdf")</f>
        <v>Melting_Curves/meltCurve_Q9BVS4_RIOK2.pdf</v>
      </c>
    </row>
    <row r="5737" spans="1:28" x14ac:dyDescent="0.25">
      <c r="A5737" t="s">
        <v>5741</v>
      </c>
      <c r="B5737">
        <v>0.99999676499088797</v>
      </c>
      <c r="C5737">
        <v>1.00194309542489</v>
      </c>
      <c r="D5737">
        <v>1.0725830347835099</v>
      </c>
      <c r="E5737">
        <v>1.2728608196423901</v>
      </c>
      <c r="F5737">
        <v>1.4794962543390699</v>
      </c>
      <c r="G5737">
        <v>1.1507617433500801</v>
      </c>
      <c r="H5737">
        <v>0.88974289810209495</v>
      </c>
      <c r="I5737">
        <v>0.34552188593129102</v>
      </c>
      <c r="J5737">
        <v>0.17326082485542599</v>
      </c>
      <c r="K5737">
        <v>0.1555555223848</v>
      </c>
      <c r="L5737">
        <v>3900.1483082633899</v>
      </c>
      <c r="M5737">
        <v>62.197400793951097</v>
      </c>
      <c r="N5737">
        <v>63.0887444286235</v>
      </c>
      <c r="O5737">
        <v>62.6412434563494</v>
      </c>
      <c r="P5737">
        <v>-0.20921419434639299</v>
      </c>
      <c r="Q5737">
        <v>0.157171682651918</v>
      </c>
      <c r="R5737">
        <v>0.82991483857288195</v>
      </c>
      <c r="S5737" t="s">
        <v>12740</v>
      </c>
      <c r="T5737" t="s">
        <v>14004</v>
      </c>
      <c r="U5737" t="s">
        <v>14004</v>
      </c>
      <c r="V5737" t="s">
        <v>14004</v>
      </c>
      <c r="W5737" t="s">
        <v>19686</v>
      </c>
      <c r="X5737">
        <v>9</v>
      </c>
      <c r="Y5737" t="s">
        <v>26486</v>
      </c>
      <c r="Z5737" t="s">
        <v>33447</v>
      </c>
      <c r="AA5737">
        <v>0.79652694825898829</v>
      </c>
      <c r="AB5737" t="str">
        <f>HYPERLINK("Melting_Curves/meltCurve_Q9BVS5_TRMT61B.pdf", "Melting_Curves/meltCurve_Q9BVS5_TRMT61B.pdf")</f>
        <v>Melting_Curves/meltCurve_Q9BVS5_TRMT61B.pdf</v>
      </c>
    </row>
    <row r="5738" spans="1:28" x14ac:dyDescent="0.25">
      <c r="A5738" t="s">
        <v>5742</v>
      </c>
      <c r="B5738">
        <v>0.99999676499088797</v>
      </c>
      <c r="C5738">
        <v>0.88468574421841395</v>
      </c>
      <c r="D5738">
        <v>0.93097892837407603</v>
      </c>
      <c r="E5738">
        <v>0.80356603942355498</v>
      </c>
      <c r="F5738">
        <v>0.356497144611225</v>
      </c>
      <c r="G5738">
        <v>0.19656521004079699</v>
      </c>
      <c r="H5738">
        <v>8.8038713051614204E-2</v>
      </c>
      <c r="I5738">
        <v>7.6327192111953407E-2</v>
      </c>
      <c r="J5738">
        <v>7.59251470468605E-2</v>
      </c>
      <c r="K5738">
        <v>6.6939418689383801E-2</v>
      </c>
      <c r="L5738">
        <v>1276.4827661348399</v>
      </c>
      <c r="M5738">
        <v>24.640189117894501</v>
      </c>
      <c r="N5738">
        <v>52.127423759087499</v>
      </c>
      <c r="O5738">
        <v>51.467304942456401</v>
      </c>
      <c r="P5738">
        <v>-0.11122849415145999</v>
      </c>
      <c r="Q5738">
        <v>7.0697177650788895E-2</v>
      </c>
      <c r="R5738">
        <v>0.98891912961333495</v>
      </c>
      <c r="S5738" t="s">
        <v>12741</v>
      </c>
      <c r="T5738" t="s">
        <v>14004</v>
      </c>
      <c r="U5738" t="s">
        <v>14004</v>
      </c>
      <c r="V5738" t="s">
        <v>14004</v>
      </c>
      <c r="W5738" t="s">
        <v>19687</v>
      </c>
      <c r="X5738">
        <v>4</v>
      </c>
      <c r="Y5738" t="s">
        <v>26487</v>
      </c>
      <c r="Z5738" t="s">
        <v>33448</v>
      </c>
      <c r="AA5738">
        <v>0.4450825142246933</v>
      </c>
      <c r="AB5738" t="str">
        <f>HYPERLINK("Melting_Curves/meltCurve_Q9BVV7_TIMM21.pdf", "Melting_Curves/meltCurve_Q9BVV7_TIMM21.pdf")</f>
        <v>Melting_Curves/meltCurve_Q9BVV7_TIMM21.pdf</v>
      </c>
    </row>
    <row r="5739" spans="1:28" x14ac:dyDescent="0.25">
      <c r="A5739" t="s">
        <v>5743</v>
      </c>
      <c r="B5739">
        <v>0.99999676499088797</v>
      </c>
      <c r="C5739">
        <v>1.03911650233691</v>
      </c>
      <c r="D5739">
        <v>0.72717271449753396</v>
      </c>
      <c r="E5739">
        <v>0.41255378913420399</v>
      </c>
      <c r="F5739">
        <v>0.34555551089437198</v>
      </c>
      <c r="G5739">
        <v>0.30486393359275499</v>
      </c>
      <c r="H5739">
        <v>0.193701393867554</v>
      </c>
      <c r="I5739">
        <v>0.28752010784003701</v>
      </c>
      <c r="J5739">
        <v>0.297721412768302</v>
      </c>
      <c r="K5739">
        <v>0.204643710199618</v>
      </c>
      <c r="L5739">
        <v>1343.3695461049001</v>
      </c>
      <c r="M5739">
        <v>28.493818162251301</v>
      </c>
      <c r="N5739">
        <v>48.433452975678001</v>
      </c>
      <c r="O5739">
        <v>46.9155967156928</v>
      </c>
      <c r="P5739">
        <v>-0.111514361072084</v>
      </c>
      <c r="Q5739">
        <v>0.26556380517536199</v>
      </c>
      <c r="R5739">
        <v>0.97637919667976902</v>
      </c>
      <c r="S5739" t="s">
        <v>12742</v>
      </c>
      <c r="T5739" t="s">
        <v>14004</v>
      </c>
      <c r="U5739" t="s">
        <v>14004</v>
      </c>
      <c r="V5739" t="s">
        <v>14004</v>
      </c>
      <c r="W5739" t="s">
        <v>19688</v>
      </c>
      <c r="X5739">
        <v>7</v>
      </c>
      <c r="Y5739" t="s">
        <v>26488</v>
      </c>
      <c r="Z5739" t="s">
        <v>33449</v>
      </c>
      <c r="AA5739">
        <v>0.44542621743131378</v>
      </c>
      <c r="AB5739" t="str">
        <f>HYPERLINK("Melting_Curves/meltCurve_Q9BVW5_TIPIN.pdf", "Melting_Curves/meltCurve_Q9BVW5_TIPIN.pdf")</f>
        <v>Melting_Curves/meltCurve_Q9BVW5_TIPIN.pdf</v>
      </c>
    </row>
    <row r="5740" spans="1:28" x14ac:dyDescent="0.25">
      <c r="A5740" t="s">
        <v>5744</v>
      </c>
      <c r="B5740">
        <v>0.99999676499088797</v>
      </c>
      <c r="C5740">
        <v>0.95475425079127696</v>
      </c>
      <c r="D5740">
        <v>0.79952702441077705</v>
      </c>
      <c r="E5740">
        <v>0.28067823398795799</v>
      </c>
      <c r="F5740">
        <v>0.19509950574266599</v>
      </c>
      <c r="G5740">
        <v>0.127445151638964</v>
      </c>
      <c r="H5740">
        <v>7.2910596558196497E-2</v>
      </c>
      <c r="I5740">
        <v>7.1517702238807601E-2</v>
      </c>
      <c r="J5740">
        <v>6.6243731250262103E-2</v>
      </c>
      <c r="K5740">
        <v>6.5819850474735903E-2</v>
      </c>
      <c r="L5740">
        <v>1420.25335989731</v>
      </c>
      <c r="M5740">
        <v>29.7341744170377</v>
      </c>
      <c r="N5740">
        <v>48.0743644027418</v>
      </c>
      <c r="O5740">
        <v>47.550524063347702</v>
      </c>
      <c r="P5740">
        <v>-0.142718537039243</v>
      </c>
      <c r="Q5740">
        <v>8.7071145347102002E-2</v>
      </c>
      <c r="R5740">
        <v>0.99372350225230299</v>
      </c>
      <c r="S5740" t="s">
        <v>12743</v>
      </c>
      <c r="T5740" t="s">
        <v>14004</v>
      </c>
      <c r="U5740" t="s">
        <v>14004</v>
      </c>
      <c r="V5740" t="s">
        <v>14004</v>
      </c>
      <c r="W5740" t="s">
        <v>19689</v>
      </c>
      <c r="X5740">
        <v>27</v>
      </c>
      <c r="Y5740" t="s">
        <v>26489</v>
      </c>
      <c r="Z5740" t="s">
        <v>33450</v>
      </c>
      <c r="AA5740">
        <v>0.328956247351537</v>
      </c>
      <c r="AB5740" t="str">
        <f>HYPERLINK("Melting_Curves/meltCurve_Q9BW19_KIFC1.pdf", "Melting_Curves/meltCurve_Q9BW19_KIFC1.pdf")</f>
        <v>Melting_Curves/meltCurve_Q9BW19_KIFC1.pdf</v>
      </c>
    </row>
    <row r="5741" spans="1:28" x14ac:dyDescent="0.25">
      <c r="A5741" t="s">
        <v>5745</v>
      </c>
      <c r="B5741">
        <v>0.99999676499088797</v>
      </c>
      <c r="C5741">
        <v>1.0001583246332699</v>
      </c>
      <c r="D5741">
        <v>1.0312838322978699</v>
      </c>
      <c r="E5741">
        <v>1.11086460205265</v>
      </c>
      <c r="F5741">
        <v>0.78600581827245497</v>
      </c>
      <c r="G5741">
        <v>0.40050924955406803</v>
      </c>
      <c r="H5741">
        <v>0.13686955454531299</v>
      </c>
      <c r="I5741">
        <v>0.13870394670809499</v>
      </c>
      <c r="J5741">
        <v>9.9932068347191497E-2</v>
      </c>
      <c r="K5741">
        <v>9.1513077022908895E-2</v>
      </c>
      <c r="L5741">
        <v>1831.71663200732</v>
      </c>
      <c r="M5741">
        <v>33.034716302674497</v>
      </c>
      <c r="N5741">
        <v>55.839506484372997</v>
      </c>
      <c r="O5741">
        <v>55.246226236152303</v>
      </c>
      <c r="P5741">
        <v>-0.134044243948895</v>
      </c>
      <c r="Q5741">
        <v>0.103318370032682</v>
      </c>
      <c r="R5741">
        <v>0.98862753859528796</v>
      </c>
      <c r="S5741" t="s">
        <v>12744</v>
      </c>
      <c r="T5741" t="s">
        <v>14004</v>
      </c>
      <c r="U5741" t="s">
        <v>14004</v>
      </c>
      <c r="V5741" t="s">
        <v>14004</v>
      </c>
      <c r="W5741" t="s">
        <v>19690</v>
      </c>
      <c r="X5741">
        <v>14</v>
      </c>
      <c r="Y5741" t="s">
        <v>26490</v>
      </c>
      <c r="Z5741" t="s">
        <v>33451</v>
      </c>
      <c r="AA5741">
        <v>0.57002760993074231</v>
      </c>
      <c r="AB5741" t="str">
        <f>HYPERLINK("Melting_Curves/meltCurve_Q9BW27_NUP85.pdf", "Melting_Curves/meltCurve_Q9BW27_NUP85.pdf")</f>
        <v>Melting_Curves/meltCurve_Q9BW27_NUP85.pdf</v>
      </c>
    </row>
    <row r="5742" spans="1:28" x14ac:dyDescent="0.25">
      <c r="A5742" t="s">
        <v>5746</v>
      </c>
      <c r="B5742">
        <v>0.99999676499088797</v>
      </c>
      <c r="C5742">
        <v>1.09103720250217</v>
      </c>
      <c r="D5742">
        <v>0.98118671705499605</v>
      </c>
      <c r="E5742">
        <v>0.55583597574716603</v>
      </c>
      <c r="F5742">
        <v>0.16360804521300801</v>
      </c>
      <c r="G5742">
        <v>0.172600623698243</v>
      </c>
      <c r="H5742">
        <v>4.68601374145532E-2</v>
      </c>
      <c r="I5742">
        <v>7.6393252662108294E-2</v>
      </c>
      <c r="J5742">
        <v>4.5242515088064497E-2</v>
      </c>
      <c r="K5742">
        <v>3.0967198426525702E-2</v>
      </c>
      <c r="L5742">
        <v>1760.81414647357</v>
      </c>
      <c r="M5742">
        <v>35.358562526470998</v>
      </c>
      <c r="N5742">
        <v>50.016878024007397</v>
      </c>
      <c r="O5742">
        <v>49.6403218986908</v>
      </c>
      <c r="P5742">
        <v>-0.16535501993756099</v>
      </c>
      <c r="Q5742">
        <v>7.1427339131580697E-2</v>
      </c>
      <c r="R5742">
        <v>0.98835827312398605</v>
      </c>
      <c r="S5742" t="s">
        <v>12745</v>
      </c>
      <c r="T5742" t="s">
        <v>14004</v>
      </c>
      <c r="U5742" t="s">
        <v>14004</v>
      </c>
      <c r="V5742" t="s">
        <v>14004</v>
      </c>
      <c r="W5742" t="s">
        <v>19691</v>
      </c>
      <c r="X5742">
        <v>2</v>
      </c>
      <c r="Y5742" t="s">
        <v>26491</v>
      </c>
      <c r="Z5742" t="s">
        <v>33452</v>
      </c>
      <c r="AA5742">
        <v>0.37882730353029148</v>
      </c>
      <c r="AB5742" t="str">
        <f>HYPERLINK("Melting_Curves/meltCurve_Q9BW60_ELOVL1.pdf", "Melting_Curves/meltCurve_Q9BW60_ELOVL1.pdf")</f>
        <v>Melting_Curves/meltCurve_Q9BW60_ELOVL1.pdf</v>
      </c>
    </row>
    <row r="5743" spans="1:28" x14ac:dyDescent="0.25">
      <c r="A5743" t="s">
        <v>5747</v>
      </c>
      <c r="B5743">
        <v>0.99999676499088797</v>
      </c>
      <c r="C5743">
        <v>1.0236616542502199</v>
      </c>
      <c r="D5743">
        <v>0.84766372313655503</v>
      </c>
      <c r="E5743">
        <v>0.67887980023719396</v>
      </c>
      <c r="F5743">
        <v>0.459888217187157</v>
      </c>
      <c r="G5743">
        <v>0.315949933641472</v>
      </c>
      <c r="H5743">
        <v>0.15297972343615901</v>
      </c>
      <c r="I5743">
        <v>0.175091764011086</v>
      </c>
      <c r="J5743">
        <v>0.22436277940573801</v>
      </c>
      <c r="K5743">
        <v>0.26813942898902099</v>
      </c>
      <c r="L5743">
        <v>914.45397931105197</v>
      </c>
      <c r="M5743">
        <v>18.031374616556899</v>
      </c>
      <c r="N5743">
        <v>52.146118659988197</v>
      </c>
      <c r="O5743">
        <v>50.103170970664898</v>
      </c>
      <c r="P5743">
        <v>-7.2411138085942198E-2</v>
      </c>
      <c r="Q5743">
        <v>0.19521391284411099</v>
      </c>
      <c r="R5743">
        <v>0.98269946549809695</v>
      </c>
      <c r="S5743" t="s">
        <v>12746</v>
      </c>
      <c r="T5743" t="s">
        <v>14004</v>
      </c>
      <c r="U5743" t="s">
        <v>14004</v>
      </c>
      <c r="V5743" t="s">
        <v>14004</v>
      </c>
      <c r="W5743" t="s">
        <v>19692</v>
      </c>
      <c r="X5743">
        <v>9</v>
      </c>
      <c r="Y5743" t="s">
        <v>26492</v>
      </c>
      <c r="Z5743" t="s">
        <v>33453</v>
      </c>
      <c r="AA5743">
        <v>0.49620794110011912</v>
      </c>
      <c r="AB5743" t="str">
        <f>HYPERLINK("Melting_Curves/meltCurve_Q9BW61_DDA1.pdf", "Melting_Curves/meltCurve_Q9BW61_DDA1.pdf")</f>
        <v>Melting_Curves/meltCurve_Q9BW61_DDA1.pdf</v>
      </c>
    </row>
    <row r="5744" spans="1:28" x14ac:dyDescent="0.25">
      <c r="A5744" t="s">
        <v>5748</v>
      </c>
      <c r="B5744">
        <v>0.99999676499088797</v>
      </c>
      <c r="C5744">
        <v>1.0164589783118201</v>
      </c>
      <c r="D5744">
        <v>0.94964896927541598</v>
      </c>
      <c r="E5744">
        <v>0.71463500955998704</v>
      </c>
      <c r="F5744">
        <v>0.30652725462411001</v>
      </c>
      <c r="G5744">
        <v>0.28458627312516299</v>
      </c>
      <c r="H5744">
        <v>0.185364256933477</v>
      </c>
      <c r="I5744">
        <v>0.160026264150713</v>
      </c>
      <c r="J5744">
        <v>0.12765614259078001</v>
      </c>
      <c r="K5744">
        <v>0.158090718292414</v>
      </c>
      <c r="L5744">
        <v>1382.8900585167901</v>
      </c>
      <c r="M5744">
        <v>27.2912292919126</v>
      </c>
      <c r="N5744">
        <v>51.433245277470803</v>
      </c>
      <c r="O5744">
        <v>50.4018723455168</v>
      </c>
      <c r="P5744">
        <v>-0.11286751718634799</v>
      </c>
      <c r="Q5744">
        <v>0.16622587229035901</v>
      </c>
      <c r="R5744">
        <v>0.99252285441875199</v>
      </c>
      <c r="S5744" t="s">
        <v>12747</v>
      </c>
      <c r="T5744" t="s">
        <v>14004</v>
      </c>
      <c r="U5744" t="s">
        <v>14004</v>
      </c>
      <c r="V5744" t="s">
        <v>14004</v>
      </c>
      <c r="W5744" t="s">
        <v>19693</v>
      </c>
      <c r="X5744">
        <v>4</v>
      </c>
      <c r="Y5744" t="s">
        <v>26493</v>
      </c>
      <c r="Z5744" t="s">
        <v>33454</v>
      </c>
      <c r="AA5744">
        <v>0.46911899996687362</v>
      </c>
      <c r="AB5744" t="str">
        <f>HYPERLINK("Melting_Curves/meltCurve_Q9BW62_KATNAL1.pdf", "Melting_Curves/meltCurve_Q9BW62_KATNAL1.pdf")</f>
        <v>Melting_Curves/meltCurve_Q9BW62_KATNAL1.pdf</v>
      </c>
    </row>
    <row r="5745" spans="1:28" x14ac:dyDescent="0.25">
      <c r="A5745" t="s">
        <v>5749</v>
      </c>
      <c r="B5745">
        <v>0.99999676499088797</v>
      </c>
      <c r="C5745">
        <v>0.98715280555165497</v>
      </c>
      <c r="D5745">
        <v>0.86536236457108795</v>
      </c>
      <c r="E5745">
        <v>0.68408949526884599</v>
      </c>
      <c r="F5745">
        <v>0.44033446690669498</v>
      </c>
      <c r="G5745">
        <v>0.31878861287434501</v>
      </c>
      <c r="H5745">
        <v>0.17546467500688601</v>
      </c>
      <c r="I5745">
        <v>0.19293084472989</v>
      </c>
      <c r="J5745">
        <v>0.19390383768562</v>
      </c>
      <c r="K5745">
        <v>0.18546642058643301</v>
      </c>
      <c r="L5745">
        <v>855.75864095422696</v>
      </c>
      <c r="M5745">
        <v>16.783427367513301</v>
      </c>
      <c r="N5745">
        <v>52.252552023626698</v>
      </c>
      <c r="O5745">
        <v>50.280950488051602</v>
      </c>
      <c r="P5745">
        <v>-6.9528052101463095E-2</v>
      </c>
      <c r="Q5745">
        <v>0.16686650959175101</v>
      </c>
      <c r="R5745">
        <v>0.99662827175803703</v>
      </c>
      <c r="S5745" t="s">
        <v>12748</v>
      </c>
      <c r="T5745" t="s">
        <v>14004</v>
      </c>
      <c r="U5745" t="s">
        <v>14004</v>
      </c>
      <c r="V5745" t="s">
        <v>14004</v>
      </c>
      <c r="W5745" t="s">
        <v>19694</v>
      </c>
      <c r="X5745">
        <v>20</v>
      </c>
      <c r="Y5745" t="s">
        <v>26494</v>
      </c>
      <c r="Z5745" t="s">
        <v>33455</v>
      </c>
      <c r="AA5745">
        <v>0.48792492091242651</v>
      </c>
      <c r="AB5745" t="str">
        <f>HYPERLINK("Melting_Curves/meltCurve_Q9BW71_HIRIP3.pdf", "Melting_Curves/meltCurve_Q9BW71_HIRIP3.pdf")</f>
        <v>Melting_Curves/meltCurve_Q9BW71_HIRIP3.pdf</v>
      </c>
    </row>
    <row r="5746" spans="1:28" x14ac:dyDescent="0.25">
      <c r="A5746" t="s">
        <v>5750</v>
      </c>
      <c r="B5746">
        <v>0.99999676499088797</v>
      </c>
      <c r="C5746">
        <v>0.99129098460335396</v>
      </c>
      <c r="D5746">
        <v>0.97254584278265199</v>
      </c>
      <c r="E5746">
        <v>0.96906039306462699</v>
      </c>
      <c r="F5746">
        <v>0.81252110813427703</v>
      </c>
      <c r="G5746">
        <v>0.47829030153367402</v>
      </c>
      <c r="H5746">
        <v>0.13034164034746101</v>
      </c>
      <c r="I5746">
        <v>7.8737053031131501E-2</v>
      </c>
      <c r="J5746">
        <v>7.0587769539361397E-2</v>
      </c>
      <c r="K5746">
        <v>6.5036806105577605E-2</v>
      </c>
      <c r="L5746">
        <v>1506.66504599778</v>
      </c>
      <c r="M5746">
        <v>26.814126572771901</v>
      </c>
      <c r="N5746">
        <v>56.406261836334401</v>
      </c>
      <c r="O5746">
        <v>55.8794919345194</v>
      </c>
      <c r="P5746">
        <v>-0.11408524550417</v>
      </c>
      <c r="Q5746">
        <v>4.9014520013082603E-2</v>
      </c>
      <c r="R5746">
        <v>0.99852688332467199</v>
      </c>
      <c r="S5746" t="s">
        <v>12749</v>
      </c>
      <c r="T5746" t="s">
        <v>14004</v>
      </c>
      <c r="U5746" t="s">
        <v>14004</v>
      </c>
      <c r="V5746" t="s">
        <v>14004</v>
      </c>
      <c r="W5746" t="s">
        <v>19695</v>
      </c>
      <c r="X5746">
        <v>9</v>
      </c>
      <c r="Y5746" t="s">
        <v>26495</v>
      </c>
      <c r="Z5746" t="s">
        <v>33456</v>
      </c>
      <c r="AA5746">
        <v>0.56994492819344933</v>
      </c>
      <c r="AB5746" t="str">
        <f>HYPERLINK("Melting_Curves/meltCurve_Q9BW83_IFT27.pdf", "Melting_Curves/meltCurve_Q9BW83_IFT27.pdf")</f>
        <v>Melting_Curves/meltCurve_Q9BW83_IFT27.pdf</v>
      </c>
    </row>
    <row r="5747" spans="1:28" x14ac:dyDescent="0.25">
      <c r="A5747" t="s">
        <v>5751</v>
      </c>
      <c r="B5747">
        <v>0.99999676499088797</v>
      </c>
      <c r="C5747">
        <v>0.96179562463276203</v>
      </c>
      <c r="D5747">
        <v>0.97305544183641401</v>
      </c>
      <c r="E5747">
        <v>0.95028389332477503</v>
      </c>
      <c r="F5747">
        <v>0.58121120201947396</v>
      </c>
      <c r="G5747">
        <v>0.39699940031530601</v>
      </c>
      <c r="H5747">
        <v>0.178373328422815</v>
      </c>
      <c r="I5747">
        <v>0.17383912634877199</v>
      </c>
      <c r="J5747">
        <v>0.16758680312845201</v>
      </c>
      <c r="K5747">
        <v>0.17904256374094901</v>
      </c>
      <c r="L5747">
        <v>1284.4865297895799</v>
      </c>
      <c r="M5747">
        <v>23.905612977948099</v>
      </c>
      <c r="N5747">
        <v>54.629880219293398</v>
      </c>
      <c r="O5747">
        <v>53.359827932362499</v>
      </c>
      <c r="P5747">
        <v>-9.3801676791239297E-2</v>
      </c>
      <c r="Q5747">
        <v>0.16251284285034101</v>
      </c>
      <c r="R5747">
        <v>0.99171992639700102</v>
      </c>
      <c r="S5747" t="s">
        <v>12750</v>
      </c>
      <c r="T5747" t="s">
        <v>14004</v>
      </c>
      <c r="U5747" t="s">
        <v>14004</v>
      </c>
      <c r="V5747" t="s">
        <v>14004</v>
      </c>
      <c r="W5747" t="s">
        <v>19696</v>
      </c>
      <c r="X5747">
        <v>22</v>
      </c>
      <c r="Y5747" t="s">
        <v>26496</v>
      </c>
      <c r="Z5747" t="s">
        <v>33457</v>
      </c>
      <c r="AA5747">
        <v>0.55424744318324726</v>
      </c>
      <c r="AB5747" t="str">
        <f>HYPERLINK("Melting_Curves/meltCurve_Q9BW85_CCDC94.pdf", "Melting_Curves/meltCurve_Q9BW85_CCDC94.pdf")</f>
        <v>Melting_Curves/meltCurve_Q9BW85_CCDC94.pdf</v>
      </c>
    </row>
    <row r="5748" spans="1:28" x14ac:dyDescent="0.25">
      <c r="A5748" t="s">
        <v>5752</v>
      </c>
      <c r="B5748">
        <v>0.99999676499088797</v>
      </c>
      <c r="C5748">
        <v>1.0160645937419499</v>
      </c>
      <c r="D5748">
        <v>0.90980407512734396</v>
      </c>
      <c r="E5748">
        <v>0.60037082394061403</v>
      </c>
      <c r="F5748">
        <v>0.270279969201212</v>
      </c>
      <c r="G5748">
        <v>0.19683849863873701</v>
      </c>
      <c r="H5748">
        <v>9.8187397135257107E-2</v>
      </c>
      <c r="I5748">
        <v>0.282130297614481</v>
      </c>
      <c r="J5748">
        <v>8.2157142651096401E-2</v>
      </c>
      <c r="K5748">
        <v>9.6558143825499404E-2</v>
      </c>
      <c r="L5748">
        <v>1314.7227770581701</v>
      </c>
      <c r="M5748">
        <v>26.3743866881283</v>
      </c>
      <c r="N5748">
        <v>50.482705444824802</v>
      </c>
      <c r="O5748">
        <v>49.564544249523102</v>
      </c>
      <c r="P5748">
        <v>-0.11427123173521</v>
      </c>
      <c r="Q5748">
        <v>0.14102430119366399</v>
      </c>
      <c r="R5748">
        <v>0.97896011921415504</v>
      </c>
      <c r="S5748" t="s">
        <v>12751</v>
      </c>
      <c r="T5748" t="s">
        <v>14004</v>
      </c>
      <c r="U5748" t="s">
        <v>14004</v>
      </c>
      <c r="V5748" t="s">
        <v>14004</v>
      </c>
      <c r="W5748" t="s">
        <v>19697</v>
      </c>
      <c r="X5748">
        <v>10</v>
      </c>
      <c r="Y5748" t="s">
        <v>26497</v>
      </c>
      <c r="Z5748" t="s">
        <v>33458</v>
      </c>
      <c r="AA5748">
        <v>0.42989083643679998</v>
      </c>
      <c r="AB5748" t="str">
        <f>HYPERLINK("Melting_Curves/meltCurve_Q9BW91_2_NUDT9.pdf", "Melting_Curves/meltCurve_Q9BW91_2_NUDT9.pdf")</f>
        <v>Melting_Curves/meltCurve_Q9BW91_2_NUDT9.pdf</v>
      </c>
    </row>
    <row r="5749" spans="1:28" x14ac:dyDescent="0.25">
      <c r="A5749" t="s">
        <v>5753</v>
      </c>
      <c r="B5749">
        <v>0.99999676499088797</v>
      </c>
      <c r="C5749">
        <v>1.03314967509721</v>
      </c>
      <c r="D5749">
        <v>0.89962164053867799</v>
      </c>
      <c r="E5749">
        <v>0.74498749268990505</v>
      </c>
      <c r="F5749">
        <v>0.39992001916187497</v>
      </c>
      <c r="G5749">
        <v>0.26808999455442301</v>
      </c>
      <c r="H5749">
        <v>0.136892382961115</v>
      </c>
      <c r="I5749">
        <v>0.13665321288889701</v>
      </c>
      <c r="J5749">
        <v>0.13324876110770201</v>
      </c>
      <c r="K5749">
        <v>8.5388459404285202E-2</v>
      </c>
      <c r="L5749">
        <v>1013.58151816271</v>
      </c>
      <c r="M5749">
        <v>19.625526098246301</v>
      </c>
      <c r="N5749">
        <v>52.287402741538202</v>
      </c>
      <c r="O5749">
        <v>51.118825536276603</v>
      </c>
      <c r="P5749">
        <v>-8.57160284069583E-2</v>
      </c>
      <c r="Q5749">
        <v>0.106969358103291</v>
      </c>
      <c r="R5749">
        <v>0.99514652323693398</v>
      </c>
      <c r="S5749" t="s">
        <v>12752</v>
      </c>
      <c r="T5749" t="s">
        <v>14004</v>
      </c>
      <c r="U5749" t="s">
        <v>14004</v>
      </c>
      <c r="V5749" t="s">
        <v>14004</v>
      </c>
      <c r="W5749" t="s">
        <v>19698</v>
      </c>
      <c r="X5749">
        <v>12</v>
      </c>
      <c r="Y5749" t="s">
        <v>26498</v>
      </c>
      <c r="Z5749" t="s">
        <v>33459</v>
      </c>
      <c r="AA5749">
        <v>0.4664525220422947</v>
      </c>
      <c r="AB5749" t="str">
        <f>HYPERLINK("Melting_Curves/meltCurve_Q9BW92_TARS2.pdf", "Melting_Curves/meltCurve_Q9BW92_TARS2.pdf")</f>
        <v>Melting_Curves/meltCurve_Q9BW92_TARS2.pdf</v>
      </c>
    </row>
    <row r="5750" spans="1:28" x14ac:dyDescent="0.25">
      <c r="A5750" t="s">
        <v>5754</v>
      </c>
      <c r="B5750">
        <v>0.99999676499088797</v>
      </c>
      <c r="C5750">
        <v>0.95186911831499299</v>
      </c>
      <c r="D5750">
        <v>0.983523082074368</v>
      </c>
      <c r="E5750">
        <v>0.97562634240074597</v>
      </c>
      <c r="F5750">
        <v>0.99604531915475303</v>
      </c>
      <c r="G5750">
        <v>0.83268858315202599</v>
      </c>
      <c r="H5750">
        <v>0.434840146255001</v>
      </c>
      <c r="I5750">
        <v>0.18009506578911</v>
      </c>
      <c r="J5750">
        <v>0.128878958281017</v>
      </c>
      <c r="K5750">
        <v>0.11091875712561799</v>
      </c>
      <c r="L5750">
        <v>1837.54231125563</v>
      </c>
      <c r="M5750">
        <v>30.789083888471499</v>
      </c>
      <c r="N5750">
        <v>60.097972439164003</v>
      </c>
      <c r="O5750">
        <v>59.431545714963796</v>
      </c>
      <c r="P5750">
        <v>-0.117076346375883</v>
      </c>
      <c r="Q5750">
        <v>9.6044926094828398E-2</v>
      </c>
      <c r="R5750">
        <v>0.99721014547473497</v>
      </c>
      <c r="S5750" t="s">
        <v>12753</v>
      </c>
      <c r="T5750" t="s">
        <v>14004</v>
      </c>
      <c r="U5750" t="s">
        <v>14004</v>
      </c>
      <c r="V5750" t="s">
        <v>14004</v>
      </c>
      <c r="W5750" t="s">
        <v>19699</v>
      </c>
      <c r="X5750">
        <v>27</v>
      </c>
      <c r="Y5750" t="s">
        <v>26499</v>
      </c>
      <c r="Z5750" t="s">
        <v>33460</v>
      </c>
      <c r="AA5750">
        <v>0.69449479077426091</v>
      </c>
      <c r="AB5750" t="str">
        <f>HYPERLINK("Melting_Curves/meltCurve_Q9BWD1_ACAT2.pdf", "Melting_Curves/meltCurve_Q9BWD1_ACAT2.pdf")</f>
        <v>Melting_Curves/meltCurve_Q9BWD1_ACAT2.pdf</v>
      </c>
    </row>
    <row r="5751" spans="1:28" x14ac:dyDescent="0.25">
      <c r="A5751" t="s">
        <v>5755</v>
      </c>
      <c r="B5751">
        <v>0.99999676499088797</v>
      </c>
      <c r="C5751">
        <v>1.10904382785649</v>
      </c>
      <c r="D5751">
        <v>1.0262168605378801</v>
      </c>
      <c r="E5751">
        <v>0.72663447177378104</v>
      </c>
      <c r="F5751">
        <v>0.38907464183918899</v>
      </c>
      <c r="G5751">
        <v>0.380194845059869</v>
      </c>
      <c r="H5751">
        <v>0</v>
      </c>
      <c r="I5751">
        <v>0.104717160444098</v>
      </c>
      <c r="J5751">
        <v>0</v>
      </c>
      <c r="K5751">
        <v>0</v>
      </c>
      <c r="L5751">
        <v>927.18403169549401</v>
      </c>
      <c r="M5751">
        <v>17.527658633852401</v>
      </c>
      <c r="N5751">
        <v>52.904868633012804</v>
      </c>
      <c r="O5751">
        <v>52.224182707763902</v>
      </c>
      <c r="P5751">
        <v>-8.3819809360266895E-2</v>
      </c>
      <c r="Q5751">
        <v>1.08022553018143E-3</v>
      </c>
      <c r="R5751">
        <v>0.963502454524924</v>
      </c>
      <c r="S5751" t="s">
        <v>12754</v>
      </c>
      <c r="T5751" t="s">
        <v>14004</v>
      </c>
      <c r="U5751" t="s">
        <v>14004</v>
      </c>
      <c r="V5751" t="s">
        <v>14004</v>
      </c>
      <c r="W5751" t="s">
        <v>19700</v>
      </c>
      <c r="X5751">
        <v>1</v>
      </c>
      <c r="Y5751" t="s">
        <v>26500</v>
      </c>
      <c r="Z5751" t="s">
        <v>33461</v>
      </c>
      <c r="AA5751">
        <v>0.44765926831447378</v>
      </c>
      <c r="AB5751" t="str">
        <f>HYPERLINK("Melting_Curves/meltCurve_Q9BWE0_REPIN1.pdf", "Melting_Curves/meltCurve_Q9BWE0_REPIN1.pdf")</f>
        <v>Melting_Curves/meltCurve_Q9BWE0_REPIN1.pdf</v>
      </c>
    </row>
    <row r="5752" spans="1:28" x14ac:dyDescent="0.25">
      <c r="A5752" t="s">
        <v>5756</v>
      </c>
      <c r="B5752">
        <v>0.99999676499088797</v>
      </c>
      <c r="C5752">
        <v>0.75802088130186995</v>
      </c>
      <c r="D5752">
        <v>0.49180490305720498</v>
      </c>
      <c r="E5752">
        <v>0.23657510342743501</v>
      </c>
      <c r="F5752">
        <v>0.157754379737157</v>
      </c>
      <c r="G5752">
        <v>0.116282649342084</v>
      </c>
      <c r="H5752">
        <v>6.6530270113438997E-2</v>
      </c>
      <c r="I5752">
        <v>7.3092253446602001E-2</v>
      </c>
      <c r="J5752">
        <v>7.9421579367747297E-2</v>
      </c>
      <c r="K5752">
        <v>8.70892244026127E-2</v>
      </c>
      <c r="L5752">
        <v>885.89173929967205</v>
      </c>
      <c r="M5752">
        <v>19.468680684400301</v>
      </c>
      <c r="N5752">
        <v>45.927167570718197</v>
      </c>
      <c r="O5752">
        <v>45.031498842329398</v>
      </c>
      <c r="P5752">
        <v>-9.9201595913288004E-2</v>
      </c>
      <c r="Q5752">
        <v>8.2211095233870199E-2</v>
      </c>
      <c r="R5752">
        <v>0.99429030714782196</v>
      </c>
      <c r="S5752" t="s">
        <v>12755</v>
      </c>
      <c r="T5752" t="s">
        <v>14004</v>
      </c>
      <c r="U5752" t="s">
        <v>14004</v>
      </c>
      <c r="V5752" t="s">
        <v>14004</v>
      </c>
      <c r="W5752" t="s">
        <v>19701</v>
      </c>
      <c r="X5752">
        <v>23</v>
      </c>
      <c r="Y5752" t="s">
        <v>26501</v>
      </c>
      <c r="Z5752" t="s">
        <v>33462</v>
      </c>
      <c r="AA5752">
        <v>0.26628952334908401</v>
      </c>
      <c r="AB5752" t="str">
        <f>HYPERLINK("Melting_Curves/meltCurve_Q9BWF3_RBM4.pdf", "Melting_Curves/meltCurve_Q9BWF3_RBM4.pdf")</f>
        <v>Melting_Curves/meltCurve_Q9BWF3_RBM4.pdf</v>
      </c>
    </row>
    <row r="5753" spans="1:28" x14ac:dyDescent="0.25">
      <c r="A5753" t="s">
        <v>5757</v>
      </c>
      <c r="B5753">
        <v>0.99999676499088797</v>
      </c>
      <c r="C5753">
        <v>0.99464114392291003</v>
      </c>
      <c r="D5753">
        <v>0.87762772115388499</v>
      </c>
      <c r="E5753">
        <v>0.75953365943604501</v>
      </c>
      <c r="F5753">
        <v>0.48248471743147497</v>
      </c>
      <c r="G5753">
        <v>0.39173846750157099</v>
      </c>
      <c r="H5753">
        <v>0.240593533328226</v>
      </c>
      <c r="I5753">
        <v>0.337768163391932</v>
      </c>
      <c r="J5753">
        <v>0.36799666709281098</v>
      </c>
      <c r="K5753">
        <v>0.42648099837947201</v>
      </c>
      <c r="L5753">
        <v>1157.30605754516</v>
      </c>
      <c r="M5753">
        <v>22.981924889132699</v>
      </c>
      <c r="N5753">
        <v>52.991198666750002</v>
      </c>
      <c r="O5753">
        <v>49.980602540308702</v>
      </c>
      <c r="P5753">
        <v>-7.5817939623775199E-2</v>
      </c>
      <c r="Q5753">
        <v>0.34046340940522601</v>
      </c>
      <c r="R5753">
        <v>0.96724393701221201</v>
      </c>
      <c r="S5753" t="s">
        <v>12756</v>
      </c>
      <c r="T5753" t="s">
        <v>14004</v>
      </c>
      <c r="U5753" t="s">
        <v>14004</v>
      </c>
      <c r="V5753" t="s">
        <v>14004</v>
      </c>
      <c r="W5753" t="s">
        <v>19702</v>
      </c>
      <c r="X5753">
        <v>3</v>
      </c>
      <c r="Y5753" t="s">
        <v>26502</v>
      </c>
      <c r="Z5753" t="s">
        <v>33463</v>
      </c>
      <c r="AA5753">
        <v>0.57515545229586107</v>
      </c>
      <c r="AB5753" t="str">
        <f>HYPERLINK("Melting_Curves/meltCurve_Q9BWG6_SCNM1.pdf", "Melting_Curves/meltCurve_Q9BWG6_SCNM1.pdf")</f>
        <v>Melting_Curves/meltCurve_Q9BWG6_SCNM1.pdf</v>
      </c>
    </row>
    <row r="5754" spans="1:28" x14ac:dyDescent="0.25">
      <c r="A5754" t="s">
        <v>5758</v>
      </c>
      <c r="B5754">
        <v>0.99999676499088797</v>
      </c>
      <c r="C5754">
        <v>0.86375822643035505</v>
      </c>
      <c r="D5754">
        <v>0.85938385936438599</v>
      </c>
      <c r="E5754">
        <v>0.72353209125111895</v>
      </c>
      <c r="F5754">
        <v>0.81570272191835502</v>
      </c>
      <c r="G5754">
        <v>0.65437874664809403</v>
      </c>
      <c r="H5754">
        <v>0.49426593096591198</v>
      </c>
      <c r="I5754">
        <v>0.440760460775034</v>
      </c>
      <c r="J5754">
        <v>0.39741367273471501</v>
      </c>
      <c r="K5754">
        <v>0.58158019852388099</v>
      </c>
      <c r="L5754">
        <v>409.66631000901401</v>
      </c>
      <c r="M5754">
        <v>7.5959866403894498</v>
      </c>
      <c r="N5754">
        <v>64.841994855618594</v>
      </c>
      <c r="O5754">
        <v>50.574720052007997</v>
      </c>
      <c r="P5754">
        <v>-2.40371049635912E-2</v>
      </c>
      <c r="Q5754">
        <v>0.360712553953699</v>
      </c>
      <c r="R5754">
        <v>0.85405404452705402</v>
      </c>
      <c r="S5754" t="s">
        <v>12757</v>
      </c>
      <c r="T5754" t="s">
        <v>14004</v>
      </c>
      <c r="U5754" t="s">
        <v>14004</v>
      </c>
      <c r="V5754" t="s">
        <v>14004</v>
      </c>
      <c r="W5754" t="s">
        <v>19703</v>
      </c>
      <c r="X5754">
        <v>6</v>
      </c>
      <c r="Y5754" t="s">
        <v>26503</v>
      </c>
      <c r="Z5754" t="s">
        <v>33464</v>
      </c>
      <c r="AA5754">
        <v>0.68016762961305921</v>
      </c>
      <c r="AB5754" t="str">
        <f>HYPERLINK("Melting_Curves/meltCurve_Q9BWH2_FUNDC2.pdf", "Melting_Curves/meltCurve_Q9BWH2_FUNDC2.pdf")</f>
        <v>Melting_Curves/meltCurve_Q9BWH2_FUNDC2.pdf</v>
      </c>
    </row>
    <row r="5755" spans="1:28" x14ac:dyDescent="0.25">
      <c r="A5755" t="s">
        <v>5759</v>
      </c>
      <c r="B5755">
        <v>0.99999676499088797</v>
      </c>
      <c r="C5755">
        <v>0.99423515465266898</v>
      </c>
      <c r="D5755">
        <v>0.83569235008267495</v>
      </c>
      <c r="E5755">
        <v>0.60683490465253898</v>
      </c>
      <c r="F5755">
        <v>0.293544556400471</v>
      </c>
      <c r="G5755">
        <v>0.195544854179933</v>
      </c>
      <c r="H5755">
        <v>0.112799715432109</v>
      </c>
      <c r="I5755">
        <v>0.10120234827287</v>
      </c>
      <c r="J5755">
        <v>9.9170060005935506E-2</v>
      </c>
      <c r="K5755">
        <v>8.4570150627830798E-2</v>
      </c>
      <c r="L5755">
        <v>958.30125906601597</v>
      </c>
      <c r="M5755">
        <v>19.1202458331482</v>
      </c>
      <c r="N5755">
        <v>50.629826753084899</v>
      </c>
      <c r="O5755">
        <v>49.581115289425398</v>
      </c>
      <c r="P5755">
        <v>-8.7965774284899795E-2</v>
      </c>
      <c r="Q5755">
        <v>8.7611559715429305E-2</v>
      </c>
      <c r="R5755">
        <v>0.99792668005101803</v>
      </c>
      <c r="S5755" t="s">
        <v>12758</v>
      </c>
      <c r="T5755" t="s">
        <v>14004</v>
      </c>
      <c r="U5755" t="s">
        <v>14004</v>
      </c>
      <c r="V5755" t="s">
        <v>14004</v>
      </c>
      <c r="W5755" t="s">
        <v>19704</v>
      </c>
      <c r="X5755">
        <v>8</v>
      </c>
      <c r="Y5755" t="s">
        <v>26504</v>
      </c>
      <c r="Z5755" t="s">
        <v>33465</v>
      </c>
      <c r="AA5755">
        <v>0.40923010191740439</v>
      </c>
      <c r="AB5755" t="str">
        <f>HYPERLINK("Melting_Curves/meltCurve_Q9BWH6_RPAP1.pdf", "Melting_Curves/meltCurve_Q9BWH6_RPAP1.pdf")</f>
        <v>Melting_Curves/meltCurve_Q9BWH6_RPAP1.pdf</v>
      </c>
    </row>
    <row r="5756" spans="1:28" x14ac:dyDescent="0.25">
      <c r="A5756" t="s">
        <v>5760</v>
      </c>
      <c r="B5756">
        <v>0.99999676499088797</v>
      </c>
      <c r="C5756">
        <v>1.01531578866633</v>
      </c>
      <c r="D5756">
        <v>0.93627997961627496</v>
      </c>
      <c r="E5756">
        <v>0.92715426010284596</v>
      </c>
      <c r="F5756">
        <v>0.66507541324425801</v>
      </c>
      <c r="G5756">
        <v>0.35378468285152498</v>
      </c>
      <c r="H5756">
        <v>0.22760434968218701</v>
      </c>
      <c r="I5756">
        <v>0.279317932433856</v>
      </c>
      <c r="J5756">
        <v>0.276208819317104</v>
      </c>
      <c r="K5756">
        <v>0.34237616618885802</v>
      </c>
      <c r="L5756">
        <v>1807.5772610249701</v>
      </c>
      <c r="M5756">
        <v>33.8991636684894</v>
      </c>
      <c r="N5756">
        <v>54.630451369636901</v>
      </c>
      <c r="O5756">
        <v>53.137650718997101</v>
      </c>
      <c r="P5756">
        <v>-0.115154902517953</v>
      </c>
      <c r="Q5756">
        <v>0.27797208567852999</v>
      </c>
      <c r="R5756">
        <v>0.98799656536509295</v>
      </c>
      <c r="S5756" t="s">
        <v>12759</v>
      </c>
      <c r="T5756" t="s">
        <v>14004</v>
      </c>
      <c r="U5756" t="s">
        <v>14004</v>
      </c>
      <c r="V5756" t="s">
        <v>14004</v>
      </c>
      <c r="W5756" t="s">
        <v>19705</v>
      </c>
      <c r="X5756">
        <v>4</v>
      </c>
      <c r="Y5756" t="s">
        <v>26505</v>
      </c>
      <c r="Z5756" t="s">
        <v>33466</v>
      </c>
      <c r="AA5756">
        <v>0.60230257067757287</v>
      </c>
      <c r="AB5756" t="str">
        <f>HYPERLINK("Melting_Curves/meltCurve_Q9BWJ5_SF3B5.pdf", "Melting_Curves/meltCurve_Q9BWJ5_SF3B5.pdf")</f>
        <v>Melting_Curves/meltCurve_Q9BWJ5_SF3B5.pdf</v>
      </c>
    </row>
    <row r="5757" spans="1:28" x14ac:dyDescent="0.25">
      <c r="A5757" t="s">
        <v>5761</v>
      </c>
      <c r="B5757">
        <v>0.99999676499088797</v>
      </c>
      <c r="C5757">
        <v>0.97598439879536103</v>
      </c>
      <c r="D5757">
        <v>0.98865596526392496</v>
      </c>
      <c r="E5757">
        <v>0.832678162255023</v>
      </c>
      <c r="F5757">
        <v>0.74590708391552196</v>
      </c>
      <c r="G5757">
        <v>0.63875900751923498</v>
      </c>
      <c r="H5757">
        <v>0.43438596121584</v>
      </c>
      <c r="I5757">
        <v>0.51064763274763103</v>
      </c>
      <c r="J5757">
        <v>0.47479328429892698</v>
      </c>
      <c r="K5757">
        <v>0.52472857775111503</v>
      </c>
      <c r="L5757">
        <v>902.39390304079598</v>
      </c>
      <c r="M5757">
        <v>17.0468781445269</v>
      </c>
      <c r="N5757">
        <v>63.618685737833601</v>
      </c>
      <c r="O5757">
        <v>52.223653691061699</v>
      </c>
      <c r="P5757">
        <v>-4.3136177141060897E-2</v>
      </c>
      <c r="Q5757">
        <v>0.47143610908232803</v>
      </c>
      <c r="R5757">
        <v>0.96739246747788499</v>
      </c>
      <c r="S5757" t="s">
        <v>12760</v>
      </c>
      <c r="T5757" t="s">
        <v>14004</v>
      </c>
      <c r="U5757" t="s">
        <v>14004</v>
      </c>
      <c r="V5757" t="s">
        <v>14004</v>
      </c>
      <c r="W5757" t="s">
        <v>19706</v>
      </c>
      <c r="X5757">
        <v>2</v>
      </c>
      <c r="Y5757" t="s">
        <v>26506</v>
      </c>
      <c r="Z5757" t="s">
        <v>33467</v>
      </c>
      <c r="AA5757">
        <v>0.70879556234381835</v>
      </c>
      <c r="AB5757" t="str">
        <f>HYPERLINK("Melting_Curves/meltCurve_Q9BWK5_MRI.pdf", "Melting_Curves/meltCurve_Q9BWK5_MRI.pdf")</f>
        <v>Melting_Curves/meltCurve_Q9BWK5_MRI.pdf</v>
      </c>
    </row>
    <row r="5758" spans="1:28" x14ac:dyDescent="0.25">
      <c r="A5758" t="s">
        <v>5762</v>
      </c>
      <c r="B5758">
        <v>0.99999676499088797</v>
      </c>
      <c r="C5758">
        <v>1.0740390171227301</v>
      </c>
      <c r="D5758">
        <v>1.0584299245992601</v>
      </c>
      <c r="E5758">
        <v>1.0458650163140899</v>
      </c>
      <c r="F5758">
        <v>0.68747553706595599</v>
      </c>
      <c r="G5758">
        <v>0.28225285275342299</v>
      </c>
      <c r="H5758">
        <v>0.14775936219593899</v>
      </c>
      <c r="I5758">
        <v>0.13213030899820699</v>
      </c>
      <c r="J5758">
        <v>0.105104329383423</v>
      </c>
      <c r="K5758">
        <v>9.1723084857335394E-2</v>
      </c>
      <c r="L5758">
        <v>1941.5105856954699</v>
      </c>
      <c r="M5758">
        <v>35.770525624164598</v>
      </c>
      <c r="N5758">
        <v>54.677871879123501</v>
      </c>
      <c r="O5758">
        <v>54.108030791308799</v>
      </c>
      <c r="P5758">
        <v>-0.14620350212111</v>
      </c>
      <c r="Q5758">
        <v>0.11538817459225199</v>
      </c>
      <c r="R5758">
        <v>0.99083753119120299</v>
      </c>
      <c r="S5758" t="s">
        <v>12761</v>
      </c>
      <c r="T5758" t="s">
        <v>14004</v>
      </c>
      <c r="U5758" t="s">
        <v>14004</v>
      </c>
      <c r="V5758" t="s">
        <v>14004</v>
      </c>
      <c r="W5758" t="s">
        <v>19707</v>
      </c>
      <c r="X5758">
        <v>9</v>
      </c>
      <c r="Y5758" t="s">
        <v>26507</v>
      </c>
      <c r="Z5758" t="s">
        <v>33468</v>
      </c>
      <c r="AA5758">
        <v>0.54050441035203012</v>
      </c>
      <c r="AB5758" t="str">
        <f>HYPERLINK("Melting_Curves/meltCurve_Q9BWM7_SFXN3.pdf", "Melting_Curves/meltCurve_Q9BWM7_SFXN3.pdf")</f>
        <v>Melting_Curves/meltCurve_Q9BWM7_SFXN3.pdf</v>
      </c>
    </row>
    <row r="5759" spans="1:28" x14ac:dyDescent="0.25">
      <c r="A5759" t="s">
        <v>5763</v>
      </c>
      <c r="B5759">
        <v>0.99999676499088797</v>
      </c>
      <c r="C5759">
        <v>0.89436174614030595</v>
      </c>
      <c r="D5759">
        <v>0.64210606279618099</v>
      </c>
      <c r="E5759">
        <v>0.342914045812443</v>
      </c>
      <c r="F5759">
        <v>0.33457045235026101</v>
      </c>
      <c r="G5759">
        <v>0.17392599838419301</v>
      </c>
      <c r="H5759">
        <v>0.114142516993985</v>
      </c>
      <c r="I5759">
        <v>0.11959378230945</v>
      </c>
      <c r="J5759">
        <v>0.12159383763555801</v>
      </c>
      <c r="K5759">
        <v>0.13041468891761401</v>
      </c>
      <c r="L5759">
        <v>804.42264824674703</v>
      </c>
      <c r="M5759">
        <v>17.0296245340861</v>
      </c>
      <c r="N5759">
        <v>48.045083668932499</v>
      </c>
      <c r="O5759">
        <v>46.5997225496289</v>
      </c>
      <c r="P5759">
        <v>-7.9985114729073298E-2</v>
      </c>
      <c r="Q5759">
        <v>0.124571128211434</v>
      </c>
      <c r="R5759">
        <v>0.98472148864748199</v>
      </c>
      <c r="S5759" t="s">
        <v>12762</v>
      </c>
      <c r="T5759" t="s">
        <v>14004</v>
      </c>
      <c r="U5759" t="s">
        <v>14004</v>
      </c>
      <c r="V5759" t="s">
        <v>14004</v>
      </c>
      <c r="W5759" t="s">
        <v>19708</v>
      </c>
      <c r="X5759">
        <v>9</v>
      </c>
      <c r="Y5759" t="s">
        <v>26508</v>
      </c>
      <c r="Z5759" t="s">
        <v>33469</v>
      </c>
      <c r="AA5759">
        <v>0.35373326510809339</v>
      </c>
      <c r="AB5759" t="str">
        <f>HYPERLINK("Melting_Curves/meltCurve_Q9BWT3_PAPOLG.pdf", "Melting_Curves/meltCurve_Q9BWT3_PAPOLG.pdf")</f>
        <v>Melting_Curves/meltCurve_Q9BWT3_PAPOLG.pdf</v>
      </c>
    </row>
    <row r="5760" spans="1:28" x14ac:dyDescent="0.25">
      <c r="A5760" t="s">
        <v>5764</v>
      </c>
      <c r="B5760">
        <v>0.99999676499088797</v>
      </c>
      <c r="C5760">
        <v>0.82530861404060096</v>
      </c>
      <c r="D5760">
        <v>0.71784471917473502</v>
      </c>
      <c r="E5760">
        <v>0.472225836443813</v>
      </c>
      <c r="F5760">
        <v>0.39164581403758902</v>
      </c>
      <c r="G5760">
        <v>0.284483048836011</v>
      </c>
      <c r="H5760">
        <v>0.22233112507003</v>
      </c>
      <c r="I5760">
        <v>0.27161419019016803</v>
      </c>
      <c r="J5760">
        <v>0.292699808679659</v>
      </c>
      <c r="K5760">
        <v>0.46083609056240799</v>
      </c>
      <c r="L5760">
        <v>847.53271429967106</v>
      </c>
      <c r="M5760">
        <v>18.2094107114035</v>
      </c>
      <c r="N5760">
        <v>49.056200037920902</v>
      </c>
      <c r="O5760">
        <v>45.993226732643201</v>
      </c>
      <c r="P5760">
        <v>-6.8967383277590402E-2</v>
      </c>
      <c r="Q5760">
        <v>0.30324315079522401</v>
      </c>
      <c r="R5760">
        <v>0.93511918975463004</v>
      </c>
      <c r="S5760" t="s">
        <v>12763</v>
      </c>
      <c r="T5760" t="s">
        <v>14004</v>
      </c>
      <c r="U5760" t="s">
        <v>14004</v>
      </c>
      <c r="V5760" t="s">
        <v>14004</v>
      </c>
      <c r="W5760" t="s">
        <v>19709</v>
      </c>
      <c r="X5760">
        <v>5</v>
      </c>
      <c r="Y5760" t="s">
        <v>26509</v>
      </c>
      <c r="Z5760" t="s">
        <v>33470</v>
      </c>
      <c r="AA5760">
        <v>0.46806792661035068</v>
      </c>
      <c r="AB5760" t="str">
        <f>HYPERLINK("Melting_Curves/meltCurve_Q9BWT6_MND1.pdf", "Melting_Curves/meltCurve_Q9BWT6_MND1.pdf")</f>
        <v>Melting_Curves/meltCurve_Q9BWT6_MND1.pdf</v>
      </c>
    </row>
    <row r="5761" spans="1:28" x14ac:dyDescent="0.25">
      <c r="A5761" t="s">
        <v>5765</v>
      </c>
      <c r="B5761">
        <v>0.99999676499088797</v>
      </c>
      <c r="C5761">
        <v>0.96177027688553995</v>
      </c>
      <c r="D5761">
        <v>0.92827150447751094</v>
      </c>
      <c r="E5761">
        <v>0.59673644763268896</v>
      </c>
      <c r="F5761">
        <v>0.35727843051570901</v>
      </c>
      <c r="G5761">
        <v>0.17776996559813901</v>
      </c>
      <c r="H5761">
        <v>9.7096606483180803E-2</v>
      </c>
      <c r="I5761">
        <v>0.10177819792192599</v>
      </c>
      <c r="J5761">
        <v>9.7521819269885499E-2</v>
      </c>
      <c r="K5761">
        <v>8.4814863397072796E-2</v>
      </c>
      <c r="L5761">
        <v>1013.26983054645</v>
      </c>
      <c r="M5761">
        <v>20.0357289574658</v>
      </c>
      <c r="N5761">
        <v>51.044336409859497</v>
      </c>
      <c r="O5761">
        <v>50.077427817654701</v>
      </c>
      <c r="P5761">
        <v>-9.1582002187740694E-2</v>
      </c>
      <c r="Q5761">
        <v>8.4427047709345407E-2</v>
      </c>
      <c r="R5761">
        <v>0.99726068607808305</v>
      </c>
      <c r="S5761" t="s">
        <v>12764</v>
      </c>
      <c r="T5761" t="s">
        <v>14004</v>
      </c>
      <c r="U5761" t="s">
        <v>14004</v>
      </c>
      <c r="V5761" t="s">
        <v>14004</v>
      </c>
      <c r="W5761" t="s">
        <v>19710</v>
      </c>
      <c r="X5761">
        <v>23</v>
      </c>
      <c r="Y5761" t="s">
        <v>26510</v>
      </c>
      <c r="Z5761" t="s">
        <v>33471</v>
      </c>
      <c r="AA5761">
        <v>0.41978982117199898</v>
      </c>
      <c r="AB5761" t="str">
        <f>HYPERLINK("Melting_Curves/meltCurve_Q9BWU0_SLC4A1AP.pdf", "Melting_Curves/meltCurve_Q9BWU0_SLC4A1AP.pdf")</f>
        <v>Melting_Curves/meltCurve_Q9BWU0_SLC4A1AP.pdf</v>
      </c>
    </row>
    <row r="5762" spans="1:28" x14ac:dyDescent="0.25">
      <c r="A5762" t="s">
        <v>5766</v>
      </c>
      <c r="B5762">
        <v>0.99999676499088797</v>
      </c>
      <c r="C5762">
        <v>0.89800628620089795</v>
      </c>
      <c r="D5762">
        <v>0.83661152990602095</v>
      </c>
      <c r="E5762">
        <v>1.0908168789669901</v>
      </c>
      <c r="F5762">
        <v>0.87392448510474596</v>
      </c>
      <c r="G5762">
        <v>0.708623314647299</v>
      </c>
      <c r="H5762">
        <v>0.19062058432231199</v>
      </c>
      <c r="I5762">
        <v>0.113660320189021</v>
      </c>
      <c r="J5762">
        <v>0.165071952087711</v>
      </c>
      <c r="K5762">
        <v>0.22937381025880399</v>
      </c>
      <c r="L5762">
        <v>2732.8670969405198</v>
      </c>
      <c r="M5762">
        <v>47.577429575185</v>
      </c>
      <c r="N5762">
        <v>57.911144377561001</v>
      </c>
      <c r="O5762">
        <v>57.3392064539198</v>
      </c>
      <c r="P5762">
        <v>-0.17417306523206699</v>
      </c>
      <c r="Q5762">
        <v>0.16036363609568799</v>
      </c>
      <c r="R5762">
        <v>0.95183944006035703</v>
      </c>
      <c r="S5762" t="s">
        <v>12765</v>
      </c>
      <c r="T5762" t="s">
        <v>14004</v>
      </c>
      <c r="U5762" t="s">
        <v>14004</v>
      </c>
      <c r="V5762" t="s">
        <v>14004</v>
      </c>
      <c r="W5762" t="s">
        <v>19711</v>
      </c>
      <c r="X5762">
        <v>2</v>
      </c>
      <c r="Y5762" t="s">
        <v>26511</v>
      </c>
      <c r="Z5762" t="s">
        <v>33472</v>
      </c>
      <c r="AA5762">
        <v>0.65082430162316207</v>
      </c>
      <c r="AB5762" t="str">
        <f>HYPERLINK("Melting_Curves/meltCurve_Q9BWW4_2_SSBP3.pdf", "Melting_Curves/meltCurve_Q9BWW4_2_SSBP3.pdf")</f>
        <v>Melting_Curves/meltCurve_Q9BWW4_2_SSBP3.pdf</v>
      </c>
    </row>
    <row r="5763" spans="1:28" x14ac:dyDescent="0.25">
      <c r="A5763" t="s">
        <v>5767</v>
      </c>
      <c r="B5763">
        <v>0.99999676499088797</v>
      </c>
      <c r="C5763">
        <v>0.97329736604241701</v>
      </c>
      <c r="D5763">
        <v>0.79967467058053299</v>
      </c>
      <c r="E5763">
        <v>0.35656001545284899</v>
      </c>
      <c r="F5763">
        <v>0.16234184780963401</v>
      </c>
      <c r="G5763">
        <v>0.117879318297758</v>
      </c>
      <c r="H5763">
        <v>6.2972099381126495E-2</v>
      </c>
      <c r="I5763">
        <v>8.1682108165155601E-2</v>
      </c>
      <c r="J5763">
        <v>9.53248228142166E-2</v>
      </c>
      <c r="K5763">
        <v>8.6349773861243095E-2</v>
      </c>
      <c r="L5763">
        <v>1314.9792090747701</v>
      </c>
      <c r="M5763">
        <v>27.337082162610599</v>
      </c>
      <c r="N5763">
        <v>48.439865147018203</v>
      </c>
      <c r="O5763">
        <v>47.847208279350802</v>
      </c>
      <c r="P5763">
        <v>-0.130451730075828</v>
      </c>
      <c r="Q5763">
        <v>8.6706962432493706E-2</v>
      </c>
      <c r="R5763">
        <v>0.99896605821015205</v>
      </c>
      <c r="S5763" t="s">
        <v>12766</v>
      </c>
      <c r="T5763" t="s">
        <v>14004</v>
      </c>
      <c r="U5763" t="s">
        <v>14004</v>
      </c>
      <c r="V5763" t="s">
        <v>14004</v>
      </c>
      <c r="W5763" t="s">
        <v>19712</v>
      </c>
      <c r="X5763">
        <v>6</v>
      </c>
      <c r="Y5763" t="s">
        <v>26512</v>
      </c>
      <c r="Z5763" t="s">
        <v>33473</v>
      </c>
      <c r="AA5763">
        <v>0.34005294424202381</v>
      </c>
      <c r="AB5763" t="str">
        <f>HYPERLINK("Melting_Curves/meltCurve_Q9BX40_LSM14B.pdf", "Melting_Curves/meltCurve_Q9BX40_LSM14B.pdf")</f>
        <v>Melting_Curves/meltCurve_Q9BX40_LSM14B.pdf</v>
      </c>
    </row>
    <row r="5764" spans="1:28" x14ac:dyDescent="0.25">
      <c r="A5764" t="s">
        <v>5768</v>
      </c>
      <c r="B5764">
        <v>0.99999676499088797</v>
      </c>
      <c r="C5764">
        <v>0.88853508311609997</v>
      </c>
      <c r="D5764">
        <v>0.80332555048974497</v>
      </c>
      <c r="E5764">
        <v>0.63862666427452297</v>
      </c>
      <c r="F5764">
        <v>0.38240320184945797</v>
      </c>
      <c r="G5764">
        <v>0.20571841776008601</v>
      </c>
      <c r="H5764">
        <v>0.113484395352367</v>
      </c>
      <c r="I5764">
        <v>0.125864609333142</v>
      </c>
      <c r="J5764">
        <v>0.106114133756089</v>
      </c>
      <c r="K5764">
        <v>0.10125206511283801</v>
      </c>
      <c r="L5764">
        <v>722.36245564458602</v>
      </c>
      <c r="M5764">
        <v>14.273692871845901</v>
      </c>
      <c r="N5764">
        <v>51.133803614739101</v>
      </c>
      <c r="O5764">
        <v>49.645711641665102</v>
      </c>
      <c r="P5764">
        <v>-6.6979563010644103E-2</v>
      </c>
      <c r="Q5764">
        <v>6.8260830407519596E-2</v>
      </c>
      <c r="R5764">
        <v>0.99459850647081505</v>
      </c>
      <c r="S5764" t="s">
        <v>12767</v>
      </c>
      <c r="T5764" t="s">
        <v>14004</v>
      </c>
      <c r="U5764" t="s">
        <v>14004</v>
      </c>
      <c r="V5764" t="s">
        <v>14004</v>
      </c>
      <c r="W5764" t="s">
        <v>19713</v>
      </c>
      <c r="X5764">
        <v>6</v>
      </c>
      <c r="Y5764" t="s">
        <v>26513</v>
      </c>
      <c r="Z5764" t="s">
        <v>33474</v>
      </c>
      <c r="AA5764">
        <v>0.42141046010972988</v>
      </c>
      <c r="AB5764" t="str">
        <f>HYPERLINK("Melting_Curves/meltCurve_Q9BX63_BRIP1.pdf", "Melting_Curves/meltCurve_Q9BX63_BRIP1.pdf")</f>
        <v>Melting_Curves/meltCurve_Q9BX63_BRIP1.pdf</v>
      </c>
    </row>
    <row r="5765" spans="1:28" x14ac:dyDescent="0.25">
      <c r="A5765" t="s">
        <v>5769</v>
      </c>
      <c r="B5765">
        <v>0.99999676499088797</v>
      </c>
      <c r="C5765">
        <v>0.96668696775766705</v>
      </c>
      <c r="D5765">
        <v>0.983311199236233</v>
      </c>
      <c r="E5765">
        <v>0.78550061187123599</v>
      </c>
      <c r="F5765">
        <v>0.55564845786505002</v>
      </c>
      <c r="G5765">
        <v>0.380750433033897</v>
      </c>
      <c r="H5765">
        <v>0.195269831288368</v>
      </c>
      <c r="I5765">
        <v>0.27651034601437202</v>
      </c>
      <c r="J5765">
        <v>0.240616755902263</v>
      </c>
      <c r="K5765">
        <v>0.22840065612770999</v>
      </c>
      <c r="L5765">
        <v>1047.0492051108999</v>
      </c>
      <c r="M5765">
        <v>20.005264386576101</v>
      </c>
      <c r="N5765">
        <v>53.915809424554901</v>
      </c>
      <c r="O5765">
        <v>51.824122276975402</v>
      </c>
      <c r="P5765">
        <v>-7.5132047621310899E-2</v>
      </c>
      <c r="Q5765">
        <v>0.22149975175311601</v>
      </c>
      <c r="R5765">
        <v>0.99136158973741395</v>
      </c>
      <c r="S5765" t="s">
        <v>12768</v>
      </c>
      <c r="T5765" t="s">
        <v>14004</v>
      </c>
      <c r="U5765" t="s">
        <v>14004</v>
      </c>
      <c r="V5765" t="s">
        <v>14004</v>
      </c>
      <c r="W5765" t="s">
        <v>19714</v>
      </c>
      <c r="X5765">
        <v>5</v>
      </c>
      <c r="Y5765" t="s">
        <v>26514</v>
      </c>
      <c r="Z5765" t="s">
        <v>33475</v>
      </c>
      <c r="AA5765">
        <v>0.55243984856728412</v>
      </c>
      <c r="AB5765" t="str">
        <f>HYPERLINK("Melting_Curves/meltCurve_Q9BX66_9_SORBS1.pdf", "Melting_Curves/meltCurve_Q9BX66_9_SORBS1.pdf")</f>
        <v>Melting_Curves/meltCurve_Q9BX66_9_SORBS1.pdf</v>
      </c>
    </row>
    <row r="5766" spans="1:28" x14ac:dyDescent="0.25">
      <c r="A5766" t="s">
        <v>5770</v>
      </c>
      <c r="B5766">
        <v>0.99999676499088797</v>
      </c>
      <c r="C5766">
        <v>1.00579851535669</v>
      </c>
      <c r="D5766">
        <v>0.99209252884116705</v>
      </c>
      <c r="E5766">
        <v>0.95084151819021601</v>
      </c>
      <c r="F5766">
        <v>0.87707039630480998</v>
      </c>
      <c r="G5766">
        <v>0.84934729060472902</v>
      </c>
      <c r="H5766">
        <v>0.522402605641623</v>
      </c>
      <c r="I5766">
        <v>0.44959746577238202</v>
      </c>
      <c r="J5766">
        <v>0.35330685112604698</v>
      </c>
      <c r="K5766">
        <v>0.38470578723453203</v>
      </c>
      <c r="L5766">
        <v>1254.45858231849</v>
      </c>
      <c r="M5766">
        <v>21.321339081041302</v>
      </c>
      <c r="N5766">
        <v>62.085873883776799</v>
      </c>
      <c r="O5766">
        <v>58.325597672800498</v>
      </c>
      <c r="P5766">
        <v>-6.06633515492917E-2</v>
      </c>
      <c r="Q5766">
        <v>0.33622615376061599</v>
      </c>
      <c r="R5766">
        <v>0.98302923949365195</v>
      </c>
      <c r="S5766" t="s">
        <v>12769</v>
      </c>
      <c r="T5766" t="s">
        <v>14004</v>
      </c>
      <c r="U5766" t="s">
        <v>14004</v>
      </c>
      <c r="V5766" t="s">
        <v>14004</v>
      </c>
      <c r="W5766" t="s">
        <v>19715</v>
      </c>
      <c r="X5766">
        <v>11</v>
      </c>
      <c r="Y5766" t="s">
        <v>26515</v>
      </c>
      <c r="Z5766" t="s">
        <v>33476</v>
      </c>
      <c r="AA5766">
        <v>0.75948909552262667</v>
      </c>
      <c r="AB5766" t="str">
        <f>HYPERLINK("Melting_Curves/meltCurve_Q9BX67_JAM3.pdf", "Melting_Curves/meltCurve_Q9BX67_JAM3.pdf")</f>
        <v>Melting_Curves/meltCurve_Q9BX67_JAM3.pdf</v>
      </c>
    </row>
    <row r="5767" spans="1:28" x14ac:dyDescent="0.25">
      <c r="A5767" t="s">
        <v>5771</v>
      </c>
      <c r="B5767">
        <v>0.99999676499088797</v>
      </c>
      <c r="C5767">
        <v>0.92514650809536803</v>
      </c>
      <c r="D5767">
        <v>0.87989823656986199</v>
      </c>
      <c r="E5767">
        <v>0.65831824781295201</v>
      </c>
      <c r="F5767">
        <v>0.58381170467603605</v>
      </c>
      <c r="G5767">
        <v>0.40651377279169199</v>
      </c>
      <c r="H5767">
        <v>0.13541177711541599</v>
      </c>
      <c r="I5767">
        <v>7.7983312649678699E-2</v>
      </c>
      <c r="J5767">
        <v>5.9548763015787702E-2</v>
      </c>
      <c r="K5767">
        <v>5.03335796901642E-2</v>
      </c>
      <c r="L5767">
        <v>652.37463708522</v>
      </c>
      <c r="M5767">
        <v>12.165295688661001</v>
      </c>
      <c r="N5767">
        <v>53.625875200923403</v>
      </c>
      <c r="O5767">
        <v>52.238553678793899</v>
      </c>
      <c r="P5767">
        <v>-5.8233220770079301E-2</v>
      </c>
      <c r="Q5767">
        <v>0</v>
      </c>
      <c r="R5767">
        <v>0.98472560582947</v>
      </c>
      <c r="S5767" t="s">
        <v>12770</v>
      </c>
      <c r="T5767" t="s">
        <v>14004</v>
      </c>
      <c r="U5767" t="s">
        <v>14004</v>
      </c>
      <c r="V5767" t="s">
        <v>14004</v>
      </c>
      <c r="W5767" t="s">
        <v>19716</v>
      </c>
      <c r="X5767">
        <v>8</v>
      </c>
      <c r="Y5767" t="s">
        <v>26516</v>
      </c>
      <c r="Z5767" t="s">
        <v>33477</v>
      </c>
      <c r="AA5767">
        <v>0.48085527803349731</v>
      </c>
      <c r="AB5767" t="str">
        <f>HYPERLINK("Melting_Curves/meltCurve_Q9BX68_HINT2.pdf", "Melting_Curves/meltCurve_Q9BX68_HINT2.pdf")</f>
        <v>Melting_Curves/meltCurve_Q9BX68_HINT2.pdf</v>
      </c>
    </row>
    <row r="5768" spans="1:28" x14ac:dyDescent="0.25">
      <c r="A5768" t="s">
        <v>5772</v>
      </c>
      <c r="B5768">
        <v>0.99999676499088797</v>
      </c>
      <c r="C5768">
        <v>1.0651516045865601</v>
      </c>
      <c r="D5768">
        <v>1.01796900020627</v>
      </c>
      <c r="E5768">
        <v>0.90659237071663701</v>
      </c>
      <c r="F5768">
        <v>0.77761442109928103</v>
      </c>
      <c r="G5768">
        <v>0.57023342301354396</v>
      </c>
      <c r="H5768">
        <v>0.180103777819142</v>
      </c>
      <c r="I5768">
        <v>0.104634701986074</v>
      </c>
      <c r="J5768">
        <v>0.102259903333624</v>
      </c>
      <c r="K5768">
        <v>5.6051709174507601E-2</v>
      </c>
      <c r="L5768">
        <v>1150.96357056444</v>
      </c>
      <c r="M5768">
        <v>20.273281886641801</v>
      </c>
      <c r="N5768">
        <v>56.952589289377102</v>
      </c>
      <c r="O5768">
        <v>56.228724509838599</v>
      </c>
      <c r="P5768">
        <v>-8.7340776930210001E-2</v>
      </c>
      <c r="Q5768">
        <v>3.10581565178592E-2</v>
      </c>
      <c r="R5768">
        <v>0.99097146565140304</v>
      </c>
      <c r="S5768" t="s">
        <v>12771</v>
      </c>
      <c r="T5768" t="s">
        <v>14004</v>
      </c>
      <c r="U5768" t="s">
        <v>14004</v>
      </c>
      <c r="V5768" t="s">
        <v>14004</v>
      </c>
      <c r="W5768" t="s">
        <v>19717</v>
      </c>
      <c r="X5768">
        <v>8</v>
      </c>
      <c r="Y5768" t="s">
        <v>26517</v>
      </c>
      <c r="Z5768" t="s">
        <v>33478</v>
      </c>
      <c r="AA5768">
        <v>0.58459724418579162</v>
      </c>
      <c r="AB5768" t="str">
        <f>HYPERLINK("Melting_Curves/meltCurve_Q9BX95_SGPP1.pdf", "Melting_Curves/meltCurve_Q9BX95_SGPP1.pdf")</f>
        <v>Melting_Curves/meltCurve_Q9BX95_SGPP1.pdf</v>
      </c>
    </row>
    <row r="5769" spans="1:28" x14ac:dyDescent="0.25">
      <c r="A5769" t="s">
        <v>5773</v>
      </c>
      <c r="B5769">
        <v>0.99999676499088797</v>
      </c>
      <c r="C5769">
        <v>1.15104726870578</v>
      </c>
      <c r="D5769">
        <v>0.711875216801101</v>
      </c>
      <c r="E5769">
        <v>0.32243083663914601</v>
      </c>
      <c r="F5769">
        <v>0.265419123553995</v>
      </c>
      <c r="G5769">
        <v>0.15849629854320799</v>
      </c>
      <c r="H5769">
        <v>6.0476900517485603E-2</v>
      </c>
      <c r="I5769">
        <v>8.6016999457610793E-2</v>
      </c>
      <c r="J5769">
        <v>5.2511273675864001E-2</v>
      </c>
      <c r="K5769">
        <v>5.3287436737814102E-2</v>
      </c>
      <c r="L5769">
        <v>1255.3217719352001</v>
      </c>
      <c r="M5769">
        <v>26.236150079871202</v>
      </c>
      <c r="N5769">
        <v>48.229139336663899</v>
      </c>
      <c r="O5769">
        <v>47.571645015265702</v>
      </c>
      <c r="P5769">
        <v>-0.124940010463089</v>
      </c>
      <c r="Q5769">
        <v>9.3840241522836806E-2</v>
      </c>
      <c r="R5769">
        <v>0.96099299983248099</v>
      </c>
      <c r="S5769" t="s">
        <v>12772</v>
      </c>
      <c r="T5769" t="s">
        <v>14004</v>
      </c>
      <c r="U5769" t="s">
        <v>14004</v>
      </c>
      <c r="V5769" t="s">
        <v>14004</v>
      </c>
      <c r="W5769" t="s">
        <v>19718</v>
      </c>
      <c r="X5769">
        <v>5</v>
      </c>
      <c r="Y5769" t="s">
        <v>26518</v>
      </c>
      <c r="Z5769" t="s">
        <v>33479</v>
      </c>
      <c r="AA5769">
        <v>0.33809230678411478</v>
      </c>
      <c r="AB5769" t="str">
        <f>HYPERLINK("Melting_Curves/meltCurve_Q9BXB4_OSBPL11.pdf", "Melting_Curves/meltCurve_Q9BXB4_OSBPL11.pdf")</f>
        <v>Melting_Curves/meltCurve_Q9BXB4_OSBPL11.pdf</v>
      </c>
    </row>
    <row r="5770" spans="1:28" x14ac:dyDescent="0.25">
      <c r="A5770" t="s">
        <v>5774</v>
      </c>
      <c r="B5770">
        <v>0.99999676499088797</v>
      </c>
      <c r="C5770">
        <v>0.95586477134146497</v>
      </c>
      <c r="D5770">
        <v>0.82052704372903396</v>
      </c>
      <c r="E5770">
        <v>0.33400037303098201</v>
      </c>
      <c r="F5770">
        <v>0.15552154846715999</v>
      </c>
      <c r="G5770">
        <v>8.0717106415474901E-2</v>
      </c>
      <c r="H5770">
        <v>6.9873802041995295E-2</v>
      </c>
      <c r="I5770">
        <v>8.5626464642507893E-2</v>
      </c>
      <c r="J5770">
        <v>9.0604171106144493E-2</v>
      </c>
      <c r="K5770">
        <v>8.0210607835046202E-2</v>
      </c>
      <c r="L5770">
        <v>1426.10509457486</v>
      </c>
      <c r="M5770">
        <v>29.662001662289398</v>
      </c>
      <c r="N5770">
        <v>48.371085317024999</v>
      </c>
      <c r="O5770">
        <v>47.861580396313798</v>
      </c>
      <c r="P5770">
        <v>-0.142213824620426</v>
      </c>
      <c r="Q5770">
        <v>8.21210107722498E-2</v>
      </c>
      <c r="R5770">
        <v>0.99887654934799297</v>
      </c>
      <c r="S5770" t="s">
        <v>12773</v>
      </c>
      <c r="T5770" t="s">
        <v>14004</v>
      </c>
      <c r="U5770" t="s">
        <v>14004</v>
      </c>
      <c r="V5770" t="s">
        <v>14004</v>
      </c>
      <c r="W5770" t="s">
        <v>19719</v>
      </c>
      <c r="X5770">
        <v>5</v>
      </c>
      <c r="Y5770" t="s">
        <v>26519</v>
      </c>
      <c r="Z5770" t="s">
        <v>33480</v>
      </c>
      <c r="AA5770">
        <v>0.33495162282087881</v>
      </c>
      <c r="AB5770" t="str">
        <f>HYPERLINK("Melting_Curves/meltCurve_Q9BXF6_RAB11FIP5.pdf", "Melting_Curves/meltCurve_Q9BXF6_RAB11FIP5.pdf")</f>
        <v>Melting_Curves/meltCurve_Q9BXF6_RAB11FIP5.pdf</v>
      </c>
    </row>
    <row r="5771" spans="1:28" x14ac:dyDescent="0.25">
      <c r="A5771" t="s">
        <v>5775</v>
      </c>
      <c r="B5771">
        <v>0.99999676499088797</v>
      </c>
      <c r="C5771">
        <v>0.97900932942233898</v>
      </c>
      <c r="D5771">
        <v>0.77499777512617396</v>
      </c>
      <c r="E5771">
        <v>0.71299661110656898</v>
      </c>
      <c r="F5771">
        <v>0.63590037755385997</v>
      </c>
      <c r="G5771">
        <v>0.54156571936819797</v>
      </c>
      <c r="H5771">
        <v>0.42187721103808001</v>
      </c>
      <c r="I5771">
        <v>0.50206945737144204</v>
      </c>
      <c r="J5771">
        <v>0.51900402241849197</v>
      </c>
      <c r="K5771">
        <v>0.66906991572860297</v>
      </c>
      <c r="L5771">
        <v>832.42703711394097</v>
      </c>
      <c r="M5771">
        <v>17.506089245199298</v>
      </c>
      <c r="O5771">
        <v>46.943266619410203</v>
      </c>
      <c r="P5771">
        <v>-4.3770221838665697E-2</v>
      </c>
      <c r="Q5771">
        <v>0.53053976369704303</v>
      </c>
      <c r="R5771">
        <v>0.87841666934626705</v>
      </c>
      <c r="S5771" t="s">
        <v>12774</v>
      </c>
      <c r="T5771" t="s">
        <v>14004</v>
      </c>
      <c r="U5771" t="s">
        <v>14004</v>
      </c>
      <c r="V5771" t="s">
        <v>14004</v>
      </c>
      <c r="W5771" t="s">
        <v>19720</v>
      </c>
      <c r="X5771">
        <v>2</v>
      </c>
      <c r="Y5771" t="s">
        <v>26520</v>
      </c>
      <c r="Z5771" t="s">
        <v>33481</v>
      </c>
      <c r="AA5771">
        <v>0.65767050517963455</v>
      </c>
      <c r="AB5771" t="str">
        <f>HYPERLINK("Melting_Curves/meltCurve_Q9BXH1_2_BBC3.pdf", "Melting_Curves/meltCurve_Q9BXH1_2_BBC3.pdf")</f>
        <v>Melting_Curves/meltCurve_Q9BXH1_2_BBC3.pdf</v>
      </c>
    </row>
    <row r="5772" spans="1:28" x14ac:dyDescent="0.25">
      <c r="A5772" t="s">
        <v>5776</v>
      </c>
      <c r="B5772">
        <v>0.99999676499088797</v>
      </c>
      <c r="C5772">
        <v>0.97878429266731604</v>
      </c>
      <c r="D5772">
        <v>0.83854953383033204</v>
      </c>
      <c r="E5772">
        <v>0.31387849040398902</v>
      </c>
      <c r="F5772">
        <v>0.236023330761297</v>
      </c>
      <c r="G5772">
        <v>0.16050762520536299</v>
      </c>
      <c r="H5772">
        <v>8.3247274060301399E-2</v>
      </c>
      <c r="I5772">
        <v>8.7572836378652999E-2</v>
      </c>
      <c r="J5772">
        <v>7.3039861311482795E-2</v>
      </c>
      <c r="K5772">
        <v>6.2137304344082801E-2</v>
      </c>
      <c r="L5772">
        <v>1423.4232769524001</v>
      </c>
      <c r="M5772">
        <v>29.610405492781599</v>
      </c>
      <c r="N5772">
        <v>48.4434417820992</v>
      </c>
      <c r="O5772">
        <v>47.854067012712399</v>
      </c>
      <c r="P5772">
        <v>-0.138972368608173</v>
      </c>
      <c r="Q5772">
        <v>0.101620218494947</v>
      </c>
      <c r="R5772">
        <v>0.988891671572523</v>
      </c>
      <c r="S5772" t="s">
        <v>12775</v>
      </c>
      <c r="T5772" t="s">
        <v>14004</v>
      </c>
      <c r="U5772" t="s">
        <v>14004</v>
      </c>
      <c r="V5772" t="s">
        <v>14004</v>
      </c>
      <c r="W5772" t="s">
        <v>19721</v>
      </c>
      <c r="X5772">
        <v>10</v>
      </c>
      <c r="Y5772" t="s">
        <v>26521</v>
      </c>
      <c r="Z5772" t="s">
        <v>33482</v>
      </c>
      <c r="AA5772">
        <v>0.34889617105608439</v>
      </c>
      <c r="AB5772" t="str">
        <f>HYPERLINK("Melting_Curves/meltCurve_Q9BXI6_TBC1D10A.pdf", "Melting_Curves/meltCurve_Q9BXI6_TBC1D10A.pdf")</f>
        <v>Melting_Curves/meltCurve_Q9BXI6_TBC1D10A.pdf</v>
      </c>
    </row>
    <row r="5773" spans="1:28" x14ac:dyDescent="0.25">
      <c r="A5773" t="s">
        <v>5777</v>
      </c>
      <c r="B5773">
        <v>0.99999676499088797</v>
      </c>
      <c r="C5773">
        <v>1.03948676157237</v>
      </c>
      <c r="D5773">
        <v>1.05387424041147</v>
      </c>
      <c r="E5773">
        <v>1.1560771793311</v>
      </c>
      <c r="F5773">
        <v>0.75749389103258602</v>
      </c>
      <c r="G5773">
        <v>0.23470858002431999</v>
      </c>
      <c r="H5773">
        <v>9.2400008726478203E-2</v>
      </c>
      <c r="I5773">
        <v>8.4609396687907207E-2</v>
      </c>
      <c r="J5773">
        <v>8.2021621731962494E-2</v>
      </c>
      <c r="K5773">
        <v>7.4180676919943497E-2</v>
      </c>
      <c r="L5773">
        <v>2444.5575481182</v>
      </c>
      <c r="M5773">
        <v>44.801886960120697</v>
      </c>
      <c r="N5773">
        <v>54.787029480325202</v>
      </c>
      <c r="O5773">
        <v>54.455348736616898</v>
      </c>
      <c r="P5773">
        <v>-0.188516871786511</v>
      </c>
      <c r="Q5773">
        <v>8.3454912877070103E-2</v>
      </c>
      <c r="R5773">
        <v>0.98410584101362997</v>
      </c>
      <c r="S5773" t="s">
        <v>12776</v>
      </c>
      <c r="T5773" t="s">
        <v>14004</v>
      </c>
      <c r="U5773" t="s">
        <v>14004</v>
      </c>
      <c r="V5773" t="s">
        <v>14004</v>
      </c>
      <c r="W5773" t="s">
        <v>19722</v>
      </c>
      <c r="X5773">
        <v>55</v>
      </c>
      <c r="Y5773" t="s">
        <v>26522</v>
      </c>
      <c r="Z5773" t="s">
        <v>33483</v>
      </c>
      <c r="AA5773">
        <v>0.53114644180373272</v>
      </c>
      <c r="AB5773" t="str">
        <f>HYPERLINK("Melting_Curves/meltCurve_Q9BXJ9_NAA15.pdf", "Melting_Curves/meltCurve_Q9BXJ9_NAA15.pdf")</f>
        <v>Melting_Curves/meltCurve_Q9BXJ9_NAA15.pdf</v>
      </c>
    </row>
    <row r="5774" spans="1:28" x14ac:dyDescent="0.25">
      <c r="A5774" t="s">
        <v>5778</v>
      </c>
      <c r="B5774">
        <v>0.99999676499088797</v>
      </c>
      <c r="C5774">
        <v>0.88169443730216301</v>
      </c>
      <c r="D5774">
        <v>0.59590309458253399</v>
      </c>
      <c r="E5774">
        <v>0.41031279078367999</v>
      </c>
      <c r="F5774">
        <v>0.30872953128451402</v>
      </c>
      <c r="G5774">
        <v>0.25943706089054702</v>
      </c>
      <c r="H5774">
        <v>0.22163844155392901</v>
      </c>
      <c r="I5774">
        <v>0.23934289684741</v>
      </c>
      <c r="J5774">
        <v>0.28591812431841002</v>
      </c>
      <c r="K5774">
        <v>0.30837848565925002</v>
      </c>
      <c r="L5774">
        <v>1021.10578732977</v>
      </c>
      <c r="M5774">
        <v>22.256338549531499</v>
      </c>
      <c r="N5774">
        <v>47.488868880461403</v>
      </c>
      <c r="O5774">
        <v>45.513746322423103</v>
      </c>
      <c r="P5774">
        <v>-8.9875864069468306E-2</v>
      </c>
      <c r="Q5774">
        <v>0.264838559842345</v>
      </c>
      <c r="R5774">
        <v>0.98896155516083295</v>
      </c>
      <c r="S5774" t="s">
        <v>12777</v>
      </c>
      <c r="T5774" t="s">
        <v>14004</v>
      </c>
      <c r="U5774" t="s">
        <v>14004</v>
      </c>
      <c r="V5774" t="s">
        <v>14004</v>
      </c>
      <c r="W5774" t="s">
        <v>19723</v>
      </c>
      <c r="X5774">
        <v>4</v>
      </c>
      <c r="Y5774" t="s">
        <v>26523</v>
      </c>
      <c r="Z5774" t="s">
        <v>33484</v>
      </c>
      <c r="AA5774">
        <v>0.41786831164089089</v>
      </c>
      <c r="AB5774" t="str">
        <f>HYPERLINK("Melting_Curves/meltCurve_Q9BXK1_KLF16.pdf", "Melting_Curves/meltCurve_Q9BXK1_KLF16.pdf")</f>
        <v>Melting_Curves/meltCurve_Q9BXK1_KLF16.pdf</v>
      </c>
    </row>
    <row r="5775" spans="1:28" x14ac:dyDescent="0.25">
      <c r="A5775" t="s">
        <v>5779</v>
      </c>
      <c r="B5775">
        <v>0.99999676499088797</v>
      </c>
      <c r="C5775">
        <v>0.84927201988029499</v>
      </c>
      <c r="D5775">
        <v>1.0089103626339799</v>
      </c>
      <c r="E5775">
        <v>1.2032962011384101</v>
      </c>
      <c r="F5775">
        <v>0.548244621592893</v>
      </c>
      <c r="G5775">
        <v>0.30401534690114701</v>
      </c>
      <c r="H5775">
        <v>0.19661102803751199</v>
      </c>
      <c r="I5775">
        <v>0.14087421264779501</v>
      </c>
      <c r="J5775">
        <v>0.18086150925955499</v>
      </c>
      <c r="K5775">
        <v>0.196301161304861</v>
      </c>
      <c r="L5775">
        <v>8005.3520330588599</v>
      </c>
      <c r="M5775">
        <v>150.74729846171601</v>
      </c>
      <c r="N5775">
        <v>53.289434244305298</v>
      </c>
      <c r="O5775">
        <v>53.095110145606697</v>
      </c>
      <c r="P5775">
        <v>-0.56519909129833301</v>
      </c>
      <c r="Q5775">
        <v>0.20371896541429699</v>
      </c>
      <c r="R5775">
        <v>0.94891970900943601</v>
      </c>
      <c r="S5775" t="s">
        <v>12778</v>
      </c>
      <c r="T5775" t="s">
        <v>14004</v>
      </c>
      <c r="U5775" t="s">
        <v>14004</v>
      </c>
      <c r="V5775" t="s">
        <v>14004</v>
      </c>
      <c r="W5775" t="s">
        <v>19724</v>
      </c>
      <c r="X5775">
        <v>4</v>
      </c>
      <c r="Y5775" t="s">
        <v>26524</v>
      </c>
      <c r="Z5775" t="s">
        <v>33485</v>
      </c>
      <c r="AA5775">
        <v>0.55175058863506754</v>
      </c>
      <c r="AB5775" t="str">
        <f>HYPERLINK("Melting_Curves/meltCurve_Q9BXK5_BCL2L13.pdf", "Melting_Curves/meltCurve_Q9BXK5_BCL2L13.pdf")</f>
        <v>Melting_Curves/meltCurve_Q9BXK5_BCL2L13.pdf</v>
      </c>
    </row>
    <row r="5776" spans="1:28" x14ac:dyDescent="0.25">
      <c r="A5776" t="s">
        <v>5780</v>
      </c>
      <c r="B5776">
        <v>0.99999676499088797</v>
      </c>
      <c r="C5776">
        <v>0.93849411037407204</v>
      </c>
      <c r="D5776">
        <v>0.938169487650791</v>
      </c>
      <c r="E5776">
        <v>0.90746053351591904</v>
      </c>
      <c r="F5776">
        <v>0.77968193955474496</v>
      </c>
      <c r="G5776">
        <v>0.65137674147443803</v>
      </c>
      <c r="H5776">
        <v>0.43525133299841501</v>
      </c>
      <c r="I5776">
        <v>0.48629100395552899</v>
      </c>
      <c r="J5776">
        <v>0.46652452015038698</v>
      </c>
      <c r="K5776">
        <v>0.52511390489889798</v>
      </c>
      <c r="L5776">
        <v>1018.5182244066</v>
      </c>
      <c r="M5776">
        <v>18.8654339676403</v>
      </c>
      <c r="N5776">
        <v>62.476305828700099</v>
      </c>
      <c r="O5776">
        <v>53.392923922727398</v>
      </c>
      <c r="P5776">
        <v>-4.7572628669759101E-2</v>
      </c>
      <c r="Q5776">
        <v>0.46146195156752601</v>
      </c>
      <c r="R5776">
        <v>0.96243661573087202</v>
      </c>
      <c r="S5776" t="s">
        <v>12779</v>
      </c>
      <c r="T5776" t="s">
        <v>14004</v>
      </c>
      <c r="U5776" t="s">
        <v>14004</v>
      </c>
      <c r="V5776" t="s">
        <v>14004</v>
      </c>
      <c r="W5776" t="s">
        <v>19725</v>
      </c>
      <c r="X5776">
        <v>5</v>
      </c>
      <c r="Y5776" t="s">
        <v>26525</v>
      </c>
      <c r="Z5776" t="s">
        <v>33486</v>
      </c>
      <c r="AA5776">
        <v>0.72060236890604257</v>
      </c>
      <c r="AB5776" t="str">
        <f>HYPERLINK("Melting_Curves/meltCurve_Q9BXL5_HEMGN.pdf", "Melting_Curves/meltCurve_Q9BXL5_HEMGN.pdf")</f>
        <v>Melting_Curves/meltCurve_Q9BXL5_HEMGN.pdf</v>
      </c>
    </row>
    <row r="5777" spans="1:28" x14ac:dyDescent="0.25">
      <c r="A5777" t="s">
        <v>5781</v>
      </c>
      <c r="B5777">
        <v>0.99999676499088797</v>
      </c>
      <c r="C5777">
        <v>1.0349726895681799</v>
      </c>
      <c r="D5777">
        <v>1.2483810016738299</v>
      </c>
      <c r="E5777">
        <v>1.38248043564225</v>
      </c>
      <c r="F5777">
        <v>0.75938233850251402</v>
      </c>
      <c r="G5777">
        <v>1.0449715258526699</v>
      </c>
      <c r="H5777">
        <v>0.369053341550584</v>
      </c>
      <c r="I5777">
        <v>0.42281465390485201</v>
      </c>
      <c r="J5777">
        <v>0.42543291546138701</v>
      </c>
      <c r="K5777">
        <v>0.254478169268745</v>
      </c>
      <c r="L5777">
        <v>14842.4347836288</v>
      </c>
      <c r="M5777">
        <v>250</v>
      </c>
      <c r="N5777">
        <v>59.686826823721802</v>
      </c>
      <c r="O5777">
        <v>59.3659398542151</v>
      </c>
      <c r="P5777">
        <v>-0.66588602211413295</v>
      </c>
      <c r="Q5777">
        <v>0.36750480800900698</v>
      </c>
      <c r="R5777">
        <v>0.80289254779402297</v>
      </c>
      <c r="S5777" t="s">
        <v>12780</v>
      </c>
      <c r="T5777" t="s">
        <v>14004</v>
      </c>
      <c r="U5777" t="s">
        <v>14004</v>
      </c>
      <c r="V5777" t="s">
        <v>14004</v>
      </c>
      <c r="W5777" t="s">
        <v>19726</v>
      </c>
      <c r="X5777">
        <v>5</v>
      </c>
      <c r="Y5777" t="s">
        <v>26526</v>
      </c>
      <c r="Z5777" t="s">
        <v>33487</v>
      </c>
      <c r="AA5777">
        <v>0.77594627198377575</v>
      </c>
      <c r="AB5777" t="str">
        <f>HYPERLINK("Melting_Curves/meltCurve_Q9BXL7_CARD11.pdf", "Melting_Curves/meltCurve_Q9BXL7_CARD11.pdf")</f>
        <v>Melting_Curves/meltCurve_Q9BXL7_CARD11.pdf</v>
      </c>
    </row>
    <row r="5778" spans="1:28" x14ac:dyDescent="0.25">
      <c r="A5778" t="s">
        <v>5782</v>
      </c>
      <c r="B5778">
        <v>0.99999676499088797</v>
      </c>
      <c r="C5778">
        <v>0.94370079978730503</v>
      </c>
      <c r="D5778">
        <v>1.00274226795584</v>
      </c>
      <c r="E5778">
        <v>1.20498857729163</v>
      </c>
      <c r="F5778">
        <v>1.0441977588033799</v>
      </c>
      <c r="G5778">
        <v>0.61767821236918596</v>
      </c>
      <c r="H5778">
        <v>0.143104181865429</v>
      </c>
      <c r="I5778">
        <v>7.6115145803206205E-2</v>
      </c>
      <c r="J5778">
        <v>3.8597506178424001E-2</v>
      </c>
      <c r="K5778">
        <v>3.7401430432414902E-2</v>
      </c>
      <c r="L5778">
        <v>2760.8976143782702</v>
      </c>
      <c r="M5778">
        <v>48.160496057872002</v>
      </c>
      <c r="N5778">
        <v>57.469855010015898</v>
      </c>
      <c r="O5778">
        <v>57.2284374052335</v>
      </c>
      <c r="P5778">
        <v>-0.19852009532692499</v>
      </c>
      <c r="Q5778">
        <v>5.6406431115650302E-2</v>
      </c>
      <c r="R5778">
        <v>0.97554230615185999</v>
      </c>
      <c r="S5778" t="s">
        <v>12781</v>
      </c>
      <c r="T5778" t="s">
        <v>14004</v>
      </c>
      <c r="U5778" t="s">
        <v>14004</v>
      </c>
      <c r="V5778" t="s">
        <v>14004</v>
      </c>
      <c r="W5778" t="s">
        <v>19727</v>
      </c>
      <c r="X5778">
        <v>5</v>
      </c>
      <c r="Y5778" t="s">
        <v>26527</v>
      </c>
      <c r="Z5778" t="s">
        <v>33488</v>
      </c>
      <c r="AA5778">
        <v>0.60395852829042318</v>
      </c>
      <c r="AB5778" t="str">
        <f>HYPERLINK("Melting_Curves/meltCurve_Q9BXP2_SLC12A9.pdf", "Melting_Curves/meltCurve_Q9BXP2_SLC12A9.pdf")</f>
        <v>Melting_Curves/meltCurve_Q9BXP2_SLC12A9.pdf</v>
      </c>
    </row>
    <row r="5779" spans="1:28" x14ac:dyDescent="0.25">
      <c r="A5779" t="s">
        <v>5783</v>
      </c>
      <c r="B5779">
        <v>0.99999676499088797</v>
      </c>
      <c r="C5779">
        <v>0.98385391770006503</v>
      </c>
      <c r="D5779">
        <v>0.82618925354946904</v>
      </c>
      <c r="E5779">
        <v>0.25738298052903003</v>
      </c>
      <c r="F5779">
        <v>0.20241792242401099</v>
      </c>
      <c r="G5779">
        <v>0.125541259713846</v>
      </c>
      <c r="H5779">
        <v>6.78366003763297E-2</v>
      </c>
      <c r="I5779">
        <v>7.4894136744631204E-2</v>
      </c>
      <c r="J5779">
        <v>7.4916684887976204E-2</v>
      </c>
      <c r="K5779">
        <v>6.9242703998201996E-2</v>
      </c>
      <c r="L5779">
        <v>1713.5013129737299</v>
      </c>
      <c r="M5779">
        <v>35.893744369767603</v>
      </c>
      <c r="N5779">
        <v>48.020125930749003</v>
      </c>
      <c r="O5779">
        <v>47.590707699063998</v>
      </c>
      <c r="P5779">
        <v>-0.17063920900933599</v>
      </c>
      <c r="Q5779">
        <v>9.5016120641011198E-2</v>
      </c>
      <c r="R5779">
        <v>0.99235524320363999</v>
      </c>
      <c r="S5779" t="s">
        <v>12782</v>
      </c>
      <c r="T5779" t="s">
        <v>14004</v>
      </c>
      <c r="U5779" t="s">
        <v>14004</v>
      </c>
      <c r="V5779" t="s">
        <v>14004</v>
      </c>
      <c r="W5779" t="s">
        <v>19728</v>
      </c>
      <c r="X5779">
        <v>50</v>
      </c>
      <c r="Y5779" t="s">
        <v>26528</v>
      </c>
      <c r="Z5779" t="s">
        <v>33489</v>
      </c>
      <c r="AA5779">
        <v>0.33218910256813022</v>
      </c>
      <c r="AB5779" t="str">
        <f>HYPERLINK("Melting_Curves/meltCurve_Q9BXP5_4_SRRT.pdf", "Melting_Curves/meltCurve_Q9BXP5_4_SRRT.pdf")</f>
        <v>Melting_Curves/meltCurve_Q9BXP5_4_SRRT.pdf</v>
      </c>
    </row>
    <row r="5780" spans="1:28" x14ac:dyDescent="0.25">
      <c r="A5780" t="s">
        <v>5784</v>
      </c>
      <c r="B5780">
        <v>0.99999676499088797</v>
      </c>
      <c r="C5780">
        <v>0.94653633252047098</v>
      </c>
      <c r="D5780">
        <v>1.01280516039987</v>
      </c>
      <c r="E5780">
        <v>1.02139461070277</v>
      </c>
      <c r="F5780">
        <v>0.90436946956063702</v>
      </c>
      <c r="G5780">
        <v>0.44981396888358499</v>
      </c>
      <c r="H5780">
        <v>0.105620187944892</v>
      </c>
      <c r="I5780">
        <v>8.7118989493882498E-2</v>
      </c>
      <c r="J5780">
        <v>8.66267028009719E-2</v>
      </c>
      <c r="K5780">
        <v>7.6860764228134801E-2</v>
      </c>
      <c r="L5780">
        <v>2255.0291471123401</v>
      </c>
      <c r="M5780">
        <v>40.114105521771897</v>
      </c>
      <c r="N5780">
        <v>56.450563444915097</v>
      </c>
      <c r="O5780">
        <v>56.0761844841998</v>
      </c>
      <c r="P5780">
        <v>-0.16507516507129499</v>
      </c>
      <c r="Q5780">
        <v>7.6956162645623799E-2</v>
      </c>
      <c r="R5780">
        <v>0.99770349568268502</v>
      </c>
      <c r="S5780" t="s">
        <v>12783</v>
      </c>
      <c r="T5780" t="s">
        <v>14004</v>
      </c>
      <c r="U5780" t="s">
        <v>14004</v>
      </c>
      <c r="V5780" t="s">
        <v>14004</v>
      </c>
      <c r="W5780" t="s">
        <v>19729</v>
      </c>
      <c r="X5780">
        <v>15</v>
      </c>
      <c r="Y5780" t="s">
        <v>26529</v>
      </c>
      <c r="Z5780" t="s">
        <v>33490</v>
      </c>
      <c r="AA5780">
        <v>0.57941334176307557</v>
      </c>
      <c r="AB5780" t="str">
        <f>HYPERLINK("Melting_Curves/meltCurve_Q9BXR0_QTRT1.pdf", "Melting_Curves/meltCurve_Q9BXR0_QTRT1.pdf")</f>
        <v>Melting_Curves/meltCurve_Q9BXR0_QTRT1.pdf</v>
      </c>
    </row>
    <row r="5781" spans="1:28" x14ac:dyDescent="0.25">
      <c r="A5781" t="s">
        <v>5785</v>
      </c>
      <c r="B5781">
        <v>0.99999676499088797</v>
      </c>
      <c r="C5781">
        <v>1.0115971168275499</v>
      </c>
      <c r="D5781">
        <v>0.93493511606564295</v>
      </c>
      <c r="E5781">
        <v>0.70015903123411505</v>
      </c>
      <c r="F5781">
        <v>0.54423696757890505</v>
      </c>
      <c r="G5781">
        <v>0.34698749653928401</v>
      </c>
      <c r="H5781">
        <v>0.12296402360721</v>
      </c>
      <c r="I5781">
        <v>0.119305010691884</v>
      </c>
      <c r="J5781">
        <v>0.11119608905301601</v>
      </c>
      <c r="K5781">
        <v>9.7638792592077805E-2</v>
      </c>
      <c r="L5781">
        <v>797.671693370105</v>
      </c>
      <c r="M5781">
        <v>15.0432233002988</v>
      </c>
      <c r="N5781">
        <v>53.473576982085099</v>
      </c>
      <c r="O5781">
        <v>52.1147617324891</v>
      </c>
      <c r="P5781">
        <v>-6.7895811433668005E-2</v>
      </c>
      <c r="Q5781">
        <v>5.9238693713434099E-2</v>
      </c>
      <c r="R5781">
        <v>0.99245724247415901</v>
      </c>
      <c r="S5781" t="s">
        <v>12784</v>
      </c>
      <c r="T5781" t="s">
        <v>14004</v>
      </c>
      <c r="U5781" t="s">
        <v>14004</v>
      </c>
      <c r="V5781" t="s">
        <v>14004</v>
      </c>
      <c r="W5781" t="s">
        <v>19730</v>
      </c>
      <c r="X5781">
        <v>16</v>
      </c>
      <c r="Y5781" t="s">
        <v>26530</v>
      </c>
      <c r="Z5781" t="s">
        <v>33491</v>
      </c>
      <c r="AA5781">
        <v>0.48783745156599762</v>
      </c>
      <c r="AB5781" t="str">
        <f>HYPERLINK("Melting_Curves/meltCurve_Q9BXS5_AP1M1.pdf", "Melting_Curves/meltCurve_Q9BXS5_AP1M1.pdf")</f>
        <v>Melting_Curves/meltCurve_Q9BXS5_AP1M1.pdf</v>
      </c>
    </row>
    <row r="5782" spans="1:28" x14ac:dyDescent="0.25">
      <c r="A5782" t="s">
        <v>5786</v>
      </c>
      <c r="B5782">
        <v>0.99999676499088797</v>
      </c>
      <c r="C5782">
        <v>0.95457718555469095</v>
      </c>
      <c r="D5782">
        <v>1.0028713465618799</v>
      </c>
      <c r="E5782">
        <v>1.0317211391509999</v>
      </c>
      <c r="F5782">
        <v>0.60410568292657196</v>
      </c>
      <c r="G5782">
        <v>0.72455502464368005</v>
      </c>
      <c r="H5782">
        <v>0.52400657856018196</v>
      </c>
      <c r="I5782">
        <v>0.566466701560978</v>
      </c>
      <c r="J5782">
        <v>0.53575090563041095</v>
      </c>
      <c r="K5782">
        <v>0.65947220002093998</v>
      </c>
      <c r="L5782">
        <v>13020.8726439314</v>
      </c>
      <c r="M5782">
        <v>250</v>
      </c>
      <c r="O5782">
        <v>52.080146375504498</v>
      </c>
      <c r="P5782">
        <v>-0.47757447103133199</v>
      </c>
      <c r="Q5782">
        <v>0.60204554087514395</v>
      </c>
      <c r="R5782">
        <v>0.91866235578432098</v>
      </c>
      <c r="S5782" t="s">
        <v>12785</v>
      </c>
      <c r="T5782" t="s">
        <v>14004</v>
      </c>
      <c r="U5782" t="s">
        <v>14004</v>
      </c>
      <c r="V5782" t="s">
        <v>14004</v>
      </c>
      <c r="W5782" t="s">
        <v>19731</v>
      </c>
      <c r="X5782">
        <v>12</v>
      </c>
      <c r="Y5782" t="s">
        <v>26531</v>
      </c>
      <c r="Z5782" t="s">
        <v>33492</v>
      </c>
      <c r="AA5782">
        <v>0.76237121473393465</v>
      </c>
      <c r="AB5782" t="str">
        <f>HYPERLINK("Melting_Curves/meltCurve_Q9BXS6_2_NUSAP1.pdf", "Melting_Curves/meltCurve_Q9BXS6_2_NUSAP1.pdf")</f>
        <v>Melting_Curves/meltCurve_Q9BXS6_2_NUSAP1.pdf</v>
      </c>
    </row>
    <row r="5783" spans="1:28" x14ac:dyDescent="0.25">
      <c r="A5783" t="s">
        <v>5787</v>
      </c>
      <c r="B5783">
        <v>0.99999676499088797</v>
      </c>
      <c r="C5783">
        <v>0.95098518605058202</v>
      </c>
      <c r="D5783">
        <v>0.91702797827712501</v>
      </c>
      <c r="E5783">
        <v>0.79667139424890698</v>
      </c>
      <c r="F5783">
        <v>0.88567058134131005</v>
      </c>
      <c r="G5783">
        <v>0.674782001035519</v>
      </c>
      <c r="H5783">
        <v>0.42703142481711298</v>
      </c>
      <c r="I5783">
        <v>0.429414420608215</v>
      </c>
      <c r="J5783">
        <v>0.35460852072182603</v>
      </c>
      <c r="K5783">
        <v>0.55474306878698898</v>
      </c>
      <c r="L5783">
        <v>790.15030043567401</v>
      </c>
      <c r="M5783">
        <v>14.313154823405901</v>
      </c>
      <c r="N5783">
        <v>61.699131320797598</v>
      </c>
      <c r="O5783">
        <v>54.160430717567202</v>
      </c>
      <c r="P5783">
        <v>-4.03611374251793E-2</v>
      </c>
      <c r="Q5783">
        <v>0.38917413882993701</v>
      </c>
      <c r="R5783">
        <v>0.88162716316536305</v>
      </c>
      <c r="S5783" t="s">
        <v>12786</v>
      </c>
      <c r="T5783" t="s">
        <v>14004</v>
      </c>
      <c r="U5783" t="s">
        <v>14004</v>
      </c>
      <c r="V5783" t="s">
        <v>14004</v>
      </c>
      <c r="W5783" t="s">
        <v>19732</v>
      </c>
      <c r="X5783">
        <v>3</v>
      </c>
      <c r="Y5783" t="s">
        <v>26532</v>
      </c>
      <c r="Z5783" t="s">
        <v>33493</v>
      </c>
      <c r="AA5783">
        <v>0.71090000697815847</v>
      </c>
      <c r="AB5783" t="str">
        <f>HYPERLINK("Melting_Curves/meltCurve_Q9BXV9_C14orf142.pdf", "Melting_Curves/meltCurve_Q9BXV9_C14orf142.pdf")</f>
        <v>Melting_Curves/meltCurve_Q9BXV9_C14orf142.pdf</v>
      </c>
    </row>
    <row r="5784" spans="1:28" x14ac:dyDescent="0.25">
      <c r="A5784" t="s">
        <v>5788</v>
      </c>
      <c r="B5784">
        <v>0.99999676499088797</v>
      </c>
      <c r="C5784">
        <v>1.06052347119281</v>
      </c>
      <c r="D5784">
        <v>0.99680772155395703</v>
      </c>
      <c r="E5784">
        <v>0.89807106399379599</v>
      </c>
      <c r="F5784">
        <v>0.51632691363856098</v>
      </c>
      <c r="G5784">
        <v>0.29022405232417098</v>
      </c>
      <c r="H5784">
        <v>0.13777700530040399</v>
      </c>
      <c r="I5784">
        <v>9.0954275540419904E-2</v>
      </c>
      <c r="J5784">
        <v>6.5711038145854495E-2</v>
      </c>
      <c r="K5784">
        <v>7.9042985505490701E-2</v>
      </c>
      <c r="L5784">
        <v>1261.01722345954</v>
      </c>
      <c r="M5784">
        <v>23.6284546394422</v>
      </c>
      <c r="N5784">
        <v>53.7508634044408</v>
      </c>
      <c r="O5784">
        <v>52.990729759153197</v>
      </c>
      <c r="P5784">
        <v>-0.10285449168619</v>
      </c>
      <c r="Q5784">
        <v>7.7342501137962802E-2</v>
      </c>
      <c r="R5784">
        <v>0.99495662287488695</v>
      </c>
      <c r="S5784" t="s">
        <v>12787</v>
      </c>
      <c r="T5784" t="s">
        <v>14004</v>
      </c>
      <c r="U5784" t="s">
        <v>14004</v>
      </c>
      <c r="V5784" t="s">
        <v>14004</v>
      </c>
      <c r="W5784" t="s">
        <v>19733</v>
      </c>
      <c r="X5784">
        <v>4</v>
      </c>
      <c r="Y5784" t="s">
        <v>26533</v>
      </c>
      <c r="Z5784" t="s">
        <v>33494</v>
      </c>
      <c r="AA5784">
        <v>0.49794272943565498</v>
      </c>
      <c r="AB5784" t="str">
        <f>HYPERLINK("Melting_Curves/meltCurve_Q9BXW6_OSBPL1A.pdf", "Melting_Curves/meltCurve_Q9BXW6_OSBPL1A.pdf")</f>
        <v>Melting_Curves/meltCurve_Q9BXW6_OSBPL1A.pdf</v>
      </c>
    </row>
    <row r="5785" spans="1:28" x14ac:dyDescent="0.25">
      <c r="A5785" t="s">
        <v>5789</v>
      </c>
      <c r="B5785">
        <v>0.99999676499088797</v>
      </c>
      <c r="C5785">
        <v>0.98052330174015301</v>
      </c>
      <c r="D5785">
        <v>0.94822516743353102</v>
      </c>
      <c r="E5785">
        <v>0.79868979202486601</v>
      </c>
      <c r="F5785">
        <v>0.30060216595950601</v>
      </c>
      <c r="G5785">
        <v>0.25696972482463998</v>
      </c>
      <c r="H5785">
        <v>0.115533779149794</v>
      </c>
      <c r="I5785">
        <v>0.11507910550919299</v>
      </c>
      <c r="J5785">
        <v>9.3110821029223106E-2</v>
      </c>
      <c r="K5785">
        <v>7.0018957991597797E-2</v>
      </c>
      <c r="L5785">
        <v>1461.72447653872</v>
      </c>
      <c r="M5785">
        <v>28.436046284761201</v>
      </c>
      <c r="N5785">
        <v>51.848925844477598</v>
      </c>
      <c r="O5785">
        <v>51.151703173881003</v>
      </c>
      <c r="P5785">
        <v>-0.123931611775753</v>
      </c>
      <c r="Q5785">
        <v>0.108277694980698</v>
      </c>
      <c r="R5785">
        <v>0.98995618479677905</v>
      </c>
      <c r="S5785" t="s">
        <v>12788</v>
      </c>
      <c r="T5785" t="s">
        <v>14004</v>
      </c>
      <c r="U5785" t="s">
        <v>14004</v>
      </c>
      <c r="V5785" t="s">
        <v>14004</v>
      </c>
      <c r="W5785" t="s">
        <v>19734</v>
      </c>
      <c r="X5785">
        <v>16</v>
      </c>
      <c r="Y5785" t="s">
        <v>26534</v>
      </c>
      <c r="Z5785" t="s">
        <v>33495</v>
      </c>
      <c r="AA5785">
        <v>0.45352728535804948</v>
      </c>
      <c r="AB5785" t="str">
        <f>HYPERLINK("Melting_Curves/meltCurve_Q9BXW7_2_CECR5.pdf", "Melting_Curves/meltCurve_Q9BXW7_2_CECR5.pdf")</f>
        <v>Melting_Curves/meltCurve_Q9BXW7_2_CECR5.pdf</v>
      </c>
    </row>
    <row r="5786" spans="1:28" x14ac:dyDescent="0.25">
      <c r="A5786" t="s">
        <v>5790</v>
      </c>
      <c r="B5786">
        <v>0.99999676499088797</v>
      </c>
      <c r="C5786">
        <v>0.94423187750828097</v>
      </c>
      <c r="D5786">
        <v>0.55662836208850597</v>
      </c>
      <c r="E5786">
        <v>0.31100423970834801</v>
      </c>
      <c r="F5786">
        <v>0.21627519594655001</v>
      </c>
      <c r="G5786">
        <v>0.16312737704664401</v>
      </c>
      <c r="H5786">
        <v>7.1956361967956101E-2</v>
      </c>
      <c r="I5786">
        <v>5.2003550206641699E-2</v>
      </c>
      <c r="J5786">
        <v>4.2496002241305599E-2</v>
      </c>
      <c r="K5786">
        <v>4.1299459026657798E-2</v>
      </c>
      <c r="L5786">
        <v>888.03396069832797</v>
      </c>
      <c r="M5786">
        <v>18.914875140261302</v>
      </c>
      <c r="N5786">
        <v>47.318910643835999</v>
      </c>
      <c r="O5786">
        <v>46.433645510607398</v>
      </c>
      <c r="P5786">
        <v>-9.4842613055517194E-2</v>
      </c>
      <c r="Q5786">
        <v>6.8730920395087297E-2</v>
      </c>
      <c r="R5786">
        <v>0.98289842178710096</v>
      </c>
      <c r="S5786" t="s">
        <v>12789</v>
      </c>
      <c r="T5786" t="s">
        <v>14004</v>
      </c>
      <c r="U5786" t="s">
        <v>14004</v>
      </c>
      <c r="V5786" t="s">
        <v>14004</v>
      </c>
      <c r="W5786" t="s">
        <v>19735</v>
      </c>
      <c r="X5786">
        <v>12</v>
      </c>
      <c r="Y5786" t="s">
        <v>26535</v>
      </c>
      <c r="Z5786" t="s">
        <v>33496</v>
      </c>
      <c r="AA5786">
        <v>0.29989550136125409</v>
      </c>
      <c r="AB5786" t="str">
        <f>HYPERLINK("Melting_Curves/meltCurve_Q9BXW9_2_FANCD2.pdf", "Melting_Curves/meltCurve_Q9BXW9_2_FANCD2.pdf")</f>
        <v>Melting_Curves/meltCurve_Q9BXW9_2_FANCD2.pdf</v>
      </c>
    </row>
    <row r="5787" spans="1:28" x14ac:dyDescent="0.25">
      <c r="A5787" t="s">
        <v>5791</v>
      </c>
      <c r="B5787">
        <v>0.99999676499088797</v>
      </c>
      <c r="C5787">
        <v>0.97480335595502099</v>
      </c>
      <c r="D5787">
        <v>1.1050543880671</v>
      </c>
      <c r="E5787">
        <v>1.2429094367209399</v>
      </c>
      <c r="F5787">
        <v>0.88630882600551997</v>
      </c>
      <c r="G5787">
        <v>0.56859100983118105</v>
      </c>
      <c r="H5787">
        <v>0.232927387065027</v>
      </c>
      <c r="I5787">
        <v>0.18599485215047601</v>
      </c>
      <c r="J5787">
        <v>0.14689648549391299</v>
      </c>
      <c r="K5787">
        <v>0.16179678583606799</v>
      </c>
      <c r="L5787">
        <v>2000.65709473226</v>
      </c>
      <c r="M5787">
        <v>35.2975215517653</v>
      </c>
      <c r="N5787">
        <v>57.303882323867299</v>
      </c>
      <c r="O5787">
        <v>56.498810809054397</v>
      </c>
      <c r="P5787">
        <v>-0.13126441543144701</v>
      </c>
      <c r="Q5787">
        <v>0.15957173360528901</v>
      </c>
      <c r="R5787">
        <v>0.95650372023753205</v>
      </c>
      <c r="S5787" t="s">
        <v>12790</v>
      </c>
      <c r="T5787" t="s">
        <v>14004</v>
      </c>
      <c r="U5787" t="s">
        <v>14004</v>
      </c>
      <c r="V5787" t="s">
        <v>14004</v>
      </c>
      <c r="W5787" t="s">
        <v>19736</v>
      </c>
      <c r="X5787">
        <v>2</v>
      </c>
      <c r="Y5787" t="s">
        <v>26536</v>
      </c>
      <c r="Z5787" t="s">
        <v>33497</v>
      </c>
      <c r="AA5787">
        <v>0.63099568700014319</v>
      </c>
      <c r="AB5787" t="str">
        <f>HYPERLINK("Melting_Curves/meltCurve_Q9BXY0_MAK16.pdf", "Melting_Curves/meltCurve_Q9BXY0_MAK16.pdf")</f>
        <v>Melting_Curves/meltCurve_Q9BXY0_MAK16.pdf</v>
      </c>
    </row>
    <row r="5788" spans="1:28" x14ac:dyDescent="0.25">
      <c r="A5788" t="s">
        <v>5792</v>
      </c>
      <c r="B5788">
        <v>0.99999676499088797</v>
      </c>
      <c r="C5788">
        <v>0.994384075841239</v>
      </c>
      <c r="D5788">
        <v>0.86582430981577696</v>
      </c>
      <c r="E5788">
        <v>0.56344750735953697</v>
      </c>
      <c r="F5788">
        <v>0.54692927106530898</v>
      </c>
      <c r="G5788">
        <v>0.17388514303820399</v>
      </c>
      <c r="H5788">
        <v>0.13234743503903701</v>
      </c>
      <c r="I5788">
        <v>0.24620289235981299</v>
      </c>
      <c r="J5788">
        <v>0.203988720704044</v>
      </c>
      <c r="K5788">
        <v>0.14514172966219399</v>
      </c>
      <c r="L5788">
        <v>838.59665028592894</v>
      </c>
      <c r="M5788">
        <v>16.606586079335301</v>
      </c>
      <c r="N5788">
        <v>51.6482143636986</v>
      </c>
      <c r="O5788">
        <v>49.7826294271878</v>
      </c>
      <c r="P5788">
        <v>-7.0508033043891194E-2</v>
      </c>
      <c r="Q5788">
        <v>0.15459157075236701</v>
      </c>
      <c r="R5788">
        <v>0.95945927938628395</v>
      </c>
      <c r="S5788" t="s">
        <v>12791</v>
      </c>
      <c r="T5788" t="s">
        <v>14004</v>
      </c>
      <c r="U5788" t="s">
        <v>14004</v>
      </c>
      <c r="V5788" t="s">
        <v>14004</v>
      </c>
      <c r="W5788" t="s">
        <v>19737</v>
      </c>
      <c r="X5788">
        <v>2</v>
      </c>
      <c r="Y5788" t="s">
        <v>26537</v>
      </c>
      <c r="Z5788" t="s">
        <v>33498</v>
      </c>
      <c r="AA5788">
        <v>0.46702090139305041</v>
      </c>
      <c r="AB5788" t="str">
        <f>HYPERLINK("Melting_Curves/meltCurve_Q9BY27_DGCR6L.pdf", "Melting_Curves/meltCurve_Q9BY27_DGCR6L.pdf")</f>
        <v>Melting_Curves/meltCurve_Q9BY27_DGCR6L.pdf</v>
      </c>
    </row>
    <row r="5789" spans="1:28" x14ac:dyDescent="0.25">
      <c r="A5789" t="s">
        <v>5793</v>
      </c>
      <c r="B5789">
        <v>0.99999676499088797</v>
      </c>
      <c r="C5789">
        <v>1.04314143140973</v>
      </c>
      <c r="D5789">
        <v>1.09738845811545</v>
      </c>
      <c r="E5789">
        <v>1.3185855584278801</v>
      </c>
      <c r="F5789">
        <v>1.54042707899205</v>
      </c>
      <c r="G5789">
        <v>1.2658840057727401</v>
      </c>
      <c r="H5789">
        <v>0.88759647503356598</v>
      </c>
      <c r="I5789">
        <v>0.70023672821667604</v>
      </c>
      <c r="J5789">
        <v>0.389283858451203</v>
      </c>
      <c r="K5789">
        <v>0.26010180955748902</v>
      </c>
      <c r="L5789">
        <v>2430.9823817021602</v>
      </c>
      <c r="M5789">
        <v>37.548610026456103</v>
      </c>
      <c r="N5789">
        <v>65.759157284943697</v>
      </c>
      <c r="O5789">
        <v>64.559458451946</v>
      </c>
      <c r="P5789">
        <v>-0.113381182174568</v>
      </c>
      <c r="Q5789">
        <v>0.220231250616963</v>
      </c>
      <c r="R5789">
        <v>0.67392259870821802</v>
      </c>
      <c r="S5789" t="s">
        <v>12792</v>
      </c>
      <c r="T5789" t="s">
        <v>14004</v>
      </c>
      <c r="U5789" t="s">
        <v>14004</v>
      </c>
      <c r="V5789" t="s">
        <v>14004</v>
      </c>
      <c r="W5789" t="s">
        <v>19738</v>
      </c>
      <c r="X5789">
        <v>5</v>
      </c>
      <c r="Y5789" t="s">
        <v>26538</v>
      </c>
      <c r="Z5789" t="s">
        <v>33499</v>
      </c>
      <c r="AA5789">
        <v>0.86407853119824252</v>
      </c>
      <c r="AB5789" t="str">
        <f>HYPERLINK("Melting_Curves/meltCurve_Q9BY32_ITPA.pdf", "Melting_Curves/meltCurve_Q9BY32_ITPA.pdf")</f>
        <v>Melting_Curves/meltCurve_Q9BY32_ITPA.pdf</v>
      </c>
    </row>
    <row r="5790" spans="1:28" x14ac:dyDescent="0.25">
      <c r="A5790" t="s">
        <v>5794</v>
      </c>
      <c r="B5790">
        <v>0.99999676499088797</v>
      </c>
      <c r="C5790">
        <v>0.94082284767117697</v>
      </c>
      <c r="D5790">
        <v>0.91431986983868196</v>
      </c>
      <c r="E5790">
        <v>0.56075516249124102</v>
      </c>
      <c r="F5790">
        <v>0.248129588483501</v>
      </c>
      <c r="G5790">
        <v>0.141620332655292</v>
      </c>
      <c r="H5790">
        <v>7.1732236832671506E-2</v>
      </c>
      <c r="I5790">
        <v>6.3197720234058299E-2</v>
      </c>
      <c r="J5790">
        <v>6.26595836190601E-2</v>
      </c>
      <c r="K5790">
        <v>7.6332306249501006E-2</v>
      </c>
      <c r="L5790">
        <v>1156.87569257523</v>
      </c>
      <c r="M5790">
        <v>23.158637883566001</v>
      </c>
      <c r="N5790">
        <v>50.264322957430998</v>
      </c>
      <c r="O5790">
        <v>49.586389827909002</v>
      </c>
      <c r="P5790">
        <v>-0.10899252255068401</v>
      </c>
      <c r="Q5790">
        <v>6.6534537299770297E-2</v>
      </c>
      <c r="R5790">
        <v>0.997905639628894</v>
      </c>
      <c r="S5790" t="s">
        <v>12793</v>
      </c>
      <c r="T5790" t="s">
        <v>14004</v>
      </c>
      <c r="U5790" t="s">
        <v>14004</v>
      </c>
      <c r="V5790" t="s">
        <v>14004</v>
      </c>
      <c r="W5790" t="s">
        <v>19739</v>
      </c>
      <c r="X5790">
        <v>9</v>
      </c>
      <c r="Y5790" t="s">
        <v>26539</v>
      </c>
      <c r="Z5790" t="s">
        <v>33500</v>
      </c>
      <c r="AA5790">
        <v>0.38599371499857388</v>
      </c>
      <c r="AB5790" t="str">
        <f>HYPERLINK("Melting_Curves/meltCurve_Q9BY42_RTFDC1.pdf", "Melting_Curves/meltCurve_Q9BY42_RTFDC1.pdf")</f>
        <v>Melting_Curves/meltCurve_Q9BY42_RTFDC1.pdf</v>
      </c>
    </row>
    <row r="5791" spans="1:28" x14ac:dyDescent="0.25">
      <c r="A5791" t="s">
        <v>5795</v>
      </c>
      <c r="B5791">
        <v>0.99999676499088797</v>
      </c>
      <c r="C5791">
        <v>0.82830346917840603</v>
      </c>
      <c r="D5791">
        <v>1.05124046595238</v>
      </c>
      <c r="E5791">
        <v>1.4616972667391399</v>
      </c>
      <c r="F5791">
        <v>1.9414674019993801</v>
      </c>
      <c r="G5791">
        <v>1.0715859548354401</v>
      </c>
      <c r="H5791">
        <v>0.98548638450394199</v>
      </c>
      <c r="I5791">
        <v>0.85229858744879505</v>
      </c>
      <c r="J5791">
        <v>0.58744286398072598</v>
      </c>
      <c r="K5791">
        <v>1.1613077109509</v>
      </c>
      <c r="L5791">
        <v>11530.9281632985</v>
      </c>
      <c r="M5791">
        <v>250</v>
      </c>
      <c r="O5791">
        <v>46.120762639535997</v>
      </c>
      <c r="P5791">
        <v>0.20545561347312699</v>
      </c>
      <c r="Q5791">
        <v>1.1516123078832201</v>
      </c>
      <c r="R5791">
        <v>5.9229952122828999E-2</v>
      </c>
      <c r="S5791" t="s">
        <v>12794</v>
      </c>
      <c r="T5791" t="s">
        <v>14004</v>
      </c>
      <c r="U5791" t="s">
        <v>14004</v>
      </c>
      <c r="V5791" t="s">
        <v>14004</v>
      </c>
      <c r="W5791" t="s">
        <v>19740</v>
      </c>
      <c r="X5791">
        <v>12</v>
      </c>
      <c r="Y5791" t="s">
        <v>26540</v>
      </c>
      <c r="Z5791" t="s">
        <v>33501</v>
      </c>
      <c r="AA5791">
        <v>1.120652361807545</v>
      </c>
      <c r="AB5791" t="str">
        <f>HYPERLINK("Melting_Curves/meltCurve_Q9BY43_CHMP4A.pdf", "Melting_Curves/meltCurve_Q9BY43_CHMP4A.pdf")</f>
        <v>Melting_Curves/meltCurve_Q9BY43_CHMP4A.pdf</v>
      </c>
    </row>
    <row r="5792" spans="1:28" x14ac:dyDescent="0.25">
      <c r="A5792" t="s">
        <v>5796</v>
      </c>
      <c r="B5792">
        <v>0.99999676499088797</v>
      </c>
      <c r="C5792">
        <v>0.98404413994681195</v>
      </c>
      <c r="D5792">
        <v>0.96898120258953202</v>
      </c>
      <c r="E5792">
        <v>0.93509371720054801</v>
      </c>
      <c r="F5792">
        <v>0.43203483383700902</v>
      </c>
      <c r="G5792">
        <v>0.19011082207972499</v>
      </c>
      <c r="H5792">
        <v>7.7235161814945705E-2</v>
      </c>
      <c r="I5792">
        <v>7.6464773378884202E-2</v>
      </c>
      <c r="J5792">
        <v>7.1946152065422E-2</v>
      </c>
      <c r="K5792">
        <v>6.2790488223677998E-2</v>
      </c>
      <c r="L5792">
        <v>1844.80459545554</v>
      </c>
      <c r="M5792">
        <v>35.040556698421</v>
      </c>
      <c r="N5792">
        <v>52.901917450951601</v>
      </c>
      <c r="O5792">
        <v>52.477108992710498</v>
      </c>
      <c r="P5792">
        <v>-0.15399699889635499</v>
      </c>
      <c r="Q5792">
        <v>7.7493091389405105E-2</v>
      </c>
      <c r="R5792">
        <v>0.99714827019013796</v>
      </c>
      <c r="S5792" t="s">
        <v>12795</v>
      </c>
      <c r="T5792" t="s">
        <v>14004</v>
      </c>
      <c r="U5792" t="s">
        <v>14004</v>
      </c>
      <c r="V5792" t="s">
        <v>14004</v>
      </c>
      <c r="W5792" t="s">
        <v>19741</v>
      </c>
      <c r="X5792">
        <v>28</v>
      </c>
      <c r="Y5792" t="s">
        <v>26541</v>
      </c>
      <c r="Z5792" t="s">
        <v>33502</v>
      </c>
      <c r="AA5792">
        <v>0.47078594957209791</v>
      </c>
      <c r="AB5792" t="str">
        <f>HYPERLINK("Melting_Curves/meltCurve_Q9BY44_EIF2A.pdf", "Melting_Curves/meltCurve_Q9BY44_EIF2A.pdf")</f>
        <v>Melting_Curves/meltCurve_Q9BY44_EIF2A.pdf</v>
      </c>
    </row>
    <row r="5793" spans="1:28" x14ac:dyDescent="0.25">
      <c r="A5793" t="s">
        <v>5797</v>
      </c>
      <c r="B5793">
        <v>0.99999676499088797</v>
      </c>
      <c r="C5793">
        <v>0.87472465569484303</v>
      </c>
      <c r="D5793">
        <v>0.89045299255116594</v>
      </c>
      <c r="E5793">
        <v>0.86204851091489398</v>
      </c>
      <c r="F5793">
        <v>0.30000351717026003</v>
      </c>
      <c r="G5793">
        <v>0.18022925367252801</v>
      </c>
      <c r="H5793">
        <v>8.4313105715196804E-2</v>
      </c>
      <c r="I5793">
        <v>7.9528869127944393E-2</v>
      </c>
      <c r="J5793">
        <v>7.5713892095529797E-2</v>
      </c>
      <c r="K5793">
        <v>6.0761605744682701E-2</v>
      </c>
      <c r="L5793">
        <v>1813.47219065487</v>
      </c>
      <c r="M5793">
        <v>35.087326531554801</v>
      </c>
      <c r="N5793">
        <v>51.955053225825203</v>
      </c>
      <c r="O5793">
        <v>51.517520395608898</v>
      </c>
      <c r="P5793">
        <v>-0.15605417793794099</v>
      </c>
      <c r="Q5793">
        <v>8.3487304932441803E-2</v>
      </c>
      <c r="R5793">
        <v>0.97924931050304198</v>
      </c>
      <c r="S5793" t="s">
        <v>12796</v>
      </c>
      <c r="T5793" t="s">
        <v>14004</v>
      </c>
      <c r="U5793" t="s">
        <v>14004</v>
      </c>
      <c r="V5793" t="s">
        <v>14004</v>
      </c>
      <c r="W5793" t="s">
        <v>19742</v>
      </c>
      <c r="X5793">
        <v>7</v>
      </c>
      <c r="Y5793" t="s">
        <v>26542</v>
      </c>
      <c r="Z5793" t="s">
        <v>33503</v>
      </c>
      <c r="AA5793">
        <v>0.44471455386228897</v>
      </c>
      <c r="AB5793" t="str">
        <f>HYPERLINK("Melting_Curves/meltCurve_Q9BY49_PECR.pdf", "Melting_Curves/meltCurve_Q9BY49_PECR.pdf")</f>
        <v>Melting_Curves/meltCurve_Q9BY49_PECR.pdf</v>
      </c>
    </row>
    <row r="5794" spans="1:28" x14ac:dyDescent="0.25">
      <c r="A5794" t="s">
        <v>5798</v>
      </c>
      <c r="B5794">
        <v>0.99999676499088797</v>
      </c>
      <c r="C5794">
        <v>0.90617217149607998</v>
      </c>
      <c r="D5794">
        <v>0.83939517060390501</v>
      </c>
      <c r="E5794">
        <v>0.56177455133580001</v>
      </c>
      <c r="F5794">
        <v>0.26949317416961399</v>
      </c>
      <c r="G5794">
        <v>0.15968327570448099</v>
      </c>
      <c r="H5794">
        <v>9.3918023485880103E-2</v>
      </c>
      <c r="I5794">
        <v>9.3684649042117304E-2</v>
      </c>
      <c r="J5794">
        <v>0.105899456220394</v>
      </c>
      <c r="K5794">
        <v>0.101250124434029</v>
      </c>
      <c r="L5794">
        <v>942.53408345472894</v>
      </c>
      <c r="M5794">
        <v>18.993103664522199</v>
      </c>
      <c r="N5794">
        <v>50.1163093913867</v>
      </c>
      <c r="O5794">
        <v>49.084764750211697</v>
      </c>
      <c r="P5794">
        <v>-8.8523604584919396E-2</v>
      </c>
      <c r="Q5794">
        <v>8.4933782996943596E-2</v>
      </c>
      <c r="R5794">
        <v>0.99699726457071103</v>
      </c>
      <c r="S5794" t="s">
        <v>12797</v>
      </c>
      <c r="T5794" t="s">
        <v>14004</v>
      </c>
      <c r="U5794" t="s">
        <v>14004</v>
      </c>
      <c r="V5794" t="s">
        <v>14004</v>
      </c>
      <c r="W5794" t="s">
        <v>19743</v>
      </c>
      <c r="X5794">
        <v>15</v>
      </c>
      <c r="Y5794" t="s">
        <v>26543</v>
      </c>
      <c r="Z5794" t="s">
        <v>33504</v>
      </c>
      <c r="AA5794">
        <v>0.39264790305338232</v>
      </c>
      <c r="AB5794" t="str">
        <f>HYPERLINK("Melting_Curves/meltCurve_Q9BY77_POLDIP3.pdf", "Melting_Curves/meltCurve_Q9BY77_POLDIP3.pdf")</f>
        <v>Melting_Curves/meltCurve_Q9BY77_POLDIP3.pdf</v>
      </c>
    </row>
    <row r="5795" spans="1:28" x14ac:dyDescent="0.25">
      <c r="A5795" t="s">
        <v>5799</v>
      </c>
      <c r="B5795">
        <v>0.99999676499088797</v>
      </c>
      <c r="C5795">
        <v>1.01296395259006</v>
      </c>
      <c r="D5795">
        <v>1.0583474220097</v>
      </c>
      <c r="E5795">
        <v>1.2248258975459401</v>
      </c>
      <c r="F5795">
        <v>1.17541409589327</v>
      </c>
      <c r="G5795">
        <v>0.84326050394888197</v>
      </c>
      <c r="H5795">
        <v>0.34905366045110697</v>
      </c>
      <c r="I5795">
        <v>0.14129176109553901</v>
      </c>
      <c r="J5795">
        <v>7.4159326132297004E-2</v>
      </c>
      <c r="K5795">
        <v>5.68696741932435E-2</v>
      </c>
      <c r="L5795">
        <v>2320.5378153206202</v>
      </c>
      <c r="M5795">
        <v>39.0171354228141</v>
      </c>
      <c r="N5795">
        <v>59.696058254763102</v>
      </c>
      <c r="O5795">
        <v>59.319246810852597</v>
      </c>
      <c r="P5795">
        <v>-0.153369138964806</v>
      </c>
      <c r="Q5795">
        <v>6.7310208859747298E-2</v>
      </c>
      <c r="R5795">
        <v>0.95681796582383405</v>
      </c>
      <c r="S5795" t="s">
        <v>12798</v>
      </c>
      <c r="T5795" t="s">
        <v>14004</v>
      </c>
      <c r="U5795" t="s">
        <v>14004</v>
      </c>
      <c r="V5795" t="s">
        <v>14004</v>
      </c>
      <c r="W5795" t="s">
        <v>19744</v>
      </c>
      <c r="X5795">
        <v>8</v>
      </c>
      <c r="Y5795" t="s">
        <v>26544</v>
      </c>
      <c r="Z5795" t="s">
        <v>33505</v>
      </c>
      <c r="AA5795">
        <v>0.67661120782594131</v>
      </c>
      <c r="AB5795" t="str">
        <f>HYPERLINK("Melting_Curves/meltCurve_Q9BYB4_GNB1L.pdf", "Melting_Curves/meltCurve_Q9BYB4_GNB1L.pdf")</f>
        <v>Melting_Curves/meltCurve_Q9BYB4_GNB1L.pdf</v>
      </c>
    </row>
    <row r="5796" spans="1:28" x14ac:dyDescent="0.25">
      <c r="A5796" t="s">
        <v>5800</v>
      </c>
      <c r="B5796">
        <v>0.99999676499088797</v>
      </c>
      <c r="C5796">
        <v>0.98817914376468097</v>
      </c>
      <c r="D5796">
        <v>1.02325197618145</v>
      </c>
      <c r="E5796">
        <v>0.64366268441714003</v>
      </c>
      <c r="F5796">
        <v>0.30055232414803101</v>
      </c>
      <c r="G5796">
        <v>0.20603781167096499</v>
      </c>
      <c r="H5796">
        <v>0.101541127482198</v>
      </c>
      <c r="I5796">
        <v>9.6074523039211795E-2</v>
      </c>
      <c r="J5796">
        <v>0.110751028845868</v>
      </c>
      <c r="K5796">
        <v>6.9526576317908206E-2</v>
      </c>
      <c r="L5796">
        <v>1360.80055909472</v>
      </c>
      <c r="M5796">
        <v>26.861724876319599</v>
      </c>
      <c r="N5796">
        <v>51.097878916710897</v>
      </c>
      <c r="O5796">
        <v>50.381191718141103</v>
      </c>
      <c r="P5796">
        <v>-0.119575248447693</v>
      </c>
      <c r="Q5796">
        <v>0.102919417852054</v>
      </c>
      <c r="R5796">
        <v>0.99228387892698899</v>
      </c>
      <c r="S5796" t="s">
        <v>12799</v>
      </c>
      <c r="T5796" t="s">
        <v>14004</v>
      </c>
      <c r="U5796" t="s">
        <v>14004</v>
      </c>
      <c r="V5796" t="s">
        <v>14004</v>
      </c>
      <c r="W5796" t="s">
        <v>19745</v>
      </c>
      <c r="X5796">
        <v>13</v>
      </c>
      <c r="Y5796" t="s">
        <v>26545</v>
      </c>
      <c r="Z5796" t="s">
        <v>33506</v>
      </c>
      <c r="AA5796">
        <v>0.42866492764656478</v>
      </c>
      <c r="AB5796" t="str">
        <f>HYPERLINK("Melting_Curves/meltCurve_Q9BYC5_FUT8.pdf", "Melting_Curves/meltCurve_Q9BYC5_FUT8.pdf")</f>
        <v>Melting_Curves/meltCurve_Q9BYC5_FUT8.pdf</v>
      </c>
    </row>
    <row r="5797" spans="1:28" x14ac:dyDescent="0.25">
      <c r="A5797" t="s">
        <v>5801</v>
      </c>
      <c r="B5797">
        <v>0.99999676499088797</v>
      </c>
      <c r="C5797">
        <v>1.02261172547054</v>
      </c>
      <c r="D5797">
        <v>0.87834613187283295</v>
      </c>
      <c r="E5797">
        <v>0.68741258665217397</v>
      </c>
      <c r="F5797">
        <v>0.47991472407800601</v>
      </c>
      <c r="G5797">
        <v>0.44062754397220899</v>
      </c>
      <c r="H5797">
        <v>0.27982051407677599</v>
      </c>
      <c r="I5797">
        <v>0.25993498692905098</v>
      </c>
      <c r="J5797">
        <v>0.23494634759345401</v>
      </c>
      <c r="K5797">
        <v>0.34902377562685599</v>
      </c>
      <c r="L5797">
        <v>863.43363250130199</v>
      </c>
      <c r="M5797">
        <v>17.054795320441301</v>
      </c>
      <c r="N5797">
        <v>53.092795547297797</v>
      </c>
      <c r="O5797">
        <v>49.946352936959997</v>
      </c>
      <c r="P5797">
        <v>-6.20179082099305E-2</v>
      </c>
      <c r="Q5797">
        <v>0.27354640940783798</v>
      </c>
      <c r="R5797">
        <v>0.97947463258788703</v>
      </c>
      <c r="S5797" t="s">
        <v>12800</v>
      </c>
      <c r="T5797" t="s">
        <v>14004</v>
      </c>
      <c r="U5797" t="s">
        <v>14004</v>
      </c>
      <c r="V5797" t="s">
        <v>14004</v>
      </c>
      <c r="W5797" t="s">
        <v>19746</v>
      </c>
      <c r="X5797">
        <v>4</v>
      </c>
      <c r="Y5797" t="s">
        <v>26546</v>
      </c>
      <c r="Z5797" t="s">
        <v>33507</v>
      </c>
      <c r="AA5797">
        <v>0.54444358327099218</v>
      </c>
      <c r="AB5797" t="str">
        <f>HYPERLINK("Melting_Curves/meltCurve_Q9BYC8_MRPL32.pdf", "Melting_Curves/meltCurve_Q9BYC8_MRPL32.pdf")</f>
        <v>Melting_Curves/meltCurve_Q9BYC8_MRPL32.pdf</v>
      </c>
    </row>
    <row r="5798" spans="1:28" x14ac:dyDescent="0.25">
      <c r="A5798" t="s">
        <v>5802</v>
      </c>
      <c r="B5798">
        <v>0.99999676499088797</v>
      </c>
      <c r="C5798">
        <v>0.82531478303874595</v>
      </c>
      <c r="D5798">
        <v>0.57384904058378206</v>
      </c>
      <c r="E5798">
        <v>0.32786163600809598</v>
      </c>
      <c r="F5798">
        <v>0.19007323135138199</v>
      </c>
      <c r="G5798">
        <v>0.114730742120115</v>
      </c>
      <c r="H5798">
        <v>5.6785008569369098E-2</v>
      </c>
      <c r="I5798">
        <v>5.02834297147133E-2</v>
      </c>
      <c r="J5798">
        <v>4.2521497303733502E-2</v>
      </c>
      <c r="K5798">
        <v>4.2530375815053797E-2</v>
      </c>
      <c r="L5798">
        <v>756.04107251360699</v>
      </c>
      <c r="M5798">
        <v>16.109893665500302</v>
      </c>
      <c r="N5798">
        <v>47.194474760852401</v>
      </c>
      <c r="O5798">
        <v>46.224975677104403</v>
      </c>
      <c r="P5798">
        <v>-8.3376619422159903E-2</v>
      </c>
      <c r="Q5798">
        <v>4.3125365693888397E-2</v>
      </c>
      <c r="R5798">
        <v>0.99587427704551201</v>
      </c>
      <c r="S5798" t="s">
        <v>12801</v>
      </c>
      <c r="T5798" t="s">
        <v>14004</v>
      </c>
      <c r="U5798" t="s">
        <v>14004</v>
      </c>
      <c r="V5798" t="s">
        <v>14004</v>
      </c>
      <c r="W5798" t="s">
        <v>19747</v>
      </c>
      <c r="X5798">
        <v>13</v>
      </c>
      <c r="Y5798" t="s">
        <v>26547</v>
      </c>
      <c r="Z5798" t="s">
        <v>33508</v>
      </c>
      <c r="AA5798">
        <v>0.28666310974025272</v>
      </c>
      <c r="AB5798" t="str">
        <f>HYPERLINK("Melting_Curves/meltCurve_Q9BYD6_MRPL1.pdf", "Melting_Curves/meltCurve_Q9BYD6_MRPL1.pdf")</f>
        <v>Melting_Curves/meltCurve_Q9BYD6_MRPL1.pdf</v>
      </c>
    </row>
    <row r="5799" spans="1:28" x14ac:dyDescent="0.25">
      <c r="A5799" t="s">
        <v>5803</v>
      </c>
      <c r="B5799">
        <v>0.99999676499088797</v>
      </c>
      <c r="C5799">
        <v>1.5649257446200999</v>
      </c>
      <c r="D5799">
        <v>1.50886965946273</v>
      </c>
      <c r="E5799">
        <v>1.42859716788026</v>
      </c>
      <c r="F5799">
        <v>0.85229059675697005</v>
      </c>
      <c r="G5799">
        <v>0.93689626756418098</v>
      </c>
      <c r="H5799">
        <v>0.64610796662751202</v>
      </c>
      <c r="I5799">
        <v>0.71428200243953399</v>
      </c>
      <c r="J5799">
        <v>1.01079879815</v>
      </c>
      <c r="K5799">
        <v>1.2611391989801899</v>
      </c>
      <c r="L5799">
        <v>10211.005633925901</v>
      </c>
      <c r="M5799">
        <v>250</v>
      </c>
      <c r="O5799">
        <v>40.841430799180998</v>
      </c>
      <c r="P5799">
        <v>0.157095202800699</v>
      </c>
      <c r="Q5799">
        <v>1.1026558306876699</v>
      </c>
      <c r="R5799">
        <v>9.7034276039009697E-3</v>
      </c>
      <c r="S5799" t="s">
        <v>12802</v>
      </c>
      <c r="T5799" t="s">
        <v>14004</v>
      </c>
      <c r="U5799" t="s">
        <v>14004</v>
      </c>
      <c r="V5799" t="s">
        <v>14004</v>
      </c>
      <c r="W5799" t="s">
        <v>19748</v>
      </c>
      <c r="X5799">
        <v>1</v>
      </c>
      <c r="Y5799" t="s">
        <v>26548</v>
      </c>
      <c r="Z5799" t="s">
        <v>33509</v>
      </c>
      <c r="AA5799">
        <v>1.099757628873427</v>
      </c>
      <c r="AB5799" t="str">
        <f>HYPERLINK("Melting_Curves/meltCurve_Q9BYG5_PARD6B.pdf", "Melting_Curves/meltCurve_Q9BYG5_PARD6B.pdf")</f>
        <v>Melting_Curves/meltCurve_Q9BYG5_PARD6B.pdf</v>
      </c>
    </row>
    <row r="5800" spans="1:28" x14ac:dyDescent="0.25">
      <c r="A5800" t="s">
        <v>5804</v>
      </c>
      <c r="B5800">
        <v>0.99999676499088797</v>
      </c>
      <c r="C5800">
        <v>1.01338328143712</v>
      </c>
      <c r="D5800">
        <v>0.81703013206380404</v>
      </c>
      <c r="E5800">
        <v>0.52932078462446597</v>
      </c>
      <c r="F5800">
        <v>0.35297038103273898</v>
      </c>
      <c r="G5800">
        <v>0.23955779943293201</v>
      </c>
      <c r="H5800">
        <v>0.112004719234404</v>
      </c>
      <c r="I5800">
        <v>9.9909952471101598E-2</v>
      </c>
      <c r="J5800">
        <v>8.5820583240328596E-2</v>
      </c>
      <c r="K5800">
        <v>6.5694447237713005E-2</v>
      </c>
      <c r="L5800">
        <v>802.81708054118201</v>
      </c>
      <c r="M5800">
        <v>16.018337465782199</v>
      </c>
      <c r="N5800">
        <v>50.6178797912589</v>
      </c>
      <c r="O5800">
        <v>49.357026717378098</v>
      </c>
      <c r="P5800">
        <v>-7.5212255434575506E-2</v>
      </c>
      <c r="Q5800">
        <v>7.3071478331228096E-2</v>
      </c>
      <c r="R5800">
        <v>0.992242680803608</v>
      </c>
      <c r="S5800" t="s">
        <v>12803</v>
      </c>
      <c r="T5800" t="s">
        <v>14004</v>
      </c>
      <c r="U5800" t="s">
        <v>14004</v>
      </c>
      <c r="V5800" t="s">
        <v>14004</v>
      </c>
      <c r="W5800" t="s">
        <v>19749</v>
      </c>
      <c r="X5800">
        <v>10</v>
      </c>
      <c r="Y5800" t="s">
        <v>26549</v>
      </c>
      <c r="Z5800" t="s">
        <v>33510</v>
      </c>
      <c r="AA5800">
        <v>0.40529773178859652</v>
      </c>
      <c r="AB5800" t="str">
        <f>HYPERLINK("Melting_Curves/meltCurve_Q9BYM8_RBCK1.pdf", "Melting_Curves/meltCurve_Q9BYM8_RBCK1.pdf")</f>
        <v>Melting_Curves/meltCurve_Q9BYM8_RBCK1.pdf</v>
      </c>
    </row>
    <row r="5801" spans="1:28" x14ac:dyDescent="0.25">
      <c r="A5801" t="s">
        <v>5805</v>
      </c>
      <c r="B5801">
        <v>0.99999676499088797</v>
      </c>
      <c r="C5801">
        <v>0.95278140400811295</v>
      </c>
      <c r="D5801">
        <v>0.89604336823386999</v>
      </c>
      <c r="E5801">
        <v>0.562896131976799</v>
      </c>
      <c r="F5801">
        <v>0.2367733338213</v>
      </c>
      <c r="G5801">
        <v>0.16050629787068299</v>
      </c>
      <c r="H5801">
        <v>6.8432801766496201E-2</v>
      </c>
      <c r="I5801">
        <v>8.9673347392782501E-2</v>
      </c>
      <c r="J5801">
        <v>6.7991778424501104E-2</v>
      </c>
      <c r="K5801">
        <v>7.4218290900148906E-2</v>
      </c>
      <c r="L5801">
        <v>1146.52613329224</v>
      </c>
      <c r="M5801">
        <v>22.998620529598199</v>
      </c>
      <c r="N5801">
        <v>50.203825938377797</v>
      </c>
      <c r="O5801">
        <v>49.479639124586299</v>
      </c>
      <c r="P5801">
        <v>-0.10755474010885201</v>
      </c>
      <c r="Q5801">
        <v>7.4436659546727194E-2</v>
      </c>
      <c r="R5801">
        <v>0.99808075784549999</v>
      </c>
      <c r="S5801" t="s">
        <v>12804</v>
      </c>
      <c r="T5801" t="s">
        <v>14004</v>
      </c>
      <c r="U5801" t="s">
        <v>14004</v>
      </c>
      <c r="V5801" t="s">
        <v>14004</v>
      </c>
      <c r="W5801" t="s">
        <v>19750</v>
      </c>
      <c r="X5801">
        <v>1</v>
      </c>
      <c r="Y5801" t="s">
        <v>26550</v>
      </c>
      <c r="Z5801" t="s">
        <v>33511</v>
      </c>
      <c r="AA5801">
        <v>0.3881599847640021</v>
      </c>
      <c r="AB5801" t="str">
        <f>HYPERLINK("Melting_Curves/meltCurve_Q9BYN0_SRXN1.pdf", "Melting_Curves/meltCurve_Q9BYN0_SRXN1.pdf")</f>
        <v>Melting_Curves/meltCurve_Q9BYN0_SRXN1.pdf</v>
      </c>
    </row>
    <row r="5802" spans="1:28" x14ac:dyDescent="0.25">
      <c r="A5802" t="s">
        <v>5806</v>
      </c>
      <c r="B5802">
        <v>0.99999676499088797</v>
      </c>
      <c r="C5802">
        <v>1.0588674943699401</v>
      </c>
      <c r="D5802">
        <v>1.3633393865449399</v>
      </c>
      <c r="E5802">
        <v>1.07729130901611</v>
      </c>
      <c r="F5802">
        <v>0.50374373666890704</v>
      </c>
      <c r="G5802">
        <v>1.4091124131105399</v>
      </c>
      <c r="H5802">
        <v>0.35809149974835802</v>
      </c>
      <c r="I5802">
        <v>1.5262798162031299</v>
      </c>
      <c r="J5802">
        <v>1.3867371798899599</v>
      </c>
      <c r="K5802">
        <v>0.80633583772790995</v>
      </c>
      <c r="L5802">
        <v>1965.7451255640201</v>
      </c>
      <c r="M5802">
        <v>31.184619979563902</v>
      </c>
      <c r="O5802">
        <v>62.7782200952715</v>
      </c>
      <c r="P5802">
        <v>2.0820169079840901E-2</v>
      </c>
      <c r="Q5802">
        <v>1.1676525998910201</v>
      </c>
      <c r="R5802">
        <v>1.9729941084224999E-2</v>
      </c>
      <c r="S5802" t="s">
        <v>12805</v>
      </c>
      <c r="T5802" t="s">
        <v>14004</v>
      </c>
      <c r="U5802" t="s">
        <v>14004</v>
      </c>
      <c r="V5802" t="s">
        <v>14004</v>
      </c>
      <c r="W5802" t="s">
        <v>19751</v>
      </c>
      <c r="X5802">
        <v>1</v>
      </c>
      <c r="Y5802" t="s">
        <v>26551</v>
      </c>
      <c r="Z5802" t="s">
        <v>33512</v>
      </c>
      <c r="AA5802">
        <v>1.0383720157957841</v>
      </c>
      <c r="AB5802" t="str">
        <f>HYPERLINK("Melting_Curves/meltCurve_Q9BYN8_MRPS26.pdf", "Melting_Curves/meltCurve_Q9BYN8_MRPS26.pdf")</f>
        <v>Melting_Curves/meltCurve_Q9BYN8_MRPS26.pdf</v>
      </c>
    </row>
    <row r="5803" spans="1:28" x14ac:dyDescent="0.25">
      <c r="A5803" t="s">
        <v>5807</v>
      </c>
      <c r="B5803">
        <v>0.99999676499088797</v>
      </c>
      <c r="C5803">
        <v>1.12818483728673</v>
      </c>
      <c r="D5803">
        <v>0.87189149655109599</v>
      </c>
      <c r="E5803">
        <v>0.69827907572616399</v>
      </c>
      <c r="F5803">
        <v>0.495804735770563</v>
      </c>
      <c r="G5803">
        <v>0.170726052693702</v>
      </c>
      <c r="H5803">
        <v>0.136185717106239</v>
      </c>
      <c r="I5803">
        <v>7.9572834324616107E-2</v>
      </c>
      <c r="J5803">
        <v>0</v>
      </c>
      <c r="K5803">
        <v>0</v>
      </c>
      <c r="L5803">
        <v>871.699643143701</v>
      </c>
      <c r="M5803">
        <v>16.585318648345599</v>
      </c>
      <c r="N5803">
        <v>52.558514319054403</v>
      </c>
      <c r="O5803">
        <v>51.812247193395002</v>
      </c>
      <c r="P5803">
        <v>-8.0031504873117901E-2</v>
      </c>
      <c r="Q5803">
        <v>0</v>
      </c>
      <c r="R5803">
        <v>0.98010802362020899</v>
      </c>
      <c r="S5803" t="s">
        <v>12806</v>
      </c>
      <c r="T5803" t="s">
        <v>14004</v>
      </c>
      <c r="U5803" t="s">
        <v>14004</v>
      </c>
      <c r="V5803" t="s">
        <v>14004</v>
      </c>
      <c r="W5803" t="s">
        <v>19752</v>
      </c>
      <c r="X5803">
        <v>2</v>
      </c>
      <c r="Y5803" t="s">
        <v>26552</v>
      </c>
      <c r="Z5803" t="s">
        <v>33513</v>
      </c>
      <c r="AA5803">
        <v>0.43743904064790301</v>
      </c>
      <c r="AB5803" t="str">
        <f>HYPERLINK("Melting_Curves/meltCurve_Q9BYT3_STK33.pdf", "Melting_Curves/meltCurve_Q9BYT3_STK33.pdf")</f>
        <v>Melting_Curves/meltCurve_Q9BYT3_STK33.pdf</v>
      </c>
    </row>
    <row r="5804" spans="1:28" x14ac:dyDescent="0.25">
      <c r="A5804" t="s">
        <v>5808</v>
      </c>
      <c r="B5804">
        <v>0.99999676499088797</v>
      </c>
      <c r="C5804">
        <v>1.10642708726246</v>
      </c>
      <c r="D5804">
        <v>1.0768034665919599</v>
      </c>
      <c r="E5804">
        <v>1.1779784300743501</v>
      </c>
      <c r="F5804">
        <v>0.91495244152731703</v>
      </c>
      <c r="G5804">
        <v>0.59436185932071495</v>
      </c>
      <c r="H5804">
        <v>0.26214430361397001</v>
      </c>
      <c r="I5804">
        <v>0.152068925503339</v>
      </c>
      <c r="J5804">
        <v>0.115749282450399</v>
      </c>
      <c r="K5804">
        <v>9.4288897224086302E-2</v>
      </c>
      <c r="L5804">
        <v>1750.5648076976599</v>
      </c>
      <c r="M5804">
        <v>30.562831161781499</v>
      </c>
      <c r="N5804">
        <v>57.7428906446262</v>
      </c>
      <c r="O5804">
        <v>57.034032324685001</v>
      </c>
      <c r="P5804">
        <v>-0.119345294121428</v>
      </c>
      <c r="Q5804">
        <v>0.10915292407317199</v>
      </c>
      <c r="R5804">
        <v>0.97140234096528899</v>
      </c>
      <c r="S5804" t="s">
        <v>12807</v>
      </c>
      <c r="T5804" t="s">
        <v>14004</v>
      </c>
      <c r="U5804" t="s">
        <v>14004</v>
      </c>
      <c r="V5804" t="s">
        <v>14004</v>
      </c>
      <c r="W5804" t="s">
        <v>19753</v>
      </c>
      <c r="X5804">
        <v>27</v>
      </c>
      <c r="Y5804" t="s">
        <v>26553</v>
      </c>
      <c r="Z5804" t="s">
        <v>33514</v>
      </c>
      <c r="AA5804">
        <v>0.6279406666278704</v>
      </c>
      <c r="AB5804" t="str">
        <f>HYPERLINK("Melting_Curves/meltCurve_Q9BYT8_NLN.pdf", "Melting_Curves/meltCurve_Q9BYT8_NLN.pdf")</f>
        <v>Melting_Curves/meltCurve_Q9BYT8_NLN.pdf</v>
      </c>
    </row>
    <row r="5805" spans="1:28" x14ac:dyDescent="0.25">
      <c r="A5805" t="s">
        <v>5809</v>
      </c>
      <c r="B5805">
        <v>0.99999676499088797</v>
      </c>
      <c r="C5805">
        <v>0.90226060559249999</v>
      </c>
      <c r="D5805">
        <v>0.84690364621710501</v>
      </c>
      <c r="E5805">
        <v>0.50529614575039605</v>
      </c>
      <c r="F5805">
        <v>0.27232740776280501</v>
      </c>
      <c r="G5805">
        <v>0.188983597179185</v>
      </c>
      <c r="H5805">
        <v>9.1204044596174705E-2</v>
      </c>
      <c r="I5805">
        <v>9.7957892748198105E-2</v>
      </c>
      <c r="J5805">
        <v>0.112196228061777</v>
      </c>
      <c r="K5805">
        <v>8.4102645298059497E-2</v>
      </c>
      <c r="L5805">
        <v>917.13530220389805</v>
      </c>
      <c r="M5805">
        <v>18.5894692081268</v>
      </c>
      <c r="N5805">
        <v>49.859816860358102</v>
      </c>
      <c r="O5805">
        <v>48.775986260009702</v>
      </c>
      <c r="P5805">
        <v>-8.6835948803948307E-2</v>
      </c>
      <c r="Q5805">
        <v>8.8661443021713499E-2</v>
      </c>
      <c r="R5805">
        <v>0.99572256561502503</v>
      </c>
      <c r="S5805" t="s">
        <v>12808</v>
      </c>
      <c r="T5805" t="s">
        <v>14004</v>
      </c>
      <c r="U5805" t="s">
        <v>14004</v>
      </c>
      <c r="V5805" t="s">
        <v>14004</v>
      </c>
      <c r="W5805" t="s">
        <v>19754</v>
      </c>
      <c r="X5805">
        <v>12</v>
      </c>
      <c r="Y5805" t="s">
        <v>26554</v>
      </c>
      <c r="Z5805" t="s">
        <v>33515</v>
      </c>
      <c r="AA5805">
        <v>0.38700583298411501</v>
      </c>
      <c r="AB5805" t="str">
        <f>HYPERLINK("Melting_Curves/meltCurve_Q9BYV8_CEP41.pdf", "Melting_Curves/meltCurve_Q9BYV8_CEP41.pdf")</f>
        <v>Melting_Curves/meltCurve_Q9BYV8_CEP41.pdf</v>
      </c>
    </row>
    <row r="5806" spans="1:28" x14ac:dyDescent="0.25">
      <c r="A5806" t="s">
        <v>5810</v>
      </c>
      <c r="B5806">
        <v>0.99999676499088797</v>
      </c>
      <c r="C5806">
        <v>0.78467907580823304</v>
      </c>
      <c r="D5806">
        <v>0.500992504883086</v>
      </c>
      <c r="E5806">
        <v>0.30121390345381099</v>
      </c>
      <c r="F5806">
        <v>0.27552631329285798</v>
      </c>
      <c r="G5806">
        <v>0.223468970191012</v>
      </c>
      <c r="H5806">
        <v>0.16199657158963399</v>
      </c>
      <c r="I5806">
        <v>0.22889636639157901</v>
      </c>
      <c r="J5806">
        <v>0.24483940246652</v>
      </c>
      <c r="K5806">
        <v>0.25016819586814898</v>
      </c>
      <c r="L5806">
        <v>1066.5312497877801</v>
      </c>
      <c r="M5806">
        <v>23.794031265840399</v>
      </c>
      <c r="N5806">
        <v>45.991832040800901</v>
      </c>
      <c r="O5806">
        <v>44.5104713394011</v>
      </c>
      <c r="P5806">
        <v>-0.10333273463046699</v>
      </c>
      <c r="Q5806">
        <v>0.22681223416590199</v>
      </c>
      <c r="R5806">
        <v>0.98823640934303403</v>
      </c>
      <c r="S5806" t="s">
        <v>12809</v>
      </c>
      <c r="T5806" t="s">
        <v>14004</v>
      </c>
      <c r="U5806" t="s">
        <v>14004</v>
      </c>
      <c r="V5806" t="s">
        <v>14004</v>
      </c>
      <c r="W5806" t="s">
        <v>19755</v>
      </c>
      <c r="X5806">
        <v>8</v>
      </c>
      <c r="Y5806" t="s">
        <v>26555</v>
      </c>
      <c r="Z5806" t="s">
        <v>33516</v>
      </c>
      <c r="AA5806">
        <v>0.35997537261194618</v>
      </c>
      <c r="AB5806" t="str">
        <f>HYPERLINK("Melting_Curves/meltCurve_Q9BYW2_SETD2.pdf", "Melting_Curves/meltCurve_Q9BYW2_SETD2.pdf")</f>
        <v>Melting_Curves/meltCurve_Q9BYW2_SETD2.pdf</v>
      </c>
    </row>
    <row r="5807" spans="1:28" x14ac:dyDescent="0.25">
      <c r="A5807" t="s">
        <v>5811</v>
      </c>
      <c r="B5807">
        <v>0.99999676499088797</v>
      </c>
      <c r="C5807">
        <v>0.75035952953462504</v>
      </c>
      <c r="D5807">
        <v>1.6750405725687401</v>
      </c>
      <c r="E5807">
        <v>0.85784959261003801</v>
      </c>
      <c r="F5807">
        <v>0.236519866900464</v>
      </c>
      <c r="G5807">
        <v>0.26107329251849998</v>
      </c>
      <c r="H5807">
        <v>6.3490965687539994E-2</v>
      </c>
      <c r="I5807">
        <v>0.108958569351969</v>
      </c>
      <c r="J5807">
        <v>0.16153018817518899</v>
      </c>
      <c r="K5807">
        <v>0.20757523100371</v>
      </c>
      <c r="L5807">
        <v>3075.4851369825701</v>
      </c>
      <c r="M5807">
        <v>60.289766440146302</v>
      </c>
      <c r="N5807">
        <v>51.344494171784802</v>
      </c>
      <c r="O5807">
        <v>50.955693950715698</v>
      </c>
      <c r="P5807">
        <v>-0.24796078305609701</v>
      </c>
      <c r="Q5807">
        <v>0.161714535497262</v>
      </c>
      <c r="R5807">
        <v>0.78076025933402105</v>
      </c>
      <c r="S5807" t="s">
        <v>12810</v>
      </c>
      <c r="T5807" t="s">
        <v>14004</v>
      </c>
      <c r="U5807" t="s">
        <v>14004</v>
      </c>
      <c r="V5807" t="s">
        <v>14004</v>
      </c>
      <c r="W5807" t="s">
        <v>19756</v>
      </c>
      <c r="X5807">
        <v>1</v>
      </c>
      <c r="Y5807" t="s">
        <v>26556</v>
      </c>
      <c r="Z5807" t="s">
        <v>33517</v>
      </c>
      <c r="AA5807">
        <v>0.47070864223612707</v>
      </c>
      <c r="AB5807" t="str">
        <f>HYPERLINK("Melting_Curves/meltCurve_Q9BYX2_3_TBC1D2.pdf", "Melting_Curves/meltCurve_Q9BYX2_3_TBC1D2.pdf")</f>
        <v>Melting_Curves/meltCurve_Q9BYX2_3_TBC1D2.pdf</v>
      </c>
    </row>
    <row r="5808" spans="1:28" x14ac:dyDescent="0.25">
      <c r="A5808" t="s">
        <v>5812</v>
      </c>
      <c r="B5808">
        <v>0.99999676499088797</v>
      </c>
      <c r="C5808">
        <v>1.04130150064024</v>
      </c>
      <c r="D5808">
        <v>1.0307347962057301</v>
      </c>
      <c r="E5808">
        <v>1.1056653248766799</v>
      </c>
      <c r="F5808">
        <v>0.91325270712499396</v>
      </c>
      <c r="G5808">
        <v>0.62994506870586198</v>
      </c>
      <c r="H5808">
        <v>0.131705022855582</v>
      </c>
      <c r="I5808">
        <v>0.109688418476362</v>
      </c>
      <c r="J5808">
        <v>0.106048945637886</v>
      </c>
      <c r="K5808">
        <v>7.4224600435723806E-2</v>
      </c>
      <c r="L5808">
        <v>2389.64891492166</v>
      </c>
      <c r="M5808">
        <v>41.7499977638426</v>
      </c>
      <c r="N5808">
        <v>57.494976354221699</v>
      </c>
      <c r="O5808">
        <v>57.106252562777399</v>
      </c>
      <c r="P5808">
        <v>-0.16716771898854399</v>
      </c>
      <c r="Q5808">
        <v>8.5383840156289997E-2</v>
      </c>
      <c r="R5808">
        <v>0.99028944405336805</v>
      </c>
      <c r="S5808" t="s">
        <v>12811</v>
      </c>
      <c r="T5808" t="s">
        <v>14004</v>
      </c>
      <c r="U5808" t="s">
        <v>14004</v>
      </c>
      <c r="V5808" t="s">
        <v>14004</v>
      </c>
      <c r="W5808" t="s">
        <v>19757</v>
      </c>
      <c r="X5808">
        <v>14</v>
      </c>
      <c r="Y5808" t="s">
        <v>26557</v>
      </c>
      <c r="Z5808" t="s">
        <v>33518</v>
      </c>
      <c r="AA5808">
        <v>0.61418215798348841</v>
      </c>
      <c r="AB5808" t="str">
        <f>HYPERLINK("Melting_Curves/meltCurve_Q9BZ23_3_PANK2.pdf", "Melting_Curves/meltCurve_Q9BZ23_3_PANK2.pdf")</f>
        <v>Melting_Curves/meltCurve_Q9BZ23_3_PANK2.pdf</v>
      </c>
    </row>
    <row r="5809" spans="1:28" x14ac:dyDescent="0.25">
      <c r="A5809" t="s">
        <v>5813</v>
      </c>
      <c r="B5809">
        <v>0.99999676499088797</v>
      </c>
      <c r="C5809">
        <v>0.94320985406034596</v>
      </c>
      <c r="D5809">
        <v>0.82318869077560197</v>
      </c>
      <c r="E5809">
        <v>0.48544850338870299</v>
      </c>
      <c r="F5809">
        <v>0.369134850063149</v>
      </c>
      <c r="G5809">
        <v>0.28082922236965802</v>
      </c>
      <c r="H5809">
        <v>0.11899768539189801</v>
      </c>
      <c r="I5809">
        <v>0.145895625400143</v>
      </c>
      <c r="J5809">
        <v>0.120332785788585</v>
      </c>
      <c r="K5809">
        <v>0.107738538251518</v>
      </c>
      <c r="L5809">
        <v>758.76006979366605</v>
      </c>
      <c r="M5809">
        <v>15.302999707436699</v>
      </c>
      <c r="N5809">
        <v>50.398250639697601</v>
      </c>
      <c r="O5809">
        <v>48.7588818909921</v>
      </c>
      <c r="P5809">
        <v>-6.98611554578219E-2</v>
      </c>
      <c r="Q5809">
        <v>0.109708250868446</v>
      </c>
      <c r="R5809">
        <v>0.98901339599735405</v>
      </c>
      <c r="S5809" t="s">
        <v>12812</v>
      </c>
      <c r="T5809" t="s">
        <v>14004</v>
      </c>
      <c r="U5809" t="s">
        <v>14004</v>
      </c>
      <c r="V5809" t="s">
        <v>14004</v>
      </c>
      <c r="W5809" t="s">
        <v>19758</v>
      </c>
      <c r="X5809">
        <v>4</v>
      </c>
      <c r="Y5809" t="s">
        <v>26558</v>
      </c>
      <c r="Z5809" t="s">
        <v>33519</v>
      </c>
      <c r="AA5809">
        <v>0.41483309190327761</v>
      </c>
      <c r="AB5809" t="str">
        <f>HYPERLINK("Melting_Curves/meltCurve_Q9BZ67_2_FRMD8.pdf", "Melting_Curves/meltCurve_Q9BZ67_2_FRMD8.pdf")</f>
        <v>Melting_Curves/meltCurve_Q9BZ67_2_FRMD8.pdf</v>
      </c>
    </row>
    <row r="5810" spans="1:28" x14ac:dyDescent="0.25">
      <c r="A5810" t="s">
        <v>5814</v>
      </c>
      <c r="B5810">
        <v>0.99999676499088797</v>
      </c>
      <c r="C5810">
        <v>0.80960394618759501</v>
      </c>
      <c r="D5810">
        <v>0.606311880869285</v>
      </c>
      <c r="E5810">
        <v>0.37799702808604901</v>
      </c>
      <c r="F5810">
        <v>0.292369142621134</v>
      </c>
      <c r="G5810">
        <v>0.17899094809154201</v>
      </c>
      <c r="H5810">
        <v>9.7503873301080596E-2</v>
      </c>
      <c r="I5810">
        <v>9.8798624579386901E-2</v>
      </c>
      <c r="J5810">
        <v>0.12060468525286</v>
      </c>
      <c r="K5810">
        <v>7.7172810034095804E-2</v>
      </c>
      <c r="L5810">
        <v>661.79796792607999</v>
      </c>
      <c r="M5810">
        <v>14.0087035635538</v>
      </c>
      <c r="N5810">
        <v>47.888505298069497</v>
      </c>
      <c r="O5810">
        <v>46.310476707200003</v>
      </c>
      <c r="P5810">
        <v>-6.91166789430471E-2</v>
      </c>
      <c r="Q5810">
        <v>8.61670675284745E-2</v>
      </c>
      <c r="R5810">
        <v>0.99022566869987605</v>
      </c>
      <c r="S5810" t="s">
        <v>12813</v>
      </c>
      <c r="T5810" t="s">
        <v>14004</v>
      </c>
      <c r="U5810" t="s">
        <v>14004</v>
      </c>
      <c r="V5810" t="s">
        <v>14004</v>
      </c>
      <c r="W5810" t="s">
        <v>19759</v>
      </c>
      <c r="X5810">
        <v>7</v>
      </c>
      <c r="Y5810" t="s">
        <v>26559</v>
      </c>
      <c r="Z5810" t="s">
        <v>33520</v>
      </c>
      <c r="AA5810">
        <v>0.33484069857338261</v>
      </c>
      <c r="AB5810" t="str">
        <f>HYPERLINK("Melting_Curves/meltCurve_Q9BZ95_3_WHSC1L1.pdf", "Melting_Curves/meltCurve_Q9BZ95_3_WHSC1L1.pdf")</f>
        <v>Melting_Curves/meltCurve_Q9BZ95_3_WHSC1L1.pdf</v>
      </c>
    </row>
    <row r="5811" spans="1:28" x14ac:dyDescent="0.25">
      <c r="A5811" t="s">
        <v>5815</v>
      </c>
      <c r="B5811">
        <v>0.99999676499088797</v>
      </c>
      <c r="C5811">
        <v>0.92428787435099002</v>
      </c>
      <c r="D5811">
        <v>0.90442091203476205</v>
      </c>
      <c r="E5811">
        <v>0.84638795561471003</v>
      </c>
      <c r="F5811">
        <v>0.63826973638404205</v>
      </c>
      <c r="G5811">
        <v>0.37119003484583002</v>
      </c>
      <c r="H5811">
        <v>0.290815839555223</v>
      </c>
      <c r="I5811">
        <v>0.37670372311855099</v>
      </c>
      <c r="J5811">
        <v>0.38688131291752298</v>
      </c>
      <c r="K5811">
        <v>0.59529407763258302</v>
      </c>
      <c r="L5811">
        <v>1424.8405830496499</v>
      </c>
      <c r="M5811">
        <v>27.585913425894599</v>
      </c>
      <c r="N5811">
        <v>54.854380424660597</v>
      </c>
      <c r="O5811">
        <v>51.3818812349908</v>
      </c>
      <c r="P5811">
        <v>-8.0512576862927704E-2</v>
      </c>
      <c r="Q5811">
        <v>0.40015039055053397</v>
      </c>
      <c r="R5811">
        <v>0.88890188976073303</v>
      </c>
      <c r="S5811" t="s">
        <v>12814</v>
      </c>
      <c r="T5811" t="s">
        <v>14004</v>
      </c>
      <c r="U5811" t="s">
        <v>14004</v>
      </c>
      <c r="V5811" t="s">
        <v>14004</v>
      </c>
      <c r="W5811" t="s">
        <v>19760</v>
      </c>
      <c r="X5811">
        <v>3</v>
      </c>
      <c r="Y5811" t="s">
        <v>26560</v>
      </c>
      <c r="Z5811" t="s">
        <v>33521</v>
      </c>
      <c r="AA5811">
        <v>0.63761323501617606</v>
      </c>
      <c r="AB5811" t="str">
        <f>HYPERLINK("Melting_Curves/meltCurve_Q9BZA5_TXLNG2P.pdf", "Melting_Curves/meltCurve_Q9BZA5_TXLNG2P.pdf")</f>
        <v>Melting_Curves/meltCurve_Q9BZA5_TXLNG2P.pdf</v>
      </c>
    </row>
    <row r="5812" spans="1:28" x14ac:dyDescent="0.25">
      <c r="A5812" t="s">
        <v>5816</v>
      </c>
      <c r="B5812">
        <v>0.99999676499088797</v>
      </c>
      <c r="C5812">
        <v>1.1632382612455101</v>
      </c>
      <c r="D5812">
        <v>1.5125341015090401</v>
      </c>
      <c r="E5812">
        <v>1.06397347610353</v>
      </c>
      <c r="F5812">
        <v>1.2056369808670699</v>
      </c>
      <c r="G5812">
        <v>1.0478357134479099</v>
      </c>
      <c r="H5812">
        <v>0.69236856500307797</v>
      </c>
      <c r="I5812">
        <v>0.60054872154511496</v>
      </c>
      <c r="J5812">
        <v>0.54679332230120903</v>
      </c>
      <c r="K5812">
        <v>0.20359583481846</v>
      </c>
      <c r="L5812">
        <v>1179.0272371941601</v>
      </c>
      <c r="M5812">
        <v>17.873223704502099</v>
      </c>
      <c r="N5812">
        <v>65.966133482755296</v>
      </c>
      <c r="O5812">
        <v>65.156965657960498</v>
      </c>
      <c r="P5812">
        <v>-6.8581044261980001E-2</v>
      </c>
      <c r="Q5812">
        <v>0</v>
      </c>
      <c r="R5812">
        <v>0.71002296627170103</v>
      </c>
      <c r="S5812" t="s">
        <v>12815</v>
      </c>
      <c r="T5812" t="s">
        <v>14004</v>
      </c>
      <c r="U5812" t="s">
        <v>14004</v>
      </c>
      <c r="V5812" t="s">
        <v>14004</v>
      </c>
      <c r="W5812" t="s">
        <v>19761</v>
      </c>
      <c r="X5812">
        <v>2</v>
      </c>
      <c r="Y5812" t="s">
        <v>26561</v>
      </c>
      <c r="Z5812" t="s">
        <v>33522</v>
      </c>
      <c r="AA5812">
        <v>0.84020341012031097</v>
      </c>
      <c r="AB5812" t="str">
        <f>HYPERLINK("Melting_Curves/meltCurve_Q9BZD2_SLC29A3.pdf", "Melting_Curves/meltCurve_Q9BZD2_SLC29A3.pdf")</f>
        <v>Melting_Curves/meltCurve_Q9BZD2_SLC29A3.pdf</v>
      </c>
    </row>
    <row r="5813" spans="1:28" x14ac:dyDescent="0.25">
      <c r="A5813" t="s">
        <v>5817</v>
      </c>
      <c r="B5813">
        <v>0.99999676499088797</v>
      </c>
      <c r="C5813">
        <v>0.87130227291530005</v>
      </c>
      <c r="D5813">
        <v>0.59719750915553205</v>
      </c>
      <c r="E5813">
        <v>0.37861165179989698</v>
      </c>
      <c r="F5813">
        <v>0.32878078811400002</v>
      </c>
      <c r="G5813">
        <v>0.28834090873275098</v>
      </c>
      <c r="H5813">
        <v>0.16243701173831801</v>
      </c>
      <c r="I5813">
        <v>0.15704337514797501</v>
      </c>
      <c r="J5813">
        <v>0.21497444144432701</v>
      </c>
      <c r="K5813">
        <v>0.12371177817300499</v>
      </c>
      <c r="L5813">
        <v>763.34047228566999</v>
      </c>
      <c r="M5813">
        <v>16.3509821330784</v>
      </c>
      <c r="N5813">
        <v>47.964569247231701</v>
      </c>
      <c r="O5813">
        <v>46.003149690524801</v>
      </c>
      <c r="P5813">
        <v>-7.3153946373451004E-2</v>
      </c>
      <c r="Q5813">
        <v>0.17679084264867401</v>
      </c>
      <c r="R5813">
        <v>0.97731296774962795</v>
      </c>
      <c r="S5813" t="s">
        <v>12816</v>
      </c>
      <c r="T5813" t="s">
        <v>14004</v>
      </c>
      <c r="U5813" t="s">
        <v>14004</v>
      </c>
      <c r="V5813" t="s">
        <v>14004</v>
      </c>
      <c r="W5813" t="s">
        <v>19762</v>
      </c>
      <c r="X5813">
        <v>4</v>
      </c>
      <c r="Y5813" t="s">
        <v>26562</v>
      </c>
      <c r="Z5813" t="s">
        <v>33523</v>
      </c>
      <c r="AA5813">
        <v>0.37925146395631021</v>
      </c>
      <c r="AB5813" t="str">
        <f>HYPERLINK("Melting_Curves/meltCurve_Q9BZD4_NUF2.pdf", "Melting_Curves/meltCurve_Q9BZD4_NUF2.pdf")</f>
        <v>Melting_Curves/meltCurve_Q9BZD4_NUF2.pdf</v>
      </c>
    </row>
    <row r="5814" spans="1:28" x14ac:dyDescent="0.25">
      <c r="A5814" t="s">
        <v>5818</v>
      </c>
      <c r="B5814">
        <v>0.99999676499088797</v>
      </c>
      <c r="C5814">
        <v>0.92176636121001398</v>
      </c>
      <c r="D5814">
        <v>0.92538358364467799</v>
      </c>
      <c r="E5814">
        <v>0.944178302214566</v>
      </c>
      <c r="F5814">
        <v>0.38659915187083799</v>
      </c>
      <c r="G5814">
        <v>0.23371711864434699</v>
      </c>
      <c r="H5814">
        <v>0.145451565592498</v>
      </c>
      <c r="I5814">
        <v>0.13895408479159699</v>
      </c>
      <c r="J5814">
        <v>0.137989957455535</v>
      </c>
      <c r="K5814">
        <v>0.11599114381432001</v>
      </c>
      <c r="L5814">
        <v>2306.42675958577</v>
      </c>
      <c r="M5814">
        <v>44.205755700555798</v>
      </c>
      <c r="N5814">
        <v>52.5900905219602</v>
      </c>
      <c r="O5814">
        <v>52.068365838834097</v>
      </c>
      <c r="P5814">
        <v>-0.18097823395267201</v>
      </c>
      <c r="Q5814">
        <v>0.14733014333984501</v>
      </c>
      <c r="R5814">
        <v>0.98784974161932604</v>
      </c>
      <c r="S5814" t="s">
        <v>12817</v>
      </c>
      <c r="T5814" t="s">
        <v>14004</v>
      </c>
      <c r="U5814" t="s">
        <v>14004</v>
      </c>
      <c r="V5814" t="s">
        <v>14004</v>
      </c>
      <c r="W5814" t="s">
        <v>19763</v>
      </c>
      <c r="X5814">
        <v>5</v>
      </c>
      <c r="Y5814" t="s">
        <v>26563</v>
      </c>
      <c r="Z5814" t="s">
        <v>33524</v>
      </c>
      <c r="AA5814">
        <v>0.49588019457041538</v>
      </c>
      <c r="AB5814" t="str">
        <f>HYPERLINK("Melting_Curves/meltCurve_Q9BZE1_MRPL37.pdf", "Melting_Curves/meltCurve_Q9BZE1_MRPL37.pdf")</f>
        <v>Melting_Curves/meltCurve_Q9BZE1_MRPL37.pdf</v>
      </c>
    </row>
    <row r="5815" spans="1:28" x14ac:dyDescent="0.25">
      <c r="A5815" t="s">
        <v>5819</v>
      </c>
      <c r="B5815">
        <v>0.99999676499088797</v>
      </c>
      <c r="C5815">
        <v>0.98655502184570598</v>
      </c>
      <c r="D5815">
        <v>0.99870237475020895</v>
      </c>
      <c r="E5815">
        <v>0.82330751727624096</v>
      </c>
      <c r="F5815">
        <v>0.28087125869764901</v>
      </c>
      <c r="G5815">
        <v>0.24132891462639799</v>
      </c>
      <c r="H5815">
        <v>9.3163746965962593E-2</v>
      </c>
      <c r="I5815">
        <v>0.11252270525528001</v>
      </c>
      <c r="J5815">
        <v>0.12932543830170101</v>
      </c>
      <c r="K5815">
        <v>8.1689494112040795E-2</v>
      </c>
      <c r="L5815">
        <v>1934.2766521654901</v>
      </c>
      <c r="M5815">
        <v>37.690008782883702</v>
      </c>
      <c r="N5815">
        <v>51.706226168004399</v>
      </c>
      <c r="O5815">
        <v>51.176837673360701</v>
      </c>
      <c r="P5815">
        <v>-0.16156188049175599</v>
      </c>
      <c r="Q5815">
        <v>0.122504374765217</v>
      </c>
      <c r="R5815">
        <v>0.99169472512370005</v>
      </c>
      <c r="S5815" t="s">
        <v>12818</v>
      </c>
      <c r="T5815" t="s">
        <v>14004</v>
      </c>
      <c r="U5815" t="s">
        <v>14004</v>
      </c>
      <c r="V5815" t="s">
        <v>14004</v>
      </c>
      <c r="W5815" t="s">
        <v>19764</v>
      </c>
      <c r="X5815">
        <v>12</v>
      </c>
      <c r="Y5815" t="s">
        <v>26564</v>
      </c>
      <c r="Z5815" t="s">
        <v>33525</v>
      </c>
      <c r="AA5815">
        <v>0.45714063288558099</v>
      </c>
      <c r="AB5815" t="str">
        <f>HYPERLINK("Melting_Curves/meltCurve_Q9BZE2_PUS3.pdf", "Melting_Curves/meltCurve_Q9BZE2_PUS3.pdf")</f>
        <v>Melting_Curves/meltCurve_Q9BZE2_PUS3.pdf</v>
      </c>
    </row>
    <row r="5816" spans="1:28" x14ac:dyDescent="0.25">
      <c r="A5816" t="s">
        <v>5820</v>
      </c>
      <c r="B5816">
        <v>0.99999676499088797</v>
      </c>
      <c r="C5816">
        <v>1.3425748878800801</v>
      </c>
      <c r="D5816">
        <v>0.99252367275317999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10661.115526588999</v>
      </c>
      <c r="M5816">
        <v>226.874893229961</v>
      </c>
      <c r="N5816">
        <v>46.991189299683199</v>
      </c>
      <c r="O5816">
        <v>46.987491924840498</v>
      </c>
      <c r="P5816">
        <v>-1.2071020336634299</v>
      </c>
      <c r="Q5816">
        <v>0</v>
      </c>
      <c r="R5816">
        <v>0.95613323224753899</v>
      </c>
      <c r="S5816" t="s">
        <v>12819</v>
      </c>
      <c r="T5816" t="s">
        <v>14004</v>
      </c>
      <c r="U5816" t="s">
        <v>14004</v>
      </c>
      <c r="V5816" t="s">
        <v>14004</v>
      </c>
      <c r="W5816" t="s">
        <v>19765</v>
      </c>
      <c r="X5816">
        <v>1</v>
      </c>
      <c r="Y5816" t="s">
        <v>26565</v>
      </c>
      <c r="Z5816" t="s">
        <v>33526</v>
      </c>
      <c r="AA5816">
        <v>0.2331389732695483</v>
      </c>
      <c r="AB5816" t="str">
        <f>HYPERLINK("Melting_Curves/meltCurve_Q9BZE4_GTPBP4.pdf", "Melting_Curves/meltCurve_Q9BZE4_GTPBP4.pdf")</f>
        <v>Melting_Curves/meltCurve_Q9BZE4_GTPBP4.pdf</v>
      </c>
    </row>
    <row r="5817" spans="1:28" x14ac:dyDescent="0.25">
      <c r="A5817" t="s">
        <v>5821</v>
      </c>
      <c r="B5817">
        <v>0.99999676499088797</v>
      </c>
      <c r="C5817">
        <v>0.99713831000215503</v>
      </c>
      <c r="D5817">
        <v>0.929812206662193</v>
      </c>
      <c r="E5817">
        <v>0.83857806551622205</v>
      </c>
      <c r="F5817">
        <v>0.37312156307880601</v>
      </c>
      <c r="G5817">
        <v>0.216612572017188</v>
      </c>
      <c r="H5817">
        <v>8.8748712710361902E-2</v>
      </c>
      <c r="I5817">
        <v>0.101562161462041</v>
      </c>
      <c r="J5817">
        <v>9.1230526439181198E-2</v>
      </c>
      <c r="K5817">
        <v>9.2261768041038694E-2</v>
      </c>
      <c r="L5817">
        <v>1443.4295404674499</v>
      </c>
      <c r="M5817">
        <v>27.785869907954201</v>
      </c>
      <c r="N5817">
        <v>52.342175591086502</v>
      </c>
      <c r="O5817">
        <v>51.6814827081676</v>
      </c>
      <c r="P5817">
        <v>-0.121731182298962</v>
      </c>
      <c r="Q5817">
        <v>9.4332040368514697E-2</v>
      </c>
      <c r="R5817">
        <v>0.99579423117038202</v>
      </c>
      <c r="S5817" t="s">
        <v>12820</v>
      </c>
      <c r="T5817" t="s">
        <v>14004</v>
      </c>
      <c r="U5817" t="s">
        <v>14004</v>
      </c>
      <c r="V5817" t="s">
        <v>14004</v>
      </c>
      <c r="W5817" t="s">
        <v>19766</v>
      </c>
      <c r="X5817">
        <v>14</v>
      </c>
      <c r="Y5817" t="s">
        <v>26566</v>
      </c>
      <c r="Z5817" t="s">
        <v>33527</v>
      </c>
      <c r="AA5817">
        <v>0.46176649955903448</v>
      </c>
      <c r="AB5817" t="str">
        <f>HYPERLINK("Melting_Curves/meltCurve_Q9BZE9_ASPSCR1.pdf", "Melting_Curves/meltCurve_Q9BZE9_ASPSCR1.pdf")</f>
        <v>Melting_Curves/meltCurve_Q9BZE9_ASPSCR1.pdf</v>
      </c>
    </row>
    <row r="5818" spans="1:28" x14ac:dyDescent="0.25">
      <c r="A5818" t="s">
        <v>5822</v>
      </c>
      <c r="B5818">
        <v>0.99999676499088797</v>
      </c>
      <c r="C5818">
        <v>0.87978917261006395</v>
      </c>
      <c r="D5818">
        <v>0.45130811583130498</v>
      </c>
      <c r="E5818">
        <v>0.24486710231460501</v>
      </c>
      <c r="F5818">
        <v>0.174345144957716</v>
      </c>
      <c r="G5818">
        <v>0.14493374896828501</v>
      </c>
      <c r="H5818">
        <v>7.5042141974412196E-2</v>
      </c>
      <c r="I5818">
        <v>8.3897797730038304E-2</v>
      </c>
      <c r="J5818">
        <v>8.8906011505105506E-2</v>
      </c>
      <c r="K5818">
        <v>7.2731064886197794E-2</v>
      </c>
      <c r="L5818">
        <v>1152.62280593476</v>
      </c>
      <c r="M5818">
        <v>25.306232110303</v>
      </c>
      <c r="N5818">
        <v>45.970830192325899</v>
      </c>
      <c r="O5818">
        <v>45.265416004250604</v>
      </c>
      <c r="P5818">
        <v>-0.12522503529624901</v>
      </c>
      <c r="Q5818">
        <v>0.104047937759512</v>
      </c>
      <c r="R5818">
        <v>0.98923390646826304</v>
      </c>
      <c r="S5818" t="s">
        <v>12821</v>
      </c>
      <c r="T5818" t="s">
        <v>14004</v>
      </c>
      <c r="U5818" t="s">
        <v>14004</v>
      </c>
      <c r="V5818" t="s">
        <v>14004</v>
      </c>
      <c r="W5818" t="s">
        <v>19767</v>
      </c>
      <c r="X5818">
        <v>10</v>
      </c>
      <c r="Y5818" t="s">
        <v>26567</v>
      </c>
      <c r="Z5818" t="s">
        <v>33528</v>
      </c>
      <c r="AA5818">
        <v>0.27797940225722417</v>
      </c>
      <c r="AB5818" t="str">
        <f>HYPERLINK("Melting_Curves/meltCurve_Q9BZF1_3_OSBPL8.pdf", "Melting_Curves/meltCurve_Q9BZF1_3_OSBPL8.pdf")</f>
        <v>Melting_Curves/meltCurve_Q9BZF1_3_OSBPL8.pdf</v>
      </c>
    </row>
    <row r="5819" spans="1:28" x14ac:dyDescent="0.25">
      <c r="A5819" t="s">
        <v>5823</v>
      </c>
      <c r="B5819">
        <v>0.99999676499088797</v>
      </c>
      <c r="C5819">
        <v>1.12030271896322</v>
      </c>
      <c r="D5819">
        <v>1.2091526713304801</v>
      </c>
      <c r="E5819">
        <v>1.22662545638652</v>
      </c>
      <c r="F5819">
        <v>1.14092708930378</v>
      </c>
      <c r="G5819">
        <v>0.50341080917331305</v>
      </c>
      <c r="H5819">
        <v>0.31798409793723398</v>
      </c>
      <c r="I5819">
        <v>0.20709920427891701</v>
      </c>
      <c r="J5819">
        <v>0.19416749681791901</v>
      </c>
      <c r="K5819">
        <v>0.14129933672217099</v>
      </c>
      <c r="L5819">
        <v>14169.1091065898</v>
      </c>
      <c r="M5819">
        <v>250</v>
      </c>
      <c r="N5819">
        <v>56.804269024890502</v>
      </c>
      <c r="O5819">
        <v>56.672805168816403</v>
      </c>
      <c r="P5819">
        <v>-0.86556332295671401</v>
      </c>
      <c r="Q5819">
        <v>0.215137515710418</v>
      </c>
      <c r="R5819">
        <v>0.92675139171156795</v>
      </c>
      <c r="S5819" t="s">
        <v>12822</v>
      </c>
      <c r="T5819" t="s">
        <v>14004</v>
      </c>
      <c r="U5819" t="s">
        <v>14004</v>
      </c>
      <c r="V5819" t="s">
        <v>14004</v>
      </c>
      <c r="W5819" t="s">
        <v>19768</v>
      </c>
      <c r="X5819">
        <v>8</v>
      </c>
      <c r="Y5819" t="s">
        <v>26568</v>
      </c>
      <c r="Z5819" t="s">
        <v>33529</v>
      </c>
      <c r="AA5819">
        <v>0.65150589380568369</v>
      </c>
      <c r="AB5819" t="str">
        <f>HYPERLINK("Melting_Curves/meltCurve_Q9BZH6_WDR11.pdf", "Melting_Curves/meltCurve_Q9BZH6_WDR11.pdf")</f>
        <v>Melting_Curves/meltCurve_Q9BZH6_WDR11.pdf</v>
      </c>
    </row>
    <row r="5820" spans="1:28" x14ac:dyDescent="0.25">
      <c r="A5820" t="s">
        <v>5824</v>
      </c>
      <c r="B5820">
        <v>0.99999676499088797</v>
      </c>
      <c r="C5820">
        <v>0.90237132668077702</v>
      </c>
      <c r="D5820">
        <v>0.92418755928517504</v>
      </c>
      <c r="E5820">
        <v>0.68809109430215598</v>
      </c>
      <c r="F5820">
        <v>0.44635454097670901</v>
      </c>
      <c r="G5820">
        <v>0.32811555761170103</v>
      </c>
      <c r="H5820">
        <v>0.20423064898687401</v>
      </c>
      <c r="I5820">
        <v>0.211516979121739</v>
      </c>
      <c r="J5820">
        <v>0.20964550345061</v>
      </c>
      <c r="K5820">
        <v>0.241301750608927</v>
      </c>
      <c r="L5820">
        <v>911.75030984928605</v>
      </c>
      <c r="M5820">
        <v>17.928194432126201</v>
      </c>
      <c r="N5820">
        <v>52.3660745514049</v>
      </c>
      <c r="O5820">
        <v>50.235623192701901</v>
      </c>
      <c r="P5820">
        <v>-7.1212420797966205E-2</v>
      </c>
      <c r="Q5820">
        <v>0.201878459081201</v>
      </c>
      <c r="R5820">
        <v>0.99095213680182204</v>
      </c>
      <c r="S5820" t="s">
        <v>12823</v>
      </c>
      <c r="T5820" t="s">
        <v>14004</v>
      </c>
      <c r="U5820" t="s">
        <v>14004</v>
      </c>
      <c r="V5820" t="s">
        <v>14004</v>
      </c>
      <c r="W5820" t="s">
        <v>19769</v>
      </c>
      <c r="X5820">
        <v>16</v>
      </c>
      <c r="Y5820" t="s">
        <v>26569</v>
      </c>
      <c r="Z5820" t="s">
        <v>33530</v>
      </c>
      <c r="AA5820">
        <v>0.50425181276078834</v>
      </c>
      <c r="AB5820" t="str">
        <f>HYPERLINK("Melting_Curves/meltCurve_Q9BZI7_2_UPF3B.pdf", "Melting_Curves/meltCurve_Q9BZI7_2_UPF3B.pdf")</f>
        <v>Melting_Curves/meltCurve_Q9BZI7_2_UPF3B.pdf</v>
      </c>
    </row>
    <row r="5821" spans="1:28" x14ac:dyDescent="0.25">
      <c r="A5821" t="s">
        <v>5825</v>
      </c>
      <c r="B5821">
        <v>0.99999676499088797</v>
      </c>
      <c r="C5821">
        <v>0.92379158906667702</v>
      </c>
      <c r="D5821">
        <v>0.90928616732612499</v>
      </c>
      <c r="E5821">
        <v>1.0019632513958801</v>
      </c>
      <c r="F5821">
        <v>1.12692122192448</v>
      </c>
      <c r="G5821">
        <v>0.85174365648963102</v>
      </c>
      <c r="H5821">
        <v>0.52109556917361499</v>
      </c>
      <c r="I5821">
        <v>0.31791727864834801</v>
      </c>
      <c r="J5821">
        <v>0.170509658345434</v>
      </c>
      <c r="K5821">
        <v>0.14155121836580301</v>
      </c>
      <c r="L5821">
        <v>1712.0061082903101</v>
      </c>
      <c r="M5821">
        <v>28.300315993203199</v>
      </c>
      <c r="N5821">
        <v>61.155993916631097</v>
      </c>
      <c r="O5821">
        <v>60.194626513994898</v>
      </c>
      <c r="P5821">
        <v>-0.102035507513401</v>
      </c>
      <c r="Q5821">
        <v>0.13189147762776601</v>
      </c>
      <c r="R5821">
        <v>0.97014422724690597</v>
      </c>
      <c r="S5821" t="s">
        <v>12824</v>
      </c>
      <c r="T5821" t="s">
        <v>14004</v>
      </c>
      <c r="U5821" t="s">
        <v>14004</v>
      </c>
      <c r="V5821" t="s">
        <v>14004</v>
      </c>
      <c r="W5821" t="s">
        <v>19770</v>
      </c>
      <c r="X5821">
        <v>19</v>
      </c>
      <c r="Y5821" t="s">
        <v>26570</v>
      </c>
      <c r="Z5821" t="s">
        <v>33531</v>
      </c>
      <c r="AA5821">
        <v>0.73033041950204036</v>
      </c>
      <c r="AB5821" t="str">
        <f>HYPERLINK("Melting_Curves/meltCurve_Q9BZK7_TBL1XR1.pdf", "Melting_Curves/meltCurve_Q9BZK7_TBL1XR1.pdf")</f>
        <v>Melting_Curves/meltCurve_Q9BZK7_TBL1XR1.pdf</v>
      </c>
    </row>
    <row r="5822" spans="1:28" x14ac:dyDescent="0.25">
      <c r="A5822" t="s">
        <v>5826</v>
      </c>
      <c r="B5822">
        <v>0.99999676499088797</v>
      </c>
      <c r="C5822">
        <v>0.83304814548040496</v>
      </c>
      <c r="D5822">
        <v>0.78739949193867298</v>
      </c>
      <c r="E5822">
        <v>0.46544866535664797</v>
      </c>
      <c r="F5822">
        <v>0.32210743588671698</v>
      </c>
      <c r="G5822">
        <v>0.21392581710619499</v>
      </c>
      <c r="H5822">
        <v>8.5596947034961193E-2</v>
      </c>
      <c r="I5822">
        <v>8.9054448916221704E-2</v>
      </c>
      <c r="J5822">
        <v>9.1317513132327693E-2</v>
      </c>
      <c r="K5822">
        <v>8.0790658749308394E-2</v>
      </c>
      <c r="L5822">
        <v>673.79256984993503</v>
      </c>
      <c r="M5822">
        <v>13.690544126116</v>
      </c>
      <c r="N5822">
        <v>49.6570951604511</v>
      </c>
      <c r="O5822">
        <v>48.201474952282602</v>
      </c>
      <c r="P5822">
        <v>-6.6950358663901602E-2</v>
      </c>
      <c r="Q5822">
        <v>5.7264611690992201E-2</v>
      </c>
      <c r="R5822">
        <v>0.99034986903833599</v>
      </c>
      <c r="S5822" t="s">
        <v>12825</v>
      </c>
      <c r="T5822" t="s">
        <v>14004</v>
      </c>
      <c r="U5822" t="s">
        <v>14004</v>
      </c>
      <c r="V5822" t="s">
        <v>14004</v>
      </c>
      <c r="W5822" t="s">
        <v>19771</v>
      </c>
      <c r="X5822">
        <v>6</v>
      </c>
      <c r="Y5822" t="s">
        <v>26571</v>
      </c>
      <c r="Z5822" t="s">
        <v>33532</v>
      </c>
      <c r="AA5822">
        <v>0.37413062518750489</v>
      </c>
      <c r="AB5822" t="str">
        <f>HYPERLINK("Melting_Curves/meltCurve_Q9BZL1_UBL5.pdf", "Melting_Curves/meltCurve_Q9BZL1_UBL5.pdf")</f>
        <v>Melting_Curves/meltCurve_Q9BZL1_UBL5.pdf</v>
      </c>
    </row>
    <row r="5823" spans="1:28" x14ac:dyDescent="0.25">
      <c r="A5823" t="s">
        <v>5827</v>
      </c>
      <c r="B5823">
        <v>0.99999676499088797</v>
      </c>
      <c r="C5823">
        <v>0.96989627140093104</v>
      </c>
      <c r="D5823">
        <v>0.94449640711873595</v>
      </c>
      <c r="E5823">
        <v>0.82972106478505703</v>
      </c>
      <c r="F5823">
        <v>0.62838826849062202</v>
      </c>
      <c r="G5823">
        <v>0.61322709553163002</v>
      </c>
      <c r="H5823">
        <v>0.384183767643485</v>
      </c>
      <c r="I5823">
        <v>0.41789914906337</v>
      </c>
      <c r="J5823">
        <v>0.40484931557190501</v>
      </c>
      <c r="K5823">
        <v>0.35071917107887901</v>
      </c>
      <c r="L5823">
        <v>717.01938894441298</v>
      </c>
      <c r="M5823">
        <v>13.4531806901311</v>
      </c>
      <c r="N5823">
        <v>58.253497929177499</v>
      </c>
      <c r="O5823">
        <v>52.161094767085501</v>
      </c>
      <c r="P5823">
        <v>-4.2509821127317902E-2</v>
      </c>
      <c r="Q5823">
        <v>0.34082025160230101</v>
      </c>
      <c r="R5823">
        <v>0.97969461438607297</v>
      </c>
      <c r="S5823" t="s">
        <v>12826</v>
      </c>
      <c r="T5823" t="s">
        <v>14004</v>
      </c>
      <c r="U5823" t="s">
        <v>14004</v>
      </c>
      <c r="V5823" t="s">
        <v>14004</v>
      </c>
      <c r="W5823" t="s">
        <v>19772</v>
      </c>
      <c r="X5823">
        <v>2</v>
      </c>
      <c r="Y5823" t="s">
        <v>26572</v>
      </c>
      <c r="Z5823" t="s">
        <v>33533</v>
      </c>
      <c r="AA5823">
        <v>0.64909245937043158</v>
      </c>
      <c r="AB5823" t="str">
        <f>HYPERLINK("Melting_Curves/meltCurve_Q9BZM1_PLA2G12A.pdf", "Melting_Curves/meltCurve_Q9BZM1_PLA2G12A.pdf")</f>
        <v>Melting_Curves/meltCurve_Q9BZM1_PLA2G12A.pdf</v>
      </c>
    </row>
    <row r="5824" spans="1:28" x14ac:dyDescent="0.25">
      <c r="A5824" t="s">
        <v>5828</v>
      </c>
      <c r="B5824">
        <v>0.99999676499088797</v>
      </c>
      <c r="C5824">
        <v>0.99348292818072603</v>
      </c>
      <c r="D5824">
        <v>1.0935656900519699</v>
      </c>
      <c r="E5824">
        <v>1.22733319124868</v>
      </c>
      <c r="F5824">
        <v>1.1665338267974299</v>
      </c>
      <c r="G5824">
        <v>0.85098913415839295</v>
      </c>
      <c r="H5824">
        <v>0.46276516021778702</v>
      </c>
      <c r="I5824">
        <v>0.39436423432519702</v>
      </c>
      <c r="J5824">
        <v>0.29348970787148498</v>
      </c>
      <c r="K5824">
        <v>0.32902415639023502</v>
      </c>
      <c r="L5824">
        <v>2511.61931029075</v>
      </c>
      <c r="M5824">
        <v>42.748233258501998</v>
      </c>
      <c r="N5824">
        <v>60.282745731968298</v>
      </c>
      <c r="O5824">
        <v>58.625627344326297</v>
      </c>
      <c r="P5824">
        <v>-0.12196877411604699</v>
      </c>
      <c r="Q5824">
        <v>0.33092126124917398</v>
      </c>
      <c r="R5824">
        <v>0.92307214292638595</v>
      </c>
      <c r="S5824" t="s">
        <v>12827</v>
      </c>
      <c r="T5824" t="s">
        <v>14004</v>
      </c>
      <c r="U5824" t="s">
        <v>14004</v>
      </c>
      <c r="V5824" t="s">
        <v>14004</v>
      </c>
      <c r="W5824" t="s">
        <v>19773</v>
      </c>
      <c r="X5824">
        <v>4</v>
      </c>
      <c r="Y5824" t="s">
        <v>26573</v>
      </c>
      <c r="Z5824" t="s">
        <v>33534</v>
      </c>
      <c r="AA5824">
        <v>0.75150843250142119</v>
      </c>
      <c r="AB5824" t="str">
        <f>HYPERLINK("Melting_Curves/meltCurve_Q9BZM5_ULBP2.pdf", "Melting_Curves/meltCurve_Q9BZM5_ULBP2.pdf")</f>
        <v>Melting_Curves/meltCurve_Q9BZM5_ULBP2.pdf</v>
      </c>
    </row>
    <row r="5825" spans="1:28" x14ac:dyDescent="0.25">
      <c r="A5825" t="s">
        <v>5829</v>
      </c>
      <c r="B5825">
        <v>0.99999676499088797</v>
      </c>
      <c r="C5825">
        <v>1.0896290564372699</v>
      </c>
      <c r="D5825">
        <v>0.969383578352499</v>
      </c>
      <c r="E5825">
        <v>0.82896751754039599</v>
      </c>
      <c r="F5825">
        <v>0.63192060409887996</v>
      </c>
      <c r="G5825">
        <v>0.47612691045142702</v>
      </c>
      <c r="H5825">
        <v>0.22428490495591699</v>
      </c>
      <c r="I5825">
        <v>0.14247570119664599</v>
      </c>
      <c r="J5825">
        <v>9.7983362540676702E-2</v>
      </c>
      <c r="K5825">
        <v>7.4924373437904299E-2</v>
      </c>
      <c r="L5825">
        <v>802.07506314259297</v>
      </c>
      <c r="M5825">
        <v>14.447741167040601</v>
      </c>
      <c r="N5825">
        <v>55.702791470230302</v>
      </c>
      <c r="O5825">
        <v>54.484539869220001</v>
      </c>
      <c r="P5825">
        <v>-6.4729532939753698E-2</v>
      </c>
      <c r="Q5825">
        <v>2.3696184355724102E-2</v>
      </c>
      <c r="R5825">
        <v>0.99007664804376405</v>
      </c>
      <c r="S5825" t="s">
        <v>12828</v>
      </c>
      <c r="T5825" t="s">
        <v>14004</v>
      </c>
      <c r="U5825" t="s">
        <v>14004</v>
      </c>
      <c r="V5825" t="s">
        <v>14004</v>
      </c>
      <c r="W5825" t="s">
        <v>19774</v>
      </c>
      <c r="X5825">
        <v>14</v>
      </c>
      <c r="Y5825" t="s">
        <v>26574</v>
      </c>
      <c r="Z5825" t="s">
        <v>33535</v>
      </c>
      <c r="AA5825">
        <v>0.54735803027602381</v>
      </c>
      <c r="AB5825" t="str">
        <f>HYPERLINK("Melting_Curves/meltCurve_Q9BZX2_UCK2.pdf", "Melting_Curves/meltCurve_Q9BZX2_UCK2.pdf")</f>
        <v>Melting_Curves/meltCurve_Q9BZX2_UCK2.pdf</v>
      </c>
    </row>
    <row r="5826" spans="1:28" x14ac:dyDescent="0.25">
      <c r="A5826" t="s">
        <v>5830</v>
      </c>
      <c r="B5826">
        <v>0.99999676499088797</v>
      </c>
      <c r="C5826">
        <v>1.0167181365000999</v>
      </c>
      <c r="D5826">
        <v>1.0840785555525001</v>
      </c>
      <c r="E5826">
        <v>1.0484937137344901</v>
      </c>
      <c r="F5826">
        <v>0.55974787886324695</v>
      </c>
      <c r="G5826">
        <v>0.157979714654992</v>
      </c>
      <c r="H5826">
        <v>5.5153818950785298E-2</v>
      </c>
      <c r="I5826">
        <v>6.0114261395031197E-2</v>
      </c>
      <c r="J5826">
        <v>4.3490805925054297E-2</v>
      </c>
      <c r="K5826">
        <v>1.2212061373381799E-2</v>
      </c>
      <c r="L5826">
        <v>2368.8142769357701</v>
      </c>
      <c r="M5826">
        <v>44.291605636611401</v>
      </c>
      <c r="N5826">
        <v>53.608384624801097</v>
      </c>
      <c r="O5826">
        <v>53.373577950769999</v>
      </c>
      <c r="P5826">
        <v>-0.19719426398416101</v>
      </c>
      <c r="Q5826">
        <v>4.9486242972314597E-2</v>
      </c>
      <c r="R5826">
        <v>0.99189720427551298</v>
      </c>
      <c r="S5826" t="s">
        <v>12829</v>
      </c>
      <c r="T5826" t="s">
        <v>14004</v>
      </c>
      <c r="U5826" t="s">
        <v>14004</v>
      </c>
      <c r="V5826" t="s">
        <v>14004</v>
      </c>
      <c r="W5826" t="s">
        <v>19775</v>
      </c>
      <c r="X5826">
        <v>24</v>
      </c>
      <c r="Y5826" t="s">
        <v>26575</v>
      </c>
      <c r="Z5826" t="s">
        <v>33536</v>
      </c>
      <c r="AA5826">
        <v>0.47951478526658531</v>
      </c>
      <c r="AB5826" t="str">
        <f>HYPERLINK("Melting_Curves/meltCurve_Q9BZZ5_API5.pdf", "Melting_Curves/meltCurve_Q9BZZ5_API5.pdf")</f>
        <v>Melting_Curves/meltCurve_Q9BZZ5_API5.pdf</v>
      </c>
    </row>
    <row r="5827" spans="1:28" x14ac:dyDescent="0.25">
      <c r="A5827" t="s">
        <v>5831</v>
      </c>
      <c r="B5827">
        <v>0.99999676499088797</v>
      </c>
      <c r="C5827">
        <v>0.99326750668881902</v>
      </c>
      <c r="D5827">
        <v>1.0312554401082099</v>
      </c>
      <c r="E5827">
        <v>1.1283428908875499</v>
      </c>
      <c r="F5827">
        <v>0.82264494773838204</v>
      </c>
      <c r="G5827">
        <v>0.26166206786298402</v>
      </c>
      <c r="H5827">
        <v>0.110478802001689</v>
      </c>
      <c r="I5827">
        <v>0.104790675358876</v>
      </c>
      <c r="J5827">
        <v>0.102523979984755</v>
      </c>
      <c r="K5827">
        <v>8.0992962583381706E-2</v>
      </c>
      <c r="L5827">
        <v>2564.7855615239901</v>
      </c>
      <c r="M5827">
        <v>46.711202583584701</v>
      </c>
      <c r="N5827">
        <v>55.164749096680303</v>
      </c>
      <c r="O5827">
        <v>54.806941278024198</v>
      </c>
      <c r="P5827">
        <v>-0.192203372920878</v>
      </c>
      <c r="Q5827">
        <v>9.7940863772190703E-2</v>
      </c>
      <c r="R5827">
        <v>0.98983450594282296</v>
      </c>
      <c r="S5827" t="s">
        <v>12830</v>
      </c>
      <c r="T5827" t="s">
        <v>14004</v>
      </c>
      <c r="U5827" t="s">
        <v>14004</v>
      </c>
      <c r="V5827" t="s">
        <v>14004</v>
      </c>
      <c r="W5827" t="s">
        <v>19776</v>
      </c>
      <c r="X5827">
        <v>25</v>
      </c>
      <c r="Y5827" t="s">
        <v>26575</v>
      </c>
      <c r="Z5827" t="s">
        <v>33537</v>
      </c>
      <c r="AA5827">
        <v>0.54868551800446341</v>
      </c>
      <c r="AB5827" t="str">
        <f>HYPERLINK("Melting_Curves/meltCurve_Q9BZZ5_2_API5.pdf", "Melting_Curves/meltCurve_Q9BZZ5_2_API5.pdf")</f>
        <v>Melting_Curves/meltCurve_Q9BZZ5_2_API5.pdf</v>
      </c>
    </row>
    <row r="5828" spans="1:28" x14ac:dyDescent="0.25">
      <c r="A5828" t="s">
        <v>5832</v>
      </c>
      <c r="B5828">
        <v>0.99999676499088797</v>
      </c>
      <c r="C5828">
        <v>1.00411212796278</v>
      </c>
      <c r="D5828">
        <v>0.98188222160253502</v>
      </c>
      <c r="E5828">
        <v>0.86060905325893</v>
      </c>
      <c r="F5828">
        <v>0.73105757036611796</v>
      </c>
      <c r="G5828">
        <v>1.05261009553657</v>
      </c>
      <c r="H5828">
        <v>0.79212832471376204</v>
      </c>
      <c r="I5828">
        <v>1.0493574285649001</v>
      </c>
      <c r="J5828">
        <v>1.0139767710609799</v>
      </c>
      <c r="K5828">
        <v>0.949134571314729</v>
      </c>
      <c r="L5828">
        <v>11555.5514442966</v>
      </c>
      <c r="M5828">
        <v>250</v>
      </c>
      <c r="O5828">
        <v>46.219242130173399</v>
      </c>
      <c r="P5828">
        <v>-0.10646580641515201</v>
      </c>
      <c r="Q5828">
        <v>0.9212676881438</v>
      </c>
      <c r="R5828">
        <v>0.105796062531225</v>
      </c>
      <c r="S5828" t="s">
        <v>12831</v>
      </c>
      <c r="T5828" t="s">
        <v>14004</v>
      </c>
      <c r="U5828" t="s">
        <v>14004</v>
      </c>
      <c r="V5828" t="s">
        <v>14004</v>
      </c>
      <c r="W5828" t="s">
        <v>19777</v>
      </c>
      <c r="X5828">
        <v>5</v>
      </c>
      <c r="Y5828" t="s">
        <v>26576</v>
      </c>
      <c r="Z5828" t="s">
        <v>33538</v>
      </c>
      <c r="AA5828">
        <v>0.93760369637279006</v>
      </c>
      <c r="AB5828" t="str">
        <f>HYPERLINK("Melting_Curves/meltCurve_Q9C005_DPY30.pdf", "Melting_Curves/meltCurve_Q9C005_DPY30.pdf")</f>
        <v>Melting_Curves/meltCurve_Q9C005_DPY30.pdf</v>
      </c>
    </row>
    <row r="5829" spans="1:28" x14ac:dyDescent="0.25">
      <c r="A5829" t="s">
        <v>5833</v>
      </c>
      <c r="B5829">
        <v>0.99999676499088797</v>
      </c>
      <c r="C5829">
        <v>0.86675621432110095</v>
      </c>
      <c r="D5829">
        <v>0.87238919064665599</v>
      </c>
      <c r="E5829">
        <v>0.55185771219452096</v>
      </c>
      <c r="F5829">
        <v>0.33135682991938098</v>
      </c>
      <c r="G5829">
        <v>0.20426058387410501</v>
      </c>
      <c r="H5829">
        <v>0.18787872441357001</v>
      </c>
      <c r="I5829">
        <v>0.31895575853999403</v>
      </c>
      <c r="J5829">
        <v>0.29876848163390601</v>
      </c>
      <c r="K5829">
        <v>0.212677857154665</v>
      </c>
      <c r="L5829">
        <v>1131.2117928914099</v>
      </c>
      <c r="M5829">
        <v>23.214503857172801</v>
      </c>
      <c r="N5829">
        <v>50.125139758554702</v>
      </c>
      <c r="O5829">
        <v>48.371418859934103</v>
      </c>
      <c r="P5829">
        <v>-9.1411515350990097E-2</v>
      </c>
      <c r="Q5829">
        <v>0.238127534474631</v>
      </c>
      <c r="R5829">
        <v>0.96805062600091796</v>
      </c>
      <c r="S5829" t="s">
        <v>12832</v>
      </c>
      <c r="T5829" t="s">
        <v>14004</v>
      </c>
      <c r="U5829" t="s">
        <v>14004</v>
      </c>
      <c r="V5829" t="s">
        <v>14004</v>
      </c>
      <c r="W5829" t="s">
        <v>19778</v>
      </c>
      <c r="X5829">
        <v>1</v>
      </c>
      <c r="Y5829" t="s">
        <v>26577</v>
      </c>
      <c r="Z5829" t="s">
        <v>33539</v>
      </c>
      <c r="AA5829">
        <v>0.4676610546332966</v>
      </c>
      <c r="AB5829" t="str">
        <f>HYPERLINK("Melting_Curves/meltCurve_Q9C026_TRIM9.pdf", "Melting_Curves/meltCurve_Q9C026_TRIM9.pdf")</f>
        <v>Melting_Curves/meltCurve_Q9C026_TRIM9.pdf</v>
      </c>
    </row>
    <row r="5830" spans="1:28" x14ac:dyDescent="0.25">
      <c r="A5830" t="s">
        <v>5834</v>
      </c>
      <c r="B5830">
        <v>0.99999676499088797</v>
      </c>
      <c r="C5830">
        <v>0.95663758960342304</v>
      </c>
      <c r="D5830">
        <v>0.89754734587423302</v>
      </c>
      <c r="E5830">
        <v>0.53751076779658702</v>
      </c>
      <c r="F5830">
        <v>0.25947762671790497</v>
      </c>
      <c r="G5830">
        <v>0.16612267422617299</v>
      </c>
      <c r="H5830">
        <v>7.8851368799493907E-2</v>
      </c>
      <c r="I5830">
        <v>6.1469314917258003E-2</v>
      </c>
      <c r="J5830">
        <v>5.1637055402296399E-2</v>
      </c>
      <c r="K5830">
        <v>5.2167847841751901E-2</v>
      </c>
      <c r="L5830">
        <v>1043.0437025911301</v>
      </c>
      <c r="M5830">
        <v>20.894715648983201</v>
      </c>
      <c r="N5830">
        <v>50.217374461400702</v>
      </c>
      <c r="O5830">
        <v>49.468513690020401</v>
      </c>
      <c r="P5830">
        <v>-9.9434826330011897E-2</v>
      </c>
      <c r="Q5830">
        <v>5.8372492228742003E-2</v>
      </c>
      <c r="R5830">
        <v>0.99756272891645104</v>
      </c>
      <c r="S5830" t="s">
        <v>12833</v>
      </c>
      <c r="T5830" t="s">
        <v>14004</v>
      </c>
      <c r="U5830" t="s">
        <v>14004</v>
      </c>
      <c r="V5830" t="s">
        <v>14004</v>
      </c>
      <c r="W5830" t="s">
        <v>19779</v>
      </c>
      <c r="X5830">
        <v>5</v>
      </c>
      <c r="Y5830" t="s">
        <v>26578</v>
      </c>
      <c r="Z5830" t="s">
        <v>33540</v>
      </c>
      <c r="AA5830">
        <v>0.38173861225662792</v>
      </c>
      <c r="AB5830" t="str">
        <f>HYPERLINK("Melting_Curves/meltCurve_Q9C037_2_TRIM4.pdf", "Melting_Curves/meltCurve_Q9C037_2_TRIM4.pdf")</f>
        <v>Melting_Curves/meltCurve_Q9C037_2_TRIM4.pdf</v>
      </c>
    </row>
    <row r="5831" spans="1:28" x14ac:dyDescent="0.25">
      <c r="A5831" t="s">
        <v>5835</v>
      </c>
      <c r="B5831">
        <v>0.99999676499088797</v>
      </c>
      <c r="C5831">
        <v>0.99219765973928498</v>
      </c>
      <c r="D5831">
        <v>0.99832512216640601</v>
      </c>
      <c r="E5831">
        <v>1.1413777694584999</v>
      </c>
      <c r="F5831">
        <v>0.70757121677488499</v>
      </c>
      <c r="G5831">
        <v>0.586406855466717</v>
      </c>
      <c r="H5831">
        <v>0.53521197134490905</v>
      </c>
      <c r="I5831">
        <v>0.74169572269738504</v>
      </c>
      <c r="J5831">
        <v>0.76222960484216296</v>
      </c>
      <c r="K5831">
        <v>0.91504594020864805</v>
      </c>
      <c r="L5831">
        <v>12965.6517254875</v>
      </c>
      <c r="M5831">
        <v>250</v>
      </c>
      <c r="O5831">
        <v>51.859301754747896</v>
      </c>
      <c r="P5831">
        <v>-0.35198546911827</v>
      </c>
      <c r="Q5831">
        <v>0.70794054676620999</v>
      </c>
      <c r="R5831">
        <v>0.69050053380209997</v>
      </c>
      <c r="S5831" t="s">
        <v>12834</v>
      </c>
      <c r="T5831" t="s">
        <v>14004</v>
      </c>
      <c r="U5831" t="s">
        <v>14004</v>
      </c>
      <c r="V5831" t="s">
        <v>14004</v>
      </c>
      <c r="W5831" t="s">
        <v>19780</v>
      </c>
      <c r="X5831">
        <v>4</v>
      </c>
      <c r="Y5831" t="s">
        <v>26579</v>
      </c>
      <c r="Z5831" t="s">
        <v>33541</v>
      </c>
      <c r="AA5831">
        <v>0.8234533456437334</v>
      </c>
      <c r="AB5831" t="str">
        <f>HYPERLINK("Melting_Curves/meltCurve_Q9C073_FAM117A.pdf", "Melting_Curves/meltCurve_Q9C073_FAM117A.pdf")</f>
        <v>Melting_Curves/meltCurve_Q9C073_FAM117A.pdf</v>
      </c>
    </row>
    <row r="5832" spans="1:28" x14ac:dyDescent="0.25">
      <c r="A5832" t="s">
        <v>5836</v>
      </c>
      <c r="B5832">
        <v>0.99999676499088797</v>
      </c>
      <c r="C5832">
        <v>0.93923296925681998</v>
      </c>
      <c r="D5832">
        <v>0.94088220446537696</v>
      </c>
      <c r="E5832">
        <v>0.685347892600221</v>
      </c>
      <c r="F5832">
        <v>0.37787472819794099</v>
      </c>
      <c r="G5832">
        <v>0.272361914194298</v>
      </c>
      <c r="H5832">
        <v>0.197644040169761</v>
      </c>
      <c r="I5832">
        <v>0.30669588045568202</v>
      </c>
      <c r="J5832">
        <v>0.35725838041483299</v>
      </c>
      <c r="K5832">
        <v>0.39592345899914799</v>
      </c>
      <c r="L5832">
        <v>1676.5673159498599</v>
      </c>
      <c r="M5832">
        <v>33.658861107489898</v>
      </c>
      <c r="N5832">
        <v>51.237701216815999</v>
      </c>
      <c r="O5832">
        <v>49.635739329141899</v>
      </c>
      <c r="P5832">
        <v>-0.117959888904932</v>
      </c>
      <c r="Q5832">
        <v>0.30419485726950002</v>
      </c>
      <c r="R5832">
        <v>0.96748086462562</v>
      </c>
      <c r="S5832" t="s">
        <v>12835</v>
      </c>
      <c r="T5832" t="s">
        <v>14004</v>
      </c>
      <c r="U5832" t="s">
        <v>14004</v>
      </c>
      <c r="V5832" t="s">
        <v>14004</v>
      </c>
      <c r="W5832" t="s">
        <v>19781</v>
      </c>
      <c r="X5832">
        <v>8</v>
      </c>
      <c r="Y5832" t="s">
        <v>26580</v>
      </c>
      <c r="Z5832" t="s">
        <v>33542</v>
      </c>
      <c r="AA5832">
        <v>0.5351344273197931</v>
      </c>
      <c r="AB5832" t="str">
        <f>HYPERLINK("Melting_Curves/meltCurve_Q9C0B0_UNK.pdf", "Melting_Curves/meltCurve_Q9C0B0_UNK.pdf")</f>
        <v>Melting_Curves/meltCurve_Q9C0B0_UNK.pdf</v>
      </c>
    </row>
    <row r="5833" spans="1:28" x14ac:dyDescent="0.25">
      <c r="A5833" t="s">
        <v>5837</v>
      </c>
      <c r="B5833">
        <v>0.99999676499088797</v>
      </c>
      <c r="C5833">
        <v>0.99327483391926297</v>
      </c>
      <c r="D5833">
        <v>0.98991131524085196</v>
      </c>
      <c r="E5833">
        <v>0.98925852267086101</v>
      </c>
      <c r="F5833">
        <v>0.85719272820216796</v>
      </c>
      <c r="G5833">
        <v>0.68202628793931996</v>
      </c>
      <c r="H5833">
        <v>0.39652148909212298</v>
      </c>
      <c r="I5833">
        <v>0.29536463794443901</v>
      </c>
      <c r="J5833">
        <v>0.230832991812218</v>
      </c>
      <c r="K5833">
        <v>0.22096712553221401</v>
      </c>
      <c r="L5833">
        <v>1167.48775925883</v>
      </c>
      <c r="M5833">
        <v>20.208828518488101</v>
      </c>
      <c r="N5833">
        <v>59.1860201746819</v>
      </c>
      <c r="O5833">
        <v>57.214407638252197</v>
      </c>
      <c r="P5833">
        <v>-7.1389640433242293E-2</v>
      </c>
      <c r="Q5833">
        <v>0.19156355972810701</v>
      </c>
      <c r="R5833">
        <v>0.99871657420778903</v>
      </c>
      <c r="S5833" t="s">
        <v>12836</v>
      </c>
      <c r="T5833" t="s">
        <v>14004</v>
      </c>
      <c r="U5833" t="s">
        <v>14004</v>
      </c>
      <c r="V5833" t="s">
        <v>14004</v>
      </c>
      <c r="W5833" t="s">
        <v>19782</v>
      </c>
      <c r="X5833">
        <v>27</v>
      </c>
      <c r="Y5833" t="s">
        <v>26581</v>
      </c>
      <c r="Z5833" t="s">
        <v>33543</v>
      </c>
      <c r="AA5833">
        <v>0.67971044606831299</v>
      </c>
      <c r="AB5833" t="str">
        <f>HYPERLINK("Melting_Curves/meltCurve_Q9C0B1_FTO.pdf", "Melting_Curves/meltCurve_Q9C0B1_FTO.pdf")</f>
        <v>Melting_Curves/meltCurve_Q9C0B1_FTO.pdf</v>
      </c>
    </row>
    <row r="5834" spans="1:28" x14ac:dyDescent="0.25">
      <c r="A5834" t="s">
        <v>5838</v>
      </c>
      <c r="B5834">
        <v>0.99999676499088797</v>
      </c>
      <c r="C5834">
        <v>1.05268210216709</v>
      </c>
      <c r="D5834">
        <v>1.06537490934915</v>
      </c>
      <c r="E5834">
        <v>1.02665164442807</v>
      </c>
      <c r="F5834">
        <v>0.81113008732534397</v>
      </c>
      <c r="G5834">
        <v>0.69249406957241</v>
      </c>
      <c r="H5834">
        <v>0.385206060124203</v>
      </c>
      <c r="I5834">
        <v>0.35869999465712699</v>
      </c>
      <c r="J5834">
        <v>0.284491736515395</v>
      </c>
      <c r="K5834">
        <v>0.34052555259856199</v>
      </c>
      <c r="L5834">
        <v>1310.8484534301899</v>
      </c>
      <c r="M5834">
        <v>23.106722013340001</v>
      </c>
      <c r="N5834">
        <v>59.044701932736302</v>
      </c>
      <c r="O5834">
        <v>56.310422355130598</v>
      </c>
      <c r="P5834">
        <v>-7.2028739991005702E-2</v>
      </c>
      <c r="Q5834">
        <v>0.29788522838272202</v>
      </c>
      <c r="R5834">
        <v>0.97937784049476095</v>
      </c>
      <c r="S5834" t="s">
        <v>12837</v>
      </c>
      <c r="T5834" t="s">
        <v>14004</v>
      </c>
      <c r="U5834" t="s">
        <v>14004</v>
      </c>
      <c r="V5834" t="s">
        <v>14004</v>
      </c>
      <c r="W5834" t="s">
        <v>19783</v>
      </c>
      <c r="X5834">
        <v>9</v>
      </c>
      <c r="Y5834" t="s">
        <v>26582</v>
      </c>
      <c r="Z5834" t="s">
        <v>33544</v>
      </c>
      <c r="AA5834">
        <v>0.69661413810761275</v>
      </c>
      <c r="AB5834" t="str">
        <f>HYPERLINK("Melting_Curves/meltCurve_Q9C0B5_2_ZDHHC5.pdf", "Melting_Curves/meltCurve_Q9C0B5_2_ZDHHC5.pdf")</f>
        <v>Melting_Curves/meltCurve_Q9C0B5_2_ZDHHC5.pdf</v>
      </c>
    </row>
    <row r="5835" spans="1:28" x14ac:dyDescent="0.25">
      <c r="A5835" t="s">
        <v>5839</v>
      </c>
      <c r="B5835">
        <v>0.99999676499088797</v>
      </c>
      <c r="C5835">
        <v>1.0278661437391801</v>
      </c>
      <c r="D5835">
        <v>0.925347484215434</v>
      </c>
      <c r="E5835">
        <v>0.39242146416374102</v>
      </c>
      <c r="F5835">
        <v>0.222999320377644</v>
      </c>
      <c r="G5835">
        <v>0.17860965893209499</v>
      </c>
      <c r="H5835">
        <v>8.4220790987527397E-2</v>
      </c>
      <c r="I5835">
        <v>0.107700628937157</v>
      </c>
      <c r="J5835">
        <v>0.182573717172239</v>
      </c>
      <c r="K5835">
        <v>0.111527724290995</v>
      </c>
      <c r="L5835">
        <v>1878.38191400398</v>
      </c>
      <c r="M5835">
        <v>38.667046380474801</v>
      </c>
      <c r="N5835">
        <v>48.997123215742498</v>
      </c>
      <c r="O5835">
        <v>48.448979421316899</v>
      </c>
      <c r="P5835">
        <v>-0.17145039464172199</v>
      </c>
      <c r="Q5835">
        <v>0.14070738668518601</v>
      </c>
      <c r="R5835">
        <v>0.99120389700066802</v>
      </c>
      <c r="S5835" t="s">
        <v>12838</v>
      </c>
      <c r="T5835" t="s">
        <v>14004</v>
      </c>
      <c r="U5835" t="s">
        <v>14004</v>
      </c>
      <c r="V5835" t="s">
        <v>14004</v>
      </c>
      <c r="W5835" t="s">
        <v>19784</v>
      </c>
      <c r="X5835">
        <v>3</v>
      </c>
      <c r="Y5835" t="s">
        <v>26583</v>
      </c>
      <c r="Z5835" t="s">
        <v>33545</v>
      </c>
      <c r="AA5835">
        <v>0.3895141188796476</v>
      </c>
      <c r="AB5835" t="str">
        <f>HYPERLINK("Melting_Curves/meltCurve_Q9C0B7_TANGO6.pdf", "Melting_Curves/meltCurve_Q9C0B7_TANGO6.pdf")</f>
        <v>Melting_Curves/meltCurve_Q9C0B7_TANGO6.pdf</v>
      </c>
    </row>
    <row r="5836" spans="1:28" x14ac:dyDescent="0.25">
      <c r="A5836" t="s">
        <v>5840</v>
      </c>
      <c r="B5836">
        <v>0.99999676499088797</v>
      </c>
      <c r="C5836">
        <v>1.0233085327917999</v>
      </c>
      <c r="D5836">
        <v>1.03876891774908</v>
      </c>
      <c r="E5836">
        <v>1.17943604372505</v>
      </c>
      <c r="F5836">
        <v>1.3599668294165299</v>
      </c>
      <c r="G5836">
        <v>1.18356475923365</v>
      </c>
      <c r="H5836">
        <v>0.878025193848185</v>
      </c>
      <c r="I5836">
        <v>0.95177022999947103</v>
      </c>
      <c r="J5836">
        <v>0.950172873675737</v>
      </c>
      <c r="K5836">
        <v>1.16610092335938</v>
      </c>
      <c r="L5836">
        <v>15000</v>
      </c>
      <c r="M5836">
        <v>213.587375314436</v>
      </c>
      <c r="Q5836">
        <v>1.5</v>
      </c>
      <c r="R5836">
        <v>-0.13517941043145701</v>
      </c>
      <c r="S5836" t="s">
        <v>12839</v>
      </c>
      <c r="T5836" t="s">
        <v>14004</v>
      </c>
      <c r="U5836" t="s">
        <v>14004</v>
      </c>
      <c r="V5836" t="s">
        <v>14004</v>
      </c>
      <c r="W5836" t="s">
        <v>19785</v>
      </c>
      <c r="X5836">
        <v>41</v>
      </c>
      <c r="Y5836" t="s">
        <v>26584</v>
      </c>
      <c r="Z5836" t="s">
        <v>33546</v>
      </c>
      <c r="AA5836">
        <v>1.0021757753573139</v>
      </c>
      <c r="AB5836" t="str">
        <f>HYPERLINK("Melting_Curves/meltCurve_Q9C0C2_TNKS1BP1.pdf", "Melting_Curves/meltCurve_Q9C0C2_TNKS1BP1.pdf")</f>
        <v>Melting_Curves/meltCurve_Q9C0C2_TNKS1BP1.pdf</v>
      </c>
    </row>
    <row r="5837" spans="1:28" x14ac:dyDescent="0.25">
      <c r="A5837" t="s">
        <v>5841</v>
      </c>
      <c r="B5837">
        <v>0.99999676499088797</v>
      </c>
      <c r="C5837">
        <v>1.1717631435298901</v>
      </c>
      <c r="D5837">
        <v>1.07801173085769</v>
      </c>
      <c r="E5837">
        <v>0.95682374184546704</v>
      </c>
      <c r="F5837">
        <v>0.80820839983666803</v>
      </c>
      <c r="G5837">
        <v>0.43637504370483499</v>
      </c>
      <c r="H5837">
        <v>0.22013695520928001</v>
      </c>
      <c r="I5837">
        <v>0.26580998650698601</v>
      </c>
      <c r="J5837">
        <v>0.205211192919484</v>
      </c>
      <c r="K5837">
        <v>0.175781156069863</v>
      </c>
      <c r="L5837">
        <v>1712.2397249422099</v>
      </c>
      <c r="M5837">
        <v>31.047792190292299</v>
      </c>
      <c r="N5837">
        <v>56.090896451456402</v>
      </c>
      <c r="O5837">
        <v>54.921247912598901</v>
      </c>
      <c r="P5837">
        <v>-0.11260792510661501</v>
      </c>
      <c r="Q5837">
        <v>0.20322416747689401</v>
      </c>
      <c r="R5837">
        <v>0.97296111312206901</v>
      </c>
      <c r="S5837" t="s">
        <v>12840</v>
      </c>
      <c r="T5837" t="s">
        <v>14004</v>
      </c>
      <c r="U5837" t="s">
        <v>14004</v>
      </c>
      <c r="V5837" t="s">
        <v>14004</v>
      </c>
      <c r="W5837" t="s">
        <v>19786</v>
      </c>
      <c r="X5837">
        <v>4</v>
      </c>
      <c r="Y5837" t="s">
        <v>26585</v>
      </c>
      <c r="Z5837" t="s">
        <v>33547</v>
      </c>
      <c r="AA5837">
        <v>0.6105152292247743</v>
      </c>
      <c r="AB5837" t="str">
        <f>HYPERLINK("Melting_Curves/meltCurve_Q9C0C4_SEMA4C.pdf", "Melting_Curves/meltCurve_Q9C0C4_SEMA4C.pdf")</f>
        <v>Melting_Curves/meltCurve_Q9C0C4_SEMA4C.pdf</v>
      </c>
    </row>
    <row r="5838" spans="1:28" x14ac:dyDescent="0.25">
      <c r="A5838" t="s">
        <v>5842</v>
      </c>
      <c r="B5838">
        <v>0.99999676499088797</v>
      </c>
      <c r="C5838">
        <v>0.97266618680736305</v>
      </c>
      <c r="D5838">
        <v>0.94760938326493604</v>
      </c>
      <c r="E5838">
        <v>0.68064821826627997</v>
      </c>
      <c r="F5838">
        <v>0.28303639236463701</v>
      </c>
      <c r="G5838">
        <v>0.207501369566228</v>
      </c>
      <c r="H5838">
        <v>0.10632185979472999</v>
      </c>
      <c r="I5838">
        <v>9.5282142426566505E-2</v>
      </c>
      <c r="J5838">
        <v>8.1675787520339896E-2</v>
      </c>
      <c r="K5838">
        <v>7.3615577658565495E-2</v>
      </c>
      <c r="L5838">
        <v>1250.24578817827</v>
      </c>
      <c r="M5838">
        <v>24.625793636374301</v>
      </c>
      <c r="N5838">
        <v>51.186841317655698</v>
      </c>
      <c r="O5838">
        <v>50.438525289737399</v>
      </c>
      <c r="P5838">
        <v>-0.110964697668353</v>
      </c>
      <c r="Q5838">
        <v>9.0901859774470406E-2</v>
      </c>
      <c r="R5838">
        <v>0.99668492312457002</v>
      </c>
      <c r="S5838" t="s">
        <v>12841</v>
      </c>
      <c r="T5838" t="s">
        <v>14004</v>
      </c>
      <c r="U5838" t="s">
        <v>14004</v>
      </c>
      <c r="V5838" t="s">
        <v>14004</v>
      </c>
      <c r="W5838" t="s">
        <v>19787</v>
      </c>
      <c r="X5838">
        <v>45</v>
      </c>
      <c r="Y5838" t="s">
        <v>22191</v>
      </c>
      <c r="Z5838" t="s">
        <v>33548</v>
      </c>
      <c r="AA5838">
        <v>0.42570085458448992</v>
      </c>
      <c r="AB5838" t="str">
        <f>HYPERLINK("Melting_Curves/meltCurve_Q9C0C9_UBE2O.pdf", "Melting_Curves/meltCurve_Q9C0C9_UBE2O.pdf")</f>
        <v>Melting_Curves/meltCurve_Q9C0C9_UBE2O.pdf</v>
      </c>
    </row>
    <row r="5839" spans="1:28" x14ac:dyDescent="0.25">
      <c r="A5839" t="s">
        <v>5843</v>
      </c>
      <c r="B5839">
        <v>0.99999676499088797</v>
      </c>
      <c r="C5839">
        <v>1.0420762925093501</v>
      </c>
      <c r="D5839">
        <v>1.1004692906124001</v>
      </c>
      <c r="E5839">
        <v>1.1597205969386299</v>
      </c>
      <c r="F5839">
        <v>0.59815915114594298</v>
      </c>
      <c r="G5839">
        <v>0.21525393054813299</v>
      </c>
      <c r="H5839">
        <v>5.6310670739494403E-2</v>
      </c>
      <c r="I5839">
        <v>1.8412632126111501E-2</v>
      </c>
      <c r="J5839">
        <v>4.1733939996806899E-2</v>
      </c>
      <c r="K5839">
        <v>6.5519253981180803E-2</v>
      </c>
      <c r="L5839">
        <v>2268.7318469839101</v>
      </c>
      <c r="M5839">
        <v>42.143282033054199</v>
      </c>
      <c r="N5839">
        <v>53.983306526370797</v>
      </c>
      <c r="O5839">
        <v>53.712982127030003</v>
      </c>
      <c r="P5839">
        <v>-0.18534468437997401</v>
      </c>
      <c r="Q5839">
        <v>5.50903039268925E-2</v>
      </c>
      <c r="R5839">
        <v>0.97581263580695699</v>
      </c>
      <c r="S5839" t="s">
        <v>12842</v>
      </c>
      <c r="T5839" t="s">
        <v>14004</v>
      </c>
      <c r="U5839" t="s">
        <v>14004</v>
      </c>
      <c r="V5839" t="s">
        <v>14004</v>
      </c>
      <c r="W5839" t="s">
        <v>19788</v>
      </c>
      <c r="X5839">
        <v>4</v>
      </c>
      <c r="Y5839" t="s">
        <v>26586</v>
      </c>
      <c r="Z5839" t="s">
        <v>33549</v>
      </c>
      <c r="AA5839">
        <v>0.4939739069344225</v>
      </c>
      <c r="AB5839" t="str">
        <f>HYPERLINK("Melting_Curves/meltCurve_Q9C0D3_ZYG11B.pdf", "Melting_Curves/meltCurve_Q9C0D3_ZYG11B.pdf")</f>
        <v>Melting_Curves/meltCurve_Q9C0D3_ZYG11B.pdf</v>
      </c>
    </row>
    <row r="5840" spans="1:28" x14ac:dyDescent="0.25">
      <c r="A5840" t="s">
        <v>5844</v>
      </c>
      <c r="B5840">
        <v>0.99999676499088797</v>
      </c>
      <c r="C5840">
        <v>1.39112156280224</v>
      </c>
      <c r="D5840">
        <v>1.2467107501721799</v>
      </c>
      <c r="E5840">
        <v>1.8090571517821199</v>
      </c>
      <c r="F5840">
        <v>2.26917646345</v>
      </c>
      <c r="G5840">
        <v>1.49579122133826</v>
      </c>
      <c r="H5840">
        <v>1.45430750516981</v>
      </c>
      <c r="I5840">
        <v>1.0266600341632099</v>
      </c>
      <c r="J5840">
        <v>0.65145420599760795</v>
      </c>
      <c r="K5840">
        <v>0.65597285838534802</v>
      </c>
      <c r="L5840">
        <v>15000</v>
      </c>
      <c r="M5840">
        <v>228.023699883402</v>
      </c>
      <c r="O5840">
        <v>65.777575489436202</v>
      </c>
      <c r="P5840">
        <v>-0.30176314523146203</v>
      </c>
      <c r="Q5840">
        <v>0.65180377113457799</v>
      </c>
      <c r="R5840">
        <v>-0.29068139682088801</v>
      </c>
      <c r="S5840" t="s">
        <v>12843</v>
      </c>
      <c r="T5840" t="s">
        <v>14004</v>
      </c>
      <c r="U5840" t="s">
        <v>14004</v>
      </c>
      <c r="V5840" t="s">
        <v>14004</v>
      </c>
      <c r="W5840" t="s">
        <v>19789</v>
      </c>
      <c r="X5840">
        <v>2</v>
      </c>
      <c r="Y5840" t="s">
        <v>26587</v>
      </c>
      <c r="Z5840" t="s">
        <v>33550</v>
      </c>
      <c r="AA5840">
        <v>0.95109930771306705</v>
      </c>
      <c r="AB5840" t="str">
        <f>HYPERLINK("Melting_Curves/meltCurve_Q9C0D5_2_TANC1.pdf", "Melting_Curves/meltCurve_Q9C0D5_2_TANC1.pdf")</f>
        <v>Melting_Curves/meltCurve_Q9C0D5_2_TANC1.pdf</v>
      </c>
    </row>
    <row r="5841" spans="1:28" x14ac:dyDescent="0.25">
      <c r="A5841" t="s">
        <v>5845</v>
      </c>
      <c r="B5841">
        <v>0.99999676499088797</v>
      </c>
      <c r="C5841">
        <v>0.78137108933302402</v>
      </c>
      <c r="D5841">
        <v>0.60808163191564801</v>
      </c>
      <c r="E5841">
        <v>0.220343871896724</v>
      </c>
      <c r="F5841">
        <v>0.177255105675172</v>
      </c>
      <c r="G5841">
        <v>0.104904572620807</v>
      </c>
      <c r="H5841">
        <v>5.1123256618167898E-2</v>
      </c>
      <c r="I5841">
        <v>2.9417391529891201E-2</v>
      </c>
      <c r="J5841">
        <v>2.9270315575446099E-2</v>
      </c>
      <c r="K5841">
        <v>3.0556409414655001E-2</v>
      </c>
      <c r="L5841">
        <v>826.50428602591398</v>
      </c>
      <c r="M5841">
        <v>17.762830925955999</v>
      </c>
      <c r="N5841">
        <v>46.736781814212101</v>
      </c>
      <c r="O5841">
        <v>45.952268758932298</v>
      </c>
      <c r="P5841">
        <v>-9.2990036630212602E-2</v>
      </c>
      <c r="Q5841">
        <v>3.7792798062835399E-2</v>
      </c>
      <c r="R5841">
        <v>0.988879795331564</v>
      </c>
      <c r="S5841" t="s">
        <v>12844</v>
      </c>
      <c r="T5841" t="s">
        <v>14004</v>
      </c>
      <c r="U5841" t="s">
        <v>14004</v>
      </c>
      <c r="V5841" t="s">
        <v>14004</v>
      </c>
      <c r="W5841" t="s">
        <v>19790</v>
      </c>
      <c r="X5841">
        <v>6</v>
      </c>
      <c r="Y5841" t="s">
        <v>26588</v>
      </c>
      <c r="Z5841" t="s">
        <v>33551</v>
      </c>
      <c r="AA5841">
        <v>0.26599029619629699</v>
      </c>
      <c r="AB5841" t="str">
        <f>HYPERLINK("Melting_Curves/meltCurve_Q9C0F1_CEP44.pdf", "Melting_Curves/meltCurve_Q9C0F1_CEP44.pdf")</f>
        <v>Melting_Curves/meltCurve_Q9C0F1_CEP44.pdf</v>
      </c>
    </row>
    <row r="5842" spans="1:28" x14ac:dyDescent="0.25">
      <c r="A5842" t="s">
        <v>5846</v>
      </c>
      <c r="B5842">
        <v>0.99999676499088797</v>
      </c>
      <c r="C5842">
        <v>1.02243910669037</v>
      </c>
      <c r="D5842">
        <v>0.93905448405057901</v>
      </c>
      <c r="E5842">
        <v>0.82343530249045604</v>
      </c>
      <c r="F5842">
        <v>0.73448022142652902</v>
      </c>
      <c r="G5842">
        <v>0.61026369550322501</v>
      </c>
      <c r="H5842">
        <v>0.347964982689351</v>
      </c>
      <c r="I5842">
        <v>0.27986914372890398</v>
      </c>
      <c r="J5842">
        <v>0.20361724550291799</v>
      </c>
      <c r="K5842">
        <v>0.19574231214888499</v>
      </c>
      <c r="L5842">
        <v>659.95263704596402</v>
      </c>
      <c r="M5842">
        <v>11.5186523746001</v>
      </c>
      <c r="N5842">
        <v>58.066383233826798</v>
      </c>
      <c r="O5842">
        <v>55.649007825896803</v>
      </c>
      <c r="P5842">
        <v>-4.8086100318901301E-2</v>
      </c>
      <c r="Q5842">
        <v>7.1006389245417106E-2</v>
      </c>
      <c r="R5842">
        <v>0.99144395802416097</v>
      </c>
      <c r="S5842" t="s">
        <v>12845</v>
      </c>
      <c r="T5842" t="s">
        <v>14004</v>
      </c>
      <c r="U5842" t="s">
        <v>14004</v>
      </c>
      <c r="V5842" t="s">
        <v>14004</v>
      </c>
      <c r="W5842" t="s">
        <v>19791</v>
      </c>
      <c r="X5842">
        <v>3</v>
      </c>
      <c r="Y5842" t="s">
        <v>26589</v>
      </c>
      <c r="Z5842" t="s">
        <v>33552</v>
      </c>
      <c r="AA5842">
        <v>0.62094881666823543</v>
      </c>
      <c r="AB5842" t="str">
        <f>HYPERLINK("Melting_Curves/meltCurve_Q9C0H2_2_TTYH3.pdf", "Melting_Curves/meltCurve_Q9C0H2_2_TTYH3.pdf")</f>
        <v>Melting_Curves/meltCurve_Q9C0H2_2_TTYH3.pdf</v>
      </c>
    </row>
    <row r="5843" spans="1:28" x14ac:dyDescent="0.25">
      <c r="A5843" t="s">
        <v>5847</v>
      </c>
      <c r="B5843">
        <v>0.99999676499088797</v>
      </c>
      <c r="C5843">
        <v>1.23367004688632</v>
      </c>
      <c r="D5843">
        <v>1.09464261876942</v>
      </c>
      <c r="E5843">
        <v>0.95584164223804002</v>
      </c>
      <c r="F5843">
        <v>0.81368926069553704</v>
      </c>
      <c r="G5843">
        <v>0.64357725003950805</v>
      </c>
      <c r="H5843">
        <v>0.24401551317360001</v>
      </c>
      <c r="I5843">
        <v>7.4859447758031702E-2</v>
      </c>
      <c r="J5843">
        <v>5.7623717393536701E-2</v>
      </c>
      <c r="K5843">
        <v>4.9263524289100802E-2</v>
      </c>
      <c r="L5843">
        <v>1273.1353252041799</v>
      </c>
      <c r="M5843">
        <v>22.031058408463402</v>
      </c>
      <c r="N5843">
        <v>57.818365159115501</v>
      </c>
      <c r="O5843">
        <v>57.318401781902502</v>
      </c>
      <c r="P5843">
        <v>-9.5543967037342303E-2</v>
      </c>
      <c r="Q5843">
        <v>5.7116941052953504E-3</v>
      </c>
      <c r="R5843">
        <v>0.96349347910772198</v>
      </c>
      <c r="S5843" t="s">
        <v>12846</v>
      </c>
      <c r="T5843" t="s">
        <v>14004</v>
      </c>
      <c r="U5843" t="s">
        <v>14004</v>
      </c>
      <c r="V5843" t="s">
        <v>14004</v>
      </c>
      <c r="W5843" t="s">
        <v>19792</v>
      </c>
      <c r="X5843">
        <v>13</v>
      </c>
      <c r="Y5843" t="s">
        <v>26590</v>
      </c>
      <c r="Z5843" t="s">
        <v>33553</v>
      </c>
      <c r="AA5843">
        <v>0.60557867303473389</v>
      </c>
      <c r="AB5843" t="str">
        <f>HYPERLINK("Melting_Curves/meltCurve_Q9C0I1_MTMR12.pdf", "Melting_Curves/meltCurve_Q9C0I1_MTMR12.pdf")</f>
        <v>Melting_Curves/meltCurve_Q9C0I1_MTMR12.pdf</v>
      </c>
    </row>
    <row r="5844" spans="1:28" x14ac:dyDescent="0.25">
      <c r="A5844" t="s">
        <v>5848</v>
      </c>
      <c r="B5844">
        <v>0.99999676499088797</v>
      </c>
      <c r="C5844">
        <v>1.0144299744142899</v>
      </c>
      <c r="D5844">
        <v>0.92168901651199298</v>
      </c>
      <c r="E5844">
        <v>0.67726404415951502</v>
      </c>
      <c r="F5844">
        <v>0.28899849874366801</v>
      </c>
      <c r="G5844">
        <v>0.208178819584625</v>
      </c>
      <c r="H5844">
        <v>0.11055489495413599</v>
      </c>
      <c r="I5844">
        <v>0.13816112361053101</v>
      </c>
      <c r="J5844">
        <v>0.14973184008430901</v>
      </c>
      <c r="K5844">
        <v>0.14075919106537099</v>
      </c>
      <c r="L5844">
        <v>1367.4443511740401</v>
      </c>
      <c r="M5844">
        <v>27.110546396500201</v>
      </c>
      <c r="N5844">
        <v>51.040644789315301</v>
      </c>
      <c r="O5844">
        <v>50.167528998224199</v>
      </c>
      <c r="P5844">
        <v>-0.116638704118743</v>
      </c>
      <c r="Q5844">
        <v>0.136657984744877</v>
      </c>
      <c r="R5844">
        <v>0.99733300455888796</v>
      </c>
      <c r="S5844" t="s">
        <v>12847</v>
      </c>
      <c r="T5844" t="s">
        <v>14004</v>
      </c>
      <c r="U5844" t="s">
        <v>14004</v>
      </c>
      <c r="V5844" t="s">
        <v>14004</v>
      </c>
      <c r="W5844" t="s">
        <v>19793</v>
      </c>
      <c r="X5844">
        <v>19</v>
      </c>
      <c r="Y5844" t="s">
        <v>26591</v>
      </c>
      <c r="Z5844" t="s">
        <v>33554</v>
      </c>
      <c r="AA5844">
        <v>0.44368138776603749</v>
      </c>
      <c r="AB5844" t="str">
        <f>HYPERLINK("Melting_Curves/meltCurve_Q9C0J8_WDR33.pdf", "Melting_Curves/meltCurve_Q9C0J8_WDR33.pdf")</f>
        <v>Melting_Curves/meltCurve_Q9C0J8_WDR33.pdf</v>
      </c>
    </row>
    <row r="5845" spans="1:28" x14ac:dyDescent="0.25">
      <c r="A5845" t="s">
        <v>5849</v>
      </c>
      <c r="B5845">
        <v>0.99999676499088797</v>
      </c>
      <c r="C5845">
        <v>0.82071489870810999</v>
      </c>
      <c r="D5845">
        <v>0.82025075151472804</v>
      </c>
      <c r="E5845">
        <v>0.60386264405633405</v>
      </c>
      <c r="F5845">
        <v>0.51900166275080295</v>
      </c>
      <c r="G5845">
        <v>0.42531423679288899</v>
      </c>
      <c r="H5845">
        <v>0.66975935477485105</v>
      </c>
      <c r="I5845">
        <v>1.0295616770942899</v>
      </c>
      <c r="J5845">
        <v>1.50758948661073</v>
      </c>
      <c r="K5845">
        <v>2.09282178145871</v>
      </c>
      <c r="L5845">
        <v>15000</v>
      </c>
      <c r="M5845">
        <v>231.609340452819</v>
      </c>
      <c r="O5845">
        <v>64.759398749439498</v>
      </c>
      <c r="P5845">
        <v>0.447057387379799</v>
      </c>
      <c r="Q5845">
        <v>1.5</v>
      </c>
      <c r="R5845">
        <v>0.463686792351169</v>
      </c>
      <c r="S5845" t="s">
        <v>12848</v>
      </c>
      <c r="T5845" t="s">
        <v>14004</v>
      </c>
      <c r="U5845" t="s">
        <v>14004</v>
      </c>
      <c r="V5845" t="s">
        <v>14004</v>
      </c>
      <c r="W5845" t="s">
        <v>19794</v>
      </c>
      <c r="X5845">
        <v>5</v>
      </c>
      <c r="Y5845" t="s">
        <v>26592</v>
      </c>
      <c r="Z5845" t="s">
        <v>33555</v>
      </c>
      <c r="AA5845">
        <v>1.0871966604432819</v>
      </c>
      <c r="AB5845" t="str">
        <f>HYPERLINK("Melting_Curves/meltCurve_Q9C0K0_2_BCL11B.pdf", "Melting_Curves/meltCurve_Q9C0K0_2_BCL11B.pdf")</f>
        <v>Melting_Curves/meltCurve_Q9C0K0_2_BCL11B.pdf</v>
      </c>
    </row>
    <row r="5846" spans="1:28" x14ac:dyDescent="0.25">
      <c r="A5846" t="s">
        <v>5850</v>
      </c>
      <c r="B5846">
        <v>0.99999676499088797</v>
      </c>
      <c r="C5846">
        <v>1.03656064737192</v>
      </c>
      <c r="D5846">
        <v>0.92908352393845095</v>
      </c>
      <c r="E5846">
        <v>0.88890710885304802</v>
      </c>
      <c r="F5846">
        <v>0.837115043517484</v>
      </c>
      <c r="G5846">
        <v>0.598755185024053</v>
      </c>
      <c r="H5846">
        <v>0.45310229965294802</v>
      </c>
      <c r="I5846">
        <v>0.50489102665965901</v>
      </c>
      <c r="J5846">
        <v>0.42123888758323402</v>
      </c>
      <c r="K5846">
        <v>0.40706388169888202</v>
      </c>
      <c r="L5846">
        <v>955.531396469681</v>
      </c>
      <c r="M5846">
        <v>17.383807264150999</v>
      </c>
      <c r="N5846">
        <v>60.656809964599503</v>
      </c>
      <c r="O5846">
        <v>54.254841488242498</v>
      </c>
      <c r="P5846">
        <v>-4.78954936376947E-2</v>
      </c>
      <c r="Q5846">
        <v>0.40210672938813202</v>
      </c>
      <c r="R5846">
        <v>0.97665122909159996</v>
      </c>
      <c r="S5846" t="s">
        <v>12849</v>
      </c>
      <c r="T5846" t="s">
        <v>14004</v>
      </c>
      <c r="U5846" t="s">
        <v>14004</v>
      </c>
      <c r="V5846" t="s">
        <v>14004</v>
      </c>
      <c r="W5846" t="s">
        <v>19795</v>
      </c>
      <c r="X5846">
        <v>1</v>
      </c>
      <c r="Y5846" t="s">
        <v>26593</v>
      </c>
      <c r="Z5846" t="s">
        <v>33556</v>
      </c>
      <c r="AA5846">
        <v>0.71009094024428665</v>
      </c>
      <c r="AB5846" t="str">
        <f>HYPERLINK("Melting_Curves/meltCurve_Q9C0K1_2_SLC39A8.pdf", "Melting_Curves/meltCurve_Q9C0K1_2_SLC39A8.pdf")</f>
        <v>Melting_Curves/meltCurve_Q9C0K1_2_SLC39A8.pdf</v>
      </c>
    </row>
    <row r="5847" spans="1:28" x14ac:dyDescent="0.25">
      <c r="A5847" t="s">
        <v>5851</v>
      </c>
      <c r="B5847">
        <v>0.99999676499088797</v>
      </c>
      <c r="C5847">
        <v>1.0693601887866899</v>
      </c>
      <c r="D5847">
        <v>1.03485000152526</v>
      </c>
      <c r="E5847">
        <v>0.89121457473377297</v>
      </c>
      <c r="F5847">
        <v>0.57650644381050697</v>
      </c>
      <c r="G5847">
        <v>0.514759227907571</v>
      </c>
      <c r="H5847">
        <v>0.174685287406873</v>
      </c>
      <c r="I5847">
        <v>0.145772997545766</v>
      </c>
      <c r="J5847">
        <v>0.19811854452776401</v>
      </c>
      <c r="K5847">
        <v>0.120892786472894</v>
      </c>
      <c r="L5847">
        <v>990.14971857869705</v>
      </c>
      <c r="M5847">
        <v>18.138997642931798</v>
      </c>
      <c r="N5847">
        <v>55.403950959022303</v>
      </c>
      <c r="O5847">
        <v>53.936309949083899</v>
      </c>
      <c r="P5847">
        <v>-7.4211748739392194E-2</v>
      </c>
      <c r="Q5847">
        <v>0.117367680889679</v>
      </c>
      <c r="R5847">
        <v>0.97495768072310895</v>
      </c>
      <c r="S5847" t="s">
        <v>12850</v>
      </c>
      <c r="T5847" t="s">
        <v>14004</v>
      </c>
      <c r="U5847" t="s">
        <v>14004</v>
      </c>
      <c r="V5847" t="s">
        <v>14004</v>
      </c>
      <c r="W5847" t="s">
        <v>19796</v>
      </c>
      <c r="X5847">
        <v>2</v>
      </c>
      <c r="Y5847" t="s">
        <v>26594</v>
      </c>
      <c r="Z5847" t="s">
        <v>33557</v>
      </c>
      <c r="AA5847">
        <v>0.56024414120669808</v>
      </c>
      <c r="AB5847" t="str">
        <f>HYPERLINK("Melting_Curves/meltCurve_Q9C0K7_2_STRADB.pdf", "Melting_Curves/meltCurve_Q9C0K7_2_STRADB.pdf")</f>
        <v>Melting_Curves/meltCurve_Q9C0K7_2_STRADB.pdf</v>
      </c>
    </row>
    <row r="5848" spans="1:28" x14ac:dyDescent="0.25">
      <c r="A5848" t="s">
        <v>5852</v>
      </c>
      <c r="B5848">
        <v>0.99999676499088797</v>
      </c>
      <c r="C5848">
        <v>0.96189321779011505</v>
      </c>
      <c r="D5848">
        <v>0.95577407123020297</v>
      </c>
      <c r="E5848">
        <v>0.956618411092652</v>
      </c>
      <c r="F5848">
        <v>0.68633333833916499</v>
      </c>
      <c r="G5848">
        <v>0.469878080535859</v>
      </c>
      <c r="H5848">
        <v>0.232981019054913</v>
      </c>
      <c r="I5848">
        <v>0.17214147350013001</v>
      </c>
      <c r="J5848">
        <v>0.137541540035932</v>
      </c>
      <c r="K5848">
        <v>0.11027343421754</v>
      </c>
      <c r="L5848">
        <v>1039.5377758418399</v>
      </c>
      <c r="M5848">
        <v>18.7486386592063</v>
      </c>
      <c r="N5848">
        <v>56.1051777666354</v>
      </c>
      <c r="O5848">
        <v>54.826804785926598</v>
      </c>
      <c r="P5848">
        <v>-7.7043129749443606E-2</v>
      </c>
      <c r="Q5848">
        <v>9.88462880334849E-2</v>
      </c>
      <c r="R5848">
        <v>0.99580330342080003</v>
      </c>
      <c r="S5848" t="s">
        <v>12851</v>
      </c>
      <c r="T5848" t="s">
        <v>14004</v>
      </c>
      <c r="U5848" t="s">
        <v>14004</v>
      </c>
      <c r="V5848" t="s">
        <v>14004</v>
      </c>
      <c r="W5848" t="s">
        <v>19797</v>
      </c>
      <c r="X5848">
        <v>17</v>
      </c>
      <c r="Y5848" t="s">
        <v>26595</v>
      </c>
      <c r="Z5848" t="s">
        <v>33558</v>
      </c>
      <c r="AA5848">
        <v>0.57578024741479272</v>
      </c>
      <c r="AB5848" t="str">
        <f>HYPERLINK("Melting_Curves/meltCurve_Q9GZL7_WDR12.pdf", "Melting_Curves/meltCurve_Q9GZL7_WDR12.pdf")</f>
        <v>Melting_Curves/meltCurve_Q9GZL7_WDR12.pdf</v>
      </c>
    </row>
    <row r="5849" spans="1:28" x14ac:dyDescent="0.25">
      <c r="A5849" t="s">
        <v>5853</v>
      </c>
      <c r="B5849">
        <v>0.99999676499088797</v>
      </c>
      <c r="C5849">
        <v>0.98839858849364004</v>
      </c>
      <c r="D5849">
        <v>0.92675995949145296</v>
      </c>
      <c r="E5849">
        <v>0.63152486493283699</v>
      </c>
      <c r="F5849">
        <v>0.33967489076183299</v>
      </c>
      <c r="G5849">
        <v>0.21779897501553899</v>
      </c>
      <c r="H5849">
        <v>0.12150130511320401</v>
      </c>
      <c r="I5849">
        <v>0.118542918816159</v>
      </c>
      <c r="J5849">
        <v>0.143068963138065</v>
      </c>
      <c r="K5849">
        <v>0.102954814865378</v>
      </c>
      <c r="L5849">
        <v>1094.98562567613</v>
      </c>
      <c r="M5849">
        <v>21.671737545313</v>
      </c>
      <c r="N5849">
        <v>51.157783386598297</v>
      </c>
      <c r="O5849">
        <v>50.101667829662802</v>
      </c>
      <c r="P5849">
        <v>-9.5444360327381503E-2</v>
      </c>
      <c r="Q5849">
        <v>0.117411186246727</v>
      </c>
      <c r="R5849">
        <v>0.99812644451877697</v>
      </c>
      <c r="S5849" t="s">
        <v>12852</v>
      </c>
      <c r="T5849" t="s">
        <v>14004</v>
      </c>
      <c r="U5849" t="s">
        <v>14004</v>
      </c>
      <c r="V5849" t="s">
        <v>14004</v>
      </c>
      <c r="W5849" t="s">
        <v>19798</v>
      </c>
      <c r="X5849">
        <v>5</v>
      </c>
      <c r="Y5849" t="s">
        <v>26596</v>
      </c>
      <c r="Z5849" t="s">
        <v>33559</v>
      </c>
      <c r="AA5849">
        <v>0.43758916990796848</v>
      </c>
      <c r="AB5849" t="str">
        <f>HYPERLINK("Melting_Curves/meltCurve_Q9GZN1_ACTR6.pdf", "Melting_Curves/meltCurve_Q9GZN1_ACTR6.pdf")</f>
        <v>Melting_Curves/meltCurve_Q9GZN1_ACTR6.pdf</v>
      </c>
    </row>
    <row r="5850" spans="1:28" x14ac:dyDescent="0.25">
      <c r="A5850" t="s">
        <v>5854</v>
      </c>
      <c r="B5850">
        <v>0.99999676499088797</v>
      </c>
      <c r="C5850">
        <v>0.95195536931435198</v>
      </c>
      <c r="D5850">
        <v>1.0302273581636601</v>
      </c>
      <c r="E5850">
        <v>1.0776204922833801</v>
      </c>
      <c r="F5850">
        <v>0.91807076836314006</v>
      </c>
      <c r="G5850">
        <v>0.54663532442523699</v>
      </c>
      <c r="H5850">
        <v>0.170275045316574</v>
      </c>
      <c r="I5850">
        <v>0.106084330237638</v>
      </c>
      <c r="J5850">
        <v>0.126246183138784</v>
      </c>
      <c r="K5850">
        <v>8.8127534141105704E-2</v>
      </c>
      <c r="L5850">
        <v>2115.1874262809401</v>
      </c>
      <c r="M5850">
        <v>37.268758988524198</v>
      </c>
      <c r="N5850">
        <v>57.102032699368998</v>
      </c>
      <c r="O5850">
        <v>56.592309841709699</v>
      </c>
      <c r="P5850">
        <v>-0.147952065572897</v>
      </c>
      <c r="Q5850">
        <v>0.101346429480107</v>
      </c>
      <c r="R5850">
        <v>0.99368055499729402</v>
      </c>
      <c r="S5850" t="s">
        <v>12853</v>
      </c>
      <c r="T5850" t="s">
        <v>14004</v>
      </c>
      <c r="U5850" t="s">
        <v>14004</v>
      </c>
      <c r="V5850" t="s">
        <v>14004</v>
      </c>
      <c r="W5850" t="s">
        <v>19799</v>
      </c>
      <c r="X5850">
        <v>7</v>
      </c>
      <c r="Y5850" t="s">
        <v>26597</v>
      </c>
      <c r="Z5850" t="s">
        <v>33560</v>
      </c>
      <c r="AA5850">
        <v>0.60724699571227214</v>
      </c>
      <c r="AB5850" t="str">
        <f>HYPERLINK("Melting_Curves/meltCurve_Q9GZN8_C20orf27.pdf", "Melting_Curves/meltCurve_Q9GZN8_C20orf27.pdf")</f>
        <v>Melting_Curves/meltCurve_Q9GZN8_C20orf27.pdf</v>
      </c>
    </row>
    <row r="5851" spans="1:28" x14ac:dyDescent="0.25">
      <c r="A5851" t="s">
        <v>5855</v>
      </c>
      <c r="B5851">
        <v>0.99999676499088797</v>
      </c>
      <c r="C5851">
        <v>1.07330376555859</v>
      </c>
      <c r="D5851">
        <v>1.0069903946473799</v>
      </c>
      <c r="E5851">
        <v>0.61647136173502803</v>
      </c>
      <c r="F5851">
        <v>0.62867831610867597</v>
      </c>
      <c r="G5851">
        <v>0.467583762642514</v>
      </c>
      <c r="H5851">
        <v>0.345281076733023</v>
      </c>
      <c r="I5851">
        <v>0.36974591398193402</v>
      </c>
      <c r="J5851">
        <v>0.28989568014329598</v>
      </c>
      <c r="K5851">
        <v>0.18647402890585801</v>
      </c>
      <c r="L5851">
        <v>708.32132908582696</v>
      </c>
      <c r="M5851">
        <v>13.457690940061999</v>
      </c>
      <c r="N5851">
        <v>55.314136608096398</v>
      </c>
      <c r="O5851">
        <v>51.511791475842003</v>
      </c>
      <c r="P5851">
        <v>-4.9674350261478303E-2</v>
      </c>
      <c r="Q5851">
        <v>0.23956648587684001</v>
      </c>
      <c r="R5851">
        <v>0.93947751209792296</v>
      </c>
      <c r="S5851" t="s">
        <v>12854</v>
      </c>
      <c r="T5851" t="s">
        <v>14004</v>
      </c>
      <c r="U5851" t="s">
        <v>14004</v>
      </c>
      <c r="V5851" t="s">
        <v>14004</v>
      </c>
      <c r="W5851" t="s">
        <v>19800</v>
      </c>
      <c r="X5851">
        <v>18</v>
      </c>
      <c r="Y5851" t="s">
        <v>26598</v>
      </c>
      <c r="Z5851" t="s">
        <v>33561</v>
      </c>
      <c r="AA5851">
        <v>0.57908208473349887</v>
      </c>
      <c r="AB5851" t="str">
        <f>HYPERLINK("Melting_Curves/meltCurve_Q9GZP4_PITHD1.pdf", "Melting_Curves/meltCurve_Q9GZP4_PITHD1.pdf")</f>
        <v>Melting_Curves/meltCurve_Q9GZP4_PITHD1.pdf</v>
      </c>
    </row>
    <row r="5852" spans="1:28" x14ac:dyDescent="0.25">
      <c r="A5852" t="s">
        <v>5856</v>
      </c>
      <c r="B5852">
        <v>0.99999676499088797</v>
      </c>
      <c r="C5852">
        <v>1.0019836341956301</v>
      </c>
      <c r="D5852">
        <v>0.97890604059811603</v>
      </c>
      <c r="E5852">
        <v>1.0627054793954001</v>
      </c>
      <c r="F5852">
        <v>1.0304121960468</v>
      </c>
      <c r="G5852">
        <v>0.76458737605328098</v>
      </c>
      <c r="H5852">
        <v>0.26786743124876</v>
      </c>
      <c r="I5852">
        <v>0.13075263286122399</v>
      </c>
      <c r="J5852">
        <v>9.1678969961622794E-2</v>
      </c>
      <c r="K5852">
        <v>8.23558619055587E-2</v>
      </c>
      <c r="L5852">
        <v>2221.8095004737802</v>
      </c>
      <c r="M5852">
        <v>37.987968763515703</v>
      </c>
      <c r="N5852">
        <v>58.788247015239399</v>
      </c>
      <c r="O5852">
        <v>58.325820363594801</v>
      </c>
      <c r="P5852">
        <v>-0.148434251591294</v>
      </c>
      <c r="Q5852">
        <v>8.8392750374730905E-2</v>
      </c>
      <c r="R5852">
        <v>0.99570500914868898</v>
      </c>
      <c r="S5852" t="s">
        <v>12855</v>
      </c>
      <c r="T5852" t="s">
        <v>14004</v>
      </c>
      <c r="U5852" t="s">
        <v>14004</v>
      </c>
      <c r="V5852" t="s">
        <v>14004</v>
      </c>
      <c r="W5852" t="s">
        <v>19801</v>
      </c>
      <c r="X5852">
        <v>3</v>
      </c>
      <c r="Y5852" t="s">
        <v>26599</v>
      </c>
      <c r="Z5852" t="s">
        <v>33562</v>
      </c>
      <c r="AA5852">
        <v>0.65411401626014631</v>
      </c>
      <c r="AB5852" t="str">
        <f>HYPERLINK("Melting_Curves/meltCurve_Q9GZP9_DERL2.pdf", "Melting_Curves/meltCurve_Q9GZP9_DERL2.pdf")</f>
        <v>Melting_Curves/meltCurve_Q9GZP9_DERL2.pdf</v>
      </c>
    </row>
    <row r="5853" spans="1:28" x14ac:dyDescent="0.25">
      <c r="A5853" t="s">
        <v>5857</v>
      </c>
      <c r="B5853">
        <v>0.99999676499088797</v>
      </c>
      <c r="C5853">
        <v>0.97916143279505397</v>
      </c>
      <c r="D5853">
        <v>0.96600850767309498</v>
      </c>
      <c r="E5853">
        <v>0.91250254235238404</v>
      </c>
      <c r="F5853">
        <v>0.50184660272335002</v>
      </c>
      <c r="G5853">
        <v>0.283319565372608</v>
      </c>
      <c r="H5853">
        <v>0.119415619589904</v>
      </c>
      <c r="I5853">
        <v>9.8950224544528204E-2</v>
      </c>
      <c r="J5853">
        <v>8.5826696231597902E-2</v>
      </c>
      <c r="K5853">
        <v>7.2580444486384899E-2</v>
      </c>
      <c r="L5853">
        <v>1304.0947252271201</v>
      </c>
      <c r="M5853">
        <v>24.5020482154025</v>
      </c>
      <c r="N5853">
        <v>53.618586028377599</v>
      </c>
      <c r="O5853">
        <v>52.873175814778698</v>
      </c>
      <c r="P5853">
        <v>-0.10629501795896899</v>
      </c>
      <c r="Q5853">
        <v>8.2513711228473605E-2</v>
      </c>
      <c r="R5853">
        <v>0.99621925941149103</v>
      </c>
      <c r="S5853" t="s">
        <v>12856</v>
      </c>
      <c r="T5853" t="s">
        <v>14004</v>
      </c>
      <c r="U5853" t="s">
        <v>14004</v>
      </c>
      <c r="V5853" t="s">
        <v>14004</v>
      </c>
      <c r="W5853" t="s">
        <v>19802</v>
      </c>
      <c r="X5853">
        <v>8</v>
      </c>
      <c r="Y5853" t="s">
        <v>26600</v>
      </c>
      <c r="Z5853" t="s">
        <v>33563</v>
      </c>
      <c r="AA5853">
        <v>0.49572134948232971</v>
      </c>
      <c r="AB5853" t="str">
        <f>HYPERLINK("Melting_Curves/meltCurve_Q9GZQ3_COMMD5.pdf", "Melting_Curves/meltCurve_Q9GZQ3_COMMD5.pdf")</f>
        <v>Melting_Curves/meltCurve_Q9GZQ3_COMMD5.pdf</v>
      </c>
    </row>
    <row r="5854" spans="1:28" x14ac:dyDescent="0.25">
      <c r="A5854" t="s">
        <v>5858</v>
      </c>
      <c r="B5854">
        <v>0.99999676499088797</v>
      </c>
      <c r="C5854">
        <v>0.91373559635218904</v>
      </c>
      <c r="D5854">
        <v>0.51056456588585097</v>
      </c>
      <c r="E5854">
        <v>0.17237066825002301</v>
      </c>
      <c r="F5854">
        <v>0.13376143108309599</v>
      </c>
      <c r="G5854">
        <v>9.3336264893054702E-2</v>
      </c>
      <c r="H5854">
        <v>5.6049755666665403E-2</v>
      </c>
      <c r="I5854">
        <v>6.4506596461363599E-2</v>
      </c>
      <c r="J5854">
        <v>8.0984636958971304E-2</v>
      </c>
      <c r="K5854">
        <v>7.1037406289854998E-2</v>
      </c>
      <c r="L5854">
        <v>1388.95584325647</v>
      </c>
      <c r="M5854">
        <v>30.278317468642499</v>
      </c>
      <c r="N5854">
        <v>46.140658435895503</v>
      </c>
      <c r="O5854">
        <v>45.674248946271803</v>
      </c>
      <c r="P5854">
        <v>-0.15238050687768301</v>
      </c>
      <c r="Q5854">
        <v>8.0553755750375794E-2</v>
      </c>
      <c r="R5854">
        <v>0.99745543102732004</v>
      </c>
      <c r="S5854" t="s">
        <v>12857</v>
      </c>
      <c r="T5854" t="s">
        <v>14004</v>
      </c>
      <c r="U5854" t="s">
        <v>14004</v>
      </c>
      <c r="V5854" t="s">
        <v>14004</v>
      </c>
      <c r="W5854" t="s">
        <v>19803</v>
      </c>
      <c r="X5854">
        <v>9</v>
      </c>
      <c r="Y5854" t="s">
        <v>26601</v>
      </c>
      <c r="Z5854" t="s">
        <v>33564</v>
      </c>
      <c r="AA5854">
        <v>0.26605948015478631</v>
      </c>
      <c r="AB5854" t="str">
        <f>HYPERLINK("Melting_Curves/meltCurve_Q9GZS1_2_POLR1E.pdf", "Melting_Curves/meltCurve_Q9GZS1_2_POLR1E.pdf")</f>
        <v>Melting_Curves/meltCurve_Q9GZS1_2_POLR1E.pdf</v>
      </c>
    </row>
    <row r="5855" spans="1:28" x14ac:dyDescent="0.25">
      <c r="A5855" t="s">
        <v>5859</v>
      </c>
      <c r="B5855">
        <v>0.99999676499088797</v>
      </c>
      <c r="C5855">
        <v>0.93043192897530402</v>
      </c>
      <c r="D5855">
        <v>0.87931037761643005</v>
      </c>
      <c r="E5855">
        <v>0.85477430127818599</v>
      </c>
      <c r="F5855">
        <v>0.58702147838949204</v>
      </c>
      <c r="G5855">
        <v>0.28316760173539401</v>
      </c>
      <c r="H5855">
        <v>0.113516673943151</v>
      </c>
      <c r="I5855">
        <v>9.8079866574927593E-2</v>
      </c>
      <c r="J5855">
        <v>9.3930545542525695E-2</v>
      </c>
      <c r="K5855">
        <v>7.7561784147425802E-2</v>
      </c>
      <c r="L5855">
        <v>1021.84995390404</v>
      </c>
      <c r="M5855">
        <v>19.055394910728399</v>
      </c>
      <c r="N5855">
        <v>53.9600145517851</v>
      </c>
      <c r="O5855">
        <v>53.045113866997099</v>
      </c>
      <c r="P5855">
        <v>-8.4804037769885501E-2</v>
      </c>
      <c r="Q5855">
        <v>5.5750280220907E-2</v>
      </c>
      <c r="R5855">
        <v>0.99063919975762904</v>
      </c>
      <c r="S5855" t="s">
        <v>12858</v>
      </c>
      <c r="T5855" t="s">
        <v>14004</v>
      </c>
      <c r="U5855" t="s">
        <v>14004</v>
      </c>
      <c r="V5855" t="s">
        <v>14004</v>
      </c>
      <c r="W5855" t="s">
        <v>19804</v>
      </c>
      <c r="X5855">
        <v>15</v>
      </c>
      <c r="Y5855" t="s">
        <v>26602</v>
      </c>
      <c r="Z5855" t="s">
        <v>33565</v>
      </c>
      <c r="AA5855">
        <v>0.49855944759338749</v>
      </c>
      <c r="AB5855" t="str">
        <f>HYPERLINK("Melting_Curves/meltCurve_Q9GZS3_WDR61.pdf", "Melting_Curves/meltCurve_Q9GZS3_WDR61.pdf")</f>
        <v>Melting_Curves/meltCurve_Q9GZS3_WDR61.pdf</v>
      </c>
    </row>
    <row r="5856" spans="1:28" x14ac:dyDescent="0.25">
      <c r="A5856" t="s">
        <v>5860</v>
      </c>
      <c r="B5856">
        <v>0.99999676499088797</v>
      </c>
      <c r="C5856">
        <v>0.91870761670748302</v>
      </c>
      <c r="D5856">
        <v>0.492497878068757</v>
      </c>
      <c r="E5856">
        <v>0.44032814533070003</v>
      </c>
      <c r="F5856">
        <v>0.39253388512784698</v>
      </c>
      <c r="G5856">
        <v>0.33546938360084699</v>
      </c>
      <c r="H5856">
        <v>0.21203076473802501</v>
      </c>
      <c r="I5856">
        <v>0.20975487142308499</v>
      </c>
      <c r="J5856">
        <v>0.19635141740502299</v>
      </c>
      <c r="K5856">
        <v>0.236805661448453</v>
      </c>
      <c r="L5856">
        <v>825.25325142230099</v>
      </c>
      <c r="M5856">
        <v>17.9624132104443</v>
      </c>
      <c r="N5856">
        <v>47.716423783365897</v>
      </c>
      <c r="O5856">
        <v>45.385257390763599</v>
      </c>
      <c r="P5856">
        <v>-7.4855407982375499E-2</v>
      </c>
      <c r="Q5856">
        <v>0.24349520138123801</v>
      </c>
      <c r="R5856">
        <v>0.94137005794045103</v>
      </c>
      <c r="S5856" t="s">
        <v>12859</v>
      </c>
      <c r="T5856" t="s">
        <v>14004</v>
      </c>
      <c r="U5856" t="s">
        <v>14004</v>
      </c>
      <c r="V5856" t="s">
        <v>14004</v>
      </c>
      <c r="W5856" t="s">
        <v>19805</v>
      </c>
      <c r="X5856">
        <v>7</v>
      </c>
      <c r="Y5856" t="s">
        <v>26603</v>
      </c>
      <c r="Z5856" t="s">
        <v>33566</v>
      </c>
      <c r="AA5856">
        <v>0.40835481155351427</v>
      </c>
      <c r="AB5856" t="str">
        <f>HYPERLINK("Melting_Curves/meltCurve_Q9GZT3_2_SLIRP.pdf", "Melting_Curves/meltCurve_Q9GZT3_2_SLIRP.pdf")</f>
        <v>Melting_Curves/meltCurve_Q9GZT3_2_SLIRP.pdf</v>
      </c>
    </row>
    <row r="5857" spans="1:28" x14ac:dyDescent="0.25">
      <c r="A5857" t="s">
        <v>5861</v>
      </c>
      <c r="B5857">
        <v>0.99999676499088797</v>
      </c>
      <c r="C5857">
        <v>0.86501888712978103</v>
      </c>
      <c r="D5857">
        <v>0.95372961714778903</v>
      </c>
      <c r="E5857">
        <v>0.96760554680101596</v>
      </c>
      <c r="F5857">
        <v>0.94294554717982604</v>
      </c>
      <c r="G5857">
        <v>0.79895274841662101</v>
      </c>
      <c r="H5857">
        <v>0.49701150505787201</v>
      </c>
      <c r="I5857">
        <v>0.24231760547905101</v>
      </c>
      <c r="J5857">
        <v>0.186650001652615</v>
      </c>
      <c r="K5857">
        <v>0.17446311393421801</v>
      </c>
      <c r="L5857">
        <v>1427.2724396588601</v>
      </c>
      <c r="M5857">
        <v>23.9085644444012</v>
      </c>
      <c r="N5857">
        <v>60.467338208176002</v>
      </c>
      <c r="O5857">
        <v>59.2842102601508</v>
      </c>
      <c r="P5857">
        <v>-8.7588441886324198E-2</v>
      </c>
      <c r="Q5857">
        <v>0.131269258956493</v>
      </c>
      <c r="R5857">
        <v>0.97890008233689296</v>
      </c>
      <c r="S5857" t="s">
        <v>12860</v>
      </c>
      <c r="T5857" t="s">
        <v>14004</v>
      </c>
      <c r="U5857" t="s">
        <v>14004</v>
      </c>
      <c r="V5857" t="s">
        <v>14004</v>
      </c>
      <c r="W5857" t="s">
        <v>19806</v>
      </c>
      <c r="X5857">
        <v>13</v>
      </c>
      <c r="Y5857" t="s">
        <v>21535</v>
      </c>
      <c r="Z5857" t="s">
        <v>33567</v>
      </c>
      <c r="AA5857">
        <v>0.70861361646169241</v>
      </c>
      <c r="AB5857" t="str">
        <f>HYPERLINK("Melting_Curves/meltCurve_Q9GZT6_2_CCDC90B.pdf", "Melting_Curves/meltCurve_Q9GZT6_2_CCDC90B.pdf")</f>
        <v>Melting_Curves/meltCurve_Q9GZT6_2_CCDC90B.pdf</v>
      </c>
    </row>
    <row r="5858" spans="1:28" x14ac:dyDescent="0.25">
      <c r="A5858" t="s">
        <v>5862</v>
      </c>
      <c r="B5858">
        <v>0.99999676499088797</v>
      </c>
      <c r="C5858">
        <v>1.01414848662993</v>
      </c>
      <c r="D5858">
        <v>1.0263625025641201</v>
      </c>
      <c r="E5858">
        <v>1.2696042538495</v>
      </c>
      <c r="F5858">
        <v>1.3571545511212699</v>
      </c>
      <c r="G5858">
        <v>1.0800347702817199</v>
      </c>
      <c r="H5858">
        <v>0.75267878892570605</v>
      </c>
      <c r="I5858">
        <v>0.56400662574376703</v>
      </c>
      <c r="J5858">
        <v>0.38373329407238899</v>
      </c>
      <c r="K5858">
        <v>0.40050608788154102</v>
      </c>
      <c r="L5858">
        <v>2459.53929218141</v>
      </c>
      <c r="M5858">
        <v>39.761444007826199</v>
      </c>
      <c r="N5858">
        <v>64.300671743860093</v>
      </c>
      <c r="O5858">
        <v>61.701545767099503</v>
      </c>
      <c r="P5858">
        <v>-9.8331894312145604E-2</v>
      </c>
      <c r="Q5858">
        <v>0.38963816298597698</v>
      </c>
      <c r="R5858">
        <v>0.79683375047716698</v>
      </c>
      <c r="S5858" t="s">
        <v>12861</v>
      </c>
      <c r="T5858" t="s">
        <v>14004</v>
      </c>
      <c r="U5858" t="s">
        <v>14004</v>
      </c>
      <c r="V5858" t="s">
        <v>14004</v>
      </c>
      <c r="W5858" t="s">
        <v>19807</v>
      </c>
      <c r="X5858">
        <v>13</v>
      </c>
      <c r="Y5858" t="s">
        <v>26604</v>
      </c>
      <c r="Z5858" t="s">
        <v>33568</v>
      </c>
      <c r="AA5858">
        <v>0.83655755956875255</v>
      </c>
      <c r="AB5858" t="str">
        <f>HYPERLINK("Melting_Curves/meltCurve_Q9GZT8_2_NIF3L1.pdf", "Melting_Curves/meltCurve_Q9GZT8_2_NIF3L1.pdf")</f>
        <v>Melting_Curves/meltCurve_Q9GZT8_2_NIF3L1.pdf</v>
      </c>
    </row>
    <row r="5859" spans="1:28" x14ac:dyDescent="0.25">
      <c r="A5859" t="s">
        <v>5863</v>
      </c>
      <c r="B5859">
        <v>0.99999676499088797</v>
      </c>
      <c r="C5859">
        <v>0.91473131967979804</v>
      </c>
      <c r="D5859">
        <v>0.88679024334326195</v>
      </c>
      <c r="E5859">
        <v>0.65499232900150395</v>
      </c>
      <c r="F5859">
        <v>0.45742295916772202</v>
      </c>
      <c r="G5859">
        <v>0.38483888351137402</v>
      </c>
      <c r="H5859">
        <v>0.23127949133950301</v>
      </c>
      <c r="I5859">
        <v>0.26400546040912498</v>
      </c>
      <c r="J5859">
        <v>0.238984520443282</v>
      </c>
      <c r="K5859">
        <v>0.208751467910233</v>
      </c>
      <c r="L5859">
        <v>740.02353633633595</v>
      </c>
      <c r="M5859">
        <v>14.593310764446301</v>
      </c>
      <c r="N5859">
        <v>52.643226836293501</v>
      </c>
      <c r="O5859">
        <v>49.786103453125499</v>
      </c>
      <c r="P5859">
        <v>-5.8084550421434802E-2</v>
      </c>
      <c r="Q5859">
        <v>0.207451094717537</v>
      </c>
      <c r="R5859">
        <v>0.99238522993380096</v>
      </c>
      <c r="S5859" t="s">
        <v>12862</v>
      </c>
      <c r="T5859" t="s">
        <v>14004</v>
      </c>
      <c r="U5859" t="s">
        <v>14004</v>
      </c>
      <c r="V5859" t="s">
        <v>14004</v>
      </c>
      <c r="W5859" t="s">
        <v>19808</v>
      </c>
      <c r="X5859">
        <v>14</v>
      </c>
      <c r="Y5859" t="s">
        <v>26605</v>
      </c>
      <c r="Z5859" t="s">
        <v>33569</v>
      </c>
      <c r="AA5859">
        <v>0.50973614241609921</v>
      </c>
      <c r="AB5859" t="str">
        <f>HYPERLINK("Melting_Curves/meltCurve_Q9GZT9_EGLN1.pdf", "Melting_Curves/meltCurve_Q9GZT9_EGLN1.pdf")</f>
        <v>Melting_Curves/meltCurve_Q9GZT9_EGLN1.pdf</v>
      </c>
    </row>
    <row r="5860" spans="1:28" x14ac:dyDescent="0.25">
      <c r="A5860" t="s">
        <v>5864</v>
      </c>
      <c r="B5860">
        <v>0.99999676499088797</v>
      </c>
      <c r="C5860">
        <v>0.94154859443768701</v>
      </c>
      <c r="D5860">
        <v>0.93009617676359801</v>
      </c>
      <c r="E5860">
        <v>0.77994978885580801</v>
      </c>
      <c r="F5860">
        <v>0.67945575303332295</v>
      </c>
      <c r="G5860">
        <v>0.60182552475880302</v>
      </c>
      <c r="H5860">
        <v>0.38359383871450198</v>
      </c>
      <c r="I5860">
        <v>0.46304927829579701</v>
      </c>
      <c r="J5860">
        <v>0.44826628727402301</v>
      </c>
      <c r="K5860">
        <v>0.425907070014866</v>
      </c>
      <c r="L5860">
        <v>685.60208088556203</v>
      </c>
      <c r="M5860">
        <v>13.1013286422753</v>
      </c>
      <c r="N5860">
        <v>59.404362469727303</v>
      </c>
      <c r="O5860">
        <v>51.156555401008198</v>
      </c>
      <c r="P5860">
        <v>-3.8746158047143202E-2</v>
      </c>
      <c r="Q5860">
        <v>0.39493755902797001</v>
      </c>
      <c r="R5860">
        <v>0.97210745494545303</v>
      </c>
      <c r="S5860" t="s">
        <v>12863</v>
      </c>
      <c r="T5860" t="s">
        <v>14004</v>
      </c>
      <c r="U5860" t="s">
        <v>14004</v>
      </c>
      <c r="V5860" t="s">
        <v>14004</v>
      </c>
      <c r="W5860" t="s">
        <v>19809</v>
      </c>
      <c r="X5860">
        <v>22</v>
      </c>
      <c r="Y5860" t="s">
        <v>26606</v>
      </c>
      <c r="Z5860" t="s">
        <v>33570</v>
      </c>
      <c r="AA5860">
        <v>0.65980820875791446</v>
      </c>
      <c r="AB5860" t="str">
        <f>HYPERLINK("Melting_Curves/meltCurve_Q9GZU8_FAM192A.pdf", "Melting_Curves/meltCurve_Q9GZU8_FAM192A.pdf")</f>
        <v>Melting_Curves/meltCurve_Q9GZU8_FAM192A.pdf</v>
      </c>
    </row>
    <row r="5861" spans="1:28" x14ac:dyDescent="0.25">
      <c r="A5861" t="s">
        <v>5865</v>
      </c>
      <c r="B5861">
        <v>0.99999676499088797</v>
      </c>
      <c r="C5861">
        <v>0.83117926775810502</v>
      </c>
      <c r="D5861">
        <v>0.83320451221298297</v>
      </c>
      <c r="E5861">
        <v>0.73315305446358003</v>
      </c>
      <c r="F5861">
        <v>0.49371546418808299</v>
      </c>
      <c r="G5861">
        <v>0.27171901576139001</v>
      </c>
      <c r="H5861">
        <v>0.18118915479547301</v>
      </c>
      <c r="I5861">
        <v>0.17406321898218799</v>
      </c>
      <c r="J5861">
        <v>0.16007141803691899</v>
      </c>
      <c r="K5861">
        <v>0.13543914363145201</v>
      </c>
      <c r="L5861">
        <v>637.24355997589305</v>
      </c>
      <c r="M5861">
        <v>12.2726708989644</v>
      </c>
      <c r="N5861">
        <v>52.717540022748103</v>
      </c>
      <c r="O5861">
        <v>50.602922274906398</v>
      </c>
      <c r="P5861">
        <v>-5.5529627512571102E-2</v>
      </c>
      <c r="Q5861">
        <v>8.4358833202772807E-2</v>
      </c>
      <c r="R5861">
        <v>0.98042342896466805</v>
      </c>
      <c r="S5861" t="s">
        <v>12864</v>
      </c>
      <c r="T5861" t="s">
        <v>14004</v>
      </c>
      <c r="U5861" t="s">
        <v>14004</v>
      </c>
      <c r="V5861" t="s">
        <v>14004</v>
      </c>
      <c r="W5861" t="s">
        <v>19810</v>
      </c>
      <c r="X5861">
        <v>2</v>
      </c>
      <c r="Y5861" t="s">
        <v>26607</v>
      </c>
      <c r="Z5861" t="s">
        <v>33571</v>
      </c>
      <c r="AA5861">
        <v>0.47563833953345269</v>
      </c>
      <c r="AB5861" t="str">
        <f>HYPERLINK("Melting_Curves/meltCurve_Q9GZX9_TWSG1.pdf", "Melting_Curves/meltCurve_Q9GZX9_TWSG1.pdf")</f>
        <v>Melting_Curves/meltCurve_Q9GZX9_TWSG1.pdf</v>
      </c>
    </row>
    <row r="5862" spans="1:28" x14ac:dyDescent="0.25">
      <c r="A5862" t="s">
        <v>5866</v>
      </c>
      <c r="B5862">
        <v>0.99999676499088797</v>
      </c>
      <c r="C5862">
        <v>0.88480152944527701</v>
      </c>
      <c r="D5862">
        <v>0.78417859894175601</v>
      </c>
      <c r="E5862">
        <v>0.56206541881107697</v>
      </c>
      <c r="F5862">
        <v>0.264256932254396</v>
      </c>
      <c r="G5862">
        <v>0.209323829422983</v>
      </c>
      <c r="H5862">
        <v>0.10948680150569801</v>
      </c>
      <c r="I5862">
        <v>0.13054746049145299</v>
      </c>
      <c r="J5862">
        <v>0.18496786085363401</v>
      </c>
      <c r="K5862">
        <v>0.16795995983602899</v>
      </c>
      <c r="L5862">
        <v>869.84779909775602</v>
      </c>
      <c r="M5862">
        <v>17.7718473697688</v>
      </c>
      <c r="N5862">
        <v>49.825527864137797</v>
      </c>
      <c r="O5862">
        <v>48.338188124998098</v>
      </c>
      <c r="P5862">
        <v>-7.9534645654505798E-2</v>
      </c>
      <c r="Q5862">
        <v>0.134730533767974</v>
      </c>
      <c r="R5862">
        <v>0.98878733501546301</v>
      </c>
      <c r="S5862" t="s">
        <v>12865</v>
      </c>
      <c r="T5862" t="s">
        <v>14004</v>
      </c>
      <c r="U5862" t="s">
        <v>14004</v>
      </c>
      <c r="V5862" t="s">
        <v>14004</v>
      </c>
      <c r="W5862" t="s">
        <v>19811</v>
      </c>
      <c r="X5862">
        <v>6</v>
      </c>
      <c r="Y5862" t="s">
        <v>26608</v>
      </c>
      <c r="Z5862" t="s">
        <v>33572</v>
      </c>
      <c r="AA5862">
        <v>0.40812248087091291</v>
      </c>
      <c r="AB5862" t="str">
        <f>HYPERLINK("Melting_Curves/meltCurve_Q9GZY8_2_MFF.pdf", "Melting_Curves/meltCurve_Q9GZY8_2_MFF.pdf")</f>
        <v>Melting_Curves/meltCurve_Q9GZY8_2_MFF.pdf</v>
      </c>
    </row>
    <row r="5863" spans="1:28" x14ac:dyDescent="0.25">
      <c r="A5863" t="s">
        <v>5867</v>
      </c>
      <c r="B5863">
        <v>0.99999676499088797</v>
      </c>
      <c r="C5863">
        <v>1.0331197581416001</v>
      </c>
      <c r="D5863">
        <v>1.07989801685294</v>
      </c>
      <c r="E5863">
        <v>0.81212752323075899</v>
      </c>
      <c r="F5863">
        <v>0.54796554857034196</v>
      </c>
      <c r="G5863">
        <v>0.336595079863166</v>
      </c>
      <c r="H5863">
        <v>0.212237699442377</v>
      </c>
      <c r="I5863">
        <v>0.35825823166656801</v>
      </c>
      <c r="J5863">
        <v>0.32491021030384198</v>
      </c>
      <c r="K5863">
        <v>0.220048071417835</v>
      </c>
      <c r="L5863">
        <v>1468.6063711711299</v>
      </c>
      <c r="M5863">
        <v>28.248319194370598</v>
      </c>
      <c r="N5863">
        <v>53.516926115601201</v>
      </c>
      <c r="O5863">
        <v>51.730727850332201</v>
      </c>
      <c r="P5863">
        <v>-9.87331417048459E-2</v>
      </c>
      <c r="Q5863">
        <v>0.27677211135035001</v>
      </c>
      <c r="R5863">
        <v>0.97306664758803396</v>
      </c>
      <c r="S5863" t="s">
        <v>12866</v>
      </c>
      <c r="T5863" t="s">
        <v>14004</v>
      </c>
      <c r="U5863" t="s">
        <v>14004</v>
      </c>
      <c r="V5863" t="s">
        <v>14004</v>
      </c>
      <c r="W5863" t="s">
        <v>19812</v>
      </c>
      <c r="X5863">
        <v>6</v>
      </c>
      <c r="Y5863" t="s">
        <v>26608</v>
      </c>
      <c r="Z5863" t="s">
        <v>33573</v>
      </c>
      <c r="AA5863">
        <v>0.5710053086172816</v>
      </c>
      <c r="AB5863" t="str">
        <f>HYPERLINK("Melting_Curves/meltCurve_Q9GZY8_4_MFF.pdf", "Melting_Curves/meltCurve_Q9GZY8_4_MFF.pdf")</f>
        <v>Melting_Curves/meltCurve_Q9GZY8_4_MFF.pdf</v>
      </c>
    </row>
    <row r="5864" spans="1:28" x14ac:dyDescent="0.25">
      <c r="A5864" t="s">
        <v>5868</v>
      </c>
      <c r="B5864">
        <v>0.99999676499088797</v>
      </c>
      <c r="C5864">
        <v>1.0401954620729399</v>
      </c>
      <c r="D5864">
        <v>1.0067523523259301</v>
      </c>
      <c r="E5864">
        <v>0.88849908774814101</v>
      </c>
      <c r="F5864">
        <v>0.74183251351212498</v>
      </c>
      <c r="G5864">
        <v>0.485944369205492</v>
      </c>
      <c r="H5864">
        <v>0.119643873112532</v>
      </c>
      <c r="I5864">
        <v>9.4140164547153696E-2</v>
      </c>
      <c r="J5864">
        <v>8.5199616534023595E-2</v>
      </c>
      <c r="K5864">
        <v>7.0348471575021804E-2</v>
      </c>
      <c r="L5864">
        <v>1175.8193313864101</v>
      </c>
      <c r="M5864">
        <v>21.055981559608</v>
      </c>
      <c r="N5864">
        <v>56.057710748515902</v>
      </c>
      <c r="O5864">
        <v>55.3461606411975</v>
      </c>
      <c r="P5864">
        <v>-9.14206900929561E-2</v>
      </c>
      <c r="Q5864">
        <v>3.8819475548790602E-2</v>
      </c>
      <c r="R5864">
        <v>0.99267818142962205</v>
      </c>
      <c r="S5864" t="s">
        <v>12867</v>
      </c>
      <c r="T5864" t="s">
        <v>14004</v>
      </c>
      <c r="U5864" t="s">
        <v>14004</v>
      </c>
      <c r="V5864" t="s">
        <v>14004</v>
      </c>
      <c r="W5864" t="s">
        <v>19813</v>
      </c>
      <c r="X5864">
        <v>9</v>
      </c>
      <c r="Y5864" t="s">
        <v>26609</v>
      </c>
      <c r="Z5864" t="s">
        <v>33574</v>
      </c>
      <c r="AA5864">
        <v>0.55798423225659444</v>
      </c>
      <c r="AB5864" t="str">
        <f>HYPERLINK("Melting_Curves/meltCurve_Q9GZZ9_UBA5.pdf", "Melting_Curves/meltCurve_Q9GZZ9_UBA5.pdf")</f>
        <v>Melting_Curves/meltCurve_Q9GZZ9_UBA5.pdf</v>
      </c>
    </row>
    <row r="5865" spans="1:28" x14ac:dyDescent="0.25">
      <c r="A5865" t="s">
        <v>5869</v>
      </c>
      <c r="B5865">
        <v>0.99999676499088797</v>
      </c>
      <c r="C5865">
        <v>1.0006614152703901</v>
      </c>
      <c r="D5865">
        <v>0.95377602241039705</v>
      </c>
      <c r="E5865">
        <v>0.94213487658378203</v>
      </c>
      <c r="F5865">
        <v>0.95153783285099702</v>
      </c>
      <c r="G5865">
        <v>0.75595370732124201</v>
      </c>
      <c r="H5865">
        <v>0.32247349883398702</v>
      </c>
      <c r="I5865">
        <v>0.178264413724851</v>
      </c>
      <c r="J5865">
        <v>0.12320984497605</v>
      </c>
      <c r="K5865">
        <v>9.6160698234038694E-2</v>
      </c>
      <c r="L5865">
        <v>1704.0296220451</v>
      </c>
      <c r="M5865">
        <v>29.056822544881701</v>
      </c>
      <c r="N5865">
        <v>59.076443315473099</v>
      </c>
      <c r="O5865">
        <v>58.369055589881803</v>
      </c>
      <c r="P5865">
        <v>-0.11254944255110599</v>
      </c>
      <c r="Q5865">
        <v>9.5653685639265698E-2</v>
      </c>
      <c r="R5865">
        <v>0.99626902161249398</v>
      </c>
      <c r="S5865" t="s">
        <v>12868</v>
      </c>
      <c r="T5865" t="s">
        <v>14004</v>
      </c>
      <c r="U5865" t="s">
        <v>14004</v>
      </c>
      <c r="V5865" t="s">
        <v>14004</v>
      </c>
      <c r="W5865" t="s">
        <v>19814</v>
      </c>
      <c r="X5865">
        <v>8</v>
      </c>
      <c r="Y5865" t="s">
        <v>26610</v>
      </c>
      <c r="Z5865" t="s">
        <v>33575</v>
      </c>
      <c r="AA5865">
        <v>0.66385504081615165</v>
      </c>
      <c r="AB5865" t="str">
        <f>HYPERLINK("Melting_Curves/meltCurve_Q9H008_LHPP.pdf", "Melting_Curves/meltCurve_Q9H008_LHPP.pdf")</f>
        <v>Melting_Curves/meltCurve_Q9H008_LHPP.pdf</v>
      </c>
    </row>
    <row r="5866" spans="1:28" x14ac:dyDescent="0.25">
      <c r="A5866" t="s">
        <v>5870</v>
      </c>
      <c r="B5866">
        <v>0.99999676499088797</v>
      </c>
      <c r="C5866">
        <v>0.895704063289678</v>
      </c>
      <c r="D5866">
        <v>0.65002280852582595</v>
      </c>
      <c r="E5866">
        <v>0.36038145124006998</v>
      </c>
      <c r="F5866">
        <v>0.32792422362877999</v>
      </c>
      <c r="G5866">
        <v>0.17027854033252299</v>
      </c>
      <c r="H5866">
        <v>0.135563512263388</v>
      </c>
      <c r="I5866">
        <v>7.0368929886020601E-2</v>
      </c>
      <c r="J5866">
        <v>4.7336727941485697E-2</v>
      </c>
      <c r="K5866">
        <v>7.1952960602159902E-2</v>
      </c>
      <c r="L5866">
        <v>695.786938404328</v>
      </c>
      <c r="M5866">
        <v>14.5032714536572</v>
      </c>
      <c r="N5866">
        <v>48.4617002657046</v>
      </c>
      <c r="O5866">
        <v>47.090069929168003</v>
      </c>
      <c r="P5866">
        <v>-7.1782151074525499E-2</v>
      </c>
      <c r="Q5866">
        <v>6.78413193527862E-2</v>
      </c>
      <c r="R5866">
        <v>0.984513668683483</v>
      </c>
      <c r="S5866" t="s">
        <v>12869</v>
      </c>
      <c r="T5866" t="s">
        <v>14004</v>
      </c>
      <c r="U5866" t="s">
        <v>14004</v>
      </c>
      <c r="V5866" t="s">
        <v>14004</v>
      </c>
      <c r="W5866" t="s">
        <v>19815</v>
      </c>
      <c r="X5866">
        <v>3</v>
      </c>
      <c r="Y5866" t="s">
        <v>26611</v>
      </c>
      <c r="Z5866" t="s">
        <v>33576</v>
      </c>
      <c r="AA5866">
        <v>0.34128626243992832</v>
      </c>
      <c r="AB5866" t="str">
        <f>HYPERLINK("Melting_Curves/meltCurve_Q9H019_3_MTFR1L.pdf", "Melting_Curves/meltCurve_Q9H019_3_MTFR1L.pdf")</f>
        <v>Melting_Curves/meltCurve_Q9H019_3_MTFR1L.pdf</v>
      </c>
    </row>
    <row r="5867" spans="1:28" x14ac:dyDescent="0.25">
      <c r="A5867" t="s">
        <v>5871</v>
      </c>
      <c r="B5867">
        <v>0.99999676499088797</v>
      </c>
      <c r="C5867">
        <v>1.0084359882866301</v>
      </c>
      <c r="D5867">
        <v>1.0311652431199601</v>
      </c>
      <c r="E5867">
        <v>0.95413045176518596</v>
      </c>
      <c r="F5867">
        <v>0.89541337977114099</v>
      </c>
      <c r="G5867">
        <v>0.67081107638210102</v>
      </c>
      <c r="H5867">
        <v>0.33254727063130002</v>
      </c>
      <c r="I5867">
        <v>0.208510153457547</v>
      </c>
      <c r="J5867">
        <v>0.14749391950997401</v>
      </c>
      <c r="K5867">
        <v>0.12503032362007599</v>
      </c>
      <c r="L5867">
        <v>1308.04170596636</v>
      </c>
      <c r="M5867">
        <v>22.5356726701593</v>
      </c>
      <c r="N5867">
        <v>58.665048121991802</v>
      </c>
      <c r="O5867">
        <v>57.591920805648897</v>
      </c>
      <c r="P5867">
        <v>-8.7432569414115299E-2</v>
      </c>
      <c r="Q5867">
        <v>0.106251363374212</v>
      </c>
      <c r="R5867">
        <v>0.99842394994838002</v>
      </c>
      <c r="S5867" t="s">
        <v>12870</v>
      </c>
      <c r="T5867" t="s">
        <v>14004</v>
      </c>
      <c r="U5867" t="s">
        <v>14004</v>
      </c>
      <c r="V5867" t="s">
        <v>14004</v>
      </c>
      <c r="W5867" t="s">
        <v>19816</v>
      </c>
      <c r="X5867">
        <v>5</v>
      </c>
      <c r="Y5867" t="s">
        <v>26612</v>
      </c>
      <c r="Z5867" t="s">
        <v>33577</v>
      </c>
      <c r="AA5867">
        <v>0.65265803673354594</v>
      </c>
      <c r="AB5867" t="str">
        <f>HYPERLINK("Melting_Curves/meltCurve_Q9H061_TMEM126A.pdf", "Melting_Curves/meltCurve_Q9H061_TMEM126A.pdf")</f>
        <v>Melting_Curves/meltCurve_Q9H061_TMEM126A.pdf</v>
      </c>
    </row>
    <row r="5868" spans="1:28" x14ac:dyDescent="0.25">
      <c r="A5868" t="s">
        <v>5872</v>
      </c>
      <c r="B5868">
        <v>0.99999676499088797</v>
      </c>
      <c r="C5868">
        <v>0.972392508364193</v>
      </c>
      <c r="D5868">
        <v>0.99007531392318204</v>
      </c>
      <c r="E5868">
        <v>1.16596884282132</v>
      </c>
      <c r="F5868">
        <v>0.48192762071939699</v>
      </c>
      <c r="G5868">
        <v>0.246977963719303</v>
      </c>
      <c r="H5868">
        <v>0.129667058829365</v>
      </c>
      <c r="I5868">
        <v>9.0411937151596899E-2</v>
      </c>
      <c r="J5868">
        <v>7.8445173496432402E-2</v>
      </c>
      <c r="K5868">
        <v>8.4223660558635005E-2</v>
      </c>
      <c r="L5868">
        <v>6948.5127890704898</v>
      </c>
      <c r="M5868">
        <v>130.98545654100599</v>
      </c>
      <c r="N5868">
        <v>53.165707658335002</v>
      </c>
      <c r="O5868">
        <v>53.035609121184997</v>
      </c>
      <c r="P5868">
        <v>-0.53970858082054796</v>
      </c>
      <c r="Q5868">
        <v>0.125894630314281</v>
      </c>
      <c r="R5868">
        <v>0.97417086326437197</v>
      </c>
      <c r="S5868" t="s">
        <v>12871</v>
      </c>
      <c r="T5868" t="s">
        <v>14004</v>
      </c>
      <c r="U5868" t="s">
        <v>14004</v>
      </c>
      <c r="V5868" t="s">
        <v>14004</v>
      </c>
      <c r="W5868" t="s">
        <v>19817</v>
      </c>
      <c r="X5868">
        <v>9</v>
      </c>
      <c r="Y5868" t="s">
        <v>26613</v>
      </c>
      <c r="Z5868" t="s">
        <v>33578</v>
      </c>
      <c r="AA5868">
        <v>0.50636798282180873</v>
      </c>
      <c r="AB5868" t="str">
        <f>HYPERLINK("Melting_Curves/meltCurve_Q9H074_PAIP1.pdf", "Melting_Curves/meltCurve_Q9H074_PAIP1.pdf")</f>
        <v>Melting_Curves/meltCurve_Q9H074_PAIP1.pdf</v>
      </c>
    </row>
    <row r="5869" spans="1:28" x14ac:dyDescent="0.25">
      <c r="A5869" t="s">
        <v>5873</v>
      </c>
      <c r="B5869">
        <v>0.99999676499088797</v>
      </c>
      <c r="C5869">
        <v>0.99178146014258295</v>
      </c>
      <c r="D5869">
        <v>1.01172665301472</v>
      </c>
      <c r="E5869">
        <v>1.09894341625054</v>
      </c>
      <c r="F5869">
        <v>0.594862656074024</v>
      </c>
      <c r="G5869">
        <v>0.22732109619764801</v>
      </c>
      <c r="H5869">
        <v>0.10076525498602</v>
      </c>
      <c r="I5869">
        <v>0.114689725747451</v>
      </c>
      <c r="J5869">
        <v>0.116080258544106</v>
      </c>
      <c r="K5869">
        <v>9.8312305141045803E-2</v>
      </c>
      <c r="L5869">
        <v>2562.1098591126001</v>
      </c>
      <c r="M5869">
        <v>47.890626996096202</v>
      </c>
      <c r="N5869">
        <v>53.802731281670702</v>
      </c>
      <c r="O5869">
        <v>53.406157493176401</v>
      </c>
      <c r="P5869">
        <v>-0.197641877973876</v>
      </c>
      <c r="Q5869">
        <v>0.118384266757737</v>
      </c>
      <c r="R5869">
        <v>0.98941259911889501</v>
      </c>
      <c r="S5869" t="s">
        <v>12872</v>
      </c>
      <c r="T5869" t="s">
        <v>14004</v>
      </c>
      <c r="U5869" t="s">
        <v>14004</v>
      </c>
      <c r="V5869" t="s">
        <v>14004</v>
      </c>
      <c r="W5869" t="s">
        <v>19818</v>
      </c>
      <c r="X5869">
        <v>35</v>
      </c>
      <c r="Y5869" t="s">
        <v>26614</v>
      </c>
      <c r="Z5869" t="s">
        <v>33579</v>
      </c>
      <c r="AA5869">
        <v>0.51735582921152468</v>
      </c>
      <c r="AB5869" t="str">
        <f>HYPERLINK("Melting_Curves/meltCurve_Q9H078_2_CLPB.pdf", "Melting_Curves/meltCurve_Q9H078_2_CLPB.pdf")</f>
        <v>Melting_Curves/meltCurve_Q9H078_2_CLPB.pdf</v>
      </c>
    </row>
    <row r="5870" spans="1:28" x14ac:dyDescent="0.25">
      <c r="A5870" t="s">
        <v>5874</v>
      </c>
      <c r="B5870">
        <v>0.99999676499088797</v>
      </c>
      <c r="C5870">
        <v>1.0010112582706401</v>
      </c>
      <c r="D5870">
        <v>1.23598164097723</v>
      </c>
      <c r="E5870">
        <v>1.02889821118536</v>
      </c>
      <c r="F5870">
        <v>0.58256690044353898</v>
      </c>
      <c r="G5870">
        <v>0.350658460657431</v>
      </c>
      <c r="H5870">
        <v>0.17686326157538501</v>
      </c>
      <c r="I5870">
        <v>0.146146611529511</v>
      </c>
      <c r="J5870">
        <v>8.96160884241924E-2</v>
      </c>
      <c r="K5870">
        <v>7.1886540661097204E-2</v>
      </c>
      <c r="L5870">
        <v>1529.4907378012299</v>
      </c>
      <c r="M5870">
        <v>28.280705383813501</v>
      </c>
      <c r="N5870">
        <v>54.578051962318398</v>
      </c>
      <c r="O5870">
        <v>53.8142343630402</v>
      </c>
      <c r="P5870">
        <v>-0.116505227914259</v>
      </c>
      <c r="Q5870">
        <v>0.11323456557025401</v>
      </c>
      <c r="R5870">
        <v>0.95767293282819899</v>
      </c>
      <c r="S5870" t="s">
        <v>12873</v>
      </c>
      <c r="T5870" t="s">
        <v>14004</v>
      </c>
      <c r="U5870" t="s">
        <v>14004</v>
      </c>
      <c r="V5870" t="s">
        <v>14004</v>
      </c>
      <c r="W5870" t="s">
        <v>19819</v>
      </c>
      <c r="X5870">
        <v>3</v>
      </c>
      <c r="Y5870" t="s">
        <v>26615</v>
      </c>
      <c r="Z5870" t="s">
        <v>33580</v>
      </c>
      <c r="AA5870">
        <v>0.53602321188816715</v>
      </c>
      <c r="AB5870" t="str">
        <f>HYPERLINK("Melting_Curves/meltCurve_Q9H081_MIS12.pdf", "Melting_Curves/meltCurve_Q9H081_MIS12.pdf")</f>
        <v>Melting_Curves/meltCurve_Q9H081_MIS12.pdf</v>
      </c>
    </row>
    <row r="5871" spans="1:28" x14ac:dyDescent="0.25">
      <c r="A5871" t="s">
        <v>5875</v>
      </c>
      <c r="B5871">
        <v>0.99999676499088797</v>
      </c>
      <c r="C5871">
        <v>1.18737836058239</v>
      </c>
      <c r="D5871">
        <v>0.93870410212299604</v>
      </c>
      <c r="E5871">
        <v>0.76813611232474699</v>
      </c>
      <c r="F5871">
        <v>0.67390577858602496</v>
      </c>
      <c r="G5871">
        <v>0.56674616501599595</v>
      </c>
      <c r="H5871">
        <v>0.209979728408693</v>
      </c>
      <c r="I5871">
        <v>0.11200116116726901</v>
      </c>
      <c r="J5871">
        <v>8.1121966342833002E-2</v>
      </c>
      <c r="K5871">
        <v>5.2218626821056498E-2</v>
      </c>
      <c r="L5871">
        <v>796.036610747184</v>
      </c>
      <c r="M5871">
        <v>14.1754007285363</v>
      </c>
      <c r="N5871">
        <v>56.156197371654002</v>
      </c>
      <c r="O5871">
        <v>55.074074878868899</v>
      </c>
      <c r="P5871">
        <v>-6.4355099059564005E-2</v>
      </c>
      <c r="Q5871">
        <v>0</v>
      </c>
      <c r="R5871">
        <v>0.95930495145461603</v>
      </c>
      <c r="S5871" t="s">
        <v>12874</v>
      </c>
      <c r="T5871" t="s">
        <v>14004</v>
      </c>
      <c r="U5871" t="s">
        <v>14004</v>
      </c>
      <c r="V5871" t="s">
        <v>14004</v>
      </c>
      <c r="W5871" t="s">
        <v>19820</v>
      </c>
      <c r="X5871">
        <v>7</v>
      </c>
      <c r="Y5871" t="s">
        <v>26616</v>
      </c>
      <c r="Z5871" t="s">
        <v>33581</v>
      </c>
      <c r="AA5871">
        <v>0.55676789408241167</v>
      </c>
      <c r="AB5871" t="str">
        <f>HYPERLINK("Melting_Curves/meltCurve_Q9H082_RAB33B.pdf", "Melting_Curves/meltCurve_Q9H082_RAB33B.pdf")</f>
        <v>Melting_Curves/meltCurve_Q9H082_RAB33B.pdf</v>
      </c>
    </row>
    <row r="5872" spans="1:28" x14ac:dyDescent="0.25">
      <c r="A5872" t="s">
        <v>5876</v>
      </c>
      <c r="B5872">
        <v>0.99999676499088797</v>
      </c>
      <c r="C5872">
        <v>0.970095465363359</v>
      </c>
      <c r="D5872">
        <v>0.77106225428418396</v>
      </c>
      <c r="E5872">
        <v>0.30636225305110998</v>
      </c>
      <c r="F5872">
        <v>0.218759029139168</v>
      </c>
      <c r="G5872">
        <v>0.14981351824703801</v>
      </c>
      <c r="H5872">
        <v>8.9557933940416806E-2</v>
      </c>
      <c r="I5872">
        <v>5.8832852485788803E-2</v>
      </c>
      <c r="J5872">
        <v>5.4354081803415999E-2</v>
      </c>
      <c r="K5872">
        <v>5.1186351120280402E-2</v>
      </c>
      <c r="L5872">
        <v>1186.79492501206</v>
      </c>
      <c r="M5872">
        <v>24.793185081738201</v>
      </c>
      <c r="N5872">
        <v>48.216325895334698</v>
      </c>
      <c r="O5872">
        <v>47.559613560486</v>
      </c>
      <c r="P5872">
        <v>-0.11963661237362901</v>
      </c>
      <c r="Q5872">
        <v>8.2038887458165996E-2</v>
      </c>
      <c r="R5872">
        <v>0.99109644121900098</v>
      </c>
      <c r="S5872" t="s">
        <v>12875</v>
      </c>
      <c r="T5872" t="s">
        <v>14004</v>
      </c>
      <c r="U5872" t="s">
        <v>14004</v>
      </c>
      <c r="V5872" t="s">
        <v>14004</v>
      </c>
      <c r="W5872" t="s">
        <v>19821</v>
      </c>
      <c r="X5872">
        <v>13</v>
      </c>
      <c r="Y5872" t="s">
        <v>26617</v>
      </c>
      <c r="Z5872" t="s">
        <v>33582</v>
      </c>
      <c r="AA5872">
        <v>0.33104505841637588</v>
      </c>
      <c r="AB5872" t="str">
        <f>HYPERLINK("Melting_Curves/meltCurve_Q9H089_LSG1.pdf", "Melting_Curves/meltCurve_Q9H089_LSG1.pdf")</f>
        <v>Melting_Curves/meltCurve_Q9H089_LSG1.pdf</v>
      </c>
    </row>
    <row r="5873" spans="1:28" x14ac:dyDescent="0.25">
      <c r="A5873" t="s">
        <v>5877</v>
      </c>
      <c r="B5873">
        <v>0.99999676499088797</v>
      </c>
      <c r="C5873">
        <v>1.0825196809111099</v>
      </c>
      <c r="D5873">
        <v>1.26524219498825</v>
      </c>
      <c r="E5873">
        <v>0.59010758968075405</v>
      </c>
      <c r="F5873">
        <v>0.28695933764707798</v>
      </c>
      <c r="G5873">
        <v>0.21156031310446</v>
      </c>
      <c r="H5873">
        <v>9.9611130891875205E-2</v>
      </c>
      <c r="I5873">
        <v>9.0281544968471905E-2</v>
      </c>
      <c r="J5873">
        <v>8.1221451005201298E-2</v>
      </c>
      <c r="K5873">
        <v>7.1679434531939007E-2</v>
      </c>
      <c r="L5873">
        <v>2099.2741070546999</v>
      </c>
      <c r="M5873">
        <v>41.921154309415499</v>
      </c>
      <c r="N5873">
        <v>50.417918896670898</v>
      </c>
      <c r="O5873">
        <v>49.963175116097403</v>
      </c>
      <c r="P5873">
        <v>-0.18385536840514699</v>
      </c>
      <c r="Q5873">
        <v>0.123499117711068</v>
      </c>
      <c r="R5873">
        <v>0.94278585581885299</v>
      </c>
      <c r="S5873" t="s">
        <v>12876</v>
      </c>
      <c r="T5873" t="s">
        <v>14004</v>
      </c>
      <c r="U5873" t="s">
        <v>14004</v>
      </c>
      <c r="V5873" t="s">
        <v>14004</v>
      </c>
      <c r="W5873" t="s">
        <v>19822</v>
      </c>
      <c r="X5873">
        <v>34</v>
      </c>
      <c r="Y5873" t="s">
        <v>26618</v>
      </c>
      <c r="Z5873" t="s">
        <v>33583</v>
      </c>
      <c r="AA5873">
        <v>0.42066864580375218</v>
      </c>
      <c r="AB5873" t="str">
        <f>HYPERLINK("Melting_Curves/meltCurve_Q9H0A0_NAT10.pdf", "Melting_Curves/meltCurve_Q9H0A0_NAT10.pdf")</f>
        <v>Melting_Curves/meltCurve_Q9H0A0_NAT10.pdf</v>
      </c>
    </row>
    <row r="5874" spans="1:28" x14ac:dyDescent="0.25">
      <c r="A5874" t="s">
        <v>5878</v>
      </c>
      <c r="B5874">
        <v>0.99999676499088797</v>
      </c>
      <c r="C5874">
        <v>1.17599844002511</v>
      </c>
      <c r="D5874">
        <v>1.0409652095456801</v>
      </c>
      <c r="E5874">
        <v>1.1140991964770901</v>
      </c>
      <c r="F5874">
        <v>0.50834222489918401</v>
      </c>
      <c r="G5874">
        <v>0.21562765891265101</v>
      </c>
      <c r="H5874">
        <v>7.0216944784941504E-2</v>
      </c>
      <c r="I5874">
        <v>6.3514929569886205E-2</v>
      </c>
      <c r="J5874">
        <v>5.3864936444291502E-2</v>
      </c>
      <c r="K5874">
        <v>4.6499195072262502E-2</v>
      </c>
      <c r="L5874">
        <v>2833.4564860750002</v>
      </c>
      <c r="M5874">
        <v>53.296214039176597</v>
      </c>
      <c r="N5874">
        <v>53.341854645049402</v>
      </c>
      <c r="O5874">
        <v>53.089619893111703</v>
      </c>
      <c r="P5874">
        <v>-0.23057538085002399</v>
      </c>
      <c r="Q5874">
        <v>8.1274240826152006E-2</v>
      </c>
      <c r="R5874">
        <v>0.97103743130702802</v>
      </c>
      <c r="S5874" t="s">
        <v>12877</v>
      </c>
      <c r="T5874" t="s">
        <v>14004</v>
      </c>
      <c r="U5874" t="s">
        <v>14004</v>
      </c>
      <c r="V5874" t="s">
        <v>14004</v>
      </c>
      <c r="W5874" t="s">
        <v>19823</v>
      </c>
      <c r="X5874">
        <v>8</v>
      </c>
      <c r="Y5874" t="s">
        <v>26619</v>
      </c>
      <c r="Z5874" t="s">
        <v>33584</v>
      </c>
      <c r="AA5874">
        <v>0.48631543729356708</v>
      </c>
      <c r="AB5874" t="str">
        <f>HYPERLINK("Melting_Curves/meltCurve_Q9H0A8_COMMD4.pdf", "Melting_Curves/meltCurve_Q9H0A8_COMMD4.pdf")</f>
        <v>Melting_Curves/meltCurve_Q9H0A8_COMMD4.pdf</v>
      </c>
    </row>
    <row r="5875" spans="1:28" x14ac:dyDescent="0.25">
      <c r="A5875" t="s">
        <v>5879</v>
      </c>
      <c r="B5875">
        <v>0.99999676499088797</v>
      </c>
      <c r="C5875">
        <v>0.95562325867966502</v>
      </c>
      <c r="D5875">
        <v>0.899490870806956</v>
      </c>
      <c r="E5875">
        <v>0.53787145329249697</v>
      </c>
      <c r="F5875">
        <v>0.29374803730676202</v>
      </c>
      <c r="G5875">
        <v>0.18427399413300899</v>
      </c>
      <c r="H5875">
        <v>9.9043938643871399E-2</v>
      </c>
      <c r="I5875">
        <v>9.5642192670820303E-2</v>
      </c>
      <c r="J5875">
        <v>8.94287595495009E-2</v>
      </c>
      <c r="K5875">
        <v>8.5858823843806303E-2</v>
      </c>
      <c r="L5875">
        <v>1035.0185090202499</v>
      </c>
      <c r="M5875">
        <v>20.765215132704402</v>
      </c>
      <c r="N5875">
        <v>50.3228398919778</v>
      </c>
      <c r="O5875">
        <v>49.388492458398197</v>
      </c>
      <c r="P5875">
        <v>-9.5688983188264104E-2</v>
      </c>
      <c r="Q5875">
        <v>8.9669283871821798E-2</v>
      </c>
      <c r="R5875">
        <v>0.997409435370192</v>
      </c>
      <c r="S5875" t="s">
        <v>12878</v>
      </c>
      <c r="T5875" t="s">
        <v>14004</v>
      </c>
      <c r="U5875" t="s">
        <v>14004</v>
      </c>
      <c r="V5875" t="s">
        <v>14004</v>
      </c>
      <c r="W5875" t="s">
        <v>19824</v>
      </c>
      <c r="X5875">
        <v>33</v>
      </c>
      <c r="Y5875" t="s">
        <v>26620</v>
      </c>
      <c r="Z5875" t="s">
        <v>33585</v>
      </c>
      <c r="AA5875">
        <v>0.40015182008942451</v>
      </c>
      <c r="AB5875" t="str">
        <f>HYPERLINK("Melting_Curves/meltCurve_Q9H0B6_KLC2.pdf", "Melting_Curves/meltCurve_Q9H0B6_KLC2.pdf")</f>
        <v>Melting_Curves/meltCurve_Q9H0B6_KLC2.pdf</v>
      </c>
    </row>
    <row r="5876" spans="1:28" x14ac:dyDescent="0.25">
      <c r="A5876" t="s">
        <v>5880</v>
      </c>
      <c r="B5876">
        <v>0.99999676499088797</v>
      </c>
      <c r="C5876">
        <v>0.97121993711662402</v>
      </c>
      <c r="D5876">
        <v>0.83089454979136701</v>
      </c>
      <c r="E5876">
        <v>0.34624905709278297</v>
      </c>
      <c r="F5876">
        <v>0.17058649553479899</v>
      </c>
      <c r="G5876">
        <v>0.11717176103299901</v>
      </c>
      <c r="H5876">
        <v>5.8040965718728299E-2</v>
      </c>
      <c r="I5876">
        <v>4.8742388479276103E-2</v>
      </c>
      <c r="J5876">
        <v>4.5632854762460498E-2</v>
      </c>
      <c r="K5876">
        <v>3.8545188188676201E-2</v>
      </c>
      <c r="L5876">
        <v>1309.68402066101</v>
      </c>
      <c r="M5876">
        <v>27.091636782619599</v>
      </c>
      <c r="N5876">
        <v>48.575355051006099</v>
      </c>
      <c r="O5876">
        <v>48.081647105198101</v>
      </c>
      <c r="P5876">
        <v>-0.132294537977305</v>
      </c>
      <c r="Q5876">
        <v>6.0835315433481099E-2</v>
      </c>
      <c r="R5876">
        <v>0.99653636260067602</v>
      </c>
      <c r="S5876" t="s">
        <v>12879</v>
      </c>
      <c r="T5876" t="s">
        <v>14004</v>
      </c>
      <c r="U5876" t="s">
        <v>14004</v>
      </c>
      <c r="V5876" t="s">
        <v>14004</v>
      </c>
      <c r="W5876" t="s">
        <v>19825</v>
      </c>
      <c r="X5876">
        <v>20</v>
      </c>
      <c r="Y5876" t="s">
        <v>26621</v>
      </c>
      <c r="Z5876" t="s">
        <v>33586</v>
      </c>
      <c r="AA5876">
        <v>0.32902258211150559</v>
      </c>
      <c r="AB5876" t="str">
        <f>HYPERLINK("Melting_Curves/meltCurve_Q9H0C8_ILKAP.pdf", "Melting_Curves/meltCurve_Q9H0C8_ILKAP.pdf")</f>
        <v>Melting_Curves/meltCurve_Q9H0C8_ILKAP.pdf</v>
      </c>
    </row>
    <row r="5877" spans="1:28" x14ac:dyDescent="0.25">
      <c r="A5877" t="s">
        <v>5881</v>
      </c>
      <c r="B5877">
        <v>0.99999676499088797</v>
      </c>
      <c r="C5877">
        <v>0.98312049815284197</v>
      </c>
      <c r="D5877">
        <v>0.96376201477002299</v>
      </c>
      <c r="E5877">
        <v>0.99910019393415705</v>
      </c>
      <c r="F5877">
        <v>0.87468073516808997</v>
      </c>
      <c r="G5877">
        <v>0.69698166265957195</v>
      </c>
      <c r="H5877">
        <v>0.40079594284178499</v>
      </c>
      <c r="I5877">
        <v>0.218521635266617</v>
      </c>
      <c r="J5877">
        <v>0.137831153870839</v>
      </c>
      <c r="K5877">
        <v>0.109386967723335</v>
      </c>
      <c r="L5877">
        <v>1119.62681060719</v>
      </c>
      <c r="M5877">
        <v>18.995718552268599</v>
      </c>
      <c r="N5877">
        <v>59.316911560175001</v>
      </c>
      <c r="O5877">
        <v>58.2994528360488</v>
      </c>
      <c r="P5877">
        <v>-7.6841397230605901E-2</v>
      </c>
      <c r="Q5877">
        <v>5.6706943390800797E-2</v>
      </c>
      <c r="R5877">
        <v>0.99812543056250602</v>
      </c>
      <c r="S5877" t="s">
        <v>12880</v>
      </c>
      <c r="T5877" t="s">
        <v>14004</v>
      </c>
      <c r="U5877" t="s">
        <v>14004</v>
      </c>
      <c r="V5877" t="s">
        <v>14004</v>
      </c>
      <c r="W5877" t="s">
        <v>19826</v>
      </c>
      <c r="X5877">
        <v>46</v>
      </c>
      <c r="Y5877" t="s">
        <v>26622</v>
      </c>
      <c r="Z5877" t="s">
        <v>33587</v>
      </c>
      <c r="AA5877">
        <v>0.66214262518296774</v>
      </c>
      <c r="AB5877" t="str">
        <f>HYPERLINK("Melting_Curves/meltCurve_Q9H0D6_XRN2.pdf", "Melting_Curves/meltCurve_Q9H0D6_XRN2.pdf")</f>
        <v>Melting_Curves/meltCurve_Q9H0D6_XRN2.pdf</v>
      </c>
    </row>
    <row r="5878" spans="1:28" x14ac:dyDescent="0.25">
      <c r="A5878" t="s">
        <v>5882</v>
      </c>
      <c r="B5878">
        <v>0.99999676499088797</v>
      </c>
      <c r="C5878">
        <v>0.99773756042193495</v>
      </c>
      <c r="D5878">
        <v>0.91283357806078302</v>
      </c>
      <c r="E5878">
        <v>0.569696233472612</v>
      </c>
      <c r="F5878">
        <v>0.27779168475379301</v>
      </c>
      <c r="G5878">
        <v>0.121108122013855</v>
      </c>
      <c r="H5878">
        <v>5.6332133466796198E-2</v>
      </c>
      <c r="I5878">
        <v>4.7480410209238197E-2</v>
      </c>
      <c r="J5878">
        <v>4.0468569803001599E-2</v>
      </c>
      <c r="K5878">
        <v>3.8771113475718003E-2</v>
      </c>
      <c r="L5878">
        <v>1106.1906308321099</v>
      </c>
      <c r="M5878">
        <v>21.9930886077967</v>
      </c>
      <c r="N5878">
        <v>50.489762685525299</v>
      </c>
      <c r="O5878">
        <v>49.8868957277164</v>
      </c>
      <c r="P5878">
        <v>-0.105783157840608</v>
      </c>
      <c r="Q5878">
        <v>4.0230219957308001E-2</v>
      </c>
      <c r="R5878">
        <v>0.99887966003091599</v>
      </c>
      <c r="S5878" t="s">
        <v>12881</v>
      </c>
      <c r="T5878" t="s">
        <v>14004</v>
      </c>
      <c r="U5878" t="s">
        <v>14004</v>
      </c>
      <c r="V5878" t="s">
        <v>14004</v>
      </c>
      <c r="W5878" t="s">
        <v>19827</v>
      </c>
      <c r="X5878">
        <v>6</v>
      </c>
      <c r="Y5878" t="s">
        <v>26623</v>
      </c>
      <c r="Z5878" t="s">
        <v>33588</v>
      </c>
      <c r="AA5878">
        <v>0.38075524965952418</v>
      </c>
      <c r="AB5878" t="str">
        <f>HYPERLINK("Melting_Curves/meltCurve_Q9H0E2_TOLLIP.pdf", "Melting_Curves/meltCurve_Q9H0E2_TOLLIP.pdf")</f>
        <v>Melting_Curves/meltCurve_Q9H0E2_TOLLIP.pdf</v>
      </c>
    </row>
    <row r="5879" spans="1:28" x14ac:dyDescent="0.25">
      <c r="A5879" t="s">
        <v>5883</v>
      </c>
      <c r="B5879">
        <v>0.99999676499088797</v>
      </c>
      <c r="C5879">
        <v>0.99100942557976801</v>
      </c>
      <c r="D5879">
        <v>0.77207073981087804</v>
      </c>
      <c r="E5879">
        <v>0.61139141526877105</v>
      </c>
      <c r="F5879">
        <v>0.38488612880898798</v>
      </c>
      <c r="G5879">
        <v>0.35335575907705702</v>
      </c>
      <c r="H5879">
        <v>0.117789118762765</v>
      </c>
      <c r="I5879">
        <v>0.16315590383502099</v>
      </c>
      <c r="J5879">
        <v>0.16557749359451299</v>
      </c>
      <c r="K5879">
        <v>0.13003336332971599</v>
      </c>
      <c r="L5879">
        <v>700.95805140784</v>
      </c>
      <c r="M5879">
        <v>13.896687980243399</v>
      </c>
      <c r="N5879">
        <v>51.427566747443002</v>
      </c>
      <c r="O5879">
        <v>49.430581479312899</v>
      </c>
      <c r="P5879">
        <v>-6.2066182594183499E-2</v>
      </c>
      <c r="Q5879">
        <v>0.117041496619436</v>
      </c>
      <c r="R5879">
        <v>0.98228606264210605</v>
      </c>
      <c r="S5879" t="s">
        <v>12882</v>
      </c>
      <c r="T5879" t="s">
        <v>14004</v>
      </c>
      <c r="U5879" t="s">
        <v>14004</v>
      </c>
      <c r="V5879" t="s">
        <v>14004</v>
      </c>
      <c r="W5879" t="s">
        <v>19828</v>
      </c>
      <c r="X5879">
        <v>1</v>
      </c>
      <c r="Y5879" t="s">
        <v>26624</v>
      </c>
      <c r="Z5879" t="s">
        <v>33589</v>
      </c>
      <c r="AA5879">
        <v>0.44794777693904181</v>
      </c>
      <c r="AB5879" t="str">
        <f>HYPERLINK("Melting_Curves/meltCurve_Q9H0F6_2_SHARPIN.pdf", "Melting_Curves/meltCurve_Q9H0F6_2_SHARPIN.pdf")</f>
        <v>Melting_Curves/meltCurve_Q9H0F6_2_SHARPIN.pdf</v>
      </c>
    </row>
    <row r="5880" spans="1:28" x14ac:dyDescent="0.25">
      <c r="A5880" t="s">
        <v>5884</v>
      </c>
      <c r="B5880">
        <v>0.99999676499088797</v>
      </c>
      <c r="C5880">
        <v>0.97496852169093295</v>
      </c>
      <c r="D5880">
        <v>0.97094030525927999</v>
      </c>
      <c r="E5880">
        <v>0.96191703349147895</v>
      </c>
      <c r="F5880">
        <v>0.147396864418607</v>
      </c>
      <c r="G5880">
        <v>9.4098003190548493E-2</v>
      </c>
      <c r="H5880">
        <v>4.5058133849752699E-2</v>
      </c>
      <c r="I5880">
        <v>1.3551443558538901E-2</v>
      </c>
      <c r="J5880">
        <v>4.9630193521596297E-2</v>
      </c>
      <c r="K5880">
        <v>3.07482844868859E-2</v>
      </c>
      <c r="L5880">
        <v>3856.0036491271098</v>
      </c>
      <c r="M5880">
        <v>74.599720867065201</v>
      </c>
      <c r="N5880">
        <v>51.756498707697702</v>
      </c>
      <c r="O5880">
        <v>51.652143209709102</v>
      </c>
      <c r="P5880">
        <v>-0.344394382271272</v>
      </c>
      <c r="Q5880">
        <v>4.6178487276776703E-2</v>
      </c>
      <c r="R5880">
        <v>0.99753383915583804</v>
      </c>
      <c r="S5880" t="s">
        <v>12883</v>
      </c>
      <c r="T5880" t="s">
        <v>14004</v>
      </c>
      <c r="U5880" t="s">
        <v>14004</v>
      </c>
      <c r="V5880" t="s">
        <v>14004</v>
      </c>
      <c r="W5880" t="s">
        <v>19829</v>
      </c>
      <c r="X5880">
        <v>3</v>
      </c>
      <c r="Y5880" t="s">
        <v>26625</v>
      </c>
      <c r="Z5880" t="s">
        <v>33590</v>
      </c>
      <c r="AA5880">
        <v>0.41880104500699211</v>
      </c>
      <c r="AB5880" t="str">
        <f>HYPERLINK("Melting_Curves/meltCurve_Q9H0F7_ARL6.pdf", "Melting_Curves/meltCurve_Q9H0F7_ARL6.pdf")</f>
        <v>Melting_Curves/meltCurve_Q9H0F7_ARL6.pdf</v>
      </c>
    </row>
    <row r="5881" spans="1:28" x14ac:dyDescent="0.25">
      <c r="A5881" t="s">
        <v>5885</v>
      </c>
      <c r="B5881">
        <v>0.99999676499088797</v>
      </c>
      <c r="C5881">
        <v>1.02992877360865</v>
      </c>
      <c r="D5881">
        <v>1.0720884758687701</v>
      </c>
      <c r="E5881">
        <v>0.983491029584313</v>
      </c>
      <c r="F5881">
        <v>0.79354743774161296</v>
      </c>
      <c r="G5881">
        <v>0.83496936088444895</v>
      </c>
      <c r="H5881">
        <v>0.57767537751350995</v>
      </c>
      <c r="I5881">
        <v>0.65558892881642306</v>
      </c>
      <c r="J5881">
        <v>0.619522246963914</v>
      </c>
      <c r="K5881">
        <v>0.69131309342960801</v>
      </c>
      <c r="L5881">
        <v>1205.07726738103</v>
      </c>
      <c r="M5881">
        <v>22.169038089288001</v>
      </c>
      <c r="O5881">
        <v>53.922084661517502</v>
      </c>
      <c r="P5881">
        <v>-3.7317516306240701E-2</v>
      </c>
      <c r="Q5881">
        <v>0.63693619032747595</v>
      </c>
      <c r="R5881">
        <v>0.89309189303575898</v>
      </c>
      <c r="S5881" t="s">
        <v>12884</v>
      </c>
      <c r="T5881" t="s">
        <v>14004</v>
      </c>
      <c r="U5881" t="s">
        <v>14004</v>
      </c>
      <c r="V5881" t="s">
        <v>14004</v>
      </c>
      <c r="W5881" t="s">
        <v>19830</v>
      </c>
      <c r="X5881">
        <v>23</v>
      </c>
      <c r="Y5881" t="s">
        <v>26626</v>
      </c>
      <c r="Z5881" t="s">
        <v>33591</v>
      </c>
      <c r="AA5881">
        <v>0.81485143716238084</v>
      </c>
      <c r="AB5881" t="str">
        <f>HYPERLINK("Melting_Curves/meltCurve_Q9H0G5_NSRP1.pdf", "Melting_Curves/meltCurve_Q9H0G5_NSRP1.pdf")</f>
        <v>Melting_Curves/meltCurve_Q9H0G5_NSRP1.pdf</v>
      </c>
    </row>
    <row r="5882" spans="1:28" x14ac:dyDescent="0.25">
      <c r="A5882" t="s">
        <v>5886</v>
      </c>
      <c r="B5882">
        <v>0.99999676499088797</v>
      </c>
      <c r="C5882">
        <v>0.841396060743133</v>
      </c>
      <c r="D5882">
        <v>0.58543714341752195</v>
      </c>
      <c r="E5882">
        <v>0.20275531694104501</v>
      </c>
      <c r="F5882">
        <v>0.104534765478041</v>
      </c>
      <c r="G5882">
        <v>7.7577033427467093E-2</v>
      </c>
      <c r="H5882">
        <v>2.7845619902129599E-2</v>
      </c>
      <c r="I5882">
        <v>3.7511742350095398E-2</v>
      </c>
      <c r="J5882">
        <v>3.7008138546375302E-2</v>
      </c>
      <c r="K5882">
        <v>3.7636186181310399E-2</v>
      </c>
      <c r="L5882">
        <v>1031.4531612563901</v>
      </c>
      <c r="M5882">
        <v>22.2247037258944</v>
      </c>
      <c r="N5882">
        <v>46.578397794509897</v>
      </c>
      <c r="O5882">
        <v>46.039377975216702</v>
      </c>
      <c r="P5882">
        <v>-0.116032438968309</v>
      </c>
      <c r="Q5882">
        <v>3.8557192184737299E-2</v>
      </c>
      <c r="R5882">
        <v>0.99753801766182904</v>
      </c>
      <c r="S5882" t="s">
        <v>12885</v>
      </c>
      <c r="T5882" t="s">
        <v>14004</v>
      </c>
      <c r="U5882" t="s">
        <v>14004</v>
      </c>
      <c r="V5882" t="s">
        <v>14004</v>
      </c>
      <c r="W5882" t="s">
        <v>19831</v>
      </c>
      <c r="X5882">
        <v>11</v>
      </c>
      <c r="Y5882" t="s">
        <v>26627</v>
      </c>
      <c r="Z5882" t="s">
        <v>33592</v>
      </c>
      <c r="AA5882">
        <v>0.2553900728968086</v>
      </c>
      <c r="AB5882" t="str">
        <f>HYPERLINK("Melting_Curves/meltCurve_Q9H0H5_RACGAP1.pdf", "Melting_Curves/meltCurve_Q9H0H5_RACGAP1.pdf")</f>
        <v>Melting_Curves/meltCurve_Q9H0H5_RACGAP1.pdf</v>
      </c>
    </row>
    <row r="5883" spans="1:28" x14ac:dyDescent="0.25">
      <c r="A5883" t="s">
        <v>5887</v>
      </c>
      <c r="B5883">
        <v>0.99999676499088797</v>
      </c>
      <c r="C5883">
        <v>0.921492190403018</v>
      </c>
      <c r="D5883">
        <v>0.69168989051709395</v>
      </c>
      <c r="E5883">
        <v>0.21997774394231301</v>
      </c>
      <c r="F5883">
        <v>0.159397978969578</v>
      </c>
      <c r="G5883">
        <v>0.123023145353475</v>
      </c>
      <c r="H5883">
        <v>4.1103138503801803E-2</v>
      </c>
      <c r="I5883">
        <v>5.7237338935691898E-2</v>
      </c>
      <c r="J5883">
        <v>7.0094133494982502E-2</v>
      </c>
      <c r="K5883">
        <v>4.69558109543807E-2</v>
      </c>
      <c r="L5883">
        <v>1280.8297243495499</v>
      </c>
      <c r="M5883">
        <v>27.227493957919201</v>
      </c>
      <c r="N5883">
        <v>47.3062736222154</v>
      </c>
      <c r="O5883">
        <v>46.790215596603097</v>
      </c>
      <c r="P5883">
        <v>-0.135206274134408</v>
      </c>
      <c r="Q5883">
        <v>7.0605598581785403E-2</v>
      </c>
      <c r="R5883">
        <v>0.993930019245991</v>
      </c>
      <c r="S5883" t="s">
        <v>12886</v>
      </c>
      <c r="T5883" t="s">
        <v>14004</v>
      </c>
      <c r="U5883" t="s">
        <v>14004</v>
      </c>
      <c r="V5883" t="s">
        <v>14004</v>
      </c>
      <c r="W5883" t="s">
        <v>19832</v>
      </c>
      <c r="X5883">
        <v>1</v>
      </c>
      <c r="Y5883" t="s">
        <v>26628</v>
      </c>
      <c r="Z5883" t="s">
        <v>33593</v>
      </c>
      <c r="AA5883">
        <v>0.29563520853366831</v>
      </c>
      <c r="AB5883" t="str">
        <f>HYPERLINK("Melting_Curves/meltCurve_Q9H0J9_PARP12.pdf", "Melting_Curves/meltCurve_Q9H0J9_PARP12.pdf")</f>
        <v>Melting_Curves/meltCurve_Q9H0J9_PARP12.pdf</v>
      </c>
    </row>
    <row r="5884" spans="1:28" x14ac:dyDescent="0.25">
      <c r="A5884" t="s">
        <v>5888</v>
      </c>
      <c r="B5884">
        <v>0.99999676499088797</v>
      </c>
      <c r="C5884">
        <v>0.94995896223589205</v>
      </c>
      <c r="D5884">
        <v>0.96579439300403003</v>
      </c>
      <c r="E5884">
        <v>0.77086574701434196</v>
      </c>
      <c r="F5884">
        <v>0.51058690103515003</v>
      </c>
      <c r="G5884">
        <v>0.33450583938668099</v>
      </c>
      <c r="H5884">
        <v>0.18184222182437801</v>
      </c>
      <c r="I5884">
        <v>0.16059480391800501</v>
      </c>
      <c r="J5884">
        <v>0.101474947267559</v>
      </c>
      <c r="K5884">
        <v>8.4790184534066906E-2</v>
      </c>
      <c r="L5884">
        <v>849.111145705132</v>
      </c>
      <c r="M5884">
        <v>15.998525525667</v>
      </c>
      <c r="N5884">
        <v>53.655987930795</v>
      </c>
      <c r="O5884">
        <v>52.265871921626797</v>
      </c>
      <c r="P5884">
        <v>-7.0437967583601102E-2</v>
      </c>
      <c r="Q5884">
        <v>7.9611903292033701E-2</v>
      </c>
      <c r="R5884">
        <v>0.99698790726578301</v>
      </c>
      <c r="S5884" t="s">
        <v>12887</v>
      </c>
      <c r="T5884" t="s">
        <v>14004</v>
      </c>
      <c r="U5884" t="s">
        <v>14004</v>
      </c>
      <c r="V5884" t="s">
        <v>14004</v>
      </c>
      <c r="W5884" t="s">
        <v>19833</v>
      </c>
      <c r="X5884">
        <v>8</v>
      </c>
      <c r="Y5884" t="s">
        <v>26629</v>
      </c>
      <c r="Z5884" t="s">
        <v>33594</v>
      </c>
      <c r="AA5884">
        <v>0.49874365589066932</v>
      </c>
      <c r="AB5884" t="str">
        <f>HYPERLINK("Melting_Curves/meltCurve_Q9H0K6_PUS7L.pdf", "Melting_Curves/meltCurve_Q9H0K6_PUS7L.pdf")</f>
        <v>Melting_Curves/meltCurve_Q9H0K6_PUS7L.pdf</v>
      </c>
    </row>
    <row r="5885" spans="1:28" x14ac:dyDescent="0.25">
      <c r="A5885" t="s">
        <v>5889</v>
      </c>
      <c r="B5885">
        <v>0.99999676499088797</v>
      </c>
      <c r="C5885">
        <v>0.98313560463754301</v>
      </c>
      <c r="D5885">
        <v>0.86661682184487299</v>
      </c>
      <c r="E5885">
        <v>0.66796654166138403</v>
      </c>
      <c r="F5885">
        <v>0.28997177208720998</v>
      </c>
      <c r="G5885">
        <v>0.178516057750434</v>
      </c>
      <c r="H5885">
        <v>0.106640086170097</v>
      </c>
      <c r="I5885">
        <v>0.13318255838672799</v>
      </c>
      <c r="J5885">
        <v>0.15424559424381701</v>
      </c>
      <c r="K5885">
        <v>0.12836749455405999</v>
      </c>
      <c r="L5885">
        <v>1184.2728467821501</v>
      </c>
      <c r="M5885">
        <v>23.545322130831401</v>
      </c>
      <c r="N5885">
        <v>50.906692279560403</v>
      </c>
      <c r="O5885">
        <v>49.938981107020197</v>
      </c>
      <c r="P5885">
        <v>-0.10340299799718999</v>
      </c>
      <c r="Q5885">
        <v>0.122755303888598</v>
      </c>
      <c r="R5885">
        <v>0.99568567454480195</v>
      </c>
      <c r="S5885" t="s">
        <v>12888</v>
      </c>
      <c r="T5885" t="s">
        <v>14004</v>
      </c>
      <c r="U5885" t="s">
        <v>14004</v>
      </c>
      <c r="V5885" t="s">
        <v>14004</v>
      </c>
      <c r="W5885" t="s">
        <v>19834</v>
      </c>
      <c r="X5885">
        <v>16</v>
      </c>
      <c r="Y5885" t="s">
        <v>26630</v>
      </c>
      <c r="Z5885" t="s">
        <v>33595</v>
      </c>
      <c r="AA5885">
        <v>0.43273415114649172</v>
      </c>
      <c r="AB5885" t="str">
        <f>HYPERLINK("Melting_Curves/meltCurve_Q9H0L4_CSTF2T.pdf", "Melting_Curves/meltCurve_Q9H0L4_CSTF2T.pdf")</f>
        <v>Melting_Curves/meltCurve_Q9H0L4_CSTF2T.pdf</v>
      </c>
    </row>
    <row r="5886" spans="1:28" x14ac:dyDescent="0.25">
      <c r="A5886" t="s">
        <v>5890</v>
      </c>
      <c r="B5886">
        <v>0.99999676499088797</v>
      </c>
      <c r="C5886">
        <v>0.85453835685004498</v>
      </c>
      <c r="D5886">
        <v>0.73694828126698098</v>
      </c>
      <c r="E5886">
        <v>0.479669913155988</v>
      </c>
      <c r="F5886">
        <v>0.201773015197585</v>
      </c>
      <c r="G5886">
        <v>0.11833856999143801</v>
      </c>
      <c r="H5886">
        <v>4.7601771578054501E-2</v>
      </c>
      <c r="I5886">
        <v>4.3021806670179998E-2</v>
      </c>
      <c r="J5886">
        <v>3.7782373198643797E-2</v>
      </c>
      <c r="K5886">
        <v>2.9106649673110701E-2</v>
      </c>
      <c r="L5886">
        <v>763.09857191135904</v>
      </c>
      <c r="M5886">
        <v>15.6133607898352</v>
      </c>
      <c r="N5886">
        <v>48.971122119723098</v>
      </c>
      <c r="O5886">
        <v>48.094004512162797</v>
      </c>
      <c r="P5886">
        <v>-7.9939168771948801E-2</v>
      </c>
      <c r="Q5886">
        <v>1.5134737071767801E-2</v>
      </c>
      <c r="R5886">
        <v>0.99626993182155998</v>
      </c>
      <c r="S5886" t="s">
        <v>12889</v>
      </c>
      <c r="T5886" t="s">
        <v>14004</v>
      </c>
      <c r="U5886" t="s">
        <v>14004</v>
      </c>
      <c r="V5886" t="s">
        <v>14004</v>
      </c>
      <c r="W5886" t="s">
        <v>19835</v>
      </c>
      <c r="X5886">
        <v>9</v>
      </c>
      <c r="Y5886" t="s">
        <v>26631</v>
      </c>
      <c r="Z5886" t="s">
        <v>33596</v>
      </c>
      <c r="AA5886">
        <v>0.32910478281102401</v>
      </c>
      <c r="AB5886" t="str">
        <f>HYPERLINK("Melting_Curves/meltCurve_Q9H0P0_NT5C3A.pdf", "Melting_Curves/meltCurve_Q9H0P0_NT5C3A.pdf")</f>
        <v>Melting_Curves/meltCurve_Q9H0P0_NT5C3A.pdf</v>
      </c>
    </row>
    <row r="5887" spans="1:28" x14ac:dyDescent="0.25">
      <c r="A5887" t="s">
        <v>5891</v>
      </c>
      <c r="B5887">
        <v>0.99999676499088797</v>
      </c>
      <c r="C5887">
        <v>1.0867933620836701</v>
      </c>
      <c r="D5887">
        <v>1.04698734185213</v>
      </c>
      <c r="E5887">
        <v>0.95887838837281203</v>
      </c>
      <c r="F5887">
        <v>0.89526827923243202</v>
      </c>
      <c r="G5887">
        <v>0.75154618613139001</v>
      </c>
      <c r="H5887">
        <v>0.43284668134994397</v>
      </c>
      <c r="I5887">
        <v>0.40195247685012098</v>
      </c>
      <c r="J5887">
        <v>0.34905011367232802</v>
      </c>
      <c r="K5887">
        <v>0.34353727514522497</v>
      </c>
      <c r="L5887">
        <v>1449.2624111566499</v>
      </c>
      <c r="M5887">
        <v>25.198305651444802</v>
      </c>
      <c r="N5887">
        <v>60.1397902625528</v>
      </c>
      <c r="O5887">
        <v>57.155718194407399</v>
      </c>
      <c r="P5887">
        <v>-7.3452591608809001E-2</v>
      </c>
      <c r="Q5887">
        <v>0.33357726717662201</v>
      </c>
      <c r="R5887">
        <v>0.98351934280997</v>
      </c>
      <c r="S5887" t="s">
        <v>12890</v>
      </c>
      <c r="T5887" t="s">
        <v>14004</v>
      </c>
      <c r="U5887" t="s">
        <v>14004</v>
      </c>
      <c r="V5887" t="s">
        <v>14004</v>
      </c>
      <c r="W5887" t="s">
        <v>19836</v>
      </c>
      <c r="X5887">
        <v>13</v>
      </c>
      <c r="Y5887" t="s">
        <v>26632</v>
      </c>
      <c r="Z5887" t="s">
        <v>33597</v>
      </c>
      <c r="AA5887">
        <v>0.7284832012828858</v>
      </c>
      <c r="AB5887" t="str">
        <f>HYPERLINK("Melting_Curves/meltCurve_Q9H0R4_HDHD2.pdf", "Melting_Curves/meltCurve_Q9H0R4_HDHD2.pdf")</f>
        <v>Melting_Curves/meltCurve_Q9H0R4_HDHD2.pdf</v>
      </c>
    </row>
    <row r="5888" spans="1:28" x14ac:dyDescent="0.25">
      <c r="A5888" t="s">
        <v>5892</v>
      </c>
      <c r="B5888">
        <v>0.99999676499088797</v>
      </c>
      <c r="C5888">
        <v>1.02216201382177</v>
      </c>
      <c r="D5888">
        <v>0.98829544244424095</v>
      </c>
      <c r="E5888">
        <v>0.61204201234566802</v>
      </c>
      <c r="F5888">
        <v>0.20843191665740701</v>
      </c>
      <c r="G5888">
        <v>0.13386325508790101</v>
      </c>
      <c r="H5888">
        <v>5.9115099343258599E-2</v>
      </c>
      <c r="I5888">
        <v>5.3953893434949898E-2</v>
      </c>
      <c r="J5888">
        <v>4.8756035392769903E-2</v>
      </c>
      <c r="K5888">
        <v>3.7590606666846202E-2</v>
      </c>
      <c r="L5888">
        <v>1545.6978882015501</v>
      </c>
      <c r="M5888">
        <v>30.740939681537402</v>
      </c>
      <c r="N5888">
        <v>50.488822176885101</v>
      </c>
      <c r="O5888">
        <v>50.070096676824498</v>
      </c>
      <c r="P5888">
        <v>-0.14438579366255899</v>
      </c>
      <c r="Q5888">
        <v>5.9317709406391403E-2</v>
      </c>
      <c r="R5888">
        <v>0.99685825629946401</v>
      </c>
      <c r="S5888" t="s">
        <v>12891</v>
      </c>
      <c r="T5888" t="s">
        <v>14004</v>
      </c>
      <c r="U5888" t="s">
        <v>14004</v>
      </c>
      <c r="V5888" t="s">
        <v>14004</v>
      </c>
      <c r="W5888" t="s">
        <v>19837</v>
      </c>
      <c r="X5888">
        <v>14</v>
      </c>
      <c r="Y5888" t="s">
        <v>26633</v>
      </c>
      <c r="Z5888" t="s">
        <v>33598</v>
      </c>
      <c r="AA5888">
        <v>0.38726668553414212</v>
      </c>
      <c r="AB5888" t="str">
        <f>HYPERLINK("Melting_Curves/meltCurve_Q9H0R6_QRSL1.pdf", "Melting_Curves/meltCurve_Q9H0R6_QRSL1.pdf")</f>
        <v>Melting_Curves/meltCurve_Q9H0R6_QRSL1.pdf</v>
      </c>
    </row>
    <row r="5889" spans="1:28" x14ac:dyDescent="0.25">
      <c r="A5889" t="s">
        <v>5893</v>
      </c>
      <c r="B5889">
        <v>0.99999676499088797</v>
      </c>
      <c r="C5889">
        <v>0.90254826946272904</v>
      </c>
      <c r="D5889">
        <v>0.93219234525961103</v>
      </c>
      <c r="E5889">
        <v>0.84936571694984597</v>
      </c>
      <c r="F5889">
        <v>0.33463306087796602</v>
      </c>
      <c r="G5889">
        <v>0.16654727907620701</v>
      </c>
      <c r="H5889">
        <v>8.0351469673023201E-2</v>
      </c>
      <c r="I5889">
        <v>7.2556018853692505E-2</v>
      </c>
      <c r="J5889">
        <v>6.0029960310283098E-2</v>
      </c>
      <c r="K5889">
        <v>4.9752320145083399E-2</v>
      </c>
      <c r="L5889">
        <v>1621.1568884271201</v>
      </c>
      <c r="M5889">
        <v>31.251313995105999</v>
      </c>
      <c r="N5889">
        <v>52.119982411356297</v>
      </c>
      <c r="O5889">
        <v>51.663806563027599</v>
      </c>
      <c r="P5889">
        <v>-0.14088990020560399</v>
      </c>
      <c r="Q5889">
        <v>6.8343855550050195E-2</v>
      </c>
      <c r="R5889">
        <v>0.99025769173367495</v>
      </c>
      <c r="S5889" t="s">
        <v>12892</v>
      </c>
      <c r="T5889" t="s">
        <v>14004</v>
      </c>
      <c r="U5889" t="s">
        <v>14004</v>
      </c>
      <c r="V5889" t="s">
        <v>14004</v>
      </c>
      <c r="W5889" t="s">
        <v>19838</v>
      </c>
      <c r="X5889">
        <v>15</v>
      </c>
      <c r="Y5889" t="s">
        <v>26634</v>
      </c>
      <c r="Z5889" t="s">
        <v>33599</v>
      </c>
      <c r="AA5889">
        <v>0.4425966145192991</v>
      </c>
      <c r="AB5889" t="str">
        <f>HYPERLINK("Melting_Curves/meltCurve_Q9H0S4_2_DDX47.pdf", "Melting_Curves/meltCurve_Q9H0S4_2_DDX47.pdf")</f>
        <v>Melting_Curves/meltCurve_Q9H0S4_2_DDX47.pdf</v>
      </c>
    </row>
    <row r="5890" spans="1:28" x14ac:dyDescent="0.25">
      <c r="A5890" t="s">
        <v>5894</v>
      </c>
      <c r="B5890">
        <v>0.99999676499088797</v>
      </c>
      <c r="C5890">
        <v>1.0540176332893201</v>
      </c>
      <c r="D5890">
        <v>1.10947587196883</v>
      </c>
      <c r="E5890">
        <v>1.0659881259785899</v>
      </c>
      <c r="F5890">
        <v>0.59141253803947902</v>
      </c>
      <c r="G5890">
        <v>0.37296871758771899</v>
      </c>
      <c r="H5890">
        <v>0.20548407031811</v>
      </c>
      <c r="I5890">
        <v>0.17272945778889401</v>
      </c>
      <c r="J5890">
        <v>0.19732886072408901</v>
      </c>
      <c r="K5890">
        <v>0.19830651860521201</v>
      </c>
      <c r="L5890">
        <v>1902.4989061942499</v>
      </c>
      <c r="M5890">
        <v>35.5264682311198</v>
      </c>
      <c r="N5890">
        <v>54.3458573886954</v>
      </c>
      <c r="O5890">
        <v>53.3827641044508</v>
      </c>
      <c r="P5890">
        <v>-0.13268409339904899</v>
      </c>
      <c r="Q5890">
        <v>0.202507822023617</v>
      </c>
      <c r="R5890">
        <v>0.97554399012375603</v>
      </c>
      <c r="S5890" t="s">
        <v>12893</v>
      </c>
      <c r="T5890" t="s">
        <v>14004</v>
      </c>
      <c r="U5890" t="s">
        <v>14004</v>
      </c>
      <c r="V5890" t="s">
        <v>14004</v>
      </c>
      <c r="W5890" t="s">
        <v>19839</v>
      </c>
      <c r="X5890">
        <v>7</v>
      </c>
      <c r="Y5890" t="s">
        <v>26635</v>
      </c>
      <c r="Z5890" t="s">
        <v>33600</v>
      </c>
      <c r="AA5890">
        <v>0.56648566154966373</v>
      </c>
      <c r="AB5890" t="str">
        <f>HYPERLINK("Melting_Curves/meltCurve_Q9H0U3_MAGT1.pdf", "Melting_Curves/meltCurve_Q9H0U3_MAGT1.pdf")</f>
        <v>Melting_Curves/meltCurve_Q9H0U3_MAGT1.pdf</v>
      </c>
    </row>
    <row r="5891" spans="1:28" x14ac:dyDescent="0.25">
      <c r="A5891" t="s">
        <v>5895</v>
      </c>
      <c r="B5891">
        <v>0.99999676499088797</v>
      </c>
      <c r="C5891">
        <v>0.93665191185517005</v>
      </c>
      <c r="D5891">
        <v>0.94985439741545397</v>
      </c>
      <c r="E5891">
        <v>0.99961285581927495</v>
      </c>
      <c r="F5891">
        <v>0.96751160760506205</v>
      </c>
      <c r="G5891">
        <v>0.86524012862703703</v>
      </c>
      <c r="H5891">
        <v>0.43653423741456199</v>
      </c>
      <c r="I5891">
        <v>0.30935942273658901</v>
      </c>
      <c r="J5891">
        <v>0.177644304711845</v>
      </c>
      <c r="K5891">
        <v>0.13860474213620899</v>
      </c>
      <c r="L5891">
        <v>1683.3254963852801</v>
      </c>
      <c r="M5891">
        <v>28.158530669486399</v>
      </c>
      <c r="N5891">
        <v>60.514273031342498</v>
      </c>
      <c r="O5891">
        <v>59.481237778847202</v>
      </c>
      <c r="P5891">
        <v>-0.101230859214107</v>
      </c>
      <c r="Q5891">
        <v>0.14465902016826601</v>
      </c>
      <c r="R5891">
        <v>0.99058373811774603</v>
      </c>
      <c r="S5891" t="s">
        <v>12894</v>
      </c>
      <c r="T5891" t="s">
        <v>14004</v>
      </c>
      <c r="U5891" t="s">
        <v>14004</v>
      </c>
      <c r="V5891" t="s">
        <v>14004</v>
      </c>
      <c r="W5891" t="s">
        <v>19840</v>
      </c>
      <c r="X5891">
        <v>19</v>
      </c>
      <c r="Y5891" t="s">
        <v>26636</v>
      </c>
      <c r="Z5891" t="s">
        <v>33601</v>
      </c>
      <c r="AA5891">
        <v>0.71434376583864401</v>
      </c>
      <c r="AB5891" t="str">
        <f>HYPERLINK("Melting_Curves/meltCurve_Q9H0U4_RAB1B.pdf", "Melting_Curves/meltCurve_Q9H0U4_RAB1B.pdf")</f>
        <v>Melting_Curves/meltCurve_Q9H0U4_RAB1B.pdf</v>
      </c>
    </row>
    <row r="5892" spans="1:28" x14ac:dyDescent="0.25">
      <c r="A5892" t="s">
        <v>5896</v>
      </c>
      <c r="B5892">
        <v>0.99999676499088797</v>
      </c>
      <c r="C5892">
        <v>0.91129348781583897</v>
      </c>
      <c r="D5892">
        <v>0.64563926625850399</v>
      </c>
      <c r="E5892">
        <v>0.455752596442004</v>
      </c>
      <c r="F5892">
        <v>0.28219187765600401</v>
      </c>
      <c r="G5892">
        <v>0.18586715999131601</v>
      </c>
      <c r="H5892">
        <v>9.8880529679160903E-2</v>
      </c>
      <c r="I5892">
        <v>8.5285352049551705E-2</v>
      </c>
      <c r="J5892">
        <v>5.9490221797200697E-2</v>
      </c>
      <c r="K5892">
        <v>4.34867340968191E-2</v>
      </c>
      <c r="L5892">
        <v>672.03473630250699</v>
      </c>
      <c r="M5892">
        <v>13.831622683119299</v>
      </c>
      <c r="N5892">
        <v>48.937080200085703</v>
      </c>
      <c r="O5892">
        <v>47.605012793707701</v>
      </c>
      <c r="P5892">
        <v>-6.9223913734230105E-2</v>
      </c>
      <c r="Q5892">
        <v>4.7126064698269098E-2</v>
      </c>
      <c r="R5892">
        <v>0.993010283043394</v>
      </c>
      <c r="S5892" t="s">
        <v>12895</v>
      </c>
      <c r="T5892" t="s">
        <v>14004</v>
      </c>
      <c r="U5892" t="s">
        <v>14004</v>
      </c>
      <c r="V5892" t="s">
        <v>14004</v>
      </c>
      <c r="W5892" t="s">
        <v>19841</v>
      </c>
      <c r="X5892">
        <v>1</v>
      </c>
      <c r="Y5892" t="s">
        <v>26637</v>
      </c>
      <c r="Z5892" t="s">
        <v>33602</v>
      </c>
      <c r="AA5892">
        <v>0.34772272096639162</v>
      </c>
      <c r="AB5892" t="str">
        <f>HYPERLINK("Melting_Curves/meltCurve_Q9H0U9_TSPYL1.pdf", "Melting_Curves/meltCurve_Q9H0U9_TSPYL1.pdf")</f>
        <v>Melting_Curves/meltCurve_Q9H0U9_TSPYL1.pdf</v>
      </c>
    </row>
    <row r="5893" spans="1:28" x14ac:dyDescent="0.25">
      <c r="A5893" t="s">
        <v>5897</v>
      </c>
      <c r="B5893">
        <v>0.99999676499088797</v>
      </c>
      <c r="C5893">
        <v>0.98111662112331999</v>
      </c>
      <c r="D5893">
        <v>0.96771192352938695</v>
      </c>
      <c r="E5893">
        <v>0.72371519489705505</v>
      </c>
      <c r="F5893">
        <v>0.41160928217333898</v>
      </c>
      <c r="G5893">
        <v>0.26630508252812302</v>
      </c>
      <c r="H5893">
        <v>0.11106462507248099</v>
      </c>
      <c r="I5893">
        <v>0.10771937639267699</v>
      </c>
      <c r="J5893">
        <v>0.10810581114102299</v>
      </c>
      <c r="K5893">
        <v>7.0502025749631894E-2</v>
      </c>
      <c r="L5893">
        <v>1017.93750610327</v>
      </c>
      <c r="M5893">
        <v>19.624645961530401</v>
      </c>
      <c r="N5893">
        <v>52.358220160730298</v>
      </c>
      <c r="O5893">
        <v>51.340761981799403</v>
      </c>
      <c r="P5893">
        <v>-8.7579205197250695E-2</v>
      </c>
      <c r="Q5893">
        <v>8.3555202870573705E-2</v>
      </c>
      <c r="R5893">
        <v>0.99680150696377701</v>
      </c>
      <c r="S5893" t="s">
        <v>12896</v>
      </c>
      <c r="T5893" t="s">
        <v>14004</v>
      </c>
      <c r="U5893" t="s">
        <v>14004</v>
      </c>
      <c r="V5893" t="s">
        <v>14004</v>
      </c>
      <c r="W5893" t="s">
        <v>19842</v>
      </c>
      <c r="X5893">
        <v>5</v>
      </c>
      <c r="Y5893" t="s">
        <v>26638</v>
      </c>
      <c r="Z5893" t="s">
        <v>33603</v>
      </c>
      <c r="AA5893">
        <v>0.45930106750902228</v>
      </c>
      <c r="AB5893" t="str">
        <f>HYPERLINK("Melting_Curves/meltCurve_Q9H0V9_LMAN2L.pdf", "Melting_Curves/meltCurve_Q9H0V9_LMAN2L.pdf")</f>
        <v>Melting_Curves/meltCurve_Q9H0V9_LMAN2L.pdf</v>
      </c>
    </row>
    <row r="5894" spans="1:28" x14ac:dyDescent="0.25">
      <c r="A5894" t="s">
        <v>5898</v>
      </c>
      <c r="B5894">
        <v>0.99999676499088797</v>
      </c>
      <c r="C5894">
        <v>0.919359028678017</v>
      </c>
      <c r="D5894">
        <v>0.76701750535819901</v>
      </c>
      <c r="E5894">
        <v>0.295436975081727</v>
      </c>
      <c r="F5894">
        <v>0.245834636116982</v>
      </c>
      <c r="G5894">
        <v>0.17354982326656401</v>
      </c>
      <c r="H5894">
        <v>8.2183735580917697E-2</v>
      </c>
      <c r="I5894">
        <v>7.8426661765575598E-2</v>
      </c>
      <c r="J5894">
        <v>9.3932516942627706E-2</v>
      </c>
      <c r="K5894">
        <v>8.1845938738136295E-2</v>
      </c>
      <c r="L5894">
        <v>1115.3310567043</v>
      </c>
      <c r="M5894">
        <v>23.4024025169659</v>
      </c>
      <c r="N5894">
        <v>48.128037437506599</v>
      </c>
      <c r="O5894">
        <v>47.314937637364999</v>
      </c>
      <c r="P5894">
        <v>-0.111041776851155</v>
      </c>
      <c r="Q5894">
        <v>0.101999666433932</v>
      </c>
      <c r="R5894">
        <v>0.98761251189197696</v>
      </c>
      <c r="S5894" t="s">
        <v>12897</v>
      </c>
      <c r="T5894" t="s">
        <v>14004</v>
      </c>
      <c r="U5894" t="s">
        <v>14004</v>
      </c>
      <c r="V5894" t="s">
        <v>14004</v>
      </c>
      <c r="W5894" t="s">
        <v>19843</v>
      </c>
      <c r="X5894">
        <v>11</v>
      </c>
      <c r="Y5894" t="s">
        <v>26639</v>
      </c>
      <c r="Z5894" t="s">
        <v>33604</v>
      </c>
      <c r="AA5894">
        <v>0.34041873304653208</v>
      </c>
      <c r="AB5894" t="str">
        <f>HYPERLINK("Melting_Curves/meltCurve_Q9H0W8_SMG9.pdf", "Melting_Curves/meltCurve_Q9H0W8_SMG9.pdf")</f>
        <v>Melting_Curves/meltCurve_Q9H0W8_SMG9.pdf</v>
      </c>
    </row>
    <row r="5895" spans="1:28" x14ac:dyDescent="0.25">
      <c r="A5895" t="s">
        <v>5899</v>
      </c>
      <c r="B5895">
        <v>0.99999676499088797</v>
      </c>
      <c r="C5895">
        <v>0.93176170281744397</v>
      </c>
      <c r="D5895">
        <v>0.86790628842254403</v>
      </c>
      <c r="E5895">
        <v>0.84067825158857401</v>
      </c>
      <c r="F5895">
        <v>0.802789561859649</v>
      </c>
      <c r="G5895">
        <v>0.46793047483641398</v>
      </c>
      <c r="H5895">
        <v>0.190879498394704</v>
      </c>
      <c r="I5895">
        <v>8.70980882645076E-2</v>
      </c>
      <c r="J5895">
        <v>7.58700215938823E-2</v>
      </c>
      <c r="K5895">
        <v>5.9772572752167803E-2</v>
      </c>
      <c r="L5895">
        <v>944.76235397289497</v>
      </c>
      <c r="M5895">
        <v>16.776607821782701</v>
      </c>
      <c r="N5895">
        <v>56.3142659045945</v>
      </c>
      <c r="O5895">
        <v>55.532402497096001</v>
      </c>
      <c r="P5895">
        <v>-7.5531147072451302E-2</v>
      </c>
      <c r="Q5895">
        <v>0</v>
      </c>
      <c r="R5895">
        <v>0.97961374047034799</v>
      </c>
      <c r="S5895" t="s">
        <v>12898</v>
      </c>
      <c r="T5895" t="s">
        <v>14004</v>
      </c>
      <c r="U5895" t="s">
        <v>14004</v>
      </c>
      <c r="V5895" t="s">
        <v>14004</v>
      </c>
      <c r="W5895" t="s">
        <v>19844</v>
      </c>
      <c r="X5895">
        <v>12</v>
      </c>
      <c r="Y5895" t="s">
        <v>26640</v>
      </c>
      <c r="Z5895" t="s">
        <v>33605</v>
      </c>
      <c r="AA5895">
        <v>0.55937489363839121</v>
      </c>
      <c r="AB5895" t="str">
        <f>HYPERLINK("Melting_Curves/meltCurve_Q9H0W9_C11orf54.pdf", "Melting_Curves/meltCurve_Q9H0W9_C11orf54.pdf")</f>
        <v>Melting_Curves/meltCurve_Q9H0W9_C11orf54.pdf</v>
      </c>
    </row>
    <row r="5896" spans="1:28" x14ac:dyDescent="0.25">
      <c r="A5896" t="s">
        <v>5900</v>
      </c>
      <c r="B5896">
        <v>0.99999676499088797</v>
      </c>
      <c r="C5896">
        <v>1.1492086687215299</v>
      </c>
      <c r="D5896">
        <v>1.11610619217221</v>
      </c>
      <c r="E5896">
        <v>0.88604164124499196</v>
      </c>
      <c r="F5896">
        <v>0.88330887196359498</v>
      </c>
      <c r="G5896">
        <v>0.80723840513289702</v>
      </c>
      <c r="H5896">
        <v>0.55331128139091501</v>
      </c>
      <c r="I5896">
        <v>0.52920570935372402</v>
      </c>
      <c r="J5896">
        <v>0.461901692287087</v>
      </c>
      <c r="K5896">
        <v>0.46081802787735199</v>
      </c>
      <c r="L5896">
        <v>1033.34074470684</v>
      </c>
      <c r="M5896">
        <v>17.8700490783601</v>
      </c>
      <c r="N5896">
        <v>64.762492969766399</v>
      </c>
      <c r="O5896">
        <v>57.115742129536798</v>
      </c>
      <c r="P5896">
        <v>-4.4878611152208397E-2</v>
      </c>
      <c r="Q5896">
        <v>0.42627017169036502</v>
      </c>
      <c r="R5896">
        <v>0.92218382880167404</v>
      </c>
      <c r="S5896" t="s">
        <v>12899</v>
      </c>
      <c r="T5896" t="s">
        <v>14004</v>
      </c>
      <c r="U5896" t="s">
        <v>14004</v>
      </c>
      <c r="V5896" t="s">
        <v>14004</v>
      </c>
      <c r="W5896" t="s">
        <v>19845</v>
      </c>
      <c r="X5896">
        <v>4</v>
      </c>
      <c r="Y5896" t="s">
        <v>26641</v>
      </c>
      <c r="Z5896" t="s">
        <v>33606</v>
      </c>
      <c r="AA5896">
        <v>0.77445505627613254</v>
      </c>
      <c r="AB5896" t="str">
        <f>HYPERLINK("Melting_Curves/meltCurve_Q9H0X4_ITFG3.pdf", "Melting_Curves/meltCurve_Q9H0X4_ITFG3.pdf")</f>
        <v>Melting_Curves/meltCurve_Q9H0X4_ITFG3.pdf</v>
      </c>
    </row>
    <row r="5897" spans="1:28" x14ac:dyDescent="0.25">
      <c r="A5897" t="s">
        <v>5901</v>
      </c>
      <c r="B5897">
        <v>0.99999676499088797</v>
      </c>
      <c r="C5897">
        <v>0.86629611743646695</v>
      </c>
      <c r="D5897">
        <v>0.71183351508694004</v>
      </c>
      <c r="E5897">
        <v>0.21168718249717899</v>
      </c>
      <c r="F5897">
        <v>0.13934498305357601</v>
      </c>
      <c r="G5897">
        <v>9.3955784693208796E-2</v>
      </c>
      <c r="H5897">
        <v>4.1014584761634901E-2</v>
      </c>
      <c r="I5897">
        <v>4.3049824105317103E-2</v>
      </c>
      <c r="J5897">
        <v>5.02080101721461E-2</v>
      </c>
      <c r="K5897">
        <v>1.1789160889117901E-2</v>
      </c>
      <c r="L5897">
        <v>1165.7080036106399</v>
      </c>
      <c r="M5897">
        <v>24.724615137279599</v>
      </c>
      <c r="N5897">
        <v>47.3315572557919</v>
      </c>
      <c r="O5897">
        <v>46.842504343417097</v>
      </c>
      <c r="P5897">
        <v>-0.12591547160368</v>
      </c>
      <c r="Q5897">
        <v>4.5791222800569603E-2</v>
      </c>
      <c r="R5897">
        <v>0.990817190672727</v>
      </c>
      <c r="S5897" t="s">
        <v>12900</v>
      </c>
      <c r="T5897" t="s">
        <v>14004</v>
      </c>
      <c r="U5897" t="s">
        <v>14004</v>
      </c>
      <c r="V5897" t="s">
        <v>14004</v>
      </c>
      <c r="W5897" t="s">
        <v>19846</v>
      </c>
      <c r="X5897">
        <v>5</v>
      </c>
      <c r="Y5897" t="s">
        <v>26642</v>
      </c>
      <c r="Z5897" t="s">
        <v>33607</v>
      </c>
      <c r="AA5897">
        <v>0.28184268233412108</v>
      </c>
      <c r="AB5897" t="str">
        <f>HYPERLINK("Melting_Curves/meltCurve_Q9H115_NAPB.pdf", "Melting_Curves/meltCurve_Q9H115_NAPB.pdf")</f>
        <v>Melting_Curves/meltCurve_Q9H115_NAPB.pdf</v>
      </c>
    </row>
    <row r="5898" spans="1:28" x14ac:dyDescent="0.25">
      <c r="A5898" t="s">
        <v>5902</v>
      </c>
      <c r="B5898">
        <v>0.99999676499088797</v>
      </c>
      <c r="C5898">
        <v>0.564180950333519</v>
      </c>
      <c r="D5898">
        <v>0.26813605334978102</v>
      </c>
      <c r="E5898">
        <v>0.19434050283745399</v>
      </c>
      <c r="F5898">
        <v>0.20295802601103</v>
      </c>
      <c r="G5898">
        <v>0.122608761044526</v>
      </c>
      <c r="H5898">
        <v>6.6150189769107498E-2</v>
      </c>
      <c r="I5898">
        <v>3.1696668245049103E-2</v>
      </c>
      <c r="J5898">
        <v>3.54395536504305E-2</v>
      </c>
      <c r="K5898">
        <v>2.8347150006922599E-2</v>
      </c>
      <c r="L5898">
        <v>1118.1472661791399</v>
      </c>
      <c r="M5898">
        <v>25.7506710201556</v>
      </c>
      <c r="N5898">
        <v>43.755102303100401</v>
      </c>
      <c r="O5898">
        <v>43.162734276161501</v>
      </c>
      <c r="P5898">
        <v>-0.135877085461169</v>
      </c>
      <c r="Q5898">
        <v>8.8993671875399999E-2</v>
      </c>
      <c r="R5898">
        <v>0.95534068812506501</v>
      </c>
      <c r="S5898" t="s">
        <v>12901</v>
      </c>
      <c r="T5898" t="s">
        <v>14004</v>
      </c>
      <c r="U5898" t="s">
        <v>14004</v>
      </c>
      <c r="V5898" t="s">
        <v>14004</v>
      </c>
      <c r="W5898" t="s">
        <v>19847</v>
      </c>
      <c r="X5898">
        <v>5</v>
      </c>
      <c r="Y5898" t="s">
        <v>26643</v>
      </c>
      <c r="Z5898" t="s">
        <v>33608</v>
      </c>
      <c r="AA5898">
        <v>0.20383838653376471</v>
      </c>
      <c r="AB5898" t="str">
        <f>HYPERLINK("Melting_Curves/meltCurve_Q9H147_DNTTIP1.pdf", "Melting_Curves/meltCurve_Q9H147_DNTTIP1.pdf")</f>
        <v>Melting_Curves/meltCurve_Q9H147_DNTTIP1.pdf</v>
      </c>
    </row>
    <row r="5899" spans="1:28" x14ac:dyDescent="0.25">
      <c r="A5899" t="s">
        <v>5903</v>
      </c>
      <c r="B5899">
        <v>0.99999676499088797</v>
      </c>
      <c r="C5899">
        <v>1.0784478302810101</v>
      </c>
      <c r="D5899">
        <v>0.99416182787534502</v>
      </c>
      <c r="E5899">
        <v>0.83954928173300003</v>
      </c>
      <c r="F5899">
        <v>0.51519837951096203</v>
      </c>
      <c r="G5899">
        <v>0.44287202591446101</v>
      </c>
      <c r="H5899">
        <v>0.29776473738119902</v>
      </c>
      <c r="I5899">
        <v>0.270541341801882</v>
      </c>
      <c r="J5899">
        <v>0.23759258843731201</v>
      </c>
      <c r="K5899">
        <v>0.32904646220943801</v>
      </c>
      <c r="L5899">
        <v>1230.4722390960801</v>
      </c>
      <c r="M5899">
        <v>23.621324393698199</v>
      </c>
      <c r="N5899">
        <v>54.014698521297198</v>
      </c>
      <c r="O5899">
        <v>51.722548359968002</v>
      </c>
      <c r="P5899">
        <v>-8.1708083750457405E-2</v>
      </c>
      <c r="Q5899">
        <v>0.28436203277787198</v>
      </c>
      <c r="R5899">
        <v>0.981635278489148</v>
      </c>
      <c r="S5899" t="s">
        <v>12902</v>
      </c>
      <c r="T5899" t="s">
        <v>14004</v>
      </c>
      <c r="U5899" t="s">
        <v>14004</v>
      </c>
      <c r="V5899" t="s">
        <v>14004</v>
      </c>
      <c r="W5899" t="s">
        <v>19848</v>
      </c>
      <c r="X5899">
        <v>2</v>
      </c>
      <c r="Y5899" t="s">
        <v>26644</v>
      </c>
      <c r="Z5899" t="s">
        <v>33609</v>
      </c>
      <c r="AA5899">
        <v>0.58008790253444986</v>
      </c>
      <c r="AB5899" t="str">
        <f>HYPERLINK("Melting_Curves/meltCurve_Q9H173_SIL1.pdf", "Melting_Curves/meltCurve_Q9H173_SIL1.pdf")</f>
        <v>Melting_Curves/meltCurve_Q9H173_SIL1.pdf</v>
      </c>
    </row>
    <row r="5900" spans="1:28" x14ac:dyDescent="0.25">
      <c r="A5900" t="s">
        <v>5904</v>
      </c>
      <c r="B5900">
        <v>0.99999676499088797</v>
      </c>
      <c r="C5900">
        <v>0.95963901511873395</v>
      </c>
      <c r="D5900">
        <v>0.70129569477296005</v>
      </c>
      <c r="E5900">
        <v>0.62671563451454204</v>
      </c>
      <c r="F5900">
        <v>0.497976663826389</v>
      </c>
      <c r="G5900">
        <v>0.46148807005220399</v>
      </c>
      <c r="H5900">
        <v>0.28186212059808502</v>
      </c>
      <c r="I5900">
        <v>0.19401657730137001</v>
      </c>
      <c r="J5900">
        <v>0.183508846846029</v>
      </c>
      <c r="K5900">
        <v>0.121986508461261</v>
      </c>
      <c r="L5900">
        <v>433.927799473123</v>
      </c>
      <c r="M5900">
        <v>8.1278717005299299</v>
      </c>
      <c r="N5900">
        <v>53.570051233079298</v>
      </c>
      <c r="O5900">
        <v>50.447535398782101</v>
      </c>
      <c r="P5900">
        <v>-3.9771409122939402E-2</v>
      </c>
      <c r="Q5900">
        <v>1.36492046719592E-2</v>
      </c>
      <c r="R5900">
        <v>0.97231609788712703</v>
      </c>
      <c r="S5900" t="s">
        <v>12903</v>
      </c>
      <c r="T5900" t="s">
        <v>14004</v>
      </c>
      <c r="U5900" t="s">
        <v>14004</v>
      </c>
      <c r="V5900" t="s">
        <v>14004</v>
      </c>
      <c r="W5900" t="s">
        <v>19849</v>
      </c>
      <c r="X5900">
        <v>1</v>
      </c>
      <c r="Y5900" t="s">
        <v>26645</v>
      </c>
      <c r="Z5900" t="s">
        <v>33610</v>
      </c>
      <c r="AA5900">
        <v>0.49112923498305822</v>
      </c>
      <c r="AB5900" t="str">
        <f>HYPERLINK("Melting_Curves/meltCurve_Q9H1A3_2_METTL9.pdf", "Melting_Curves/meltCurve_Q9H1A3_2_METTL9.pdf")</f>
        <v>Melting_Curves/meltCurve_Q9H1A3_2_METTL9.pdf</v>
      </c>
    </row>
    <row r="5901" spans="1:28" x14ac:dyDescent="0.25">
      <c r="A5901" t="s">
        <v>5905</v>
      </c>
      <c r="B5901">
        <v>0.99999676499088797</v>
      </c>
      <c r="C5901">
        <v>1.0197050350665</v>
      </c>
      <c r="D5901">
        <v>1.06908159349137</v>
      </c>
      <c r="E5901">
        <v>1.15608083786785</v>
      </c>
      <c r="F5901">
        <v>0.76402439841996395</v>
      </c>
      <c r="G5901">
        <v>0.32543009915522503</v>
      </c>
      <c r="H5901">
        <v>0.145432854655589</v>
      </c>
      <c r="I5901">
        <v>0.20639362031110101</v>
      </c>
      <c r="J5901">
        <v>0.15952689602869699</v>
      </c>
      <c r="K5901">
        <v>0.15388840151979699</v>
      </c>
      <c r="L5901">
        <v>2315.7598428783999</v>
      </c>
      <c r="M5901">
        <v>42.426931101583001</v>
      </c>
      <c r="N5901">
        <v>55.111205329081798</v>
      </c>
      <c r="O5901">
        <v>54.4614648446262</v>
      </c>
      <c r="P5901">
        <v>-0.162186540422327</v>
      </c>
      <c r="Q5901">
        <v>0.16723629339566401</v>
      </c>
      <c r="R5901">
        <v>0.97826032322710199</v>
      </c>
      <c r="S5901" t="s">
        <v>12904</v>
      </c>
      <c r="T5901" t="s">
        <v>14004</v>
      </c>
      <c r="U5901" t="s">
        <v>14004</v>
      </c>
      <c r="V5901" t="s">
        <v>14004</v>
      </c>
      <c r="W5901" t="s">
        <v>19850</v>
      </c>
      <c r="X5901">
        <v>8</v>
      </c>
      <c r="Y5901" t="s">
        <v>26646</v>
      </c>
      <c r="Z5901" t="s">
        <v>33611</v>
      </c>
      <c r="AA5901">
        <v>0.57480885733513554</v>
      </c>
      <c r="AB5901" t="str">
        <f>HYPERLINK("Melting_Curves/meltCurve_Q9H1A4_ANAPC1.pdf", "Melting_Curves/meltCurve_Q9H1A4_ANAPC1.pdf")</f>
        <v>Melting_Curves/meltCurve_Q9H1A4_ANAPC1.pdf</v>
      </c>
    </row>
    <row r="5902" spans="1:28" x14ac:dyDescent="0.25">
      <c r="A5902" t="s">
        <v>5906</v>
      </c>
      <c r="B5902">
        <v>0.99999676499088797</v>
      </c>
      <c r="C5902">
        <v>0.83723787374077796</v>
      </c>
      <c r="D5902">
        <v>0.618330273008456</v>
      </c>
      <c r="E5902">
        <v>0.345222463998831</v>
      </c>
      <c r="F5902">
        <v>0.194932787484763</v>
      </c>
      <c r="G5902">
        <v>0.14297195884304401</v>
      </c>
      <c r="H5902">
        <v>7.0428073698137597E-2</v>
      </c>
      <c r="I5902">
        <v>8.7232604727427193E-2</v>
      </c>
      <c r="J5902">
        <v>9.8441759516385702E-2</v>
      </c>
      <c r="K5902">
        <v>0.11860631788842201</v>
      </c>
      <c r="L5902">
        <v>833.10578711477103</v>
      </c>
      <c r="M5902">
        <v>17.769339541188099</v>
      </c>
      <c r="N5902">
        <v>47.420294805020099</v>
      </c>
      <c r="O5902">
        <v>46.302742069631798</v>
      </c>
      <c r="P5902">
        <v>-8.7218976329697898E-2</v>
      </c>
      <c r="Q5902">
        <v>9.09579936630346E-2</v>
      </c>
      <c r="R5902">
        <v>0.99602470506245</v>
      </c>
      <c r="S5902" t="s">
        <v>12905</v>
      </c>
      <c r="T5902" t="s">
        <v>14004</v>
      </c>
      <c r="U5902" t="s">
        <v>14004</v>
      </c>
      <c r="V5902" t="s">
        <v>14004</v>
      </c>
      <c r="W5902" t="s">
        <v>19851</v>
      </c>
      <c r="X5902">
        <v>16</v>
      </c>
      <c r="Y5902" t="s">
        <v>26647</v>
      </c>
      <c r="Z5902" t="s">
        <v>33612</v>
      </c>
      <c r="AA5902">
        <v>0.31691767653542707</v>
      </c>
      <c r="AB5902" t="str">
        <f>HYPERLINK("Melting_Curves/meltCurve_Q9H1B7_IRF2BPL.pdf", "Melting_Curves/meltCurve_Q9H1B7_IRF2BPL.pdf")</f>
        <v>Melting_Curves/meltCurve_Q9H1B7_IRF2BPL.pdf</v>
      </c>
    </row>
    <row r="5903" spans="1:28" x14ac:dyDescent="0.25">
      <c r="A5903" t="s">
        <v>5907</v>
      </c>
      <c r="B5903">
        <v>0.99999676499088797</v>
      </c>
      <c r="C5903">
        <v>1.0708284396896901</v>
      </c>
      <c r="D5903">
        <v>1.03272286638092</v>
      </c>
      <c r="E5903">
        <v>1.0649253443797899</v>
      </c>
      <c r="F5903">
        <v>0.82700031434778198</v>
      </c>
      <c r="G5903">
        <v>0.47428391582066798</v>
      </c>
      <c r="H5903">
        <v>0.179584457087267</v>
      </c>
      <c r="I5903">
        <v>0.13414020515074801</v>
      </c>
      <c r="J5903">
        <v>0.13182167486370799</v>
      </c>
      <c r="K5903">
        <v>0.108068528162858</v>
      </c>
      <c r="L5903">
        <v>1725.1653932608899</v>
      </c>
      <c r="M5903">
        <v>30.8066045290701</v>
      </c>
      <c r="N5903">
        <v>56.480102041555597</v>
      </c>
      <c r="O5903">
        <v>55.765474262496497</v>
      </c>
      <c r="P5903">
        <v>-0.12219526766489699</v>
      </c>
      <c r="Q5903">
        <v>0.11522386722788799</v>
      </c>
      <c r="R5903">
        <v>0.991869880931047</v>
      </c>
      <c r="S5903" t="s">
        <v>12906</v>
      </c>
      <c r="T5903" t="s">
        <v>14004</v>
      </c>
      <c r="U5903" t="s">
        <v>14004</v>
      </c>
      <c r="V5903" t="s">
        <v>14004</v>
      </c>
      <c r="W5903" t="s">
        <v>19852</v>
      </c>
      <c r="X5903">
        <v>7</v>
      </c>
      <c r="Y5903" t="s">
        <v>26648</v>
      </c>
      <c r="Z5903" t="s">
        <v>33613</v>
      </c>
      <c r="AA5903">
        <v>0.59271884055059787</v>
      </c>
      <c r="AB5903" t="str">
        <f>HYPERLINK("Melting_Curves/meltCurve_Q9H1D9_POLR3F.pdf", "Melting_Curves/meltCurve_Q9H1D9_POLR3F.pdf")</f>
        <v>Melting_Curves/meltCurve_Q9H1D9_POLR3F.pdf</v>
      </c>
    </row>
    <row r="5904" spans="1:28" x14ac:dyDescent="0.25">
      <c r="A5904" t="s">
        <v>5908</v>
      </c>
      <c r="B5904">
        <v>0.99999676499088797</v>
      </c>
      <c r="C5904">
        <v>1.0175983123938801</v>
      </c>
      <c r="D5904">
        <v>1.2347751366864801</v>
      </c>
      <c r="E5904">
        <v>1.57045868649788</v>
      </c>
      <c r="F5904">
        <v>1.7995534430395801</v>
      </c>
      <c r="G5904">
        <v>1.68621588884364</v>
      </c>
      <c r="H5904">
        <v>1.44143373122948</v>
      </c>
      <c r="I5904">
        <v>1.2563100901761799</v>
      </c>
      <c r="J5904">
        <v>0.93388281187091304</v>
      </c>
      <c r="K5904">
        <v>1.4174239561956901</v>
      </c>
      <c r="L5904">
        <v>11494.6143866084</v>
      </c>
      <c r="M5904">
        <v>250</v>
      </c>
      <c r="O5904">
        <v>45.975515240667498</v>
      </c>
      <c r="P5904">
        <v>0.60305364182670895</v>
      </c>
      <c r="Q5904">
        <v>1.44361122979015</v>
      </c>
      <c r="R5904">
        <v>0.38025254243714901</v>
      </c>
      <c r="S5904" t="s">
        <v>12907</v>
      </c>
      <c r="T5904" t="s">
        <v>14004</v>
      </c>
      <c r="U5904" t="s">
        <v>14004</v>
      </c>
      <c r="V5904" t="s">
        <v>14004</v>
      </c>
      <c r="W5904" t="s">
        <v>19853</v>
      </c>
      <c r="X5904">
        <v>14</v>
      </c>
      <c r="Y5904" t="s">
        <v>26649</v>
      </c>
      <c r="Z5904" t="s">
        <v>33614</v>
      </c>
      <c r="AA5904">
        <v>1.3551717373305681</v>
      </c>
      <c r="AB5904" t="str">
        <f>HYPERLINK("Melting_Curves/meltCurve_Q9H1E3_NUCKS1.pdf", "Melting_Curves/meltCurve_Q9H1E3_NUCKS1.pdf")</f>
        <v>Melting_Curves/meltCurve_Q9H1E3_NUCKS1.pdf</v>
      </c>
    </row>
    <row r="5905" spans="1:28" x14ac:dyDescent="0.25">
      <c r="A5905" t="s">
        <v>5909</v>
      </c>
      <c r="B5905">
        <v>0.99999676499088797</v>
      </c>
      <c r="C5905">
        <v>0.95505476115532195</v>
      </c>
      <c r="D5905">
        <v>0.89161616908743102</v>
      </c>
      <c r="E5905">
        <v>0.701004718178455</v>
      </c>
      <c r="F5905">
        <v>0.459684156794397</v>
      </c>
      <c r="G5905">
        <v>0.30878824576102998</v>
      </c>
      <c r="H5905">
        <v>0.15880379068606201</v>
      </c>
      <c r="I5905">
        <v>0.16124869016137</v>
      </c>
      <c r="J5905">
        <v>0.19281254353201199</v>
      </c>
      <c r="K5905">
        <v>0.13984574606066</v>
      </c>
      <c r="L5905">
        <v>840.86923536030599</v>
      </c>
      <c r="M5905">
        <v>16.319361921231899</v>
      </c>
      <c r="N5905">
        <v>52.537271191091598</v>
      </c>
      <c r="O5905">
        <v>50.770811038921202</v>
      </c>
      <c r="P5905">
        <v>-6.9530513435270697E-2</v>
      </c>
      <c r="Q5905">
        <v>0.13480342468964401</v>
      </c>
      <c r="R5905">
        <v>0.996519137542901</v>
      </c>
      <c r="S5905" t="s">
        <v>12908</v>
      </c>
      <c r="T5905" t="s">
        <v>14004</v>
      </c>
      <c r="U5905" t="s">
        <v>14004</v>
      </c>
      <c r="V5905" t="s">
        <v>14004</v>
      </c>
      <c r="W5905" t="s">
        <v>19854</v>
      </c>
      <c r="X5905">
        <v>2</v>
      </c>
      <c r="Y5905" t="s">
        <v>26650</v>
      </c>
      <c r="Z5905" t="s">
        <v>33615</v>
      </c>
      <c r="AA5905">
        <v>0.4843409716890249</v>
      </c>
      <c r="AB5905" t="str">
        <f>HYPERLINK("Melting_Curves/meltCurve_Q9H1E5_TMX4.pdf", "Melting_Curves/meltCurve_Q9H1E5_TMX4.pdf")</f>
        <v>Melting_Curves/meltCurve_Q9H1E5_TMX4.pdf</v>
      </c>
    </row>
    <row r="5906" spans="1:28" x14ac:dyDescent="0.25">
      <c r="A5906" t="s">
        <v>5910</v>
      </c>
      <c r="B5906">
        <v>0.99999676499088797</v>
      </c>
      <c r="C5906">
        <v>1.02443513856771</v>
      </c>
      <c r="D5906">
        <v>0.79435796580857398</v>
      </c>
      <c r="E5906">
        <v>0.55829400894816505</v>
      </c>
      <c r="F5906">
        <v>0.48047975435870799</v>
      </c>
      <c r="G5906">
        <v>0.28690562427936001</v>
      </c>
      <c r="H5906">
        <v>0.15154985120751399</v>
      </c>
      <c r="I5906">
        <v>8.9240005366308203E-2</v>
      </c>
      <c r="J5906">
        <v>9.97932734810342E-2</v>
      </c>
      <c r="K5906">
        <v>0.14089032649150701</v>
      </c>
      <c r="L5906">
        <v>683.215447593764</v>
      </c>
      <c r="M5906">
        <v>13.3850719023133</v>
      </c>
      <c r="N5906">
        <v>51.678308118626397</v>
      </c>
      <c r="O5906">
        <v>49.944168396744097</v>
      </c>
      <c r="P5906">
        <v>-6.1927855103309698E-2</v>
      </c>
      <c r="Q5906">
        <v>7.5852108069826896E-2</v>
      </c>
      <c r="R5906">
        <v>0.98073156960950003</v>
      </c>
      <c r="S5906" t="s">
        <v>12909</v>
      </c>
      <c r="T5906" t="s">
        <v>14004</v>
      </c>
      <c r="U5906" t="s">
        <v>14004</v>
      </c>
      <c r="V5906" t="s">
        <v>14004</v>
      </c>
      <c r="W5906" t="s">
        <v>19855</v>
      </c>
      <c r="X5906">
        <v>2</v>
      </c>
      <c r="Y5906" t="s">
        <v>26651</v>
      </c>
      <c r="Z5906" t="s">
        <v>33616</v>
      </c>
      <c r="AA5906">
        <v>0.44160257104814382</v>
      </c>
      <c r="AB5906" t="str">
        <f>HYPERLINK("Melting_Curves/meltCurve_Q9H1I8_3_ASCC2.pdf", "Melting_Curves/meltCurve_Q9H1I8_3_ASCC2.pdf")</f>
        <v>Melting_Curves/meltCurve_Q9H1I8_3_ASCC2.pdf</v>
      </c>
    </row>
    <row r="5907" spans="1:28" x14ac:dyDescent="0.25">
      <c r="A5907" t="s">
        <v>5911</v>
      </c>
      <c r="B5907">
        <v>0.99999676499088797</v>
      </c>
      <c r="C5907">
        <v>1.5138365903008799</v>
      </c>
      <c r="D5907">
        <v>1.6028720711565001</v>
      </c>
      <c r="E5907">
        <v>0.88967296537001594</v>
      </c>
      <c r="F5907">
        <v>1.0300277106798099</v>
      </c>
      <c r="G5907">
        <v>1.04467349351526</v>
      </c>
      <c r="H5907">
        <v>0.47053444391523103</v>
      </c>
      <c r="I5907">
        <v>0.74798694392948495</v>
      </c>
      <c r="J5907">
        <v>1.1050099819516801</v>
      </c>
      <c r="K5907">
        <v>0.83856172129429396</v>
      </c>
      <c r="L5907">
        <v>10997.5285155571</v>
      </c>
      <c r="M5907">
        <v>188.22153562008799</v>
      </c>
      <c r="O5907">
        <v>58.422045139916499</v>
      </c>
      <c r="P5907">
        <v>-0.16873194922082399</v>
      </c>
      <c r="Q5907">
        <v>0.79050929578033702</v>
      </c>
      <c r="R5907">
        <v>0.166510475629117</v>
      </c>
      <c r="S5907" t="s">
        <v>12910</v>
      </c>
      <c r="T5907" t="s">
        <v>14004</v>
      </c>
      <c r="U5907" t="s">
        <v>14004</v>
      </c>
      <c r="V5907" t="s">
        <v>14004</v>
      </c>
      <c r="W5907" t="s">
        <v>19856</v>
      </c>
      <c r="X5907">
        <v>1</v>
      </c>
      <c r="Y5907" t="s">
        <v>26652</v>
      </c>
      <c r="Z5907" t="s">
        <v>33617</v>
      </c>
      <c r="AA5907">
        <v>0.91923483126423777</v>
      </c>
      <c r="AB5907" t="str">
        <f>HYPERLINK("Melting_Curves/meltCurve_Q9H1J1_2_UPF3A.pdf", "Melting_Curves/meltCurve_Q9H1J1_2_UPF3A.pdf")</f>
        <v>Melting_Curves/meltCurve_Q9H1J1_2_UPF3A.pdf</v>
      </c>
    </row>
    <row r="5908" spans="1:28" x14ac:dyDescent="0.25">
      <c r="A5908" t="s">
        <v>5912</v>
      </c>
      <c r="B5908">
        <v>0.99999676499088797</v>
      </c>
      <c r="C5908">
        <v>1.00046949252962</v>
      </c>
      <c r="D5908">
        <v>0.98428195114372297</v>
      </c>
      <c r="E5908">
        <v>0.53271677204491996</v>
      </c>
      <c r="F5908">
        <v>0.37495128749659401</v>
      </c>
      <c r="G5908">
        <v>0.2280454063414</v>
      </c>
      <c r="H5908">
        <v>0.13542761191001901</v>
      </c>
      <c r="I5908">
        <v>0.14614968988146501</v>
      </c>
      <c r="J5908">
        <v>0.127332368323191</v>
      </c>
      <c r="K5908">
        <v>0.161462516390803</v>
      </c>
      <c r="L5908">
        <v>1171.4000329524499</v>
      </c>
      <c r="M5908">
        <v>23.445924449252701</v>
      </c>
      <c r="N5908">
        <v>50.735388985043301</v>
      </c>
      <c r="O5908">
        <v>49.6025757392675</v>
      </c>
      <c r="P5908">
        <v>-0.100411053838563</v>
      </c>
      <c r="Q5908">
        <v>0.15028976730245</v>
      </c>
      <c r="R5908">
        <v>0.98519194290256196</v>
      </c>
      <c r="S5908" t="s">
        <v>12911</v>
      </c>
      <c r="T5908" t="s">
        <v>14004</v>
      </c>
      <c r="U5908" t="s">
        <v>14004</v>
      </c>
      <c r="V5908" t="s">
        <v>14004</v>
      </c>
      <c r="W5908" t="s">
        <v>19857</v>
      </c>
      <c r="X5908">
        <v>5</v>
      </c>
      <c r="Y5908" t="s">
        <v>26653</v>
      </c>
      <c r="Z5908" t="s">
        <v>33618</v>
      </c>
      <c r="AA5908">
        <v>0.44107935304287971</v>
      </c>
      <c r="AB5908" t="str">
        <f>HYPERLINK("Melting_Curves/meltCurve_Q9H1K0_ZFYVE20.pdf", "Melting_Curves/meltCurve_Q9H1K0_ZFYVE20.pdf")</f>
        <v>Melting_Curves/meltCurve_Q9H1K0_ZFYVE20.pdf</v>
      </c>
    </row>
    <row r="5909" spans="1:28" x14ac:dyDescent="0.25">
      <c r="A5909" t="s">
        <v>5913</v>
      </c>
      <c r="B5909">
        <v>0.99999676499088797</v>
      </c>
      <c r="C5909">
        <v>0.93946993749460495</v>
      </c>
      <c r="D5909">
        <v>1.0176426560866401</v>
      </c>
      <c r="E5909">
        <v>0.93962611460579104</v>
      </c>
      <c r="F5909">
        <v>0.71147648329791402</v>
      </c>
      <c r="G5909">
        <v>0.53511231564532402</v>
      </c>
      <c r="H5909">
        <v>0.28645024537038499</v>
      </c>
      <c r="I5909">
        <v>0.224230112135159</v>
      </c>
      <c r="J5909">
        <v>0.182434805293269</v>
      </c>
      <c r="K5909">
        <v>0.20894647105373401</v>
      </c>
      <c r="L5909">
        <v>1048.6894936339399</v>
      </c>
      <c r="M5909">
        <v>18.879087376527099</v>
      </c>
      <c r="N5909">
        <v>56.777812579519903</v>
      </c>
      <c r="O5909">
        <v>54.935698307889702</v>
      </c>
      <c r="P5909">
        <v>-7.14964299436288E-2</v>
      </c>
      <c r="Q5909">
        <v>0.16785262617438099</v>
      </c>
      <c r="R5909">
        <v>0.99246144245491497</v>
      </c>
      <c r="S5909" t="s">
        <v>12912</v>
      </c>
      <c r="T5909" t="s">
        <v>14004</v>
      </c>
      <c r="U5909" t="s">
        <v>14004</v>
      </c>
      <c r="V5909" t="s">
        <v>14004</v>
      </c>
      <c r="W5909" t="s">
        <v>19858</v>
      </c>
      <c r="X5909">
        <v>11</v>
      </c>
      <c r="Y5909" t="s">
        <v>26654</v>
      </c>
      <c r="Z5909" t="s">
        <v>33619</v>
      </c>
      <c r="AA5909">
        <v>0.61092357118383911</v>
      </c>
      <c r="AB5909" t="str">
        <f>HYPERLINK("Melting_Curves/meltCurve_Q9H1K1_ISCU.pdf", "Melting_Curves/meltCurve_Q9H1K1_ISCU.pdf")</f>
        <v>Melting_Curves/meltCurve_Q9H1K1_ISCU.pdf</v>
      </c>
    </row>
    <row r="5910" spans="1:28" x14ac:dyDescent="0.25">
      <c r="A5910" t="s">
        <v>5914</v>
      </c>
      <c r="B5910">
        <v>0.99999676499088797</v>
      </c>
      <c r="C5910">
        <v>0.98164502669025699</v>
      </c>
      <c r="D5910">
        <v>0.85422422036909595</v>
      </c>
      <c r="E5910">
        <v>0.85856302252114403</v>
      </c>
      <c r="F5910">
        <v>0.61601380504524195</v>
      </c>
      <c r="G5910">
        <v>0.27812271598087701</v>
      </c>
      <c r="H5910">
        <v>0.118638975044499</v>
      </c>
      <c r="I5910">
        <v>0.15120425403385299</v>
      </c>
      <c r="J5910">
        <v>0.15481867866736601</v>
      </c>
      <c r="K5910">
        <v>8.0614261881513397E-2</v>
      </c>
      <c r="L5910">
        <v>1091.9660522931399</v>
      </c>
      <c r="M5910">
        <v>20.400079429218199</v>
      </c>
      <c r="N5910">
        <v>54.0796810217402</v>
      </c>
      <c r="O5910">
        <v>53.021127862033801</v>
      </c>
      <c r="P5910">
        <v>-8.7148333092337799E-2</v>
      </c>
      <c r="Q5910">
        <v>9.4010311216159298E-2</v>
      </c>
      <c r="R5910">
        <v>0.98419371678541101</v>
      </c>
      <c r="S5910" t="s">
        <v>12913</v>
      </c>
      <c r="T5910" t="s">
        <v>14004</v>
      </c>
      <c r="U5910" t="s">
        <v>14004</v>
      </c>
      <c r="V5910" t="s">
        <v>14004</v>
      </c>
      <c r="W5910" t="s">
        <v>19859</v>
      </c>
      <c r="X5910">
        <v>4</v>
      </c>
      <c r="Y5910" t="s">
        <v>26655</v>
      </c>
      <c r="Z5910" t="s">
        <v>33620</v>
      </c>
      <c r="AA5910">
        <v>0.5145286292686716</v>
      </c>
      <c r="AB5910" t="str">
        <f>HYPERLINK("Melting_Curves/meltCurve_Q9H1Y0_ATG5.pdf", "Melting_Curves/meltCurve_Q9H1Y0_ATG5.pdf")</f>
        <v>Melting_Curves/meltCurve_Q9H1Y0_ATG5.pdf</v>
      </c>
    </row>
    <row r="5911" spans="1:28" x14ac:dyDescent="0.25">
      <c r="A5911" t="s">
        <v>5915</v>
      </c>
      <c r="B5911">
        <v>0.99999676499088797</v>
      </c>
      <c r="C5911">
        <v>1.15718096323255</v>
      </c>
      <c r="D5911">
        <v>1.00035830162573</v>
      </c>
      <c r="E5911">
        <v>0.92760636745950398</v>
      </c>
      <c r="F5911">
        <v>0.83118779268909904</v>
      </c>
      <c r="G5911">
        <v>0.81222651229290599</v>
      </c>
      <c r="H5911">
        <v>0.45832527106911902</v>
      </c>
      <c r="I5911">
        <v>0.42109198112999102</v>
      </c>
      <c r="J5911">
        <v>0.26139868425968499</v>
      </c>
      <c r="K5911">
        <v>0.242497489587083</v>
      </c>
      <c r="L5911">
        <v>883.06305394693004</v>
      </c>
      <c r="M5911">
        <v>14.7485343816029</v>
      </c>
      <c r="N5911">
        <v>61.243100981922701</v>
      </c>
      <c r="O5911">
        <v>58.806182562558497</v>
      </c>
      <c r="P5911">
        <v>-5.3903922743790501E-2</v>
      </c>
      <c r="Q5911">
        <v>0.14037781889289699</v>
      </c>
      <c r="R5911">
        <v>0.95811327794234202</v>
      </c>
      <c r="S5911" t="s">
        <v>12914</v>
      </c>
      <c r="T5911" t="s">
        <v>14004</v>
      </c>
      <c r="U5911" t="s">
        <v>14004</v>
      </c>
      <c r="V5911" t="s">
        <v>14004</v>
      </c>
      <c r="W5911" t="s">
        <v>19860</v>
      </c>
      <c r="X5911">
        <v>5</v>
      </c>
      <c r="Y5911" t="s">
        <v>26656</v>
      </c>
      <c r="Z5911" t="s">
        <v>33621</v>
      </c>
      <c r="AA5911">
        <v>0.71601976535587319</v>
      </c>
      <c r="AB5911" t="str">
        <f>HYPERLINK("Melting_Curves/meltCurve_Q9H1Z4_WDR13.pdf", "Melting_Curves/meltCurve_Q9H1Z4_WDR13.pdf")</f>
        <v>Melting_Curves/meltCurve_Q9H1Z4_WDR13.pdf</v>
      </c>
    </row>
    <row r="5912" spans="1:28" x14ac:dyDescent="0.25">
      <c r="A5912" t="s">
        <v>5916</v>
      </c>
      <c r="B5912">
        <v>0.99999676499088797</v>
      </c>
      <c r="C5912">
        <v>0.97426521972461999</v>
      </c>
      <c r="D5912">
        <v>1.0079612663806601</v>
      </c>
      <c r="E5912">
        <v>0.88193762099824702</v>
      </c>
      <c r="F5912">
        <v>0.75178999144435499</v>
      </c>
      <c r="G5912">
        <v>0.51635100229737796</v>
      </c>
      <c r="H5912">
        <v>0.30391937603567398</v>
      </c>
      <c r="I5912">
        <v>0.27545948598851</v>
      </c>
      <c r="J5912">
        <v>0.29590672644098498</v>
      </c>
      <c r="K5912">
        <v>0.32435803943900499</v>
      </c>
      <c r="L5912">
        <v>1179.3268333067799</v>
      </c>
      <c r="M5912">
        <v>21.605957329496299</v>
      </c>
      <c r="N5912">
        <v>56.685098926406802</v>
      </c>
      <c r="O5912">
        <v>54.122274914100998</v>
      </c>
      <c r="P5912">
        <v>-7.2300323914251105E-2</v>
      </c>
      <c r="Q5912">
        <v>0.27557680253062999</v>
      </c>
      <c r="R5912">
        <v>0.99109410256159902</v>
      </c>
      <c r="S5912" t="s">
        <v>12915</v>
      </c>
      <c r="T5912" t="s">
        <v>14004</v>
      </c>
      <c r="U5912" t="s">
        <v>14004</v>
      </c>
      <c r="V5912" t="s">
        <v>14004</v>
      </c>
      <c r="W5912" t="s">
        <v>19861</v>
      </c>
      <c r="X5912">
        <v>3</v>
      </c>
      <c r="Y5912" t="s">
        <v>26657</v>
      </c>
      <c r="Z5912" t="s">
        <v>33622</v>
      </c>
      <c r="AA5912">
        <v>0.63634189213857506</v>
      </c>
      <c r="AB5912" t="str">
        <f>HYPERLINK("Melting_Curves/meltCurve_Q9H204_MED28.pdf", "Melting_Curves/meltCurve_Q9H204_MED28.pdf")</f>
        <v>Melting_Curves/meltCurve_Q9H204_MED28.pdf</v>
      </c>
    </row>
    <row r="5913" spans="1:28" x14ac:dyDescent="0.25">
      <c r="A5913" t="s">
        <v>5917</v>
      </c>
      <c r="B5913">
        <v>0.99999676499088797</v>
      </c>
      <c r="C5913">
        <v>0.98799060792910598</v>
      </c>
      <c r="D5913">
        <v>0.98199994543143798</v>
      </c>
      <c r="E5913">
        <v>0.91375122504593498</v>
      </c>
      <c r="F5913">
        <v>0.27768975431519899</v>
      </c>
      <c r="G5913">
        <v>0.16865865003779301</v>
      </c>
      <c r="H5913">
        <v>7.3669821731553106E-2</v>
      </c>
      <c r="I5913">
        <v>6.6248830556309798E-2</v>
      </c>
      <c r="J5913">
        <v>5.6298018488800103E-2</v>
      </c>
      <c r="K5913">
        <v>4.5957316928597503E-2</v>
      </c>
      <c r="L5913">
        <v>2438.1017636087399</v>
      </c>
      <c r="M5913">
        <v>47.028125083813698</v>
      </c>
      <c r="N5913">
        <v>52.028370513411303</v>
      </c>
      <c r="O5913">
        <v>51.750000969378299</v>
      </c>
      <c r="P5913">
        <v>-0.209706900066924</v>
      </c>
      <c r="Q5913">
        <v>7.6950644592369E-2</v>
      </c>
      <c r="R5913">
        <v>0.99550691868643504</v>
      </c>
      <c r="S5913" t="s">
        <v>12916</v>
      </c>
      <c r="T5913" t="s">
        <v>14004</v>
      </c>
      <c r="U5913" t="s">
        <v>14004</v>
      </c>
      <c r="V5913" t="s">
        <v>14004</v>
      </c>
      <c r="W5913" t="s">
        <v>19862</v>
      </c>
      <c r="X5913">
        <v>17</v>
      </c>
      <c r="Y5913" t="s">
        <v>26658</v>
      </c>
      <c r="Z5913" t="s">
        <v>33623</v>
      </c>
      <c r="AA5913">
        <v>0.44374212151972042</v>
      </c>
      <c r="AB5913" t="str">
        <f>HYPERLINK("Melting_Curves/meltCurve_Q9H223_EHD4.pdf", "Melting_Curves/meltCurve_Q9H223_EHD4.pdf")</f>
        <v>Melting_Curves/meltCurve_Q9H223_EHD4.pdf</v>
      </c>
    </row>
    <row r="5914" spans="1:28" x14ac:dyDescent="0.25">
      <c r="A5914" t="s">
        <v>5918</v>
      </c>
      <c r="B5914">
        <v>0.99999676499088797</v>
      </c>
      <c r="C5914">
        <v>1.14042124171073</v>
      </c>
      <c r="D5914">
        <v>1.1385809204188999</v>
      </c>
      <c r="E5914">
        <v>0.74463225128983801</v>
      </c>
      <c r="F5914">
        <v>1.0245343298360701</v>
      </c>
      <c r="G5914">
        <v>1.10893111337716</v>
      </c>
      <c r="H5914">
        <v>0.76311776543464205</v>
      </c>
      <c r="I5914">
        <v>0.74197090131563403</v>
      </c>
      <c r="J5914">
        <v>0.55287506966817601</v>
      </c>
      <c r="K5914">
        <v>0.56765137348540295</v>
      </c>
      <c r="L5914">
        <v>2017.39907160642</v>
      </c>
      <c r="M5914">
        <v>32.608623802706497</v>
      </c>
      <c r="O5914">
        <v>61.635761598675899</v>
      </c>
      <c r="P5914">
        <v>-5.8545773471419198E-2</v>
      </c>
      <c r="Q5914">
        <v>0.55735681161627004</v>
      </c>
      <c r="R5914">
        <v>0.71798358711536303</v>
      </c>
      <c r="S5914" t="s">
        <v>12917</v>
      </c>
      <c r="T5914" t="s">
        <v>14004</v>
      </c>
      <c r="U5914" t="s">
        <v>14004</v>
      </c>
      <c r="V5914" t="s">
        <v>14004</v>
      </c>
      <c r="W5914" t="s">
        <v>19863</v>
      </c>
      <c r="X5914">
        <v>4</v>
      </c>
      <c r="Y5914" t="s">
        <v>26659</v>
      </c>
      <c r="Z5914" t="s">
        <v>33624</v>
      </c>
      <c r="AA5914">
        <v>0.88199752020666888</v>
      </c>
      <c r="AB5914" t="str">
        <f>HYPERLINK("Melting_Curves/meltCurve_Q9H246_C1orf21.pdf", "Melting_Curves/meltCurve_Q9H246_C1orf21.pdf")</f>
        <v>Melting_Curves/meltCurve_Q9H246_C1orf21.pdf</v>
      </c>
    </row>
    <row r="5915" spans="1:28" x14ac:dyDescent="0.25">
      <c r="A5915" t="s">
        <v>5919</v>
      </c>
      <c r="B5915">
        <v>0.99999676499088797</v>
      </c>
      <c r="C5915">
        <v>0.65416206817302303</v>
      </c>
      <c r="D5915">
        <v>0.76163937476888</v>
      </c>
      <c r="E5915">
        <v>0.81750785968308204</v>
      </c>
      <c r="F5915">
        <v>1.3816735510429801</v>
      </c>
      <c r="G5915">
        <v>0.782672226912004</v>
      </c>
      <c r="H5915">
        <v>0.70827307859348998</v>
      </c>
      <c r="I5915">
        <v>0.33844282845340501</v>
      </c>
      <c r="J5915">
        <v>0.183722657639763</v>
      </c>
      <c r="K5915">
        <v>0.246923111902279</v>
      </c>
      <c r="L5915">
        <v>1917.9878666228999</v>
      </c>
      <c r="M5915">
        <v>31.235339569502699</v>
      </c>
      <c r="N5915">
        <v>62.292758516980001</v>
      </c>
      <c r="O5915">
        <v>61.154386661295497</v>
      </c>
      <c r="P5915">
        <v>-0.10474126888283</v>
      </c>
      <c r="Q5915">
        <v>0.17973019420811401</v>
      </c>
      <c r="R5915">
        <v>0.66724014026202305</v>
      </c>
      <c r="S5915" t="s">
        <v>12918</v>
      </c>
      <c r="T5915" t="s">
        <v>14004</v>
      </c>
      <c r="U5915" t="s">
        <v>14004</v>
      </c>
      <c r="V5915" t="s">
        <v>14004</v>
      </c>
      <c r="W5915" t="s">
        <v>19864</v>
      </c>
      <c r="X5915">
        <v>7</v>
      </c>
      <c r="Y5915" t="s">
        <v>26660</v>
      </c>
      <c r="Z5915" t="s">
        <v>33625</v>
      </c>
      <c r="AA5915">
        <v>0.76910529115569282</v>
      </c>
      <c r="AB5915" t="str">
        <f>HYPERLINK("Melting_Curves/meltCurve_Q9H254_4_SPTBN4.pdf", "Melting_Curves/meltCurve_Q9H254_4_SPTBN4.pdf")</f>
        <v>Melting_Curves/meltCurve_Q9H254_4_SPTBN4.pdf</v>
      </c>
    </row>
    <row r="5916" spans="1:28" x14ac:dyDescent="0.25">
      <c r="A5916" t="s">
        <v>5920</v>
      </c>
      <c r="B5916">
        <v>0.99999676499088797</v>
      </c>
      <c r="C5916">
        <v>0.96715763999319404</v>
      </c>
      <c r="D5916">
        <v>0.72405543135778105</v>
      </c>
      <c r="E5916">
        <v>0.34004699919498499</v>
      </c>
      <c r="F5916">
        <v>0.17089255780967799</v>
      </c>
      <c r="G5916">
        <v>8.0001531534889203E-2</v>
      </c>
      <c r="H5916">
        <v>4.0827654539696702E-2</v>
      </c>
      <c r="I5916">
        <v>4.3419963889898897E-2</v>
      </c>
      <c r="J5916">
        <v>4.4889779682488702E-2</v>
      </c>
      <c r="K5916">
        <v>2.9511327157203501E-2</v>
      </c>
      <c r="L5916">
        <v>1063.2899458673</v>
      </c>
      <c r="M5916">
        <v>22.162278454758699</v>
      </c>
      <c r="N5916">
        <v>48.169331180278597</v>
      </c>
      <c r="O5916">
        <v>47.591978797823899</v>
      </c>
      <c r="P5916">
        <v>-0.11150210454609499</v>
      </c>
      <c r="Q5916">
        <v>4.2248448717560998E-2</v>
      </c>
      <c r="R5916">
        <v>0.99806042198302103</v>
      </c>
      <c r="S5916" t="s">
        <v>12919</v>
      </c>
      <c r="T5916" t="s">
        <v>14004</v>
      </c>
      <c r="U5916" t="s">
        <v>14004</v>
      </c>
      <c r="V5916" t="s">
        <v>14004</v>
      </c>
      <c r="W5916" t="s">
        <v>19865</v>
      </c>
      <c r="X5916">
        <v>14</v>
      </c>
      <c r="Y5916" t="s">
        <v>26661</v>
      </c>
      <c r="Z5916" t="s">
        <v>33626</v>
      </c>
      <c r="AA5916">
        <v>0.30787290187269889</v>
      </c>
      <c r="AB5916" t="str">
        <f>HYPERLINK("Melting_Curves/meltCurve_Q9H267_VPS33B.pdf", "Melting_Curves/meltCurve_Q9H267_VPS33B.pdf")</f>
        <v>Melting_Curves/meltCurve_Q9H267_VPS33B.pdf</v>
      </c>
    </row>
    <row r="5917" spans="1:28" x14ac:dyDescent="0.25">
      <c r="A5917" t="s">
        <v>5921</v>
      </c>
      <c r="B5917">
        <v>0.99999676499088797</v>
      </c>
      <c r="C5917">
        <v>1.03276377333706</v>
      </c>
      <c r="D5917">
        <v>0.81951206855064296</v>
      </c>
      <c r="E5917">
        <v>0.396943393109988</v>
      </c>
      <c r="F5917">
        <v>0.21092032767149299</v>
      </c>
      <c r="G5917">
        <v>0.126562515001821</v>
      </c>
      <c r="H5917">
        <v>6.1593009626318598E-2</v>
      </c>
      <c r="I5917">
        <v>6.7065614263577697E-2</v>
      </c>
      <c r="J5917">
        <v>8.0648310320825603E-2</v>
      </c>
      <c r="K5917">
        <v>5.1844412758681603E-2</v>
      </c>
      <c r="L5917">
        <v>1224.6112493477699</v>
      </c>
      <c r="M5917">
        <v>25.194786133898798</v>
      </c>
      <c r="N5917">
        <v>48.9227875023726</v>
      </c>
      <c r="O5917">
        <v>48.302628189934801</v>
      </c>
      <c r="P5917">
        <v>-0.12058027537956099</v>
      </c>
      <c r="Q5917">
        <v>7.5321547349287504E-2</v>
      </c>
      <c r="R5917">
        <v>0.99439653757498103</v>
      </c>
      <c r="S5917" t="s">
        <v>12920</v>
      </c>
      <c r="T5917" t="s">
        <v>14004</v>
      </c>
      <c r="U5917" t="s">
        <v>14004</v>
      </c>
      <c r="V5917" t="s">
        <v>14004</v>
      </c>
      <c r="W5917" t="s">
        <v>19866</v>
      </c>
      <c r="X5917">
        <v>6</v>
      </c>
      <c r="Y5917" t="s">
        <v>26662</v>
      </c>
      <c r="Z5917" t="s">
        <v>33627</v>
      </c>
      <c r="AA5917">
        <v>0.34861923649462878</v>
      </c>
      <c r="AB5917" t="str">
        <f>HYPERLINK("Melting_Curves/meltCurve_Q9H269_VPS16.pdf", "Melting_Curves/meltCurve_Q9H269_VPS16.pdf")</f>
        <v>Melting_Curves/meltCurve_Q9H269_VPS16.pdf</v>
      </c>
    </row>
    <row r="5918" spans="1:28" x14ac:dyDescent="0.25">
      <c r="A5918" t="s">
        <v>5922</v>
      </c>
      <c r="B5918">
        <v>0.99999676499088797</v>
      </c>
      <c r="C5918">
        <v>0.99940226193164905</v>
      </c>
      <c r="D5918">
        <v>0.81370099709822397</v>
      </c>
      <c r="E5918">
        <v>0.40474053199809301</v>
      </c>
      <c r="F5918">
        <v>0.225740665140827</v>
      </c>
      <c r="G5918">
        <v>0.14450103226341399</v>
      </c>
      <c r="H5918">
        <v>7.9074680754396595E-2</v>
      </c>
      <c r="I5918">
        <v>8.6791058771882507E-2</v>
      </c>
      <c r="J5918">
        <v>8.3870978522154499E-2</v>
      </c>
      <c r="K5918">
        <v>6.9065779886161804E-2</v>
      </c>
      <c r="L5918">
        <v>1152.15304206477</v>
      </c>
      <c r="M5918">
        <v>23.723763049219802</v>
      </c>
      <c r="N5918">
        <v>48.963211228341102</v>
      </c>
      <c r="O5918">
        <v>48.224234570411099</v>
      </c>
      <c r="P5918">
        <v>-0.112207127300742</v>
      </c>
      <c r="Q5918">
        <v>8.7663627500642896E-2</v>
      </c>
      <c r="R5918">
        <v>0.99639656611799898</v>
      </c>
      <c r="S5918" t="s">
        <v>12921</v>
      </c>
      <c r="T5918" t="s">
        <v>14004</v>
      </c>
      <c r="U5918" t="s">
        <v>14004</v>
      </c>
      <c r="V5918" t="s">
        <v>14004</v>
      </c>
      <c r="W5918" t="s">
        <v>19867</v>
      </c>
      <c r="X5918">
        <v>17</v>
      </c>
      <c r="Y5918" t="s">
        <v>26663</v>
      </c>
      <c r="Z5918" t="s">
        <v>33628</v>
      </c>
      <c r="AA5918">
        <v>0.35714595716168401</v>
      </c>
      <c r="AB5918" t="str">
        <f>HYPERLINK("Melting_Curves/meltCurve_Q9H270_VPS11.pdf", "Melting_Curves/meltCurve_Q9H270_VPS11.pdf")</f>
        <v>Melting_Curves/meltCurve_Q9H270_VPS11.pdf</v>
      </c>
    </row>
    <row r="5919" spans="1:28" x14ac:dyDescent="0.25">
      <c r="A5919" t="s">
        <v>5923</v>
      </c>
      <c r="B5919">
        <v>0.99999676499088797</v>
      </c>
      <c r="C5919">
        <v>0.98832732837127502</v>
      </c>
      <c r="D5919">
        <v>0.96922674555884702</v>
      </c>
      <c r="E5919">
        <v>0.93185705476455505</v>
      </c>
      <c r="F5919">
        <v>0.45864212821009098</v>
      </c>
      <c r="G5919">
        <v>0.35631398208010101</v>
      </c>
      <c r="H5919">
        <v>0.16737056526330801</v>
      </c>
      <c r="I5919">
        <v>0.10911156133107899</v>
      </c>
      <c r="J5919">
        <v>0.1179891086451</v>
      </c>
      <c r="K5919">
        <v>9.0029366799375302E-2</v>
      </c>
      <c r="L5919">
        <v>1209.45974541804</v>
      </c>
      <c r="M5919">
        <v>22.757570378815899</v>
      </c>
      <c r="N5919">
        <v>53.728804949101303</v>
      </c>
      <c r="O5919">
        <v>52.740126480964697</v>
      </c>
      <c r="P5919">
        <v>-9.6068092145225506E-2</v>
      </c>
      <c r="Q5919">
        <v>0.109475368111956</v>
      </c>
      <c r="R5919">
        <v>0.98539537419442003</v>
      </c>
      <c r="S5919" t="s">
        <v>12922</v>
      </c>
      <c r="T5919" t="s">
        <v>14004</v>
      </c>
      <c r="U5919" t="s">
        <v>14004</v>
      </c>
      <c r="V5919" t="s">
        <v>14004</v>
      </c>
      <c r="W5919" t="s">
        <v>19868</v>
      </c>
      <c r="X5919">
        <v>14</v>
      </c>
      <c r="Y5919" t="s">
        <v>26664</v>
      </c>
      <c r="Z5919" t="s">
        <v>33629</v>
      </c>
      <c r="AA5919">
        <v>0.50944042114609933</v>
      </c>
      <c r="AB5919" t="str">
        <f>HYPERLINK("Melting_Curves/meltCurve_Q9H2C0_GAN.pdf", "Melting_Curves/meltCurve_Q9H2C0_GAN.pdf")</f>
        <v>Melting_Curves/meltCurve_Q9H2C0_GAN.pdf</v>
      </c>
    </row>
    <row r="5920" spans="1:28" x14ac:dyDescent="0.25">
      <c r="A5920" t="s">
        <v>5924</v>
      </c>
      <c r="B5920">
        <v>0.99999676499088797</v>
      </c>
      <c r="C5920">
        <v>1.2419973942973599</v>
      </c>
      <c r="D5920">
        <v>1.34244385937934</v>
      </c>
      <c r="E5920">
        <v>1.6649236350944301</v>
      </c>
      <c r="F5920">
        <v>1.5809672065496401</v>
      </c>
      <c r="G5920">
        <v>1.64713605052932</v>
      </c>
      <c r="H5920">
        <v>0.78910359024031196</v>
      </c>
      <c r="I5920">
        <v>0.27147077651476198</v>
      </c>
      <c r="J5920">
        <v>0.248655449634132</v>
      </c>
      <c r="K5920">
        <v>0.169803832665222</v>
      </c>
      <c r="L5920">
        <v>5085.9109518819396</v>
      </c>
      <c r="M5920">
        <v>82.602791428507402</v>
      </c>
      <c r="N5920">
        <v>62.0006974210417</v>
      </c>
      <c r="O5920">
        <v>61.5346315944753</v>
      </c>
      <c r="P5920">
        <v>-0.262417021444733</v>
      </c>
      <c r="Q5920">
        <v>0.218053889658269</v>
      </c>
      <c r="R5920">
        <v>0.56948652561479196</v>
      </c>
      <c r="S5920" t="s">
        <v>12923</v>
      </c>
      <c r="T5920" t="s">
        <v>14004</v>
      </c>
      <c r="U5920" t="s">
        <v>14004</v>
      </c>
      <c r="V5920" t="s">
        <v>14004</v>
      </c>
      <c r="W5920" t="s">
        <v>19869</v>
      </c>
      <c r="X5920">
        <v>2</v>
      </c>
      <c r="Y5920" t="s">
        <v>26665</v>
      </c>
      <c r="Z5920" t="s">
        <v>33630</v>
      </c>
      <c r="AA5920">
        <v>0.78106527489661914</v>
      </c>
      <c r="AB5920" t="str">
        <f>HYPERLINK("Melting_Curves/meltCurve_Q9H2D1_SLC25A32.pdf", "Melting_Curves/meltCurve_Q9H2D1_SLC25A32.pdf")</f>
        <v>Melting_Curves/meltCurve_Q9H2D1_SLC25A32.pdf</v>
      </c>
    </row>
    <row r="5921" spans="1:28" x14ac:dyDescent="0.25">
      <c r="A5921" t="s">
        <v>5925</v>
      </c>
      <c r="B5921">
        <v>0.99999676499088797</v>
      </c>
      <c r="C5921">
        <v>0.69636906029993695</v>
      </c>
      <c r="D5921">
        <v>0.494227180208693</v>
      </c>
      <c r="E5921">
        <v>0.20486445870536299</v>
      </c>
      <c r="F5921">
        <v>0.18061797781512701</v>
      </c>
      <c r="G5921">
        <v>0.176558893263393</v>
      </c>
      <c r="H5921">
        <v>9.3564115983259893E-2</v>
      </c>
      <c r="I5921">
        <v>5.9847949290533997E-2</v>
      </c>
      <c r="J5921">
        <v>6.0273726063695299E-2</v>
      </c>
      <c r="K5921">
        <v>5.1573871164241898E-2</v>
      </c>
      <c r="L5921">
        <v>808.643143514342</v>
      </c>
      <c r="M5921">
        <v>17.874930808494199</v>
      </c>
      <c r="N5921">
        <v>45.697480360259902</v>
      </c>
      <c r="O5921">
        <v>44.684143823188599</v>
      </c>
      <c r="P5921">
        <v>-9.1801440024713202E-2</v>
      </c>
      <c r="Q5921">
        <v>8.2097544923865604E-2</v>
      </c>
      <c r="R5921">
        <v>0.97897850939512698</v>
      </c>
      <c r="S5921" t="s">
        <v>12924</v>
      </c>
      <c r="T5921" t="s">
        <v>14004</v>
      </c>
      <c r="U5921" t="s">
        <v>14004</v>
      </c>
      <c r="V5921" t="s">
        <v>14004</v>
      </c>
      <c r="W5921" t="s">
        <v>19870</v>
      </c>
      <c r="X5921">
        <v>2</v>
      </c>
      <c r="Y5921" t="s">
        <v>26666</v>
      </c>
      <c r="Z5921" t="s">
        <v>33631</v>
      </c>
      <c r="AA5921">
        <v>0.26199114015774011</v>
      </c>
      <c r="AB5921" t="str">
        <f>HYPERLINK("Melting_Curves/meltCurve_Q9H2D6_5_TRIOBP.pdf", "Melting_Curves/meltCurve_Q9H2D6_5_TRIOBP.pdf")</f>
        <v>Melting_Curves/meltCurve_Q9H2D6_5_TRIOBP.pdf</v>
      </c>
    </row>
    <row r="5922" spans="1:28" x14ac:dyDescent="0.25">
      <c r="A5922" t="s">
        <v>5926</v>
      </c>
      <c r="B5922">
        <v>0.99999676499088797</v>
      </c>
      <c r="C5922">
        <v>0.98024288875955901</v>
      </c>
      <c r="D5922">
        <v>0.97271020024987398</v>
      </c>
      <c r="E5922">
        <v>0.57609293457577204</v>
      </c>
      <c r="F5922">
        <v>0.202438255450299</v>
      </c>
      <c r="G5922">
        <v>0.150935184196725</v>
      </c>
      <c r="H5922">
        <v>7.9264815833212807E-2</v>
      </c>
      <c r="I5922">
        <v>9.6067853066866701E-2</v>
      </c>
      <c r="J5922">
        <v>9.5906907575672801E-2</v>
      </c>
      <c r="K5922">
        <v>8.4478734738215294E-2</v>
      </c>
      <c r="L5922">
        <v>1648.5515797542701</v>
      </c>
      <c r="M5922">
        <v>33.072263742529898</v>
      </c>
      <c r="N5922">
        <v>50.176972238141801</v>
      </c>
      <c r="O5922">
        <v>49.6657634241514</v>
      </c>
      <c r="P5922">
        <v>-0.15020295050080601</v>
      </c>
      <c r="Q5922">
        <v>9.7744109416141006E-2</v>
      </c>
      <c r="R5922">
        <v>0.99799366664653</v>
      </c>
      <c r="S5922" t="s">
        <v>12925</v>
      </c>
      <c r="T5922" t="s">
        <v>14004</v>
      </c>
      <c r="U5922" t="s">
        <v>14004</v>
      </c>
      <c r="V5922" t="s">
        <v>14004</v>
      </c>
      <c r="W5922" t="s">
        <v>19871</v>
      </c>
      <c r="X5922">
        <v>43</v>
      </c>
      <c r="Y5922" t="s">
        <v>26667</v>
      </c>
      <c r="Z5922" t="s">
        <v>33632</v>
      </c>
      <c r="AA5922">
        <v>0.39846194332211943</v>
      </c>
      <c r="AB5922" t="str">
        <f>HYPERLINK("Melting_Curves/meltCurve_Q9H2G2_2_SLK.pdf", "Melting_Curves/meltCurve_Q9H2G2_2_SLK.pdf")</f>
        <v>Melting_Curves/meltCurve_Q9H2G2_2_SLK.pdf</v>
      </c>
    </row>
    <row r="5923" spans="1:28" x14ac:dyDescent="0.25">
      <c r="A5923" t="s">
        <v>5927</v>
      </c>
      <c r="B5923">
        <v>0.99999676499088797</v>
      </c>
      <c r="C5923">
        <v>0.98905127681557803</v>
      </c>
      <c r="D5923">
        <v>0.85802527629449399</v>
      </c>
      <c r="E5923">
        <v>0.48463505246025901</v>
      </c>
      <c r="F5923">
        <v>0.30530712251822301</v>
      </c>
      <c r="G5923">
        <v>0.23927706412292701</v>
      </c>
      <c r="H5923">
        <v>0.114484230316059</v>
      </c>
      <c r="I5923">
        <v>0.131151251345141</v>
      </c>
      <c r="J5923">
        <v>0.116200061913893</v>
      </c>
      <c r="K5923">
        <v>0.122609104133484</v>
      </c>
      <c r="L5923">
        <v>1012.90582925181</v>
      </c>
      <c r="M5923">
        <v>20.578242932867099</v>
      </c>
      <c r="N5923">
        <v>49.9388304400076</v>
      </c>
      <c r="O5923">
        <v>48.7644110349149</v>
      </c>
      <c r="P5923">
        <v>-9.2012992183133496E-2</v>
      </c>
      <c r="Q5923">
        <v>0.12784989036418201</v>
      </c>
      <c r="R5923">
        <v>0.99300646667423498</v>
      </c>
      <c r="S5923" t="s">
        <v>12926</v>
      </c>
      <c r="T5923" t="s">
        <v>14004</v>
      </c>
      <c r="U5923" t="s">
        <v>14004</v>
      </c>
      <c r="V5923" t="s">
        <v>14004</v>
      </c>
      <c r="W5923" t="s">
        <v>19872</v>
      </c>
      <c r="X5923">
        <v>9</v>
      </c>
      <c r="Y5923" t="s">
        <v>26668</v>
      </c>
      <c r="Z5923" t="s">
        <v>33633</v>
      </c>
      <c r="AA5923">
        <v>0.40746598732401229</v>
      </c>
      <c r="AB5923" t="str">
        <f>HYPERLINK("Melting_Curves/meltCurve_Q9H2H8_PPIL3.pdf", "Melting_Curves/meltCurve_Q9H2H8_PPIL3.pdf")</f>
        <v>Melting_Curves/meltCurve_Q9H2H8_PPIL3.pdf</v>
      </c>
    </row>
    <row r="5924" spans="1:28" x14ac:dyDescent="0.25">
      <c r="A5924" t="s">
        <v>5928</v>
      </c>
      <c r="B5924">
        <v>0.99999676499088797</v>
      </c>
      <c r="C5924">
        <v>0.91161773479841501</v>
      </c>
      <c r="D5924">
        <v>0.998984403052669</v>
      </c>
      <c r="E5924">
        <v>1.31705493292895</v>
      </c>
      <c r="F5924">
        <v>1.1879298614273199</v>
      </c>
      <c r="G5924">
        <v>0.74487963055508699</v>
      </c>
      <c r="H5924">
        <v>0.18371255213899099</v>
      </c>
      <c r="I5924">
        <v>0.15207588376190001</v>
      </c>
      <c r="J5924">
        <v>0.14893429014649701</v>
      </c>
      <c r="K5924">
        <v>0.127061494813347</v>
      </c>
      <c r="L5924">
        <v>5991.3295130931301</v>
      </c>
      <c r="M5924">
        <v>104.635125852062</v>
      </c>
      <c r="N5924">
        <v>57.458927285676701</v>
      </c>
      <c r="O5924">
        <v>57.238349812839701</v>
      </c>
      <c r="P5924">
        <v>-0.38735754368627001</v>
      </c>
      <c r="Q5924">
        <v>0.15241825679196</v>
      </c>
      <c r="R5924">
        <v>0.928732343423193</v>
      </c>
      <c r="S5924" t="s">
        <v>12927</v>
      </c>
      <c r="T5924" t="s">
        <v>14004</v>
      </c>
      <c r="U5924" t="s">
        <v>14004</v>
      </c>
      <c r="V5924" t="s">
        <v>14004</v>
      </c>
      <c r="W5924" t="s">
        <v>19873</v>
      </c>
      <c r="X5924">
        <v>14</v>
      </c>
      <c r="Y5924" t="s">
        <v>26669</v>
      </c>
      <c r="Z5924" t="s">
        <v>33634</v>
      </c>
      <c r="AA5924">
        <v>0.64052600079094124</v>
      </c>
      <c r="AB5924" t="str">
        <f>HYPERLINK("Melting_Curves/meltCurve_Q9H2J4_PDCL3.pdf", "Melting_Curves/meltCurve_Q9H2J4_PDCL3.pdf")</f>
        <v>Melting_Curves/meltCurve_Q9H2J4_PDCL3.pdf</v>
      </c>
    </row>
    <row r="5925" spans="1:28" x14ac:dyDescent="0.25">
      <c r="A5925" t="s">
        <v>5929</v>
      </c>
      <c r="B5925">
        <v>0.99999676499088797</v>
      </c>
      <c r="C5925">
        <v>1.0576428573654599</v>
      </c>
      <c r="D5925">
        <v>1.03327397991484</v>
      </c>
      <c r="E5925">
        <v>0.99624513651197899</v>
      </c>
      <c r="F5925">
        <v>0.38193832066136801</v>
      </c>
      <c r="G5925">
        <v>0.32572801512108202</v>
      </c>
      <c r="H5925">
        <v>0.211626983269153</v>
      </c>
      <c r="I5925">
        <v>0.180198520775182</v>
      </c>
      <c r="J5925">
        <v>0.18413303662632499</v>
      </c>
      <c r="K5925">
        <v>0.21678366085581999</v>
      </c>
      <c r="L5925">
        <v>3814.9487347542899</v>
      </c>
      <c r="M5925">
        <v>73.041199321381796</v>
      </c>
      <c r="N5925">
        <v>52.655187511506497</v>
      </c>
      <c r="O5925">
        <v>52.190988547637502</v>
      </c>
      <c r="P5925">
        <v>-0.27194150577742998</v>
      </c>
      <c r="Q5925">
        <v>0.22274595740922101</v>
      </c>
      <c r="R5925">
        <v>0.98758398113763401</v>
      </c>
      <c r="S5925" t="s">
        <v>12928</v>
      </c>
      <c r="T5925" t="s">
        <v>14004</v>
      </c>
      <c r="U5925" t="s">
        <v>14004</v>
      </c>
      <c r="V5925" t="s">
        <v>14004</v>
      </c>
      <c r="W5925" t="s">
        <v>19874</v>
      </c>
      <c r="X5925">
        <v>2</v>
      </c>
      <c r="Y5925" t="s">
        <v>26670</v>
      </c>
      <c r="Z5925" t="s">
        <v>33635</v>
      </c>
      <c r="AA5925">
        <v>0.54044560070457959</v>
      </c>
      <c r="AB5925" t="str">
        <f>HYPERLINK("Melting_Curves/meltCurve_Q9H2K0_MTIF3.pdf", "Melting_Curves/meltCurve_Q9H2K0_MTIF3.pdf")</f>
        <v>Melting_Curves/meltCurve_Q9H2K0_MTIF3.pdf</v>
      </c>
    </row>
    <row r="5926" spans="1:28" x14ac:dyDescent="0.25">
      <c r="A5926" t="s">
        <v>5930</v>
      </c>
      <c r="B5926">
        <v>0.99999676499088797</v>
      </c>
      <c r="C5926">
        <v>1.04737197504319</v>
      </c>
      <c r="D5926">
        <v>0.98950765352881298</v>
      </c>
      <c r="E5926">
        <v>1.02292717588149</v>
      </c>
      <c r="F5926">
        <v>0.233300838029396</v>
      </c>
      <c r="G5926">
        <v>0.18458322318567599</v>
      </c>
      <c r="H5926">
        <v>7.7035535288766693E-2</v>
      </c>
      <c r="I5926">
        <v>8.0904582731630995E-2</v>
      </c>
      <c r="J5926">
        <v>7.4393647783591796E-2</v>
      </c>
      <c r="K5926">
        <v>7.17365418977291E-2</v>
      </c>
      <c r="L5926">
        <v>13136.5013570189</v>
      </c>
      <c r="M5926">
        <v>248.65932229040899</v>
      </c>
      <c r="N5926">
        <v>52.8755607172548</v>
      </c>
      <c r="O5926">
        <v>52.825908791880401</v>
      </c>
      <c r="P5926">
        <v>-1.0617788283409999</v>
      </c>
      <c r="Q5926">
        <v>9.7730695308190604E-2</v>
      </c>
      <c r="R5926">
        <v>0.99365641784708003</v>
      </c>
      <c r="S5926" t="s">
        <v>12929</v>
      </c>
      <c r="T5926" t="s">
        <v>14004</v>
      </c>
      <c r="U5926" t="s">
        <v>14004</v>
      </c>
      <c r="V5926" t="s">
        <v>14004</v>
      </c>
      <c r="W5926" t="s">
        <v>19875</v>
      </c>
      <c r="X5926">
        <v>28</v>
      </c>
      <c r="Y5926" t="s">
        <v>26671</v>
      </c>
      <c r="Z5926" t="s">
        <v>33636</v>
      </c>
      <c r="AA5926">
        <v>0.48366512046901811</v>
      </c>
      <c r="AB5926" t="str">
        <f>HYPERLINK("Melting_Curves/meltCurve_Q9H2K8_TAOK3.pdf", "Melting_Curves/meltCurve_Q9H2K8_TAOK3.pdf")</f>
        <v>Melting_Curves/meltCurve_Q9H2K8_TAOK3.pdf</v>
      </c>
    </row>
    <row r="5927" spans="1:28" x14ac:dyDescent="0.25">
      <c r="A5927" t="s">
        <v>5931</v>
      </c>
      <c r="B5927">
        <v>0.99999676499088797</v>
      </c>
      <c r="C5927">
        <v>1.03928292718826</v>
      </c>
      <c r="D5927">
        <v>0.85857442010632601</v>
      </c>
      <c r="E5927">
        <v>0.27429125158073098</v>
      </c>
      <c r="F5927">
        <v>0.21556243833639499</v>
      </c>
      <c r="G5927">
        <v>0.16431305397430301</v>
      </c>
      <c r="H5927">
        <v>9.3399788642588494E-2</v>
      </c>
      <c r="I5927">
        <v>0.102252427521777</v>
      </c>
      <c r="J5927">
        <v>8.6761839060912893E-2</v>
      </c>
      <c r="K5927">
        <v>7.3401963973486903E-2</v>
      </c>
      <c r="L5927">
        <v>1934.75141234855</v>
      </c>
      <c r="M5927">
        <v>40.430035631627298</v>
      </c>
      <c r="N5927">
        <v>48.1743338858276</v>
      </c>
      <c r="O5927">
        <v>47.737679811586098</v>
      </c>
      <c r="P5927">
        <v>-0.18679564334874399</v>
      </c>
      <c r="Q5927">
        <v>0.11776749107185699</v>
      </c>
      <c r="R5927">
        <v>0.98969810354805698</v>
      </c>
      <c r="S5927" t="s">
        <v>12930</v>
      </c>
      <c r="T5927" t="s">
        <v>14004</v>
      </c>
      <c r="U5927" t="s">
        <v>14004</v>
      </c>
      <c r="V5927" t="s">
        <v>14004</v>
      </c>
      <c r="W5927" t="s">
        <v>19876</v>
      </c>
      <c r="X5927">
        <v>15</v>
      </c>
      <c r="Y5927" t="s">
        <v>26672</v>
      </c>
      <c r="Z5927" t="s">
        <v>33637</v>
      </c>
      <c r="AA5927">
        <v>0.35160996140303769</v>
      </c>
      <c r="AB5927" t="str">
        <f>HYPERLINK("Melting_Curves/meltCurve_Q9H2M9_RAB3GAP2.pdf", "Melting_Curves/meltCurve_Q9H2M9_RAB3GAP2.pdf")</f>
        <v>Melting_Curves/meltCurve_Q9H2M9_RAB3GAP2.pdf</v>
      </c>
    </row>
    <row r="5928" spans="1:28" x14ac:dyDescent="0.25">
      <c r="A5928" t="s">
        <v>5932</v>
      </c>
      <c r="B5928">
        <v>0.99999676499088797</v>
      </c>
      <c r="C5928">
        <v>0.940526933625628</v>
      </c>
      <c r="D5928">
        <v>0.55102877180070098</v>
      </c>
      <c r="E5928">
        <v>0.31830079087368601</v>
      </c>
      <c r="F5928">
        <v>0.204316592661413</v>
      </c>
      <c r="G5928">
        <v>0.206089267335054</v>
      </c>
      <c r="H5928">
        <v>0.10455371353811201</v>
      </c>
      <c r="I5928">
        <v>0.13728195532630699</v>
      </c>
      <c r="J5928">
        <v>0.141763138813847</v>
      </c>
      <c r="K5928">
        <v>7.4731325433246606E-2</v>
      </c>
      <c r="L5928">
        <v>1069.0977391654801</v>
      </c>
      <c r="M5928">
        <v>23.0709902484809</v>
      </c>
      <c r="N5928">
        <v>46.983038298221601</v>
      </c>
      <c r="O5928">
        <v>45.995565732409901</v>
      </c>
      <c r="P5928">
        <v>-0.10841146202549901</v>
      </c>
      <c r="Q5928">
        <v>0.13547677457566601</v>
      </c>
      <c r="R5928">
        <v>0.98464075258213601</v>
      </c>
      <c r="S5928" t="s">
        <v>12931</v>
      </c>
      <c r="T5928" t="s">
        <v>14004</v>
      </c>
      <c r="U5928" t="s">
        <v>14004</v>
      </c>
      <c r="V5928" t="s">
        <v>14004</v>
      </c>
      <c r="W5928" t="s">
        <v>19877</v>
      </c>
      <c r="X5928">
        <v>12</v>
      </c>
      <c r="Y5928" t="s">
        <v>26673</v>
      </c>
      <c r="Z5928" t="s">
        <v>33638</v>
      </c>
      <c r="AA5928">
        <v>0.32760833096172098</v>
      </c>
      <c r="AB5928" t="str">
        <f>HYPERLINK("Melting_Curves/meltCurve_Q9H2P0_ADNP.pdf", "Melting_Curves/meltCurve_Q9H2P0_ADNP.pdf")</f>
        <v>Melting_Curves/meltCurve_Q9H2P0_ADNP.pdf</v>
      </c>
    </row>
    <row r="5929" spans="1:28" x14ac:dyDescent="0.25">
      <c r="A5929" t="s">
        <v>5933</v>
      </c>
      <c r="B5929">
        <v>0.99999676499088797</v>
      </c>
      <c r="C5929">
        <v>0.87784904183599899</v>
      </c>
      <c r="D5929">
        <v>0.80994255789754999</v>
      </c>
      <c r="E5929">
        <v>0.80556787699551402</v>
      </c>
      <c r="F5929">
        <v>0.68423744365581496</v>
      </c>
      <c r="G5929">
        <v>0.29789941528976299</v>
      </c>
      <c r="H5929">
        <v>9.4119401673569705E-2</v>
      </c>
      <c r="I5929">
        <v>7.7857357937951302E-2</v>
      </c>
      <c r="J5929">
        <v>8.6303112082751293E-2</v>
      </c>
      <c r="K5929">
        <v>0.102081215301548</v>
      </c>
      <c r="L5929">
        <v>812.31903553039001</v>
      </c>
      <c r="M5929">
        <v>15.0058893063614</v>
      </c>
      <c r="N5929">
        <v>54.229717634412999</v>
      </c>
      <c r="O5929">
        <v>53.199266922349402</v>
      </c>
      <c r="P5929">
        <v>-6.9596602668366397E-2</v>
      </c>
      <c r="Q5929">
        <v>1.31568561505956E-2</v>
      </c>
      <c r="R5929">
        <v>0.961280989362853</v>
      </c>
      <c r="S5929" t="s">
        <v>12932</v>
      </c>
      <c r="T5929" t="s">
        <v>14004</v>
      </c>
      <c r="U5929" t="s">
        <v>14004</v>
      </c>
      <c r="V5929" t="s">
        <v>14004</v>
      </c>
      <c r="W5929" t="s">
        <v>19878</v>
      </c>
      <c r="X5929">
        <v>7</v>
      </c>
      <c r="Y5929" t="s">
        <v>26674</v>
      </c>
      <c r="Z5929" t="s">
        <v>33639</v>
      </c>
      <c r="AA5929">
        <v>0.49816045093459183</v>
      </c>
      <c r="AB5929" t="str">
        <f>HYPERLINK("Melting_Curves/meltCurve_Q9H2P9_DPH5.pdf", "Melting_Curves/meltCurve_Q9H2P9_DPH5.pdf")</f>
        <v>Melting_Curves/meltCurve_Q9H2P9_DPH5.pdf</v>
      </c>
    </row>
    <row r="5930" spans="1:28" x14ac:dyDescent="0.25">
      <c r="A5930" t="s">
        <v>5934</v>
      </c>
      <c r="B5930">
        <v>0.99999676499088797</v>
      </c>
      <c r="C5930">
        <v>0.94598150767078804</v>
      </c>
      <c r="D5930">
        <v>1.0341636287588101</v>
      </c>
      <c r="E5930">
        <v>1.1610351412186</v>
      </c>
      <c r="F5930">
        <v>1.1753347007810999</v>
      </c>
      <c r="G5930">
        <v>0.94432514612287599</v>
      </c>
      <c r="H5930">
        <v>0.43519426092665597</v>
      </c>
      <c r="I5930">
        <v>0.176250966618727</v>
      </c>
      <c r="J5930">
        <v>0.11373555549523399</v>
      </c>
      <c r="K5930">
        <v>0.10504854179038201</v>
      </c>
      <c r="L5930">
        <v>2867.1723174055901</v>
      </c>
      <c r="M5930">
        <v>47.697925779946502</v>
      </c>
      <c r="N5930">
        <v>60.434780964604698</v>
      </c>
      <c r="O5930">
        <v>60.005671554015699</v>
      </c>
      <c r="P5930">
        <v>-0.17632033817678999</v>
      </c>
      <c r="Q5930">
        <v>0.112732115999679</v>
      </c>
      <c r="R5930">
        <v>0.965677664469754</v>
      </c>
      <c r="S5930" t="s">
        <v>12933</v>
      </c>
      <c r="T5930" t="s">
        <v>14004</v>
      </c>
      <c r="U5930" t="s">
        <v>14004</v>
      </c>
      <c r="V5930" t="s">
        <v>14004</v>
      </c>
      <c r="W5930" t="s">
        <v>19879</v>
      </c>
      <c r="X5930">
        <v>14</v>
      </c>
      <c r="Y5930" t="s">
        <v>26675</v>
      </c>
      <c r="Z5930" t="s">
        <v>33640</v>
      </c>
      <c r="AA5930">
        <v>0.71005198143263537</v>
      </c>
      <c r="AB5930" t="str">
        <f>HYPERLINK("Melting_Curves/meltCurve_Q9H2U2_PPA2.pdf", "Melting_Curves/meltCurve_Q9H2U2_PPA2.pdf")</f>
        <v>Melting_Curves/meltCurve_Q9H2U2_PPA2.pdf</v>
      </c>
    </row>
    <row r="5931" spans="1:28" x14ac:dyDescent="0.25">
      <c r="A5931" t="s">
        <v>5935</v>
      </c>
      <c r="B5931">
        <v>0.99999676499088797</v>
      </c>
      <c r="C5931">
        <v>1.01232424805284</v>
      </c>
      <c r="D5931">
        <v>1.1242268254052099</v>
      </c>
      <c r="E5931">
        <v>0.53382630707795797</v>
      </c>
      <c r="F5931">
        <v>0.19094816479120499</v>
      </c>
      <c r="G5931">
        <v>0.14852355316649599</v>
      </c>
      <c r="H5931">
        <v>6.0621937342466799E-2</v>
      </c>
      <c r="I5931">
        <v>7.96422450835087E-2</v>
      </c>
      <c r="J5931">
        <v>0.13626237747230099</v>
      </c>
      <c r="K5931">
        <v>5.16481098464548E-2</v>
      </c>
      <c r="L5931">
        <v>3812.7105856952398</v>
      </c>
      <c r="M5931">
        <v>76.952048920329901</v>
      </c>
      <c r="N5931">
        <v>49.707505831417201</v>
      </c>
      <c r="O5931">
        <v>49.513146103786497</v>
      </c>
      <c r="P5931">
        <v>-0.34570277251249298</v>
      </c>
      <c r="Q5931">
        <v>0.110259988020853</v>
      </c>
      <c r="R5931">
        <v>0.98262082307847298</v>
      </c>
      <c r="S5931" t="s">
        <v>12934</v>
      </c>
      <c r="T5931" t="s">
        <v>14004</v>
      </c>
      <c r="U5931" t="s">
        <v>14004</v>
      </c>
      <c r="V5931" t="s">
        <v>14004</v>
      </c>
      <c r="W5931" t="s">
        <v>19880</v>
      </c>
      <c r="X5931">
        <v>1</v>
      </c>
      <c r="Y5931" t="s">
        <v>26676</v>
      </c>
      <c r="Z5931" t="s">
        <v>33641</v>
      </c>
      <c r="AA5931">
        <v>0.39421065798318772</v>
      </c>
      <c r="AB5931" t="str">
        <f>HYPERLINK("Melting_Curves/meltCurve_Q9H2W2_MIXL1.pdf", "Melting_Curves/meltCurve_Q9H2W2_MIXL1.pdf")</f>
        <v>Melting_Curves/meltCurve_Q9H2W2_MIXL1.pdf</v>
      </c>
    </row>
    <row r="5932" spans="1:28" x14ac:dyDescent="0.25">
      <c r="A5932" t="s">
        <v>5936</v>
      </c>
      <c r="B5932">
        <v>0.99999676499088797</v>
      </c>
      <c r="C5932">
        <v>1.0272386604716</v>
      </c>
      <c r="D5932">
        <v>0.83517656185186495</v>
      </c>
      <c r="E5932">
        <v>0.50116542021054</v>
      </c>
      <c r="F5932">
        <v>0.14782603873575401</v>
      </c>
      <c r="G5932">
        <v>0.101928610092392</v>
      </c>
      <c r="H5932">
        <v>3.98125434130258E-2</v>
      </c>
      <c r="I5932">
        <v>5.3978979188330202E-2</v>
      </c>
      <c r="J5932">
        <v>5.7505404279306199E-2</v>
      </c>
      <c r="K5932">
        <v>3.6538492157096397E-2</v>
      </c>
      <c r="L5932">
        <v>1250.3031880623701</v>
      </c>
      <c r="M5932">
        <v>25.379457241927401</v>
      </c>
      <c r="N5932">
        <v>49.4531224062682</v>
      </c>
      <c r="O5932">
        <v>48.961573283773099</v>
      </c>
      <c r="P5932">
        <v>-0.12360840272794101</v>
      </c>
      <c r="Q5932">
        <v>4.6160025524168001E-2</v>
      </c>
      <c r="R5932">
        <v>0.99671825321386998</v>
      </c>
      <c r="S5932" t="s">
        <v>12935</v>
      </c>
      <c r="T5932" t="s">
        <v>14004</v>
      </c>
      <c r="U5932" t="s">
        <v>14004</v>
      </c>
      <c r="V5932" t="s">
        <v>14004</v>
      </c>
      <c r="W5932" t="s">
        <v>19881</v>
      </c>
      <c r="X5932">
        <v>7</v>
      </c>
      <c r="Y5932" t="s">
        <v>26677</v>
      </c>
      <c r="Z5932" t="s">
        <v>33642</v>
      </c>
      <c r="AA5932">
        <v>0.3489290205066789</v>
      </c>
      <c r="AB5932" t="str">
        <f>HYPERLINK("Melting_Curves/meltCurve_Q9H2W6_MRPL46.pdf", "Melting_Curves/meltCurve_Q9H2W6_MRPL46.pdf")</f>
        <v>Melting_Curves/meltCurve_Q9H2W6_MRPL46.pdf</v>
      </c>
    </row>
    <row r="5933" spans="1:28" x14ac:dyDescent="0.25">
      <c r="A5933" t="s">
        <v>5937</v>
      </c>
      <c r="B5933">
        <v>0.99999676499088797</v>
      </c>
      <c r="C5933">
        <v>0.85449995511592503</v>
      </c>
      <c r="D5933">
        <v>0.72665513389978298</v>
      </c>
      <c r="E5933">
        <v>0.59352871720167499</v>
      </c>
      <c r="F5933">
        <v>0.34722240637945401</v>
      </c>
      <c r="G5933">
        <v>0.51705134246018403</v>
      </c>
      <c r="H5933">
        <v>0.16061843543660601</v>
      </c>
      <c r="I5933">
        <v>0.13276379532617399</v>
      </c>
      <c r="J5933">
        <v>0.184549650361199</v>
      </c>
      <c r="K5933">
        <v>0.18782872771171799</v>
      </c>
      <c r="L5933">
        <v>500.06933795317502</v>
      </c>
      <c r="M5933">
        <v>9.9234218716365294</v>
      </c>
      <c r="N5933">
        <v>51.5972609855136</v>
      </c>
      <c r="O5933">
        <v>48.474488890437698</v>
      </c>
      <c r="P5933">
        <v>-4.5910485867008403E-2</v>
      </c>
      <c r="Q5933">
        <v>0.103384627499066</v>
      </c>
      <c r="R5933">
        <v>0.93057195272374704</v>
      </c>
      <c r="S5933" t="s">
        <v>12936</v>
      </c>
      <c r="T5933" t="s">
        <v>14004</v>
      </c>
      <c r="U5933" t="s">
        <v>14004</v>
      </c>
      <c r="V5933" t="s">
        <v>14004</v>
      </c>
      <c r="W5933" t="s">
        <v>19882</v>
      </c>
      <c r="X5933">
        <v>2</v>
      </c>
      <c r="Y5933" t="s">
        <v>26678</v>
      </c>
      <c r="Z5933" t="s">
        <v>33643</v>
      </c>
      <c r="AA5933">
        <v>0.453647944306313</v>
      </c>
      <c r="AB5933" t="str">
        <f>HYPERLINK("Melting_Curves/meltCurve_Q9H2Y7_ZNF106.pdf", "Melting_Curves/meltCurve_Q9H2Y7_ZNF106.pdf")</f>
        <v>Melting_Curves/meltCurve_Q9H2Y7_ZNF106.pdf</v>
      </c>
    </row>
    <row r="5934" spans="1:28" x14ac:dyDescent="0.25">
      <c r="A5934" t="s">
        <v>5938</v>
      </c>
      <c r="B5934">
        <v>0.99999676499088797</v>
      </c>
      <c r="C5934">
        <v>1.0575254438764099</v>
      </c>
      <c r="D5934">
        <v>1.0654808933786799</v>
      </c>
      <c r="E5934">
        <v>1.0655574226998401</v>
      </c>
      <c r="F5934">
        <v>0.86008748513286004</v>
      </c>
      <c r="G5934">
        <v>0.87548953254692496</v>
      </c>
      <c r="H5934">
        <v>0.67768640870757202</v>
      </c>
      <c r="I5934">
        <v>0.53919515711535004</v>
      </c>
      <c r="J5934">
        <v>0.25290294773397798</v>
      </c>
      <c r="K5934">
        <v>0.16183353614636301</v>
      </c>
      <c r="L5934">
        <v>1060.12680432248</v>
      </c>
      <c r="M5934">
        <v>16.6666141911588</v>
      </c>
      <c r="N5934">
        <v>63.607810174338198</v>
      </c>
      <c r="O5934">
        <v>62.713226975486499</v>
      </c>
      <c r="P5934">
        <v>-6.6444210275832902E-2</v>
      </c>
      <c r="Q5934">
        <v>0</v>
      </c>
      <c r="R5934">
        <v>0.97038537118535495</v>
      </c>
      <c r="S5934" t="s">
        <v>12937</v>
      </c>
      <c r="T5934" t="s">
        <v>14004</v>
      </c>
      <c r="U5934" t="s">
        <v>14004</v>
      </c>
      <c r="V5934" t="s">
        <v>14004</v>
      </c>
      <c r="W5934" t="s">
        <v>19883</v>
      </c>
      <c r="X5934">
        <v>3</v>
      </c>
      <c r="Y5934" t="s">
        <v>26679</v>
      </c>
      <c r="Z5934" t="s">
        <v>33644</v>
      </c>
      <c r="AA5934">
        <v>0.77760834528823208</v>
      </c>
      <c r="AB5934" t="str">
        <f>HYPERLINK("Melting_Curves/meltCurve_Q9H300_PARL.pdf", "Melting_Curves/meltCurve_Q9H300_PARL.pdf")</f>
        <v>Melting_Curves/meltCurve_Q9H300_PARL.pdf</v>
      </c>
    </row>
    <row r="5935" spans="1:28" x14ac:dyDescent="0.25">
      <c r="A5935" t="s">
        <v>5939</v>
      </c>
      <c r="B5935">
        <v>0.99999676499088797</v>
      </c>
      <c r="C5935">
        <v>1.0385045159944499</v>
      </c>
      <c r="D5935">
        <v>1.1169783912731499</v>
      </c>
      <c r="E5935">
        <v>1.2267561774126601</v>
      </c>
      <c r="F5935">
        <v>0.86695665527559296</v>
      </c>
      <c r="G5935">
        <v>0.67069602076852597</v>
      </c>
      <c r="H5935">
        <v>0.45764061811164503</v>
      </c>
      <c r="I5935">
        <v>0.79156547366909102</v>
      </c>
      <c r="J5935">
        <v>1.1834830433476899</v>
      </c>
      <c r="K5935">
        <v>1.1758203614362199</v>
      </c>
      <c r="L5935">
        <v>13167.9437399615</v>
      </c>
      <c r="M5935">
        <v>250</v>
      </c>
      <c r="O5935">
        <v>52.668389184031</v>
      </c>
      <c r="P5935">
        <v>-0.17106911995023699</v>
      </c>
      <c r="Q5935">
        <v>0.85584099877549602</v>
      </c>
      <c r="R5935">
        <v>0.17352017064036401</v>
      </c>
      <c r="S5935" t="s">
        <v>12938</v>
      </c>
      <c r="T5935" t="s">
        <v>14004</v>
      </c>
      <c r="U5935" t="s">
        <v>14004</v>
      </c>
      <c r="V5935" t="s">
        <v>14004</v>
      </c>
      <c r="W5935" t="s">
        <v>19884</v>
      </c>
      <c r="X5935">
        <v>20</v>
      </c>
      <c r="Y5935" t="s">
        <v>26680</v>
      </c>
      <c r="Z5935" t="s">
        <v>33645</v>
      </c>
      <c r="AA5935">
        <v>0.9167460052979669</v>
      </c>
      <c r="AB5935" t="str">
        <f>HYPERLINK("Melting_Curves/meltCurve_Q9H307_PNN.pdf", "Melting_Curves/meltCurve_Q9H307_PNN.pdf")</f>
        <v>Melting_Curves/meltCurve_Q9H307_PNN.pdf</v>
      </c>
    </row>
    <row r="5936" spans="1:28" x14ac:dyDescent="0.25">
      <c r="A5936" t="s">
        <v>5940</v>
      </c>
      <c r="B5936">
        <v>0.99999676499088797</v>
      </c>
      <c r="C5936">
        <v>1.0576231834137799</v>
      </c>
      <c r="D5936">
        <v>1.0867641474963401</v>
      </c>
      <c r="E5936">
        <v>1.0384608072605801</v>
      </c>
      <c r="F5936">
        <v>0.97405187884863098</v>
      </c>
      <c r="G5936">
        <v>0.81823837610203998</v>
      </c>
      <c r="H5936">
        <v>0.62769779072305798</v>
      </c>
      <c r="I5936">
        <v>0.58772419700388501</v>
      </c>
      <c r="J5936">
        <v>0.333808534042765</v>
      </c>
      <c r="K5936">
        <v>0.23061989477481201</v>
      </c>
      <c r="L5936">
        <v>879.184844813062</v>
      </c>
      <c r="M5936">
        <v>13.7029955858621</v>
      </c>
      <c r="N5936">
        <v>64.160050132467902</v>
      </c>
      <c r="O5936">
        <v>62.839906967296301</v>
      </c>
      <c r="P5936">
        <v>-5.4523343266846602E-2</v>
      </c>
      <c r="Q5936">
        <v>0</v>
      </c>
      <c r="R5936">
        <v>0.96975448141435805</v>
      </c>
      <c r="S5936" t="s">
        <v>12939</v>
      </c>
      <c r="T5936" t="s">
        <v>14004</v>
      </c>
      <c r="U5936" t="s">
        <v>14004</v>
      </c>
      <c r="V5936" t="s">
        <v>14004</v>
      </c>
      <c r="W5936" t="s">
        <v>19885</v>
      </c>
      <c r="X5936">
        <v>7</v>
      </c>
      <c r="Y5936" t="s">
        <v>26681</v>
      </c>
      <c r="Z5936" t="s">
        <v>33646</v>
      </c>
      <c r="AA5936">
        <v>0.78259715513627581</v>
      </c>
      <c r="AB5936" t="str">
        <f>HYPERLINK("Melting_Curves/meltCurve_Q9H330_2_TMEM245.pdf", "Melting_Curves/meltCurve_Q9H330_2_TMEM245.pdf")</f>
        <v>Melting_Curves/meltCurve_Q9H330_2_TMEM245.pdf</v>
      </c>
    </row>
    <row r="5937" spans="1:28" x14ac:dyDescent="0.25">
      <c r="A5937" t="s">
        <v>5941</v>
      </c>
      <c r="B5937">
        <v>0.99999676499088797</v>
      </c>
      <c r="C5937">
        <v>0.95761786699090701</v>
      </c>
      <c r="D5937">
        <v>1.04544096076573</v>
      </c>
      <c r="E5937">
        <v>1.15519369049437</v>
      </c>
      <c r="F5937">
        <v>0.704051338042332</v>
      </c>
      <c r="G5937">
        <v>0.31841574577636</v>
      </c>
      <c r="H5937">
        <v>0.13819182807465999</v>
      </c>
      <c r="I5937">
        <v>8.5299880106659898E-2</v>
      </c>
      <c r="J5937">
        <v>0.100353351429997</v>
      </c>
      <c r="K5937">
        <v>6.1571207105868102E-2</v>
      </c>
      <c r="L5937">
        <v>1892.40427081593</v>
      </c>
      <c r="M5937">
        <v>34.575255732280603</v>
      </c>
      <c r="N5937">
        <v>55.049869325569702</v>
      </c>
      <c r="O5937">
        <v>54.550785152241701</v>
      </c>
      <c r="P5937">
        <v>-0.14415344382654099</v>
      </c>
      <c r="Q5937">
        <v>9.0256407599130506E-2</v>
      </c>
      <c r="R5937">
        <v>0.97819683594321905</v>
      </c>
      <c r="S5937" t="s">
        <v>12940</v>
      </c>
      <c r="T5937" t="s">
        <v>14004</v>
      </c>
      <c r="U5937" t="s">
        <v>14004</v>
      </c>
      <c r="V5937" t="s">
        <v>14004</v>
      </c>
      <c r="W5937" t="s">
        <v>19886</v>
      </c>
      <c r="X5937">
        <v>3</v>
      </c>
      <c r="Y5937" t="s">
        <v>26682</v>
      </c>
      <c r="Z5937" t="s">
        <v>33647</v>
      </c>
      <c r="AA5937">
        <v>0.54160549210161024</v>
      </c>
      <c r="AB5937" t="str">
        <f>HYPERLINK("Melting_Curves/meltCurve_Q9H3C7_GGNBP2.pdf", "Melting_Curves/meltCurve_Q9H3C7_GGNBP2.pdf")</f>
        <v>Melting_Curves/meltCurve_Q9H3C7_GGNBP2.pdf</v>
      </c>
    </row>
    <row r="5938" spans="1:28" x14ac:dyDescent="0.25">
      <c r="A5938" t="s">
        <v>5942</v>
      </c>
      <c r="B5938">
        <v>0.99999676499088797</v>
      </c>
      <c r="C5938">
        <v>0.94700929339564099</v>
      </c>
      <c r="D5938">
        <v>0.93817533161898004</v>
      </c>
      <c r="E5938">
        <v>0.98704221474446296</v>
      </c>
      <c r="F5938">
        <v>0.97883565695867603</v>
      </c>
      <c r="G5938">
        <v>0.76825824973211498</v>
      </c>
      <c r="H5938">
        <v>0.43958776484946199</v>
      </c>
      <c r="I5938">
        <v>0.26094432655428201</v>
      </c>
      <c r="J5938">
        <v>0.16809175466653001</v>
      </c>
      <c r="K5938">
        <v>0.14876180428688199</v>
      </c>
      <c r="L5938">
        <v>1453.9326419346901</v>
      </c>
      <c r="M5938">
        <v>24.5060644461539</v>
      </c>
      <c r="N5938">
        <v>60.051213585258097</v>
      </c>
      <c r="O5938">
        <v>58.9386431000353</v>
      </c>
      <c r="P5938">
        <v>-9.0689599499545803E-2</v>
      </c>
      <c r="Q5938">
        <v>0.12755535488511199</v>
      </c>
      <c r="R5938">
        <v>0.99367992600430199</v>
      </c>
      <c r="S5938" t="s">
        <v>12941</v>
      </c>
      <c r="T5938" t="s">
        <v>14004</v>
      </c>
      <c r="U5938" t="s">
        <v>14004</v>
      </c>
      <c r="V5938" t="s">
        <v>14004</v>
      </c>
      <c r="W5938" t="s">
        <v>19887</v>
      </c>
      <c r="X5938">
        <v>8</v>
      </c>
      <c r="Y5938" t="s">
        <v>26683</v>
      </c>
      <c r="Z5938" t="s">
        <v>33648</v>
      </c>
      <c r="AA5938">
        <v>0.69679259897855406</v>
      </c>
      <c r="AB5938" t="str">
        <f>HYPERLINK("Melting_Curves/meltCurve_Q9H3F6_KCTD10.pdf", "Melting_Curves/meltCurve_Q9H3F6_KCTD10.pdf")</f>
        <v>Melting_Curves/meltCurve_Q9H3F6_KCTD10.pdf</v>
      </c>
    </row>
    <row r="5939" spans="1:28" x14ac:dyDescent="0.25">
      <c r="A5939" t="s">
        <v>5943</v>
      </c>
      <c r="B5939">
        <v>0.99999676499088797</v>
      </c>
      <c r="C5939">
        <v>1.0234942714887401</v>
      </c>
      <c r="D5939">
        <v>0.98103809733910396</v>
      </c>
      <c r="E5939">
        <v>0.95720634568625196</v>
      </c>
      <c r="F5939">
        <v>0.95359882963086395</v>
      </c>
      <c r="G5939">
        <v>0.77260347360549098</v>
      </c>
      <c r="H5939">
        <v>0.552700911485556</v>
      </c>
      <c r="I5939">
        <v>0.32018074637216498</v>
      </c>
      <c r="J5939">
        <v>0.188001248902709</v>
      </c>
      <c r="K5939">
        <v>0.16136220865355799</v>
      </c>
      <c r="L5939">
        <v>1105.1843615054299</v>
      </c>
      <c r="M5939">
        <v>18.201788033711999</v>
      </c>
      <c r="N5939">
        <v>61.207018497985104</v>
      </c>
      <c r="O5939">
        <v>59.999786016536397</v>
      </c>
      <c r="P5939">
        <v>-7.0716461503066694E-2</v>
      </c>
      <c r="Q5939">
        <v>6.7614191142895796E-2</v>
      </c>
      <c r="R5939">
        <v>0.99662187669755098</v>
      </c>
      <c r="S5939" t="s">
        <v>12942</v>
      </c>
      <c r="T5939" t="s">
        <v>14004</v>
      </c>
      <c r="U5939" t="s">
        <v>14004</v>
      </c>
      <c r="V5939" t="s">
        <v>14004</v>
      </c>
      <c r="W5939" t="s">
        <v>19888</v>
      </c>
      <c r="X5939">
        <v>12</v>
      </c>
      <c r="Y5939" t="s">
        <v>26684</v>
      </c>
      <c r="Z5939" t="s">
        <v>33649</v>
      </c>
      <c r="AA5939">
        <v>0.71739801338081099</v>
      </c>
      <c r="AB5939" t="str">
        <f>HYPERLINK("Melting_Curves/meltCurve_Q9H3G5_CPVL.pdf", "Melting_Curves/meltCurve_Q9H3G5_CPVL.pdf")</f>
        <v>Melting_Curves/meltCurve_Q9H3G5_CPVL.pdf</v>
      </c>
    </row>
    <row r="5940" spans="1:28" x14ac:dyDescent="0.25">
      <c r="A5940" t="s">
        <v>5944</v>
      </c>
      <c r="B5940">
        <v>0.99999676499088797</v>
      </c>
      <c r="C5940">
        <v>0.89720705214234397</v>
      </c>
      <c r="D5940">
        <v>0.75185558989277501</v>
      </c>
      <c r="E5940">
        <v>0.32690213763027298</v>
      </c>
      <c r="F5940">
        <v>0.245041561854527</v>
      </c>
      <c r="G5940">
        <v>0.16727549659148699</v>
      </c>
      <c r="H5940">
        <v>9.4919302410802403E-2</v>
      </c>
      <c r="I5940">
        <v>7.0342486565972195E-2</v>
      </c>
      <c r="J5940">
        <v>7.0311521086876203E-2</v>
      </c>
      <c r="K5940">
        <v>5.9982121122068903E-2</v>
      </c>
      <c r="L5940">
        <v>925.91298068570097</v>
      </c>
      <c r="M5940">
        <v>19.337331523254502</v>
      </c>
      <c r="N5940">
        <v>48.320040398515502</v>
      </c>
      <c r="O5940">
        <v>47.378875417244501</v>
      </c>
      <c r="P5940">
        <v>-9.38381370273038E-2</v>
      </c>
      <c r="Q5940">
        <v>8.0373219652230904E-2</v>
      </c>
      <c r="R5940">
        <v>0.99054118907948197</v>
      </c>
      <c r="S5940" t="s">
        <v>12943</v>
      </c>
      <c r="T5940" t="s">
        <v>14004</v>
      </c>
      <c r="U5940" t="s">
        <v>14004</v>
      </c>
      <c r="V5940" t="s">
        <v>14004</v>
      </c>
      <c r="W5940" t="s">
        <v>19889</v>
      </c>
      <c r="X5940">
        <v>2</v>
      </c>
      <c r="Y5940" t="s">
        <v>26685</v>
      </c>
      <c r="Z5940" t="s">
        <v>33650</v>
      </c>
      <c r="AA5940">
        <v>0.33607053491673311</v>
      </c>
      <c r="AB5940" t="str">
        <f>HYPERLINK("Melting_Curves/meltCurve_Q9H3H1_TRIT1.pdf", "Melting_Curves/meltCurve_Q9H3H1_TRIT1.pdf")</f>
        <v>Melting_Curves/meltCurve_Q9H3H1_TRIT1.pdf</v>
      </c>
    </row>
    <row r="5941" spans="1:28" x14ac:dyDescent="0.25">
      <c r="A5941" t="s">
        <v>5945</v>
      </c>
      <c r="B5941">
        <v>0.99999676499088797</v>
      </c>
      <c r="C5941">
        <v>1.1282104006773499</v>
      </c>
      <c r="D5941">
        <v>1.0452649034946699</v>
      </c>
      <c r="E5941">
        <v>0.88658127975057999</v>
      </c>
      <c r="F5941">
        <v>0.31473798711892098</v>
      </c>
      <c r="G5941">
        <v>0.25192573892006898</v>
      </c>
      <c r="H5941">
        <v>0.12860657089437799</v>
      </c>
      <c r="I5941">
        <v>0.12633258257053201</v>
      </c>
      <c r="J5941">
        <v>0.110661610997781</v>
      </c>
      <c r="K5941">
        <v>0.12277002849402099</v>
      </c>
      <c r="L5941">
        <v>2245.9335313329698</v>
      </c>
      <c r="M5941">
        <v>43.4748290105465</v>
      </c>
      <c r="N5941">
        <v>52.059725018283899</v>
      </c>
      <c r="O5941">
        <v>51.551602887780497</v>
      </c>
      <c r="P5941">
        <v>-0.180948537519484</v>
      </c>
      <c r="Q5941">
        <v>0.14174032659871</v>
      </c>
      <c r="R5941">
        <v>0.98303840029067102</v>
      </c>
      <c r="S5941" t="s">
        <v>12944</v>
      </c>
      <c r="T5941" t="s">
        <v>14004</v>
      </c>
      <c r="U5941" t="s">
        <v>14004</v>
      </c>
      <c r="V5941" t="s">
        <v>14004</v>
      </c>
      <c r="W5941" t="s">
        <v>19890</v>
      </c>
      <c r="X5941">
        <v>6</v>
      </c>
      <c r="Y5941" t="s">
        <v>26686</v>
      </c>
      <c r="Z5941" t="s">
        <v>33651</v>
      </c>
      <c r="AA5941">
        <v>0.47792391401833861</v>
      </c>
      <c r="AB5941" t="str">
        <f>HYPERLINK("Melting_Curves/meltCurve_Q9H3H3_2_C11orf68.pdf", "Melting_Curves/meltCurve_Q9H3H3_2_C11orf68.pdf")</f>
        <v>Melting_Curves/meltCurve_Q9H3H3_2_C11orf68.pdf</v>
      </c>
    </row>
    <row r="5942" spans="1:28" x14ac:dyDescent="0.25">
      <c r="A5942" t="s">
        <v>5946</v>
      </c>
      <c r="B5942">
        <v>0.99999676499088797</v>
      </c>
      <c r="C5942">
        <v>0.98006736061387301</v>
      </c>
      <c r="D5942">
        <v>1.0072906679256699</v>
      </c>
      <c r="E5942">
        <v>1.03797924809563</v>
      </c>
      <c r="F5942">
        <v>0.95835196020126601</v>
      </c>
      <c r="G5942">
        <v>1.1112991093647</v>
      </c>
      <c r="H5942">
        <v>0.68235239833299599</v>
      </c>
      <c r="I5942">
        <v>0.84310739547003699</v>
      </c>
      <c r="J5942">
        <v>0.24971963577527501</v>
      </c>
      <c r="K5942">
        <v>0.112297598689616</v>
      </c>
      <c r="L5942">
        <v>2144.4477859706399</v>
      </c>
      <c r="M5942">
        <v>32.692898774038703</v>
      </c>
      <c r="N5942">
        <v>65.593709327113601</v>
      </c>
      <c r="O5942">
        <v>65.349730332986596</v>
      </c>
      <c r="P5942">
        <v>-0.12506957148258199</v>
      </c>
      <c r="Q5942">
        <v>0</v>
      </c>
      <c r="R5942">
        <v>0.90182624183498905</v>
      </c>
      <c r="S5942" t="s">
        <v>12945</v>
      </c>
      <c r="T5942" t="s">
        <v>14004</v>
      </c>
      <c r="U5942" t="s">
        <v>14004</v>
      </c>
      <c r="V5942" t="s">
        <v>14004</v>
      </c>
      <c r="W5942" t="s">
        <v>19891</v>
      </c>
      <c r="X5942">
        <v>4</v>
      </c>
      <c r="Y5942" t="s">
        <v>26687</v>
      </c>
      <c r="Z5942" t="s">
        <v>33652</v>
      </c>
      <c r="AA5942">
        <v>0.85010092423488681</v>
      </c>
      <c r="AB5942" t="str">
        <f>HYPERLINK("Melting_Curves/meltCurve_Q9H3H5_2_DPAGT1.pdf", "Melting_Curves/meltCurve_Q9H3H5_2_DPAGT1.pdf")</f>
        <v>Melting_Curves/meltCurve_Q9H3H5_2_DPAGT1.pdf</v>
      </c>
    </row>
    <row r="5943" spans="1:28" x14ac:dyDescent="0.25">
      <c r="A5943" t="s">
        <v>5947</v>
      </c>
      <c r="B5943">
        <v>0.99999676499088797</v>
      </c>
      <c r="C5943">
        <v>0.95825389317186904</v>
      </c>
      <c r="D5943">
        <v>0.87648803034274803</v>
      </c>
      <c r="E5943">
        <v>0.66309123639648104</v>
      </c>
      <c r="F5943">
        <v>0.33267456923733202</v>
      </c>
      <c r="G5943">
        <v>0.2111866603593</v>
      </c>
      <c r="H5943">
        <v>0.115387710192306</v>
      </c>
      <c r="I5943">
        <v>0.116875084350496</v>
      </c>
      <c r="J5943">
        <v>0.106170839463964</v>
      </c>
      <c r="K5943">
        <v>9.2163494953570596E-2</v>
      </c>
      <c r="L5943">
        <v>974.10680747828803</v>
      </c>
      <c r="M5943">
        <v>19.210321236269699</v>
      </c>
      <c r="N5943">
        <v>51.254181920898603</v>
      </c>
      <c r="O5943">
        <v>50.167577598974098</v>
      </c>
      <c r="P5943">
        <v>-8.6865622535739498E-2</v>
      </c>
      <c r="Q5943">
        <v>9.2639527195612997E-2</v>
      </c>
      <c r="R5943">
        <v>0.99858751537893398</v>
      </c>
      <c r="S5943" t="s">
        <v>12946</v>
      </c>
      <c r="T5943" t="s">
        <v>14004</v>
      </c>
      <c r="U5943" t="s">
        <v>14004</v>
      </c>
      <c r="V5943" t="s">
        <v>14004</v>
      </c>
      <c r="W5943" t="s">
        <v>19892</v>
      </c>
      <c r="X5943">
        <v>7</v>
      </c>
      <c r="Y5943" t="s">
        <v>26688</v>
      </c>
      <c r="Z5943" t="s">
        <v>33653</v>
      </c>
      <c r="AA5943">
        <v>0.43008913881077088</v>
      </c>
      <c r="AB5943" t="str">
        <f>HYPERLINK("Melting_Curves/meltCurve_Q9H3K6_BOLA2.pdf", "Melting_Curves/meltCurve_Q9H3K6_BOLA2.pdf")</f>
        <v>Melting_Curves/meltCurve_Q9H3K6_BOLA2.pdf</v>
      </c>
    </row>
    <row r="5944" spans="1:28" x14ac:dyDescent="0.25">
      <c r="A5944" t="s">
        <v>5948</v>
      </c>
      <c r="B5944">
        <v>0.99999676499088797</v>
      </c>
      <c r="C5944">
        <v>0.87231265068704</v>
      </c>
      <c r="D5944">
        <v>0.86018608431174604</v>
      </c>
      <c r="E5944">
        <v>0.82680229338076305</v>
      </c>
      <c r="F5944">
        <v>0.565705580615118</v>
      </c>
      <c r="G5944">
        <v>0.41136484007177399</v>
      </c>
      <c r="H5944">
        <v>0.16951657122472799</v>
      </c>
      <c r="I5944">
        <v>0.15857548598583299</v>
      </c>
      <c r="J5944">
        <v>0.14614810937940101</v>
      </c>
      <c r="K5944">
        <v>0.14109553231882599</v>
      </c>
      <c r="L5944">
        <v>690.65378611590904</v>
      </c>
      <c r="M5944">
        <v>12.8186904214488</v>
      </c>
      <c r="N5944">
        <v>54.446033751327498</v>
      </c>
      <c r="O5944">
        <v>52.6179334763413</v>
      </c>
      <c r="P5944">
        <v>-5.7107372987149803E-2</v>
      </c>
      <c r="Q5944">
        <v>6.2521588179485499E-2</v>
      </c>
      <c r="R5944">
        <v>0.98050179045083297</v>
      </c>
      <c r="S5944" t="s">
        <v>12947</v>
      </c>
      <c r="T5944" t="s">
        <v>14004</v>
      </c>
      <c r="U5944" t="s">
        <v>14004</v>
      </c>
      <c r="V5944" t="s">
        <v>14004</v>
      </c>
      <c r="W5944" t="s">
        <v>19893</v>
      </c>
      <c r="X5944">
        <v>13</v>
      </c>
      <c r="Y5944" t="s">
        <v>26689</v>
      </c>
      <c r="Z5944" t="s">
        <v>33654</v>
      </c>
      <c r="AA5944">
        <v>0.51941281409368123</v>
      </c>
      <c r="AB5944" t="str">
        <f>HYPERLINK("Melting_Curves/meltCurve_Q9H3N1_TMX1.pdf", "Melting_Curves/meltCurve_Q9H3N1_TMX1.pdf")</f>
        <v>Melting_Curves/meltCurve_Q9H3N1_TMX1.pdf</v>
      </c>
    </row>
    <row r="5945" spans="1:28" x14ac:dyDescent="0.25">
      <c r="A5945" t="s">
        <v>5949</v>
      </c>
      <c r="B5945">
        <v>0.99999676499088797</v>
      </c>
      <c r="C5945">
        <v>0.91559441828354504</v>
      </c>
      <c r="D5945">
        <v>0.72421711075740003</v>
      </c>
      <c r="E5945">
        <v>0.33542066101532297</v>
      </c>
      <c r="F5945">
        <v>0.22820502803186499</v>
      </c>
      <c r="G5945">
        <v>0.14541882471367501</v>
      </c>
      <c r="H5945">
        <v>7.2418963051570195E-2</v>
      </c>
      <c r="I5945">
        <v>5.7393589142707598E-2</v>
      </c>
      <c r="J5945">
        <v>6.1343745430445601E-2</v>
      </c>
      <c r="K5945">
        <v>4.95568846045705E-2</v>
      </c>
      <c r="L5945">
        <v>919.90478503020097</v>
      </c>
      <c r="M5945">
        <v>19.209293950548201</v>
      </c>
      <c r="N5945">
        <v>48.237968468480197</v>
      </c>
      <c r="O5945">
        <v>47.378577222711797</v>
      </c>
      <c r="P5945">
        <v>-9.4780455612702999E-2</v>
      </c>
      <c r="Q5945">
        <v>6.4954022098762804E-2</v>
      </c>
      <c r="R5945">
        <v>0.99460131874654101</v>
      </c>
      <c r="S5945" t="s">
        <v>12948</v>
      </c>
      <c r="T5945" t="s">
        <v>14004</v>
      </c>
      <c r="U5945" t="s">
        <v>14004</v>
      </c>
      <c r="V5945" t="s">
        <v>14004</v>
      </c>
      <c r="W5945" t="s">
        <v>19894</v>
      </c>
      <c r="X5945">
        <v>11</v>
      </c>
      <c r="Y5945" t="s">
        <v>26690</v>
      </c>
      <c r="Z5945" t="s">
        <v>33655</v>
      </c>
      <c r="AA5945">
        <v>0.32533817746220761</v>
      </c>
      <c r="AB5945" t="str">
        <f>HYPERLINK("Melting_Curves/meltCurve_Q9H3P2_NELFA.pdf", "Melting_Curves/meltCurve_Q9H3P2_NELFA.pdf")</f>
        <v>Melting_Curves/meltCurve_Q9H3P2_NELFA.pdf</v>
      </c>
    </row>
    <row r="5946" spans="1:28" x14ac:dyDescent="0.25">
      <c r="A5946" t="s">
        <v>5950</v>
      </c>
      <c r="B5946">
        <v>0.99999676499088797</v>
      </c>
      <c r="C5946">
        <v>0.95066118577108405</v>
      </c>
      <c r="D5946">
        <v>0.96766290932765398</v>
      </c>
      <c r="E5946">
        <v>0.99892195562485098</v>
      </c>
      <c r="F5946">
        <v>0.404246069030196</v>
      </c>
      <c r="G5946">
        <v>0.28594363983486598</v>
      </c>
      <c r="H5946">
        <v>0.12963511454232499</v>
      </c>
      <c r="I5946">
        <v>0.123595201402088</v>
      </c>
      <c r="J5946">
        <v>0.13060174129550101</v>
      </c>
      <c r="K5946">
        <v>8.8961344188678196E-2</v>
      </c>
      <c r="L5946">
        <v>2651.9835362551298</v>
      </c>
      <c r="M5946">
        <v>50.570063154045698</v>
      </c>
      <c r="N5946">
        <v>52.800162159926998</v>
      </c>
      <c r="O5946">
        <v>52.359956922143603</v>
      </c>
      <c r="P5946">
        <v>-0.20637762049983199</v>
      </c>
      <c r="Q5946">
        <v>0.14527183686116599</v>
      </c>
      <c r="R5946">
        <v>0.98389140445085999</v>
      </c>
      <c r="S5946" t="s">
        <v>12949</v>
      </c>
      <c r="T5946" t="s">
        <v>14004</v>
      </c>
      <c r="U5946" t="s">
        <v>14004</v>
      </c>
      <c r="V5946" t="s">
        <v>14004</v>
      </c>
      <c r="W5946" t="s">
        <v>19895</v>
      </c>
      <c r="X5946">
        <v>14</v>
      </c>
      <c r="Y5946" t="s">
        <v>26691</v>
      </c>
      <c r="Z5946" t="s">
        <v>33656</v>
      </c>
      <c r="AA5946">
        <v>0.50168193966530594</v>
      </c>
      <c r="AB5946" t="str">
        <f>HYPERLINK("Melting_Curves/meltCurve_Q9H3P7_ACBD3.pdf", "Melting_Curves/meltCurve_Q9H3P7_ACBD3.pdf")</f>
        <v>Melting_Curves/meltCurve_Q9H3P7_ACBD3.pdf</v>
      </c>
    </row>
    <row r="5947" spans="1:28" x14ac:dyDescent="0.25">
      <c r="A5947" t="s">
        <v>5951</v>
      </c>
      <c r="B5947">
        <v>0.99999676499088797</v>
      </c>
      <c r="C5947">
        <v>0.84418416403714602</v>
      </c>
      <c r="D5947">
        <v>0.70912288302862003</v>
      </c>
      <c r="E5947">
        <v>0.58119171072958098</v>
      </c>
      <c r="F5947">
        <v>0.50021357284204004</v>
      </c>
      <c r="G5947">
        <v>0.39462545007795602</v>
      </c>
      <c r="H5947">
        <v>0.23163351124849901</v>
      </c>
      <c r="I5947">
        <v>0.17916139065457701</v>
      </c>
      <c r="J5947">
        <v>0.16366380877178999</v>
      </c>
      <c r="K5947">
        <v>0.177359852652476</v>
      </c>
      <c r="L5947">
        <v>443.65161065848099</v>
      </c>
      <c r="M5947">
        <v>8.6296133334260894</v>
      </c>
      <c r="N5947">
        <v>52.248488942067503</v>
      </c>
      <c r="O5947">
        <v>48.873213247026001</v>
      </c>
      <c r="P5947">
        <v>-4.13247449461355E-2</v>
      </c>
      <c r="Q5947">
        <v>6.4636958973836006E-2</v>
      </c>
      <c r="R5947">
        <v>0.98332264212244302</v>
      </c>
      <c r="S5947" t="s">
        <v>12950</v>
      </c>
      <c r="T5947" t="s">
        <v>14004</v>
      </c>
      <c r="U5947" t="s">
        <v>14004</v>
      </c>
      <c r="V5947" t="s">
        <v>14004</v>
      </c>
      <c r="W5947" t="s">
        <v>19896</v>
      </c>
      <c r="X5947">
        <v>5</v>
      </c>
      <c r="Y5947" t="s">
        <v>26692</v>
      </c>
      <c r="Z5947" t="s">
        <v>33657</v>
      </c>
      <c r="AA5947">
        <v>0.4645128847497742</v>
      </c>
      <c r="AB5947" t="str">
        <f>HYPERLINK("Melting_Curves/meltCurve_Q9H3R5_CENPH.pdf", "Melting_Curves/meltCurve_Q9H3R5_CENPH.pdf")</f>
        <v>Melting_Curves/meltCurve_Q9H3R5_CENPH.pdf</v>
      </c>
    </row>
    <row r="5948" spans="1:28" x14ac:dyDescent="0.25">
      <c r="A5948" t="s">
        <v>5952</v>
      </c>
      <c r="B5948">
        <v>0.99999676499088797</v>
      </c>
      <c r="C5948">
        <v>0.969653509216023</v>
      </c>
      <c r="D5948">
        <v>0.81775335765165003</v>
      </c>
      <c r="E5948">
        <v>0.364297215375671</v>
      </c>
      <c r="F5948">
        <v>0.27562526630675199</v>
      </c>
      <c r="G5948">
        <v>0.16907672875728599</v>
      </c>
      <c r="H5948">
        <v>0.107060810535203</v>
      </c>
      <c r="I5948">
        <v>8.9749132426657205E-2</v>
      </c>
      <c r="J5948">
        <v>8.2660517836378206E-2</v>
      </c>
      <c r="K5948">
        <v>6.4762216293275304E-2</v>
      </c>
      <c r="L5948">
        <v>1077.6491866674201</v>
      </c>
      <c r="M5948">
        <v>22.264933689721701</v>
      </c>
      <c r="N5948">
        <v>48.8829010330114</v>
      </c>
      <c r="O5948">
        <v>48.015815660314097</v>
      </c>
      <c r="P5948">
        <v>-0.104508217851612</v>
      </c>
      <c r="Q5948">
        <v>9.8503493833003802E-2</v>
      </c>
      <c r="R5948">
        <v>0.98941968729811902</v>
      </c>
      <c r="S5948" t="s">
        <v>12951</v>
      </c>
      <c r="T5948" t="s">
        <v>14004</v>
      </c>
      <c r="U5948" t="s">
        <v>14004</v>
      </c>
      <c r="V5948" t="s">
        <v>14004</v>
      </c>
      <c r="W5948" t="s">
        <v>19897</v>
      </c>
      <c r="X5948">
        <v>9</v>
      </c>
      <c r="Y5948" t="s">
        <v>26693</v>
      </c>
      <c r="Z5948" t="s">
        <v>33658</v>
      </c>
      <c r="AA5948">
        <v>0.36111944992338901</v>
      </c>
      <c r="AB5948" t="str">
        <f>HYPERLINK("Melting_Curves/meltCurve_Q9H3S7_PTPN23.pdf", "Melting_Curves/meltCurve_Q9H3S7_PTPN23.pdf")</f>
        <v>Melting_Curves/meltCurve_Q9H3S7_PTPN23.pdf</v>
      </c>
    </row>
    <row r="5949" spans="1:28" x14ac:dyDescent="0.25">
      <c r="A5949" t="s">
        <v>5953</v>
      </c>
      <c r="B5949">
        <v>0.99999676499088797</v>
      </c>
      <c r="C5949">
        <v>0.97857134564575399</v>
      </c>
      <c r="D5949">
        <v>0.69343037470095703</v>
      </c>
      <c r="E5949">
        <v>0.32902321668645401</v>
      </c>
      <c r="F5949">
        <v>0.203859736284904</v>
      </c>
      <c r="G5949">
        <v>0.173215162879686</v>
      </c>
      <c r="H5949">
        <v>7.2943755544774697E-2</v>
      </c>
      <c r="I5949">
        <v>7.8634520131691504E-2</v>
      </c>
      <c r="J5949">
        <v>8.0108728384873706E-2</v>
      </c>
      <c r="K5949">
        <v>6.44525361626061E-2</v>
      </c>
      <c r="L5949">
        <v>1069.2461232866401</v>
      </c>
      <c r="M5949">
        <v>22.478599885972098</v>
      </c>
      <c r="N5949">
        <v>47.992183979669903</v>
      </c>
      <c r="O5949">
        <v>47.195629616227102</v>
      </c>
      <c r="P5949">
        <v>-0.108329846051905</v>
      </c>
      <c r="Q5949">
        <v>9.0229728508970403E-2</v>
      </c>
      <c r="R5949">
        <v>0.99220182913345101</v>
      </c>
      <c r="S5949" t="s">
        <v>12952</v>
      </c>
      <c r="T5949" t="s">
        <v>14004</v>
      </c>
      <c r="U5949" t="s">
        <v>14004</v>
      </c>
      <c r="V5949" t="s">
        <v>14004</v>
      </c>
      <c r="W5949" t="s">
        <v>19898</v>
      </c>
      <c r="X5949">
        <v>39</v>
      </c>
      <c r="Y5949" t="s">
        <v>26694</v>
      </c>
      <c r="Z5949" t="s">
        <v>33659</v>
      </c>
      <c r="AA5949">
        <v>0.32985696636231332</v>
      </c>
      <c r="AB5949" t="str">
        <f>HYPERLINK("Melting_Curves/meltCurve_Q9H3U1_2_UNC45A.pdf", "Melting_Curves/meltCurve_Q9H3U1_2_UNC45A.pdf")</f>
        <v>Melting_Curves/meltCurve_Q9H3U1_2_UNC45A.pdf</v>
      </c>
    </row>
    <row r="5950" spans="1:28" x14ac:dyDescent="0.25">
      <c r="A5950" t="s">
        <v>5954</v>
      </c>
      <c r="B5950">
        <v>0.99999676499088797</v>
      </c>
      <c r="C5950">
        <v>1.2340090693083401</v>
      </c>
      <c r="D5950">
        <v>1.2093581842244701</v>
      </c>
      <c r="E5950">
        <v>0.83442618371344401</v>
      </c>
      <c r="F5950">
        <v>0.35520319120996002</v>
      </c>
      <c r="G5950">
        <v>0.36037937856975299</v>
      </c>
      <c r="H5950">
        <v>0.27569600000301198</v>
      </c>
      <c r="I5950">
        <v>0.39982384977929802</v>
      </c>
      <c r="J5950">
        <v>0.32989527128642199</v>
      </c>
      <c r="K5950">
        <v>0.27539781587204198</v>
      </c>
      <c r="L5950">
        <v>3675.8520545900701</v>
      </c>
      <c r="M5950">
        <v>72.977497365139001</v>
      </c>
      <c r="N5950">
        <v>51.126903592372202</v>
      </c>
      <c r="O5950">
        <v>50.331880788677203</v>
      </c>
      <c r="P5950">
        <v>-0.24273600897629399</v>
      </c>
      <c r="Q5950">
        <v>0.33034933053704801</v>
      </c>
      <c r="R5950">
        <v>0.92211390370209201</v>
      </c>
      <c r="S5950" t="s">
        <v>12953</v>
      </c>
      <c r="T5950" t="s">
        <v>14004</v>
      </c>
      <c r="U5950" t="s">
        <v>14004</v>
      </c>
      <c r="V5950" t="s">
        <v>14004</v>
      </c>
      <c r="W5950" t="s">
        <v>19899</v>
      </c>
      <c r="X5950">
        <v>3</v>
      </c>
      <c r="Y5950" t="s">
        <v>26695</v>
      </c>
      <c r="Z5950" t="s">
        <v>33660</v>
      </c>
      <c r="AA5950">
        <v>0.56251410692211268</v>
      </c>
      <c r="AB5950" t="str">
        <f>HYPERLINK("Melting_Curves/meltCurve_Q9H3U5_3_MFSD1.pdf", "Melting_Curves/meltCurve_Q9H3U5_3_MFSD1.pdf")</f>
        <v>Melting_Curves/meltCurve_Q9H3U5_3_MFSD1.pdf</v>
      </c>
    </row>
    <row r="5951" spans="1:28" x14ac:dyDescent="0.25">
      <c r="A5951" t="s">
        <v>5955</v>
      </c>
      <c r="B5951">
        <v>0.99999676499088797</v>
      </c>
      <c r="C5951">
        <v>1.0305515756950301</v>
      </c>
      <c r="D5951">
        <v>0.98727519307495404</v>
      </c>
      <c r="E5951">
        <v>0.92761992581254604</v>
      </c>
      <c r="F5951">
        <v>1.0420854522112799</v>
      </c>
      <c r="G5951">
        <v>0.67832357001937604</v>
      </c>
      <c r="H5951">
        <v>0.55812475985105003</v>
      </c>
      <c r="I5951">
        <v>0.39968454104632001</v>
      </c>
      <c r="J5951">
        <v>0.37872276213621803</v>
      </c>
      <c r="K5951">
        <v>0.72673538631569801</v>
      </c>
      <c r="L5951">
        <v>14161.2154492551</v>
      </c>
      <c r="M5951">
        <v>250</v>
      </c>
      <c r="O5951">
        <v>56.6412369954665</v>
      </c>
      <c r="P5951">
        <v>-0.53426528654483796</v>
      </c>
      <c r="Q5951">
        <v>0.51581685395186505</v>
      </c>
      <c r="R5951">
        <v>0.85843530557346004</v>
      </c>
      <c r="S5951" t="s">
        <v>12954</v>
      </c>
      <c r="T5951" t="s">
        <v>14004</v>
      </c>
      <c r="U5951" t="s">
        <v>14004</v>
      </c>
      <c r="V5951" t="s">
        <v>14004</v>
      </c>
      <c r="W5951" t="s">
        <v>19900</v>
      </c>
      <c r="X5951">
        <v>6</v>
      </c>
      <c r="Y5951" t="s">
        <v>26696</v>
      </c>
      <c r="Z5951" t="s">
        <v>33661</v>
      </c>
      <c r="AA5951">
        <v>0.78450370535764646</v>
      </c>
      <c r="AB5951" t="str">
        <f>HYPERLINK("Melting_Curves/meltCurve_Q9H3Z4_2_DNAJC5.pdf", "Melting_Curves/meltCurve_Q9H3Z4_2_DNAJC5.pdf")</f>
        <v>Melting_Curves/meltCurve_Q9H3Z4_2_DNAJC5.pdf</v>
      </c>
    </row>
    <row r="5952" spans="1:28" x14ac:dyDescent="0.25">
      <c r="A5952" t="s">
        <v>5956</v>
      </c>
      <c r="B5952">
        <v>0.99999676499088797</v>
      </c>
      <c r="C5952">
        <v>0.99632786551952401</v>
      </c>
      <c r="D5952">
        <v>0.94687241556491897</v>
      </c>
      <c r="E5952">
        <v>0.69981587158509495</v>
      </c>
      <c r="F5952">
        <v>0.51865985435861195</v>
      </c>
      <c r="G5952">
        <v>0.66246376748758395</v>
      </c>
      <c r="H5952">
        <v>0.31140098883112299</v>
      </c>
      <c r="I5952">
        <v>0</v>
      </c>
      <c r="J5952">
        <v>0.107874528469329</v>
      </c>
      <c r="K5952">
        <v>0.18837513811248599</v>
      </c>
      <c r="L5952">
        <v>594.68419497825198</v>
      </c>
      <c r="M5952">
        <v>10.695969007759601</v>
      </c>
      <c r="N5952">
        <v>55.5989078254376</v>
      </c>
      <c r="O5952">
        <v>53.761138724397199</v>
      </c>
      <c r="P5952">
        <v>-4.9757078662981999E-2</v>
      </c>
      <c r="Q5952">
        <v>0</v>
      </c>
      <c r="R5952">
        <v>0.90879422363335904</v>
      </c>
      <c r="S5952" t="s">
        <v>12955</v>
      </c>
      <c r="T5952" t="s">
        <v>14004</v>
      </c>
      <c r="U5952" t="s">
        <v>14004</v>
      </c>
      <c r="V5952" t="s">
        <v>14004</v>
      </c>
      <c r="W5952" t="s">
        <v>19901</v>
      </c>
      <c r="X5952">
        <v>1</v>
      </c>
      <c r="Y5952" t="s">
        <v>26697</v>
      </c>
      <c r="Z5952" t="s">
        <v>33662</v>
      </c>
      <c r="AA5952">
        <v>0.5426764691537167</v>
      </c>
      <c r="AB5952" t="str">
        <f>HYPERLINK("Melting_Curves/meltCurve_Q9H400_LIME1.pdf", "Melting_Curves/meltCurve_Q9H400_LIME1.pdf")</f>
        <v>Melting_Curves/meltCurve_Q9H400_LIME1.pdf</v>
      </c>
    </row>
    <row r="5953" spans="1:28" x14ac:dyDescent="0.25">
      <c r="A5953" t="s">
        <v>5957</v>
      </c>
      <c r="B5953">
        <v>0.99999676499088797</v>
      </c>
      <c r="C5953">
        <v>0.93034438062347902</v>
      </c>
      <c r="D5953">
        <v>0.95311266163930697</v>
      </c>
      <c r="E5953">
        <v>0.534107736620551</v>
      </c>
      <c r="F5953">
        <v>0.30637680564846598</v>
      </c>
      <c r="G5953">
        <v>0.17921802313325499</v>
      </c>
      <c r="H5953">
        <v>0.100318491633484</v>
      </c>
      <c r="I5953">
        <v>8.2089659681576693E-2</v>
      </c>
      <c r="J5953">
        <v>7.7107875402381496E-2</v>
      </c>
      <c r="K5953">
        <v>7.0850749067408694E-2</v>
      </c>
      <c r="L5953">
        <v>1070.51515967469</v>
      </c>
      <c r="M5953">
        <v>21.383159504544299</v>
      </c>
      <c r="N5953">
        <v>50.482958193793699</v>
      </c>
      <c r="O5953">
        <v>49.631787229895103</v>
      </c>
      <c r="P5953">
        <v>-9.8944379500402399E-2</v>
      </c>
      <c r="Q5953">
        <v>8.13960489289237E-2</v>
      </c>
      <c r="R5953">
        <v>0.99163079446944402</v>
      </c>
      <c r="S5953" t="s">
        <v>12956</v>
      </c>
      <c r="T5953" t="s">
        <v>14004</v>
      </c>
      <c r="U5953" t="s">
        <v>14004</v>
      </c>
      <c r="V5953" t="s">
        <v>14004</v>
      </c>
      <c r="W5953" t="s">
        <v>19902</v>
      </c>
      <c r="X5953">
        <v>10</v>
      </c>
      <c r="Y5953" t="s">
        <v>26698</v>
      </c>
      <c r="Z5953" t="s">
        <v>33663</v>
      </c>
      <c r="AA5953">
        <v>0.40075630854607502</v>
      </c>
      <c r="AB5953" t="str">
        <f>HYPERLINK("Melting_Curves/meltCurve_Q9H410_DSN1.pdf", "Melting_Curves/meltCurve_Q9H410_DSN1.pdf")</f>
        <v>Melting_Curves/meltCurve_Q9H410_DSN1.pdf</v>
      </c>
    </row>
    <row r="5954" spans="1:28" x14ac:dyDescent="0.25">
      <c r="A5954" t="s">
        <v>5958</v>
      </c>
      <c r="B5954">
        <v>0.99999676499088797</v>
      </c>
      <c r="C5954">
        <v>0.89650007359017203</v>
      </c>
      <c r="D5954">
        <v>0.85920693490372402</v>
      </c>
      <c r="E5954">
        <v>0.56223321347280197</v>
      </c>
      <c r="F5954">
        <v>0.397089997475715</v>
      </c>
      <c r="G5954">
        <v>0.27917516699196998</v>
      </c>
      <c r="H5954">
        <v>0.182846274207177</v>
      </c>
      <c r="I5954">
        <v>0.20500785814768599</v>
      </c>
      <c r="J5954">
        <v>0.24640535124930199</v>
      </c>
      <c r="K5954">
        <v>0.28599640468067999</v>
      </c>
      <c r="L5954">
        <v>914.33865757726505</v>
      </c>
      <c r="M5954">
        <v>18.610041113118701</v>
      </c>
      <c r="N5954">
        <v>50.745426591121799</v>
      </c>
      <c r="O5954">
        <v>48.5747090747534</v>
      </c>
      <c r="P5954">
        <v>-7.4390277204397004E-2</v>
      </c>
      <c r="Q5954">
        <v>0.22335911202956901</v>
      </c>
      <c r="R5954">
        <v>0.985190573466174</v>
      </c>
      <c r="S5954" t="s">
        <v>12957</v>
      </c>
      <c r="T5954" t="s">
        <v>14004</v>
      </c>
      <c r="U5954" t="s">
        <v>14004</v>
      </c>
      <c r="V5954" t="s">
        <v>14004</v>
      </c>
      <c r="W5954" t="s">
        <v>19903</v>
      </c>
      <c r="X5954">
        <v>12</v>
      </c>
      <c r="Y5954" t="s">
        <v>26699</v>
      </c>
      <c r="Z5954" t="s">
        <v>33664</v>
      </c>
      <c r="AA5954">
        <v>0.4723137726236567</v>
      </c>
      <c r="AB5954" t="str">
        <f>HYPERLINK("Melting_Curves/meltCurve_Q9H425_C1orf198.pdf", "Melting_Curves/meltCurve_Q9H425_C1orf198.pdf")</f>
        <v>Melting_Curves/meltCurve_Q9H425_C1orf198.pdf</v>
      </c>
    </row>
    <row r="5955" spans="1:28" x14ac:dyDescent="0.25">
      <c r="A5955" t="s">
        <v>5959</v>
      </c>
      <c r="B5955">
        <v>0.99999676499088797</v>
      </c>
      <c r="C5955">
        <v>1.00086896954601</v>
      </c>
      <c r="D5955">
        <v>0.94029937911983197</v>
      </c>
      <c r="E5955">
        <v>0.74331936510486596</v>
      </c>
      <c r="F5955">
        <v>0.70280894425096196</v>
      </c>
      <c r="G5955">
        <v>0.63069684810806403</v>
      </c>
      <c r="H5955">
        <v>0.33180538011092597</v>
      </c>
      <c r="I5955">
        <v>0.33142081565778297</v>
      </c>
      <c r="J5955">
        <v>0.33098768194050199</v>
      </c>
      <c r="K5955">
        <v>0.30958209005605503</v>
      </c>
      <c r="L5955">
        <v>622.85444938037995</v>
      </c>
      <c r="M5955">
        <v>11.346559918314799</v>
      </c>
      <c r="N5955">
        <v>57.959573564443403</v>
      </c>
      <c r="O5955">
        <v>53.271535101540003</v>
      </c>
      <c r="P5955">
        <v>-4.12455363241747E-2</v>
      </c>
      <c r="Q5955">
        <v>0.22564882898462299</v>
      </c>
      <c r="R5955">
        <v>0.96671159317563604</v>
      </c>
      <c r="S5955" t="s">
        <v>12958</v>
      </c>
      <c r="T5955" t="s">
        <v>14004</v>
      </c>
      <c r="U5955" t="s">
        <v>14004</v>
      </c>
      <c r="V5955" t="s">
        <v>14004</v>
      </c>
      <c r="W5955" t="s">
        <v>19904</v>
      </c>
      <c r="X5955">
        <v>16</v>
      </c>
      <c r="Y5955" t="s">
        <v>26700</v>
      </c>
      <c r="Z5955" t="s">
        <v>33665</v>
      </c>
      <c r="AA5955">
        <v>0.62917740006095701</v>
      </c>
      <c r="AB5955" t="str">
        <f>HYPERLINK("Melting_Curves/meltCurve_Q9H444_CHMP4B.pdf", "Melting_Curves/meltCurve_Q9H444_CHMP4B.pdf")</f>
        <v>Melting_Curves/meltCurve_Q9H444_CHMP4B.pdf</v>
      </c>
    </row>
    <row r="5956" spans="1:28" x14ac:dyDescent="0.25">
      <c r="A5956" t="s">
        <v>5960</v>
      </c>
      <c r="B5956">
        <v>0.99999676499088797</v>
      </c>
      <c r="C5956">
        <v>0.92930741322522603</v>
      </c>
      <c r="D5956">
        <v>0.92297780267530705</v>
      </c>
      <c r="E5956">
        <v>0.74422241315700699</v>
      </c>
      <c r="F5956">
        <v>0.52529636036718896</v>
      </c>
      <c r="G5956">
        <v>0.353083850392923</v>
      </c>
      <c r="H5956">
        <v>0.20134406277088501</v>
      </c>
      <c r="I5956">
        <v>0.196530501735274</v>
      </c>
      <c r="J5956">
        <v>0.168698841039747</v>
      </c>
      <c r="K5956">
        <v>0.227482104453261</v>
      </c>
      <c r="L5956">
        <v>851.14206505955201</v>
      </c>
      <c r="M5956">
        <v>16.325674871179501</v>
      </c>
      <c r="N5956">
        <v>53.461009010722201</v>
      </c>
      <c r="O5956">
        <v>51.371775511143298</v>
      </c>
      <c r="P5956">
        <v>-6.6227671196502302E-2</v>
      </c>
      <c r="Q5956">
        <v>0.16646965839807501</v>
      </c>
      <c r="R5956">
        <v>0.99347862801598996</v>
      </c>
      <c r="S5956" t="s">
        <v>12959</v>
      </c>
      <c r="T5956" t="s">
        <v>14004</v>
      </c>
      <c r="U5956" t="s">
        <v>14004</v>
      </c>
      <c r="V5956" t="s">
        <v>14004</v>
      </c>
      <c r="W5956" t="s">
        <v>19905</v>
      </c>
      <c r="X5956">
        <v>10</v>
      </c>
      <c r="Y5956" t="s">
        <v>26701</v>
      </c>
      <c r="Z5956" t="s">
        <v>33666</v>
      </c>
      <c r="AA5956">
        <v>0.51989584926335641</v>
      </c>
      <c r="AB5956" t="str">
        <f>HYPERLINK("Melting_Curves/meltCurve_Q9H467_CUEDC2.pdf", "Melting_Curves/meltCurve_Q9H467_CUEDC2.pdf")</f>
        <v>Melting_Curves/meltCurve_Q9H467_CUEDC2.pdf</v>
      </c>
    </row>
    <row r="5957" spans="1:28" x14ac:dyDescent="0.25">
      <c r="A5957" t="s">
        <v>5961</v>
      </c>
      <c r="B5957">
        <v>0.99999676499088797</v>
      </c>
      <c r="C5957">
        <v>0.92282840715286196</v>
      </c>
      <c r="D5957">
        <v>0.97278309091031701</v>
      </c>
      <c r="E5957">
        <v>0.95892163012783205</v>
      </c>
      <c r="F5957">
        <v>0.73394452514192599</v>
      </c>
      <c r="G5957">
        <v>0.69752370038795297</v>
      </c>
      <c r="H5957">
        <v>0.477579853179188</v>
      </c>
      <c r="I5957">
        <v>0.55007945394115199</v>
      </c>
      <c r="J5957">
        <v>0.54402778246041605</v>
      </c>
      <c r="K5957">
        <v>0.50889432194964601</v>
      </c>
      <c r="L5957">
        <v>1075.73713783426</v>
      </c>
      <c r="M5957">
        <v>20.0283181613846</v>
      </c>
      <c r="O5957">
        <v>53.183951810063398</v>
      </c>
      <c r="P5957">
        <v>-4.6059374168304502E-2</v>
      </c>
      <c r="Q5957">
        <v>0.510784639558436</v>
      </c>
      <c r="R5957">
        <v>0.95039318179199905</v>
      </c>
      <c r="S5957" t="s">
        <v>12960</v>
      </c>
      <c r="T5957" t="s">
        <v>14004</v>
      </c>
      <c r="U5957" t="s">
        <v>14004</v>
      </c>
      <c r="V5957" t="s">
        <v>14004</v>
      </c>
      <c r="W5957" t="s">
        <v>19906</v>
      </c>
      <c r="X5957">
        <v>5</v>
      </c>
      <c r="Y5957" t="s">
        <v>26702</v>
      </c>
      <c r="Z5957" t="s">
        <v>33667</v>
      </c>
      <c r="AA5957">
        <v>0.74103075961936726</v>
      </c>
      <c r="AB5957" t="str">
        <f>HYPERLINK("Melting_Curves/meltCurve_Q9H477_RBKS.pdf", "Melting_Curves/meltCurve_Q9H477_RBKS.pdf")</f>
        <v>Melting_Curves/meltCurve_Q9H477_RBKS.pdf</v>
      </c>
    </row>
    <row r="5958" spans="1:28" x14ac:dyDescent="0.25">
      <c r="A5958" t="s">
        <v>5962</v>
      </c>
      <c r="B5958">
        <v>0.99999676499088797</v>
      </c>
      <c r="C5958">
        <v>1.0131461728868301</v>
      </c>
      <c r="D5958">
        <v>1.03890070555801</v>
      </c>
      <c r="E5958">
        <v>1.0811499685428001</v>
      </c>
      <c r="F5958">
        <v>0.84075449888916398</v>
      </c>
      <c r="G5958">
        <v>0.50636154110909104</v>
      </c>
      <c r="H5958">
        <v>0.18109291466748001</v>
      </c>
      <c r="I5958">
        <v>0.131612571081656</v>
      </c>
      <c r="J5958">
        <v>9.6437183338196605E-2</v>
      </c>
      <c r="K5958">
        <v>8.7313022810139806E-2</v>
      </c>
      <c r="L5958">
        <v>1676.97303126005</v>
      </c>
      <c r="M5958">
        <v>29.736590845303699</v>
      </c>
      <c r="N5958">
        <v>56.782677816232002</v>
      </c>
      <c r="O5958">
        <v>56.1410653585991</v>
      </c>
      <c r="P5958">
        <v>-0.12023353716992199</v>
      </c>
      <c r="Q5958">
        <v>9.20286247209091E-2</v>
      </c>
      <c r="R5958">
        <v>0.99293298593239798</v>
      </c>
      <c r="S5958" t="s">
        <v>12961</v>
      </c>
      <c r="T5958" t="s">
        <v>14004</v>
      </c>
      <c r="U5958" t="s">
        <v>14004</v>
      </c>
      <c r="V5958" t="s">
        <v>14004</v>
      </c>
      <c r="W5958" t="s">
        <v>19907</v>
      </c>
      <c r="X5958">
        <v>9</v>
      </c>
      <c r="Y5958" t="s">
        <v>26703</v>
      </c>
      <c r="Z5958" t="s">
        <v>33668</v>
      </c>
      <c r="AA5958">
        <v>0.59436679200734344</v>
      </c>
      <c r="AB5958" t="str">
        <f>HYPERLINK("Melting_Curves/meltCurve_Q9H488_POFUT1.pdf", "Melting_Curves/meltCurve_Q9H488_POFUT1.pdf")</f>
        <v>Melting_Curves/meltCurve_Q9H488_POFUT1.pdf</v>
      </c>
    </row>
    <row r="5959" spans="1:28" x14ac:dyDescent="0.25">
      <c r="A5959" t="s">
        <v>5963</v>
      </c>
      <c r="B5959">
        <v>0.99999676499088797</v>
      </c>
      <c r="C5959">
        <v>0.98565263462925501</v>
      </c>
      <c r="D5959">
        <v>1.0282842830440899</v>
      </c>
      <c r="E5959">
        <v>0.83887325955526104</v>
      </c>
      <c r="F5959">
        <v>0.31430368254109398</v>
      </c>
      <c r="G5959">
        <v>0.23084552156912999</v>
      </c>
      <c r="H5959">
        <v>0.135171445178382</v>
      </c>
      <c r="I5959">
        <v>0.112181048639659</v>
      </c>
      <c r="J5959">
        <v>0.134579800110571</v>
      </c>
      <c r="K5959">
        <v>0.134907486005344</v>
      </c>
      <c r="L5959">
        <v>1987.6866585318201</v>
      </c>
      <c r="M5959">
        <v>38.638439745342602</v>
      </c>
      <c r="N5959">
        <v>51.892441927897899</v>
      </c>
      <c r="O5959">
        <v>51.306025188927499</v>
      </c>
      <c r="P5959">
        <v>-0.161514498635425</v>
      </c>
      <c r="Q5959">
        <v>0.142134403872889</v>
      </c>
      <c r="R5959">
        <v>0.99518481390591096</v>
      </c>
      <c r="S5959" t="s">
        <v>12962</v>
      </c>
      <c r="T5959" t="s">
        <v>14004</v>
      </c>
      <c r="U5959" t="s">
        <v>14004</v>
      </c>
      <c r="V5959" t="s">
        <v>14004</v>
      </c>
      <c r="W5959" t="s">
        <v>19908</v>
      </c>
      <c r="X5959">
        <v>2</v>
      </c>
      <c r="Y5959" t="s">
        <v>26704</v>
      </c>
      <c r="Z5959" t="s">
        <v>33669</v>
      </c>
      <c r="AA5959">
        <v>0.47262983982628648</v>
      </c>
      <c r="AB5959" t="str">
        <f>HYPERLINK("Melting_Curves/meltCurve_Q9H490_2_PIGU.pdf", "Melting_Curves/meltCurve_Q9H490_2_PIGU.pdf")</f>
        <v>Melting_Curves/meltCurve_Q9H490_2_PIGU.pdf</v>
      </c>
    </row>
    <row r="5960" spans="1:28" x14ac:dyDescent="0.25">
      <c r="A5960" t="s">
        <v>5964</v>
      </c>
      <c r="B5960">
        <v>0.99999676499088797</v>
      </c>
      <c r="C5960">
        <v>1.0805336584072001</v>
      </c>
      <c r="D5960">
        <v>0.75772713481998799</v>
      </c>
      <c r="E5960">
        <v>0.31054533041919302</v>
      </c>
      <c r="F5960">
        <v>0.20453449613537</v>
      </c>
      <c r="G5960">
        <v>0.100056133181341</v>
      </c>
      <c r="H5960">
        <v>3.6819167959554401E-2</v>
      </c>
      <c r="I5960">
        <v>6.0828695914740903E-2</v>
      </c>
      <c r="J5960">
        <v>4.0402059800873399E-2</v>
      </c>
      <c r="K5960">
        <v>0.10544157583616</v>
      </c>
      <c r="L5960">
        <v>1366.3414718798399</v>
      </c>
      <c r="M5960">
        <v>28.53306859453</v>
      </c>
      <c r="N5960">
        <v>48.170790192378</v>
      </c>
      <c r="O5960">
        <v>47.652895143954197</v>
      </c>
      <c r="P5960">
        <v>-0.13808419551760101</v>
      </c>
      <c r="Q5960">
        <v>7.7553541034899198E-2</v>
      </c>
      <c r="R5960">
        <v>0.98446616162515799</v>
      </c>
      <c r="S5960" t="s">
        <v>12963</v>
      </c>
      <c r="T5960" t="s">
        <v>14004</v>
      </c>
      <c r="U5960" t="s">
        <v>14004</v>
      </c>
      <c r="V5960" t="s">
        <v>14004</v>
      </c>
      <c r="W5960" t="s">
        <v>19909</v>
      </c>
      <c r="X5960">
        <v>3</v>
      </c>
      <c r="Y5960" t="s">
        <v>26705</v>
      </c>
      <c r="Z5960" t="s">
        <v>33670</v>
      </c>
      <c r="AA5960">
        <v>0.32620405534447899</v>
      </c>
      <c r="AB5960" t="str">
        <f>HYPERLINK("Melting_Curves/meltCurve_Q9H496_IFRG15.pdf", "Melting_Curves/meltCurve_Q9H496_IFRG15.pdf")</f>
        <v>Melting_Curves/meltCurve_Q9H496_IFRG15.pdf</v>
      </c>
    </row>
    <row r="5961" spans="1:28" x14ac:dyDescent="0.25">
      <c r="A5961" t="s">
        <v>5965</v>
      </c>
      <c r="B5961">
        <v>0.99999676499088797</v>
      </c>
      <c r="C5961">
        <v>1.0044374742781299</v>
      </c>
      <c r="D5961">
        <v>1.2730169267956499</v>
      </c>
      <c r="E5961">
        <v>1.48240398541384</v>
      </c>
      <c r="F5961">
        <v>1.2237414130370099</v>
      </c>
      <c r="G5961">
        <v>0.78260563316289899</v>
      </c>
      <c r="H5961">
        <v>0.26325700621095399</v>
      </c>
      <c r="I5961">
        <v>0.33352123313271298</v>
      </c>
      <c r="J5961">
        <v>0.45975855514742597</v>
      </c>
      <c r="K5961">
        <v>0.34080981632552998</v>
      </c>
      <c r="L5961">
        <v>14239.1718658792</v>
      </c>
      <c r="M5961">
        <v>250</v>
      </c>
      <c r="N5961">
        <v>57.231297112898098</v>
      </c>
      <c r="O5961">
        <v>56.953042374014402</v>
      </c>
      <c r="P5961">
        <v>-0.71403490151674698</v>
      </c>
      <c r="Q5961">
        <v>0.34933663798695302</v>
      </c>
      <c r="R5961">
        <v>0.78814260564530403</v>
      </c>
      <c r="S5961" t="s">
        <v>12964</v>
      </c>
      <c r="T5961" t="s">
        <v>14004</v>
      </c>
      <c r="U5961" t="s">
        <v>14004</v>
      </c>
      <c r="V5961" t="s">
        <v>14004</v>
      </c>
      <c r="W5961" t="s">
        <v>19910</v>
      </c>
      <c r="X5961">
        <v>5</v>
      </c>
      <c r="Y5961" t="s">
        <v>26706</v>
      </c>
      <c r="Z5961" t="s">
        <v>33671</v>
      </c>
      <c r="AA5961">
        <v>0.71717151951427394</v>
      </c>
      <c r="AB5961" t="str">
        <f>HYPERLINK("Melting_Curves/meltCurve_Q9H497_TOR3A.pdf", "Melting_Curves/meltCurve_Q9H497_TOR3A.pdf")</f>
        <v>Melting_Curves/meltCurve_Q9H497_TOR3A.pdf</v>
      </c>
    </row>
    <row r="5962" spans="1:28" x14ac:dyDescent="0.25">
      <c r="A5962" t="s">
        <v>5966</v>
      </c>
      <c r="B5962">
        <v>0.99999676499088797</v>
      </c>
      <c r="C5962">
        <v>1.0474740103778299</v>
      </c>
      <c r="D5962">
        <v>1.08210369880878</v>
      </c>
      <c r="E5962">
        <v>1.14295820887931</v>
      </c>
      <c r="F5962">
        <v>0.41116103608645099</v>
      </c>
      <c r="G5962">
        <v>0.21980177944916901</v>
      </c>
      <c r="H5962">
        <v>0.10964556405689101</v>
      </c>
      <c r="I5962">
        <v>0.105470803682972</v>
      </c>
      <c r="J5962">
        <v>0.10790491555429001</v>
      </c>
      <c r="K5962">
        <v>0.10133284592873699</v>
      </c>
      <c r="L5962">
        <v>11885.4733189489</v>
      </c>
      <c r="M5962">
        <v>224.146227619683</v>
      </c>
      <c r="N5962">
        <v>53.096114398941701</v>
      </c>
      <c r="O5962">
        <v>53.021312481860399</v>
      </c>
      <c r="P5962">
        <v>-0.92071101542878198</v>
      </c>
      <c r="Q5962">
        <v>0.128831087175097</v>
      </c>
      <c r="R5962">
        <v>0.98007561978903901</v>
      </c>
      <c r="S5962" t="s">
        <v>12965</v>
      </c>
      <c r="T5962" t="s">
        <v>14004</v>
      </c>
      <c r="U5962" t="s">
        <v>14004</v>
      </c>
      <c r="V5962" t="s">
        <v>14004</v>
      </c>
      <c r="W5962" t="s">
        <v>19911</v>
      </c>
      <c r="X5962">
        <v>30</v>
      </c>
      <c r="Y5962" t="s">
        <v>26707</v>
      </c>
      <c r="Z5962" t="s">
        <v>33672</v>
      </c>
      <c r="AA5962">
        <v>0.50717994059542026</v>
      </c>
      <c r="AB5962" t="str">
        <f>HYPERLINK("Melting_Curves/meltCurve_Q9H4A4_RNPEP.pdf", "Melting_Curves/meltCurve_Q9H4A4_RNPEP.pdf")</f>
        <v>Melting_Curves/meltCurve_Q9H4A4_RNPEP.pdf</v>
      </c>
    </row>
    <row r="5963" spans="1:28" x14ac:dyDescent="0.25">
      <c r="A5963" t="s">
        <v>5967</v>
      </c>
      <c r="B5963">
        <v>0.99999676499088797</v>
      </c>
      <c r="C5963">
        <v>0.88618348055722396</v>
      </c>
      <c r="D5963">
        <v>0.80441682414073501</v>
      </c>
      <c r="E5963">
        <v>0.56130646185621202</v>
      </c>
      <c r="F5963">
        <v>0.41519530470469102</v>
      </c>
      <c r="G5963">
        <v>0.235352512267513</v>
      </c>
      <c r="H5963">
        <v>0.10514192520207601</v>
      </c>
      <c r="I5963">
        <v>8.4949937961341801E-2</v>
      </c>
      <c r="J5963">
        <v>8.1550849266961101E-2</v>
      </c>
      <c r="K5963">
        <v>6.8532431565926699E-2</v>
      </c>
      <c r="L5963">
        <v>631.38220752259099</v>
      </c>
      <c r="M5963">
        <v>12.4184293465291</v>
      </c>
      <c r="N5963">
        <v>51.046370479707697</v>
      </c>
      <c r="O5963">
        <v>49.577948172169798</v>
      </c>
      <c r="P5963">
        <v>-6.1117562924867301E-2</v>
      </c>
      <c r="Q5963">
        <v>2.42102675327414E-2</v>
      </c>
      <c r="R5963">
        <v>0.99578199123191702</v>
      </c>
      <c r="S5963" t="s">
        <v>12966</v>
      </c>
      <c r="T5963" t="s">
        <v>14004</v>
      </c>
      <c r="U5963" t="s">
        <v>14004</v>
      </c>
      <c r="V5963" t="s">
        <v>14004</v>
      </c>
      <c r="W5963" t="s">
        <v>19912</v>
      </c>
      <c r="X5963">
        <v>9</v>
      </c>
      <c r="Y5963" t="s">
        <v>26708</v>
      </c>
      <c r="Z5963" t="s">
        <v>33673</v>
      </c>
      <c r="AA5963">
        <v>0.40742352621721939</v>
      </c>
      <c r="AB5963" t="str">
        <f>HYPERLINK("Melting_Curves/meltCurve_Q9H4A5_GOLPH3L.pdf", "Melting_Curves/meltCurve_Q9H4A5_GOLPH3L.pdf")</f>
        <v>Melting_Curves/meltCurve_Q9H4A5_GOLPH3L.pdf</v>
      </c>
    </row>
    <row r="5964" spans="1:28" x14ac:dyDescent="0.25">
      <c r="A5964" t="s">
        <v>5968</v>
      </c>
      <c r="B5964">
        <v>0.99999676499088797</v>
      </c>
      <c r="C5964">
        <v>0.981878938887222</v>
      </c>
      <c r="D5964">
        <v>1.0229480008182901</v>
      </c>
      <c r="E5964">
        <v>1.19867020490804</v>
      </c>
      <c r="F5964">
        <v>0.80124004688600203</v>
      </c>
      <c r="G5964">
        <v>0.35864472972195499</v>
      </c>
      <c r="H5964">
        <v>0.168250549175396</v>
      </c>
      <c r="I5964">
        <v>0.15142601127740399</v>
      </c>
      <c r="J5964">
        <v>0.111996488500984</v>
      </c>
      <c r="K5964">
        <v>9.9909412984597407E-2</v>
      </c>
      <c r="L5964">
        <v>2122.5512378384901</v>
      </c>
      <c r="M5964">
        <v>38.443050812317303</v>
      </c>
      <c r="N5964">
        <v>55.633428401347203</v>
      </c>
      <c r="O5964">
        <v>55.064109257159302</v>
      </c>
      <c r="P5964">
        <v>-0.15252904912274801</v>
      </c>
      <c r="Q5964">
        <v>0.126099021296386</v>
      </c>
      <c r="R5964">
        <v>0.97370696533712198</v>
      </c>
      <c r="S5964" t="s">
        <v>12967</v>
      </c>
      <c r="T5964" t="s">
        <v>14004</v>
      </c>
      <c r="U5964" t="s">
        <v>14004</v>
      </c>
      <c r="V5964" t="s">
        <v>14004</v>
      </c>
      <c r="W5964" t="s">
        <v>19913</v>
      </c>
      <c r="X5964">
        <v>7</v>
      </c>
      <c r="Y5964" t="s">
        <v>26709</v>
      </c>
      <c r="Z5964" t="s">
        <v>33674</v>
      </c>
      <c r="AA5964">
        <v>0.57284357621501947</v>
      </c>
      <c r="AB5964" t="str">
        <f>HYPERLINK("Melting_Curves/meltCurve_Q9H4A6_GOLPH3.pdf", "Melting_Curves/meltCurve_Q9H4A6_GOLPH3.pdf")</f>
        <v>Melting_Curves/meltCurve_Q9H4A6_GOLPH3.pdf</v>
      </c>
    </row>
    <row r="5965" spans="1:28" x14ac:dyDescent="0.25">
      <c r="A5965" t="s">
        <v>5969</v>
      </c>
      <c r="B5965">
        <v>0.99999676499088797</v>
      </c>
      <c r="C5965">
        <v>0.973105140182146</v>
      </c>
      <c r="D5965">
        <v>0.94504460622397501</v>
      </c>
      <c r="E5965">
        <v>0.77515010405768203</v>
      </c>
      <c r="F5965">
        <v>0.31609265410976201</v>
      </c>
      <c r="G5965">
        <v>0.20175334749753501</v>
      </c>
      <c r="H5965">
        <v>9.5325793515165402E-2</v>
      </c>
      <c r="I5965">
        <v>8.0030153678213006E-2</v>
      </c>
      <c r="J5965">
        <v>7.5167083170570304E-2</v>
      </c>
      <c r="K5965">
        <v>5.3332826617321201E-2</v>
      </c>
      <c r="L5965">
        <v>1343.3035972509699</v>
      </c>
      <c r="M5965">
        <v>26.092654956930101</v>
      </c>
      <c r="N5965">
        <v>51.8110540492127</v>
      </c>
      <c r="O5965">
        <v>51.1824973917794</v>
      </c>
      <c r="P5965">
        <v>-0.11772038877102201</v>
      </c>
      <c r="Q5965">
        <v>7.6344241884494304E-2</v>
      </c>
      <c r="R5965">
        <v>0.99611991185795901</v>
      </c>
      <c r="S5965" t="s">
        <v>12968</v>
      </c>
      <c r="T5965" t="s">
        <v>14004</v>
      </c>
      <c r="U5965" t="s">
        <v>14004</v>
      </c>
      <c r="V5965" t="s">
        <v>14004</v>
      </c>
      <c r="W5965" t="s">
        <v>19914</v>
      </c>
      <c r="X5965">
        <v>5</v>
      </c>
      <c r="Y5965" t="s">
        <v>26710</v>
      </c>
      <c r="Z5965" t="s">
        <v>33675</v>
      </c>
      <c r="AA5965">
        <v>0.43757481681368388</v>
      </c>
      <c r="AB5965" t="str">
        <f>HYPERLINK("Melting_Curves/meltCurve_Q9H4B0_OSGEPL1.pdf", "Melting_Curves/meltCurve_Q9H4B0_OSGEPL1.pdf")</f>
        <v>Melting_Curves/meltCurve_Q9H4B0_OSGEPL1.pdf</v>
      </c>
    </row>
    <row r="5966" spans="1:28" x14ac:dyDescent="0.25">
      <c r="A5966" t="s">
        <v>5970</v>
      </c>
      <c r="B5966">
        <v>0.99999676499088797</v>
      </c>
      <c r="C5966">
        <v>0.84428025595425904</v>
      </c>
      <c r="D5966">
        <v>0.35636379314363098</v>
      </c>
      <c r="E5966">
        <v>0.19810434292423301</v>
      </c>
      <c r="F5966">
        <v>0.14802761653955501</v>
      </c>
      <c r="G5966">
        <v>0.11133931447003</v>
      </c>
      <c r="H5966">
        <v>5.8312765162437399E-2</v>
      </c>
      <c r="I5966">
        <v>5.8752249444656499E-2</v>
      </c>
      <c r="J5966">
        <v>4.9466045421320902E-2</v>
      </c>
      <c r="K5966">
        <v>4.5299407039431798E-2</v>
      </c>
      <c r="L5966">
        <v>1341.8824930820999</v>
      </c>
      <c r="M5966">
        <v>29.851478971478699</v>
      </c>
      <c r="N5966">
        <v>45.227824192674298</v>
      </c>
      <c r="O5966">
        <v>44.751676624938298</v>
      </c>
      <c r="P5966">
        <v>-0.152882979842586</v>
      </c>
      <c r="Q5966">
        <v>8.3231442352177304E-2</v>
      </c>
      <c r="R5966">
        <v>0.98754818113437204</v>
      </c>
      <c r="S5966" t="s">
        <v>12969</v>
      </c>
      <c r="T5966" t="s">
        <v>14004</v>
      </c>
      <c r="U5966" t="s">
        <v>14004</v>
      </c>
      <c r="V5966" t="s">
        <v>14004</v>
      </c>
      <c r="W5966" t="s">
        <v>19915</v>
      </c>
      <c r="X5966">
        <v>18</v>
      </c>
      <c r="Y5966" t="s">
        <v>26711</v>
      </c>
      <c r="Z5966" t="s">
        <v>33676</v>
      </c>
      <c r="AA5966">
        <v>0.24055281348556889</v>
      </c>
      <c r="AB5966" t="str">
        <f>HYPERLINK("Melting_Curves/meltCurve_Q9H4E7_DEF6.pdf", "Melting_Curves/meltCurve_Q9H4E7_DEF6.pdf")</f>
        <v>Melting_Curves/meltCurve_Q9H4E7_DEF6.pdf</v>
      </c>
    </row>
    <row r="5967" spans="1:28" x14ac:dyDescent="0.25">
      <c r="A5967" t="s">
        <v>5971</v>
      </c>
      <c r="B5967">
        <v>0.99999676499088797</v>
      </c>
      <c r="C5967">
        <v>0.96897378670427903</v>
      </c>
      <c r="D5967">
        <v>0.93100221198454403</v>
      </c>
      <c r="E5967">
        <v>0.83587979235534504</v>
      </c>
      <c r="F5967">
        <v>0.33900413552331898</v>
      </c>
      <c r="G5967">
        <v>0.27358735031706399</v>
      </c>
      <c r="H5967">
        <v>0.16540896579777201</v>
      </c>
      <c r="I5967">
        <v>0.21234604638373999</v>
      </c>
      <c r="J5967">
        <v>0.218573319769544</v>
      </c>
      <c r="K5967">
        <v>0.29305307848798701</v>
      </c>
      <c r="L5967">
        <v>2141.50786203505</v>
      </c>
      <c r="M5967">
        <v>41.936672690702203</v>
      </c>
      <c r="N5967">
        <v>51.820295322076298</v>
      </c>
      <c r="O5967">
        <v>50.949572482778301</v>
      </c>
      <c r="P5967">
        <v>-0.158735441983401</v>
      </c>
      <c r="Q5967">
        <v>0.22859983831452799</v>
      </c>
      <c r="R5967">
        <v>0.98728627427235904</v>
      </c>
      <c r="S5967" t="s">
        <v>12970</v>
      </c>
      <c r="T5967" t="s">
        <v>14004</v>
      </c>
      <c r="U5967" t="s">
        <v>14004</v>
      </c>
      <c r="V5967" t="s">
        <v>14004</v>
      </c>
      <c r="W5967" t="s">
        <v>19916</v>
      </c>
      <c r="X5967">
        <v>7</v>
      </c>
      <c r="Y5967" t="s">
        <v>26712</v>
      </c>
      <c r="Z5967" t="s">
        <v>33677</v>
      </c>
      <c r="AA5967">
        <v>0.51560042402216621</v>
      </c>
      <c r="AB5967" t="str">
        <f>HYPERLINK("Melting_Curves/meltCurve_Q9H4G4_GLIPR2.pdf", "Melting_Curves/meltCurve_Q9H4G4_GLIPR2.pdf")</f>
        <v>Melting_Curves/meltCurve_Q9H4G4_GLIPR2.pdf</v>
      </c>
    </row>
    <row r="5968" spans="1:28" x14ac:dyDescent="0.25">
      <c r="A5968" t="s">
        <v>5972</v>
      </c>
      <c r="B5968">
        <v>0.99999676499088797</v>
      </c>
      <c r="C5968">
        <v>1.05373854956447</v>
      </c>
      <c r="D5968">
        <v>0.78290252657094395</v>
      </c>
      <c r="E5968">
        <v>0.33639264449391498</v>
      </c>
      <c r="F5968">
        <v>0.24340284184526101</v>
      </c>
      <c r="G5968">
        <v>0.107714435844627</v>
      </c>
      <c r="H5968">
        <v>5.9851924682093903E-2</v>
      </c>
      <c r="I5968">
        <v>8.9731993059992798E-2</v>
      </c>
      <c r="J5968">
        <v>7.2190532875578695E-2</v>
      </c>
      <c r="K5968">
        <v>7.3567016427179499E-2</v>
      </c>
      <c r="L5968">
        <v>1276.14458580476</v>
      </c>
      <c r="M5968">
        <v>26.523173168357999</v>
      </c>
      <c r="N5968">
        <v>48.468723655593699</v>
      </c>
      <c r="O5968">
        <v>47.843310971570503</v>
      </c>
      <c r="P5968">
        <v>-0.12637904763685101</v>
      </c>
      <c r="Q5968">
        <v>8.8144134447223396E-2</v>
      </c>
      <c r="R5968">
        <v>0.98739080211619501</v>
      </c>
      <c r="S5968" t="s">
        <v>12971</v>
      </c>
      <c r="T5968" t="s">
        <v>14004</v>
      </c>
      <c r="U5968" t="s">
        <v>14004</v>
      </c>
      <c r="V5968" t="s">
        <v>14004</v>
      </c>
      <c r="W5968" t="s">
        <v>19917</v>
      </c>
      <c r="X5968">
        <v>1</v>
      </c>
      <c r="Y5968" t="s">
        <v>26713</v>
      </c>
      <c r="Z5968" t="s">
        <v>33678</v>
      </c>
      <c r="AA5968">
        <v>0.34189265292217591</v>
      </c>
      <c r="AB5968" t="str">
        <f>HYPERLINK("Melting_Curves/meltCurve_Q9H4H8_2_FAM83D.pdf", "Melting_Curves/meltCurve_Q9H4H8_2_FAM83D.pdf")</f>
        <v>Melting_Curves/meltCurve_Q9H4H8_2_FAM83D.pdf</v>
      </c>
    </row>
    <row r="5969" spans="1:28" x14ac:dyDescent="0.25">
      <c r="A5969" t="s">
        <v>5973</v>
      </c>
      <c r="B5969">
        <v>0.99999676499088797</v>
      </c>
      <c r="C5969">
        <v>0.93909511702757598</v>
      </c>
      <c r="D5969">
        <v>0.62702126276310699</v>
      </c>
      <c r="E5969">
        <v>0.45226489116056201</v>
      </c>
      <c r="F5969">
        <v>0.17782923184774099</v>
      </c>
      <c r="G5969">
        <v>0.10685863408873</v>
      </c>
      <c r="H5969">
        <v>9.0201659825326297E-2</v>
      </c>
      <c r="I5969">
        <v>0.158971974581295</v>
      </c>
      <c r="J5969">
        <v>0.240778886392016</v>
      </c>
      <c r="K5969">
        <v>0.21407140330864</v>
      </c>
      <c r="L5969">
        <v>1010.54430364708</v>
      </c>
      <c r="M5969">
        <v>21.452541171646502</v>
      </c>
      <c r="N5969">
        <v>47.944246517060797</v>
      </c>
      <c r="O5969">
        <v>46.702446149475698</v>
      </c>
      <c r="P5969">
        <v>-9.6881365243816395E-2</v>
      </c>
      <c r="Q5969">
        <v>0.15637311016497599</v>
      </c>
      <c r="R5969">
        <v>0.967973506442244</v>
      </c>
      <c r="S5969" t="s">
        <v>12972</v>
      </c>
      <c r="T5969" t="s">
        <v>14004</v>
      </c>
      <c r="U5969" t="s">
        <v>14004</v>
      </c>
      <c r="V5969" t="s">
        <v>14004</v>
      </c>
      <c r="W5969" t="s">
        <v>19918</v>
      </c>
      <c r="X5969">
        <v>2</v>
      </c>
      <c r="Y5969" t="s">
        <v>26714</v>
      </c>
      <c r="Z5969" t="s">
        <v>33679</v>
      </c>
      <c r="AA5969">
        <v>0.36673795234354678</v>
      </c>
      <c r="AB5969" t="str">
        <f>HYPERLINK("Melting_Curves/meltCurve_Q9H4I2_ZHX3.pdf", "Melting_Curves/meltCurve_Q9H4I2_ZHX3.pdf")</f>
        <v>Melting_Curves/meltCurve_Q9H4I2_ZHX3.pdf</v>
      </c>
    </row>
    <row r="5970" spans="1:28" x14ac:dyDescent="0.25">
      <c r="A5970" t="s">
        <v>5974</v>
      </c>
      <c r="B5970">
        <v>0.99999676499088797</v>
      </c>
      <c r="C5970">
        <v>0.97149866163415899</v>
      </c>
      <c r="D5970">
        <v>0.34875940598328897</v>
      </c>
      <c r="E5970">
        <v>0.16100377351609901</v>
      </c>
      <c r="F5970">
        <v>0.189919694333851</v>
      </c>
      <c r="G5970">
        <v>7.1161709285226998E-2</v>
      </c>
      <c r="H5970">
        <v>5.6616534110950197E-2</v>
      </c>
      <c r="I5970">
        <v>4.05254347811018E-2</v>
      </c>
      <c r="J5970">
        <v>2.39220998876132E-2</v>
      </c>
      <c r="K5970">
        <v>6.4778192386443306E-2</v>
      </c>
      <c r="L5970">
        <v>2481.05486301162</v>
      </c>
      <c r="M5970">
        <v>54.809703318193399</v>
      </c>
      <c r="N5970">
        <v>45.421426178899601</v>
      </c>
      <c r="O5970">
        <v>45.206567777501199</v>
      </c>
      <c r="P5970">
        <v>-0.27729693850564202</v>
      </c>
      <c r="Q5970">
        <v>8.5152082867104101E-2</v>
      </c>
      <c r="R5970">
        <v>0.98211173933881502</v>
      </c>
      <c r="S5970" t="s">
        <v>12973</v>
      </c>
      <c r="T5970" t="s">
        <v>14004</v>
      </c>
      <c r="U5970" t="s">
        <v>14004</v>
      </c>
      <c r="V5970" t="s">
        <v>14004</v>
      </c>
      <c r="W5970" t="s">
        <v>19919</v>
      </c>
      <c r="X5970">
        <v>5</v>
      </c>
      <c r="Y5970" t="s">
        <v>26715</v>
      </c>
      <c r="Z5970" t="s">
        <v>33680</v>
      </c>
      <c r="AA5970">
        <v>0.2472927251350811</v>
      </c>
      <c r="AB5970" t="str">
        <f>HYPERLINK("Melting_Curves/meltCurve_Q9H4L5_2_OSBPL3.pdf", "Melting_Curves/meltCurve_Q9H4L5_2_OSBPL3.pdf")</f>
        <v>Melting_Curves/meltCurve_Q9H4L5_2_OSBPL3.pdf</v>
      </c>
    </row>
    <row r="5971" spans="1:28" x14ac:dyDescent="0.25">
      <c r="A5971" t="s">
        <v>5975</v>
      </c>
      <c r="B5971">
        <v>0.99999676499088797</v>
      </c>
      <c r="C5971">
        <v>0.94747595878373303</v>
      </c>
      <c r="D5971">
        <v>0.84499571829523101</v>
      </c>
      <c r="E5971">
        <v>0.53327709797046596</v>
      </c>
      <c r="F5971">
        <v>0.22837855271273499</v>
      </c>
      <c r="G5971">
        <v>0.16965590771136799</v>
      </c>
      <c r="H5971">
        <v>9.2010805102181195E-2</v>
      </c>
      <c r="I5971">
        <v>0.106155718465529</v>
      </c>
      <c r="J5971">
        <v>0.123923294754094</v>
      </c>
      <c r="K5971">
        <v>0.12639714793552501</v>
      </c>
      <c r="L5971">
        <v>1108.7796648405399</v>
      </c>
      <c r="M5971">
        <v>22.514434313845701</v>
      </c>
      <c r="N5971">
        <v>49.789336169864903</v>
      </c>
      <c r="O5971">
        <v>48.863911294368599</v>
      </c>
      <c r="P5971">
        <v>-0.102675941327103</v>
      </c>
      <c r="Q5971">
        <v>0.10865238909536</v>
      </c>
      <c r="R5971">
        <v>0.99778892662527097</v>
      </c>
      <c r="S5971" t="s">
        <v>12974</v>
      </c>
      <c r="T5971" t="s">
        <v>14004</v>
      </c>
      <c r="U5971" t="s">
        <v>14004</v>
      </c>
      <c r="V5971" t="s">
        <v>14004</v>
      </c>
      <c r="W5971" t="s">
        <v>19920</v>
      </c>
      <c r="X5971">
        <v>21</v>
      </c>
      <c r="Y5971" t="s">
        <v>26716</v>
      </c>
      <c r="Z5971" t="s">
        <v>33681</v>
      </c>
      <c r="AA5971">
        <v>0.39321121698010569</v>
      </c>
      <c r="AB5971" t="str">
        <f>HYPERLINK("Melting_Curves/meltCurve_Q9H4L7_2_SMARCAD1.pdf", "Melting_Curves/meltCurve_Q9H4L7_2_SMARCAD1.pdf")</f>
        <v>Melting_Curves/meltCurve_Q9H4L7_2_SMARCAD1.pdf</v>
      </c>
    </row>
    <row r="5972" spans="1:28" x14ac:dyDescent="0.25">
      <c r="A5972" t="s">
        <v>5976</v>
      </c>
      <c r="B5972">
        <v>0.99999676499088797</v>
      </c>
      <c r="C5972">
        <v>1.0087785113563099</v>
      </c>
      <c r="D5972">
        <v>1.0102421958805301</v>
      </c>
      <c r="E5972">
        <v>1.0820222760258</v>
      </c>
      <c r="F5972">
        <v>0.44360003390013403</v>
      </c>
      <c r="G5972">
        <v>0.186001427606033</v>
      </c>
      <c r="H5972">
        <v>8.5868440556587794E-2</v>
      </c>
      <c r="I5972">
        <v>8.5393234094582299E-2</v>
      </c>
      <c r="J5972">
        <v>7.8635862937422293E-2</v>
      </c>
      <c r="K5972">
        <v>6.2710701517591505E-2</v>
      </c>
      <c r="L5972">
        <v>6082.3469714940602</v>
      </c>
      <c r="M5972">
        <v>114.809271359839</v>
      </c>
      <c r="N5972">
        <v>53.080548625296302</v>
      </c>
      <c r="O5972">
        <v>52.961769284858299</v>
      </c>
      <c r="P5972">
        <v>-0.48796394863973402</v>
      </c>
      <c r="Q5972">
        <v>9.9604659300502496E-2</v>
      </c>
      <c r="R5972">
        <v>0.99138442395364001</v>
      </c>
      <c r="S5972" t="s">
        <v>12975</v>
      </c>
      <c r="T5972" t="s">
        <v>14004</v>
      </c>
      <c r="U5972" t="s">
        <v>14004</v>
      </c>
      <c r="V5972" t="s">
        <v>14004</v>
      </c>
      <c r="W5972" t="s">
        <v>19921</v>
      </c>
      <c r="X5972">
        <v>31</v>
      </c>
      <c r="Y5972" t="s">
        <v>26717</v>
      </c>
      <c r="Z5972" t="s">
        <v>33682</v>
      </c>
      <c r="AA5972">
        <v>0.48950809061066092</v>
      </c>
      <c r="AB5972" t="str">
        <f>HYPERLINK("Melting_Curves/meltCurve_Q9H4M9_EHD1.pdf", "Melting_Curves/meltCurve_Q9H4M9_EHD1.pdf")</f>
        <v>Melting_Curves/meltCurve_Q9H4M9_EHD1.pdf</v>
      </c>
    </row>
    <row r="5973" spans="1:28" x14ac:dyDescent="0.25">
      <c r="A5973" t="s">
        <v>5977</v>
      </c>
      <c r="B5973">
        <v>0.99999676499088797</v>
      </c>
      <c r="C5973">
        <v>1.17944413241274</v>
      </c>
      <c r="D5973">
        <v>1.0700109462176699</v>
      </c>
      <c r="E5973">
        <v>0.74977925224327002</v>
      </c>
      <c r="F5973">
        <v>0.35648300729156401</v>
      </c>
      <c r="G5973">
        <v>0.192258159912538</v>
      </c>
      <c r="H5973">
        <v>0.14053672179983701</v>
      </c>
      <c r="I5973">
        <v>0.16018833269708299</v>
      </c>
      <c r="J5973">
        <v>0.168946886484652</v>
      </c>
      <c r="K5973">
        <v>0.102876868008921</v>
      </c>
      <c r="L5973">
        <v>1657.7640329647099</v>
      </c>
      <c r="M5973">
        <v>32.371897619127701</v>
      </c>
      <c r="N5973">
        <v>51.761861355822603</v>
      </c>
      <c r="O5973">
        <v>51.015740346646098</v>
      </c>
      <c r="P5973">
        <v>-0.135485154741951</v>
      </c>
      <c r="Q5973">
        <v>0.145945394448631</v>
      </c>
      <c r="R5973">
        <v>0.97392343756716904</v>
      </c>
      <c r="S5973" t="s">
        <v>12976</v>
      </c>
      <c r="T5973" t="s">
        <v>14004</v>
      </c>
      <c r="U5973" t="s">
        <v>14004</v>
      </c>
      <c r="V5973" t="s">
        <v>14004</v>
      </c>
      <c r="W5973" t="s">
        <v>19922</v>
      </c>
      <c r="X5973">
        <v>2</v>
      </c>
      <c r="Y5973" t="s">
        <v>26718</v>
      </c>
      <c r="Z5973" t="s">
        <v>33683</v>
      </c>
      <c r="AA5973">
        <v>0.46970290019159627</v>
      </c>
      <c r="AB5973" t="str">
        <f>HYPERLINK("Melting_Curves/meltCurve_Q9H4P4_2_RNF41.pdf", "Melting_Curves/meltCurve_Q9H4P4_2_RNF41.pdf")</f>
        <v>Melting_Curves/meltCurve_Q9H4P4_2_RNF41.pdf</v>
      </c>
    </row>
    <row r="5974" spans="1:28" x14ac:dyDescent="0.25">
      <c r="A5974" t="s">
        <v>5978</v>
      </c>
      <c r="B5974">
        <v>0.99999676499088797</v>
      </c>
      <c r="C5974">
        <v>1.0004776913603799</v>
      </c>
      <c r="D5974">
        <v>0.95190053300673905</v>
      </c>
      <c r="E5974">
        <v>0.80720454896971106</v>
      </c>
      <c r="F5974">
        <v>0.68943275882091004</v>
      </c>
      <c r="G5974">
        <v>0.43888450642961802</v>
      </c>
      <c r="H5974">
        <v>0.22481921407590599</v>
      </c>
      <c r="I5974">
        <v>0.14870502258326501</v>
      </c>
      <c r="J5974">
        <v>8.7739065364485794E-2</v>
      </c>
      <c r="K5974">
        <v>0.143669808258652</v>
      </c>
      <c r="L5974">
        <v>831.46258353549001</v>
      </c>
      <c r="M5974">
        <v>15.0801477481678</v>
      </c>
      <c r="N5974">
        <v>55.601602519648303</v>
      </c>
      <c r="O5974">
        <v>54.193935404500898</v>
      </c>
      <c r="P5974">
        <v>-6.5447756049635195E-2</v>
      </c>
      <c r="Q5974">
        <v>5.92876527393831E-2</v>
      </c>
      <c r="R5974">
        <v>0.99436664317720003</v>
      </c>
      <c r="S5974" t="s">
        <v>12977</v>
      </c>
      <c r="T5974" t="s">
        <v>14004</v>
      </c>
      <c r="U5974" t="s">
        <v>14004</v>
      </c>
      <c r="V5974" t="s">
        <v>14004</v>
      </c>
      <c r="W5974" t="s">
        <v>19923</v>
      </c>
      <c r="X5974">
        <v>2</v>
      </c>
      <c r="Y5974" t="s">
        <v>26719</v>
      </c>
      <c r="Z5974" t="s">
        <v>33684</v>
      </c>
      <c r="AA5974">
        <v>0.55177685864170956</v>
      </c>
      <c r="AB5974" t="str">
        <f>HYPERLINK("Melting_Curves/meltCurve_Q9H4X1_2_RGCC.pdf", "Melting_Curves/meltCurve_Q9H4X1_2_RGCC.pdf")</f>
        <v>Melting_Curves/meltCurve_Q9H4X1_2_RGCC.pdf</v>
      </c>
    </row>
    <row r="5975" spans="1:28" x14ac:dyDescent="0.25">
      <c r="A5975" t="s">
        <v>5979</v>
      </c>
      <c r="B5975">
        <v>0.99999676499088797</v>
      </c>
      <c r="C5975">
        <v>0.978631564606675</v>
      </c>
      <c r="D5975">
        <v>0.97750964045277799</v>
      </c>
      <c r="E5975">
        <v>0.49060802503103601</v>
      </c>
      <c r="F5975">
        <v>0.23521904252084599</v>
      </c>
      <c r="G5975">
        <v>0.172029926922844</v>
      </c>
      <c r="H5975">
        <v>8.6498035243860197E-2</v>
      </c>
      <c r="I5975">
        <v>0.12477702535092999</v>
      </c>
      <c r="J5975">
        <v>0.14587284233216299</v>
      </c>
      <c r="K5975">
        <v>0.13687873747235099</v>
      </c>
      <c r="L5975">
        <v>1797.0715410053199</v>
      </c>
      <c r="M5975">
        <v>36.498475337969197</v>
      </c>
      <c r="N5975">
        <v>49.676506808521999</v>
      </c>
      <c r="O5975">
        <v>49.089786645750799</v>
      </c>
      <c r="P5975">
        <v>-0.160223821451037</v>
      </c>
      <c r="Q5975">
        <v>0.13801006150390899</v>
      </c>
      <c r="R5975">
        <v>0.99438629918467902</v>
      </c>
      <c r="S5975" t="s">
        <v>12978</v>
      </c>
      <c r="T5975" t="s">
        <v>14004</v>
      </c>
      <c r="U5975" t="s">
        <v>14004</v>
      </c>
      <c r="V5975" t="s">
        <v>14004</v>
      </c>
      <c r="W5975" t="s">
        <v>19924</v>
      </c>
      <c r="X5975">
        <v>7</v>
      </c>
      <c r="Y5975" t="s">
        <v>26720</v>
      </c>
      <c r="Z5975" t="s">
        <v>33685</v>
      </c>
      <c r="AA5975">
        <v>0.40694831236372492</v>
      </c>
      <c r="AB5975" t="str">
        <f>HYPERLINK("Melting_Curves/meltCurve_Q9H4Z3_PCIF1.pdf", "Melting_Curves/meltCurve_Q9H4Z3_PCIF1.pdf")</f>
        <v>Melting_Curves/meltCurve_Q9H4Z3_PCIF1.pdf</v>
      </c>
    </row>
    <row r="5976" spans="1:28" x14ac:dyDescent="0.25">
      <c r="A5976" t="s">
        <v>5980</v>
      </c>
      <c r="B5976">
        <v>0.99999676499088797</v>
      </c>
      <c r="C5976">
        <v>0.76293092034342902</v>
      </c>
      <c r="D5976">
        <v>0.48105898996372398</v>
      </c>
      <c r="E5976">
        <v>0.286250135961513</v>
      </c>
      <c r="F5976">
        <v>0.260379409307821</v>
      </c>
      <c r="G5976">
        <v>0.19194072987828201</v>
      </c>
      <c r="H5976">
        <v>0.101838718313217</v>
      </c>
      <c r="I5976">
        <v>8.9482453340821902E-2</v>
      </c>
      <c r="J5976">
        <v>0.107768417769895</v>
      </c>
      <c r="K5976">
        <v>8.9752760091672198E-2</v>
      </c>
      <c r="L5976">
        <v>774.38078427672804</v>
      </c>
      <c r="M5976">
        <v>16.9979024777654</v>
      </c>
      <c r="N5976">
        <v>46.265564520364499</v>
      </c>
      <c r="O5976">
        <v>44.940885710947903</v>
      </c>
      <c r="P5976">
        <v>-8.3731651374071001E-2</v>
      </c>
      <c r="Q5976">
        <v>0.11453942132549</v>
      </c>
      <c r="R5976">
        <v>0.98014579041299099</v>
      </c>
      <c r="S5976" t="s">
        <v>12979</v>
      </c>
      <c r="T5976" t="s">
        <v>14004</v>
      </c>
      <c r="U5976" t="s">
        <v>14004</v>
      </c>
      <c r="V5976" t="s">
        <v>14004</v>
      </c>
      <c r="W5976" t="s">
        <v>19925</v>
      </c>
      <c r="X5976">
        <v>7</v>
      </c>
      <c r="Y5976" t="s">
        <v>26721</v>
      </c>
      <c r="Z5976" t="s">
        <v>33686</v>
      </c>
      <c r="AA5976">
        <v>0.29907957629498622</v>
      </c>
      <c r="AB5976" t="str">
        <f>HYPERLINK("Melting_Curves/meltCurve_Q9H501_ESF1.pdf", "Melting_Curves/meltCurve_Q9H501_ESF1.pdf")</f>
        <v>Melting_Curves/meltCurve_Q9H501_ESF1.pdf</v>
      </c>
    </row>
    <row r="5977" spans="1:28" x14ac:dyDescent="0.25">
      <c r="A5977" t="s">
        <v>5981</v>
      </c>
      <c r="B5977">
        <v>0.99999676499088797</v>
      </c>
      <c r="C5977">
        <v>1.0382576109121999</v>
      </c>
      <c r="D5977">
        <v>1.0910830133759699</v>
      </c>
      <c r="E5977">
        <v>1.0313001061272</v>
      </c>
      <c r="F5977">
        <v>0.30375696076878</v>
      </c>
      <c r="G5977">
        <v>0.19482564439384301</v>
      </c>
      <c r="H5977">
        <v>7.7705830558435302E-2</v>
      </c>
      <c r="I5977">
        <v>7.8494394322991906E-2</v>
      </c>
      <c r="J5977">
        <v>8.5172956936248101E-2</v>
      </c>
      <c r="K5977">
        <v>7.3925446088617106E-2</v>
      </c>
      <c r="L5977">
        <v>8828.1066391598197</v>
      </c>
      <c r="M5977">
        <v>167.18054919472701</v>
      </c>
      <c r="N5977">
        <v>52.878008851520597</v>
      </c>
      <c r="O5977">
        <v>52.798270960892701</v>
      </c>
      <c r="P5977">
        <v>-0.710839697353289</v>
      </c>
      <c r="Q5977">
        <v>0.102022214736588</v>
      </c>
      <c r="R5977">
        <v>0.98928241816935003</v>
      </c>
      <c r="S5977" t="s">
        <v>12980</v>
      </c>
      <c r="T5977" t="s">
        <v>14004</v>
      </c>
      <c r="U5977" t="s">
        <v>14004</v>
      </c>
      <c r="V5977" t="s">
        <v>14004</v>
      </c>
      <c r="W5977" t="s">
        <v>19926</v>
      </c>
      <c r="X5977">
        <v>4</v>
      </c>
      <c r="Y5977" t="s">
        <v>26722</v>
      </c>
      <c r="Z5977" t="s">
        <v>33687</v>
      </c>
      <c r="AA5977">
        <v>0.48551987091614002</v>
      </c>
      <c r="AB5977" t="str">
        <f>HYPERLINK("Melting_Curves/meltCurve_Q9H553_ALG2.pdf", "Melting_Curves/meltCurve_Q9H553_ALG2.pdf")</f>
        <v>Melting_Curves/meltCurve_Q9H553_ALG2.pdf</v>
      </c>
    </row>
    <row r="5978" spans="1:28" x14ac:dyDescent="0.25">
      <c r="A5978" t="s">
        <v>5982</v>
      </c>
      <c r="B5978">
        <v>0.99999676499088797</v>
      </c>
      <c r="C5978">
        <v>1.0129118953027401</v>
      </c>
      <c r="D5978">
        <v>0.85256642039418795</v>
      </c>
      <c r="E5978">
        <v>0.33176768833625903</v>
      </c>
      <c r="F5978">
        <v>0.201874212095733</v>
      </c>
      <c r="G5978">
        <v>0.12558232596444899</v>
      </c>
      <c r="H5978">
        <v>6.8078293197130907E-2</v>
      </c>
      <c r="I5978">
        <v>7.3183053503650397E-2</v>
      </c>
      <c r="J5978">
        <v>6.8840240288065596E-2</v>
      </c>
      <c r="K5978">
        <v>6.0838548436002601E-2</v>
      </c>
      <c r="L5978">
        <v>1509.86979078011</v>
      </c>
      <c r="M5978">
        <v>31.284579929988301</v>
      </c>
      <c r="N5978">
        <v>48.557462179759099</v>
      </c>
      <c r="O5978">
        <v>48.066517618882003</v>
      </c>
      <c r="P5978">
        <v>-0.14863200563850301</v>
      </c>
      <c r="Q5978">
        <v>8.65553355210745E-2</v>
      </c>
      <c r="R5978">
        <v>0.99389349031487595</v>
      </c>
      <c r="S5978" t="s">
        <v>12981</v>
      </c>
      <c r="T5978" t="s">
        <v>14004</v>
      </c>
      <c r="U5978" t="s">
        <v>14004</v>
      </c>
      <c r="V5978" t="s">
        <v>14004</v>
      </c>
      <c r="W5978" t="s">
        <v>19927</v>
      </c>
      <c r="X5978">
        <v>15</v>
      </c>
      <c r="Y5978" t="s">
        <v>26723</v>
      </c>
      <c r="Z5978" t="s">
        <v>33688</v>
      </c>
      <c r="AA5978">
        <v>0.34318394218466158</v>
      </c>
      <c r="AB5978" t="str">
        <f>HYPERLINK("Melting_Curves/meltCurve_Q9H583_HEATR1.pdf", "Melting_Curves/meltCurve_Q9H583_HEATR1.pdf")</f>
        <v>Melting_Curves/meltCurve_Q9H583_HEATR1.pdf</v>
      </c>
    </row>
    <row r="5979" spans="1:28" x14ac:dyDescent="0.25">
      <c r="A5979" t="s">
        <v>5983</v>
      </c>
      <c r="B5979">
        <v>0.99999676499088797</v>
      </c>
      <c r="C5979">
        <v>0.94463102748223005</v>
      </c>
      <c r="D5979">
        <v>0.75068961027463399</v>
      </c>
      <c r="E5979">
        <v>0.29738556860773901</v>
      </c>
      <c r="F5979">
        <v>0.18296626552519199</v>
      </c>
      <c r="G5979">
        <v>9.1901083017945903E-2</v>
      </c>
      <c r="H5979">
        <v>4.5812779562728702E-2</v>
      </c>
      <c r="I5979">
        <v>4.4019924797213103E-2</v>
      </c>
      <c r="J5979">
        <v>4.0245419211370002E-2</v>
      </c>
      <c r="K5979">
        <v>3.4541222759625997E-2</v>
      </c>
      <c r="L5979">
        <v>1134.2059512291401</v>
      </c>
      <c r="M5979">
        <v>23.712249458132199</v>
      </c>
      <c r="N5979">
        <v>48.046659562184203</v>
      </c>
      <c r="O5979">
        <v>47.495771549239599</v>
      </c>
      <c r="P5979">
        <v>-0.118543435958469</v>
      </c>
      <c r="Q5979">
        <v>5.0243030006881101E-2</v>
      </c>
      <c r="R5979">
        <v>0.99603373822581898</v>
      </c>
      <c r="S5979" t="s">
        <v>12982</v>
      </c>
      <c r="T5979" t="s">
        <v>14004</v>
      </c>
      <c r="U5979" t="s">
        <v>14004</v>
      </c>
      <c r="V5979" t="s">
        <v>14004</v>
      </c>
      <c r="W5979" t="s">
        <v>19928</v>
      </c>
      <c r="X5979">
        <v>3</v>
      </c>
      <c r="Y5979" t="s">
        <v>26724</v>
      </c>
      <c r="Z5979" t="s">
        <v>33689</v>
      </c>
      <c r="AA5979">
        <v>0.30760063507650681</v>
      </c>
      <c r="AB5979" t="str">
        <f>HYPERLINK("Melting_Curves/meltCurve_Q9H5K3_SGK196.pdf", "Melting_Curves/meltCurve_Q9H5K3_SGK196.pdf")</f>
        <v>Melting_Curves/meltCurve_Q9H5K3_SGK196.pdf</v>
      </c>
    </row>
    <row r="5980" spans="1:28" x14ac:dyDescent="0.25">
      <c r="A5980" t="s">
        <v>5984</v>
      </c>
      <c r="B5980">
        <v>0.99999676499088797</v>
      </c>
      <c r="C5980">
        <v>0.82606364507483698</v>
      </c>
      <c r="D5980">
        <v>0.51003278534420904</v>
      </c>
      <c r="E5980">
        <v>0.38012730214510199</v>
      </c>
      <c r="F5980">
        <v>0.34139813582752998</v>
      </c>
      <c r="G5980">
        <v>0.24721872359128499</v>
      </c>
      <c r="H5980">
        <v>0.14384018292916301</v>
      </c>
      <c r="I5980">
        <v>0.108284510362658</v>
      </c>
      <c r="J5980">
        <v>7.1073634742895103E-2</v>
      </c>
      <c r="K5980">
        <v>8.85146516263597E-2</v>
      </c>
      <c r="L5980">
        <v>584.30806348617295</v>
      </c>
      <c r="M5980">
        <v>12.416461443789901</v>
      </c>
      <c r="N5980">
        <v>47.832905015566297</v>
      </c>
      <c r="O5980">
        <v>45.888478846946498</v>
      </c>
      <c r="P5980">
        <v>-6.1503212644950199E-2</v>
      </c>
      <c r="Q5980">
        <v>9.0983456441278004E-2</v>
      </c>
      <c r="R5980">
        <v>0.96574900424646204</v>
      </c>
      <c r="S5980" t="s">
        <v>12983</v>
      </c>
      <c r="T5980" t="s">
        <v>14004</v>
      </c>
      <c r="U5980" t="s">
        <v>14004</v>
      </c>
      <c r="V5980" t="s">
        <v>14004</v>
      </c>
      <c r="W5980" t="s">
        <v>19929</v>
      </c>
      <c r="X5980">
        <v>10</v>
      </c>
      <c r="Y5980" t="s">
        <v>26725</v>
      </c>
      <c r="Z5980" t="s">
        <v>33690</v>
      </c>
      <c r="AA5980">
        <v>0.34055337634069272</v>
      </c>
      <c r="AB5980" t="str">
        <f>HYPERLINK("Melting_Curves/meltCurve_Q9H5N1_RABEP2.pdf", "Melting_Curves/meltCurve_Q9H5N1_RABEP2.pdf")</f>
        <v>Melting_Curves/meltCurve_Q9H5N1_RABEP2.pdf</v>
      </c>
    </row>
    <row r="5981" spans="1:28" x14ac:dyDescent="0.25">
      <c r="A5981" t="s">
        <v>5985</v>
      </c>
      <c r="B5981">
        <v>0.99999676499088797</v>
      </c>
      <c r="C5981">
        <v>0.83882721851912001</v>
      </c>
      <c r="D5981">
        <v>0.84998896631374599</v>
      </c>
      <c r="E5981">
        <v>0.63055242898094599</v>
      </c>
      <c r="F5981">
        <v>0.215932509034373</v>
      </c>
      <c r="G5981">
        <v>9.5849515941082195E-2</v>
      </c>
      <c r="H5981">
        <v>3.5192942656190003E-2</v>
      </c>
      <c r="I5981">
        <v>4.3242716651878503E-2</v>
      </c>
      <c r="J5981">
        <v>4.3141989337319102E-2</v>
      </c>
      <c r="K5981">
        <v>3.4081049505815197E-2</v>
      </c>
      <c r="L5981">
        <v>984.957971639927</v>
      </c>
      <c r="M5981">
        <v>19.618196947818401</v>
      </c>
      <c r="N5981">
        <v>50.302739749527198</v>
      </c>
      <c r="O5981">
        <v>49.693416020856702</v>
      </c>
      <c r="P5981">
        <v>-9.6878814929118304E-2</v>
      </c>
      <c r="Q5981">
        <v>1.8448080935902601E-2</v>
      </c>
      <c r="R5981">
        <v>0.98378481472156198</v>
      </c>
      <c r="S5981" t="s">
        <v>12984</v>
      </c>
      <c r="T5981" t="s">
        <v>14004</v>
      </c>
      <c r="U5981" t="s">
        <v>14004</v>
      </c>
      <c r="V5981" t="s">
        <v>14004</v>
      </c>
      <c r="W5981" t="s">
        <v>19930</v>
      </c>
      <c r="X5981">
        <v>4</v>
      </c>
      <c r="Y5981" t="s">
        <v>26726</v>
      </c>
      <c r="Z5981" t="s">
        <v>33691</v>
      </c>
      <c r="AA5981">
        <v>0.36655534983792842</v>
      </c>
      <c r="AB5981" t="str">
        <f>HYPERLINK("Melting_Curves/meltCurve_Q9H5Q4_TFB2M.pdf", "Melting_Curves/meltCurve_Q9H5Q4_TFB2M.pdf")</f>
        <v>Melting_Curves/meltCurve_Q9H5Q4_TFB2M.pdf</v>
      </c>
    </row>
    <row r="5982" spans="1:28" x14ac:dyDescent="0.25">
      <c r="A5982" t="s">
        <v>5986</v>
      </c>
      <c r="B5982">
        <v>0.99999676499088797</v>
      </c>
      <c r="C5982">
        <v>0.98756623337037797</v>
      </c>
      <c r="D5982">
        <v>0.94232186472927204</v>
      </c>
      <c r="E5982">
        <v>0.70760662948392306</v>
      </c>
      <c r="F5982">
        <v>0.375879483629661</v>
      </c>
      <c r="G5982">
        <v>0.23546328896765201</v>
      </c>
      <c r="H5982">
        <v>0.116960508532289</v>
      </c>
      <c r="I5982">
        <v>0.19464468499061899</v>
      </c>
      <c r="J5982">
        <v>0.250758339627626</v>
      </c>
      <c r="K5982">
        <v>0.20871605666833701</v>
      </c>
      <c r="L5982">
        <v>1356.8152165428701</v>
      </c>
      <c r="M5982">
        <v>26.782336594108301</v>
      </c>
      <c r="N5982">
        <v>51.590138634571503</v>
      </c>
      <c r="O5982">
        <v>50.380907327148499</v>
      </c>
      <c r="P5982">
        <v>-0.10746839538165</v>
      </c>
      <c r="Q5982">
        <v>0.191362536886691</v>
      </c>
      <c r="R5982">
        <v>0.990964737060955</v>
      </c>
      <c r="S5982" t="s">
        <v>12985</v>
      </c>
      <c r="T5982" t="s">
        <v>14004</v>
      </c>
      <c r="U5982" t="s">
        <v>14004</v>
      </c>
      <c r="V5982" t="s">
        <v>14004</v>
      </c>
      <c r="W5982" t="s">
        <v>19931</v>
      </c>
      <c r="X5982">
        <v>11</v>
      </c>
      <c r="Y5982" t="s">
        <v>26727</v>
      </c>
      <c r="Z5982" t="s">
        <v>33692</v>
      </c>
      <c r="AA5982">
        <v>0.48506697749885053</v>
      </c>
      <c r="AB5982" t="str">
        <f>HYPERLINK("Melting_Curves/meltCurve_Q9H5V9_3_CXorf56.pdf", "Melting_Curves/meltCurve_Q9H5V9_3_CXorf56.pdf")</f>
        <v>Melting_Curves/meltCurve_Q9H5V9_3_CXorf56.pdf</v>
      </c>
    </row>
    <row r="5983" spans="1:28" x14ac:dyDescent="0.25">
      <c r="A5983" t="s">
        <v>5987</v>
      </c>
      <c r="B5983">
        <v>0.99999676499088797</v>
      </c>
      <c r="C5983">
        <v>0.99740285143103302</v>
      </c>
      <c r="D5983">
        <v>0.94190365293179501</v>
      </c>
      <c r="E5983">
        <v>0.99208481788170599</v>
      </c>
      <c r="F5983">
        <v>0.88206163053708597</v>
      </c>
      <c r="G5983">
        <v>0.77659485341295398</v>
      </c>
      <c r="H5983">
        <v>0.36419057556838103</v>
      </c>
      <c r="I5983">
        <v>0.22586120444480101</v>
      </c>
      <c r="J5983">
        <v>0.1619630372609</v>
      </c>
      <c r="K5983">
        <v>0.149395796243597</v>
      </c>
      <c r="L5983">
        <v>1477.4428051651901</v>
      </c>
      <c r="M5983">
        <v>25.1633637202949</v>
      </c>
      <c r="N5983">
        <v>59.406028983627401</v>
      </c>
      <c r="O5983">
        <v>58.346992726161297</v>
      </c>
      <c r="P5983">
        <v>-9.4122749448825996E-2</v>
      </c>
      <c r="Q5983">
        <v>0.127031248126772</v>
      </c>
      <c r="R5983">
        <v>0.99315587512277104</v>
      </c>
      <c r="S5983" t="s">
        <v>12986</v>
      </c>
      <c r="T5983" t="s">
        <v>14004</v>
      </c>
      <c r="U5983" t="s">
        <v>14004</v>
      </c>
      <c r="V5983" t="s">
        <v>14004</v>
      </c>
      <c r="W5983" t="s">
        <v>19932</v>
      </c>
      <c r="X5983">
        <v>3</v>
      </c>
      <c r="Y5983" t="s">
        <v>26728</v>
      </c>
      <c r="Z5983" t="s">
        <v>33693</v>
      </c>
      <c r="AA5983">
        <v>0.67883076590946823</v>
      </c>
      <c r="AB5983" t="str">
        <f>HYPERLINK("Melting_Curves/meltCurve_Q9H5X1_FAM96A.pdf", "Melting_Curves/meltCurve_Q9H5X1_FAM96A.pdf")</f>
        <v>Melting_Curves/meltCurve_Q9H5X1_FAM96A.pdf</v>
      </c>
    </row>
    <row r="5984" spans="1:28" x14ac:dyDescent="0.25">
      <c r="A5984" t="s">
        <v>5988</v>
      </c>
      <c r="B5984">
        <v>0.99999676499088797</v>
      </c>
      <c r="C5984">
        <v>0.86730351452851195</v>
      </c>
      <c r="D5984">
        <v>0.73040497928220904</v>
      </c>
      <c r="E5984">
        <v>0.46498104135291202</v>
      </c>
      <c r="F5984">
        <v>0.26530626038497201</v>
      </c>
      <c r="G5984">
        <v>0.160542024078666</v>
      </c>
      <c r="H5984">
        <v>6.9348434181143004E-2</v>
      </c>
      <c r="I5984">
        <v>6.1054002266129198E-2</v>
      </c>
      <c r="J5984">
        <v>6.9195193735084704E-2</v>
      </c>
      <c r="K5984">
        <v>5.3375844978664301E-2</v>
      </c>
      <c r="L5984">
        <v>718.56311581022396</v>
      </c>
      <c r="M5984">
        <v>14.703965870047501</v>
      </c>
      <c r="N5984">
        <v>49.1424944843776</v>
      </c>
      <c r="O5984">
        <v>47.991472051477302</v>
      </c>
      <c r="P5984">
        <v>-7.3591967928804E-2</v>
      </c>
      <c r="Q5984">
        <v>3.9333658099839103E-2</v>
      </c>
      <c r="R5984">
        <v>0.99785372905301195</v>
      </c>
      <c r="S5984" t="s">
        <v>12987</v>
      </c>
      <c r="T5984" t="s">
        <v>14004</v>
      </c>
      <c r="U5984" t="s">
        <v>14004</v>
      </c>
      <c r="V5984" t="s">
        <v>14004</v>
      </c>
      <c r="W5984" t="s">
        <v>19933</v>
      </c>
      <c r="X5984">
        <v>2</v>
      </c>
      <c r="Y5984" t="s">
        <v>26729</v>
      </c>
      <c r="Z5984" t="s">
        <v>33694</v>
      </c>
      <c r="AA5984">
        <v>0.34806859000903612</v>
      </c>
      <c r="AB5984" t="str">
        <f>HYPERLINK("Melting_Curves/meltCurve_Q9H6D7_HAUS4.pdf", "Melting_Curves/meltCurve_Q9H6D7_HAUS4.pdf")</f>
        <v>Melting_Curves/meltCurve_Q9H6D7_HAUS4.pdf</v>
      </c>
    </row>
    <row r="5985" spans="1:28" x14ac:dyDescent="0.25">
      <c r="A5985" t="s">
        <v>5989</v>
      </c>
      <c r="B5985">
        <v>0.99999676499088797</v>
      </c>
      <c r="C5985">
        <v>0.87432515366653096</v>
      </c>
      <c r="D5985">
        <v>0.87043924103472303</v>
      </c>
      <c r="E5985">
        <v>0.69609439387475502</v>
      </c>
      <c r="F5985">
        <v>0.33917776089567903</v>
      </c>
      <c r="G5985">
        <v>0.24549233776768301</v>
      </c>
      <c r="H5985">
        <v>0.12692938921816599</v>
      </c>
      <c r="I5985">
        <v>0.11823969589011001</v>
      </c>
      <c r="J5985">
        <v>0.11849349608363299</v>
      </c>
      <c r="K5985">
        <v>0.12968810014819099</v>
      </c>
      <c r="L5985">
        <v>880.24824770069802</v>
      </c>
      <c r="M5985">
        <v>17.320269527846701</v>
      </c>
      <c r="N5985">
        <v>51.488610366782197</v>
      </c>
      <c r="O5985">
        <v>50.158875353186197</v>
      </c>
      <c r="P5985">
        <v>-7.7659224405834504E-2</v>
      </c>
      <c r="Q5985">
        <v>0.10045802762212699</v>
      </c>
      <c r="R5985">
        <v>0.98802069745011101</v>
      </c>
      <c r="S5985" t="s">
        <v>12988</v>
      </c>
      <c r="T5985" t="s">
        <v>14004</v>
      </c>
      <c r="U5985" t="s">
        <v>14004</v>
      </c>
      <c r="V5985" t="s">
        <v>14004</v>
      </c>
      <c r="W5985" t="s">
        <v>19934</v>
      </c>
      <c r="X5985">
        <v>9</v>
      </c>
      <c r="Y5985" t="s">
        <v>26730</v>
      </c>
      <c r="Z5985" t="s">
        <v>33695</v>
      </c>
      <c r="AA5985">
        <v>0.44123082569231897</v>
      </c>
      <c r="AB5985" t="str">
        <f>HYPERLINK("Melting_Curves/meltCurve_Q9H6E4_CCDC134.pdf", "Melting_Curves/meltCurve_Q9H6E4_CCDC134.pdf")</f>
        <v>Melting_Curves/meltCurve_Q9H6E4_CCDC134.pdf</v>
      </c>
    </row>
    <row r="5986" spans="1:28" x14ac:dyDescent="0.25">
      <c r="A5986" t="s">
        <v>5990</v>
      </c>
      <c r="B5986">
        <v>0.99999676499088797</v>
      </c>
      <c r="C5986">
        <v>1.0339748894227101</v>
      </c>
      <c r="D5986">
        <v>1.1064505503094</v>
      </c>
      <c r="E5986">
        <v>0.80442139844732496</v>
      </c>
      <c r="F5986">
        <v>0.71810718928128303</v>
      </c>
      <c r="G5986">
        <v>0.93645143704831402</v>
      </c>
      <c r="H5986">
        <v>0.62020650862327598</v>
      </c>
      <c r="I5986">
        <v>0.60379187561537495</v>
      </c>
      <c r="J5986">
        <v>0.49133475403756699</v>
      </c>
      <c r="K5986">
        <v>0.60393494706864403</v>
      </c>
      <c r="L5986">
        <v>592.41794596639204</v>
      </c>
      <c r="M5986">
        <v>10.291842369756701</v>
      </c>
      <c r="O5986">
        <v>55.515757762906802</v>
      </c>
      <c r="P5986">
        <v>-2.45875276823996E-2</v>
      </c>
      <c r="Q5986">
        <v>0.46971565535282001</v>
      </c>
      <c r="R5986">
        <v>0.77131060370839699</v>
      </c>
      <c r="S5986" t="s">
        <v>12989</v>
      </c>
      <c r="T5986" t="s">
        <v>14004</v>
      </c>
      <c r="U5986" t="s">
        <v>14004</v>
      </c>
      <c r="V5986" t="s">
        <v>14004</v>
      </c>
      <c r="W5986" t="s">
        <v>19935</v>
      </c>
      <c r="X5986">
        <v>3</v>
      </c>
      <c r="Y5986" t="s">
        <v>26731</v>
      </c>
      <c r="Z5986" t="s">
        <v>33696</v>
      </c>
      <c r="AA5986">
        <v>0.7870504939420635</v>
      </c>
      <c r="AB5986" t="str">
        <f>HYPERLINK("Melting_Curves/meltCurve_Q9H6F5_CCDC86.pdf", "Melting_Curves/meltCurve_Q9H6F5_CCDC86.pdf")</f>
        <v>Melting_Curves/meltCurve_Q9H6F5_CCDC86.pdf</v>
      </c>
    </row>
    <row r="5987" spans="1:28" x14ac:dyDescent="0.25">
      <c r="A5987" t="s">
        <v>5991</v>
      </c>
      <c r="B5987">
        <v>0.99999676499088797</v>
      </c>
      <c r="C5987">
        <v>0.94501506588440198</v>
      </c>
      <c r="D5987">
        <v>0.94434691066762999</v>
      </c>
      <c r="E5987">
        <v>0.93175209305041296</v>
      </c>
      <c r="F5987">
        <v>0.70379064413201597</v>
      </c>
      <c r="G5987">
        <v>0.56815307659716097</v>
      </c>
      <c r="H5987">
        <v>0.34040663645368902</v>
      </c>
      <c r="I5987">
        <v>0.35062693141705698</v>
      </c>
      <c r="J5987">
        <v>0.30880759457522999</v>
      </c>
      <c r="K5987">
        <v>0.29279988419571001</v>
      </c>
      <c r="L5987">
        <v>945.81888645249103</v>
      </c>
      <c r="M5987">
        <v>17.251691696625102</v>
      </c>
      <c r="N5987">
        <v>57.4836446491407</v>
      </c>
      <c r="O5987">
        <v>54.103954547217199</v>
      </c>
      <c r="P5987">
        <v>-5.7806429945960101E-2</v>
      </c>
      <c r="Q5987">
        <v>0.27488292164922601</v>
      </c>
      <c r="R5987">
        <v>0.988870528289154</v>
      </c>
      <c r="S5987" t="s">
        <v>12990</v>
      </c>
      <c r="T5987" t="s">
        <v>14004</v>
      </c>
      <c r="U5987" t="s">
        <v>14004</v>
      </c>
      <c r="V5987" t="s">
        <v>14004</v>
      </c>
      <c r="W5987" t="s">
        <v>19936</v>
      </c>
      <c r="X5987">
        <v>8</v>
      </c>
      <c r="Y5987" t="s">
        <v>26732</v>
      </c>
      <c r="Z5987" t="s">
        <v>33697</v>
      </c>
      <c r="AA5987">
        <v>0.64516219793126295</v>
      </c>
      <c r="AB5987" t="str">
        <f>HYPERLINK("Melting_Curves/meltCurve_Q9H6H4_REEP4.pdf", "Melting_Curves/meltCurve_Q9H6H4_REEP4.pdf")</f>
        <v>Melting_Curves/meltCurve_Q9H6H4_REEP4.pdf</v>
      </c>
    </row>
    <row r="5988" spans="1:28" x14ac:dyDescent="0.25">
      <c r="A5988" t="s">
        <v>5992</v>
      </c>
      <c r="B5988">
        <v>0.99999676499088797</v>
      </c>
      <c r="C5988">
        <v>0.91485841133646995</v>
      </c>
      <c r="D5988">
        <v>0.71385163968269205</v>
      </c>
      <c r="E5988">
        <v>0.43838896126907201</v>
      </c>
      <c r="F5988">
        <v>0.32089174293341699</v>
      </c>
      <c r="G5988">
        <v>0.172790834309858</v>
      </c>
      <c r="H5988">
        <v>8.1692833978159907E-2</v>
      </c>
      <c r="I5988">
        <v>9.3918391318750502E-2</v>
      </c>
      <c r="J5988">
        <v>7.1383320972783604E-2</v>
      </c>
      <c r="K5988">
        <v>6.4973927724543995E-2</v>
      </c>
      <c r="L5988">
        <v>719.00409054461704</v>
      </c>
      <c r="M5988">
        <v>14.729439711900801</v>
      </c>
      <c r="N5988">
        <v>49.228438688346699</v>
      </c>
      <c r="O5988">
        <v>47.940793669734298</v>
      </c>
      <c r="P5988">
        <v>-7.2340316830674406E-2</v>
      </c>
      <c r="Q5988">
        <v>5.8300228994282201E-2</v>
      </c>
      <c r="R5988">
        <v>0.994680626234136</v>
      </c>
      <c r="S5988" t="s">
        <v>12991</v>
      </c>
      <c r="T5988" t="s">
        <v>14004</v>
      </c>
      <c r="U5988" t="s">
        <v>14004</v>
      </c>
      <c r="V5988" t="s">
        <v>14004</v>
      </c>
      <c r="W5988" t="s">
        <v>19937</v>
      </c>
      <c r="X5988">
        <v>2</v>
      </c>
      <c r="Y5988" t="s">
        <v>26733</v>
      </c>
      <c r="Z5988" t="s">
        <v>33698</v>
      </c>
      <c r="AA5988">
        <v>0.35920112152823502</v>
      </c>
      <c r="AB5988" t="str">
        <f>HYPERLINK("Melting_Curves/meltCurve_Q9H6K1_C6orf106.pdf", "Melting_Curves/meltCurve_Q9H6K1_C6orf106.pdf")</f>
        <v>Melting_Curves/meltCurve_Q9H6K1_C6orf106.pdf</v>
      </c>
    </row>
    <row r="5989" spans="1:28" x14ac:dyDescent="0.25">
      <c r="A5989" t="s">
        <v>5993</v>
      </c>
      <c r="B5989">
        <v>0.99999676499088797</v>
      </c>
      <c r="C5989">
        <v>0.94650253751898905</v>
      </c>
      <c r="D5989">
        <v>0.97384141661551504</v>
      </c>
      <c r="E5989">
        <v>0.93671734922968797</v>
      </c>
      <c r="F5989">
        <v>0.67398896911906703</v>
      </c>
      <c r="G5989">
        <v>0.45773069537901101</v>
      </c>
      <c r="H5989">
        <v>0.22425229199760699</v>
      </c>
      <c r="I5989">
        <v>0.18217477481960301</v>
      </c>
      <c r="J5989">
        <v>0.11553307261849199</v>
      </c>
      <c r="K5989">
        <v>0.10242456350729599</v>
      </c>
      <c r="L5989">
        <v>997.82786469259599</v>
      </c>
      <c r="M5989">
        <v>18.0232785755252</v>
      </c>
      <c r="N5989">
        <v>55.9530948637872</v>
      </c>
      <c r="O5989">
        <v>54.695221800443399</v>
      </c>
      <c r="P5989">
        <v>-7.5257052866637406E-2</v>
      </c>
      <c r="Q5989">
        <v>8.6514950822689798E-2</v>
      </c>
      <c r="R5989">
        <v>0.99577388357594798</v>
      </c>
      <c r="S5989" t="s">
        <v>12992</v>
      </c>
      <c r="T5989" t="s">
        <v>14004</v>
      </c>
      <c r="U5989" t="s">
        <v>14004</v>
      </c>
      <c r="V5989" t="s">
        <v>14004</v>
      </c>
      <c r="W5989" t="s">
        <v>19938</v>
      </c>
      <c r="X5989">
        <v>2</v>
      </c>
      <c r="Y5989" t="s">
        <v>26734</v>
      </c>
      <c r="Z5989" t="s">
        <v>33699</v>
      </c>
      <c r="AA5989">
        <v>0.56820734349376556</v>
      </c>
      <c r="AB5989" t="str">
        <f>HYPERLINK("Melting_Curves/meltCurve_Q9H6K4_OPA3.pdf", "Melting_Curves/meltCurve_Q9H6K4_OPA3.pdf")</f>
        <v>Melting_Curves/meltCurve_Q9H6K4_OPA3.pdf</v>
      </c>
    </row>
    <row r="5990" spans="1:28" x14ac:dyDescent="0.25">
      <c r="A5990" t="s">
        <v>5994</v>
      </c>
      <c r="B5990">
        <v>0.99999676499088797</v>
      </c>
      <c r="C5990">
        <v>0.91995593102390505</v>
      </c>
      <c r="D5990">
        <v>1.17848142932708</v>
      </c>
      <c r="E5990">
        <v>1.1025684554041599</v>
      </c>
      <c r="F5990">
        <v>1.07166435002588</v>
      </c>
      <c r="G5990">
        <v>0.90298688832580498</v>
      </c>
      <c r="H5990">
        <v>0.57630226634134196</v>
      </c>
      <c r="I5990">
        <v>0.36561887579063101</v>
      </c>
      <c r="J5990">
        <v>0.20312604209045099</v>
      </c>
      <c r="K5990">
        <v>0.45177282146900799</v>
      </c>
      <c r="L5990">
        <v>2438.8439060416599</v>
      </c>
      <c r="M5990">
        <v>40.739445177447699</v>
      </c>
      <c r="N5990">
        <v>61.4474529203763</v>
      </c>
      <c r="O5990">
        <v>59.720738254906003</v>
      </c>
      <c r="P5990">
        <v>-0.115124362608841</v>
      </c>
      <c r="Q5990">
        <v>0.32494924080347698</v>
      </c>
      <c r="R5990">
        <v>0.91864060200091502</v>
      </c>
      <c r="S5990" t="s">
        <v>12993</v>
      </c>
      <c r="T5990" t="s">
        <v>14004</v>
      </c>
      <c r="U5990" t="s">
        <v>14004</v>
      </c>
      <c r="V5990" t="s">
        <v>14004</v>
      </c>
      <c r="W5990" t="s">
        <v>19939</v>
      </c>
      <c r="X5990">
        <v>3</v>
      </c>
      <c r="Y5990" t="s">
        <v>26735</v>
      </c>
      <c r="Z5990" t="s">
        <v>33700</v>
      </c>
      <c r="AA5990">
        <v>0.77449381866804567</v>
      </c>
      <c r="AB5990" t="str">
        <f>HYPERLINK("Melting_Curves/meltCurve_Q9H6L2_TMEM231.pdf", "Melting_Curves/meltCurve_Q9H6L2_TMEM231.pdf")</f>
        <v>Melting_Curves/meltCurve_Q9H6L2_TMEM231.pdf</v>
      </c>
    </row>
    <row r="5991" spans="1:28" x14ac:dyDescent="0.25">
      <c r="A5991" t="s">
        <v>5995</v>
      </c>
      <c r="B5991">
        <v>0.99999676499088797</v>
      </c>
      <c r="C5991">
        <v>0.95412567348339195</v>
      </c>
      <c r="D5991">
        <v>0.99034157568768899</v>
      </c>
      <c r="E5991">
        <v>0.83091498144932796</v>
      </c>
      <c r="F5991">
        <v>0.77973588706758501</v>
      </c>
      <c r="G5991">
        <v>0.71340199333648902</v>
      </c>
      <c r="H5991">
        <v>0.48519059136085702</v>
      </c>
      <c r="I5991">
        <v>0.44824022782528</v>
      </c>
      <c r="J5991">
        <v>0.54248509418980695</v>
      </c>
      <c r="K5991">
        <v>0.49575843009998299</v>
      </c>
      <c r="L5991">
        <v>746.50129700607999</v>
      </c>
      <c r="M5991">
        <v>13.7484343001573</v>
      </c>
      <c r="N5991">
        <v>65.340674662664199</v>
      </c>
      <c r="O5991">
        <v>53.187084706954401</v>
      </c>
      <c r="P5991">
        <v>-3.5480239700012503E-2</v>
      </c>
      <c r="Q5991">
        <v>0.45104345598668999</v>
      </c>
      <c r="R5991">
        <v>0.94957141612094897</v>
      </c>
      <c r="S5991" t="s">
        <v>12994</v>
      </c>
      <c r="T5991" t="s">
        <v>14004</v>
      </c>
      <c r="U5991" t="s">
        <v>14004</v>
      </c>
      <c r="V5991" t="s">
        <v>14004</v>
      </c>
      <c r="W5991" t="s">
        <v>19940</v>
      </c>
      <c r="X5991">
        <v>3</v>
      </c>
      <c r="Y5991" t="s">
        <v>26736</v>
      </c>
      <c r="Z5991" t="s">
        <v>33701</v>
      </c>
      <c r="AA5991">
        <v>0.72487972788920585</v>
      </c>
      <c r="AB5991" t="str">
        <f>HYPERLINK("Melting_Curves/meltCurve_Q9H6L5_FAM134B.pdf", "Melting_Curves/meltCurve_Q9H6L5_FAM134B.pdf")</f>
        <v>Melting_Curves/meltCurve_Q9H6L5_FAM134B.pdf</v>
      </c>
    </row>
    <row r="5992" spans="1:28" x14ac:dyDescent="0.25">
      <c r="A5992" t="s">
        <v>5996</v>
      </c>
      <c r="B5992">
        <v>0.99999676499088797</v>
      </c>
      <c r="C5992">
        <v>1.08209550753791</v>
      </c>
      <c r="D5992">
        <v>0.99684133419556098</v>
      </c>
      <c r="E5992">
        <v>0.65932005454610199</v>
      </c>
      <c r="F5992">
        <v>0.68047598855726699</v>
      </c>
      <c r="G5992">
        <v>0.46631508198106703</v>
      </c>
      <c r="H5992">
        <v>0.37716501588946799</v>
      </c>
      <c r="I5992">
        <v>0.32641496972864298</v>
      </c>
      <c r="J5992">
        <v>0.32670167815359602</v>
      </c>
      <c r="K5992">
        <v>0.26838239503429701</v>
      </c>
      <c r="L5992">
        <v>762.31101687378703</v>
      </c>
      <c r="M5992">
        <v>14.454229630084701</v>
      </c>
      <c r="N5992">
        <v>55.863106092918102</v>
      </c>
      <c r="O5992">
        <v>51.760996031275901</v>
      </c>
      <c r="P5992">
        <v>-5.0468742243055302E-2</v>
      </c>
      <c r="Q5992">
        <v>0.27716458529374699</v>
      </c>
      <c r="R5992">
        <v>0.95421150492217299</v>
      </c>
      <c r="S5992" t="s">
        <v>12995</v>
      </c>
      <c r="T5992" t="s">
        <v>14004</v>
      </c>
      <c r="U5992" t="s">
        <v>14004</v>
      </c>
      <c r="V5992" t="s">
        <v>14004</v>
      </c>
      <c r="W5992" t="s">
        <v>19941</v>
      </c>
      <c r="X5992">
        <v>3</v>
      </c>
      <c r="Y5992" t="s">
        <v>26737</v>
      </c>
      <c r="Z5992" t="s">
        <v>33702</v>
      </c>
      <c r="AA5992">
        <v>0.60068325220339036</v>
      </c>
      <c r="AB5992" t="str">
        <f>HYPERLINK("Melting_Curves/meltCurve_Q9H6P5_TASP1.pdf", "Melting_Curves/meltCurve_Q9H6P5_TASP1.pdf")</f>
        <v>Melting_Curves/meltCurve_Q9H6P5_TASP1.pdf</v>
      </c>
    </row>
    <row r="5993" spans="1:28" x14ac:dyDescent="0.25">
      <c r="A5993" t="s">
        <v>5997</v>
      </c>
      <c r="B5993">
        <v>0.99999676499088797</v>
      </c>
      <c r="C5993">
        <v>1.0728279469595201</v>
      </c>
      <c r="D5993">
        <v>1.0066210715694399</v>
      </c>
      <c r="E5993">
        <v>1.0240926973878099</v>
      </c>
      <c r="F5993">
        <v>0.78907812932369503</v>
      </c>
      <c r="G5993">
        <v>0.360220566825039</v>
      </c>
      <c r="H5993">
        <v>0.125117553444197</v>
      </c>
      <c r="I5993">
        <v>8.9264306901347401E-2</v>
      </c>
      <c r="J5993">
        <v>0.100223134173286</v>
      </c>
      <c r="K5993">
        <v>9.7354290188588793E-2</v>
      </c>
      <c r="L5993">
        <v>1848.6243303190299</v>
      </c>
      <c r="M5993">
        <v>33.460072553283197</v>
      </c>
      <c r="N5993">
        <v>55.5816909648617</v>
      </c>
      <c r="O5993">
        <v>55.052440818583698</v>
      </c>
      <c r="P5993">
        <v>-0.13814614650249901</v>
      </c>
      <c r="Q5993">
        <v>9.0826780830014706E-2</v>
      </c>
      <c r="R5993">
        <v>0.99565223239421796</v>
      </c>
      <c r="S5993" t="s">
        <v>12996</v>
      </c>
      <c r="T5993" t="s">
        <v>14004</v>
      </c>
      <c r="U5993" t="s">
        <v>14004</v>
      </c>
      <c r="V5993" t="s">
        <v>14004</v>
      </c>
      <c r="W5993" t="s">
        <v>19942</v>
      </c>
      <c r="X5993">
        <v>8</v>
      </c>
      <c r="Y5993" t="s">
        <v>26738</v>
      </c>
      <c r="Z5993" t="s">
        <v>33703</v>
      </c>
      <c r="AA5993">
        <v>0.55785647658184911</v>
      </c>
      <c r="AB5993" t="str">
        <f>HYPERLINK("Melting_Curves/meltCurve_Q9H6Q4_NARFL.pdf", "Melting_Curves/meltCurve_Q9H6Q4_NARFL.pdf")</f>
        <v>Melting_Curves/meltCurve_Q9H6Q4_NARFL.pdf</v>
      </c>
    </row>
    <row r="5994" spans="1:28" x14ac:dyDescent="0.25">
      <c r="A5994" t="s">
        <v>5998</v>
      </c>
      <c r="B5994">
        <v>0.99999676499088797</v>
      </c>
      <c r="C5994">
        <v>1.20468189834374</v>
      </c>
      <c r="D5994">
        <v>0.986449712144291</v>
      </c>
      <c r="E5994">
        <v>0.61810058366043896</v>
      </c>
      <c r="F5994">
        <v>0.66243599007853304</v>
      </c>
      <c r="G5994">
        <v>0.36567690195736702</v>
      </c>
      <c r="H5994">
        <v>0.36612705070121299</v>
      </c>
      <c r="I5994">
        <v>0.61257545407804503</v>
      </c>
      <c r="J5994">
        <v>0.63871028820384701</v>
      </c>
      <c r="K5994">
        <v>0.66263428581807005</v>
      </c>
      <c r="L5994">
        <v>3123.2903418986202</v>
      </c>
      <c r="M5994">
        <v>64.645430133764904</v>
      </c>
      <c r="O5994">
        <v>48.268000947984099</v>
      </c>
      <c r="P5994">
        <v>-0.15044925347563201</v>
      </c>
      <c r="Q5994">
        <v>0.550663839739853</v>
      </c>
      <c r="R5994">
        <v>0.78103227395020103</v>
      </c>
      <c r="S5994" t="s">
        <v>12997</v>
      </c>
      <c r="T5994" t="s">
        <v>14004</v>
      </c>
      <c r="U5994" t="s">
        <v>14004</v>
      </c>
      <c r="V5994" t="s">
        <v>14004</v>
      </c>
      <c r="W5994" t="s">
        <v>19943</v>
      </c>
      <c r="X5994">
        <v>2</v>
      </c>
      <c r="Y5994" t="s">
        <v>26739</v>
      </c>
      <c r="Z5994" t="s">
        <v>33704</v>
      </c>
      <c r="AA5994">
        <v>0.67576400740510023</v>
      </c>
      <c r="AB5994" t="str">
        <f>HYPERLINK("Melting_Curves/meltCurve_Q9H6R0_DHX33.pdf", "Melting_Curves/meltCurve_Q9H6R0_DHX33.pdf")</f>
        <v>Melting_Curves/meltCurve_Q9H6R0_DHX33.pdf</v>
      </c>
    </row>
    <row r="5995" spans="1:28" x14ac:dyDescent="0.25">
      <c r="A5995" t="s">
        <v>5999</v>
      </c>
      <c r="B5995">
        <v>0.99999676499088797</v>
      </c>
      <c r="C5995">
        <v>1.0610561324407399</v>
      </c>
      <c r="D5995">
        <v>1.0108785895688599</v>
      </c>
      <c r="E5995">
        <v>0.63024896581401102</v>
      </c>
      <c r="F5995">
        <v>0.24689454244306699</v>
      </c>
      <c r="G5995">
        <v>0.18742620249838801</v>
      </c>
      <c r="H5995">
        <v>9.8830035614741393E-2</v>
      </c>
      <c r="I5995">
        <v>0.14124021720555199</v>
      </c>
      <c r="J5995">
        <v>0.142440769916333</v>
      </c>
      <c r="K5995">
        <v>0.10000851957587201</v>
      </c>
      <c r="L5995">
        <v>1765.0967410877099</v>
      </c>
      <c r="M5995">
        <v>35.210454057248903</v>
      </c>
      <c r="N5995">
        <v>50.571018284903403</v>
      </c>
      <c r="O5995">
        <v>49.969037204233899</v>
      </c>
      <c r="P5995">
        <v>-0.15286959589517499</v>
      </c>
      <c r="Q5995">
        <v>0.132221432341319</v>
      </c>
      <c r="R5995">
        <v>0.99311344588870698</v>
      </c>
      <c r="S5995" t="s">
        <v>12998</v>
      </c>
      <c r="T5995" t="s">
        <v>14004</v>
      </c>
      <c r="U5995" t="s">
        <v>14004</v>
      </c>
      <c r="V5995" t="s">
        <v>14004</v>
      </c>
      <c r="W5995" t="s">
        <v>19944</v>
      </c>
      <c r="X5995">
        <v>16</v>
      </c>
      <c r="Y5995" t="s">
        <v>26740</v>
      </c>
      <c r="Z5995" t="s">
        <v>33705</v>
      </c>
      <c r="AA5995">
        <v>0.42912985307163237</v>
      </c>
      <c r="AB5995" t="str">
        <f>HYPERLINK("Melting_Curves/meltCurve_Q9H6R4_4_NOL6.pdf", "Melting_Curves/meltCurve_Q9H6R4_4_NOL6.pdf")</f>
        <v>Melting_Curves/meltCurve_Q9H6R4_4_NOL6.pdf</v>
      </c>
    </row>
    <row r="5996" spans="1:28" x14ac:dyDescent="0.25">
      <c r="A5996" t="s">
        <v>6000</v>
      </c>
      <c r="B5996">
        <v>0.99999676499088797</v>
      </c>
      <c r="C5996">
        <v>1.04301719508028</v>
      </c>
      <c r="D5996">
        <v>0.70553117140592703</v>
      </c>
      <c r="E5996">
        <v>0.39427986039271401</v>
      </c>
      <c r="F5996">
        <v>0.32325682583458598</v>
      </c>
      <c r="G5996">
        <v>0.18512751764242599</v>
      </c>
      <c r="H5996">
        <v>4.78604674581391E-2</v>
      </c>
      <c r="I5996">
        <v>9.4360853526960095E-2</v>
      </c>
      <c r="J5996">
        <v>9.4509384704582894E-2</v>
      </c>
      <c r="K5996">
        <v>9.1648770479900304E-2</v>
      </c>
      <c r="L5996">
        <v>900.06881382458903</v>
      </c>
      <c r="M5996">
        <v>18.587782540964401</v>
      </c>
      <c r="N5996">
        <v>48.956538972883699</v>
      </c>
      <c r="O5996">
        <v>47.872586762261299</v>
      </c>
      <c r="P5996">
        <v>-8.81669397979815E-2</v>
      </c>
      <c r="Q5996">
        <v>9.17483840025312E-2</v>
      </c>
      <c r="R5996">
        <v>0.97527145649174896</v>
      </c>
      <c r="S5996" t="s">
        <v>12999</v>
      </c>
      <c r="T5996" t="s">
        <v>14004</v>
      </c>
      <c r="U5996" t="s">
        <v>14004</v>
      </c>
      <c r="V5996" t="s">
        <v>14004</v>
      </c>
      <c r="W5996" t="s">
        <v>19945</v>
      </c>
      <c r="X5996">
        <v>3</v>
      </c>
      <c r="Y5996" t="s">
        <v>26741</v>
      </c>
      <c r="Z5996" t="s">
        <v>33706</v>
      </c>
      <c r="AA5996">
        <v>0.36165424001781982</v>
      </c>
      <c r="AB5996" t="str">
        <f>HYPERLINK("Melting_Curves/meltCurve_Q9H6R6_2_ZDHHC6.pdf", "Melting_Curves/meltCurve_Q9H6R6_2_ZDHHC6.pdf")</f>
        <v>Melting_Curves/meltCurve_Q9H6R6_2_ZDHHC6.pdf</v>
      </c>
    </row>
    <row r="5997" spans="1:28" x14ac:dyDescent="0.25">
      <c r="A5997" t="s">
        <v>6001</v>
      </c>
      <c r="B5997">
        <v>0.99999676499088797</v>
      </c>
      <c r="C5997">
        <v>0.89476036180556195</v>
      </c>
      <c r="D5997">
        <v>0.58827484330041502</v>
      </c>
      <c r="E5997">
        <v>0.192937835068548</v>
      </c>
      <c r="F5997">
        <v>0.16779980799654901</v>
      </c>
      <c r="G5997">
        <v>8.7149971609941507E-2</v>
      </c>
      <c r="H5997">
        <v>4.3147025096989103E-2</v>
      </c>
      <c r="I5997">
        <v>2.13248564396251E-2</v>
      </c>
      <c r="J5997">
        <v>0</v>
      </c>
      <c r="K5997">
        <v>0</v>
      </c>
      <c r="L5997">
        <v>1046.32107579748</v>
      </c>
      <c r="M5997">
        <v>22.4404196186691</v>
      </c>
      <c r="N5997">
        <v>46.7713181221431</v>
      </c>
      <c r="O5997">
        <v>46.261112773766797</v>
      </c>
      <c r="P5997">
        <v>-0.11720631565240799</v>
      </c>
      <c r="Q5997">
        <v>3.35332239995456E-2</v>
      </c>
      <c r="R5997">
        <v>0.99071634993021396</v>
      </c>
      <c r="S5997" t="s">
        <v>13000</v>
      </c>
      <c r="T5997" t="s">
        <v>14004</v>
      </c>
      <c r="U5997" t="s">
        <v>14004</v>
      </c>
      <c r="V5997" t="s">
        <v>14004</v>
      </c>
      <c r="W5997" t="s">
        <v>19946</v>
      </c>
      <c r="X5997">
        <v>1</v>
      </c>
      <c r="Y5997" t="s">
        <v>26742</v>
      </c>
      <c r="Z5997" t="s">
        <v>33707</v>
      </c>
      <c r="AA5997">
        <v>0.25811743859729031</v>
      </c>
      <c r="AB5997" t="str">
        <f>HYPERLINK("Melting_Curves/meltCurve_Q9H6S0_YTHDC2.pdf", "Melting_Curves/meltCurve_Q9H6S0_YTHDC2.pdf")</f>
        <v>Melting_Curves/meltCurve_Q9H6S0_YTHDC2.pdf</v>
      </c>
    </row>
    <row r="5998" spans="1:28" x14ac:dyDescent="0.25">
      <c r="A5998" t="s">
        <v>6002</v>
      </c>
      <c r="B5998">
        <v>0.99999676499088797</v>
      </c>
      <c r="C5998">
        <v>0.952736854153591</v>
      </c>
      <c r="D5998">
        <v>0.83386397866088602</v>
      </c>
      <c r="E5998">
        <v>0.52980680049173301</v>
      </c>
      <c r="F5998">
        <v>0.235279955622235</v>
      </c>
      <c r="G5998">
        <v>0.17498583962525199</v>
      </c>
      <c r="H5998">
        <v>0.100951886141684</v>
      </c>
      <c r="I5998">
        <v>9.5318857746657201E-2</v>
      </c>
      <c r="J5998">
        <v>8.8757189235867506E-2</v>
      </c>
      <c r="K5998">
        <v>8.8215787442283602E-2</v>
      </c>
      <c r="L5998">
        <v>1014.20682025388</v>
      </c>
      <c r="M5998">
        <v>20.546216281083101</v>
      </c>
      <c r="N5998">
        <v>49.833823415419602</v>
      </c>
      <c r="O5998">
        <v>48.901747870799902</v>
      </c>
      <c r="P5998">
        <v>-9.5760714341096301E-2</v>
      </c>
      <c r="Q5998">
        <v>8.8351991887948997E-2</v>
      </c>
      <c r="R5998">
        <v>0.998839011600689</v>
      </c>
      <c r="S5998" t="s">
        <v>13001</v>
      </c>
      <c r="T5998" t="s">
        <v>14004</v>
      </c>
      <c r="U5998" t="s">
        <v>14004</v>
      </c>
      <c r="V5998" t="s">
        <v>14004</v>
      </c>
      <c r="W5998" t="s">
        <v>19947</v>
      </c>
      <c r="X5998">
        <v>26</v>
      </c>
      <c r="Y5998" t="s">
        <v>26743</v>
      </c>
      <c r="Z5998" t="s">
        <v>33708</v>
      </c>
      <c r="AA5998">
        <v>0.38491653997522141</v>
      </c>
      <c r="AB5998" t="str">
        <f>HYPERLINK("Melting_Curves/meltCurve_Q9H6T3_RPAP3.pdf", "Melting_Curves/meltCurve_Q9H6T3_RPAP3.pdf")</f>
        <v>Melting_Curves/meltCurve_Q9H6T3_RPAP3.pdf</v>
      </c>
    </row>
    <row r="5999" spans="1:28" x14ac:dyDescent="0.25">
      <c r="A5999" t="s">
        <v>6003</v>
      </c>
      <c r="B5999">
        <v>0.99999676499088797</v>
      </c>
      <c r="C5999">
        <v>0.97047981728364996</v>
      </c>
      <c r="D5999">
        <v>0.91977948349057703</v>
      </c>
      <c r="E5999">
        <v>0.79928037479818403</v>
      </c>
      <c r="F5999">
        <v>0.56579379889051795</v>
      </c>
      <c r="G5999">
        <v>0.25178591333528599</v>
      </c>
      <c r="H5999">
        <v>0.101256307131231</v>
      </c>
      <c r="I5999">
        <v>9.8312818353990597E-2</v>
      </c>
      <c r="J5999">
        <v>0.107451420276742</v>
      </c>
      <c r="K5999">
        <v>6.9051454923556702E-2</v>
      </c>
      <c r="L5999">
        <v>1019.7791536135099</v>
      </c>
      <c r="M5999">
        <v>19.1767958508742</v>
      </c>
      <c r="N5999">
        <v>53.529460340510198</v>
      </c>
      <c r="O5999">
        <v>52.609624260823303</v>
      </c>
      <c r="P5999">
        <v>-8.5737331402469599E-2</v>
      </c>
      <c r="Q5999">
        <v>5.9188935417005401E-2</v>
      </c>
      <c r="R5999">
        <v>0.99591817080497702</v>
      </c>
      <c r="S5999" t="s">
        <v>13002</v>
      </c>
      <c r="T5999" t="s">
        <v>14004</v>
      </c>
      <c r="U5999" t="s">
        <v>14004</v>
      </c>
      <c r="V5999" t="s">
        <v>14004</v>
      </c>
      <c r="W5999" t="s">
        <v>19948</v>
      </c>
      <c r="X5999">
        <v>15</v>
      </c>
      <c r="Y5999" t="s">
        <v>26744</v>
      </c>
      <c r="Z5999" t="s">
        <v>33709</v>
      </c>
      <c r="AA5999">
        <v>0.4863066410160729</v>
      </c>
      <c r="AB5999" t="str">
        <f>HYPERLINK("Melting_Curves/meltCurve_Q9H6U6_2_BCAS3.pdf", "Melting_Curves/meltCurve_Q9H6U6_2_BCAS3.pdf")</f>
        <v>Melting_Curves/meltCurve_Q9H6U6_2_BCAS3.pdf</v>
      </c>
    </row>
    <row r="6000" spans="1:28" x14ac:dyDescent="0.25">
      <c r="A6000" t="s">
        <v>6004</v>
      </c>
      <c r="B6000">
        <v>0.99999676499088797</v>
      </c>
      <c r="C6000">
        <v>0.97214875823532498</v>
      </c>
      <c r="D6000">
        <v>1.0180682447124101</v>
      </c>
      <c r="E6000">
        <v>0.979153511327577</v>
      </c>
      <c r="F6000">
        <v>0.56335146450689499</v>
      </c>
      <c r="G6000">
        <v>0.172438337697677</v>
      </c>
      <c r="H6000">
        <v>7.8577877138482299E-2</v>
      </c>
      <c r="I6000">
        <v>8.8191805469425594E-2</v>
      </c>
      <c r="J6000">
        <v>9.1431568475593195E-2</v>
      </c>
      <c r="K6000">
        <v>8.1616907951808801E-2</v>
      </c>
      <c r="L6000">
        <v>2182.0949060816401</v>
      </c>
      <c r="M6000">
        <v>40.895738199731397</v>
      </c>
      <c r="N6000">
        <v>53.605181748208999</v>
      </c>
      <c r="O6000">
        <v>53.230405811651401</v>
      </c>
      <c r="P6000">
        <v>-0.175534503104743</v>
      </c>
      <c r="Q6000">
        <v>8.6090092107642804E-2</v>
      </c>
      <c r="R6000">
        <v>0.99885572238686904</v>
      </c>
      <c r="S6000" t="s">
        <v>13003</v>
      </c>
      <c r="T6000" t="s">
        <v>14004</v>
      </c>
      <c r="U6000" t="s">
        <v>14004</v>
      </c>
      <c r="V6000" t="s">
        <v>14004</v>
      </c>
      <c r="W6000" t="s">
        <v>19949</v>
      </c>
      <c r="X6000">
        <v>7</v>
      </c>
      <c r="Y6000" t="s">
        <v>26745</v>
      </c>
      <c r="Z6000" t="s">
        <v>33710</v>
      </c>
      <c r="AA6000">
        <v>0.49622887842576402</v>
      </c>
      <c r="AB6000" t="str">
        <f>HYPERLINK("Melting_Curves/meltCurve_Q9H6U8_ALG9.pdf", "Melting_Curves/meltCurve_Q9H6U8_ALG9.pdf")</f>
        <v>Melting_Curves/meltCurve_Q9H6U8_ALG9.pdf</v>
      </c>
    </row>
    <row r="6001" spans="1:28" x14ac:dyDescent="0.25">
      <c r="A6001" t="s">
        <v>6005</v>
      </c>
      <c r="B6001">
        <v>0.99999676499088797</v>
      </c>
      <c r="C6001">
        <v>0.97438256367583398</v>
      </c>
      <c r="D6001">
        <v>0.83288447229809703</v>
      </c>
      <c r="E6001">
        <v>0.63392137571889495</v>
      </c>
      <c r="F6001">
        <v>0.17617213624461101</v>
      </c>
      <c r="G6001">
        <v>0.17251434108802299</v>
      </c>
      <c r="H6001">
        <v>7.0742006786517195E-2</v>
      </c>
      <c r="I6001">
        <v>0</v>
      </c>
      <c r="J6001">
        <v>6.2900800368107898E-2</v>
      </c>
      <c r="K6001">
        <v>0</v>
      </c>
      <c r="L6001">
        <v>1047.42693792564</v>
      </c>
      <c r="M6001">
        <v>20.859030887740499</v>
      </c>
      <c r="N6001">
        <v>50.348902009591001</v>
      </c>
      <c r="O6001">
        <v>49.759866911126302</v>
      </c>
      <c r="P6001">
        <v>-0.101964471971417</v>
      </c>
      <c r="Q6001">
        <v>2.7069135214776802E-2</v>
      </c>
      <c r="R6001">
        <v>0.98751816075983001</v>
      </c>
      <c r="S6001" t="s">
        <v>13004</v>
      </c>
      <c r="T6001" t="s">
        <v>14004</v>
      </c>
      <c r="U6001" t="s">
        <v>14004</v>
      </c>
      <c r="V6001" t="s">
        <v>14004</v>
      </c>
      <c r="W6001" t="s">
        <v>19950</v>
      </c>
      <c r="X6001">
        <v>1</v>
      </c>
      <c r="Y6001" t="s">
        <v>26746</v>
      </c>
      <c r="Z6001" t="s">
        <v>33711</v>
      </c>
      <c r="AA6001">
        <v>0.37081012343466652</v>
      </c>
      <c r="AB6001" t="str">
        <f>HYPERLINK("Melting_Curves/meltCurve_Q9H6W3_NO66.pdf", "Melting_Curves/meltCurve_Q9H6W3_NO66.pdf")</f>
        <v>Melting_Curves/meltCurve_Q9H6W3_NO66.pdf</v>
      </c>
    </row>
    <row r="6002" spans="1:28" x14ac:dyDescent="0.25">
      <c r="A6002" t="s">
        <v>6006</v>
      </c>
      <c r="B6002">
        <v>0.99999676499088797</v>
      </c>
      <c r="C6002">
        <v>0.99227192127948805</v>
      </c>
      <c r="D6002">
        <v>0.98488474697430795</v>
      </c>
      <c r="E6002">
        <v>0.85693325231128004</v>
      </c>
      <c r="F6002">
        <v>0.73544242529058501</v>
      </c>
      <c r="G6002">
        <v>0.59233454724414802</v>
      </c>
      <c r="H6002">
        <v>0.41867398540761802</v>
      </c>
      <c r="I6002">
        <v>0.356059216099263</v>
      </c>
      <c r="J6002">
        <v>0.28958690199210402</v>
      </c>
      <c r="K6002">
        <v>0.33149115056427297</v>
      </c>
      <c r="L6002">
        <v>781.31928887042295</v>
      </c>
      <c r="M6002">
        <v>14.092593065312901</v>
      </c>
      <c r="N6002">
        <v>58.536020338900897</v>
      </c>
      <c r="O6002">
        <v>54.361285456839198</v>
      </c>
      <c r="P6002">
        <v>-4.7796036257897599E-2</v>
      </c>
      <c r="Q6002">
        <v>0.26261437210861299</v>
      </c>
      <c r="R6002">
        <v>0.99506236194470599</v>
      </c>
      <c r="S6002" t="s">
        <v>13005</v>
      </c>
      <c r="T6002" t="s">
        <v>14004</v>
      </c>
      <c r="U6002" t="s">
        <v>14004</v>
      </c>
      <c r="V6002" t="s">
        <v>14004</v>
      </c>
      <c r="W6002" t="s">
        <v>19951</v>
      </c>
      <c r="X6002">
        <v>4</v>
      </c>
      <c r="Y6002" t="s">
        <v>26747</v>
      </c>
      <c r="Z6002" t="s">
        <v>33712</v>
      </c>
      <c r="AA6002">
        <v>0.6567260556992528</v>
      </c>
      <c r="AB6002" t="str">
        <f>HYPERLINK("Melting_Curves/meltCurve_Q9H6X2_ANTXR1.pdf", "Melting_Curves/meltCurve_Q9H6X2_ANTXR1.pdf")</f>
        <v>Melting_Curves/meltCurve_Q9H6X2_ANTXR1.pdf</v>
      </c>
    </row>
    <row r="6003" spans="1:28" x14ac:dyDescent="0.25">
      <c r="A6003" t="s">
        <v>6007</v>
      </c>
      <c r="B6003">
        <v>0.99999676499088797</v>
      </c>
      <c r="C6003">
        <v>1.05271363240992</v>
      </c>
      <c r="D6003">
        <v>0.892226658687714</v>
      </c>
      <c r="E6003">
        <v>0.85394008620058204</v>
      </c>
      <c r="F6003">
        <v>0.65624824402589099</v>
      </c>
      <c r="G6003">
        <v>0.42524539589139199</v>
      </c>
      <c r="H6003">
        <v>0.154831341579414</v>
      </c>
      <c r="I6003">
        <v>0.14604514564458199</v>
      </c>
      <c r="J6003">
        <v>0.111447660783928</v>
      </c>
      <c r="K6003">
        <v>9.7463743601711395E-2</v>
      </c>
      <c r="L6003">
        <v>904.70766129290996</v>
      </c>
      <c r="M6003">
        <v>16.506131644313601</v>
      </c>
      <c r="N6003">
        <v>55.225447870614303</v>
      </c>
      <c r="O6003">
        <v>54.024853399837497</v>
      </c>
      <c r="P6003">
        <v>-7.1931502065208305E-2</v>
      </c>
      <c r="Q6003">
        <v>5.83331641640926E-2</v>
      </c>
      <c r="R6003">
        <v>0.99046824509085796</v>
      </c>
      <c r="S6003" t="s">
        <v>13006</v>
      </c>
      <c r="T6003" t="s">
        <v>14004</v>
      </c>
      <c r="U6003" t="s">
        <v>14004</v>
      </c>
      <c r="V6003" t="s">
        <v>14004</v>
      </c>
      <c r="W6003" t="s">
        <v>19952</v>
      </c>
      <c r="X6003">
        <v>8</v>
      </c>
      <c r="Y6003" t="s">
        <v>26748</v>
      </c>
      <c r="Z6003" t="s">
        <v>33713</v>
      </c>
      <c r="AA6003">
        <v>0.53965876088698905</v>
      </c>
      <c r="AB6003" t="str">
        <f>HYPERLINK("Melting_Curves/meltCurve_Q9H6Y2_WDR55.pdf", "Melting_Curves/meltCurve_Q9H6Y2_WDR55.pdf")</f>
        <v>Melting_Curves/meltCurve_Q9H6Y2_WDR55.pdf</v>
      </c>
    </row>
    <row r="6004" spans="1:28" x14ac:dyDescent="0.25">
      <c r="A6004" t="s">
        <v>6008</v>
      </c>
      <c r="B6004">
        <v>0.99999676499088797</v>
      </c>
      <c r="C6004">
        <v>0.91876711058485505</v>
      </c>
      <c r="D6004">
        <v>1.0467653309859799</v>
      </c>
      <c r="E6004">
        <v>1.1862172156731301</v>
      </c>
      <c r="F6004">
        <v>1.2170534744555599</v>
      </c>
      <c r="G6004">
        <v>0.79627446007082903</v>
      </c>
      <c r="H6004">
        <v>0.34522009356244998</v>
      </c>
      <c r="I6004">
        <v>0.15626873245064199</v>
      </c>
      <c r="J6004">
        <v>0.123285139351451</v>
      </c>
      <c r="K6004">
        <v>9.7453912870893902E-2</v>
      </c>
      <c r="L6004">
        <v>2297.3536786510799</v>
      </c>
      <c r="M6004">
        <v>38.918540479246303</v>
      </c>
      <c r="N6004">
        <v>59.414141922621802</v>
      </c>
      <c r="O6004">
        <v>58.874598751010303</v>
      </c>
      <c r="P6004">
        <v>-0.146869890293925</v>
      </c>
      <c r="Q6004">
        <v>0.111283726848025</v>
      </c>
      <c r="R6004">
        <v>0.94758450834010999</v>
      </c>
      <c r="S6004" t="s">
        <v>13007</v>
      </c>
      <c r="T6004" t="s">
        <v>14004</v>
      </c>
      <c r="U6004" t="s">
        <v>14004</v>
      </c>
      <c r="V6004" t="s">
        <v>14004</v>
      </c>
      <c r="W6004" t="s">
        <v>19953</v>
      </c>
      <c r="X6004">
        <v>14</v>
      </c>
      <c r="Y6004" t="s">
        <v>26749</v>
      </c>
      <c r="Z6004" t="s">
        <v>33714</v>
      </c>
      <c r="AA6004">
        <v>0.67870255953277436</v>
      </c>
      <c r="AB6004" t="str">
        <f>HYPERLINK("Melting_Curves/meltCurve_Q9H6Z4_3_RANBP3.pdf", "Melting_Curves/meltCurve_Q9H6Z4_3_RANBP3.pdf")</f>
        <v>Melting_Curves/meltCurve_Q9H6Z4_3_RANBP3.pdf</v>
      </c>
    </row>
    <row r="6005" spans="1:28" x14ac:dyDescent="0.25">
      <c r="A6005" t="s">
        <v>6009</v>
      </c>
      <c r="B6005">
        <v>0.99999676499088797</v>
      </c>
      <c r="C6005">
        <v>1.0252217930902101</v>
      </c>
      <c r="D6005">
        <v>0.99947417880181899</v>
      </c>
      <c r="E6005">
        <v>0.81122114592863503</v>
      </c>
      <c r="F6005">
        <v>0.77519888639755097</v>
      </c>
      <c r="G6005">
        <v>0.656443814957544</v>
      </c>
      <c r="H6005">
        <v>0.45881679432872702</v>
      </c>
      <c r="I6005">
        <v>0.42110766686420398</v>
      </c>
      <c r="J6005">
        <v>0.34734426070242402</v>
      </c>
      <c r="K6005">
        <v>0.37060033482552301</v>
      </c>
      <c r="L6005">
        <v>696.03042613049001</v>
      </c>
      <c r="M6005">
        <v>12.4025145251734</v>
      </c>
      <c r="N6005">
        <v>60.3418027684477</v>
      </c>
      <c r="O6005">
        <v>54.721007419658903</v>
      </c>
      <c r="P6005">
        <v>-4.0236344075126503E-2</v>
      </c>
      <c r="Q6005">
        <v>0.29004514630199602</v>
      </c>
      <c r="R6005">
        <v>0.98148274745793396</v>
      </c>
      <c r="S6005" t="s">
        <v>13008</v>
      </c>
      <c r="T6005" t="s">
        <v>14004</v>
      </c>
      <c r="U6005" t="s">
        <v>14004</v>
      </c>
      <c r="V6005" t="s">
        <v>14004</v>
      </c>
      <c r="W6005" t="s">
        <v>19954</v>
      </c>
      <c r="X6005">
        <v>14</v>
      </c>
      <c r="Y6005" t="s">
        <v>26750</v>
      </c>
      <c r="Z6005" t="s">
        <v>33715</v>
      </c>
      <c r="AA6005">
        <v>0.68554051764518509</v>
      </c>
      <c r="AB6005" t="str">
        <f>HYPERLINK("Melting_Curves/meltCurve_Q9H773_DCTPP1.pdf", "Melting_Curves/meltCurve_Q9H773_DCTPP1.pdf")</f>
        <v>Melting_Curves/meltCurve_Q9H773_DCTPP1.pdf</v>
      </c>
    </row>
    <row r="6006" spans="1:28" x14ac:dyDescent="0.25">
      <c r="A6006" t="s">
        <v>6010</v>
      </c>
      <c r="B6006">
        <v>0.99999676499088797</v>
      </c>
      <c r="C6006">
        <v>0.99511602581221004</v>
      </c>
      <c r="D6006">
        <v>0.97164098251907705</v>
      </c>
      <c r="E6006">
        <v>0.85056876761975897</v>
      </c>
      <c r="F6006">
        <v>0.81607815982174703</v>
      </c>
      <c r="G6006">
        <v>0.74116170574373097</v>
      </c>
      <c r="H6006">
        <v>0.58382158502965698</v>
      </c>
      <c r="I6006">
        <v>0.59775209175807098</v>
      </c>
      <c r="J6006">
        <v>0.53101766936235595</v>
      </c>
      <c r="K6006">
        <v>0.60762282235012</v>
      </c>
      <c r="L6006">
        <v>700.294122463897</v>
      </c>
      <c r="M6006">
        <v>12.9068205484591</v>
      </c>
      <c r="O6006">
        <v>53.004727154115699</v>
      </c>
      <c r="P6006">
        <v>-2.82570076140592E-2</v>
      </c>
      <c r="Q6006">
        <v>0.53590973162178601</v>
      </c>
      <c r="R6006">
        <v>0.96704446009966005</v>
      </c>
      <c r="S6006" t="s">
        <v>13009</v>
      </c>
      <c r="T6006" t="s">
        <v>14004</v>
      </c>
      <c r="U6006" t="s">
        <v>14004</v>
      </c>
      <c r="V6006" t="s">
        <v>14004</v>
      </c>
      <c r="W6006" t="s">
        <v>19955</v>
      </c>
      <c r="X6006">
        <v>4</v>
      </c>
      <c r="Y6006" t="s">
        <v>26751</v>
      </c>
      <c r="Z6006" t="s">
        <v>33716</v>
      </c>
      <c r="AA6006">
        <v>0.76752184570768145</v>
      </c>
      <c r="AB6006" t="str">
        <f>HYPERLINK("Melting_Curves/meltCurve_Q9H777_ELAC1.pdf", "Melting_Curves/meltCurve_Q9H777_ELAC1.pdf")</f>
        <v>Melting_Curves/meltCurve_Q9H777_ELAC1.pdf</v>
      </c>
    </row>
    <row r="6007" spans="1:28" x14ac:dyDescent="0.25">
      <c r="A6007" t="s">
        <v>6011</v>
      </c>
      <c r="B6007">
        <v>0.99999676499088797</v>
      </c>
      <c r="C6007">
        <v>1.0532902599549301</v>
      </c>
      <c r="D6007">
        <v>0.79579033891458795</v>
      </c>
      <c r="E6007">
        <v>0.28491906600094802</v>
      </c>
      <c r="F6007">
        <v>0.216401918190785</v>
      </c>
      <c r="G6007">
        <v>0.12126528355706501</v>
      </c>
      <c r="H6007">
        <v>6.7367526540705394E-2</v>
      </c>
      <c r="I6007">
        <v>6.5273474037388299E-2</v>
      </c>
      <c r="J6007">
        <v>6.3845613999444994E-2</v>
      </c>
      <c r="K6007">
        <v>5.60124013943561E-2</v>
      </c>
      <c r="L6007">
        <v>1508.5485289329899</v>
      </c>
      <c r="M6007">
        <v>31.529945616314102</v>
      </c>
      <c r="N6007">
        <v>48.137005706690601</v>
      </c>
      <c r="O6007">
        <v>47.653718248748703</v>
      </c>
      <c r="P6007">
        <v>-0.15101218184015799</v>
      </c>
      <c r="Q6007">
        <v>8.7057925219771806E-2</v>
      </c>
      <c r="R6007">
        <v>0.98780989870789104</v>
      </c>
      <c r="S6007" t="s">
        <v>13010</v>
      </c>
      <c r="T6007" t="s">
        <v>14004</v>
      </c>
      <c r="U6007" t="s">
        <v>14004</v>
      </c>
      <c r="V6007" t="s">
        <v>14004</v>
      </c>
      <c r="W6007" t="s">
        <v>19956</v>
      </c>
      <c r="X6007">
        <v>7</v>
      </c>
      <c r="Y6007" t="s">
        <v>26752</v>
      </c>
      <c r="Z6007" t="s">
        <v>33717</v>
      </c>
      <c r="AA6007">
        <v>0.33073623191028861</v>
      </c>
      <c r="AB6007" t="str">
        <f>HYPERLINK("Melting_Curves/meltCurve_Q9H7B4_SMYD3.pdf", "Melting_Curves/meltCurve_Q9H7B4_SMYD3.pdf")</f>
        <v>Melting_Curves/meltCurve_Q9H7B4_SMYD3.pdf</v>
      </c>
    </row>
    <row r="6008" spans="1:28" x14ac:dyDescent="0.25">
      <c r="A6008" t="s">
        <v>6012</v>
      </c>
      <c r="B6008">
        <v>0.99999676499088797</v>
      </c>
      <c r="C6008">
        <v>1.0604366937161001</v>
      </c>
      <c r="D6008">
        <v>1.0574845070777601</v>
      </c>
      <c r="E6008">
        <v>0.95838766789407803</v>
      </c>
      <c r="F6008">
        <v>0.58627711173222696</v>
      </c>
      <c r="G6008">
        <v>0.39991087022735999</v>
      </c>
      <c r="H6008">
        <v>0.21558877007421601</v>
      </c>
      <c r="I6008">
        <v>0.180930636403484</v>
      </c>
      <c r="J6008">
        <v>0.13527784452138</v>
      </c>
      <c r="K6008">
        <v>0.118644599404784</v>
      </c>
      <c r="L6008">
        <v>1237.0107875435201</v>
      </c>
      <c r="M6008">
        <v>22.864601505939099</v>
      </c>
      <c r="N6008">
        <v>54.888700094647497</v>
      </c>
      <c r="O6008">
        <v>53.692827849921997</v>
      </c>
      <c r="P6008">
        <v>-9.1581212648433705E-2</v>
      </c>
      <c r="Q6008">
        <v>0.13977773640638999</v>
      </c>
      <c r="R6008">
        <v>0.98701566316338296</v>
      </c>
      <c r="S6008" t="s">
        <v>13011</v>
      </c>
      <c r="T6008" t="s">
        <v>14004</v>
      </c>
      <c r="U6008" t="s">
        <v>14004</v>
      </c>
      <c r="V6008" t="s">
        <v>14004</v>
      </c>
      <c r="W6008" t="s">
        <v>19957</v>
      </c>
      <c r="X6008">
        <v>9</v>
      </c>
      <c r="Y6008" t="s">
        <v>26753</v>
      </c>
      <c r="Z6008" t="s">
        <v>33718</v>
      </c>
      <c r="AA6008">
        <v>0.55345928263364264</v>
      </c>
      <c r="AB6008" t="str">
        <f>HYPERLINK("Melting_Curves/meltCurve_Q9H7D7_2_WDR26.pdf", "Melting_Curves/meltCurve_Q9H7D7_2_WDR26.pdf")</f>
        <v>Melting_Curves/meltCurve_Q9H7D7_2_WDR26.pdf</v>
      </c>
    </row>
    <row r="6009" spans="1:28" x14ac:dyDescent="0.25">
      <c r="A6009" t="s">
        <v>6013</v>
      </c>
      <c r="B6009">
        <v>0.99999676499088797</v>
      </c>
      <c r="C6009">
        <v>1.01266755229886</v>
      </c>
      <c r="D6009">
        <v>0.85824327715358595</v>
      </c>
      <c r="E6009">
        <v>0.59050471750677402</v>
      </c>
      <c r="F6009">
        <v>0.30076649216850199</v>
      </c>
      <c r="G6009">
        <v>0.20410267600217399</v>
      </c>
      <c r="H6009">
        <v>8.5423967549782806E-2</v>
      </c>
      <c r="I6009">
        <v>0.120427918609134</v>
      </c>
      <c r="J6009">
        <v>0.121664428201324</v>
      </c>
      <c r="K6009">
        <v>7.9853023841798002E-2</v>
      </c>
      <c r="L6009">
        <v>1013.4866819292899</v>
      </c>
      <c r="M6009">
        <v>20.241016779666001</v>
      </c>
      <c r="N6009">
        <v>50.609655459380299</v>
      </c>
      <c r="O6009">
        <v>49.589866174327298</v>
      </c>
      <c r="P6009">
        <v>-9.2155705436150606E-2</v>
      </c>
      <c r="Q6009">
        <v>9.6913076014789296E-2</v>
      </c>
      <c r="R6009">
        <v>0.99614681623935597</v>
      </c>
      <c r="S6009" t="s">
        <v>13012</v>
      </c>
      <c r="T6009" t="s">
        <v>14004</v>
      </c>
      <c r="U6009" t="s">
        <v>14004</v>
      </c>
      <c r="V6009" t="s">
        <v>14004</v>
      </c>
      <c r="W6009" t="s">
        <v>19958</v>
      </c>
      <c r="X6009">
        <v>5</v>
      </c>
      <c r="Y6009" t="s">
        <v>26754</v>
      </c>
      <c r="Z6009" t="s">
        <v>33719</v>
      </c>
      <c r="AA6009">
        <v>0.41235647165183759</v>
      </c>
      <c r="AB6009" t="str">
        <f>HYPERLINK("Melting_Curves/meltCurve_Q9H7E2_3_TDRD3.pdf", "Melting_Curves/meltCurve_Q9H7E2_3_TDRD3.pdf")</f>
        <v>Melting_Curves/meltCurve_Q9H7E2_3_TDRD3.pdf</v>
      </c>
    </row>
    <row r="6010" spans="1:28" x14ac:dyDescent="0.25">
      <c r="A6010" t="s">
        <v>6014</v>
      </c>
      <c r="B6010">
        <v>0.99999676499088797</v>
      </c>
      <c r="C6010">
        <v>1.1555777335909101</v>
      </c>
      <c r="D6010">
        <v>1.0524498381126699</v>
      </c>
      <c r="E6010">
        <v>0.69326806168759103</v>
      </c>
      <c r="F6010">
        <v>0.38438283674915302</v>
      </c>
      <c r="G6010">
        <v>0.54101893228670495</v>
      </c>
      <c r="H6010">
        <v>0.216585896640235</v>
      </c>
      <c r="I6010">
        <v>0.39004596119637103</v>
      </c>
      <c r="J6010">
        <v>0.37734655985363003</v>
      </c>
      <c r="K6010">
        <v>0.43795201348818003</v>
      </c>
      <c r="L6010">
        <v>12399.236419323001</v>
      </c>
      <c r="M6010">
        <v>250</v>
      </c>
      <c r="N6010">
        <v>49.901403537875098</v>
      </c>
      <c r="O6010">
        <v>49.593771813725503</v>
      </c>
      <c r="P6010">
        <v>-0.76720567629678205</v>
      </c>
      <c r="Q6010">
        <v>0.391222028949401</v>
      </c>
      <c r="R6010">
        <v>0.91708492441790002</v>
      </c>
      <c r="S6010" t="s">
        <v>13013</v>
      </c>
      <c r="T6010" t="s">
        <v>14004</v>
      </c>
      <c r="U6010" t="s">
        <v>14004</v>
      </c>
      <c r="V6010" t="s">
        <v>14004</v>
      </c>
      <c r="W6010" t="s">
        <v>19959</v>
      </c>
      <c r="X6010">
        <v>3</v>
      </c>
      <c r="Y6010" t="s">
        <v>26755</v>
      </c>
      <c r="Z6010" t="s">
        <v>33720</v>
      </c>
      <c r="AA6010">
        <v>0.58602198871120992</v>
      </c>
      <c r="AB6010" t="str">
        <f>HYPERLINK("Melting_Curves/meltCurve_Q9H7E9_C8orf33.pdf", "Melting_Curves/meltCurve_Q9H7E9_C8orf33.pdf")</f>
        <v>Melting_Curves/meltCurve_Q9H7E9_C8orf33.pdf</v>
      </c>
    </row>
    <row r="6011" spans="1:28" x14ac:dyDescent="0.25">
      <c r="A6011" t="s">
        <v>6015</v>
      </c>
      <c r="B6011">
        <v>0.99999676499088797</v>
      </c>
      <c r="C6011">
        <v>0.94340327984796002</v>
      </c>
      <c r="D6011">
        <v>0.98777250652524895</v>
      </c>
      <c r="E6011">
        <v>0.81697174582769205</v>
      </c>
      <c r="F6011">
        <v>0.49210782488126498</v>
      </c>
      <c r="G6011">
        <v>0.196028284234774</v>
      </c>
      <c r="H6011">
        <v>2.2644977845807601E-2</v>
      </c>
      <c r="I6011">
        <v>3.3125741841443901E-2</v>
      </c>
      <c r="J6011">
        <v>1.51209606064474E-2</v>
      </c>
      <c r="K6011">
        <v>2.3817817680313502E-2</v>
      </c>
      <c r="L6011">
        <v>1197.56312900629</v>
      </c>
      <c r="M6011">
        <v>22.576536963356201</v>
      </c>
      <c r="N6011">
        <v>53.066681484022602</v>
      </c>
      <c r="O6011">
        <v>52.633679492533702</v>
      </c>
      <c r="P6011">
        <v>-0.106734855720217</v>
      </c>
      <c r="Q6011">
        <v>4.6774230115646702E-3</v>
      </c>
      <c r="R6011">
        <v>0.99729351388120502</v>
      </c>
      <c r="S6011" t="s">
        <v>13014</v>
      </c>
      <c r="T6011" t="s">
        <v>14004</v>
      </c>
      <c r="U6011" t="s">
        <v>14004</v>
      </c>
      <c r="V6011" t="s">
        <v>14004</v>
      </c>
      <c r="W6011" t="s">
        <v>19960</v>
      </c>
      <c r="X6011">
        <v>1</v>
      </c>
      <c r="Y6011" t="s">
        <v>26756</v>
      </c>
      <c r="Z6011" t="s">
        <v>33721</v>
      </c>
      <c r="AA6011">
        <v>0.44852425762791659</v>
      </c>
      <c r="AB6011" t="str">
        <f>HYPERLINK("Melting_Curves/meltCurve_Q9H7F0_ATP13A3.pdf", "Melting_Curves/meltCurve_Q9H7F0_ATP13A3.pdf")</f>
        <v>Melting_Curves/meltCurve_Q9H7F0_ATP13A3.pdf</v>
      </c>
    </row>
    <row r="6012" spans="1:28" x14ac:dyDescent="0.25">
      <c r="A6012" t="s">
        <v>6016</v>
      </c>
      <c r="B6012">
        <v>0.99999676499088797</v>
      </c>
      <c r="C6012">
        <v>1.0202006195642901</v>
      </c>
      <c r="D6012">
        <v>1.09779907981184</v>
      </c>
      <c r="E6012">
        <v>1.3350646408565301</v>
      </c>
      <c r="F6012">
        <v>0.95812672997582204</v>
      </c>
      <c r="G6012">
        <v>1.0664286693279901</v>
      </c>
      <c r="H6012">
        <v>0.632989982109183</v>
      </c>
      <c r="I6012">
        <v>0.50880097620534603</v>
      </c>
      <c r="J6012">
        <v>0.35161743885671798</v>
      </c>
      <c r="K6012">
        <v>0.31742516233790402</v>
      </c>
      <c r="L6012">
        <v>2354.6789768794001</v>
      </c>
      <c r="M6012">
        <v>38.637588110056903</v>
      </c>
      <c r="N6012">
        <v>62.851230656902104</v>
      </c>
      <c r="O6012">
        <v>60.7801431194058</v>
      </c>
      <c r="P6012">
        <v>-0.10404403112426</v>
      </c>
      <c r="Q6012">
        <v>0.34532194216234302</v>
      </c>
      <c r="R6012">
        <v>0.86863437767445495</v>
      </c>
      <c r="S6012" t="s">
        <v>13015</v>
      </c>
      <c r="T6012" t="s">
        <v>14004</v>
      </c>
      <c r="U6012" t="s">
        <v>14004</v>
      </c>
      <c r="V6012" t="s">
        <v>14004</v>
      </c>
      <c r="W6012" t="s">
        <v>19961</v>
      </c>
      <c r="X6012">
        <v>2</v>
      </c>
      <c r="Y6012" t="s">
        <v>26757</v>
      </c>
      <c r="Z6012" t="s">
        <v>33722</v>
      </c>
      <c r="AA6012">
        <v>0.80497949804816371</v>
      </c>
      <c r="AB6012" t="str">
        <f>HYPERLINK("Melting_Curves/meltCurve_Q9H7F4_TMEM185B.pdf", "Melting_Curves/meltCurve_Q9H7F4_TMEM185B.pdf")</f>
        <v>Melting_Curves/meltCurve_Q9H7F4_TMEM185B.pdf</v>
      </c>
    </row>
    <row r="6013" spans="1:28" x14ac:dyDescent="0.25">
      <c r="A6013" t="s">
        <v>6017</v>
      </c>
      <c r="B6013">
        <v>0.99999676499088797</v>
      </c>
      <c r="C6013">
        <v>0.99042164545165001</v>
      </c>
      <c r="D6013">
        <v>0.94513579972179196</v>
      </c>
      <c r="E6013">
        <v>0.70349429271774599</v>
      </c>
      <c r="F6013">
        <v>0.31740364029867202</v>
      </c>
      <c r="G6013">
        <v>0.20297888963590999</v>
      </c>
      <c r="H6013">
        <v>0.10225919017412601</v>
      </c>
      <c r="I6013">
        <v>0.100150181485875</v>
      </c>
      <c r="J6013">
        <v>0.123959236508651</v>
      </c>
      <c r="K6013">
        <v>7.1356371440633504E-2</v>
      </c>
      <c r="L6013">
        <v>1249.5304911358901</v>
      </c>
      <c r="M6013">
        <v>24.507310410101699</v>
      </c>
      <c r="N6013">
        <v>51.445222604806098</v>
      </c>
      <c r="O6013">
        <v>50.650192627394098</v>
      </c>
      <c r="P6013">
        <v>-0.10908194211788</v>
      </c>
      <c r="Q6013">
        <v>9.8237937023796906E-2</v>
      </c>
      <c r="R6013">
        <v>0.99775176938740096</v>
      </c>
      <c r="S6013" t="s">
        <v>13016</v>
      </c>
      <c r="T6013" t="s">
        <v>14004</v>
      </c>
      <c r="U6013" t="s">
        <v>14004</v>
      </c>
      <c r="V6013" t="s">
        <v>14004</v>
      </c>
      <c r="W6013" t="s">
        <v>19962</v>
      </c>
      <c r="X6013">
        <v>3</v>
      </c>
      <c r="Y6013" t="s">
        <v>26758</v>
      </c>
      <c r="Z6013" t="s">
        <v>33723</v>
      </c>
      <c r="AA6013">
        <v>0.43693430065402727</v>
      </c>
      <c r="AB6013" t="str">
        <f>HYPERLINK("Melting_Curves/meltCurve_Q9H7H0_3_METTL17.pdf", "Melting_Curves/meltCurve_Q9H7H0_3_METTL17.pdf")</f>
        <v>Melting_Curves/meltCurve_Q9H7H0_3_METTL17.pdf</v>
      </c>
    </row>
    <row r="6014" spans="1:28" x14ac:dyDescent="0.25">
      <c r="A6014" t="s">
        <v>6018</v>
      </c>
      <c r="B6014">
        <v>0.99999676499088797</v>
      </c>
      <c r="C6014">
        <v>1.03392646053482</v>
      </c>
      <c r="D6014">
        <v>0.857892337706888</v>
      </c>
      <c r="E6014">
        <v>0.86736569529796503</v>
      </c>
      <c r="F6014">
        <v>0.87556238939745401</v>
      </c>
      <c r="G6014">
        <v>0.563964574132924</v>
      </c>
      <c r="H6014">
        <v>0.28473935972172398</v>
      </c>
      <c r="I6014">
        <v>0.15440326025520101</v>
      </c>
      <c r="J6014">
        <v>0.106032074809025</v>
      </c>
      <c r="K6014">
        <v>0.11423555717473199</v>
      </c>
      <c r="L6014">
        <v>1062.0051798873801</v>
      </c>
      <c r="M6014">
        <v>18.5416918652774</v>
      </c>
      <c r="N6014">
        <v>57.641303493712002</v>
      </c>
      <c r="O6014">
        <v>56.622840813518103</v>
      </c>
      <c r="P6014">
        <v>-7.7337332831777003E-2</v>
      </c>
      <c r="Q6014">
        <v>5.5346765138195801E-2</v>
      </c>
      <c r="R6014">
        <v>0.97738940300895805</v>
      </c>
      <c r="S6014" t="s">
        <v>13017</v>
      </c>
      <c r="T6014" t="s">
        <v>14004</v>
      </c>
      <c r="U6014" t="s">
        <v>14004</v>
      </c>
      <c r="V6014" t="s">
        <v>14004</v>
      </c>
      <c r="W6014" t="s">
        <v>19963</v>
      </c>
      <c r="X6014">
        <v>4</v>
      </c>
      <c r="Y6014" t="s">
        <v>26759</v>
      </c>
      <c r="Z6014" t="s">
        <v>33724</v>
      </c>
      <c r="AA6014">
        <v>0.61165623214067721</v>
      </c>
      <c r="AB6014" t="str">
        <f>HYPERLINK("Melting_Curves/meltCurve_Q9H7J1_PPP1R3E.pdf", "Melting_Curves/meltCurve_Q9H7J1_PPP1R3E.pdf")</f>
        <v>Melting_Curves/meltCurve_Q9H7J1_PPP1R3E.pdf</v>
      </c>
    </row>
    <row r="6015" spans="1:28" x14ac:dyDescent="0.25">
      <c r="A6015" t="s">
        <v>6019</v>
      </c>
      <c r="B6015">
        <v>0.99999676499088797</v>
      </c>
      <c r="C6015">
        <v>0.889306867748765</v>
      </c>
      <c r="D6015">
        <v>0.73910639192548799</v>
      </c>
      <c r="E6015">
        <v>0.60712458434118199</v>
      </c>
      <c r="F6015">
        <v>0.35806482322373101</v>
      </c>
      <c r="G6015">
        <v>0.24602989867622799</v>
      </c>
      <c r="H6015">
        <v>0.145664714389447</v>
      </c>
      <c r="I6015">
        <v>0.116434874837394</v>
      </c>
      <c r="J6015">
        <v>0.13107757234116399</v>
      </c>
      <c r="K6015">
        <v>0.122179395525661</v>
      </c>
      <c r="L6015">
        <v>647.28457550234702</v>
      </c>
      <c r="M6015">
        <v>12.951651976850799</v>
      </c>
      <c r="N6015">
        <v>50.6926493732445</v>
      </c>
      <c r="O6015">
        <v>48.830549537209698</v>
      </c>
      <c r="P6015">
        <v>-6.0779794205158201E-2</v>
      </c>
      <c r="Q6015">
        <v>8.3552003332403493E-2</v>
      </c>
      <c r="R6015">
        <v>0.99443767166050501</v>
      </c>
      <c r="S6015" t="s">
        <v>13018</v>
      </c>
      <c r="T6015" t="s">
        <v>14004</v>
      </c>
      <c r="U6015" t="s">
        <v>14004</v>
      </c>
      <c r="V6015" t="s">
        <v>14004</v>
      </c>
      <c r="W6015" t="s">
        <v>19964</v>
      </c>
      <c r="X6015">
        <v>6</v>
      </c>
      <c r="Y6015" t="s">
        <v>26760</v>
      </c>
      <c r="Z6015" t="s">
        <v>33725</v>
      </c>
      <c r="AA6015">
        <v>0.41644110661944539</v>
      </c>
      <c r="AB6015" t="str">
        <f>HYPERLINK("Melting_Curves/meltCurve_Q9H7L9_SUDS3.pdf", "Melting_Curves/meltCurve_Q9H7L9_SUDS3.pdf")</f>
        <v>Melting_Curves/meltCurve_Q9H7L9_SUDS3.pdf</v>
      </c>
    </row>
    <row r="6016" spans="1:28" x14ac:dyDescent="0.25">
      <c r="A6016" t="s">
        <v>6020</v>
      </c>
      <c r="B6016">
        <v>0.99999676499088797</v>
      </c>
      <c r="C6016">
        <v>0.79457138536345795</v>
      </c>
      <c r="D6016">
        <v>0.77168236859045003</v>
      </c>
      <c r="E6016">
        <v>0.66662205967320298</v>
      </c>
      <c r="F6016">
        <v>0.53928094638801405</v>
      </c>
      <c r="G6016">
        <v>0.476488757256609</v>
      </c>
      <c r="H6016">
        <v>0.291564689449689</v>
      </c>
      <c r="I6016">
        <v>0.35540728684974798</v>
      </c>
      <c r="J6016">
        <v>0.34317099839877402</v>
      </c>
      <c r="K6016">
        <v>0.40230049793558798</v>
      </c>
      <c r="L6016">
        <v>503.668315071297</v>
      </c>
      <c r="M6016">
        <v>10.2520853728409</v>
      </c>
      <c r="N6016">
        <v>54.162965196502</v>
      </c>
      <c r="O6016">
        <v>47.369245919324797</v>
      </c>
      <c r="P6016">
        <v>-3.7502069572593499E-2</v>
      </c>
      <c r="Q6016">
        <v>0.30720062188279501</v>
      </c>
      <c r="R6016">
        <v>0.94742768256035603</v>
      </c>
      <c r="S6016" t="s">
        <v>13019</v>
      </c>
      <c r="T6016" t="s">
        <v>14004</v>
      </c>
      <c r="U6016" t="s">
        <v>14004</v>
      </c>
      <c r="V6016" t="s">
        <v>14004</v>
      </c>
      <c r="W6016" t="s">
        <v>19965</v>
      </c>
      <c r="X6016">
        <v>2</v>
      </c>
      <c r="Y6016" t="s">
        <v>26761</v>
      </c>
      <c r="Z6016" t="s">
        <v>33726</v>
      </c>
      <c r="AA6016">
        <v>0.55036585246334491</v>
      </c>
      <c r="AB6016" t="str">
        <f>HYPERLINK("Melting_Curves/meltCurve_Q9H7M9_C10orf54.pdf", "Melting_Curves/meltCurve_Q9H7M9_C10orf54.pdf")</f>
        <v>Melting_Curves/meltCurve_Q9H7M9_C10orf54.pdf</v>
      </c>
    </row>
    <row r="6017" spans="1:28" x14ac:dyDescent="0.25">
      <c r="A6017" t="s">
        <v>6021</v>
      </c>
      <c r="B6017">
        <v>0.99999676499088797</v>
      </c>
      <c r="C6017">
        <v>0.89559160949604399</v>
      </c>
      <c r="D6017">
        <v>0.75696933166246105</v>
      </c>
      <c r="E6017">
        <v>0.58014145276393203</v>
      </c>
      <c r="F6017">
        <v>0.38967565131550702</v>
      </c>
      <c r="G6017">
        <v>0.34353183123222097</v>
      </c>
      <c r="H6017">
        <v>0.21487513307685199</v>
      </c>
      <c r="I6017">
        <v>0.29905930055834401</v>
      </c>
      <c r="J6017">
        <v>0.38219385338179501</v>
      </c>
      <c r="K6017">
        <v>0.38273754436985002</v>
      </c>
      <c r="L6017">
        <v>865.49303082099902</v>
      </c>
      <c r="M6017">
        <v>18.142429775722999</v>
      </c>
      <c r="N6017">
        <v>50.451400967743602</v>
      </c>
      <c r="O6017">
        <v>47.137194078218499</v>
      </c>
      <c r="P6017">
        <v>-6.6036423123875906E-2</v>
      </c>
      <c r="Q6017">
        <v>0.31373628977081802</v>
      </c>
      <c r="R6017">
        <v>0.96265797860647295</v>
      </c>
      <c r="S6017" t="s">
        <v>13020</v>
      </c>
      <c r="T6017" t="s">
        <v>14004</v>
      </c>
      <c r="U6017" t="s">
        <v>14004</v>
      </c>
      <c r="V6017" t="s">
        <v>14004</v>
      </c>
      <c r="W6017" t="s">
        <v>19966</v>
      </c>
      <c r="X6017">
        <v>5</v>
      </c>
      <c r="Y6017" t="s">
        <v>26762</v>
      </c>
      <c r="Z6017" t="s">
        <v>33727</v>
      </c>
      <c r="AA6017">
        <v>0.50209256268564295</v>
      </c>
      <c r="AB6017" t="str">
        <f>HYPERLINK("Melting_Curves/meltCurve_Q9H7N4_SCAF1.pdf", "Melting_Curves/meltCurve_Q9H7N4_SCAF1.pdf")</f>
        <v>Melting_Curves/meltCurve_Q9H7N4_SCAF1.pdf</v>
      </c>
    </row>
    <row r="6018" spans="1:28" x14ac:dyDescent="0.25">
      <c r="A6018" t="s">
        <v>6022</v>
      </c>
      <c r="B6018">
        <v>0.99999676499088797</v>
      </c>
      <c r="C6018">
        <v>1.0068051194479499</v>
      </c>
      <c r="D6018">
        <v>1.10881275416764</v>
      </c>
      <c r="E6018">
        <v>1.09794232875207</v>
      </c>
      <c r="F6018">
        <v>0.65999903960628103</v>
      </c>
      <c r="G6018">
        <v>0.43818353808646698</v>
      </c>
      <c r="H6018">
        <v>0.35926114318730001</v>
      </c>
      <c r="I6018">
        <v>0.63135421646961098</v>
      </c>
      <c r="J6018">
        <v>0.77731080260087504</v>
      </c>
      <c r="K6018">
        <v>0.72129884804168998</v>
      </c>
      <c r="L6018">
        <v>13219.246848385401</v>
      </c>
      <c r="M6018">
        <v>250</v>
      </c>
      <c r="O6018">
        <v>52.873590452364603</v>
      </c>
      <c r="P6018">
        <v>-0.48998728293094701</v>
      </c>
      <c r="Q6018">
        <v>0.58548170608211003</v>
      </c>
      <c r="R6018">
        <v>0.76401949424829296</v>
      </c>
      <c r="S6018" t="s">
        <v>13021</v>
      </c>
      <c r="T6018" t="s">
        <v>14004</v>
      </c>
      <c r="U6018" t="s">
        <v>14004</v>
      </c>
      <c r="V6018" t="s">
        <v>14004</v>
      </c>
      <c r="W6018" t="s">
        <v>19967</v>
      </c>
      <c r="X6018">
        <v>1</v>
      </c>
      <c r="Y6018" t="s">
        <v>26763</v>
      </c>
      <c r="Z6018" t="s">
        <v>33728</v>
      </c>
      <c r="AA6018">
        <v>0.7634450675100305</v>
      </c>
      <c r="AB6018" t="str">
        <f>HYPERLINK("Melting_Curves/meltCurve_Q9H7U1_3_CCSER2.pdf", "Melting_Curves/meltCurve_Q9H7U1_3_CCSER2.pdf")</f>
        <v>Melting_Curves/meltCurve_Q9H7U1_3_CCSER2.pdf</v>
      </c>
    </row>
    <row r="6019" spans="1:28" x14ac:dyDescent="0.25">
      <c r="A6019" t="s">
        <v>6023</v>
      </c>
      <c r="B6019">
        <v>0.99999676499088797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10350.3282191173</v>
      </c>
      <c r="M6019">
        <v>250</v>
      </c>
      <c r="N6019">
        <v>41.401325127109303</v>
      </c>
      <c r="O6019">
        <v>41.398663255941301</v>
      </c>
      <c r="P6019">
        <v>-1.5097105761148699</v>
      </c>
      <c r="Q6019">
        <v>0</v>
      </c>
      <c r="R6019">
        <v>0.99999994485991595</v>
      </c>
      <c r="S6019" t="s">
        <v>13022</v>
      </c>
      <c r="T6019" t="s">
        <v>14004</v>
      </c>
      <c r="U6019" t="s">
        <v>14004</v>
      </c>
      <c r="V6019" t="s">
        <v>14004</v>
      </c>
      <c r="W6019" t="s">
        <v>19968</v>
      </c>
      <c r="X6019">
        <v>2</v>
      </c>
      <c r="Y6019" t="s">
        <v>26764</v>
      </c>
      <c r="Z6019" t="s">
        <v>33729</v>
      </c>
      <c r="AA6019">
        <v>4.6783891473423121E-2</v>
      </c>
      <c r="AB6019" t="str">
        <f>HYPERLINK("Melting_Curves/meltCurve_Q9H7X3_ZNF696.pdf", "Melting_Curves/meltCurve_Q9H7X3_ZNF696.pdf")</f>
        <v>Melting_Curves/meltCurve_Q9H7X3_ZNF696.pdf</v>
      </c>
    </row>
    <row r="6020" spans="1:28" x14ac:dyDescent="0.25">
      <c r="A6020" t="s">
        <v>6024</v>
      </c>
      <c r="B6020">
        <v>0.99999676499088797</v>
      </c>
      <c r="C6020">
        <v>0.94580007213542405</v>
      </c>
      <c r="D6020">
        <v>0.48804908250863699</v>
      </c>
      <c r="E6020">
        <v>0.28503806007842902</v>
      </c>
      <c r="F6020">
        <v>0.348281781799404</v>
      </c>
      <c r="G6020">
        <v>0.14413511427756101</v>
      </c>
      <c r="H6020">
        <v>8.8294291970061098E-2</v>
      </c>
      <c r="I6020">
        <v>0.10162994417696</v>
      </c>
      <c r="J6020">
        <v>0.101384150654432</v>
      </c>
      <c r="K6020">
        <v>8.0645826992515698E-2</v>
      </c>
      <c r="L6020">
        <v>963.46786271414999</v>
      </c>
      <c r="M6020">
        <v>20.865768218652502</v>
      </c>
      <c r="N6020">
        <v>46.812532508794099</v>
      </c>
      <c r="O6020">
        <v>45.756726563341203</v>
      </c>
      <c r="P6020">
        <v>-9.9898197330673705E-2</v>
      </c>
      <c r="Q6020">
        <v>0.123753517365702</v>
      </c>
      <c r="R6020">
        <v>0.95236146122130205</v>
      </c>
      <c r="S6020" t="s">
        <v>13023</v>
      </c>
      <c r="T6020" t="s">
        <v>14004</v>
      </c>
      <c r="U6020" t="s">
        <v>14004</v>
      </c>
      <c r="V6020" t="s">
        <v>14004</v>
      </c>
      <c r="W6020" t="s">
        <v>19969</v>
      </c>
      <c r="X6020">
        <v>2</v>
      </c>
      <c r="Y6020" t="s">
        <v>26765</v>
      </c>
      <c r="Z6020" t="s">
        <v>33730</v>
      </c>
      <c r="AA6020">
        <v>0.31625397551928458</v>
      </c>
      <c r="AB6020" t="str">
        <f>HYPERLINK("Melting_Curves/meltCurve_Q9H7Z3_NRDE2.pdf", "Melting_Curves/meltCurve_Q9H7Z3_NRDE2.pdf")</f>
        <v>Melting_Curves/meltCurve_Q9H7Z3_NRDE2.pdf</v>
      </c>
    </row>
    <row r="6021" spans="1:28" x14ac:dyDescent="0.25">
      <c r="A6021" t="s">
        <v>6025</v>
      </c>
      <c r="B6021">
        <v>0.99999676499088797</v>
      </c>
      <c r="C6021">
        <v>0.82465991428887797</v>
      </c>
      <c r="D6021">
        <v>0.57043955411748903</v>
      </c>
      <c r="E6021">
        <v>0.47533480675661399</v>
      </c>
      <c r="F6021">
        <v>0.40772398477893801</v>
      </c>
      <c r="G6021">
        <v>0.32461461548220899</v>
      </c>
      <c r="H6021">
        <v>0.22265306083022501</v>
      </c>
      <c r="I6021">
        <v>0.19716422929331301</v>
      </c>
      <c r="J6021">
        <v>0.13058001700206001</v>
      </c>
      <c r="K6021">
        <v>0.13069532039979001</v>
      </c>
      <c r="L6021">
        <v>488.89181159417399</v>
      </c>
      <c r="M6021">
        <v>10.137430095858299</v>
      </c>
      <c r="N6021">
        <v>49.544473739627598</v>
      </c>
      <c r="O6021">
        <v>46.4626395363142</v>
      </c>
      <c r="P6021">
        <v>-4.8121354887748997E-2</v>
      </c>
      <c r="Q6021">
        <v>0.118193282958442</v>
      </c>
      <c r="R6021">
        <v>0.96746046464548796</v>
      </c>
      <c r="S6021" t="s">
        <v>13024</v>
      </c>
      <c r="T6021" t="s">
        <v>14004</v>
      </c>
      <c r="U6021" t="s">
        <v>14004</v>
      </c>
      <c r="V6021" t="s">
        <v>14004</v>
      </c>
      <c r="W6021" t="s">
        <v>19970</v>
      </c>
      <c r="X6021">
        <v>7</v>
      </c>
      <c r="Y6021" t="s">
        <v>26766</v>
      </c>
      <c r="Z6021" t="s">
        <v>33731</v>
      </c>
      <c r="AA6021">
        <v>0.40491570496059431</v>
      </c>
      <c r="AB6021" t="str">
        <f>HYPERLINK("Melting_Curves/meltCurve_Q9H7Z6_KAT8.pdf", "Melting_Curves/meltCurve_Q9H7Z6_KAT8.pdf")</f>
        <v>Melting_Curves/meltCurve_Q9H7Z6_KAT8.pdf</v>
      </c>
    </row>
    <row r="6022" spans="1:28" x14ac:dyDescent="0.25">
      <c r="A6022" t="s">
        <v>6026</v>
      </c>
      <c r="B6022">
        <v>0.99999676499088797</v>
      </c>
      <c r="C6022">
        <v>0.95432988933686602</v>
      </c>
      <c r="D6022">
        <v>1.00159462680223</v>
      </c>
      <c r="E6022">
        <v>1.06735862305652</v>
      </c>
      <c r="F6022">
        <v>0.62598956853273802</v>
      </c>
      <c r="G6022">
        <v>0.44574504797789299</v>
      </c>
      <c r="H6022">
        <v>0.27414902297490501</v>
      </c>
      <c r="I6022">
        <v>0.121953390962981</v>
      </c>
      <c r="J6022">
        <v>9.7521329761841399E-2</v>
      </c>
      <c r="K6022">
        <v>6.8302727763541904E-2</v>
      </c>
      <c r="L6022">
        <v>1101.8915288887799</v>
      </c>
      <c r="M6022">
        <v>19.853536925544901</v>
      </c>
      <c r="N6022">
        <v>55.959028455261702</v>
      </c>
      <c r="O6022">
        <v>54.947134674296898</v>
      </c>
      <c r="P6022">
        <v>-8.3559098918832994E-2</v>
      </c>
      <c r="Q6022">
        <v>7.4990179386075106E-2</v>
      </c>
      <c r="R6022">
        <v>0.97549425799934397</v>
      </c>
      <c r="S6022" t="s">
        <v>13025</v>
      </c>
      <c r="T6022" t="s">
        <v>14004</v>
      </c>
      <c r="U6022" t="s">
        <v>14004</v>
      </c>
      <c r="V6022" t="s">
        <v>14004</v>
      </c>
      <c r="W6022" t="s">
        <v>19971</v>
      </c>
      <c r="X6022">
        <v>16</v>
      </c>
      <c r="Y6022" t="s">
        <v>26767</v>
      </c>
      <c r="Z6022" t="s">
        <v>33732</v>
      </c>
      <c r="AA6022">
        <v>0.56520744896844699</v>
      </c>
      <c r="AB6022" t="str">
        <f>HYPERLINK("Melting_Curves/meltCurve_Q9H7Z7_PTGES2.pdf", "Melting_Curves/meltCurve_Q9H7Z7_PTGES2.pdf")</f>
        <v>Melting_Curves/meltCurve_Q9H7Z7_PTGES2.pdf</v>
      </c>
    </row>
    <row r="6023" spans="1:28" x14ac:dyDescent="0.25">
      <c r="A6023" t="s">
        <v>6027</v>
      </c>
      <c r="B6023">
        <v>0.99999676499088797</v>
      </c>
      <c r="C6023">
        <v>0.875327992025279</v>
      </c>
      <c r="D6023">
        <v>0.96593289436948604</v>
      </c>
      <c r="E6023">
        <v>1.0955424854584701</v>
      </c>
      <c r="F6023">
        <v>1.08910795333513</v>
      </c>
      <c r="G6023">
        <v>0.74661818120808998</v>
      </c>
      <c r="H6023">
        <v>0.433278899529492</v>
      </c>
      <c r="I6023">
        <v>0.25851576239376101</v>
      </c>
      <c r="J6023">
        <v>0.24828863992623701</v>
      </c>
      <c r="K6023">
        <v>0.33623256967344201</v>
      </c>
      <c r="L6023">
        <v>2252.6483058604399</v>
      </c>
      <c r="M6023">
        <v>38.829537365330502</v>
      </c>
      <c r="N6023">
        <v>59.297178045321097</v>
      </c>
      <c r="O6023">
        <v>57.860549425326802</v>
      </c>
      <c r="P6023">
        <v>-0.120085796881701</v>
      </c>
      <c r="Q6023">
        <v>0.28423417923973898</v>
      </c>
      <c r="R6023">
        <v>0.95687472066919599</v>
      </c>
      <c r="S6023" t="s">
        <v>13026</v>
      </c>
      <c r="T6023" t="s">
        <v>14004</v>
      </c>
      <c r="U6023" t="s">
        <v>14004</v>
      </c>
      <c r="V6023" t="s">
        <v>14004</v>
      </c>
      <c r="W6023" t="s">
        <v>19972</v>
      </c>
      <c r="X6023">
        <v>5</v>
      </c>
      <c r="Y6023" t="s">
        <v>26768</v>
      </c>
      <c r="Z6023" t="s">
        <v>33733</v>
      </c>
      <c r="AA6023">
        <v>0.71699914189089242</v>
      </c>
      <c r="AB6023" t="str">
        <f>HYPERLINK("Melting_Curves/meltCurve_Q9H813_TMEM206.pdf", "Melting_Curves/meltCurve_Q9H813_TMEM206.pdf")</f>
        <v>Melting_Curves/meltCurve_Q9H813_TMEM206.pdf</v>
      </c>
    </row>
    <row r="6024" spans="1:28" x14ac:dyDescent="0.25">
      <c r="A6024" t="s">
        <v>6028</v>
      </c>
      <c r="B6024">
        <v>0.99999676499088797</v>
      </c>
      <c r="C6024">
        <v>0.83723415738515805</v>
      </c>
      <c r="D6024">
        <v>0.76408240784473003</v>
      </c>
      <c r="E6024">
        <v>0.52336481644851596</v>
      </c>
      <c r="F6024">
        <v>0.31878481589343999</v>
      </c>
      <c r="G6024">
        <v>0.21497563606447101</v>
      </c>
      <c r="H6024">
        <v>0.15781318491625801</v>
      </c>
      <c r="I6024">
        <v>0.19997470074000701</v>
      </c>
      <c r="J6024">
        <v>0.22529698615760399</v>
      </c>
      <c r="K6024">
        <v>0.199653566224303</v>
      </c>
      <c r="L6024">
        <v>776.50109199316205</v>
      </c>
      <c r="M6024">
        <v>16.091365704546298</v>
      </c>
      <c r="N6024">
        <v>49.597805697917401</v>
      </c>
      <c r="O6024">
        <v>47.5289406284124</v>
      </c>
      <c r="P6024">
        <v>-6.9706237389992695E-2</v>
      </c>
      <c r="Q6024">
        <v>0.176500041385833</v>
      </c>
      <c r="R6024">
        <v>0.98738911871782897</v>
      </c>
      <c r="S6024" t="s">
        <v>13027</v>
      </c>
      <c r="T6024" t="s">
        <v>14004</v>
      </c>
      <c r="U6024" t="s">
        <v>14004</v>
      </c>
      <c r="V6024" t="s">
        <v>14004</v>
      </c>
      <c r="W6024" t="s">
        <v>19973</v>
      </c>
      <c r="X6024">
        <v>8</v>
      </c>
      <c r="Y6024" t="s">
        <v>26769</v>
      </c>
      <c r="Z6024" t="s">
        <v>33734</v>
      </c>
      <c r="AA6024">
        <v>0.42134572061943509</v>
      </c>
      <c r="AB6024" t="str">
        <f>HYPERLINK("Melting_Curves/meltCurve_Q9H814_PHAX.pdf", "Melting_Curves/meltCurve_Q9H814_PHAX.pdf")</f>
        <v>Melting_Curves/meltCurve_Q9H814_PHAX.pdf</v>
      </c>
    </row>
    <row r="6025" spans="1:28" x14ac:dyDescent="0.25">
      <c r="A6025" t="s">
        <v>6029</v>
      </c>
      <c r="B6025">
        <v>0.99999676499088797</v>
      </c>
      <c r="C6025">
        <v>1.0700571321332699</v>
      </c>
      <c r="D6025">
        <v>1.0528407670131601</v>
      </c>
      <c r="E6025">
        <v>0.97943231373023198</v>
      </c>
      <c r="F6025">
        <v>0.49954981359626399</v>
      </c>
      <c r="G6025">
        <v>0.20477564485762101</v>
      </c>
      <c r="H6025">
        <v>8.8815970906973504E-2</v>
      </c>
      <c r="I6025">
        <v>7.3228913796881998E-2</v>
      </c>
      <c r="J6025">
        <v>6.5003921410059604E-2</v>
      </c>
      <c r="K6025">
        <v>5.1349671912663E-2</v>
      </c>
      <c r="L6025">
        <v>1919.52069608598</v>
      </c>
      <c r="M6025">
        <v>36.122387586975897</v>
      </c>
      <c r="N6025">
        <v>53.378346365515497</v>
      </c>
      <c r="O6025">
        <v>52.977290392222798</v>
      </c>
      <c r="P6025">
        <v>-0.15773489779921801</v>
      </c>
      <c r="Q6025">
        <v>7.4663436748295106E-2</v>
      </c>
      <c r="R6025">
        <v>0.99284205340037901</v>
      </c>
      <c r="S6025" t="s">
        <v>13028</v>
      </c>
      <c r="T6025" t="s">
        <v>14004</v>
      </c>
      <c r="U6025" t="s">
        <v>14004</v>
      </c>
      <c r="V6025" t="s">
        <v>14004</v>
      </c>
      <c r="W6025" t="s">
        <v>19974</v>
      </c>
      <c r="X6025">
        <v>9</v>
      </c>
      <c r="Y6025" t="s">
        <v>26770</v>
      </c>
      <c r="Z6025" t="s">
        <v>33735</v>
      </c>
      <c r="AA6025">
        <v>0.48410464587713581</v>
      </c>
      <c r="AB6025" t="str">
        <f>HYPERLINK("Melting_Curves/meltCurve_Q9H832_UBE2Z.pdf", "Melting_Curves/meltCurve_Q9H832_UBE2Z.pdf")</f>
        <v>Melting_Curves/meltCurve_Q9H832_UBE2Z.pdf</v>
      </c>
    </row>
    <row r="6026" spans="1:28" x14ac:dyDescent="0.25">
      <c r="A6026" t="s">
        <v>6030</v>
      </c>
      <c r="B6026">
        <v>0.99999676499088797</v>
      </c>
      <c r="C6026">
        <v>0.98683327101490903</v>
      </c>
      <c r="D6026">
        <v>1.0502775303224701</v>
      </c>
      <c r="E6026">
        <v>1.0984183271331001</v>
      </c>
      <c r="F6026">
        <v>0.78602476727973003</v>
      </c>
      <c r="G6026">
        <v>0.59692387639701205</v>
      </c>
      <c r="H6026">
        <v>0.28260910841562098</v>
      </c>
      <c r="I6026">
        <v>0.15569133054857401</v>
      </c>
      <c r="J6026">
        <v>0.127823241732826</v>
      </c>
      <c r="K6026">
        <v>9.9500132603927399E-2</v>
      </c>
      <c r="L6026">
        <v>1281.4094080544701</v>
      </c>
      <c r="M6026">
        <v>22.416889870410699</v>
      </c>
      <c r="N6026">
        <v>57.667323929268903</v>
      </c>
      <c r="O6026">
        <v>56.713625918213097</v>
      </c>
      <c r="P6026">
        <v>-9.0017066143467397E-2</v>
      </c>
      <c r="Q6026">
        <v>8.9064172153844004E-2</v>
      </c>
      <c r="R6026">
        <v>0.98418228614210801</v>
      </c>
      <c r="S6026" t="s">
        <v>13029</v>
      </c>
      <c r="T6026" t="s">
        <v>14004</v>
      </c>
      <c r="U6026" t="s">
        <v>14004</v>
      </c>
      <c r="V6026" t="s">
        <v>14004</v>
      </c>
      <c r="W6026" t="s">
        <v>19975</v>
      </c>
      <c r="X6026">
        <v>26</v>
      </c>
      <c r="Y6026" t="s">
        <v>26771</v>
      </c>
      <c r="Z6026" t="s">
        <v>33736</v>
      </c>
      <c r="AA6026">
        <v>0.61976162517755617</v>
      </c>
      <c r="AB6026" t="str">
        <f>HYPERLINK("Melting_Curves/meltCurve_Q9H845_ACAD9.pdf", "Melting_Curves/meltCurve_Q9H845_ACAD9.pdf")</f>
        <v>Melting_Curves/meltCurve_Q9H845_ACAD9.pdf</v>
      </c>
    </row>
    <row r="6027" spans="1:28" x14ac:dyDescent="0.25">
      <c r="A6027" t="s">
        <v>6031</v>
      </c>
      <c r="B6027">
        <v>0.99999676499088797</v>
      </c>
      <c r="C6027">
        <v>0.97755833150736604</v>
      </c>
      <c r="D6027">
        <v>0.97479259708409305</v>
      </c>
      <c r="E6027">
        <v>1.0256478130178599</v>
      </c>
      <c r="F6027">
        <v>0.90422970667723801</v>
      </c>
      <c r="G6027">
        <v>0.75261266370022395</v>
      </c>
      <c r="H6027">
        <v>0.282728834888687</v>
      </c>
      <c r="I6027">
        <v>0.13266817496288799</v>
      </c>
      <c r="J6027">
        <v>0.124233140184399</v>
      </c>
      <c r="K6027">
        <v>0.110806464879895</v>
      </c>
      <c r="L6027">
        <v>1879.9641397481801</v>
      </c>
      <c r="M6027">
        <v>32.236391269918499</v>
      </c>
      <c r="N6027">
        <v>58.724685002708803</v>
      </c>
      <c r="O6027">
        <v>58.095025043493301</v>
      </c>
      <c r="P6027">
        <v>-0.12484748809071</v>
      </c>
      <c r="Q6027">
        <v>0.100025527632841</v>
      </c>
      <c r="R6027">
        <v>0.99598510609899704</v>
      </c>
      <c r="S6027" t="s">
        <v>13030</v>
      </c>
      <c r="T6027" t="s">
        <v>14004</v>
      </c>
      <c r="U6027" t="s">
        <v>14004</v>
      </c>
      <c r="V6027" t="s">
        <v>14004</v>
      </c>
      <c r="W6027" t="s">
        <v>19976</v>
      </c>
      <c r="X6027">
        <v>14</v>
      </c>
      <c r="Y6027" t="s">
        <v>26772</v>
      </c>
      <c r="Z6027" t="s">
        <v>33737</v>
      </c>
      <c r="AA6027">
        <v>0.65477672051696023</v>
      </c>
      <c r="AB6027" t="str">
        <f>HYPERLINK("Melting_Curves/meltCurve_Q9H857_2_NT5DC2.pdf", "Melting_Curves/meltCurve_Q9H857_2_NT5DC2.pdf")</f>
        <v>Melting_Curves/meltCurve_Q9H857_2_NT5DC2.pdf</v>
      </c>
    </row>
    <row r="6028" spans="1:28" x14ac:dyDescent="0.25">
      <c r="A6028" t="s">
        <v>6032</v>
      </c>
      <c r="B6028">
        <v>0.99999676499088797</v>
      </c>
      <c r="C6028">
        <v>0.90627271965781497</v>
      </c>
      <c r="D6028">
        <v>0.93084269121538099</v>
      </c>
      <c r="E6028">
        <v>0.94877507721161902</v>
      </c>
      <c r="F6028">
        <v>0.40434302673118799</v>
      </c>
      <c r="G6028">
        <v>0.22852531470019</v>
      </c>
      <c r="H6028">
        <v>9.2768595875436594E-2</v>
      </c>
      <c r="I6028">
        <v>6.9335009239228806E-2</v>
      </c>
      <c r="J6028">
        <v>7.1482493762168406E-2</v>
      </c>
      <c r="K6028">
        <v>5.3294545674768698E-2</v>
      </c>
      <c r="L6028">
        <v>1778.0436904159801</v>
      </c>
      <c r="M6028">
        <v>33.828321542621303</v>
      </c>
      <c r="N6028">
        <v>52.8395775739763</v>
      </c>
      <c r="O6028">
        <v>52.378148999004203</v>
      </c>
      <c r="P6028">
        <v>-0.14826675028841499</v>
      </c>
      <c r="Q6028">
        <v>8.1727348712198306E-2</v>
      </c>
      <c r="R6028">
        <v>0.98445977909006899</v>
      </c>
      <c r="S6028" t="s">
        <v>13031</v>
      </c>
      <c r="T6028" t="s">
        <v>14004</v>
      </c>
      <c r="U6028" t="s">
        <v>14004</v>
      </c>
      <c r="V6028" t="s">
        <v>14004</v>
      </c>
      <c r="W6028" t="s">
        <v>19977</v>
      </c>
      <c r="X6028">
        <v>3</v>
      </c>
      <c r="Y6028" t="s">
        <v>26773</v>
      </c>
      <c r="Z6028" t="s">
        <v>33738</v>
      </c>
      <c r="AA6028">
        <v>0.47086521138309878</v>
      </c>
      <c r="AB6028" t="str">
        <f>HYPERLINK("Melting_Curves/meltCurve_Q9H867_2_METTL21D.pdf", "Melting_Curves/meltCurve_Q9H867_2_METTL21D.pdf")</f>
        <v>Melting_Curves/meltCurve_Q9H867_2_METTL21D.pdf</v>
      </c>
    </row>
    <row r="6029" spans="1:28" x14ac:dyDescent="0.25">
      <c r="A6029" t="s">
        <v>6033</v>
      </c>
      <c r="B6029">
        <v>0.99999676499088797</v>
      </c>
      <c r="C6029">
        <v>0.99881622705176298</v>
      </c>
      <c r="D6029">
        <v>1.06233263767908</v>
      </c>
      <c r="E6029">
        <v>0.69644048214240495</v>
      </c>
      <c r="F6029">
        <v>0.23715136108773299</v>
      </c>
      <c r="G6029">
        <v>0.14891127331700399</v>
      </c>
      <c r="H6029">
        <v>7.2409264259663195E-2</v>
      </c>
      <c r="I6029">
        <v>8.9281675334103999E-2</v>
      </c>
      <c r="J6029">
        <v>9.3001080966382502E-2</v>
      </c>
      <c r="K6029">
        <v>7.8483847755969005E-2</v>
      </c>
      <c r="L6029">
        <v>1845.6245447865001</v>
      </c>
      <c r="M6029">
        <v>36.4345933527838</v>
      </c>
      <c r="N6029">
        <v>50.943939781711101</v>
      </c>
      <c r="O6029">
        <v>50.503969050033</v>
      </c>
      <c r="P6029">
        <v>-0.16356363325578099</v>
      </c>
      <c r="Q6029">
        <v>9.3105247930905494E-2</v>
      </c>
      <c r="R6029">
        <v>0.99430214713678799</v>
      </c>
      <c r="S6029" t="s">
        <v>13032</v>
      </c>
      <c r="T6029" t="s">
        <v>14004</v>
      </c>
      <c r="U6029" t="s">
        <v>14004</v>
      </c>
      <c r="V6029" t="s">
        <v>14004</v>
      </c>
      <c r="W6029" t="s">
        <v>19978</v>
      </c>
      <c r="X6029">
        <v>5</v>
      </c>
      <c r="Y6029" t="s">
        <v>26774</v>
      </c>
      <c r="Z6029" t="s">
        <v>33739</v>
      </c>
      <c r="AA6029">
        <v>0.41906244993910108</v>
      </c>
      <c r="AB6029" t="str">
        <f>HYPERLINK("Melting_Curves/meltCurve_Q9H871_RMND5A.pdf", "Melting_Curves/meltCurve_Q9H871_RMND5A.pdf")</f>
        <v>Melting_Curves/meltCurve_Q9H871_RMND5A.pdf</v>
      </c>
    </row>
    <row r="6030" spans="1:28" x14ac:dyDescent="0.25">
      <c r="A6030" t="s">
        <v>6034</v>
      </c>
      <c r="B6030">
        <v>0.99999676499088797</v>
      </c>
      <c r="C6030">
        <v>0.97884212303792295</v>
      </c>
      <c r="D6030">
        <v>0.99129166224051402</v>
      </c>
      <c r="E6030">
        <v>0.80879947602600799</v>
      </c>
      <c r="F6030">
        <v>0.65543675231156695</v>
      </c>
      <c r="G6030">
        <v>0.71585319963842697</v>
      </c>
      <c r="H6030">
        <v>0.493296063915594</v>
      </c>
      <c r="I6030">
        <v>0.62877779361602604</v>
      </c>
      <c r="J6030">
        <v>0.63783001646715698</v>
      </c>
      <c r="K6030">
        <v>0.64743791251606797</v>
      </c>
      <c r="L6030">
        <v>1561.4170901745799</v>
      </c>
      <c r="M6030">
        <v>31.4247484062019</v>
      </c>
      <c r="O6030">
        <v>49.487582870620898</v>
      </c>
      <c r="P6030">
        <v>-6.01952842203562E-2</v>
      </c>
      <c r="Q6030">
        <v>0.62082077304079097</v>
      </c>
      <c r="R6030">
        <v>0.90980571917061503</v>
      </c>
      <c r="S6030" t="s">
        <v>13033</v>
      </c>
      <c r="T6030" t="s">
        <v>14004</v>
      </c>
      <c r="U6030" t="s">
        <v>14004</v>
      </c>
      <c r="V6030" t="s">
        <v>14004</v>
      </c>
      <c r="W6030" t="s">
        <v>19979</v>
      </c>
      <c r="X6030">
        <v>9</v>
      </c>
      <c r="Y6030" t="s">
        <v>26775</v>
      </c>
      <c r="Z6030" t="s">
        <v>33740</v>
      </c>
      <c r="AA6030">
        <v>0.74538779976215375</v>
      </c>
      <c r="AB6030" t="str">
        <f>HYPERLINK("Melting_Curves/meltCurve_Q9H875_PRKRIP1.pdf", "Melting_Curves/meltCurve_Q9H875_PRKRIP1.pdf")</f>
        <v>Melting_Curves/meltCurve_Q9H875_PRKRIP1.pdf</v>
      </c>
    </row>
    <row r="6031" spans="1:28" x14ac:dyDescent="0.25">
      <c r="A6031" t="s">
        <v>6035</v>
      </c>
      <c r="B6031">
        <v>0.99999676499088797</v>
      </c>
      <c r="C6031">
        <v>0.77463775942219903</v>
      </c>
      <c r="D6031">
        <v>0.66765314153191602</v>
      </c>
      <c r="E6031">
        <v>0.56438208510378096</v>
      </c>
      <c r="F6031">
        <v>0.59040573193536805</v>
      </c>
      <c r="G6031">
        <v>0.43885988654672498</v>
      </c>
      <c r="H6031">
        <v>0.30061779716168502</v>
      </c>
      <c r="I6031">
        <v>0.28791866921014198</v>
      </c>
      <c r="J6031">
        <v>0.28143184429985502</v>
      </c>
      <c r="K6031">
        <v>0.344852804856634</v>
      </c>
      <c r="L6031">
        <v>423.09211242896902</v>
      </c>
      <c r="M6031">
        <v>8.6664336465271798</v>
      </c>
      <c r="N6031">
        <v>52.803317708061002</v>
      </c>
      <c r="O6031">
        <v>46.429142875282501</v>
      </c>
      <c r="P6031">
        <v>-3.54961845275528E-2</v>
      </c>
      <c r="Q6031">
        <v>0.239974436577406</v>
      </c>
      <c r="R6031">
        <v>0.93412668169989299</v>
      </c>
      <c r="S6031" t="s">
        <v>13034</v>
      </c>
      <c r="T6031" t="s">
        <v>14004</v>
      </c>
      <c r="U6031" t="s">
        <v>14004</v>
      </c>
      <c r="V6031" t="s">
        <v>14004</v>
      </c>
      <c r="W6031" t="s">
        <v>19980</v>
      </c>
      <c r="X6031">
        <v>8</v>
      </c>
      <c r="Y6031" t="s">
        <v>26776</v>
      </c>
      <c r="Z6031" t="s">
        <v>33741</v>
      </c>
      <c r="AA6031">
        <v>0.50953447923663486</v>
      </c>
      <c r="AB6031" t="str">
        <f>HYPERLINK("Melting_Curves/meltCurve_Q9H8G2_CAAP1.pdf", "Melting_Curves/meltCurve_Q9H8G2_CAAP1.pdf")</f>
        <v>Melting_Curves/meltCurve_Q9H8G2_CAAP1.pdf</v>
      </c>
    </row>
    <row r="6032" spans="1:28" x14ac:dyDescent="0.25">
      <c r="A6032" t="s">
        <v>6036</v>
      </c>
      <c r="B6032">
        <v>0.99999676499088797</v>
      </c>
      <c r="C6032">
        <v>0.92905653133824995</v>
      </c>
      <c r="D6032">
        <v>1.03607246280326</v>
      </c>
      <c r="E6032">
        <v>1.3782172143698399</v>
      </c>
      <c r="F6032">
        <v>0.85191613881080397</v>
      </c>
      <c r="G6032">
        <v>0.31798024514760798</v>
      </c>
      <c r="H6032">
        <v>0.106762508347769</v>
      </c>
      <c r="I6032">
        <v>9.6888902496083396E-2</v>
      </c>
      <c r="J6032">
        <v>9.4582186661949993E-2</v>
      </c>
      <c r="K6032">
        <v>7.1072535948548093E-2</v>
      </c>
      <c r="L6032">
        <v>2575.7006231457899</v>
      </c>
      <c r="M6032">
        <v>46.498398035459402</v>
      </c>
      <c r="N6032">
        <v>55.629219677665603</v>
      </c>
      <c r="O6032">
        <v>55.2911544297964</v>
      </c>
      <c r="P6032">
        <v>-0.19143128335899101</v>
      </c>
      <c r="Q6032">
        <v>8.9478779472279293E-2</v>
      </c>
      <c r="R6032">
        <v>0.93121598645237602</v>
      </c>
      <c r="S6032" t="s">
        <v>13035</v>
      </c>
      <c r="T6032" t="s">
        <v>14004</v>
      </c>
      <c r="U6032" t="s">
        <v>14004</v>
      </c>
      <c r="V6032" t="s">
        <v>14004</v>
      </c>
      <c r="W6032" t="s">
        <v>19981</v>
      </c>
      <c r="X6032">
        <v>12</v>
      </c>
      <c r="Y6032" t="s">
        <v>26777</v>
      </c>
      <c r="Z6032" t="s">
        <v>33742</v>
      </c>
      <c r="AA6032">
        <v>0.55924793682214646</v>
      </c>
      <c r="AB6032" t="str">
        <f>HYPERLINK("Melting_Curves/meltCurve_Q9H8H0_NOL11.pdf", "Melting_Curves/meltCurve_Q9H8H0_NOL11.pdf")</f>
        <v>Melting_Curves/meltCurve_Q9H8H0_NOL11.pdf</v>
      </c>
    </row>
    <row r="6033" spans="1:28" x14ac:dyDescent="0.25">
      <c r="A6033" t="s">
        <v>6037</v>
      </c>
      <c r="B6033">
        <v>0.99999676499088797</v>
      </c>
      <c r="C6033">
        <v>0.821933483373402</v>
      </c>
      <c r="D6033">
        <v>0.36570864056652103</v>
      </c>
      <c r="E6033">
        <v>0.231929706827255</v>
      </c>
      <c r="F6033">
        <v>0.169000168606153</v>
      </c>
      <c r="G6033">
        <v>0.11329618857298999</v>
      </c>
      <c r="H6033">
        <v>6.9633709312963393E-2</v>
      </c>
      <c r="I6033">
        <v>7.4384515923343303E-2</v>
      </c>
      <c r="J6033">
        <v>0.10804072085956</v>
      </c>
      <c r="K6033">
        <v>8.3730380476940994E-2</v>
      </c>
      <c r="L6033">
        <v>1244.76134424632</v>
      </c>
      <c r="M6033">
        <v>27.750700610217699</v>
      </c>
      <c r="N6033">
        <v>45.248470114937298</v>
      </c>
      <c r="O6033">
        <v>44.624146207831302</v>
      </c>
      <c r="P6033">
        <v>-0.13880861524496799</v>
      </c>
      <c r="Q6033">
        <v>0.10717051663748001</v>
      </c>
      <c r="R6033">
        <v>0.98731833141092196</v>
      </c>
      <c r="S6033" t="s">
        <v>13036</v>
      </c>
      <c r="T6033" t="s">
        <v>14004</v>
      </c>
      <c r="U6033" t="s">
        <v>14004</v>
      </c>
      <c r="V6033" t="s">
        <v>14004</v>
      </c>
      <c r="W6033" t="s">
        <v>19982</v>
      </c>
      <c r="X6033">
        <v>2</v>
      </c>
      <c r="Y6033" t="s">
        <v>26778</v>
      </c>
      <c r="Z6033" t="s">
        <v>33743</v>
      </c>
      <c r="AA6033">
        <v>0.25868623364923748</v>
      </c>
      <c r="AB6033" t="str">
        <f>HYPERLINK("Melting_Curves/meltCurve_Q9H8M2_2_BRD9.pdf", "Melting_Curves/meltCurve_Q9H8M2_2_BRD9.pdf")</f>
        <v>Melting_Curves/meltCurve_Q9H8M2_2_BRD9.pdf</v>
      </c>
    </row>
    <row r="6034" spans="1:28" x14ac:dyDescent="0.25">
      <c r="A6034" t="s">
        <v>6038</v>
      </c>
      <c r="B6034">
        <v>0.99999676499088797</v>
      </c>
      <c r="C6034">
        <v>0.89454320764776896</v>
      </c>
      <c r="D6034">
        <v>0.96353776556201398</v>
      </c>
      <c r="E6034">
        <v>0.89152294889149297</v>
      </c>
      <c r="F6034">
        <v>0.60465509192060396</v>
      </c>
      <c r="G6034">
        <v>0.62489021058581096</v>
      </c>
      <c r="H6034">
        <v>0.42303108391017502</v>
      </c>
      <c r="I6034">
        <v>0.37555470499926602</v>
      </c>
      <c r="J6034">
        <v>0.432236294359085</v>
      </c>
      <c r="K6034">
        <v>0.54787972207979496</v>
      </c>
      <c r="L6034">
        <v>1056.37421058324</v>
      </c>
      <c r="M6034">
        <v>20.280372030783699</v>
      </c>
      <c r="N6034">
        <v>58.494379035625002</v>
      </c>
      <c r="O6034">
        <v>51.5899811017212</v>
      </c>
      <c r="P6034">
        <v>-5.44717893625127E-2</v>
      </c>
      <c r="Q6034">
        <v>0.44574744343348</v>
      </c>
      <c r="R6034">
        <v>0.91727684805333798</v>
      </c>
      <c r="S6034" t="s">
        <v>13037</v>
      </c>
      <c r="T6034" t="s">
        <v>14004</v>
      </c>
      <c r="U6034" t="s">
        <v>14004</v>
      </c>
      <c r="V6034" t="s">
        <v>14004</v>
      </c>
      <c r="W6034" t="s">
        <v>19983</v>
      </c>
      <c r="X6034">
        <v>2</v>
      </c>
      <c r="Y6034" t="s">
        <v>26779</v>
      </c>
      <c r="Z6034" t="s">
        <v>33744</v>
      </c>
      <c r="AA6034">
        <v>0.67656207524738243</v>
      </c>
      <c r="AB6034" t="str">
        <f>HYPERLINK("Melting_Curves/meltCurve_Q9H8M5_3_CNNM2.pdf", "Melting_Curves/meltCurve_Q9H8M5_3_CNNM2.pdf")</f>
        <v>Melting_Curves/meltCurve_Q9H8M5_3_CNNM2.pdf</v>
      </c>
    </row>
    <row r="6035" spans="1:28" x14ac:dyDescent="0.25">
      <c r="A6035" t="s">
        <v>6039</v>
      </c>
      <c r="B6035">
        <v>0.99999676499088797</v>
      </c>
      <c r="C6035">
        <v>0.99533152740111897</v>
      </c>
      <c r="D6035">
        <v>0.96034620041197705</v>
      </c>
      <c r="E6035">
        <v>1.02446015091356</v>
      </c>
      <c r="F6035">
        <v>0.54926759140498704</v>
      </c>
      <c r="G6035">
        <v>0.151413567342427</v>
      </c>
      <c r="H6035">
        <v>7.8832578638008202E-2</v>
      </c>
      <c r="I6035">
        <v>7.3588202328233696E-2</v>
      </c>
      <c r="J6035">
        <v>7.7971381938396103E-2</v>
      </c>
      <c r="K6035">
        <v>4.4802858530322703E-2</v>
      </c>
      <c r="L6035">
        <v>2544.90098376577</v>
      </c>
      <c r="M6035">
        <v>47.736093005223502</v>
      </c>
      <c r="N6035">
        <v>53.492062056892102</v>
      </c>
      <c r="O6035">
        <v>53.218581877938597</v>
      </c>
      <c r="P6035">
        <v>-0.20759203837096599</v>
      </c>
      <c r="Q6035">
        <v>7.4265174936026301E-2</v>
      </c>
      <c r="R6035">
        <v>0.99677962271920995</v>
      </c>
      <c r="S6035" t="s">
        <v>13038</v>
      </c>
      <c r="T6035" t="s">
        <v>14004</v>
      </c>
      <c r="U6035" t="s">
        <v>14004</v>
      </c>
      <c r="V6035" t="s">
        <v>14004</v>
      </c>
      <c r="W6035" t="s">
        <v>19984</v>
      </c>
      <c r="X6035">
        <v>2</v>
      </c>
      <c r="Y6035" t="s">
        <v>26780</v>
      </c>
      <c r="Z6035" t="s">
        <v>33745</v>
      </c>
      <c r="AA6035">
        <v>0.48742989501961309</v>
      </c>
      <c r="AB6035" t="str">
        <f>HYPERLINK("Melting_Curves/meltCurve_Q9H8M7_FAM188A.pdf", "Melting_Curves/meltCurve_Q9H8M7_FAM188A.pdf")</f>
        <v>Melting_Curves/meltCurve_Q9H8M7_FAM188A.pdf</v>
      </c>
    </row>
    <row r="6036" spans="1:28" x14ac:dyDescent="0.25">
      <c r="A6036" t="s">
        <v>6040</v>
      </c>
      <c r="B6036">
        <v>0.99999676499088797</v>
      </c>
      <c r="C6036">
        <v>1.0503656148642599</v>
      </c>
      <c r="D6036">
        <v>1.05376541438604</v>
      </c>
      <c r="E6036">
        <v>0.88032417557102105</v>
      </c>
      <c r="F6036">
        <v>0.183996707204404</v>
      </c>
      <c r="G6036">
        <v>0.159990047971307</v>
      </c>
      <c r="H6036">
        <v>3.9123731194949399E-2</v>
      </c>
      <c r="I6036">
        <v>3.7100623421701402E-2</v>
      </c>
      <c r="J6036">
        <v>3.6726305141660601E-2</v>
      </c>
      <c r="K6036">
        <v>3.65683495753188E-2</v>
      </c>
      <c r="L6036">
        <v>2718.5122836348601</v>
      </c>
      <c r="M6036">
        <v>52.9052108745175</v>
      </c>
      <c r="N6036">
        <v>51.507311546688499</v>
      </c>
      <c r="O6036">
        <v>51.311327905156602</v>
      </c>
      <c r="P6036">
        <v>-0.242501654406239</v>
      </c>
      <c r="Q6036">
        <v>5.9217599849348601E-2</v>
      </c>
      <c r="R6036">
        <v>0.99189102182872402</v>
      </c>
      <c r="S6036" t="s">
        <v>13039</v>
      </c>
      <c r="T6036" t="s">
        <v>14004</v>
      </c>
      <c r="U6036" t="s">
        <v>14004</v>
      </c>
      <c r="V6036" t="s">
        <v>14004</v>
      </c>
      <c r="W6036" t="s">
        <v>19985</v>
      </c>
      <c r="X6036">
        <v>2</v>
      </c>
      <c r="Y6036" t="s">
        <v>26781</v>
      </c>
      <c r="Z6036" t="s">
        <v>33746</v>
      </c>
      <c r="AA6036">
        <v>0.41813491964127342</v>
      </c>
      <c r="AB6036" t="str">
        <f>HYPERLINK("Melting_Curves/meltCurve_Q9H8P0_SRD5A3.pdf", "Melting_Curves/meltCurve_Q9H8P0_SRD5A3.pdf")</f>
        <v>Melting_Curves/meltCurve_Q9H8P0_SRD5A3.pdf</v>
      </c>
    </row>
    <row r="6037" spans="1:28" x14ac:dyDescent="0.25">
      <c r="A6037" t="s">
        <v>6041</v>
      </c>
      <c r="B6037">
        <v>0.99999676499088797</v>
      </c>
      <c r="C6037">
        <v>0.85613448487108001</v>
      </c>
      <c r="D6037">
        <v>0.95871953391370901</v>
      </c>
      <c r="E6037">
        <v>0.99188263866760995</v>
      </c>
      <c r="F6037">
        <v>0.76028399714793404</v>
      </c>
      <c r="G6037">
        <v>0.374025244414534</v>
      </c>
      <c r="H6037">
        <v>0.14586430132997699</v>
      </c>
      <c r="I6037">
        <v>9.1641161247747599E-2</v>
      </c>
      <c r="J6037">
        <v>7.67068445694018E-2</v>
      </c>
      <c r="K6037">
        <v>4.5385918849277999E-2</v>
      </c>
      <c r="L6037">
        <v>1493.0813471495601</v>
      </c>
      <c r="M6037">
        <v>26.9632022922682</v>
      </c>
      <c r="N6037">
        <v>55.641816352724902</v>
      </c>
      <c r="O6037">
        <v>55.072873254171</v>
      </c>
      <c r="P6037">
        <v>-0.114970660564406</v>
      </c>
      <c r="Q6037">
        <v>6.0689973593976099E-2</v>
      </c>
      <c r="R6037">
        <v>0.98514632097664201</v>
      </c>
      <c r="S6037" t="s">
        <v>13040</v>
      </c>
      <c r="T6037" t="s">
        <v>14004</v>
      </c>
      <c r="U6037" t="s">
        <v>14004</v>
      </c>
      <c r="V6037" t="s">
        <v>14004</v>
      </c>
      <c r="W6037" t="s">
        <v>19986</v>
      </c>
      <c r="X6037">
        <v>5</v>
      </c>
      <c r="Y6037" t="s">
        <v>26782</v>
      </c>
      <c r="Z6037" t="s">
        <v>33747</v>
      </c>
      <c r="AA6037">
        <v>0.54967498939324699</v>
      </c>
      <c r="AB6037" t="str">
        <f>HYPERLINK("Melting_Curves/meltCurve_Q9H8S9_MOB1A.pdf", "Melting_Curves/meltCurve_Q9H8S9_MOB1A.pdf")</f>
        <v>Melting_Curves/meltCurve_Q9H8S9_MOB1A.pdf</v>
      </c>
    </row>
    <row r="6038" spans="1:28" x14ac:dyDescent="0.25">
      <c r="A6038" t="s">
        <v>6042</v>
      </c>
      <c r="B6038">
        <v>0.99999676499088797</v>
      </c>
      <c r="C6038">
        <v>0.97941319894303203</v>
      </c>
      <c r="D6038">
        <v>1.0439436850839201</v>
      </c>
      <c r="E6038">
        <v>1.0158859232133499</v>
      </c>
      <c r="F6038">
        <v>0.86073674942994105</v>
      </c>
      <c r="G6038">
        <v>0.79834419899559605</v>
      </c>
      <c r="H6038">
        <v>0.44962145317330399</v>
      </c>
      <c r="I6038">
        <v>0.41763904930495599</v>
      </c>
      <c r="J6038">
        <v>0.40423595504982701</v>
      </c>
      <c r="K6038">
        <v>0.36947508348297398</v>
      </c>
      <c r="L6038">
        <v>1493.7983106147899</v>
      </c>
      <c r="M6038">
        <v>25.918194350252101</v>
      </c>
      <c r="N6038">
        <v>60.736744852778202</v>
      </c>
      <c r="O6038">
        <v>57.295297292013402</v>
      </c>
      <c r="P6038">
        <v>-7.1597775611341702E-2</v>
      </c>
      <c r="Q6038">
        <v>0.36690526942879997</v>
      </c>
      <c r="R6038">
        <v>0.98082948500608103</v>
      </c>
      <c r="S6038" t="s">
        <v>13041</v>
      </c>
      <c r="T6038" t="s">
        <v>14004</v>
      </c>
      <c r="U6038" t="s">
        <v>14004</v>
      </c>
      <c r="V6038" t="s">
        <v>14004</v>
      </c>
      <c r="W6038" t="s">
        <v>19987</v>
      </c>
      <c r="X6038">
        <v>6</v>
      </c>
      <c r="Y6038" t="s">
        <v>26783</v>
      </c>
      <c r="Z6038" t="s">
        <v>33748</v>
      </c>
      <c r="AA6038">
        <v>0.74436203389936706</v>
      </c>
      <c r="AB6038" t="str">
        <f>HYPERLINK("Melting_Curves/meltCurve_Q9H8U3_ZFAND3.pdf", "Melting_Curves/meltCurve_Q9H8U3_ZFAND3.pdf")</f>
        <v>Melting_Curves/meltCurve_Q9H8U3_ZFAND3.pdf</v>
      </c>
    </row>
    <row r="6039" spans="1:28" x14ac:dyDescent="0.25">
      <c r="A6039" t="s">
        <v>6043</v>
      </c>
      <c r="B6039">
        <v>0.99999676499088797</v>
      </c>
      <c r="C6039">
        <v>1.0833935341054</v>
      </c>
      <c r="D6039">
        <v>0.83891090047219197</v>
      </c>
      <c r="E6039">
        <v>0.474485973285174</v>
      </c>
      <c r="F6039">
        <v>0.27285151216889802</v>
      </c>
      <c r="G6039">
        <v>0.20270369267381899</v>
      </c>
      <c r="H6039">
        <v>0.12176491051928801</v>
      </c>
      <c r="I6039">
        <v>0.17608808820514399</v>
      </c>
      <c r="J6039">
        <v>0.143718525172749</v>
      </c>
      <c r="K6039">
        <v>0.16277454317604501</v>
      </c>
      <c r="L6039">
        <v>1293.14907794172</v>
      </c>
      <c r="M6039">
        <v>26.52090748889</v>
      </c>
      <c r="N6039">
        <v>49.478801853593502</v>
      </c>
      <c r="O6039">
        <v>48.484917793815598</v>
      </c>
      <c r="P6039">
        <v>-0.114877691069452</v>
      </c>
      <c r="Q6039">
        <v>0.15994192574284699</v>
      </c>
      <c r="R6039">
        <v>0.98823374844850598</v>
      </c>
      <c r="S6039" t="s">
        <v>13042</v>
      </c>
      <c r="T6039" t="s">
        <v>14004</v>
      </c>
      <c r="U6039" t="s">
        <v>14004</v>
      </c>
      <c r="V6039" t="s">
        <v>14004</v>
      </c>
      <c r="W6039" t="s">
        <v>19988</v>
      </c>
      <c r="X6039">
        <v>1</v>
      </c>
      <c r="Y6039" t="s">
        <v>26784</v>
      </c>
      <c r="Z6039" t="s">
        <v>33749</v>
      </c>
      <c r="AA6039">
        <v>0.41180541348621502</v>
      </c>
      <c r="AB6039" t="str">
        <f>HYPERLINK("Melting_Curves/meltCurve_Q9H8W3_FAM204A.pdf", "Melting_Curves/meltCurve_Q9H8W3_FAM204A.pdf")</f>
        <v>Melting_Curves/meltCurve_Q9H8W3_FAM204A.pdf</v>
      </c>
    </row>
    <row r="6040" spans="1:28" x14ac:dyDescent="0.25">
      <c r="A6040" t="s">
        <v>6044</v>
      </c>
      <c r="B6040">
        <v>0.99999676499088797</v>
      </c>
      <c r="C6040">
        <v>1.01557525560881</v>
      </c>
      <c r="D6040">
        <v>0.59688169139696601</v>
      </c>
      <c r="E6040">
        <v>0.60294010831977296</v>
      </c>
      <c r="F6040">
        <v>0.372603442639868</v>
      </c>
      <c r="G6040">
        <v>8.3074786967830799E-2</v>
      </c>
      <c r="H6040">
        <v>3.3442372460802297E-2</v>
      </c>
      <c r="I6040">
        <v>4.9731635171335699E-2</v>
      </c>
      <c r="J6040">
        <v>6.1531171781754601E-2</v>
      </c>
      <c r="K6040">
        <v>2.7079816301832399E-2</v>
      </c>
      <c r="L6040">
        <v>686.41523294122499</v>
      </c>
      <c r="M6040">
        <v>13.7286959710452</v>
      </c>
      <c r="N6040">
        <v>49.998574239158401</v>
      </c>
      <c r="O6040">
        <v>48.9735351630531</v>
      </c>
      <c r="P6040">
        <v>-7.0092228883108995E-2</v>
      </c>
      <c r="Q6040">
        <v>0</v>
      </c>
      <c r="R6040">
        <v>0.95675048529674001</v>
      </c>
      <c r="S6040" t="s">
        <v>13043</v>
      </c>
      <c r="T6040" t="s">
        <v>14004</v>
      </c>
      <c r="U6040" t="s">
        <v>14004</v>
      </c>
      <c r="V6040" t="s">
        <v>14004</v>
      </c>
      <c r="W6040" t="s">
        <v>19989</v>
      </c>
      <c r="X6040">
        <v>3</v>
      </c>
      <c r="Y6040" t="s">
        <v>26785</v>
      </c>
      <c r="Z6040" t="s">
        <v>33750</v>
      </c>
      <c r="AA6040">
        <v>0.36109003693846681</v>
      </c>
      <c r="AB6040" t="str">
        <f>HYPERLINK("Melting_Curves/meltCurve_Q9H8W4_PLEKHF2.pdf", "Melting_Curves/meltCurve_Q9H8W4_PLEKHF2.pdf")</f>
        <v>Melting_Curves/meltCurve_Q9H8W4_PLEKHF2.pdf</v>
      </c>
    </row>
    <row r="6041" spans="1:28" x14ac:dyDescent="0.25">
      <c r="A6041" t="s">
        <v>6045</v>
      </c>
      <c r="B6041">
        <v>0.99999676499088797</v>
      </c>
      <c r="C6041">
        <v>1.63932273819548</v>
      </c>
      <c r="D6041">
        <v>1.05866259929118</v>
      </c>
      <c r="E6041">
        <v>0.63144081743037594</v>
      </c>
      <c r="F6041">
        <v>0.42873804232828899</v>
      </c>
      <c r="G6041">
        <v>0.25481902490692898</v>
      </c>
      <c r="H6041">
        <v>6.2599334983710606E-2</v>
      </c>
      <c r="I6041">
        <v>0.143263686653258</v>
      </c>
      <c r="J6041">
        <v>0</v>
      </c>
      <c r="K6041">
        <v>0</v>
      </c>
      <c r="L6041">
        <v>1145.1247633422199</v>
      </c>
      <c r="M6041">
        <v>22.011571678619202</v>
      </c>
      <c r="N6041">
        <v>52.2724484081551</v>
      </c>
      <c r="O6041">
        <v>51.600081893094803</v>
      </c>
      <c r="P6041">
        <v>-0.101345791067995</v>
      </c>
      <c r="Q6041">
        <v>4.9711704958491303E-2</v>
      </c>
      <c r="R6041">
        <v>0.83064549428988799</v>
      </c>
      <c r="S6041" t="s">
        <v>13044</v>
      </c>
      <c r="T6041" t="s">
        <v>14004</v>
      </c>
      <c r="U6041" t="s">
        <v>14004</v>
      </c>
      <c r="V6041" t="s">
        <v>14004</v>
      </c>
      <c r="W6041" t="s">
        <v>19990</v>
      </c>
      <c r="X6041">
        <v>1</v>
      </c>
      <c r="Y6041" t="s">
        <v>26786</v>
      </c>
      <c r="Z6041" t="s">
        <v>33751</v>
      </c>
      <c r="AA6041">
        <v>0.44162001065260481</v>
      </c>
      <c r="AB6041" t="str">
        <f>HYPERLINK("Melting_Curves/meltCurve_Q9H8Y5_ANKZF1.pdf", "Melting_Curves/meltCurve_Q9H8Y5_ANKZF1.pdf")</f>
        <v>Melting_Curves/meltCurve_Q9H8Y5_ANKZF1.pdf</v>
      </c>
    </row>
    <row r="6042" spans="1:28" x14ac:dyDescent="0.25">
      <c r="A6042" t="s">
        <v>6046</v>
      </c>
      <c r="B6042">
        <v>0.99999676499088797</v>
      </c>
      <c r="C6042">
        <v>1.05337115208249</v>
      </c>
      <c r="D6042">
        <v>0.93244215854093304</v>
      </c>
      <c r="E6042">
        <v>0.50370796979753596</v>
      </c>
      <c r="F6042">
        <v>0.247106888047331</v>
      </c>
      <c r="G6042">
        <v>0.14898525978291799</v>
      </c>
      <c r="H6042">
        <v>0.12128844314966</v>
      </c>
      <c r="I6042">
        <v>0.17604463734398601</v>
      </c>
      <c r="J6042">
        <v>0.191227289521403</v>
      </c>
      <c r="K6042">
        <v>0.15567395596318701</v>
      </c>
      <c r="L6042">
        <v>1695.5499563788701</v>
      </c>
      <c r="M6042">
        <v>34.507037302635503</v>
      </c>
      <c r="N6042">
        <v>49.697562328203396</v>
      </c>
      <c r="O6042">
        <v>48.972209713666999</v>
      </c>
      <c r="P6042">
        <v>-0.14773134683099101</v>
      </c>
      <c r="Q6042">
        <v>0.16136487749018</v>
      </c>
      <c r="R6042">
        <v>0.994374632415022</v>
      </c>
      <c r="S6042" t="s">
        <v>13045</v>
      </c>
      <c r="T6042" t="s">
        <v>14004</v>
      </c>
      <c r="U6042" t="s">
        <v>14004</v>
      </c>
      <c r="V6042" t="s">
        <v>14004</v>
      </c>
      <c r="W6042" t="s">
        <v>19991</v>
      </c>
      <c r="X6042">
        <v>12</v>
      </c>
      <c r="Y6042" t="s">
        <v>26787</v>
      </c>
      <c r="Z6042" t="s">
        <v>33752</v>
      </c>
      <c r="AA6042">
        <v>0.42061389136518529</v>
      </c>
      <c r="AB6042" t="str">
        <f>HYPERLINK("Melting_Curves/meltCurve_Q9H8Y8_GORASP2.pdf", "Melting_Curves/meltCurve_Q9H8Y8_GORASP2.pdf")</f>
        <v>Melting_Curves/meltCurve_Q9H8Y8_GORASP2.pdf</v>
      </c>
    </row>
    <row r="6043" spans="1:28" x14ac:dyDescent="0.25">
      <c r="A6043" t="s">
        <v>6047</v>
      </c>
      <c r="B6043">
        <v>0.99999676499088797</v>
      </c>
      <c r="C6043">
        <v>1.0635122363751699</v>
      </c>
      <c r="D6043">
        <v>1.06305697702358</v>
      </c>
      <c r="E6043">
        <v>0.79134348839954505</v>
      </c>
      <c r="F6043">
        <v>0.54373440889297497</v>
      </c>
      <c r="G6043">
        <v>0.31498615437882599</v>
      </c>
      <c r="H6043">
        <v>0.133388100407446</v>
      </c>
      <c r="I6043">
        <v>0.186055994934505</v>
      </c>
      <c r="J6043">
        <v>0.126960505056055</v>
      </c>
      <c r="K6043">
        <v>8.1934360795558603E-2</v>
      </c>
      <c r="L6043">
        <v>1121.5499247038599</v>
      </c>
      <c r="M6043">
        <v>21.131915255421799</v>
      </c>
      <c r="N6043">
        <v>53.7198113700194</v>
      </c>
      <c r="O6043">
        <v>52.605321446850503</v>
      </c>
      <c r="P6043">
        <v>-8.9160169481718607E-2</v>
      </c>
      <c r="Q6043">
        <v>0.112209846385062</v>
      </c>
      <c r="R6043">
        <v>0.98591612442508203</v>
      </c>
      <c r="S6043" t="s">
        <v>13046</v>
      </c>
      <c r="T6043" t="s">
        <v>14004</v>
      </c>
      <c r="U6043" t="s">
        <v>14004</v>
      </c>
      <c r="V6043" t="s">
        <v>14004</v>
      </c>
      <c r="W6043" t="s">
        <v>19992</v>
      </c>
      <c r="X6043">
        <v>6</v>
      </c>
      <c r="Y6043" t="s">
        <v>26788</v>
      </c>
      <c r="Z6043" t="s">
        <v>33753</v>
      </c>
      <c r="AA6043">
        <v>0.51019819645665399</v>
      </c>
      <c r="AB6043" t="str">
        <f>HYPERLINK("Melting_Curves/meltCurve_Q9H900_ZWILCH.pdf", "Melting_Curves/meltCurve_Q9H900_ZWILCH.pdf")</f>
        <v>Melting_Curves/meltCurve_Q9H900_ZWILCH.pdf</v>
      </c>
    </row>
    <row r="6044" spans="1:28" x14ac:dyDescent="0.25">
      <c r="A6044" t="s">
        <v>6048</v>
      </c>
      <c r="B6044">
        <v>0.99999676499088797</v>
      </c>
      <c r="C6044">
        <v>0.87845054493378105</v>
      </c>
      <c r="D6044">
        <v>0.83542708675943</v>
      </c>
      <c r="E6044">
        <v>0.81241408123759395</v>
      </c>
      <c r="F6044">
        <v>0.646271180405252</v>
      </c>
      <c r="G6044">
        <v>0.446422306671035</v>
      </c>
      <c r="H6044">
        <v>0.1916176505253</v>
      </c>
      <c r="I6044">
        <v>0.12745787619024401</v>
      </c>
      <c r="J6044">
        <v>0.113832672109377</v>
      </c>
      <c r="K6044">
        <v>9.6752327766325003E-2</v>
      </c>
      <c r="L6044">
        <v>644.99847998242797</v>
      </c>
      <c r="M6044">
        <v>11.7066118851758</v>
      </c>
      <c r="N6044">
        <v>55.096938912691201</v>
      </c>
      <c r="O6044">
        <v>53.562889227047101</v>
      </c>
      <c r="P6044">
        <v>-5.4654063291359502E-2</v>
      </c>
      <c r="Q6044">
        <v>0</v>
      </c>
      <c r="R6044">
        <v>0.98105038851786597</v>
      </c>
      <c r="S6044" t="s">
        <v>13047</v>
      </c>
      <c r="T6044" t="s">
        <v>14004</v>
      </c>
      <c r="U6044" t="s">
        <v>14004</v>
      </c>
      <c r="V6044" t="s">
        <v>14004</v>
      </c>
      <c r="W6044" t="s">
        <v>19993</v>
      </c>
      <c r="X6044">
        <v>4</v>
      </c>
      <c r="Y6044" t="s">
        <v>26789</v>
      </c>
      <c r="Z6044" t="s">
        <v>33754</v>
      </c>
      <c r="AA6044">
        <v>0.52677604360660646</v>
      </c>
      <c r="AB6044" t="str">
        <f>HYPERLINK("Melting_Curves/meltCurve_Q9H903_1_MTHFD2L.pdf", "Melting_Curves/meltCurve_Q9H903_1_MTHFD2L.pdf")</f>
        <v>Melting_Curves/meltCurve_Q9H903_1_MTHFD2L.pdf</v>
      </c>
    </row>
    <row r="6045" spans="1:28" x14ac:dyDescent="0.25">
      <c r="A6045" t="s">
        <v>6049</v>
      </c>
      <c r="B6045">
        <v>0.99999676499088797</v>
      </c>
      <c r="C6045">
        <v>1.0367176102543001</v>
      </c>
      <c r="D6045">
        <v>1.0241521321260001</v>
      </c>
      <c r="E6045">
        <v>0.85285325231074505</v>
      </c>
      <c r="F6045">
        <v>0.67340993092096002</v>
      </c>
      <c r="G6045">
        <v>0.59407729677185594</v>
      </c>
      <c r="H6045">
        <v>0.38366398323770501</v>
      </c>
      <c r="I6045">
        <v>0.496013890819054</v>
      </c>
      <c r="J6045">
        <v>0.508041647609213</v>
      </c>
      <c r="K6045">
        <v>0.46597192897520601</v>
      </c>
      <c r="L6045">
        <v>1200.55993835142</v>
      </c>
      <c r="M6045">
        <v>22.989398909108601</v>
      </c>
      <c r="N6045">
        <v>59.184751609872997</v>
      </c>
      <c r="O6045">
        <v>51.832017629097798</v>
      </c>
      <c r="P6045">
        <v>-5.9152710623052399E-2</v>
      </c>
      <c r="Q6045">
        <v>0.46654613084061197</v>
      </c>
      <c r="R6045">
        <v>0.96522168602022096</v>
      </c>
      <c r="S6045" t="s">
        <v>13048</v>
      </c>
      <c r="T6045" t="s">
        <v>14004</v>
      </c>
      <c r="U6045" t="s">
        <v>14004</v>
      </c>
      <c r="V6045" t="s">
        <v>14004</v>
      </c>
      <c r="W6045" t="s">
        <v>19994</v>
      </c>
      <c r="X6045">
        <v>20</v>
      </c>
      <c r="Y6045" t="s">
        <v>20982</v>
      </c>
      <c r="Z6045" t="s">
        <v>33755</v>
      </c>
      <c r="AA6045">
        <v>0.68960092229411785</v>
      </c>
      <c r="AB6045" t="str">
        <f>HYPERLINK("Melting_Curves/meltCurve_Q9H910_2_HN1L.pdf", "Melting_Curves/meltCurve_Q9H910_2_HN1L.pdf")</f>
        <v>Melting_Curves/meltCurve_Q9H910_2_HN1L.pdf</v>
      </c>
    </row>
    <row r="6046" spans="1:28" x14ac:dyDescent="0.25">
      <c r="A6046" t="s">
        <v>6050</v>
      </c>
      <c r="B6046">
        <v>0.99999676499088797</v>
      </c>
      <c r="C6046">
        <v>1.02337671542213</v>
      </c>
      <c r="D6046">
        <v>1.0647499011841299</v>
      </c>
      <c r="E6046">
        <v>1.16076884220911</v>
      </c>
      <c r="F6046">
        <v>0.96973937970806701</v>
      </c>
      <c r="G6046">
        <v>0.92617698604436804</v>
      </c>
      <c r="H6046">
        <v>0.54691799485593495</v>
      </c>
      <c r="I6046">
        <v>0.312256366210306</v>
      </c>
      <c r="J6046">
        <v>0.16000209761227799</v>
      </c>
      <c r="K6046">
        <v>0.115218910993221</v>
      </c>
      <c r="L6046">
        <v>1756.66326150088</v>
      </c>
      <c r="M6046">
        <v>28.806242810152899</v>
      </c>
      <c r="N6046">
        <v>61.4727031414035</v>
      </c>
      <c r="O6046">
        <v>60.690413551238798</v>
      </c>
      <c r="P6046">
        <v>-0.10647414143329099</v>
      </c>
      <c r="Q6046">
        <v>0.102706979054312</v>
      </c>
      <c r="R6046">
        <v>0.97737505321534501</v>
      </c>
      <c r="S6046" t="s">
        <v>13049</v>
      </c>
      <c r="T6046" t="s">
        <v>14004</v>
      </c>
      <c r="U6046" t="s">
        <v>14004</v>
      </c>
      <c r="V6046" t="s">
        <v>14004</v>
      </c>
      <c r="W6046" t="s">
        <v>19995</v>
      </c>
      <c r="X6046">
        <v>9</v>
      </c>
      <c r="Y6046" t="s">
        <v>26790</v>
      </c>
      <c r="Z6046" t="s">
        <v>33756</v>
      </c>
      <c r="AA6046">
        <v>0.73543102619052669</v>
      </c>
      <c r="AB6046" t="str">
        <f>HYPERLINK("Melting_Curves/meltCurve_Q9H936_SLC25A22.pdf", "Melting_Curves/meltCurve_Q9H936_SLC25A22.pdf")</f>
        <v>Melting_Curves/meltCurve_Q9H936_SLC25A22.pdf</v>
      </c>
    </row>
    <row r="6047" spans="1:28" x14ac:dyDescent="0.25">
      <c r="A6047" t="s">
        <v>6051</v>
      </c>
      <c r="B6047">
        <v>0.99999676499088797</v>
      </c>
      <c r="C6047">
        <v>0.92647634915736998</v>
      </c>
      <c r="D6047">
        <v>0.88706757798910496</v>
      </c>
      <c r="E6047">
        <v>0.79546278168931095</v>
      </c>
      <c r="F6047">
        <v>0.58762955857649801</v>
      </c>
      <c r="G6047">
        <v>0.37401324872316699</v>
      </c>
      <c r="H6047">
        <v>0.13828242617443801</v>
      </c>
      <c r="I6047">
        <v>9.8357727307829906E-2</v>
      </c>
      <c r="J6047">
        <v>8.3364810916367493E-2</v>
      </c>
      <c r="K6047">
        <v>8.5436603208768003E-2</v>
      </c>
      <c r="L6047">
        <v>751.99872467317198</v>
      </c>
      <c r="M6047">
        <v>13.8818449733068</v>
      </c>
      <c r="N6047">
        <v>54.266353587974102</v>
      </c>
      <c r="O6047">
        <v>53.084356775692697</v>
      </c>
      <c r="P6047">
        <v>-6.4600605312205406E-2</v>
      </c>
      <c r="Q6047">
        <v>1.20009037093193E-2</v>
      </c>
      <c r="R6047">
        <v>0.99341522509358604</v>
      </c>
      <c r="S6047" t="s">
        <v>13050</v>
      </c>
      <c r="T6047" t="s">
        <v>14004</v>
      </c>
      <c r="U6047" t="s">
        <v>14004</v>
      </c>
      <c r="V6047" t="s">
        <v>14004</v>
      </c>
      <c r="W6047" t="s">
        <v>19996</v>
      </c>
      <c r="X6047">
        <v>7</v>
      </c>
      <c r="Y6047" t="s">
        <v>26791</v>
      </c>
      <c r="Z6047" t="s">
        <v>33757</v>
      </c>
      <c r="AA6047">
        <v>0.50067187366326293</v>
      </c>
      <c r="AB6047" t="str">
        <f>HYPERLINK("Melting_Curves/meltCurve_Q9H944_MED20.pdf", "Melting_Curves/meltCurve_Q9H944_MED20.pdf")</f>
        <v>Melting_Curves/meltCurve_Q9H944_MED20.pdf</v>
      </c>
    </row>
    <row r="6048" spans="1:28" x14ac:dyDescent="0.25">
      <c r="A6048" t="s">
        <v>6052</v>
      </c>
      <c r="B6048">
        <v>0.99999676499088797</v>
      </c>
      <c r="C6048">
        <v>1.0045327436473801</v>
      </c>
      <c r="D6048">
        <v>0.96078939980279399</v>
      </c>
      <c r="E6048">
        <v>0.94894634678396605</v>
      </c>
      <c r="F6048">
        <v>0.69976963170303896</v>
      </c>
      <c r="G6048">
        <v>0.29031867689762197</v>
      </c>
      <c r="H6048">
        <v>0.10033935880969901</v>
      </c>
      <c r="I6048">
        <v>9.7451263396882204E-2</v>
      </c>
      <c r="J6048">
        <v>9.3123859021126507E-2</v>
      </c>
      <c r="K6048">
        <v>7.4797256330815104E-2</v>
      </c>
      <c r="L6048">
        <v>1629.0995411691999</v>
      </c>
      <c r="M6048">
        <v>29.906383852866298</v>
      </c>
      <c r="N6048">
        <v>54.786468386088998</v>
      </c>
      <c r="O6048">
        <v>54.231483949435997</v>
      </c>
      <c r="P6048">
        <v>-0.12703371428985799</v>
      </c>
      <c r="Q6048">
        <v>7.8567132507609994E-2</v>
      </c>
      <c r="R6048">
        <v>0.99889194970002204</v>
      </c>
      <c r="S6048" t="s">
        <v>13051</v>
      </c>
      <c r="T6048" t="s">
        <v>14004</v>
      </c>
      <c r="U6048" t="s">
        <v>14004</v>
      </c>
      <c r="V6048" t="s">
        <v>14004</v>
      </c>
      <c r="W6048" t="s">
        <v>19997</v>
      </c>
      <c r="X6048">
        <v>15</v>
      </c>
      <c r="Y6048" t="s">
        <v>26792</v>
      </c>
      <c r="Z6048" t="s">
        <v>33758</v>
      </c>
      <c r="AA6048">
        <v>0.52922634516561595</v>
      </c>
      <c r="AB6048" t="str">
        <f>HYPERLINK("Melting_Curves/meltCurve_Q9H974_QTRTD1.pdf", "Melting_Curves/meltCurve_Q9H974_QTRTD1.pdf")</f>
        <v>Melting_Curves/meltCurve_Q9H974_QTRTD1.pdf</v>
      </c>
    </row>
    <row r="6049" spans="1:28" x14ac:dyDescent="0.25">
      <c r="A6049" t="s">
        <v>6053</v>
      </c>
      <c r="B6049">
        <v>0.99999676499088797</v>
      </c>
      <c r="C6049">
        <v>1.04795405550301</v>
      </c>
      <c r="D6049">
        <v>0.99706156476754004</v>
      </c>
      <c r="E6049">
        <v>0.92698283655729596</v>
      </c>
      <c r="F6049">
        <v>0.495299943689952</v>
      </c>
      <c r="G6049">
        <v>0.231732564505614</v>
      </c>
      <c r="H6049">
        <v>9.6195902333475997E-2</v>
      </c>
      <c r="I6049">
        <v>6.7722192082218996E-2</v>
      </c>
      <c r="J6049">
        <v>7.8938541338927096E-2</v>
      </c>
      <c r="K6049">
        <v>7.9852437532481405E-2</v>
      </c>
      <c r="L6049">
        <v>1574.23835991583</v>
      </c>
      <c r="M6049">
        <v>29.661576610910402</v>
      </c>
      <c r="N6049">
        <v>53.382520649026098</v>
      </c>
      <c r="O6049">
        <v>52.833844959377899</v>
      </c>
      <c r="P6049">
        <v>-0.12927618526797599</v>
      </c>
      <c r="Q6049">
        <v>7.89281895919208E-2</v>
      </c>
      <c r="R6049">
        <v>0.99669706427266302</v>
      </c>
      <c r="S6049" t="s">
        <v>13052</v>
      </c>
      <c r="T6049" t="s">
        <v>14004</v>
      </c>
      <c r="U6049" t="s">
        <v>14004</v>
      </c>
      <c r="V6049" t="s">
        <v>14004</v>
      </c>
      <c r="W6049" t="s">
        <v>19998</v>
      </c>
      <c r="X6049">
        <v>10</v>
      </c>
      <c r="Y6049" t="s">
        <v>26793</v>
      </c>
      <c r="Z6049" t="s">
        <v>33759</v>
      </c>
      <c r="AA6049">
        <v>0.48642378313881618</v>
      </c>
      <c r="AB6049" t="str">
        <f>HYPERLINK("Melting_Curves/meltCurve_Q9H977_WDR54.pdf", "Melting_Curves/meltCurve_Q9H977_WDR54.pdf")</f>
        <v>Melting_Curves/meltCurve_Q9H977_WDR54.pdf</v>
      </c>
    </row>
    <row r="6050" spans="1:28" x14ac:dyDescent="0.25">
      <c r="A6050" t="s">
        <v>6054</v>
      </c>
      <c r="B6050">
        <v>0.99999676499088797</v>
      </c>
      <c r="C6050">
        <v>0.80771027391994699</v>
      </c>
      <c r="D6050">
        <v>0.28348504543964598</v>
      </c>
      <c r="E6050">
        <v>0.265251745212087</v>
      </c>
      <c r="F6050">
        <v>0.204080184625759</v>
      </c>
      <c r="G6050">
        <v>0.13821461900000101</v>
      </c>
      <c r="H6050">
        <v>7.5924860913324899E-2</v>
      </c>
      <c r="I6050">
        <v>9.7335622143530295E-2</v>
      </c>
      <c r="J6050">
        <v>0.12767195823814001</v>
      </c>
      <c r="K6050">
        <v>7.0836965304528696E-2</v>
      </c>
      <c r="L6050">
        <v>1622.5065194372301</v>
      </c>
      <c r="M6050">
        <v>36.6330211510951</v>
      </c>
      <c r="N6050">
        <v>44.6716557363387</v>
      </c>
      <c r="O6050">
        <v>44.159455926253202</v>
      </c>
      <c r="P6050">
        <v>-0.179575705971738</v>
      </c>
      <c r="Q6050">
        <v>0.134120886826887</v>
      </c>
      <c r="R6050">
        <v>0.97114275443550002</v>
      </c>
      <c r="S6050" t="s">
        <v>13053</v>
      </c>
      <c r="T6050" t="s">
        <v>14004</v>
      </c>
      <c r="U6050" t="s">
        <v>14004</v>
      </c>
      <c r="V6050" t="s">
        <v>14004</v>
      </c>
      <c r="W6050" t="s">
        <v>19999</v>
      </c>
      <c r="X6050">
        <v>1</v>
      </c>
      <c r="Y6050" t="s">
        <v>26794</v>
      </c>
      <c r="Z6050" t="s">
        <v>33760</v>
      </c>
      <c r="AA6050">
        <v>0.26166033570560598</v>
      </c>
      <c r="AB6050" t="str">
        <f>HYPERLINK("Melting_Curves/meltCurve_Q9H981_ACTR8.pdf", "Melting_Curves/meltCurve_Q9H981_ACTR8.pdf")</f>
        <v>Melting_Curves/meltCurve_Q9H981_ACTR8.pdf</v>
      </c>
    </row>
    <row r="6051" spans="1:28" x14ac:dyDescent="0.25">
      <c r="A6051" t="s">
        <v>6055</v>
      </c>
      <c r="B6051">
        <v>0.99999676499088797</v>
      </c>
      <c r="C6051">
        <v>0.96492486224319096</v>
      </c>
      <c r="D6051">
        <v>0.74478616224669103</v>
      </c>
      <c r="E6051">
        <v>0.37728640970810101</v>
      </c>
      <c r="F6051">
        <v>0.301744357114135</v>
      </c>
      <c r="G6051">
        <v>0.23298481401175</v>
      </c>
      <c r="H6051">
        <v>0.11751260703054001</v>
      </c>
      <c r="I6051">
        <v>0.108759073047309</v>
      </c>
      <c r="J6051">
        <v>9.3821658884887596E-2</v>
      </c>
      <c r="K6051">
        <v>9.1056691229464595E-2</v>
      </c>
      <c r="L6051">
        <v>887.43283361258398</v>
      </c>
      <c r="M6051">
        <v>18.410746917784699</v>
      </c>
      <c r="N6051">
        <v>48.881373876209501</v>
      </c>
      <c r="O6051">
        <v>47.644003932013199</v>
      </c>
      <c r="P6051">
        <v>-8.5703228398556097E-2</v>
      </c>
      <c r="Q6051">
        <v>0.112896253957613</v>
      </c>
      <c r="R6051">
        <v>0.986173316878179</v>
      </c>
      <c r="S6051" t="s">
        <v>13054</v>
      </c>
      <c r="T6051" t="s">
        <v>14004</v>
      </c>
      <c r="U6051" t="s">
        <v>14004</v>
      </c>
      <c r="V6051" t="s">
        <v>14004</v>
      </c>
      <c r="W6051" t="s">
        <v>20000</v>
      </c>
      <c r="X6051">
        <v>9</v>
      </c>
      <c r="Y6051" t="s">
        <v>26795</v>
      </c>
      <c r="Z6051" t="s">
        <v>33761</v>
      </c>
      <c r="AA6051">
        <v>0.37035974933355831</v>
      </c>
      <c r="AB6051" t="str">
        <f>HYPERLINK("Melting_Curves/meltCurve_Q9H993_C6orf211.pdf", "Melting_Curves/meltCurve_Q9H993_C6orf211.pdf")</f>
        <v>Melting_Curves/meltCurve_Q9H993_C6orf211.pdf</v>
      </c>
    </row>
    <row r="6052" spans="1:28" x14ac:dyDescent="0.25">
      <c r="A6052" t="s">
        <v>6056</v>
      </c>
      <c r="B6052">
        <v>0.99999676499088797</v>
      </c>
      <c r="C6052">
        <v>0.89797746810187196</v>
      </c>
      <c r="D6052">
        <v>0.87815971646622604</v>
      </c>
      <c r="E6052">
        <v>1.3187947660077901</v>
      </c>
      <c r="F6052">
        <v>1.27014546407586</v>
      </c>
      <c r="G6052">
        <v>0.47766075423090099</v>
      </c>
      <c r="H6052">
        <v>9.9034770476425393E-2</v>
      </c>
      <c r="I6052">
        <v>0</v>
      </c>
      <c r="J6052">
        <v>4.81778243366301E-2</v>
      </c>
      <c r="K6052">
        <v>2.4663284235250799E-2</v>
      </c>
      <c r="L6052">
        <v>14189.5669957154</v>
      </c>
      <c r="M6052">
        <v>250</v>
      </c>
      <c r="N6052">
        <v>56.7786782989903</v>
      </c>
      <c r="O6052">
        <v>56.754635851490001</v>
      </c>
      <c r="P6052">
        <v>-1.05391286896354</v>
      </c>
      <c r="Q6052">
        <v>4.2968943925517103E-2</v>
      </c>
      <c r="R6052">
        <v>0.91962950261001897</v>
      </c>
      <c r="S6052" t="s">
        <v>13055</v>
      </c>
      <c r="T6052" t="s">
        <v>14004</v>
      </c>
      <c r="U6052" t="s">
        <v>14004</v>
      </c>
      <c r="V6052" t="s">
        <v>14004</v>
      </c>
      <c r="W6052" t="s">
        <v>20001</v>
      </c>
      <c r="X6052">
        <v>5</v>
      </c>
      <c r="Y6052" t="s">
        <v>26796</v>
      </c>
      <c r="Z6052" t="s">
        <v>33762</v>
      </c>
      <c r="AA6052">
        <v>0.57767037052516379</v>
      </c>
      <c r="AB6052" t="str">
        <f>HYPERLINK("Melting_Curves/meltCurve_Q9H999_PANK3.pdf", "Melting_Curves/meltCurve_Q9H999_PANK3.pdf")</f>
        <v>Melting_Curves/meltCurve_Q9H999_PANK3.pdf</v>
      </c>
    </row>
    <row r="6053" spans="1:28" x14ac:dyDescent="0.25">
      <c r="A6053" t="s">
        <v>6057</v>
      </c>
      <c r="B6053">
        <v>0.99999676499088797</v>
      </c>
      <c r="C6053">
        <v>0.96029283736483895</v>
      </c>
      <c r="D6053">
        <v>0.89831057754224297</v>
      </c>
      <c r="E6053">
        <v>0.46506183713122201</v>
      </c>
      <c r="F6053">
        <v>0.151594386858421</v>
      </c>
      <c r="G6053">
        <v>8.88985939467965E-2</v>
      </c>
      <c r="H6053">
        <v>4.5504332616197102E-2</v>
      </c>
      <c r="I6053">
        <v>4.8179222683445801E-2</v>
      </c>
      <c r="J6053">
        <v>4.1111459356380602E-2</v>
      </c>
      <c r="K6053">
        <v>2.58180911313695E-2</v>
      </c>
      <c r="L6053">
        <v>1374.5308240356701</v>
      </c>
      <c r="M6053">
        <v>27.9162359874964</v>
      </c>
      <c r="N6053">
        <v>49.399033343132103</v>
      </c>
      <c r="O6053">
        <v>48.987119802735599</v>
      </c>
      <c r="P6053">
        <v>-0.13626066738150799</v>
      </c>
      <c r="Q6053">
        <v>4.35734320712583E-2</v>
      </c>
      <c r="R6053">
        <v>0.99888101998481105</v>
      </c>
      <c r="S6053" t="s">
        <v>13056</v>
      </c>
      <c r="T6053" t="s">
        <v>14004</v>
      </c>
      <c r="U6053" t="s">
        <v>14004</v>
      </c>
      <c r="V6053" t="s">
        <v>14004</v>
      </c>
      <c r="W6053" t="s">
        <v>20002</v>
      </c>
      <c r="X6053">
        <v>10</v>
      </c>
      <c r="Y6053" t="s">
        <v>26797</v>
      </c>
      <c r="Z6053" t="s">
        <v>33763</v>
      </c>
      <c r="AA6053">
        <v>0.34485152870188179</v>
      </c>
      <c r="AB6053" t="str">
        <f>HYPERLINK("Melting_Curves/meltCurve_Q9H9A5_2_CNOT10.pdf", "Melting_Curves/meltCurve_Q9H9A5_2_CNOT10.pdf")</f>
        <v>Melting_Curves/meltCurve_Q9H9A5_2_CNOT10.pdf</v>
      </c>
    </row>
    <row r="6054" spans="1:28" x14ac:dyDescent="0.25">
      <c r="A6054" t="s">
        <v>6058</v>
      </c>
      <c r="B6054">
        <v>0.99999676499088797</v>
      </c>
      <c r="C6054">
        <v>0.92171972439540295</v>
      </c>
      <c r="D6054">
        <v>0.79514913013433697</v>
      </c>
      <c r="E6054">
        <v>0.31747171804342</v>
      </c>
      <c r="F6054">
        <v>0.20207964230223499</v>
      </c>
      <c r="G6054">
        <v>0.135694745344176</v>
      </c>
      <c r="H6054">
        <v>6.8841846315520497E-2</v>
      </c>
      <c r="I6054">
        <v>6.7416811341851901E-2</v>
      </c>
      <c r="J6054">
        <v>6.55223617261559E-2</v>
      </c>
      <c r="K6054">
        <v>5.0709574195224399E-2</v>
      </c>
      <c r="L6054">
        <v>1158.1076298672599</v>
      </c>
      <c r="M6054">
        <v>24.1351610061838</v>
      </c>
      <c r="N6054">
        <v>48.310390417254602</v>
      </c>
      <c r="O6054">
        <v>47.658470219673902</v>
      </c>
      <c r="P6054">
        <v>-0.117088298794398</v>
      </c>
      <c r="Q6054">
        <v>7.5181140161521207E-2</v>
      </c>
      <c r="R6054">
        <v>0.99317082268354195</v>
      </c>
      <c r="S6054" t="s">
        <v>13057</v>
      </c>
      <c r="T6054" t="s">
        <v>14004</v>
      </c>
      <c r="U6054" t="s">
        <v>14004</v>
      </c>
      <c r="V6054" t="s">
        <v>14004</v>
      </c>
      <c r="W6054" t="s">
        <v>20003</v>
      </c>
      <c r="X6054">
        <v>26</v>
      </c>
      <c r="Y6054" t="s">
        <v>26798</v>
      </c>
      <c r="Z6054" t="s">
        <v>33764</v>
      </c>
      <c r="AA6054">
        <v>0.3301240510695756</v>
      </c>
      <c r="AB6054" t="str">
        <f>HYPERLINK("Melting_Curves/meltCurve_Q9H9A6_LRRC40.pdf", "Melting_Curves/meltCurve_Q9H9A6_LRRC40.pdf")</f>
        <v>Melting_Curves/meltCurve_Q9H9A6_LRRC40.pdf</v>
      </c>
    </row>
    <row r="6055" spans="1:28" x14ac:dyDescent="0.25">
      <c r="A6055" t="s">
        <v>6059</v>
      </c>
      <c r="B6055">
        <v>0.99999676499088797</v>
      </c>
      <c r="C6055">
        <v>0.64190858734651401</v>
      </c>
      <c r="D6055">
        <v>0.34737576214750099</v>
      </c>
      <c r="E6055">
        <v>0.24967838324962199</v>
      </c>
      <c r="F6055">
        <v>0.181806262364579</v>
      </c>
      <c r="G6055">
        <v>0.162535316829758</v>
      </c>
      <c r="H6055">
        <v>8.8146518435108998E-2</v>
      </c>
      <c r="I6055">
        <v>0.15214279364701599</v>
      </c>
      <c r="J6055">
        <v>0.15228284097700301</v>
      </c>
      <c r="K6055">
        <v>8.4953089349112804E-2</v>
      </c>
      <c r="L6055">
        <v>1055.8118683208199</v>
      </c>
      <c r="M6055">
        <v>24.082708197512702</v>
      </c>
      <c r="N6055">
        <v>44.455035867767798</v>
      </c>
      <c r="O6055">
        <v>43.542132250701897</v>
      </c>
      <c r="P6055">
        <v>-0.118712350483533</v>
      </c>
      <c r="Q6055">
        <v>0.141473710812243</v>
      </c>
      <c r="R6055">
        <v>0.97624782227350104</v>
      </c>
      <c r="S6055" t="s">
        <v>13058</v>
      </c>
      <c r="T6055" t="s">
        <v>14004</v>
      </c>
      <c r="U6055" t="s">
        <v>14004</v>
      </c>
      <c r="V6055" t="s">
        <v>14004</v>
      </c>
      <c r="W6055" t="s">
        <v>20004</v>
      </c>
      <c r="X6055">
        <v>1</v>
      </c>
      <c r="Y6055" t="s">
        <v>26799</v>
      </c>
      <c r="Z6055" t="s">
        <v>33765</v>
      </c>
      <c r="AA6055">
        <v>0.26248154935827211</v>
      </c>
      <c r="AB6055" t="str">
        <f>HYPERLINK("Melting_Curves/meltCurve_Q9H9A7_RMI1.pdf", "Melting_Curves/meltCurve_Q9H9A7_RMI1.pdf")</f>
        <v>Melting_Curves/meltCurve_Q9H9A7_RMI1.pdf</v>
      </c>
    </row>
    <row r="6056" spans="1:28" x14ac:dyDescent="0.25">
      <c r="A6056" t="s">
        <v>6060</v>
      </c>
      <c r="B6056">
        <v>0.99999676499088797</v>
      </c>
      <c r="C6056">
        <v>0.99528504954330799</v>
      </c>
      <c r="D6056">
        <v>1.0638126779072099</v>
      </c>
      <c r="E6056">
        <v>1.0592024691072299</v>
      </c>
      <c r="F6056">
        <v>0.85774012957731105</v>
      </c>
      <c r="G6056">
        <v>0.23253483813715001</v>
      </c>
      <c r="H6056">
        <v>9.2979648707883694E-2</v>
      </c>
      <c r="I6056">
        <v>8.0125385776756597E-2</v>
      </c>
      <c r="J6056">
        <v>7.1670730683161696E-2</v>
      </c>
      <c r="K6056">
        <v>6.5800106008997702E-2</v>
      </c>
      <c r="L6056">
        <v>2794.1447982305599</v>
      </c>
      <c r="M6056">
        <v>50.787471707949798</v>
      </c>
      <c r="N6056">
        <v>55.194834026267202</v>
      </c>
      <c r="O6056">
        <v>54.931320776684203</v>
      </c>
      <c r="P6056">
        <v>-0.21364452879916199</v>
      </c>
      <c r="Q6056">
        <v>7.56959263696729E-2</v>
      </c>
      <c r="R6056">
        <v>0.99588313185843202</v>
      </c>
      <c r="S6056" t="s">
        <v>13059</v>
      </c>
      <c r="T6056" t="s">
        <v>14004</v>
      </c>
      <c r="U6056" t="s">
        <v>14004</v>
      </c>
      <c r="V6056" t="s">
        <v>14004</v>
      </c>
      <c r="W6056" t="s">
        <v>20005</v>
      </c>
      <c r="X6056">
        <v>16</v>
      </c>
      <c r="Y6056" t="s">
        <v>26800</v>
      </c>
      <c r="Z6056" t="s">
        <v>33766</v>
      </c>
      <c r="AA6056">
        <v>0.54052644003537476</v>
      </c>
      <c r="AB6056" t="str">
        <f>HYPERLINK("Melting_Curves/meltCurve_Q9H9B4_SFXN1.pdf", "Melting_Curves/meltCurve_Q9H9B4_SFXN1.pdf")</f>
        <v>Melting_Curves/meltCurve_Q9H9B4_SFXN1.pdf</v>
      </c>
    </row>
    <row r="6057" spans="1:28" x14ac:dyDescent="0.25">
      <c r="A6057" t="s">
        <v>6061</v>
      </c>
      <c r="B6057">
        <v>0.99999676499088797</v>
      </c>
      <c r="C6057">
        <v>0.96468574091676895</v>
      </c>
      <c r="D6057">
        <v>0.80932175820450702</v>
      </c>
      <c r="E6057">
        <v>0.53884555583708404</v>
      </c>
      <c r="F6057">
        <v>0.22528813378392101</v>
      </c>
      <c r="G6057">
        <v>0.14879575041929799</v>
      </c>
      <c r="H6057">
        <v>6.3931779636434302E-2</v>
      </c>
      <c r="I6057">
        <v>6.8209238618406096E-2</v>
      </c>
      <c r="J6057">
        <v>9.5694687503558001E-2</v>
      </c>
      <c r="K6057">
        <v>6.30639559900142E-2</v>
      </c>
      <c r="L6057">
        <v>989.15858669731199</v>
      </c>
      <c r="M6057">
        <v>20.007047251233001</v>
      </c>
      <c r="N6057">
        <v>49.786530124688603</v>
      </c>
      <c r="O6057">
        <v>48.954525255937</v>
      </c>
      <c r="P6057">
        <v>-9.5542929779093802E-2</v>
      </c>
      <c r="Q6057">
        <v>6.4908143696351506E-2</v>
      </c>
      <c r="R6057">
        <v>0.99778686296295804</v>
      </c>
      <c r="S6057" t="s">
        <v>13060</v>
      </c>
      <c r="T6057" t="s">
        <v>14004</v>
      </c>
      <c r="U6057" t="s">
        <v>14004</v>
      </c>
      <c r="V6057" t="s">
        <v>14004</v>
      </c>
      <c r="W6057" t="s">
        <v>20006</v>
      </c>
      <c r="X6057">
        <v>6</v>
      </c>
      <c r="Y6057" t="s">
        <v>26801</v>
      </c>
      <c r="Z6057" t="s">
        <v>33767</v>
      </c>
      <c r="AA6057">
        <v>0.37221095256258963</v>
      </c>
      <c r="AB6057" t="str">
        <f>HYPERLINK("Melting_Curves/meltCurve_Q9H9F9_ACTR5.pdf", "Melting_Curves/meltCurve_Q9H9F9_ACTR5.pdf")</f>
        <v>Melting_Curves/meltCurve_Q9H9F9_ACTR5.pdf</v>
      </c>
    </row>
    <row r="6058" spans="1:28" x14ac:dyDescent="0.25">
      <c r="A6058" t="s">
        <v>6062</v>
      </c>
      <c r="B6058">
        <v>0.99999676499088797</v>
      </c>
      <c r="C6058">
        <v>0.84255490720599702</v>
      </c>
      <c r="D6058">
        <v>1.05474118109871</v>
      </c>
      <c r="E6058">
        <v>0.76333185076282395</v>
      </c>
      <c r="F6058">
        <v>0.58922897283894105</v>
      </c>
      <c r="G6058">
        <v>0.462456372651252</v>
      </c>
      <c r="H6058">
        <v>0.34650096346447201</v>
      </c>
      <c r="I6058">
        <v>0.385392683415061</v>
      </c>
      <c r="J6058">
        <v>0.206734787736784</v>
      </c>
      <c r="K6058">
        <v>0.14122087108915199</v>
      </c>
      <c r="L6058">
        <v>584.45105790859998</v>
      </c>
      <c r="M6058">
        <v>10.6318426939361</v>
      </c>
      <c r="N6058">
        <v>56.328662850642999</v>
      </c>
      <c r="O6058">
        <v>53.133934496334398</v>
      </c>
      <c r="P6058">
        <v>-4.4389550542244298E-2</v>
      </c>
      <c r="Q6058">
        <v>0.112972303592352</v>
      </c>
      <c r="R6058">
        <v>0.94100115232674397</v>
      </c>
      <c r="S6058" t="s">
        <v>13061</v>
      </c>
      <c r="T6058" t="s">
        <v>14004</v>
      </c>
      <c r="U6058" t="s">
        <v>14004</v>
      </c>
      <c r="V6058" t="s">
        <v>14004</v>
      </c>
      <c r="W6058" t="s">
        <v>20007</v>
      </c>
      <c r="X6058">
        <v>15</v>
      </c>
      <c r="Y6058" t="s">
        <v>26802</v>
      </c>
      <c r="Z6058" t="s">
        <v>33768</v>
      </c>
      <c r="AA6058">
        <v>0.57808852944052203</v>
      </c>
      <c r="AB6058" t="str">
        <f>HYPERLINK("Melting_Curves/meltCurve_Q9H9G7_AGO3.pdf", "Melting_Curves/meltCurve_Q9H9G7_AGO3.pdf")</f>
        <v>Melting_Curves/meltCurve_Q9H9G7_AGO3.pdf</v>
      </c>
    </row>
    <row r="6059" spans="1:28" x14ac:dyDescent="0.25">
      <c r="A6059" t="s">
        <v>6063</v>
      </c>
      <c r="B6059">
        <v>0.99999676499088797</v>
      </c>
      <c r="C6059">
        <v>0.87067379559756397</v>
      </c>
      <c r="D6059">
        <v>0.86630964469246596</v>
      </c>
      <c r="E6059">
        <v>0.50461621769827703</v>
      </c>
      <c r="F6059">
        <v>0.229661963132377</v>
      </c>
      <c r="G6059">
        <v>0.100492839827348</v>
      </c>
      <c r="H6059">
        <v>5.66673785094782E-2</v>
      </c>
      <c r="I6059">
        <v>4.9662240933076203E-2</v>
      </c>
      <c r="J6059">
        <v>4.8468634438098401E-2</v>
      </c>
      <c r="K6059">
        <v>6.8388114550555698E-2</v>
      </c>
      <c r="L6059">
        <v>997.45462511205199</v>
      </c>
      <c r="M6059">
        <v>20.164888970113999</v>
      </c>
      <c r="N6059">
        <v>49.691816415079003</v>
      </c>
      <c r="O6059">
        <v>48.986157285816503</v>
      </c>
      <c r="P6059">
        <v>-9.8388098300073501E-2</v>
      </c>
      <c r="Q6059">
        <v>4.3981243210820302E-2</v>
      </c>
      <c r="R6059">
        <v>0.99295150987644398</v>
      </c>
      <c r="S6059" t="s">
        <v>13062</v>
      </c>
      <c r="T6059" t="s">
        <v>14004</v>
      </c>
      <c r="U6059" t="s">
        <v>14004</v>
      </c>
      <c r="V6059" t="s">
        <v>14004</v>
      </c>
      <c r="W6059" t="s">
        <v>20008</v>
      </c>
      <c r="X6059">
        <v>5</v>
      </c>
      <c r="Y6059" t="s">
        <v>26803</v>
      </c>
      <c r="Z6059" t="s">
        <v>33769</v>
      </c>
      <c r="AA6059">
        <v>0.35872978439205322</v>
      </c>
      <c r="AB6059" t="str">
        <f>HYPERLINK("Melting_Curves/meltCurve_Q9H9H4_VPS37B.pdf", "Melting_Curves/meltCurve_Q9H9H4_VPS37B.pdf")</f>
        <v>Melting_Curves/meltCurve_Q9H9H4_VPS37B.pdf</v>
      </c>
    </row>
    <row r="6060" spans="1:28" x14ac:dyDescent="0.25">
      <c r="A6060" t="s">
        <v>6064</v>
      </c>
      <c r="B6060">
        <v>0.99999676499088797</v>
      </c>
      <c r="C6060">
        <v>0.94829249864040099</v>
      </c>
      <c r="D6060">
        <v>0.92297819220436395</v>
      </c>
      <c r="E6060">
        <v>0.72596431730937006</v>
      </c>
      <c r="F6060">
        <v>0.38415901527224999</v>
      </c>
      <c r="G6060">
        <v>0.24496518971627301</v>
      </c>
      <c r="H6060">
        <v>0.105404954986109</v>
      </c>
      <c r="I6060">
        <v>9.1983717583627403E-2</v>
      </c>
      <c r="J6060">
        <v>7.9072059435806197E-2</v>
      </c>
      <c r="K6060">
        <v>5.9731885767545602E-2</v>
      </c>
      <c r="L6060">
        <v>957.41048606365905</v>
      </c>
      <c r="M6060">
        <v>18.500643295776801</v>
      </c>
      <c r="N6060">
        <v>52.119546647698499</v>
      </c>
      <c r="O6060">
        <v>51.156859779765099</v>
      </c>
      <c r="P6060">
        <v>-8.4859354315460697E-2</v>
      </c>
      <c r="Q6060">
        <v>6.14497445644668E-2</v>
      </c>
      <c r="R6060">
        <v>0.99752174083377299</v>
      </c>
      <c r="S6060" t="s">
        <v>13063</v>
      </c>
      <c r="T6060" t="s">
        <v>14004</v>
      </c>
      <c r="U6060" t="s">
        <v>14004</v>
      </c>
      <c r="V6060" t="s">
        <v>14004</v>
      </c>
      <c r="W6060" t="s">
        <v>20009</v>
      </c>
      <c r="X6060">
        <v>17</v>
      </c>
      <c r="Y6060" t="s">
        <v>26804</v>
      </c>
      <c r="Z6060" t="s">
        <v>33770</v>
      </c>
      <c r="AA6060">
        <v>0.44399150521633612</v>
      </c>
      <c r="AB6060" t="str">
        <f>HYPERLINK("Melting_Curves/meltCurve_Q9H9P8_L2HGDH.pdf", "Melting_Curves/meltCurve_Q9H9P8_L2HGDH.pdf")</f>
        <v>Melting_Curves/meltCurve_Q9H9P8_L2HGDH.pdf</v>
      </c>
    </row>
    <row r="6061" spans="1:28" x14ac:dyDescent="0.25">
      <c r="A6061" t="s">
        <v>6065</v>
      </c>
      <c r="B6061">
        <v>0.99999676499088797</v>
      </c>
      <c r="C6061">
        <v>0.83164443597041704</v>
      </c>
      <c r="D6061">
        <v>0.89892272171014598</v>
      </c>
      <c r="E6061">
        <v>1.05763959058193</v>
      </c>
      <c r="F6061">
        <v>0.99551228435412198</v>
      </c>
      <c r="G6061">
        <v>0.49311362009325999</v>
      </c>
      <c r="H6061">
        <v>0.17266147440684701</v>
      </c>
      <c r="I6061">
        <v>0.139534581680788</v>
      </c>
      <c r="J6061">
        <v>0.10209137546769501</v>
      </c>
      <c r="K6061">
        <v>0.10961439311749201</v>
      </c>
      <c r="L6061">
        <v>3289.89193408855</v>
      </c>
      <c r="M6061">
        <v>58.225617048044001</v>
      </c>
      <c r="N6061">
        <v>56.7872316504968</v>
      </c>
      <c r="O6061">
        <v>56.435948542798499</v>
      </c>
      <c r="P6061">
        <v>-0.225271877833114</v>
      </c>
      <c r="Q6061">
        <v>0.12660942987801899</v>
      </c>
      <c r="R6061">
        <v>0.97156997171592197</v>
      </c>
      <c r="S6061" t="s">
        <v>13064</v>
      </c>
      <c r="T6061" t="s">
        <v>14004</v>
      </c>
      <c r="U6061" t="s">
        <v>14004</v>
      </c>
      <c r="V6061" t="s">
        <v>14004</v>
      </c>
      <c r="W6061" t="s">
        <v>20010</v>
      </c>
      <c r="X6061">
        <v>5</v>
      </c>
      <c r="Y6061" t="s">
        <v>26805</v>
      </c>
      <c r="Z6061" t="s">
        <v>33771</v>
      </c>
      <c r="AA6061">
        <v>0.6086487581746447</v>
      </c>
      <c r="AB6061" t="str">
        <f>HYPERLINK("Melting_Curves/meltCurve_Q9H9Q4_NHEJ1.pdf", "Melting_Curves/meltCurve_Q9H9Q4_NHEJ1.pdf")</f>
        <v>Melting_Curves/meltCurve_Q9H9Q4_NHEJ1.pdf</v>
      </c>
    </row>
    <row r="6062" spans="1:28" x14ac:dyDescent="0.25">
      <c r="A6062" t="s">
        <v>6066</v>
      </c>
      <c r="B6062">
        <v>0.99999676499088797</v>
      </c>
      <c r="C6062">
        <v>1.00063741222076</v>
      </c>
      <c r="D6062">
        <v>0.94738429038069805</v>
      </c>
      <c r="E6062">
        <v>0.872378599604272</v>
      </c>
      <c r="F6062">
        <v>0.88026272367230196</v>
      </c>
      <c r="G6062">
        <v>0.60909157127195201</v>
      </c>
      <c r="H6062">
        <v>0.34982570108646499</v>
      </c>
      <c r="I6062">
        <v>0.25077715566634701</v>
      </c>
      <c r="J6062">
        <v>0.15277503224420999</v>
      </c>
      <c r="K6062">
        <v>0.105362505081267</v>
      </c>
      <c r="L6062">
        <v>884.89461947439997</v>
      </c>
      <c r="M6062">
        <v>15.1636847939843</v>
      </c>
      <c r="N6062">
        <v>58.632220234521299</v>
      </c>
      <c r="O6062">
        <v>57.369490610263597</v>
      </c>
      <c r="P6062">
        <v>-6.3808690550553507E-2</v>
      </c>
      <c r="Q6062">
        <v>3.4451656361209802E-2</v>
      </c>
      <c r="R6062">
        <v>0.99161026082034298</v>
      </c>
      <c r="S6062" t="s">
        <v>13065</v>
      </c>
      <c r="T6062" t="s">
        <v>14004</v>
      </c>
      <c r="U6062" t="s">
        <v>14004</v>
      </c>
      <c r="V6062" t="s">
        <v>14004</v>
      </c>
      <c r="W6062" t="s">
        <v>20011</v>
      </c>
      <c r="X6062">
        <v>1</v>
      </c>
      <c r="Y6062" t="s">
        <v>26806</v>
      </c>
      <c r="Z6062" t="s">
        <v>33772</v>
      </c>
      <c r="AA6062">
        <v>0.63726483446144211</v>
      </c>
      <c r="AB6062" t="str">
        <f>HYPERLINK("Melting_Curves/meltCurve_Q9H9S5_FKRP.pdf", "Melting_Curves/meltCurve_Q9H9S5_FKRP.pdf")</f>
        <v>Melting_Curves/meltCurve_Q9H9S5_FKRP.pdf</v>
      </c>
    </row>
    <row r="6063" spans="1:28" x14ac:dyDescent="0.25">
      <c r="A6063" t="s">
        <v>6067</v>
      </c>
      <c r="B6063">
        <v>0.99999676499088797</v>
      </c>
      <c r="C6063">
        <v>1.0988762052019601</v>
      </c>
      <c r="D6063">
        <v>1.0085512007250099</v>
      </c>
      <c r="E6063">
        <v>1.2070079634409601</v>
      </c>
      <c r="F6063">
        <v>0.93372491340678998</v>
      </c>
      <c r="G6063">
        <v>0.458996121495512</v>
      </c>
      <c r="H6063">
        <v>0.17686319654564001</v>
      </c>
      <c r="I6063">
        <v>0.13270534352324501</v>
      </c>
      <c r="J6063">
        <v>0.125115380768826</v>
      </c>
      <c r="K6063">
        <v>0.119823997224486</v>
      </c>
      <c r="L6063">
        <v>2593.8447356505899</v>
      </c>
      <c r="M6063">
        <v>46.153078055639497</v>
      </c>
      <c r="N6063">
        <v>56.572386849496297</v>
      </c>
      <c r="O6063">
        <v>56.095718532027398</v>
      </c>
      <c r="P6063">
        <v>-0.17880073129666199</v>
      </c>
      <c r="Q6063">
        <v>0.13072406881123599</v>
      </c>
      <c r="R6063">
        <v>0.97185301203096797</v>
      </c>
      <c r="S6063" t="s">
        <v>13066</v>
      </c>
      <c r="T6063" t="s">
        <v>14004</v>
      </c>
      <c r="U6063" t="s">
        <v>14004</v>
      </c>
      <c r="V6063" t="s">
        <v>14004</v>
      </c>
      <c r="W6063" t="s">
        <v>20012</v>
      </c>
      <c r="X6063">
        <v>9</v>
      </c>
      <c r="Y6063" t="s">
        <v>26807</v>
      </c>
      <c r="Z6063" t="s">
        <v>33773</v>
      </c>
      <c r="AA6063">
        <v>0.60268446857105451</v>
      </c>
      <c r="AB6063" t="str">
        <f>HYPERLINK("Melting_Curves/meltCurve_Q9H9T3_2_ELP3.pdf", "Melting_Curves/meltCurve_Q9H9T3_2_ELP3.pdf")</f>
        <v>Melting_Curves/meltCurve_Q9H9T3_2_ELP3.pdf</v>
      </c>
    </row>
    <row r="6064" spans="1:28" x14ac:dyDescent="0.25">
      <c r="A6064" t="s">
        <v>6068</v>
      </c>
      <c r="B6064">
        <v>0.99999676499088797</v>
      </c>
      <c r="C6064">
        <v>0.82835356452009101</v>
      </c>
      <c r="D6064">
        <v>0.95685530340833302</v>
      </c>
      <c r="E6064">
        <v>0.86678942112441004</v>
      </c>
      <c r="F6064">
        <v>0.38389319580409498</v>
      </c>
      <c r="G6064">
        <v>0.49229127949016899</v>
      </c>
      <c r="H6064">
        <v>0.127202531997197</v>
      </c>
      <c r="I6064">
        <v>0.144839242708201</v>
      </c>
      <c r="J6064">
        <v>0.116509513158341</v>
      </c>
      <c r="K6064">
        <v>9.7826567618929397E-2</v>
      </c>
      <c r="L6064">
        <v>766.139103739284</v>
      </c>
      <c r="M6064">
        <v>14.3387388231834</v>
      </c>
      <c r="N6064">
        <v>53.930439691344802</v>
      </c>
      <c r="O6064">
        <v>52.424386605716897</v>
      </c>
      <c r="P6064">
        <v>-6.4137725138526003E-2</v>
      </c>
      <c r="Q6064">
        <v>6.2127921968550902E-2</v>
      </c>
      <c r="R6064">
        <v>0.932601957619281</v>
      </c>
      <c r="S6064" t="s">
        <v>13067</v>
      </c>
      <c r="T6064" t="s">
        <v>14004</v>
      </c>
      <c r="U6064" t="s">
        <v>14004</v>
      </c>
      <c r="V6064" t="s">
        <v>14004</v>
      </c>
      <c r="W6064" t="s">
        <v>20013</v>
      </c>
      <c r="X6064">
        <v>1</v>
      </c>
      <c r="Y6064" t="s">
        <v>26808</v>
      </c>
      <c r="Z6064" t="s">
        <v>33774</v>
      </c>
      <c r="AA6064">
        <v>0.50302014464623046</v>
      </c>
      <c r="AB6064" t="str">
        <f>HYPERLINK("Melting_Curves/meltCurve_Q9H9V9_2_JMJD4.pdf", "Melting_Curves/meltCurve_Q9H9V9_2_JMJD4.pdf")</f>
        <v>Melting_Curves/meltCurve_Q9H9V9_2_JMJD4.pdf</v>
      </c>
    </row>
    <row r="6065" spans="1:28" x14ac:dyDescent="0.25">
      <c r="A6065" t="s">
        <v>6069</v>
      </c>
      <c r="B6065">
        <v>0.99999676499088797</v>
      </c>
      <c r="C6065">
        <v>0.94050979221366304</v>
      </c>
      <c r="D6065">
        <v>0.97839339691738902</v>
      </c>
      <c r="E6065">
        <v>0.970017063901915</v>
      </c>
      <c r="F6065">
        <v>0.83252593465807301</v>
      </c>
      <c r="G6065">
        <v>0.73366226194745099</v>
      </c>
      <c r="H6065">
        <v>0.36393330669840301</v>
      </c>
      <c r="I6065">
        <v>0.308627967581872</v>
      </c>
      <c r="J6065">
        <v>0.14871182135049399</v>
      </c>
      <c r="K6065">
        <v>0.11791841848807499</v>
      </c>
      <c r="L6065">
        <v>953.58490402004804</v>
      </c>
      <c r="M6065">
        <v>16.093418416637199</v>
      </c>
      <c r="N6065">
        <v>59.559986055072898</v>
      </c>
      <c r="O6065">
        <v>58.360864058718001</v>
      </c>
      <c r="P6065">
        <v>-6.6201331182508205E-2</v>
      </c>
      <c r="Q6065">
        <v>3.9788655556773897E-2</v>
      </c>
      <c r="R6065">
        <v>0.98864773515182203</v>
      </c>
      <c r="S6065" t="s">
        <v>13068</v>
      </c>
      <c r="T6065" t="s">
        <v>14004</v>
      </c>
      <c r="U6065" t="s">
        <v>14004</v>
      </c>
      <c r="V6065" t="s">
        <v>14004</v>
      </c>
      <c r="W6065" t="s">
        <v>20014</v>
      </c>
      <c r="X6065">
        <v>4</v>
      </c>
      <c r="Y6065" t="s">
        <v>26809</v>
      </c>
      <c r="Z6065" t="s">
        <v>33775</v>
      </c>
      <c r="AA6065">
        <v>0.6656120420794619</v>
      </c>
      <c r="AB6065" t="str">
        <f>HYPERLINK("Melting_Curves/meltCurve_Q9H9Y4_GPN2.pdf", "Melting_Curves/meltCurve_Q9H9Y4_GPN2.pdf")</f>
        <v>Melting_Curves/meltCurve_Q9H9Y4_GPN2.pdf</v>
      </c>
    </row>
    <row r="6066" spans="1:28" x14ac:dyDescent="0.25">
      <c r="A6066" t="s">
        <v>6070</v>
      </c>
      <c r="B6066">
        <v>0.99999676499088797</v>
      </c>
      <c r="C6066">
        <v>1.10963411521747</v>
      </c>
      <c r="D6066">
        <v>0.81667755934703801</v>
      </c>
      <c r="E6066">
        <v>0.493340316501026</v>
      </c>
      <c r="F6066">
        <v>0.30199086703601802</v>
      </c>
      <c r="G6066">
        <v>0.145596264119248</v>
      </c>
      <c r="H6066">
        <v>6.8089649385041806E-2</v>
      </c>
      <c r="I6066">
        <v>7.1677382128802897E-2</v>
      </c>
      <c r="J6066">
        <v>6.4374227845346299E-2</v>
      </c>
      <c r="K6066">
        <v>6.4788353699031395E-2</v>
      </c>
      <c r="L6066">
        <v>1020.83471746601</v>
      </c>
      <c r="M6066">
        <v>20.582926274426999</v>
      </c>
      <c r="N6066">
        <v>49.945142178087401</v>
      </c>
      <c r="O6066">
        <v>49.135144696977299</v>
      </c>
      <c r="P6066">
        <v>-9.7715137002303706E-2</v>
      </c>
      <c r="Q6066">
        <v>6.6972438676272006E-2</v>
      </c>
      <c r="R6066">
        <v>0.98284940887176397</v>
      </c>
      <c r="S6066" t="s">
        <v>13069</v>
      </c>
      <c r="T6066" t="s">
        <v>14004</v>
      </c>
      <c r="U6066" t="s">
        <v>14004</v>
      </c>
      <c r="V6066" t="s">
        <v>14004</v>
      </c>
      <c r="W6066" t="s">
        <v>20015</v>
      </c>
      <c r="X6066">
        <v>13</v>
      </c>
      <c r="Y6066" t="s">
        <v>26810</v>
      </c>
      <c r="Z6066" t="s">
        <v>33776</v>
      </c>
      <c r="AA6066">
        <v>0.37771341118061857</v>
      </c>
      <c r="AB6066" t="str">
        <f>HYPERLINK("Melting_Curves/meltCurve_Q9H9Y6_POLR1B.pdf", "Melting_Curves/meltCurve_Q9H9Y6_POLR1B.pdf")</f>
        <v>Melting_Curves/meltCurve_Q9H9Y6_POLR1B.pdf</v>
      </c>
    </row>
    <row r="6067" spans="1:28" x14ac:dyDescent="0.25">
      <c r="A6067" t="s">
        <v>6071</v>
      </c>
      <c r="B6067">
        <v>0.99999676499088797</v>
      </c>
      <c r="C6067">
        <v>1.4791731681365801</v>
      </c>
      <c r="D6067">
        <v>1.1037556097007</v>
      </c>
      <c r="E6067">
        <v>1.1993747924974301</v>
      </c>
      <c r="F6067">
        <v>0.83983459709457597</v>
      </c>
      <c r="G6067">
        <v>0.53323178796317205</v>
      </c>
      <c r="H6067">
        <v>0.51219518186503898</v>
      </c>
      <c r="I6067">
        <v>0.32473263296648103</v>
      </c>
      <c r="J6067">
        <v>0.36848945229202601</v>
      </c>
      <c r="K6067">
        <v>0.40191506376265401</v>
      </c>
      <c r="L6067">
        <v>2104.8331554744</v>
      </c>
      <c r="M6067">
        <v>38.266730329034203</v>
      </c>
      <c r="N6067">
        <v>57.350513707232103</v>
      </c>
      <c r="O6067">
        <v>54.854690147833701</v>
      </c>
      <c r="P6067">
        <v>-0.10542349062496099</v>
      </c>
      <c r="Q6067">
        <v>0.39551055870198298</v>
      </c>
      <c r="R6067">
        <v>0.795478866680291</v>
      </c>
      <c r="S6067" t="s">
        <v>13070</v>
      </c>
      <c r="T6067" t="s">
        <v>14004</v>
      </c>
      <c r="U6067" t="s">
        <v>14004</v>
      </c>
      <c r="V6067" t="s">
        <v>14004</v>
      </c>
      <c r="W6067" t="s">
        <v>20016</v>
      </c>
      <c r="X6067">
        <v>1</v>
      </c>
      <c r="Y6067" t="s">
        <v>26811</v>
      </c>
      <c r="Z6067" t="s">
        <v>33777</v>
      </c>
      <c r="AA6067">
        <v>0.70034125877324216</v>
      </c>
      <c r="AB6067" t="str">
        <f>HYPERLINK("Melting_Curves/meltCurve_Q9HA38_2_ZMAT3.pdf", "Melting_Curves/meltCurve_Q9HA38_2_ZMAT3.pdf")</f>
        <v>Melting_Curves/meltCurve_Q9HA38_2_ZMAT3.pdf</v>
      </c>
    </row>
    <row r="6068" spans="1:28" x14ac:dyDescent="0.25">
      <c r="A6068" t="s">
        <v>6072</v>
      </c>
      <c r="B6068">
        <v>0.99999676499088797</v>
      </c>
      <c r="C6068">
        <v>1.06284951393227</v>
      </c>
      <c r="D6068">
        <v>0.88825255721465901</v>
      </c>
      <c r="E6068">
        <v>0.81480110524689398</v>
      </c>
      <c r="F6068">
        <v>0.73196227749019305</v>
      </c>
      <c r="G6068">
        <v>0.50775446746255704</v>
      </c>
      <c r="H6068">
        <v>0.28102442462475702</v>
      </c>
      <c r="I6068">
        <v>0.23338521535868101</v>
      </c>
      <c r="J6068">
        <v>0.155938398835331</v>
      </c>
      <c r="K6068">
        <v>0.11230374923294</v>
      </c>
      <c r="L6068">
        <v>681.58129068479002</v>
      </c>
      <c r="M6068">
        <v>12.0444312833799</v>
      </c>
      <c r="N6068">
        <v>56.816067563945801</v>
      </c>
      <c r="O6068">
        <v>55.096697001081303</v>
      </c>
      <c r="P6068">
        <v>-5.3379403704318401E-2</v>
      </c>
      <c r="Q6068">
        <v>2.3505691103844598E-2</v>
      </c>
      <c r="R6068">
        <v>0.98780151591653698</v>
      </c>
      <c r="S6068" t="s">
        <v>13071</v>
      </c>
      <c r="T6068" t="s">
        <v>14004</v>
      </c>
      <c r="U6068" t="s">
        <v>14004</v>
      </c>
      <c r="V6068" t="s">
        <v>14004</v>
      </c>
      <c r="W6068" t="s">
        <v>20017</v>
      </c>
      <c r="X6068">
        <v>5</v>
      </c>
      <c r="Y6068" t="s">
        <v>26812</v>
      </c>
      <c r="Z6068" t="s">
        <v>33778</v>
      </c>
      <c r="AA6068">
        <v>0.58138552807357669</v>
      </c>
      <c r="AB6068" t="str">
        <f>HYPERLINK("Melting_Curves/meltCurve_Q9HA47_3_UCK1.pdf", "Melting_Curves/meltCurve_Q9HA47_3_UCK1.pdf")</f>
        <v>Melting_Curves/meltCurve_Q9HA47_3_UCK1.pdf</v>
      </c>
    </row>
    <row r="6069" spans="1:28" x14ac:dyDescent="0.25">
      <c r="A6069" t="s">
        <v>6073</v>
      </c>
      <c r="B6069">
        <v>0.99999676499088797</v>
      </c>
      <c r="C6069">
        <v>0.97637404542723305</v>
      </c>
      <c r="D6069">
        <v>1.0087868947261001</v>
      </c>
      <c r="E6069">
        <v>1.0165107538195</v>
      </c>
      <c r="F6069">
        <v>1.03285652647027</v>
      </c>
      <c r="G6069">
        <v>0.86025239523417596</v>
      </c>
      <c r="H6069">
        <v>0.57536759416455896</v>
      </c>
      <c r="I6069">
        <v>0.45940943170995702</v>
      </c>
      <c r="J6069">
        <v>0.23316941325716001</v>
      </c>
      <c r="K6069">
        <v>0.13623160929773201</v>
      </c>
      <c r="L6069">
        <v>1156.4824717034101</v>
      </c>
      <c r="M6069">
        <v>18.543864359193002</v>
      </c>
      <c r="N6069">
        <v>62.605300385941398</v>
      </c>
      <c r="O6069">
        <v>61.653019261887401</v>
      </c>
      <c r="P6069">
        <v>-7.2611455403713707E-2</v>
      </c>
      <c r="Q6069">
        <v>3.4393492803056099E-2</v>
      </c>
      <c r="R6069">
        <v>0.98866773201805702</v>
      </c>
      <c r="S6069" t="s">
        <v>13072</v>
      </c>
      <c r="T6069" t="s">
        <v>14004</v>
      </c>
      <c r="U6069" t="s">
        <v>14004</v>
      </c>
      <c r="V6069" t="s">
        <v>14004</v>
      </c>
      <c r="W6069" t="s">
        <v>20018</v>
      </c>
      <c r="X6069">
        <v>6</v>
      </c>
      <c r="Y6069" t="s">
        <v>26813</v>
      </c>
      <c r="Z6069" t="s">
        <v>33779</v>
      </c>
      <c r="AA6069">
        <v>0.75471177011407165</v>
      </c>
      <c r="AB6069" t="str">
        <f>HYPERLINK("Melting_Curves/meltCurve_Q9HA64_FN3KRP.pdf", "Melting_Curves/meltCurve_Q9HA64_FN3KRP.pdf")</f>
        <v>Melting_Curves/meltCurve_Q9HA64_FN3KRP.pdf</v>
      </c>
    </row>
    <row r="6070" spans="1:28" x14ac:dyDescent="0.25">
      <c r="A6070" t="s">
        <v>6074</v>
      </c>
      <c r="B6070">
        <v>0.99999676499088797</v>
      </c>
      <c r="C6070">
        <v>0.95429016931336996</v>
      </c>
      <c r="D6070">
        <v>0.75236629076257799</v>
      </c>
      <c r="E6070">
        <v>0.39875028001470197</v>
      </c>
      <c r="F6070">
        <v>0.25095960187246302</v>
      </c>
      <c r="G6070">
        <v>0.176639356651563</v>
      </c>
      <c r="H6070">
        <v>9.3088832178636102E-2</v>
      </c>
      <c r="I6070">
        <v>7.3346398033456897E-2</v>
      </c>
      <c r="J6070">
        <v>8.3160526028080897E-2</v>
      </c>
      <c r="K6070">
        <v>6.8899499912557199E-2</v>
      </c>
      <c r="L6070">
        <v>918.78714127478895</v>
      </c>
      <c r="M6070">
        <v>18.9940522629303</v>
      </c>
      <c r="N6070">
        <v>48.836487794745302</v>
      </c>
      <c r="O6070">
        <v>47.845749398554403</v>
      </c>
      <c r="P6070">
        <v>-9.1054226878538702E-2</v>
      </c>
      <c r="Q6070">
        <v>8.2579415111789303E-2</v>
      </c>
      <c r="R6070">
        <v>0.99543169115354202</v>
      </c>
      <c r="S6070" t="s">
        <v>13073</v>
      </c>
      <c r="T6070" t="s">
        <v>14004</v>
      </c>
      <c r="U6070" t="s">
        <v>14004</v>
      </c>
      <c r="V6070" t="s">
        <v>14004</v>
      </c>
      <c r="W6070" t="s">
        <v>20019</v>
      </c>
      <c r="X6070">
        <v>6</v>
      </c>
      <c r="Y6070" t="s">
        <v>26814</v>
      </c>
      <c r="Z6070" t="s">
        <v>33780</v>
      </c>
      <c r="AA6070">
        <v>0.35303030255207302</v>
      </c>
      <c r="AB6070" t="str">
        <f>HYPERLINK("Melting_Curves/meltCurve_Q9HA65_TBC1D17.pdf", "Melting_Curves/meltCurve_Q9HA65_TBC1D17.pdf")</f>
        <v>Melting_Curves/meltCurve_Q9HA65_TBC1D17.pdf</v>
      </c>
    </row>
    <row r="6071" spans="1:28" x14ac:dyDescent="0.25">
      <c r="A6071" t="s">
        <v>6075</v>
      </c>
      <c r="B6071">
        <v>0.99999676499088797</v>
      </c>
      <c r="C6071">
        <v>1.0665633851808001</v>
      </c>
      <c r="D6071">
        <v>1.04053958521482</v>
      </c>
      <c r="E6071">
        <v>0.97539228911144404</v>
      </c>
      <c r="F6071">
        <v>0.81423745915641399</v>
      </c>
      <c r="G6071">
        <v>0.56520451649011805</v>
      </c>
      <c r="H6071">
        <v>0.25817334081828103</v>
      </c>
      <c r="I6071">
        <v>0.13363349302138999</v>
      </c>
      <c r="J6071">
        <v>0.106934081889155</v>
      </c>
      <c r="K6071">
        <v>9.2957785073172206E-2</v>
      </c>
      <c r="L6071">
        <v>1241.19083702036</v>
      </c>
      <c r="M6071">
        <v>21.7832850213745</v>
      </c>
      <c r="N6071">
        <v>57.376736711105799</v>
      </c>
      <c r="O6071">
        <v>56.505371545050203</v>
      </c>
      <c r="P6071">
        <v>-8.9626055124865198E-2</v>
      </c>
      <c r="Q6071">
        <v>7.0069381178422999E-2</v>
      </c>
      <c r="R6071">
        <v>0.99516718975137097</v>
      </c>
      <c r="S6071" t="s">
        <v>13074</v>
      </c>
      <c r="T6071" t="s">
        <v>14004</v>
      </c>
      <c r="U6071" t="s">
        <v>14004</v>
      </c>
      <c r="V6071" t="s">
        <v>14004</v>
      </c>
      <c r="W6071" t="s">
        <v>20020</v>
      </c>
      <c r="X6071">
        <v>16</v>
      </c>
      <c r="Y6071" t="s">
        <v>26815</v>
      </c>
      <c r="Z6071" t="s">
        <v>33781</v>
      </c>
      <c r="AA6071">
        <v>0.60661102560238678</v>
      </c>
      <c r="AB6071" t="str">
        <f>HYPERLINK("Melting_Curves/meltCurve_Q9HA77_CARS2.pdf", "Melting_Curves/meltCurve_Q9HA77_CARS2.pdf")</f>
        <v>Melting_Curves/meltCurve_Q9HA77_CARS2.pdf</v>
      </c>
    </row>
    <row r="6072" spans="1:28" x14ac:dyDescent="0.25">
      <c r="A6072" t="s">
        <v>6076</v>
      </c>
      <c r="B6072">
        <v>0.99999676499088797</v>
      </c>
      <c r="C6072">
        <v>1.08745203632439</v>
      </c>
      <c r="D6072">
        <v>1.1443169174171799</v>
      </c>
      <c r="E6072">
        <v>0.83236693171387099</v>
      </c>
      <c r="F6072">
        <v>0.62932336161691504</v>
      </c>
      <c r="G6072">
        <v>0.531843468257862</v>
      </c>
      <c r="H6072">
        <v>0.29526574552615498</v>
      </c>
      <c r="I6072">
        <v>0.23273525281799701</v>
      </c>
      <c r="J6072">
        <v>0.21657928674517399</v>
      </c>
      <c r="K6072">
        <v>0.175813360536409</v>
      </c>
      <c r="L6072">
        <v>933.22335698365998</v>
      </c>
      <c r="M6072">
        <v>17.023535390666201</v>
      </c>
      <c r="N6072">
        <v>56.214261915972699</v>
      </c>
      <c r="O6072">
        <v>54.079901927613598</v>
      </c>
      <c r="P6072">
        <v>-6.5144968152548499E-2</v>
      </c>
      <c r="Q6072">
        <v>0.17224784540521301</v>
      </c>
      <c r="R6072">
        <v>0.96136754771854405</v>
      </c>
      <c r="S6072" t="s">
        <v>13075</v>
      </c>
      <c r="T6072" t="s">
        <v>14004</v>
      </c>
      <c r="U6072" t="s">
        <v>14004</v>
      </c>
      <c r="V6072" t="s">
        <v>14004</v>
      </c>
      <c r="W6072" t="s">
        <v>20021</v>
      </c>
      <c r="X6072">
        <v>1</v>
      </c>
      <c r="Y6072" t="s">
        <v>26816</v>
      </c>
      <c r="Z6072" t="s">
        <v>33782</v>
      </c>
      <c r="AA6072">
        <v>0.5950385754537475</v>
      </c>
      <c r="AB6072" t="str">
        <f>HYPERLINK("Melting_Curves/meltCurve_Q9HA92_RSAD1.pdf", "Melting_Curves/meltCurve_Q9HA92_RSAD1.pdf")</f>
        <v>Melting_Curves/meltCurve_Q9HA92_RSAD1.pdf</v>
      </c>
    </row>
    <row r="6073" spans="1:28" x14ac:dyDescent="0.25">
      <c r="A6073" t="s">
        <v>6077</v>
      </c>
      <c r="B6073">
        <v>0.99999676499088797</v>
      </c>
      <c r="C6073">
        <v>0.99847731948217999</v>
      </c>
      <c r="D6073">
        <v>1.0334238171971699</v>
      </c>
      <c r="E6073">
        <v>1.1236117609242799</v>
      </c>
      <c r="F6073">
        <v>1.0376162499581401</v>
      </c>
      <c r="G6073">
        <v>0.55645828450724999</v>
      </c>
      <c r="H6073">
        <v>0.19535345967970899</v>
      </c>
      <c r="I6073">
        <v>0.18319689205125</v>
      </c>
      <c r="J6073">
        <v>0.17675056118510701</v>
      </c>
      <c r="K6073">
        <v>0.16897907149591701</v>
      </c>
      <c r="L6073">
        <v>14190.524008595101</v>
      </c>
      <c r="M6073">
        <v>250</v>
      </c>
      <c r="N6073">
        <v>56.864369377210203</v>
      </c>
      <c r="O6073">
        <v>56.758463656416602</v>
      </c>
      <c r="P6073">
        <v>-0.90177081800478698</v>
      </c>
      <c r="Q6073">
        <v>0.181069982041691</v>
      </c>
      <c r="R6073">
        <v>0.98900472642397896</v>
      </c>
      <c r="S6073" t="s">
        <v>13076</v>
      </c>
      <c r="T6073" t="s">
        <v>14004</v>
      </c>
      <c r="U6073" t="s">
        <v>14004</v>
      </c>
      <c r="V6073" t="s">
        <v>14004</v>
      </c>
      <c r="W6073" t="s">
        <v>20022</v>
      </c>
      <c r="X6073">
        <v>12</v>
      </c>
      <c r="Y6073" t="s">
        <v>26817</v>
      </c>
      <c r="Z6073" t="s">
        <v>33783</v>
      </c>
      <c r="AA6073">
        <v>0.63871768127686213</v>
      </c>
      <c r="AB6073" t="str">
        <f>HYPERLINK("Melting_Curves/meltCurve_Q9HAB8_PPCS.pdf", "Melting_Curves/meltCurve_Q9HAB8_PPCS.pdf")</f>
        <v>Melting_Curves/meltCurve_Q9HAB8_PPCS.pdf</v>
      </c>
    </row>
    <row r="6074" spans="1:28" x14ac:dyDescent="0.25">
      <c r="A6074" t="s">
        <v>6078</v>
      </c>
      <c r="B6074">
        <v>0.99999676499088797</v>
      </c>
      <c r="C6074">
        <v>0.973682771513106</v>
      </c>
      <c r="D6074">
        <v>0.99501287779311798</v>
      </c>
      <c r="E6074">
        <v>1.21704387774956</v>
      </c>
      <c r="F6074">
        <v>0.95082433194507598</v>
      </c>
      <c r="G6074">
        <v>0.52620928582595305</v>
      </c>
      <c r="H6074">
        <v>0.16444365351536999</v>
      </c>
      <c r="I6074">
        <v>0.10157982178037001</v>
      </c>
      <c r="J6074">
        <v>8.0104676769866406E-2</v>
      </c>
      <c r="K6074">
        <v>7.2373282083977697E-2</v>
      </c>
      <c r="L6074">
        <v>2379.2364213872402</v>
      </c>
      <c r="M6074">
        <v>41.929947833396497</v>
      </c>
      <c r="N6074">
        <v>57.006075888494699</v>
      </c>
      <c r="O6074">
        <v>56.614533942532702</v>
      </c>
      <c r="P6074">
        <v>-0.16887530384657101</v>
      </c>
      <c r="Q6074">
        <v>8.7928532356508299E-2</v>
      </c>
      <c r="R6074">
        <v>0.97447357164011195</v>
      </c>
      <c r="S6074" t="s">
        <v>13077</v>
      </c>
      <c r="T6074" t="s">
        <v>14004</v>
      </c>
      <c r="U6074" t="s">
        <v>14004</v>
      </c>
      <c r="V6074" t="s">
        <v>14004</v>
      </c>
      <c r="W6074" t="s">
        <v>20023</v>
      </c>
      <c r="X6074">
        <v>6</v>
      </c>
      <c r="Y6074" t="s">
        <v>26818</v>
      </c>
      <c r="Z6074" t="s">
        <v>33784</v>
      </c>
      <c r="AA6074">
        <v>0.60018976934767443</v>
      </c>
      <c r="AB6074" t="str">
        <f>HYPERLINK("Melting_Curves/meltCurve_Q9HAD4_WDR41.pdf", "Melting_Curves/meltCurve_Q9HAD4_WDR41.pdf")</f>
        <v>Melting_Curves/meltCurve_Q9HAD4_WDR41.pdf</v>
      </c>
    </row>
    <row r="6075" spans="1:28" x14ac:dyDescent="0.25">
      <c r="A6075" t="s">
        <v>6079</v>
      </c>
      <c r="B6075">
        <v>0.99999676499088797</v>
      </c>
      <c r="C6075">
        <v>0.989933647366398</v>
      </c>
      <c r="D6075">
        <v>0.98946450276933395</v>
      </c>
      <c r="E6075">
        <v>1.07882090872841</v>
      </c>
      <c r="F6075">
        <v>1.01837985388934</v>
      </c>
      <c r="G6075">
        <v>0.80799276642066198</v>
      </c>
      <c r="H6075">
        <v>0.591546501444011</v>
      </c>
      <c r="I6075">
        <v>0.78850909920209999</v>
      </c>
      <c r="J6075">
        <v>0.85202065178342601</v>
      </c>
      <c r="K6075">
        <v>0.84929847382727297</v>
      </c>
      <c r="L6075">
        <v>14107.4600899416</v>
      </c>
      <c r="M6075">
        <v>250</v>
      </c>
      <c r="O6075">
        <v>56.426210065299202</v>
      </c>
      <c r="P6075">
        <v>-0.254376737064058</v>
      </c>
      <c r="Q6075">
        <v>0.77034367865657805</v>
      </c>
      <c r="R6075">
        <v>0.73057423704295499</v>
      </c>
      <c r="S6075" t="s">
        <v>13078</v>
      </c>
      <c r="T6075" t="s">
        <v>14004</v>
      </c>
      <c r="U6075" t="s">
        <v>14004</v>
      </c>
      <c r="V6075" t="s">
        <v>14004</v>
      </c>
      <c r="W6075" t="s">
        <v>20024</v>
      </c>
      <c r="X6075">
        <v>7</v>
      </c>
      <c r="Y6075" t="s">
        <v>26819</v>
      </c>
      <c r="Z6075" t="s">
        <v>33785</v>
      </c>
      <c r="AA6075">
        <v>0.89614031223340096</v>
      </c>
      <c r="AB6075" t="str">
        <f>HYPERLINK("Melting_Curves/meltCurve_Q9HAF1_2_MEAF6.pdf", "Melting_Curves/meltCurve_Q9HAF1_2_MEAF6.pdf")</f>
        <v>Melting_Curves/meltCurve_Q9HAF1_2_MEAF6.pdf</v>
      </c>
    </row>
    <row r="6076" spans="1:28" x14ac:dyDescent="0.25">
      <c r="A6076" t="s">
        <v>6080</v>
      </c>
      <c r="B6076">
        <v>0.99999676499088797</v>
      </c>
      <c r="C6076">
        <v>0.828703251762548</v>
      </c>
      <c r="D6076">
        <v>0.811553723442903</v>
      </c>
      <c r="E6076">
        <v>0.54437033663267098</v>
      </c>
      <c r="F6076">
        <v>0.365601478733385</v>
      </c>
      <c r="G6076">
        <v>0.30246639338349401</v>
      </c>
      <c r="H6076">
        <v>0.129181500128007</v>
      </c>
      <c r="I6076">
        <v>0.16115415781651901</v>
      </c>
      <c r="J6076">
        <v>0.110927837619541</v>
      </c>
      <c r="K6076">
        <v>0.13193258375891001</v>
      </c>
      <c r="L6076">
        <v>616.68118300291701</v>
      </c>
      <c r="M6076">
        <v>12.3521439136266</v>
      </c>
      <c r="N6076">
        <v>50.726669596591201</v>
      </c>
      <c r="O6076">
        <v>48.6706381881678</v>
      </c>
      <c r="P6076">
        <v>-5.7834461785195197E-2</v>
      </c>
      <c r="Q6076">
        <v>8.8665684191767402E-2</v>
      </c>
      <c r="R6076">
        <v>0.98618349312921605</v>
      </c>
      <c r="S6076" t="s">
        <v>13079</v>
      </c>
      <c r="T6076" t="s">
        <v>14004</v>
      </c>
      <c r="U6076" t="s">
        <v>14004</v>
      </c>
      <c r="V6076" t="s">
        <v>14004</v>
      </c>
      <c r="W6076" t="s">
        <v>20025</v>
      </c>
      <c r="X6076">
        <v>2</v>
      </c>
      <c r="Y6076" t="s">
        <v>26820</v>
      </c>
      <c r="Z6076" t="s">
        <v>33786</v>
      </c>
      <c r="AA6076">
        <v>0.42043304410193388</v>
      </c>
      <c r="AB6076" t="str">
        <f>HYPERLINK("Melting_Curves/meltCurve_Q9HAJ7_SAP30L.pdf", "Melting_Curves/meltCurve_Q9HAJ7_SAP30L.pdf")</f>
        <v>Melting_Curves/meltCurve_Q9HAJ7_SAP30L.pdf</v>
      </c>
    </row>
    <row r="6077" spans="1:28" x14ac:dyDescent="0.25">
      <c r="A6077" t="s">
        <v>6081</v>
      </c>
      <c r="B6077">
        <v>0.99999676499088797</v>
      </c>
      <c r="C6077">
        <v>0.92680392053109695</v>
      </c>
      <c r="D6077">
        <v>0.82888960993666605</v>
      </c>
      <c r="E6077">
        <v>0.89498985873548198</v>
      </c>
      <c r="F6077">
        <v>0.77535738812305399</v>
      </c>
      <c r="G6077">
        <v>0.67164396170220197</v>
      </c>
      <c r="H6077">
        <v>0.49910124587946397</v>
      </c>
      <c r="I6077">
        <v>0.40322808451105102</v>
      </c>
      <c r="J6077">
        <v>0.36186816522307402</v>
      </c>
      <c r="K6077">
        <v>0.23761293152744101</v>
      </c>
      <c r="L6077">
        <v>469.521279910018</v>
      </c>
      <c r="M6077">
        <v>7.6811297450917397</v>
      </c>
      <c r="N6077">
        <v>61.126591187611801</v>
      </c>
      <c r="O6077">
        <v>57.397136559934999</v>
      </c>
      <c r="P6077">
        <v>-3.3500099120780301E-2</v>
      </c>
      <c r="Q6077">
        <v>0</v>
      </c>
      <c r="R6077">
        <v>0.97517745037959203</v>
      </c>
      <c r="S6077" t="s">
        <v>13080</v>
      </c>
      <c r="T6077" t="s">
        <v>14004</v>
      </c>
      <c r="U6077" t="s">
        <v>14004</v>
      </c>
      <c r="V6077" t="s">
        <v>14004</v>
      </c>
      <c r="W6077" t="s">
        <v>20026</v>
      </c>
      <c r="X6077">
        <v>6</v>
      </c>
      <c r="Y6077" t="s">
        <v>26821</v>
      </c>
      <c r="Z6077" t="s">
        <v>33787</v>
      </c>
      <c r="AA6077">
        <v>0.67442768969273836</v>
      </c>
      <c r="AB6077" t="str">
        <f>HYPERLINK("Melting_Curves/meltCurve_Q9HAN9_NMNAT1.pdf", "Melting_Curves/meltCurve_Q9HAN9_NMNAT1.pdf")</f>
        <v>Melting_Curves/meltCurve_Q9HAN9_NMNAT1.pdf</v>
      </c>
    </row>
    <row r="6078" spans="1:28" x14ac:dyDescent="0.25">
      <c r="A6078" t="s">
        <v>6082</v>
      </c>
      <c r="B6078">
        <v>0.99999676499088797</v>
      </c>
      <c r="C6078">
        <v>1.03489509898212</v>
      </c>
      <c r="D6078">
        <v>0.99096137359834802</v>
      </c>
      <c r="E6078">
        <v>0.91024938643158804</v>
      </c>
      <c r="F6078">
        <v>0.81599282952003904</v>
      </c>
      <c r="G6078">
        <v>0.56270938979553398</v>
      </c>
      <c r="H6078">
        <v>0.41340637885561998</v>
      </c>
      <c r="I6078">
        <v>0.27744377179124802</v>
      </c>
      <c r="J6078">
        <v>0.23186641554024301</v>
      </c>
      <c r="K6078">
        <v>0.23186802888164401</v>
      </c>
      <c r="L6078">
        <v>948.15735081453704</v>
      </c>
      <c r="M6078">
        <v>16.734396940312099</v>
      </c>
      <c r="N6078">
        <v>58.306178311206203</v>
      </c>
      <c r="O6078">
        <v>55.868641822188003</v>
      </c>
      <c r="P6078">
        <v>-6.0783230729594101E-2</v>
      </c>
      <c r="Q6078">
        <v>0.18834166521342099</v>
      </c>
      <c r="R6078">
        <v>0.995889088987159</v>
      </c>
      <c r="S6078" t="s">
        <v>13081</v>
      </c>
      <c r="T6078" t="s">
        <v>14004</v>
      </c>
      <c r="U6078" t="s">
        <v>14004</v>
      </c>
      <c r="V6078" t="s">
        <v>14004</v>
      </c>
      <c r="W6078" t="s">
        <v>20027</v>
      </c>
      <c r="X6078">
        <v>2</v>
      </c>
      <c r="Y6078" t="s">
        <v>26822</v>
      </c>
      <c r="Z6078" t="s">
        <v>33788</v>
      </c>
      <c r="AA6078">
        <v>0.65135615497096411</v>
      </c>
      <c r="AB6078" t="str">
        <f>HYPERLINK("Melting_Curves/meltCurve_Q9HAT2_2_SIAE.pdf", "Melting_Curves/meltCurve_Q9HAT2_2_SIAE.pdf")</f>
        <v>Melting_Curves/meltCurve_Q9HAT2_2_SIAE.pdf</v>
      </c>
    </row>
    <row r="6079" spans="1:28" x14ac:dyDescent="0.25">
      <c r="A6079" t="s">
        <v>6083</v>
      </c>
      <c r="B6079">
        <v>0.99999676499088797</v>
      </c>
      <c r="C6079">
        <v>0.88002525334599402</v>
      </c>
      <c r="D6079">
        <v>0.617335698047071</v>
      </c>
      <c r="E6079">
        <v>0.339420634842721</v>
      </c>
      <c r="F6079">
        <v>0.13581933565392501</v>
      </c>
      <c r="G6079">
        <v>8.0132030606560795E-2</v>
      </c>
      <c r="H6079">
        <v>3.7303446377918603E-2</v>
      </c>
      <c r="I6079">
        <v>5.0672369433756199E-2</v>
      </c>
      <c r="J6079">
        <v>6.3529692773915902E-2</v>
      </c>
      <c r="K6079">
        <v>5.0130652845832603E-2</v>
      </c>
      <c r="L6079">
        <v>897.52967391167294</v>
      </c>
      <c r="M6079">
        <v>19.015937682138901</v>
      </c>
      <c r="N6079">
        <v>47.430775636916302</v>
      </c>
      <c r="O6079">
        <v>46.6861357845073</v>
      </c>
      <c r="P6079">
        <v>-9.7311083087644398E-2</v>
      </c>
      <c r="Q6079">
        <v>4.4402012540909801E-2</v>
      </c>
      <c r="R6079">
        <v>0.99788050749852897</v>
      </c>
      <c r="S6079" t="s">
        <v>13082</v>
      </c>
      <c r="T6079" t="s">
        <v>14004</v>
      </c>
      <c r="U6079" t="s">
        <v>14004</v>
      </c>
      <c r="V6079" t="s">
        <v>14004</v>
      </c>
      <c r="W6079" t="s">
        <v>20028</v>
      </c>
      <c r="X6079">
        <v>7</v>
      </c>
      <c r="Y6079" t="s">
        <v>26823</v>
      </c>
      <c r="Z6079" t="s">
        <v>33789</v>
      </c>
      <c r="AA6079">
        <v>0.28921189582396678</v>
      </c>
      <c r="AB6079" t="str">
        <f>HYPERLINK("Melting_Curves/meltCurve_Q9HAT8_PELI2.pdf", "Melting_Curves/meltCurve_Q9HAT8_PELI2.pdf")</f>
        <v>Melting_Curves/meltCurve_Q9HAT8_PELI2.pdf</v>
      </c>
    </row>
    <row r="6080" spans="1:28" x14ac:dyDescent="0.25">
      <c r="A6080" t="s">
        <v>6084</v>
      </c>
      <c r="B6080">
        <v>0.99999676499088797</v>
      </c>
      <c r="C6080">
        <v>0.92484079062146196</v>
      </c>
      <c r="D6080">
        <v>0.889305586645744</v>
      </c>
      <c r="E6080">
        <v>0.31337839826249198</v>
      </c>
      <c r="F6080">
        <v>0.202086090328844</v>
      </c>
      <c r="G6080">
        <v>0.13652787853117501</v>
      </c>
      <c r="H6080">
        <v>7.3390949661173197E-2</v>
      </c>
      <c r="I6080">
        <v>8.4800789830711196E-2</v>
      </c>
      <c r="J6080">
        <v>9.6763589628168098E-2</v>
      </c>
      <c r="K6080">
        <v>8.2987084210481996E-2</v>
      </c>
      <c r="L6080">
        <v>1737.1711253978001</v>
      </c>
      <c r="M6080">
        <v>36.057703606826998</v>
      </c>
      <c r="N6080">
        <v>48.491920247803399</v>
      </c>
      <c r="O6080">
        <v>48.030065844578097</v>
      </c>
      <c r="P6080">
        <v>-0.16812234693158401</v>
      </c>
      <c r="Q6080">
        <v>0.10422447508771999</v>
      </c>
      <c r="R6080">
        <v>0.99059959564015798</v>
      </c>
      <c r="S6080" t="s">
        <v>13083</v>
      </c>
      <c r="T6080" t="s">
        <v>14004</v>
      </c>
      <c r="U6080" t="s">
        <v>14004</v>
      </c>
      <c r="V6080" t="s">
        <v>14004</v>
      </c>
      <c r="W6080" t="s">
        <v>20029</v>
      </c>
      <c r="X6080">
        <v>20</v>
      </c>
      <c r="Y6080" t="s">
        <v>26824</v>
      </c>
      <c r="Z6080" t="s">
        <v>33790</v>
      </c>
      <c r="AA6080">
        <v>0.3520938947677415</v>
      </c>
      <c r="AB6080" t="str">
        <f>HYPERLINK("Melting_Curves/meltCurve_Q9HAU5_UPF2.pdf", "Melting_Curves/meltCurve_Q9HAU5_UPF2.pdf")</f>
        <v>Melting_Curves/meltCurve_Q9HAU5_UPF2.pdf</v>
      </c>
    </row>
    <row r="6081" spans="1:28" x14ac:dyDescent="0.25">
      <c r="A6081" t="s">
        <v>6085</v>
      </c>
      <c r="B6081">
        <v>0.99999676499088797</v>
      </c>
      <c r="C6081">
        <v>0.97636282635745797</v>
      </c>
      <c r="D6081">
        <v>0.94533955994924301</v>
      </c>
      <c r="E6081">
        <v>0.37278768300573101</v>
      </c>
      <c r="F6081">
        <v>0.20009117415810099</v>
      </c>
      <c r="G6081">
        <v>0.123422676368387</v>
      </c>
      <c r="H6081">
        <v>6.3412681526390804E-2</v>
      </c>
      <c r="I6081">
        <v>6.05388435088575E-2</v>
      </c>
      <c r="J6081">
        <v>5.6090411474925501E-2</v>
      </c>
      <c r="K6081">
        <v>5.2695543276590803E-2</v>
      </c>
      <c r="L6081">
        <v>1784.01466209358</v>
      </c>
      <c r="M6081">
        <v>36.589348937027999</v>
      </c>
      <c r="N6081">
        <v>48.996315042196002</v>
      </c>
      <c r="O6081">
        <v>48.612802437220999</v>
      </c>
      <c r="P6081">
        <v>-0.172814862149089</v>
      </c>
      <c r="Q6081">
        <v>8.1591758311673798E-2</v>
      </c>
      <c r="R6081">
        <v>0.99224416724048703</v>
      </c>
      <c r="S6081" t="s">
        <v>13084</v>
      </c>
      <c r="T6081" t="s">
        <v>14004</v>
      </c>
      <c r="U6081" t="s">
        <v>14004</v>
      </c>
      <c r="V6081" t="s">
        <v>14004</v>
      </c>
      <c r="W6081" t="s">
        <v>20030</v>
      </c>
      <c r="X6081">
        <v>31</v>
      </c>
      <c r="Y6081" t="s">
        <v>26825</v>
      </c>
      <c r="Z6081" t="s">
        <v>33791</v>
      </c>
      <c r="AA6081">
        <v>0.3534124722408935</v>
      </c>
      <c r="AB6081" t="str">
        <f>HYPERLINK("Melting_Curves/meltCurve_Q9HAV4_XPO5.pdf", "Melting_Curves/meltCurve_Q9HAV4_XPO5.pdf")</f>
        <v>Melting_Curves/meltCurve_Q9HAV4_XPO5.pdf</v>
      </c>
    </row>
    <row r="6082" spans="1:28" x14ac:dyDescent="0.25">
      <c r="A6082" t="s">
        <v>6086</v>
      </c>
      <c r="B6082">
        <v>0.99999676499088797</v>
      </c>
      <c r="C6082">
        <v>0.90077009579636302</v>
      </c>
      <c r="D6082">
        <v>1.0035567430122401</v>
      </c>
      <c r="E6082">
        <v>1.1004329770361501</v>
      </c>
      <c r="F6082">
        <v>0.30988464272042698</v>
      </c>
      <c r="G6082">
        <v>0.19767533360428999</v>
      </c>
      <c r="H6082">
        <v>8.4363048532068802E-2</v>
      </c>
      <c r="I6082">
        <v>8.9796168995480194E-2</v>
      </c>
      <c r="J6082">
        <v>7.9953853065946795E-2</v>
      </c>
      <c r="K6082">
        <v>8.9609671655426201E-2</v>
      </c>
      <c r="L6082">
        <v>13234.5348513711</v>
      </c>
      <c r="M6082">
        <v>250</v>
      </c>
      <c r="N6082">
        <v>52.989870603156497</v>
      </c>
      <c r="O6082">
        <v>52.934751846524399</v>
      </c>
      <c r="P6082">
        <v>-1.05285324167317</v>
      </c>
      <c r="Q6082">
        <v>0.108279601988629</v>
      </c>
      <c r="R6082">
        <v>0.98365943889302099</v>
      </c>
      <c r="S6082" t="s">
        <v>13085</v>
      </c>
      <c r="T6082" t="s">
        <v>14004</v>
      </c>
      <c r="U6082" t="s">
        <v>14004</v>
      </c>
      <c r="V6082" t="s">
        <v>14004</v>
      </c>
      <c r="W6082" t="s">
        <v>20031</v>
      </c>
      <c r="X6082">
        <v>21</v>
      </c>
      <c r="Y6082" t="s">
        <v>26826</v>
      </c>
      <c r="Z6082" t="s">
        <v>33792</v>
      </c>
      <c r="AA6082">
        <v>0.49293587515633758</v>
      </c>
      <c r="AB6082" t="str">
        <f>HYPERLINK("Melting_Curves/meltCurve_Q9HAV7_GRPEL1.pdf", "Melting_Curves/meltCurve_Q9HAV7_GRPEL1.pdf")</f>
        <v>Melting_Curves/meltCurve_Q9HAV7_GRPEL1.pdf</v>
      </c>
    </row>
    <row r="6083" spans="1:28" x14ac:dyDescent="0.25">
      <c r="A6083" t="s">
        <v>6087</v>
      </c>
      <c r="B6083">
        <v>0.99999676499088797</v>
      </c>
      <c r="C6083">
        <v>0.86873644101479497</v>
      </c>
      <c r="D6083">
        <v>0.77545393443592203</v>
      </c>
      <c r="E6083">
        <v>0.66087215662294096</v>
      </c>
      <c r="F6083">
        <v>0.61127731377953498</v>
      </c>
      <c r="G6083">
        <v>0.53382350650913202</v>
      </c>
      <c r="H6083">
        <v>0.485393985124765</v>
      </c>
      <c r="I6083">
        <v>0.62784227805116799</v>
      </c>
      <c r="J6083">
        <v>0.65288592404033197</v>
      </c>
      <c r="K6083">
        <v>0.80274191697925901</v>
      </c>
      <c r="L6083">
        <v>1027.5032944875099</v>
      </c>
      <c r="M6083">
        <v>22.953742463678701</v>
      </c>
      <c r="O6083">
        <v>44.428485453944603</v>
      </c>
      <c r="P6083">
        <v>-4.9205245155689303E-2</v>
      </c>
      <c r="Q6083">
        <v>0.61904723935105199</v>
      </c>
      <c r="R6083">
        <v>0.72023643296994599</v>
      </c>
      <c r="S6083" t="s">
        <v>13086</v>
      </c>
      <c r="T6083" t="s">
        <v>14004</v>
      </c>
      <c r="U6083" t="s">
        <v>14004</v>
      </c>
      <c r="V6083" t="s">
        <v>14004</v>
      </c>
      <c r="W6083" t="s">
        <v>20032</v>
      </c>
      <c r="X6083">
        <v>18</v>
      </c>
      <c r="Y6083" t="s">
        <v>26827</v>
      </c>
      <c r="Z6083" t="s">
        <v>33793</v>
      </c>
      <c r="AA6083">
        <v>0.68433047122531476</v>
      </c>
      <c r="AB6083" t="str">
        <f>HYPERLINK("Melting_Curves/meltCurve_Q9HAW4_CLSPN.pdf", "Melting_Curves/meltCurve_Q9HAW4_CLSPN.pdf")</f>
        <v>Melting_Curves/meltCurve_Q9HAW4_CLSPN.pdf</v>
      </c>
    </row>
    <row r="6084" spans="1:28" x14ac:dyDescent="0.25">
      <c r="A6084" t="s">
        <v>6088</v>
      </c>
      <c r="B6084">
        <v>0.99999676499088797</v>
      </c>
      <c r="C6084">
        <v>0.99634495345668705</v>
      </c>
      <c r="D6084">
        <v>0.99993978177183995</v>
      </c>
      <c r="E6084">
        <v>1.0483780705182999</v>
      </c>
      <c r="F6084">
        <v>0.93359364095377595</v>
      </c>
      <c r="G6084">
        <v>0.68661682024590498</v>
      </c>
      <c r="H6084">
        <v>0.31470608875190398</v>
      </c>
      <c r="I6084">
        <v>0.182185966436269</v>
      </c>
      <c r="J6084">
        <v>0.132427670100804</v>
      </c>
      <c r="K6084">
        <v>0.100818235070207</v>
      </c>
      <c r="L6084">
        <v>1579.4020411854999</v>
      </c>
      <c r="M6084">
        <v>27.159695710313802</v>
      </c>
      <c r="N6084">
        <v>58.656625702545099</v>
      </c>
      <c r="O6084">
        <v>57.839902103030497</v>
      </c>
      <c r="P6084">
        <v>-0.10517173658108001</v>
      </c>
      <c r="Q6084">
        <v>0.104104241057859</v>
      </c>
      <c r="R6084">
        <v>0.99767442328637301</v>
      </c>
      <c r="S6084" t="s">
        <v>13087</v>
      </c>
      <c r="T6084" t="s">
        <v>14004</v>
      </c>
      <c r="U6084" t="s">
        <v>14004</v>
      </c>
      <c r="V6084" t="s">
        <v>14004</v>
      </c>
      <c r="W6084" t="s">
        <v>20033</v>
      </c>
      <c r="X6084">
        <v>15</v>
      </c>
      <c r="Y6084" t="s">
        <v>26828</v>
      </c>
      <c r="Z6084" t="s">
        <v>33794</v>
      </c>
      <c r="AA6084">
        <v>0.65306480059301752</v>
      </c>
      <c r="AB6084" t="str">
        <f>HYPERLINK("Melting_Curves/meltCurve_Q9HB07_C12orf10.pdf", "Melting_Curves/meltCurve_Q9HB07_C12orf10.pdf")</f>
        <v>Melting_Curves/meltCurve_Q9HB07_C12orf10.pdf</v>
      </c>
    </row>
    <row r="6085" spans="1:28" x14ac:dyDescent="0.25">
      <c r="A6085" t="s">
        <v>6089</v>
      </c>
      <c r="B6085">
        <v>0.99999676499088797</v>
      </c>
      <c r="C6085">
        <v>0.847355704577337</v>
      </c>
      <c r="D6085">
        <v>0.84232166660866703</v>
      </c>
      <c r="E6085">
        <v>0.58276600594464301</v>
      </c>
      <c r="F6085">
        <v>0.33505098456716897</v>
      </c>
      <c r="G6085">
        <v>0.18733824755418599</v>
      </c>
      <c r="H6085">
        <v>9.1395315824023396E-2</v>
      </c>
      <c r="I6085">
        <v>0.135154536904489</v>
      </c>
      <c r="J6085">
        <v>0.101691982424713</v>
      </c>
      <c r="K6085">
        <v>8.9078991610903602E-2</v>
      </c>
      <c r="L6085">
        <v>770.28374165044795</v>
      </c>
      <c r="M6085">
        <v>15.3913758064049</v>
      </c>
      <c r="N6085">
        <v>50.5671692139165</v>
      </c>
      <c r="O6085">
        <v>49.224447924483997</v>
      </c>
      <c r="P6085">
        <v>-7.2447292814468101E-2</v>
      </c>
      <c r="Q6085">
        <v>7.3285668475029694E-2</v>
      </c>
      <c r="R6085">
        <v>0.98997769897460897</v>
      </c>
      <c r="S6085" t="s">
        <v>13088</v>
      </c>
      <c r="T6085" t="s">
        <v>14004</v>
      </c>
      <c r="U6085" t="s">
        <v>14004</v>
      </c>
      <c r="V6085" t="s">
        <v>14004</v>
      </c>
      <c r="W6085" t="s">
        <v>20034</v>
      </c>
      <c r="X6085">
        <v>3</v>
      </c>
      <c r="Y6085" t="s">
        <v>26829</v>
      </c>
      <c r="Z6085" t="s">
        <v>33795</v>
      </c>
      <c r="AA6085">
        <v>0.40470412489315011</v>
      </c>
      <c r="AB6085" t="str">
        <f>HYPERLINK("Melting_Curves/meltCurve_Q9HB09_BCL2L12.pdf", "Melting_Curves/meltCurve_Q9HB09_BCL2L12.pdf")</f>
        <v>Melting_Curves/meltCurve_Q9HB09_BCL2L12.pdf</v>
      </c>
    </row>
    <row r="6086" spans="1:28" x14ac:dyDescent="0.25">
      <c r="A6086" t="s">
        <v>6090</v>
      </c>
      <c r="B6086">
        <v>0.99999676499088797</v>
      </c>
      <c r="C6086">
        <v>0.778615475145783</v>
      </c>
      <c r="D6086">
        <v>0.332801496986183</v>
      </c>
      <c r="E6086">
        <v>0.150755929895318</v>
      </c>
      <c r="F6086">
        <v>0.121914187485646</v>
      </c>
      <c r="G6086">
        <v>8.9890528179621398E-2</v>
      </c>
      <c r="H6086">
        <v>5.0575310366776198E-2</v>
      </c>
      <c r="I6086">
        <v>5.0278270978614398E-2</v>
      </c>
      <c r="J6086">
        <v>5.3111125213176298E-2</v>
      </c>
      <c r="K6086">
        <v>4.16291687712931E-2</v>
      </c>
      <c r="L6086">
        <v>1276.2827083889399</v>
      </c>
      <c r="M6086">
        <v>28.591202905752301</v>
      </c>
      <c r="N6086">
        <v>44.8724959362711</v>
      </c>
      <c r="O6086">
        <v>44.422336473986498</v>
      </c>
      <c r="P6086">
        <v>-0.14978515271741299</v>
      </c>
      <c r="Q6086">
        <v>6.91187148563987E-2</v>
      </c>
      <c r="R6086">
        <v>0.99407960411848395</v>
      </c>
      <c r="S6086" t="s">
        <v>13089</v>
      </c>
      <c r="T6086" t="s">
        <v>14004</v>
      </c>
      <c r="U6086" t="s">
        <v>14004</v>
      </c>
      <c r="V6086" t="s">
        <v>14004</v>
      </c>
      <c r="W6086" t="s">
        <v>20035</v>
      </c>
      <c r="X6086">
        <v>7</v>
      </c>
      <c r="Y6086" t="s">
        <v>26830</v>
      </c>
      <c r="Z6086" t="s">
        <v>33796</v>
      </c>
      <c r="AA6086">
        <v>0.22003904317066561</v>
      </c>
      <c r="AB6086" t="str">
        <f>HYPERLINK("Melting_Curves/meltCurve_Q9HB19_PLEKHA2.pdf", "Melting_Curves/meltCurve_Q9HB19_PLEKHA2.pdf")</f>
        <v>Melting_Curves/meltCurve_Q9HB19_PLEKHA2.pdf</v>
      </c>
    </row>
    <row r="6087" spans="1:28" x14ac:dyDescent="0.25">
      <c r="A6087" t="s">
        <v>6091</v>
      </c>
      <c r="B6087">
        <v>0.99999676499088797</v>
      </c>
      <c r="C6087">
        <v>0.76783902825427797</v>
      </c>
      <c r="D6087">
        <v>0.69323954523036102</v>
      </c>
      <c r="E6087">
        <v>0.28794385985645699</v>
      </c>
      <c r="F6087">
        <v>0.31471903695820103</v>
      </c>
      <c r="G6087">
        <v>0.20256883218862901</v>
      </c>
      <c r="H6087">
        <v>0.116034224883972</v>
      </c>
      <c r="I6087">
        <v>8.2514294740777705E-2</v>
      </c>
      <c r="J6087">
        <v>9.2663978382636694E-2</v>
      </c>
      <c r="K6087">
        <v>9.2003321626553794E-2</v>
      </c>
      <c r="L6087">
        <v>678.066982282818</v>
      </c>
      <c r="M6087">
        <v>14.367901314701699</v>
      </c>
      <c r="N6087">
        <v>47.848546046851503</v>
      </c>
      <c r="O6087">
        <v>46.3072257505058</v>
      </c>
      <c r="P6087">
        <v>-7.0648443194951893E-2</v>
      </c>
      <c r="Q6087">
        <v>8.9319474261348702E-2</v>
      </c>
      <c r="R6087">
        <v>0.96938762494003505</v>
      </c>
      <c r="S6087" t="s">
        <v>13090</v>
      </c>
      <c r="T6087" t="s">
        <v>14004</v>
      </c>
      <c r="U6087" t="s">
        <v>14004</v>
      </c>
      <c r="V6087" t="s">
        <v>14004</v>
      </c>
      <c r="W6087" t="s">
        <v>20036</v>
      </c>
      <c r="X6087">
        <v>2</v>
      </c>
      <c r="Y6087" t="s">
        <v>26831</v>
      </c>
      <c r="Z6087" t="s">
        <v>33797</v>
      </c>
      <c r="AA6087">
        <v>0.33435948162516088</v>
      </c>
      <c r="AB6087" t="str">
        <f>HYPERLINK("Melting_Curves/meltCurve_Q9HB20_PLEKHA3.pdf", "Melting_Curves/meltCurve_Q9HB20_PLEKHA3.pdf")</f>
        <v>Melting_Curves/meltCurve_Q9HB20_PLEKHA3.pdf</v>
      </c>
    </row>
    <row r="6088" spans="1:28" x14ac:dyDescent="0.25">
      <c r="A6088" t="s">
        <v>6092</v>
      </c>
      <c r="B6088">
        <v>0.99999676499088797</v>
      </c>
      <c r="C6088">
        <v>0.82905088861508203</v>
      </c>
      <c r="D6088">
        <v>0.52567882186211901</v>
      </c>
      <c r="E6088">
        <v>0.18390691540360299</v>
      </c>
      <c r="F6088">
        <v>0.146308335462452</v>
      </c>
      <c r="G6088">
        <v>9.5412336844232504E-2</v>
      </c>
      <c r="H6088">
        <v>4.43778735902444E-2</v>
      </c>
      <c r="I6088">
        <v>3.7470493076675902E-2</v>
      </c>
      <c r="J6088">
        <v>3.1003306759036502E-2</v>
      </c>
      <c r="K6088">
        <v>3.0055543836146701E-2</v>
      </c>
      <c r="L6088">
        <v>1001.27225295243</v>
      </c>
      <c r="M6088">
        <v>21.771888136009601</v>
      </c>
      <c r="N6088">
        <v>46.205606571969398</v>
      </c>
      <c r="O6088">
        <v>45.606508804789797</v>
      </c>
      <c r="P6088">
        <v>-0.113564869881655</v>
      </c>
      <c r="Q6088">
        <v>4.8465207145218597E-2</v>
      </c>
      <c r="R6088">
        <v>0.99446616547459998</v>
      </c>
      <c r="S6088" t="s">
        <v>13091</v>
      </c>
      <c r="T6088" t="s">
        <v>14004</v>
      </c>
      <c r="U6088" t="s">
        <v>14004</v>
      </c>
      <c r="V6088" t="s">
        <v>14004</v>
      </c>
      <c r="W6088" t="s">
        <v>20037</v>
      </c>
      <c r="X6088">
        <v>6</v>
      </c>
      <c r="Y6088" t="s">
        <v>26832</v>
      </c>
      <c r="Z6088" t="s">
        <v>33798</v>
      </c>
      <c r="AA6088">
        <v>0.25053841156294371</v>
      </c>
      <c r="AB6088" t="str">
        <f>HYPERLINK("Melting_Curves/meltCurve_Q9HB21_PLEKHA1.pdf", "Melting_Curves/meltCurve_Q9HB21_PLEKHA1.pdf")</f>
        <v>Melting_Curves/meltCurve_Q9HB21_PLEKHA1.pdf</v>
      </c>
    </row>
    <row r="6089" spans="1:28" x14ac:dyDescent="0.25">
      <c r="A6089" t="s">
        <v>6093</v>
      </c>
      <c r="B6089">
        <v>0.99999676499088797</v>
      </c>
      <c r="C6089">
        <v>0.98735077528771198</v>
      </c>
      <c r="D6089">
        <v>1.0652552675840901</v>
      </c>
      <c r="E6089">
        <v>1.2478504305170099</v>
      </c>
      <c r="F6089">
        <v>1.30191491982306</v>
      </c>
      <c r="G6089">
        <v>1.0554127686482899</v>
      </c>
      <c r="H6089">
        <v>0.32664949523657899</v>
      </c>
      <c r="I6089">
        <v>0.22245910944303099</v>
      </c>
      <c r="J6089">
        <v>0.172226552556806</v>
      </c>
      <c r="K6089">
        <v>0.19473765667083401</v>
      </c>
      <c r="L6089">
        <v>13069.5984059273</v>
      </c>
      <c r="M6089">
        <v>216.603861667914</v>
      </c>
      <c r="N6089">
        <v>60.478078132416499</v>
      </c>
      <c r="O6089">
        <v>60.333575486171199</v>
      </c>
      <c r="P6089">
        <v>-0.72118666088530903</v>
      </c>
      <c r="Q6089">
        <v>0.19647294184549199</v>
      </c>
      <c r="R6089">
        <v>0.91781413406798995</v>
      </c>
      <c r="S6089" t="s">
        <v>13092</v>
      </c>
      <c r="T6089" t="s">
        <v>14004</v>
      </c>
      <c r="U6089" t="s">
        <v>14004</v>
      </c>
      <c r="V6089" t="s">
        <v>14004</v>
      </c>
      <c r="W6089" t="s">
        <v>20038</v>
      </c>
      <c r="X6089">
        <v>10</v>
      </c>
      <c r="Y6089" t="s">
        <v>26833</v>
      </c>
      <c r="Z6089" t="s">
        <v>33799</v>
      </c>
      <c r="AA6089">
        <v>0.74134319327000342</v>
      </c>
      <c r="AB6089" t="str">
        <f>HYPERLINK("Melting_Curves/meltCurve_Q9HB40_SCPEP1.pdf", "Melting_Curves/meltCurve_Q9HB40_SCPEP1.pdf")</f>
        <v>Melting_Curves/meltCurve_Q9HB40_SCPEP1.pdf</v>
      </c>
    </row>
    <row r="6090" spans="1:28" x14ac:dyDescent="0.25">
      <c r="A6090" t="s">
        <v>6094</v>
      </c>
      <c r="B6090">
        <v>0.99999676499088797</v>
      </c>
      <c r="C6090">
        <v>0.94023239966948002</v>
      </c>
      <c r="D6090">
        <v>0.95745222615475001</v>
      </c>
      <c r="E6090">
        <v>0.90635191137377402</v>
      </c>
      <c r="F6090">
        <v>0.47063372697441802</v>
      </c>
      <c r="G6090">
        <v>0.212282640761601</v>
      </c>
      <c r="H6090">
        <v>8.7414005921936294E-2</v>
      </c>
      <c r="I6090">
        <v>8.1511662478425895E-2</v>
      </c>
      <c r="J6090">
        <v>7.5113292610429094E-2</v>
      </c>
      <c r="K6090">
        <v>7.1581163329262398E-2</v>
      </c>
      <c r="L6090">
        <v>1523.2468966571801</v>
      </c>
      <c r="M6090">
        <v>28.82788792757</v>
      </c>
      <c r="N6090">
        <v>53.1408680163875</v>
      </c>
      <c r="O6090">
        <v>52.587046318182701</v>
      </c>
      <c r="P6090">
        <v>-0.126709750659527</v>
      </c>
      <c r="Q6090">
        <v>7.5445185545665594E-2</v>
      </c>
      <c r="R6090">
        <v>0.99595730375991598</v>
      </c>
      <c r="S6090" t="s">
        <v>13093</v>
      </c>
      <c r="T6090" t="s">
        <v>14004</v>
      </c>
      <c r="U6090" t="s">
        <v>14004</v>
      </c>
      <c r="V6090" t="s">
        <v>14004</v>
      </c>
      <c r="W6090" t="s">
        <v>20039</v>
      </c>
      <c r="X6090">
        <v>25</v>
      </c>
      <c r="Y6090" t="s">
        <v>26834</v>
      </c>
      <c r="Z6090" t="s">
        <v>33800</v>
      </c>
      <c r="AA6090">
        <v>0.47760200112336998</v>
      </c>
      <c r="AB6090" t="str">
        <f>HYPERLINK("Melting_Curves/meltCurve_Q9HB71_CACYBP.pdf", "Melting_Curves/meltCurve_Q9HB71_CACYBP.pdf")</f>
        <v>Melting_Curves/meltCurve_Q9HB71_CACYBP.pdf</v>
      </c>
    </row>
    <row r="6091" spans="1:28" x14ac:dyDescent="0.25">
      <c r="A6091" t="s">
        <v>6095</v>
      </c>
      <c r="B6091">
        <v>0.99999676499088797</v>
      </c>
      <c r="C6091">
        <v>0.96020410963436198</v>
      </c>
      <c r="D6091">
        <v>1.0405289198816301</v>
      </c>
      <c r="E6091">
        <v>1.10858573683921</v>
      </c>
      <c r="F6091">
        <v>1.2374842433558899</v>
      </c>
      <c r="G6091">
        <v>0.92513492348076398</v>
      </c>
      <c r="H6091">
        <v>0.75984215973173397</v>
      </c>
      <c r="I6091">
        <v>0.423697995267942</v>
      </c>
      <c r="J6091">
        <v>0.26014634193688702</v>
      </c>
      <c r="K6091">
        <v>0.200186732438592</v>
      </c>
      <c r="L6091">
        <v>2077.5326785296802</v>
      </c>
      <c r="M6091">
        <v>33.322098333639403</v>
      </c>
      <c r="N6091">
        <v>63.215717023110201</v>
      </c>
      <c r="O6091">
        <v>62.123711325042997</v>
      </c>
      <c r="P6091">
        <v>-0.109462704856005</v>
      </c>
      <c r="Q6091">
        <v>0.183700542576472</v>
      </c>
      <c r="R6091">
        <v>0.93868202665168898</v>
      </c>
      <c r="S6091" t="s">
        <v>13094</v>
      </c>
      <c r="T6091" t="s">
        <v>14004</v>
      </c>
      <c r="U6091" t="s">
        <v>14004</v>
      </c>
      <c r="V6091" t="s">
        <v>14004</v>
      </c>
      <c r="W6091" t="s">
        <v>20040</v>
      </c>
      <c r="X6091">
        <v>10</v>
      </c>
      <c r="Y6091" t="s">
        <v>26835</v>
      </c>
      <c r="Z6091" t="s">
        <v>33801</v>
      </c>
      <c r="AA6091">
        <v>0.79506890708071221</v>
      </c>
      <c r="AB6091" t="str">
        <f>HYPERLINK("Melting_Curves/meltCurve_Q9HB90_RRAGC.pdf", "Melting_Curves/meltCurve_Q9HB90_RRAGC.pdf")</f>
        <v>Melting_Curves/meltCurve_Q9HB90_RRAGC.pdf</v>
      </c>
    </row>
    <row r="6092" spans="1:28" x14ac:dyDescent="0.25">
      <c r="A6092" t="s">
        <v>6096</v>
      </c>
      <c r="B6092">
        <v>0.99999676499088797</v>
      </c>
      <c r="C6092">
        <v>0.92761823494358697</v>
      </c>
      <c r="D6092">
        <v>0.510000441942566</v>
      </c>
      <c r="E6092">
        <v>0.26568240542302701</v>
      </c>
      <c r="F6092">
        <v>0.19194777538885599</v>
      </c>
      <c r="G6092">
        <v>0.16320330071429301</v>
      </c>
      <c r="H6092">
        <v>8.8350265603275094E-2</v>
      </c>
      <c r="I6092">
        <v>0.10773516869454</v>
      </c>
      <c r="J6092">
        <v>0.107234671384692</v>
      </c>
      <c r="K6092">
        <v>7.1415682348367301E-2</v>
      </c>
      <c r="L6092">
        <v>1175.3873808064</v>
      </c>
      <c r="M6092">
        <v>25.564990834606899</v>
      </c>
      <c r="N6092">
        <v>46.4614332934689</v>
      </c>
      <c r="O6092">
        <v>45.697894383371803</v>
      </c>
      <c r="P6092">
        <v>-0.12348134347853</v>
      </c>
      <c r="Q6092">
        <v>0.117110114843546</v>
      </c>
      <c r="R6092">
        <v>0.98838709222356902</v>
      </c>
      <c r="S6092" t="s">
        <v>13095</v>
      </c>
      <c r="T6092" t="s">
        <v>14004</v>
      </c>
      <c r="U6092" t="s">
        <v>14004</v>
      </c>
      <c r="V6092" t="s">
        <v>14004</v>
      </c>
      <c r="W6092" t="s">
        <v>20041</v>
      </c>
      <c r="X6092">
        <v>33</v>
      </c>
      <c r="Y6092" t="s">
        <v>26836</v>
      </c>
      <c r="Z6092" t="s">
        <v>33802</v>
      </c>
      <c r="AA6092">
        <v>0.30075071346892351</v>
      </c>
      <c r="AB6092" t="str">
        <f>HYPERLINK("Melting_Curves/meltCurve_Q9HBD4_SMARCA4.pdf", "Melting_Curves/meltCurve_Q9HBD4_SMARCA4.pdf")</f>
        <v>Melting_Curves/meltCurve_Q9HBD4_SMARCA4.pdf</v>
      </c>
    </row>
    <row r="6093" spans="1:28" x14ac:dyDescent="0.25">
      <c r="A6093" t="s">
        <v>6097</v>
      </c>
      <c r="B6093">
        <v>0.99999676499088797</v>
      </c>
      <c r="C6093">
        <v>1.0651270601825999</v>
      </c>
      <c r="D6093">
        <v>0.91347261729288398</v>
      </c>
      <c r="E6093">
        <v>0.52464670483315701</v>
      </c>
      <c r="F6093">
        <v>0.25815092739017498</v>
      </c>
      <c r="G6093">
        <v>0.16576611529847099</v>
      </c>
      <c r="H6093">
        <v>7.5629226123476403E-2</v>
      </c>
      <c r="I6093">
        <v>6.8092227802495298E-2</v>
      </c>
      <c r="J6093">
        <v>6.3636215083403294E-2</v>
      </c>
      <c r="K6093">
        <v>4.4181317489524898E-2</v>
      </c>
      <c r="L6093">
        <v>1195.3834858963401</v>
      </c>
      <c r="M6093">
        <v>23.984660112726498</v>
      </c>
      <c r="N6093">
        <v>50.157052855479897</v>
      </c>
      <c r="O6093">
        <v>49.4969154400411</v>
      </c>
      <c r="P6093">
        <v>-0.112610562720605</v>
      </c>
      <c r="Q6093">
        <v>7.0441372808729599E-2</v>
      </c>
      <c r="R6093">
        <v>0.99209216328005001</v>
      </c>
      <c r="S6093" t="s">
        <v>13096</v>
      </c>
      <c r="T6093" t="s">
        <v>14004</v>
      </c>
      <c r="U6093" t="s">
        <v>14004</v>
      </c>
      <c r="V6093" t="s">
        <v>14004</v>
      </c>
      <c r="W6093" t="s">
        <v>20042</v>
      </c>
      <c r="X6093">
        <v>15</v>
      </c>
      <c r="Y6093" t="s">
        <v>26837</v>
      </c>
      <c r="Z6093" t="s">
        <v>33803</v>
      </c>
      <c r="AA6093">
        <v>0.38433897507694231</v>
      </c>
      <c r="AB6093" t="str">
        <f>HYPERLINK("Melting_Curves/meltCurve_Q9HBF4_ZFYVE1.pdf", "Melting_Curves/meltCurve_Q9HBF4_ZFYVE1.pdf")</f>
        <v>Melting_Curves/meltCurve_Q9HBF4_ZFYVE1.pdf</v>
      </c>
    </row>
    <row r="6094" spans="1:28" x14ac:dyDescent="0.25">
      <c r="A6094" t="s">
        <v>6098</v>
      </c>
      <c r="B6094">
        <v>0.99999676499088797</v>
      </c>
      <c r="C6094">
        <v>1.04218166188387</v>
      </c>
      <c r="D6094">
        <v>0.96680784120676</v>
      </c>
      <c r="E6094">
        <v>1.1872688338801001</v>
      </c>
      <c r="F6094">
        <v>0.85836037957966305</v>
      </c>
      <c r="G6094">
        <v>0.73910367005329802</v>
      </c>
      <c r="H6094">
        <v>0.231614169860031</v>
      </c>
      <c r="I6094">
        <v>0.155476831358453</v>
      </c>
      <c r="J6094">
        <v>0.123273044740417</v>
      </c>
      <c r="K6094">
        <v>0.14611298217692301</v>
      </c>
      <c r="L6094">
        <v>2079.1159838594499</v>
      </c>
      <c r="M6094">
        <v>35.912723367353202</v>
      </c>
      <c r="N6094">
        <v>58.358950461180399</v>
      </c>
      <c r="O6094">
        <v>57.714950057988403</v>
      </c>
      <c r="P6094">
        <v>-0.13619208520065601</v>
      </c>
      <c r="Q6094">
        <v>0.12451153819159499</v>
      </c>
      <c r="R6094">
        <v>0.96870340822880396</v>
      </c>
      <c r="S6094" t="s">
        <v>13097</v>
      </c>
      <c r="T6094" t="s">
        <v>14004</v>
      </c>
      <c r="U6094" t="s">
        <v>14004</v>
      </c>
      <c r="V6094" t="s">
        <v>14004</v>
      </c>
      <c r="W6094" t="s">
        <v>20043</v>
      </c>
      <c r="X6094">
        <v>5</v>
      </c>
      <c r="Y6094" t="s">
        <v>26838</v>
      </c>
      <c r="Z6094" t="s">
        <v>33804</v>
      </c>
      <c r="AA6094">
        <v>0.65090755294930058</v>
      </c>
      <c r="AB6094" t="str">
        <f>HYPERLINK("Melting_Curves/meltCurve_Q9HBH0_RHOF.pdf", "Melting_Curves/meltCurve_Q9HBH0_RHOF.pdf")</f>
        <v>Melting_Curves/meltCurve_Q9HBH0_RHOF.pdf</v>
      </c>
    </row>
    <row r="6095" spans="1:28" x14ac:dyDescent="0.25">
      <c r="A6095" t="s">
        <v>6099</v>
      </c>
      <c r="B6095">
        <v>0.99999676499088797</v>
      </c>
      <c r="C6095">
        <v>0.905063080498545</v>
      </c>
      <c r="D6095">
        <v>0.70799389446116701</v>
      </c>
      <c r="E6095">
        <v>0.42300170409333498</v>
      </c>
      <c r="F6095">
        <v>0.34822145911588398</v>
      </c>
      <c r="G6095">
        <v>0.182879716330796</v>
      </c>
      <c r="H6095">
        <v>0.17662227936479299</v>
      </c>
      <c r="I6095">
        <v>0.15681499752873199</v>
      </c>
      <c r="J6095">
        <v>0.253530813622179</v>
      </c>
      <c r="K6095">
        <v>0.13063688273293</v>
      </c>
      <c r="L6095">
        <v>839.94365756362799</v>
      </c>
      <c r="M6095">
        <v>17.621223274709099</v>
      </c>
      <c r="N6095">
        <v>48.831430657363597</v>
      </c>
      <c r="O6095">
        <v>47.065411920471703</v>
      </c>
      <c r="P6095">
        <v>-7.75431584689662E-2</v>
      </c>
      <c r="Q6095">
        <v>0.171588780220717</v>
      </c>
      <c r="R6095">
        <v>0.98409307137541602</v>
      </c>
      <c r="S6095" t="s">
        <v>13098</v>
      </c>
      <c r="T6095" t="s">
        <v>14004</v>
      </c>
      <c r="U6095" t="s">
        <v>14004</v>
      </c>
      <c r="V6095" t="s">
        <v>14004</v>
      </c>
      <c r="W6095" t="s">
        <v>20044</v>
      </c>
      <c r="X6095">
        <v>2</v>
      </c>
      <c r="Y6095" t="s">
        <v>26839</v>
      </c>
      <c r="Z6095" t="s">
        <v>33805</v>
      </c>
      <c r="AA6095">
        <v>0.39883585797591442</v>
      </c>
      <c r="AB6095" t="str">
        <f>HYPERLINK("Melting_Curves/meltCurve_Q9HBH1_PDF.pdf", "Melting_Curves/meltCurve_Q9HBH1_PDF.pdf")</f>
        <v>Melting_Curves/meltCurve_Q9HBH1_PDF.pdf</v>
      </c>
    </row>
    <row r="6096" spans="1:28" x14ac:dyDescent="0.25">
      <c r="A6096" t="s">
        <v>6100</v>
      </c>
      <c r="B6096">
        <v>0.99999676499088797</v>
      </c>
      <c r="C6096">
        <v>0.96238136833379695</v>
      </c>
      <c r="D6096">
        <v>0.94025761003442498</v>
      </c>
      <c r="E6096">
        <v>0.61153379966733801</v>
      </c>
      <c r="F6096">
        <v>0.23503906442114</v>
      </c>
      <c r="G6096">
        <v>0.169523566923964</v>
      </c>
      <c r="H6096">
        <v>7.9260262751266602E-2</v>
      </c>
      <c r="I6096">
        <v>9.4212995539768196E-2</v>
      </c>
      <c r="J6096">
        <v>7.4503768216682698E-2</v>
      </c>
      <c r="K6096">
        <v>5.5331386742276799E-2</v>
      </c>
      <c r="L6096">
        <v>1306.63407570459</v>
      </c>
      <c r="M6096">
        <v>26.0230721818006</v>
      </c>
      <c r="N6096">
        <v>50.548289666596098</v>
      </c>
      <c r="O6096">
        <v>49.916909224269098</v>
      </c>
      <c r="P6096">
        <v>-0.11993449892724301</v>
      </c>
      <c r="Q6096">
        <v>7.9787219753059205E-2</v>
      </c>
      <c r="R6096">
        <v>0.99704157758671397</v>
      </c>
      <c r="S6096" t="s">
        <v>13099</v>
      </c>
      <c r="T6096" t="s">
        <v>14004</v>
      </c>
      <c r="U6096" t="s">
        <v>14004</v>
      </c>
      <c r="V6096" t="s">
        <v>14004</v>
      </c>
      <c r="W6096" t="s">
        <v>20045</v>
      </c>
      <c r="X6096">
        <v>8</v>
      </c>
      <c r="Y6096" t="s">
        <v>26840</v>
      </c>
      <c r="Z6096" t="s">
        <v>33806</v>
      </c>
      <c r="AA6096">
        <v>0.40059048514151441</v>
      </c>
      <c r="AB6096" t="str">
        <f>HYPERLINK("Melting_Curves/meltCurve_Q9HBH5_RDH14.pdf", "Melting_Curves/meltCurve_Q9HBH5_RDH14.pdf")</f>
        <v>Melting_Curves/meltCurve_Q9HBH5_RDH14.pdf</v>
      </c>
    </row>
    <row r="6097" spans="1:28" x14ac:dyDescent="0.25">
      <c r="A6097" t="s">
        <v>6101</v>
      </c>
      <c r="B6097">
        <v>0.99999676499088797</v>
      </c>
      <c r="C6097">
        <v>0.81425559540565295</v>
      </c>
      <c r="D6097">
        <v>0.67883539735273002</v>
      </c>
      <c r="E6097">
        <v>0.28295297894572502</v>
      </c>
      <c r="F6097">
        <v>0.19457249172341401</v>
      </c>
      <c r="G6097">
        <v>0.141849888523391</v>
      </c>
      <c r="H6097">
        <v>9.2752001955006796E-2</v>
      </c>
      <c r="I6097">
        <v>8.1512453450719793E-2</v>
      </c>
      <c r="J6097">
        <v>8.5606135441072304E-2</v>
      </c>
      <c r="K6097">
        <v>0.100827255952297</v>
      </c>
      <c r="L6097">
        <v>895.46186069889905</v>
      </c>
      <c r="M6097">
        <v>19.092132039595601</v>
      </c>
      <c r="N6097">
        <v>47.391125513026701</v>
      </c>
      <c r="O6097">
        <v>46.396672220207897</v>
      </c>
      <c r="P6097">
        <v>-9.3680928229887897E-2</v>
      </c>
      <c r="Q6097">
        <v>8.9402203290021895E-2</v>
      </c>
      <c r="R6097">
        <v>0.99110131607155205</v>
      </c>
      <c r="S6097" t="s">
        <v>13100</v>
      </c>
      <c r="T6097" t="s">
        <v>14004</v>
      </c>
      <c r="U6097" t="s">
        <v>14004</v>
      </c>
      <c r="V6097" t="s">
        <v>14004</v>
      </c>
      <c r="W6097" t="s">
        <v>20046</v>
      </c>
      <c r="X6097">
        <v>5</v>
      </c>
      <c r="Y6097" t="s">
        <v>26841</v>
      </c>
      <c r="Z6097" t="s">
        <v>33807</v>
      </c>
      <c r="AA6097">
        <v>0.31373904070783681</v>
      </c>
      <c r="AB6097" t="str">
        <f>HYPERLINK("Melting_Curves/meltCurve_Q9HBI0_PARVG.pdf", "Melting_Curves/meltCurve_Q9HBI0_PARVG.pdf")</f>
        <v>Melting_Curves/meltCurve_Q9HBI0_PARVG.pdf</v>
      </c>
    </row>
    <row r="6098" spans="1:28" x14ac:dyDescent="0.25">
      <c r="A6098" t="s">
        <v>6102</v>
      </c>
      <c r="B6098">
        <v>0.99999676499088797</v>
      </c>
      <c r="C6098">
        <v>0.93168272900344495</v>
      </c>
      <c r="D6098">
        <v>1.01083231707138</v>
      </c>
      <c r="E6098">
        <v>0.91938317331362396</v>
      </c>
      <c r="F6098">
        <v>0.93871219193048006</v>
      </c>
      <c r="G6098">
        <v>0.90264319351783795</v>
      </c>
      <c r="H6098">
        <v>0.771174234238171</v>
      </c>
      <c r="I6098">
        <v>0.80796384559578904</v>
      </c>
      <c r="J6098">
        <v>0.75667009724997103</v>
      </c>
      <c r="K6098">
        <v>0.68947541633282905</v>
      </c>
      <c r="L6098">
        <v>350.14020231324002</v>
      </c>
      <c r="M6098">
        <v>4.27114947839795</v>
      </c>
      <c r="O6098">
        <v>68.656741653995795</v>
      </c>
      <c r="P6098">
        <v>-1.45614556774848E-2</v>
      </c>
      <c r="Q6098">
        <v>7.3354537175763193E-2</v>
      </c>
      <c r="R6098">
        <v>0.90347018188519801</v>
      </c>
      <c r="S6098" t="s">
        <v>13101</v>
      </c>
      <c r="T6098" t="s">
        <v>14004</v>
      </c>
      <c r="U6098" t="s">
        <v>14004</v>
      </c>
      <c r="V6098" t="s">
        <v>14004</v>
      </c>
      <c r="W6098" t="s">
        <v>20047</v>
      </c>
      <c r="X6098">
        <v>7</v>
      </c>
      <c r="Y6098" t="s">
        <v>26842</v>
      </c>
      <c r="Z6098" t="s">
        <v>33808</v>
      </c>
      <c r="AA6098">
        <v>0.87920758883432726</v>
      </c>
      <c r="AB6098" t="str">
        <f>HYPERLINK("Melting_Curves/meltCurve_Q9HBL7_PLGRKT.pdf", "Melting_Curves/meltCurve_Q9HBL7_PLGRKT.pdf")</f>
        <v>Melting_Curves/meltCurve_Q9HBL7_PLGRKT.pdf</v>
      </c>
    </row>
    <row r="6099" spans="1:28" x14ac:dyDescent="0.25">
      <c r="A6099" t="s">
        <v>6103</v>
      </c>
      <c r="B6099">
        <v>0.99999676499088797</v>
      </c>
      <c r="C6099">
        <v>1.0319007488666001</v>
      </c>
      <c r="D6099">
        <v>0.95257944501161795</v>
      </c>
      <c r="E6099">
        <v>0.68660780847489</v>
      </c>
      <c r="F6099">
        <v>0.287312436447275</v>
      </c>
      <c r="G6099">
        <v>0.240380891660849</v>
      </c>
      <c r="H6099">
        <v>0.141804512653604</v>
      </c>
      <c r="I6099">
        <v>0.143620199653338</v>
      </c>
      <c r="J6099">
        <v>0.14895286951094899</v>
      </c>
      <c r="K6099">
        <v>0.123199527469371</v>
      </c>
      <c r="L6099">
        <v>1448.27822423612</v>
      </c>
      <c r="M6099">
        <v>28.675380832906299</v>
      </c>
      <c r="N6099">
        <v>51.127850282748703</v>
      </c>
      <c r="O6099">
        <v>50.262267590782599</v>
      </c>
      <c r="P6099">
        <v>-0.121631105081416</v>
      </c>
      <c r="Q6099">
        <v>0.14722565763805401</v>
      </c>
      <c r="R6099">
        <v>0.99562947016119496</v>
      </c>
      <c r="S6099" t="s">
        <v>13102</v>
      </c>
      <c r="T6099" t="s">
        <v>14004</v>
      </c>
      <c r="U6099" t="s">
        <v>14004</v>
      </c>
      <c r="V6099" t="s">
        <v>14004</v>
      </c>
      <c r="W6099" t="s">
        <v>20048</v>
      </c>
      <c r="X6099">
        <v>16</v>
      </c>
      <c r="Y6099" t="s">
        <v>26843</v>
      </c>
      <c r="Z6099" t="s">
        <v>33809</v>
      </c>
      <c r="AA6099">
        <v>0.4516906676568529</v>
      </c>
      <c r="AB6099" t="str">
        <f>HYPERLINK("Melting_Curves/meltCurve_Q9HBL8_NMRAL1.pdf", "Melting_Curves/meltCurve_Q9HBL8_NMRAL1.pdf")</f>
        <v>Melting_Curves/meltCurve_Q9HBL8_NMRAL1.pdf</v>
      </c>
    </row>
    <row r="6100" spans="1:28" x14ac:dyDescent="0.25">
      <c r="A6100" t="s">
        <v>6104</v>
      </c>
      <c r="B6100">
        <v>0.99999676499088797</v>
      </c>
      <c r="C6100">
        <v>0.89501712578760695</v>
      </c>
      <c r="D6100">
        <v>0.78099127385346601</v>
      </c>
      <c r="E6100">
        <v>0.35379509892278199</v>
      </c>
      <c r="F6100">
        <v>0.301018707256275</v>
      </c>
      <c r="G6100">
        <v>0.18312954772308801</v>
      </c>
      <c r="H6100">
        <v>9.5505732364353904E-2</v>
      </c>
      <c r="I6100">
        <v>0.106037168690589</v>
      </c>
      <c r="J6100">
        <v>0.103944738327025</v>
      </c>
      <c r="K6100">
        <v>8.1926363255507798E-2</v>
      </c>
      <c r="L6100">
        <v>880.42616463315596</v>
      </c>
      <c r="M6100">
        <v>18.2800618962798</v>
      </c>
      <c r="N6100">
        <v>48.7561492380799</v>
      </c>
      <c r="O6100">
        <v>47.597910475711501</v>
      </c>
      <c r="P6100">
        <v>-8.6447758332232005E-2</v>
      </c>
      <c r="Q6100">
        <v>9.96657106043813E-2</v>
      </c>
      <c r="R6100">
        <v>0.98656918349283196</v>
      </c>
      <c r="S6100" t="s">
        <v>13103</v>
      </c>
      <c r="T6100" t="s">
        <v>14004</v>
      </c>
      <c r="U6100" t="s">
        <v>14004</v>
      </c>
      <c r="V6100" t="s">
        <v>14004</v>
      </c>
      <c r="W6100" t="s">
        <v>20049</v>
      </c>
      <c r="X6100">
        <v>8</v>
      </c>
      <c r="Y6100" t="s">
        <v>26844</v>
      </c>
      <c r="Z6100" t="s">
        <v>33810</v>
      </c>
      <c r="AA6100">
        <v>0.36004930159256598</v>
      </c>
      <c r="AB6100" t="str">
        <f>HYPERLINK("Melting_Curves/meltCurve_Q9HBM1_SPC25.pdf", "Melting_Curves/meltCurve_Q9HBM1_SPC25.pdf")</f>
        <v>Melting_Curves/meltCurve_Q9HBM1_SPC25.pdf</v>
      </c>
    </row>
    <row r="6101" spans="1:28" x14ac:dyDescent="0.25">
      <c r="A6101" t="s">
        <v>6105</v>
      </c>
      <c r="B6101">
        <v>0.99999676499088797</v>
      </c>
      <c r="C6101">
        <v>0.92326224635269705</v>
      </c>
      <c r="D6101">
        <v>0.72973790336772704</v>
      </c>
      <c r="E6101">
        <v>0.54723424539721</v>
      </c>
      <c r="F6101">
        <v>0.55067188682771995</v>
      </c>
      <c r="G6101">
        <v>0.43603746416560601</v>
      </c>
      <c r="H6101">
        <v>0.32089586312947299</v>
      </c>
      <c r="I6101">
        <v>0.34060453223203202</v>
      </c>
      <c r="J6101">
        <v>0.31002515689791199</v>
      </c>
      <c r="K6101">
        <v>0.32033292621162002</v>
      </c>
      <c r="L6101">
        <v>601.04381450738401</v>
      </c>
      <c r="M6101">
        <v>12.3845645486777</v>
      </c>
      <c r="N6101">
        <v>52.508170265110202</v>
      </c>
      <c r="O6101">
        <v>47.318400769446598</v>
      </c>
      <c r="P6101">
        <v>-4.5532451051093402E-2</v>
      </c>
      <c r="Q6101">
        <v>0.30427476452165603</v>
      </c>
      <c r="R6101">
        <v>0.97293388565018701</v>
      </c>
      <c r="S6101" t="s">
        <v>13104</v>
      </c>
      <c r="T6101" t="s">
        <v>14004</v>
      </c>
      <c r="U6101" t="s">
        <v>14004</v>
      </c>
      <c r="V6101" t="s">
        <v>14004</v>
      </c>
      <c r="W6101" t="s">
        <v>20050</v>
      </c>
      <c r="X6101">
        <v>11</v>
      </c>
      <c r="Y6101" t="s">
        <v>26845</v>
      </c>
      <c r="Z6101" t="s">
        <v>33811</v>
      </c>
      <c r="AA6101">
        <v>0.5270381787762991</v>
      </c>
      <c r="AB6101" t="str">
        <f>HYPERLINK("Melting_Curves/meltCurve_Q9HBM6_TAF9B.pdf", "Melting_Curves/meltCurve_Q9HBM6_TAF9B.pdf")</f>
        <v>Melting_Curves/meltCurve_Q9HBM6_TAF9B.pdf</v>
      </c>
    </row>
    <row r="6102" spans="1:28" x14ac:dyDescent="0.25">
      <c r="A6102" t="s">
        <v>6106</v>
      </c>
      <c r="B6102">
        <v>0.99999676499088797</v>
      </c>
      <c r="C6102">
        <v>1.05840294281542</v>
      </c>
      <c r="D6102">
        <v>0.96073583006865004</v>
      </c>
      <c r="E6102">
        <v>0.68117580314069603</v>
      </c>
      <c r="F6102">
        <v>0.28269899401149501</v>
      </c>
      <c r="G6102">
        <v>0.19650772726170401</v>
      </c>
      <c r="H6102">
        <v>6.2632174537342197E-2</v>
      </c>
      <c r="I6102">
        <v>6.6904999808892099E-2</v>
      </c>
      <c r="J6102">
        <v>5.1091034966202202E-2</v>
      </c>
      <c r="K6102">
        <v>3.6151015412595702E-2</v>
      </c>
      <c r="L6102">
        <v>1256.46946998305</v>
      </c>
      <c r="M6102">
        <v>24.634818364242498</v>
      </c>
      <c r="N6102">
        <v>51.261946949103603</v>
      </c>
      <c r="O6102">
        <v>50.671278445102097</v>
      </c>
      <c r="P6102">
        <v>-0.114453905751618</v>
      </c>
      <c r="Q6102">
        <v>5.8333954006570203E-2</v>
      </c>
      <c r="R6102">
        <v>0.99350804733933495</v>
      </c>
      <c r="S6102" t="s">
        <v>13105</v>
      </c>
      <c r="T6102" t="s">
        <v>14004</v>
      </c>
      <c r="U6102" t="s">
        <v>14004</v>
      </c>
      <c r="V6102" t="s">
        <v>14004</v>
      </c>
      <c r="W6102" t="s">
        <v>20051</v>
      </c>
      <c r="X6102">
        <v>7</v>
      </c>
      <c r="Y6102" t="s">
        <v>26846</v>
      </c>
      <c r="Z6102" t="s">
        <v>33812</v>
      </c>
      <c r="AA6102">
        <v>0.4124878660209898</v>
      </c>
      <c r="AB6102" t="str">
        <f>HYPERLINK("Melting_Curves/meltCurve_Q9HBM8_AGPAT1.pdf", "Melting_Curves/meltCurve_Q9HBM8_AGPAT1.pdf")</f>
        <v>Melting_Curves/meltCurve_Q9HBM8_AGPAT1.pdf</v>
      </c>
    </row>
    <row r="6103" spans="1:28" x14ac:dyDescent="0.25">
      <c r="A6103" t="s">
        <v>6107</v>
      </c>
      <c r="B6103">
        <v>0.99999676499088797</v>
      </c>
      <c r="C6103">
        <v>1.04631524706371</v>
      </c>
      <c r="D6103">
        <v>1.0428149126878099</v>
      </c>
      <c r="E6103">
        <v>0.97598472871207598</v>
      </c>
      <c r="F6103">
        <v>0.99596132983442698</v>
      </c>
      <c r="G6103">
        <v>0.65094411395524698</v>
      </c>
      <c r="H6103">
        <v>0.369803865271845</v>
      </c>
      <c r="I6103">
        <v>0.208249072243891</v>
      </c>
      <c r="J6103">
        <v>0.26293995373287099</v>
      </c>
      <c r="K6103">
        <v>0.20862192172274599</v>
      </c>
      <c r="L6103">
        <v>1902.42115484906</v>
      </c>
      <c r="M6103">
        <v>33.149177374679603</v>
      </c>
      <c r="N6103">
        <v>58.443468477996802</v>
      </c>
      <c r="O6103">
        <v>57.182047299846403</v>
      </c>
      <c r="P6103">
        <v>-0.112325291634067</v>
      </c>
      <c r="Q6103">
        <v>0.224962715460404</v>
      </c>
      <c r="R6103">
        <v>0.99039236661061902</v>
      </c>
      <c r="S6103" t="s">
        <v>13106</v>
      </c>
      <c r="T6103" t="s">
        <v>14004</v>
      </c>
      <c r="U6103" t="s">
        <v>14004</v>
      </c>
      <c r="V6103" t="s">
        <v>14004</v>
      </c>
      <c r="W6103" t="s">
        <v>20052</v>
      </c>
      <c r="X6103">
        <v>8</v>
      </c>
      <c r="Y6103" t="s">
        <v>26847</v>
      </c>
      <c r="Z6103" t="s">
        <v>33813</v>
      </c>
      <c r="AA6103">
        <v>0.67853086553841246</v>
      </c>
      <c r="AB6103" t="str">
        <f>HYPERLINK("Melting_Curves/meltCurve_Q9HBR0_SLC38A10.pdf", "Melting_Curves/meltCurve_Q9HBR0_SLC38A10.pdf")</f>
        <v>Melting_Curves/meltCurve_Q9HBR0_SLC38A10.pdf</v>
      </c>
    </row>
    <row r="6104" spans="1:28" x14ac:dyDescent="0.25">
      <c r="A6104" t="s">
        <v>6108</v>
      </c>
      <c r="B6104">
        <v>0.99999676499088797</v>
      </c>
      <c r="C6104">
        <v>0.82976858454063995</v>
      </c>
      <c r="D6104">
        <v>0.92686269106354402</v>
      </c>
      <c r="E6104">
        <v>0.99592015404674405</v>
      </c>
      <c r="F6104">
        <v>0.83222020239067596</v>
      </c>
      <c r="G6104">
        <v>0.43162998445649903</v>
      </c>
      <c r="H6104">
        <v>0.1458423263385</v>
      </c>
      <c r="I6104">
        <v>7.6822483713083103E-2</v>
      </c>
      <c r="J6104">
        <v>6.6286389789721803E-2</v>
      </c>
      <c r="K6104">
        <v>5.2537892966412598E-2</v>
      </c>
      <c r="L6104">
        <v>1624.1098863708601</v>
      </c>
      <c r="M6104">
        <v>28.9934633735228</v>
      </c>
      <c r="N6104">
        <v>56.239189062309499</v>
      </c>
      <c r="O6104">
        <v>55.751971883029299</v>
      </c>
      <c r="P6104">
        <v>-0.122958860167368</v>
      </c>
      <c r="Q6104">
        <v>5.42493672818809E-2</v>
      </c>
      <c r="R6104">
        <v>0.97824865715473397</v>
      </c>
      <c r="S6104" t="s">
        <v>13107</v>
      </c>
      <c r="T6104" t="s">
        <v>14004</v>
      </c>
      <c r="U6104" t="s">
        <v>14004</v>
      </c>
      <c r="V6104" t="s">
        <v>14004</v>
      </c>
      <c r="W6104" t="s">
        <v>20053</v>
      </c>
      <c r="X6104">
        <v>6</v>
      </c>
      <c r="Y6104" t="s">
        <v>26848</v>
      </c>
      <c r="Z6104" t="s">
        <v>33814</v>
      </c>
      <c r="AA6104">
        <v>0.56587791350300043</v>
      </c>
      <c r="AB6104" t="str">
        <f>HYPERLINK("Melting_Curves/meltCurve_Q9HBU6_ETNK1.pdf", "Melting_Curves/meltCurve_Q9HBU6_ETNK1.pdf")</f>
        <v>Melting_Curves/meltCurve_Q9HBU6_ETNK1.pdf</v>
      </c>
    </row>
    <row r="6105" spans="1:28" x14ac:dyDescent="0.25">
      <c r="A6105" t="s">
        <v>6109</v>
      </c>
      <c r="B6105">
        <v>0.99999676499088797</v>
      </c>
      <c r="C6105">
        <v>1.1725951927345299</v>
      </c>
      <c r="D6105">
        <v>1.0670317761577901</v>
      </c>
      <c r="E6105">
        <v>1.08279907715394</v>
      </c>
      <c r="F6105">
        <v>0.91210624616047298</v>
      </c>
      <c r="G6105">
        <v>0.99223567153113901</v>
      </c>
      <c r="H6105">
        <v>0.58153749414679201</v>
      </c>
      <c r="I6105">
        <v>0.51215118227113399</v>
      </c>
      <c r="J6105">
        <v>0.39715294516219202</v>
      </c>
      <c r="K6105">
        <v>0.52860850966441597</v>
      </c>
      <c r="L6105">
        <v>4289.5019822722998</v>
      </c>
      <c r="M6105">
        <v>71.916155310962694</v>
      </c>
      <c r="N6105">
        <v>62.328129977956301</v>
      </c>
      <c r="O6105">
        <v>59.599811807950502</v>
      </c>
      <c r="P6105">
        <v>-0.15766127143389799</v>
      </c>
      <c r="Q6105">
        <v>0.477359216666916</v>
      </c>
      <c r="R6105">
        <v>0.92037240813316101</v>
      </c>
      <c r="S6105" t="s">
        <v>13108</v>
      </c>
      <c r="T6105" t="s">
        <v>14004</v>
      </c>
      <c r="U6105" t="s">
        <v>14004</v>
      </c>
      <c r="V6105" t="s">
        <v>14004</v>
      </c>
      <c r="W6105" t="s">
        <v>20054</v>
      </c>
      <c r="X6105">
        <v>14</v>
      </c>
      <c r="Y6105" t="s">
        <v>26849</v>
      </c>
      <c r="Z6105" t="s">
        <v>33815</v>
      </c>
      <c r="AA6105">
        <v>0.82027932212639898</v>
      </c>
      <c r="AB6105" t="str">
        <f>HYPERLINK("Melting_Curves/meltCurve_Q9HC21_SLC25A19.pdf", "Melting_Curves/meltCurve_Q9HC21_SLC25A19.pdf")</f>
        <v>Melting_Curves/meltCurve_Q9HC21_SLC25A19.pdf</v>
      </c>
    </row>
    <row r="6106" spans="1:28" x14ac:dyDescent="0.25">
      <c r="A6106" t="s">
        <v>6110</v>
      </c>
      <c r="B6106">
        <v>0.99999676499088797</v>
      </c>
      <c r="C6106">
        <v>0.99522474858177001</v>
      </c>
      <c r="D6106">
        <v>0.79768097449475195</v>
      </c>
      <c r="E6106">
        <v>0.33571587882362403</v>
      </c>
      <c r="F6106">
        <v>0.17199165260493501</v>
      </c>
      <c r="G6106">
        <v>0.111457960000565</v>
      </c>
      <c r="H6106">
        <v>6.1411081451859001E-2</v>
      </c>
      <c r="I6106">
        <v>5.9310952247898001E-2</v>
      </c>
      <c r="J6106">
        <v>3.7699843261104801E-2</v>
      </c>
      <c r="K6106">
        <v>4.2294259725524697E-2</v>
      </c>
      <c r="L6106">
        <v>1279.91583365977</v>
      </c>
      <c r="M6106">
        <v>26.569344187786399</v>
      </c>
      <c r="N6106">
        <v>48.415181729740603</v>
      </c>
      <c r="O6106">
        <v>47.902244581085498</v>
      </c>
      <c r="P6106">
        <v>-0.130025759743995</v>
      </c>
      <c r="Q6106">
        <v>6.2308813772338198E-2</v>
      </c>
      <c r="R6106">
        <v>0.996480537926835</v>
      </c>
      <c r="S6106" t="s">
        <v>13109</v>
      </c>
      <c r="T6106" t="s">
        <v>14004</v>
      </c>
      <c r="U6106" t="s">
        <v>14004</v>
      </c>
      <c r="V6106" t="s">
        <v>14004</v>
      </c>
      <c r="W6106" t="s">
        <v>20055</v>
      </c>
      <c r="X6106">
        <v>10</v>
      </c>
      <c r="Y6106" t="s">
        <v>26850</v>
      </c>
      <c r="Z6106" t="s">
        <v>33816</v>
      </c>
      <c r="AA6106">
        <v>0.32504452486107971</v>
      </c>
      <c r="AB6106" t="str">
        <f>HYPERLINK("Melting_Curves/meltCurve_Q9HC35_EML4.pdf", "Melting_Curves/meltCurve_Q9HC35_EML4.pdf")</f>
        <v>Melting_Curves/meltCurve_Q9HC35_EML4.pdf</v>
      </c>
    </row>
    <row r="6107" spans="1:28" x14ac:dyDescent="0.25">
      <c r="A6107" t="s">
        <v>6111</v>
      </c>
      <c r="B6107">
        <v>0.99999676499088797</v>
      </c>
      <c r="C6107">
        <v>0.98786965307388497</v>
      </c>
      <c r="D6107">
        <v>1.0079526227729201</v>
      </c>
      <c r="E6107">
        <v>1.04481525837182</v>
      </c>
      <c r="F6107">
        <v>0.49530533337385502</v>
      </c>
      <c r="G6107">
        <v>0.34766656184527001</v>
      </c>
      <c r="H6107">
        <v>0.13630297931242599</v>
      </c>
      <c r="I6107">
        <v>0.12082048776757801</v>
      </c>
      <c r="J6107">
        <v>0.111807818413762</v>
      </c>
      <c r="K6107">
        <v>0.10600837162896</v>
      </c>
      <c r="L6107">
        <v>1660.4231244637199</v>
      </c>
      <c r="M6107">
        <v>31.131319268856199</v>
      </c>
      <c r="N6107">
        <v>53.846998060913897</v>
      </c>
      <c r="O6107">
        <v>53.117484138172799</v>
      </c>
      <c r="P6107">
        <v>-0.12778574898849701</v>
      </c>
      <c r="Q6107">
        <v>0.127872843215525</v>
      </c>
      <c r="R6107">
        <v>0.97876734488648798</v>
      </c>
      <c r="S6107" t="s">
        <v>13110</v>
      </c>
      <c r="T6107" t="s">
        <v>14004</v>
      </c>
      <c r="U6107" t="s">
        <v>14004</v>
      </c>
      <c r="V6107" t="s">
        <v>14004</v>
      </c>
      <c r="W6107" t="s">
        <v>20056</v>
      </c>
      <c r="X6107">
        <v>10</v>
      </c>
      <c r="Y6107" t="s">
        <v>26851</v>
      </c>
      <c r="Z6107" t="s">
        <v>33817</v>
      </c>
      <c r="AA6107">
        <v>0.52085022285708249</v>
      </c>
      <c r="AB6107" t="str">
        <f>HYPERLINK("Melting_Curves/meltCurve_Q9HC36_RNMTL1.pdf", "Melting_Curves/meltCurve_Q9HC36_RNMTL1.pdf")</f>
        <v>Melting_Curves/meltCurve_Q9HC36_RNMTL1.pdf</v>
      </c>
    </row>
    <row r="6108" spans="1:28" x14ac:dyDescent="0.25">
      <c r="A6108" t="s">
        <v>6112</v>
      </c>
      <c r="B6108">
        <v>0.99999676499088797</v>
      </c>
      <c r="C6108">
        <v>0.94435800051732499</v>
      </c>
      <c r="D6108">
        <v>0.98551602702763796</v>
      </c>
      <c r="E6108">
        <v>0.69206488059030402</v>
      </c>
      <c r="F6108">
        <v>0.243026695963316</v>
      </c>
      <c r="G6108">
        <v>0.161322236122279</v>
      </c>
      <c r="H6108">
        <v>8.1300014916018001E-2</v>
      </c>
      <c r="I6108">
        <v>7.4543985220675804E-2</v>
      </c>
      <c r="J6108">
        <v>7.1225991703002006E-2</v>
      </c>
      <c r="K6108">
        <v>6.5140507110231505E-2</v>
      </c>
      <c r="L6108">
        <v>1548.79447470836</v>
      </c>
      <c r="M6108">
        <v>30.537396017674801</v>
      </c>
      <c r="N6108">
        <v>51.008017023248399</v>
      </c>
      <c r="O6108">
        <v>50.501936642399897</v>
      </c>
      <c r="P6108">
        <v>-0.13912142028882199</v>
      </c>
      <c r="Q6108">
        <v>7.9703978695559202E-2</v>
      </c>
      <c r="R6108">
        <v>0.99609662059554005</v>
      </c>
      <c r="S6108" t="s">
        <v>13111</v>
      </c>
      <c r="T6108" t="s">
        <v>14004</v>
      </c>
      <c r="U6108" t="s">
        <v>14004</v>
      </c>
      <c r="V6108" t="s">
        <v>14004</v>
      </c>
      <c r="W6108" t="s">
        <v>20057</v>
      </c>
      <c r="X6108">
        <v>30</v>
      </c>
      <c r="Y6108" t="s">
        <v>26852</v>
      </c>
      <c r="Z6108" t="s">
        <v>33818</v>
      </c>
      <c r="AA6108">
        <v>0.41405157803212922</v>
      </c>
      <c r="AB6108" t="str">
        <f>HYPERLINK("Melting_Curves/meltCurve_Q9HC38_2_GLOD4.pdf", "Melting_Curves/meltCurve_Q9HC38_2_GLOD4.pdf")</f>
        <v>Melting_Curves/meltCurve_Q9HC38_2_GLOD4.pdf</v>
      </c>
    </row>
    <row r="6109" spans="1:28" x14ac:dyDescent="0.25">
      <c r="A6109" t="s">
        <v>6113</v>
      </c>
      <c r="B6109">
        <v>0.99999676499088797</v>
      </c>
      <c r="C6109">
        <v>0.88451551133388795</v>
      </c>
      <c r="D6109">
        <v>0.73898506628520699</v>
      </c>
      <c r="E6109">
        <v>0.76939895924589696</v>
      </c>
      <c r="F6109">
        <v>0.790665128637007</v>
      </c>
      <c r="G6109">
        <v>0.55156141583442897</v>
      </c>
      <c r="H6109">
        <v>0.47354390411973202</v>
      </c>
      <c r="I6109">
        <v>0.47087351088184598</v>
      </c>
      <c r="J6109">
        <v>0.45961240014876498</v>
      </c>
      <c r="K6109">
        <v>0.68569858102163606</v>
      </c>
      <c r="L6109">
        <v>481.128432468207</v>
      </c>
      <c r="M6109">
        <v>9.7977595011639202</v>
      </c>
      <c r="O6109">
        <v>47.191449337842698</v>
      </c>
      <c r="P6109">
        <v>-2.6308056797195601E-2</v>
      </c>
      <c r="Q6109">
        <v>0.493409829940821</v>
      </c>
      <c r="R6109">
        <v>0.75879869929156896</v>
      </c>
      <c r="S6109" t="s">
        <v>13112</v>
      </c>
      <c r="T6109" t="s">
        <v>14004</v>
      </c>
      <c r="U6109" t="s">
        <v>14004</v>
      </c>
      <c r="V6109" t="s">
        <v>14004</v>
      </c>
      <c r="W6109" t="s">
        <v>20058</v>
      </c>
      <c r="X6109">
        <v>4</v>
      </c>
      <c r="Y6109" t="s">
        <v>26853</v>
      </c>
      <c r="Z6109" t="s">
        <v>33819</v>
      </c>
      <c r="AA6109">
        <v>0.67250460910780674</v>
      </c>
      <c r="AB6109" t="str">
        <f>HYPERLINK("Melting_Curves/meltCurve_Q9HC44_GPBP1L1.pdf", "Melting_Curves/meltCurve_Q9HC44_GPBP1L1.pdf")</f>
        <v>Melting_Curves/meltCurve_Q9HC44_GPBP1L1.pdf</v>
      </c>
    </row>
    <row r="6110" spans="1:28" x14ac:dyDescent="0.25">
      <c r="A6110" t="s">
        <v>6114</v>
      </c>
      <c r="B6110">
        <v>0.99999676499088797</v>
      </c>
      <c r="C6110">
        <v>0.84371731933302196</v>
      </c>
      <c r="D6110">
        <v>0.59649062824472199</v>
      </c>
      <c r="E6110">
        <v>0.217115116932701</v>
      </c>
      <c r="F6110">
        <v>9.1815140215323707E-2</v>
      </c>
      <c r="G6110">
        <v>0.138541354016844</v>
      </c>
      <c r="H6110">
        <v>3.4089463746712997E-2</v>
      </c>
      <c r="I6110">
        <v>0.180828363433922</v>
      </c>
      <c r="J6110">
        <v>0.16675081389448099</v>
      </c>
      <c r="K6110">
        <v>0.27484457652696698</v>
      </c>
      <c r="L6110">
        <v>1288.28199185734</v>
      </c>
      <c r="M6110">
        <v>28.056952742880799</v>
      </c>
      <c r="N6110">
        <v>46.475321061203097</v>
      </c>
      <c r="O6110">
        <v>45.685314270170799</v>
      </c>
      <c r="P6110">
        <v>-0.131558855609682</v>
      </c>
      <c r="Q6110">
        <v>0.14313481845659401</v>
      </c>
      <c r="R6110">
        <v>0.96012300214028001</v>
      </c>
      <c r="S6110" t="s">
        <v>13113</v>
      </c>
      <c r="T6110" t="s">
        <v>14004</v>
      </c>
      <c r="U6110" t="s">
        <v>14004</v>
      </c>
      <c r="V6110" t="s">
        <v>14004</v>
      </c>
      <c r="W6110" t="s">
        <v>20059</v>
      </c>
      <c r="X6110">
        <v>1</v>
      </c>
      <c r="Y6110" t="s">
        <v>26854</v>
      </c>
      <c r="Z6110" t="s">
        <v>33820</v>
      </c>
      <c r="AA6110">
        <v>0.31822444317006332</v>
      </c>
      <c r="AB6110" t="str">
        <f>HYPERLINK("Melting_Curves/meltCurve_Q9HC52_CBX8.pdf", "Melting_Curves/meltCurve_Q9HC52_CBX8.pdf")</f>
        <v>Melting_Curves/meltCurve_Q9HC52_CBX8.pdf</v>
      </c>
    </row>
    <row r="6111" spans="1:28" x14ac:dyDescent="0.25">
      <c r="A6111" t="s">
        <v>6115</v>
      </c>
      <c r="B6111">
        <v>0.99999676499088797</v>
      </c>
      <c r="C6111">
        <v>1.01992963939967</v>
      </c>
      <c r="D6111">
        <v>0.97170175309455797</v>
      </c>
      <c r="E6111">
        <v>0.88374621685994903</v>
      </c>
      <c r="F6111">
        <v>0.95183741119959897</v>
      </c>
      <c r="G6111">
        <v>0.88275127832539302</v>
      </c>
      <c r="H6111">
        <v>0.64448225239974</v>
      </c>
      <c r="I6111">
        <v>0.63874693559838602</v>
      </c>
      <c r="J6111">
        <v>0.30917193183431901</v>
      </c>
      <c r="K6111">
        <v>0.15802118004869101</v>
      </c>
      <c r="L6111">
        <v>1008.21939964852</v>
      </c>
      <c r="M6111">
        <v>15.6967698520805</v>
      </c>
      <c r="N6111">
        <v>64.231011633955902</v>
      </c>
      <c r="O6111">
        <v>63.215614986043398</v>
      </c>
      <c r="P6111">
        <v>-6.2081564166435801E-2</v>
      </c>
      <c r="Q6111">
        <v>0</v>
      </c>
      <c r="R6111">
        <v>0.95623038637915103</v>
      </c>
      <c r="S6111" t="s">
        <v>13114</v>
      </c>
      <c r="T6111" t="s">
        <v>14004</v>
      </c>
      <c r="U6111" t="s">
        <v>14004</v>
      </c>
      <c r="V6111" t="s">
        <v>14004</v>
      </c>
      <c r="W6111" t="s">
        <v>20060</v>
      </c>
      <c r="X6111">
        <v>23</v>
      </c>
      <c r="Y6111" t="s">
        <v>26855</v>
      </c>
      <c r="Z6111" t="s">
        <v>33821</v>
      </c>
      <c r="AA6111">
        <v>0.79128525778392955</v>
      </c>
      <c r="AB6111" t="str">
        <f>HYPERLINK("Melting_Curves/meltCurve_Q9HCC0_MCCC2.pdf", "Melting_Curves/meltCurve_Q9HCC0_MCCC2.pdf")</f>
        <v>Melting_Curves/meltCurve_Q9HCC0_MCCC2.pdf</v>
      </c>
    </row>
    <row r="6112" spans="1:28" x14ac:dyDescent="0.25">
      <c r="A6112" t="s">
        <v>6116</v>
      </c>
      <c r="B6112">
        <v>0.99999676499088797</v>
      </c>
      <c r="C6112">
        <v>0.99044308717562801</v>
      </c>
      <c r="D6112">
        <v>0.93699162990763396</v>
      </c>
      <c r="E6112">
        <v>0.60180520525052394</v>
      </c>
      <c r="F6112">
        <v>0.24781237759749</v>
      </c>
      <c r="G6112">
        <v>0.156839054298791</v>
      </c>
      <c r="H6112">
        <v>8.1421641292491798E-2</v>
      </c>
      <c r="I6112">
        <v>8.4919202982914194E-2</v>
      </c>
      <c r="J6112">
        <v>8.3519410376337894E-2</v>
      </c>
      <c r="K6112">
        <v>6.9572064455358101E-2</v>
      </c>
      <c r="L6112">
        <v>1303.2966343283999</v>
      </c>
      <c r="M6112">
        <v>25.976455580430802</v>
      </c>
      <c r="N6112">
        <v>50.522408213926397</v>
      </c>
      <c r="O6112">
        <v>49.877715266863703</v>
      </c>
      <c r="P6112">
        <v>-0.11947558897780999</v>
      </c>
      <c r="Q6112">
        <v>8.2384307657710806E-2</v>
      </c>
      <c r="R6112">
        <v>0.99889239552742104</v>
      </c>
      <c r="S6112" t="s">
        <v>13115</v>
      </c>
      <c r="T6112" t="s">
        <v>14004</v>
      </c>
      <c r="U6112" t="s">
        <v>14004</v>
      </c>
      <c r="V6112" t="s">
        <v>14004</v>
      </c>
      <c r="W6112" t="s">
        <v>20061</v>
      </c>
      <c r="X6112">
        <v>28</v>
      </c>
      <c r="Y6112" t="s">
        <v>26856</v>
      </c>
      <c r="Z6112" t="s">
        <v>33822</v>
      </c>
      <c r="AA6112">
        <v>0.40113228502755238</v>
      </c>
      <c r="AB6112" t="str">
        <f>HYPERLINK("Melting_Curves/meltCurve_Q9HCD5_NCOA5.pdf", "Melting_Curves/meltCurve_Q9HCD5_NCOA5.pdf")</f>
        <v>Melting_Curves/meltCurve_Q9HCD5_NCOA5.pdf</v>
      </c>
    </row>
    <row r="6113" spans="1:28" x14ac:dyDescent="0.25">
      <c r="A6113" t="s">
        <v>6117</v>
      </c>
      <c r="B6113">
        <v>0.99999676499088797</v>
      </c>
      <c r="C6113">
        <v>0.99989606732397496</v>
      </c>
      <c r="D6113">
        <v>0.92265408883224898</v>
      </c>
      <c r="E6113">
        <v>0.866738073520262</v>
      </c>
      <c r="F6113">
        <v>0.66525535931563995</v>
      </c>
      <c r="G6113">
        <v>0.45375824793535102</v>
      </c>
      <c r="H6113">
        <v>0.189956686577477</v>
      </c>
      <c r="I6113">
        <v>0.141837110334643</v>
      </c>
      <c r="J6113">
        <v>0.15859991352757699</v>
      </c>
      <c r="K6113">
        <v>0.16203047653611199</v>
      </c>
      <c r="L6113">
        <v>961.408414642803</v>
      </c>
      <c r="M6113">
        <v>17.5788595833186</v>
      </c>
      <c r="N6113">
        <v>55.473346658298198</v>
      </c>
      <c r="O6113">
        <v>53.9981340570817</v>
      </c>
      <c r="P6113">
        <v>-7.2457102649218105E-2</v>
      </c>
      <c r="Q6113">
        <v>0.10976329501231</v>
      </c>
      <c r="R6113">
        <v>0.99315060951295497</v>
      </c>
      <c r="S6113" t="s">
        <v>13116</v>
      </c>
      <c r="T6113" t="s">
        <v>14004</v>
      </c>
      <c r="U6113" t="s">
        <v>14004</v>
      </c>
      <c r="V6113" t="s">
        <v>14004</v>
      </c>
      <c r="W6113" t="s">
        <v>20062</v>
      </c>
      <c r="X6113">
        <v>6</v>
      </c>
      <c r="Y6113" t="s">
        <v>26857</v>
      </c>
      <c r="Z6113" t="s">
        <v>33823</v>
      </c>
      <c r="AA6113">
        <v>0.56011405089563293</v>
      </c>
      <c r="AB6113" t="str">
        <f>HYPERLINK("Melting_Curves/meltCurve_Q9HCE1_MOV10.pdf", "Melting_Curves/meltCurve_Q9HCE1_MOV10.pdf")</f>
        <v>Melting_Curves/meltCurve_Q9HCE1_MOV10.pdf</v>
      </c>
    </row>
    <row r="6114" spans="1:28" x14ac:dyDescent="0.25">
      <c r="A6114" t="s">
        <v>6118</v>
      </c>
      <c r="B6114">
        <v>0.99999676499088797</v>
      </c>
      <c r="C6114">
        <v>0.95178985954389805</v>
      </c>
      <c r="D6114">
        <v>0.91997171775884001</v>
      </c>
      <c r="E6114">
        <v>0.78365704813653703</v>
      </c>
      <c r="F6114">
        <v>0.30395125494394798</v>
      </c>
      <c r="G6114">
        <v>0.18165997832692601</v>
      </c>
      <c r="H6114">
        <v>6.4266244634363798E-2</v>
      </c>
      <c r="I6114">
        <v>6.3632498712900998E-2</v>
      </c>
      <c r="J6114">
        <v>6.29206988218841E-2</v>
      </c>
      <c r="K6114">
        <v>4.8873903509330199E-2</v>
      </c>
      <c r="L6114">
        <v>1354.93570510834</v>
      </c>
      <c r="M6114">
        <v>26.309142510273201</v>
      </c>
      <c r="N6114">
        <v>51.750719344382503</v>
      </c>
      <c r="O6114">
        <v>51.2057680632198</v>
      </c>
      <c r="P6114">
        <v>-0.120780263739628</v>
      </c>
      <c r="Q6114">
        <v>5.9706333954298599E-2</v>
      </c>
      <c r="R6114">
        <v>0.99439322350575099</v>
      </c>
      <c r="S6114" t="s">
        <v>13117</v>
      </c>
      <c r="T6114" t="s">
        <v>14004</v>
      </c>
      <c r="U6114" t="s">
        <v>14004</v>
      </c>
      <c r="V6114" t="s">
        <v>14004</v>
      </c>
      <c r="W6114" t="s">
        <v>20063</v>
      </c>
      <c r="X6114">
        <v>11</v>
      </c>
      <c r="Y6114" t="s">
        <v>26858</v>
      </c>
      <c r="Z6114" t="s">
        <v>33824</v>
      </c>
      <c r="AA6114">
        <v>0.42789929237846219</v>
      </c>
      <c r="AB6114" t="str">
        <f>HYPERLINK("Melting_Curves/meltCurve_Q9HCE5_METTL14.pdf", "Melting_Curves/meltCurve_Q9HCE5_METTL14.pdf")</f>
        <v>Melting_Curves/meltCurve_Q9HCE5_METTL14.pdf</v>
      </c>
    </row>
    <row r="6115" spans="1:28" x14ac:dyDescent="0.25">
      <c r="A6115" t="s">
        <v>6119</v>
      </c>
      <c r="B6115">
        <v>0.99999676499088797</v>
      </c>
      <c r="C6115">
        <v>0.90182176413043302</v>
      </c>
      <c r="D6115">
        <v>0.76782322779349699</v>
      </c>
      <c r="E6115">
        <v>0.78665918894225295</v>
      </c>
      <c r="F6115">
        <v>0.46572751250612598</v>
      </c>
      <c r="G6115">
        <v>0.34543331398031901</v>
      </c>
      <c r="H6115">
        <v>0.25293068175963701</v>
      </c>
      <c r="I6115">
        <v>0.29767644844226898</v>
      </c>
      <c r="J6115">
        <v>0.425892152689822</v>
      </c>
      <c r="K6115">
        <v>0.44492697180313601</v>
      </c>
      <c r="L6115">
        <v>824.22298711272799</v>
      </c>
      <c r="M6115">
        <v>16.665247326121101</v>
      </c>
      <c r="N6115">
        <v>52.979600173957003</v>
      </c>
      <c r="O6115">
        <v>48.7619197461404</v>
      </c>
      <c r="P6115">
        <v>-5.6833682984071703E-2</v>
      </c>
      <c r="Q6115">
        <v>0.33487112895895599</v>
      </c>
      <c r="R6115">
        <v>0.90382517337762203</v>
      </c>
      <c r="S6115" t="s">
        <v>13118</v>
      </c>
      <c r="T6115" t="s">
        <v>14004</v>
      </c>
      <c r="U6115" t="s">
        <v>14004</v>
      </c>
      <c r="V6115" t="s">
        <v>14004</v>
      </c>
      <c r="W6115" t="s">
        <v>20064</v>
      </c>
      <c r="X6115">
        <v>1</v>
      </c>
      <c r="Y6115" t="s">
        <v>26859</v>
      </c>
      <c r="Z6115" t="s">
        <v>33825</v>
      </c>
      <c r="AA6115">
        <v>0.55781754112440929</v>
      </c>
      <c r="AB6115" t="str">
        <f>HYPERLINK("Melting_Curves/meltCurve_Q9HCJ0_TNRC6C.pdf", "Melting_Curves/meltCurve_Q9HCJ0_TNRC6C.pdf")</f>
        <v>Melting_Curves/meltCurve_Q9HCJ0_TNRC6C.pdf</v>
      </c>
    </row>
    <row r="6116" spans="1:28" x14ac:dyDescent="0.25">
      <c r="A6116" t="s">
        <v>6120</v>
      </c>
      <c r="B6116">
        <v>0.99999676499088797</v>
      </c>
      <c r="C6116">
        <v>1.0325202733893799</v>
      </c>
      <c r="D6116">
        <v>0.97156659403249102</v>
      </c>
      <c r="E6116">
        <v>1.0500492928563001</v>
      </c>
      <c r="F6116">
        <v>0.922334928355661</v>
      </c>
      <c r="G6116">
        <v>0.90301173231160103</v>
      </c>
      <c r="H6116">
        <v>0.71144843742517705</v>
      </c>
      <c r="I6116">
        <v>0.59472832643040896</v>
      </c>
      <c r="J6116">
        <v>0.45476476138640198</v>
      </c>
      <c r="K6116">
        <v>0.70753896389892001</v>
      </c>
      <c r="L6116">
        <v>1822.3335410606101</v>
      </c>
      <c r="M6116">
        <v>30.945382086786498</v>
      </c>
      <c r="O6116">
        <v>58.644425815639501</v>
      </c>
      <c r="P6116">
        <v>-5.5940228959206799E-2</v>
      </c>
      <c r="Q6116">
        <v>0.57595434472073903</v>
      </c>
      <c r="R6116">
        <v>0.88706987017472105</v>
      </c>
      <c r="S6116" t="s">
        <v>13119</v>
      </c>
      <c r="T6116" t="s">
        <v>14004</v>
      </c>
      <c r="U6116" t="s">
        <v>14004</v>
      </c>
      <c r="V6116" t="s">
        <v>14004</v>
      </c>
      <c r="W6116" t="s">
        <v>20065</v>
      </c>
      <c r="X6116">
        <v>4</v>
      </c>
      <c r="Y6116" t="s">
        <v>26860</v>
      </c>
      <c r="Z6116" t="s">
        <v>33826</v>
      </c>
      <c r="AA6116">
        <v>0.84554281586226787</v>
      </c>
      <c r="AB6116" t="str">
        <f>HYPERLINK("Melting_Curves/meltCurve_Q9HCJ1_ANKH.pdf", "Melting_Curves/meltCurve_Q9HCJ1_ANKH.pdf")</f>
        <v>Melting_Curves/meltCurve_Q9HCJ1_ANKH.pdf</v>
      </c>
    </row>
    <row r="6117" spans="1:28" x14ac:dyDescent="0.25">
      <c r="A6117" t="s">
        <v>6121</v>
      </c>
      <c r="B6117">
        <v>0.99999676499088797</v>
      </c>
      <c r="C6117">
        <v>0.94583516196264295</v>
      </c>
      <c r="D6117">
        <v>0.494126503756942</v>
      </c>
      <c r="E6117">
        <v>0.242917099280963</v>
      </c>
      <c r="F6117">
        <v>0.151856053972312</v>
      </c>
      <c r="G6117">
        <v>0.12410503799786</v>
      </c>
      <c r="H6117">
        <v>5.9213045705872699E-2</v>
      </c>
      <c r="I6117">
        <v>5.2320048710052802E-2</v>
      </c>
      <c r="J6117">
        <v>6.4324968750679098E-2</v>
      </c>
      <c r="K6117">
        <v>0.114526729965372</v>
      </c>
      <c r="L6117">
        <v>1283.1208832428999</v>
      </c>
      <c r="M6117">
        <v>27.923046557814999</v>
      </c>
      <c r="N6117">
        <v>46.297278266743199</v>
      </c>
      <c r="O6117">
        <v>45.7182909382487</v>
      </c>
      <c r="P6117">
        <v>-0.13834101584844399</v>
      </c>
      <c r="Q6117">
        <v>9.3987125181597603E-2</v>
      </c>
      <c r="R6117">
        <v>0.98841031468197604</v>
      </c>
      <c r="S6117" t="s">
        <v>13120</v>
      </c>
      <c r="T6117" t="s">
        <v>14004</v>
      </c>
      <c r="U6117" t="s">
        <v>14004</v>
      </c>
      <c r="V6117" t="s">
        <v>14004</v>
      </c>
      <c r="W6117" t="s">
        <v>20066</v>
      </c>
      <c r="X6117">
        <v>3</v>
      </c>
      <c r="Y6117" t="s">
        <v>26861</v>
      </c>
      <c r="Z6117" t="s">
        <v>33827</v>
      </c>
      <c r="AA6117">
        <v>0.28024867834509259</v>
      </c>
      <c r="AB6117" t="str">
        <f>HYPERLINK("Melting_Curves/meltCurve_Q9HCJ3_2_RAVER2.pdf", "Melting_Curves/meltCurve_Q9HCJ3_2_RAVER2.pdf")</f>
        <v>Melting_Curves/meltCurve_Q9HCJ3_2_RAVER2.pdf</v>
      </c>
    </row>
    <row r="6118" spans="1:28" x14ac:dyDescent="0.25">
      <c r="A6118" t="s">
        <v>6122</v>
      </c>
      <c r="B6118">
        <v>0.99999676499088797</v>
      </c>
      <c r="C6118">
        <v>0.61652400416731301</v>
      </c>
      <c r="D6118">
        <v>0.33783997865259702</v>
      </c>
      <c r="E6118">
        <v>0.21475017601947899</v>
      </c>
      <c r="F6118">
        <v>0.169557121777204</v>
      </c>
      <c r="G6118">
        <v>0.12586045711927299</v>
      </c>
      <c r="H6118">
        <v>6.5807399685272494E-2</v>
      </c>
      <c r="I6118">
        <v>6.3128787386989293E-2</v>
      </c>
      <c r="J6118">
        <v>6.5453186473474895E-2</v>
      </c>
      <c r="K6118">
        <v>4.4098684294083597E-2</v>
      </c>
      <c r="L6118">
        <v>934.58530791357396</v>
      </c>
      <c r="M6118">
        <v>21.224439349863701</v>
      </c>
      <c r="N6118">
        <v>44.436477312568201</v>
      </c>
      <c r="O6118">
        <v>43.648145255944698</v>
      </c>
      <c r="P6118">
        <v>-0.110924739369056</v>
      </c>
      <c r="Q6118">
        <v>8.7554760859345299E-2</v>
      </c>
      <c r="R6118">
        <v>0.97389794874952396</v>
      </c>
      <c r="S6118" t="s">
        <v>13121</v>
      </c>
      <c r="T6118" t="s">
        <v>14004</v>
      </c>
      <c r="U6118" t="s">
        <v>14004</v>
      </c>
      <c r="V6118" t="s">
        <v>14004</v>
      </c>
      <c r="W6118" t="s">
        <v>20067</v>
      </c>
      <c r="X6118">
        <v>17</v>
      </c>
      <c r="Y6118" t="s">
        <v>26862</v>
      </c>
      <c r="Z6118" t="s">
        <v>33828</v>
      </c>
      <c r="AA6118">
        <v>0.2256016534176932</v>
      </c>
      <c r="AB6118" t="str">
        <f>HYPERLINK("Melting_Curves/meltCurve_Q9HCK8_CHD8.pdf", "Melting_Curves/meltCurve_Q9HCK8_CHD8.pdf")</f>
        <v>Melting_Curves/meltCurve_Q9HCK8_CHD8.pdf</v>
      </c>
    </row>
    <row r="6119" spans="1:28" x14ac:dyDescent="0.25">
      <c r="A6119" t="s">
        <v>6123</v>
      </c>
      <c r="B6119">
        <v>0.99999676499088797</v>
      </c>
      <c r="C6119">
        <v>0.935591219367646</v>
      </c>
      <c r="D6119">
        <v>1.0239252737753199</v>
      </c>
      <c r="E6119">
        <v>1.1052076982443899</v>
      </c>
      <c r="F6119">
        <v>9.8365087615658597E-2</v>
      </c>
      <c r="G6119">
        <v>7.0406815938083595E-2</v>
      </c>
      <c r="H6119">
        <v>2.0257090369477801E-2</v>
      </c>
      <c r="I6119">
        <v>3.4421060184158497E-2</v>
      </c>
      <c r="J6119">
        <v>4.6539815248979398E-2</v>
      </c>
      <c r="K6119">
        <v>3.4394321736794797E-2</v>
      </c>
      <c r="L6119">
        <v>13153.2572779442</v>
      </c>
      <c r="M6119">
        <v>250</v>
      </c>
      <c r="N6119">
        <v>52.631134685281303</v>
      </c>
      <c r="O6119">
        <v>52.609662199624999</v>
      </c>
      <c r="P6119">
        <v>-1.1390449002107501</v>
      </c>
      <c r="Q6119">
        <v>4.1203721742283698E-2</v>
      </c>
      <c r="R6119">
        <v>0.99237464180411605</v>
      </c>
      <c r="S6119" t="s">
        <v>13122</v>
      </c>
      <c r="T6119" t="s">
        <v>14004</v>
      </c>
      <c r="U6119" t="s">
        <v>14004</v>
      </c>
      <c r="V6119" t="s">
        <v>14004</v>
      </c>
      <c r="W6119" t="s">
        <v>20068</v>
      </c>
      <c r="X6119">
        <v>2</v>
      </c>
      <c r="Y6119" t="s">
        <v>26863</v>
      </c>
      <c r="Z6119" t="s">
        <v>33829</v>
      </c>
      <c r="AA6119">
        <v>0.44440309790620203</v>
      </c>
      <c r="AB6119" t="str">
        <f>HYPERLINK("Melting_Curves/meltCurve_Q9HCL2_GPAM.pdf", "Melting_Curves/meltCurve_Q9HCL2_GPAM.pdf")</f>
        <v>Melting_Curves/meltCurve_Q9HCL2_GPAM.pdf</v>
      </c>
    </row>
    <row r="6120" spans="1:28" x14ac:dyDescent="0.25">
      <c r="A6120" t="s">
        <v>6124</v>
      </c>
      <c r="B6120">
        <v>0.99999676499088797</v>
      </c>
      <c r="C6120">
        <v>0.87447064773303695</v>
      </c>
      <c r="D6120">
        <v>0.68033225507709005</v>
      </c>
      <c r="E6120">
        <v>0.33324855257788599</v>
      </c>
      <c r="F6120">
        <v>0.22589968206126201</v>
      </c>
      <c r="G6120">
        <v>0.23758109979512301</v>
      </c>
      <c r="H6120">
        <v>0.167233034173495</v>
      </c>
      <c r="I6120">
        <v>0.11118624785961199</v>
      </c>
      <c r="J6120">
        <v>0.24016121544306501</v>
      </c>
      <c r="K6120">
        <v>0.19804760851196099</v>
      </c>
      <c r="L6120">
        <v>1070.4850785087399</v>
      </c>
      <c r="M6120">
        <v>22.943066048835799</v>
      </c>
      <c r="N6120">
        <v>47.612890805376701</v>
      </c>
      <c r="O6120">
        <v>46.3082098692607</v>
      </c>
      <c r="P6120">
        <v>-0.101028973640844</v>
      </c>
      <c r="Q6120">
        <v>0.184349458797328</v>
      </c>
      <c r="R6120">
        <v>0.98621710042002297</v>
      </c>
      <c r="S6120" t="s">
        <v>13123</v>
      </c>
      <c r="T6120" t="s">
        <v>14004</v>
      </c>
      <c r="U6120" t="s">
        <v>14004</v>
      </c>
      <c r="V6120" t="s">
        <v>14004</v>
      </c>
      <c r="W6120" t="s">
        <v>20069</v>
      </c>
      <c r="X6120">
        <v>1</v>
      </c>
      <c r="Y6120" t="s">
        <v>26864</v>
      </c>
      <c r="Z6120" t="s">
        <v>33830</v>
      </c>
      <c r="AA6120">
        <v>0.37428232745745099</v>
      </c>
      <c r="AB6120" t="str">
        <f>HYPERLINK("Melting_Curves/meltCurve_Q9HCL3_ZFP14.pdf", "Melting_Curves/meltCurve_Q9HCL3_ZFP14.pdf")</f>
        <v>Melting_Curves/meltCurve_Q9HCL3_ZFP14.pdf</v>
      </c>
    </row>
    <row r="6121" spans="1:28" x14ac:dyDescent="0.25">
      <c r="A6121" t="s">
        <v>6125</v>
      </c>
      <c r="B6121">
        <v>0.99999676499088797</v>
      </c>
      <c r="C6121">
        <v>1.1461897181833001</v>
      </c>
      <c r="D6121">
        <v>1.1207936996485099</v>
      </c>
      <c r="E6121">
        <v>1.1391149547220101</v>
      </c>
      <c r="F6121">
        <v>1.0262734872894601</v>
      </c>
      <c r="G6121">
        <v>1.0264467275712399</v>
      </c>
      <c r="H6121">
        <v>0.555833460457406</v>
      </c>
      <c r="I6121">
        <v>0.33324273033548901</v>
      </c>
      <c r="J6121">
        <v>0.20650539682497299</v>
      </c>
      <c r="K6121">
        <v>0.18162272020215101</v>
      </c>
      <c r="L6121">
        <v>2707.50638992012</v>
      </c>
      <c r="M6121">
        <v>44.628799422504997</v>
      </c>
      <c r="N6121">
        <v>61.402697531223197</v>
      </c>
      <c r="O6121">
        <v>60.545814706577303</v>
      </c>
      <c r="P6121">
        <v>-0.14612612092726401</v>
      </c>
      <c r="Q6121">
        <v>0.20703103591993499</v>
      </c>
      <c r="R6121">
        <v>0.95637459046995699</v>
      </c>
      <c r="S6121" t="s">
        <v>13124</v>
      </c>
      <c r="T6121" t="s">
        <v>14004</v>
      </c>
      <c r="U6121" t="s">
        <v>14004</v>
      </c>
      <c r="V6121" t="s">
        <v>14004</v>
      </c>
      <c r="W6121" t="s">
        <v>20070</v>
      </c>
      <c r="X6121">
        <v>4</v>
      </c>
      <c r="Y6121" t="s">
        <v>26865</v>
      </c>
      <c r="Z6121" t="s">
        <v>33831</v>
      </c>
      <c r="AA6121">
        <v>0.75584980319499995</v>
      </c>
      <c r="AB6121" t="str">
        <f>HYPERLINK("Melting_Curves/meltCurve_Q9HCN3_TMEM8A.pdf", "Melting_Curves/meltCurve_Q9HCN3_TMEM8A.pdf")</f>
        <v>Melting_Curves/meltCurve_Q9HCN3_TMEM8A.pdf</v>
      </c>
    </row>
    <row r="6122" spans="1:28" x14ac:dyDescent="0.25">
      <c r="A6122" t="s">
        <v>6126</v>
      </c>
      <c r="B6122">
        <v>0.99999676499088797</v>
      </c>
      <c r="C6122">
        <v>1.0916733725286101</v>
      </c>
      <c r="D6122">
        <v>1.0817683050190501</v>
      </c>
      <c r="E6122">
        <v>1.04046035878069</v>
      </c>
      <c r="F6122">
        <v>0.99048194841613701</v>
      </c>
      <c r="G6122">
        <v>0.81024966346229799</v>
      </c>
      <c r="H6122">
        <v>0.60285372996849196</v>
      </c>
      <c r="I6122">
        <v>0.58227920656220999</v>
      </c>
      <c r="J6122">
        <v>0.42713843307297</v>
      </c>
      <c r="K6122">
        <v>0.21754474890466899</v>
      </c>
      <c r="L6122">
        <v>824.78774997911398</v>
      </c>
      <c r="M6122">
        <v>12.7967181736546</v>
      </c>
      <c r="N6122">
        <v>64.453091719640199</v>
      </c>
      <c r="O6122">
        <v>62.939931266714503</v>
      </c>
      <c r="P6122">
        <v>-5.0838639432257297E-2</v>
      </c>
      <c r="Q6122">
        <v>0</v>
      </c>
      <c r="R6122">
        <v>0.95418278637384901</v>
      </c>
      <c r="S6122" t="s">
        <v>13125</v>
      </c>
      <c r="T6122" t="s">
        <v>14004</v>
      </c>
      <c r="U6122" t="s">
        <v>14004</v>
      </c>
      <c r="V6122" t="s">
        <v>14004</v>
      </c>
      <c r="W6122" t="s">
        <v>20071</v>
      </c>
      <c r="X6122">
        <v>6</v>
      </c>
      <c r="Y6122" t="s">
        <v>26866</v>
      </c>
      <c r="Z6122" t="s">
        <v>33832</v>
      </c>
      <c r="AA6122">
        <v>0.78546157354285562</v>
      </c>
      <c r="AB6122" t="str">
        <f>HYPERLINK("Melting_Curves/meltCurve_Q9HCN4_GPN1.pdf", "Melting_Curves/meltCurve_Q9HCN4_GPN1.pdf")</f>
        <v>Melting_Curves/meltCurve_Q9HCN4_GPN1.pdf</v>
      </c>
    </row>
    <row r="6123" spans="1:28" x14ac:dyDescent="0.25">
      <c r="A6123" t="s">
        <v>6127</v>
      </c>
      <c r="B6123">
        <v>0.99999676499088797</v>
      </c>
      <c r="C6123">
        <v>1.0682430794773301</v>
      </c>
      <c r="D6123">
        <v>0.987759404219823</v>
      </c>
      <c r="E6123">
        <v>0.99274960920454802</v>
      </c>
      <c r="F6123">
        <v>0.94531512722146904</v>
      </c>
      <c r="G6123">
        <v>0.74440447602261195</v>
      </c>
      <c r="H6123">
        <v>0.42378013107519003</v>
      </c>
      <c r="I6123">
        <v>0.236431229872925</v>
      </c>
      <c r="J6123">
        <v>0.197505102111736</v>
      </c>
      <c r="K6123">
        <v>0.18869248409940501</v>
      </c>
      <c r="L6123">
        <v>1495.03970211091</v>
      </c>
      <c r="M6123">
        <v>25.4700004301327</v>
      </c>
      <c r="N6123">
        <v>59.638049475235803</v>
      </c>
      <c r="O6123">
        <v>58.339805928233403</v>
      </c>
      <c r="P6123">
        <v>-9.1102132842278402E-2</v>
      </c>
      <c r="Q6123">
        <v>0.165321631748369</v>
      </c>
      <c r="R6123">
        <v>0.99562950192947597</v>
      </c>
      <c r="S6123" t="s">
        <v>13126</v>
      </c>
      <c r="T6123" t="s">
        <v>14004</v>
      </c>
      <c r="U6123" t="s">
        <v>14004</v>
      </c>
      <c r="V6123" t="s">
        <v>14004</v>
      </c>
      <c r="W6123" t="s">
        <v>20072</v>
      </c>
      <c r="X6123">
        <v>6</v>
      </c>
      <c r="Y6123" t="s">
        <v>26867</v>
      </c>
      <c r="Z6123" t="s">
        <v>33833</v>
      </c>
      <c r="AA6123">
        <v>0.69237427598407708</v>
      </c>
      <c r="AB6123" t="str">
        <f>HYPERLINK("Melting_Curves/meltCurve_Q9HCN8_SDF2L1.pdf", "Melting_Curves/meltCurve_Q9HCN8_SDF2L1.pdf")</f>
        <v>Melting_Curves/meltCurve_Q9HCN8_SDF2L1.pdf</v>
      </c>
    </row>
    <row r="6124" spans="1:28" x14ac:dyDescent="0.25">
      <c r="A6124" t="s">
        <v>6128</v>
      </c>
      <c r="B6124">
        <v>0.99999676499088797</v>
      </c>
      <c r="C6124">
        <v>0.87176143514808302</v>
      </c>
      <c r="D6124">
        <v>0.95942077720527996</v>
      </c>
      <c r="E6124">
        <v>1.064080001867</v>
      </c>
      <c r="F6124">
        <v>1.1164902603179001</v>
      </c>
      <c r="G6124">
        <v>0.649921910536853</v>
      </c>
      <c r="H6124">
        <v>0.17326433792215301</v>
      </c>
      <c r="I6124">
        <v>0.108938698913237</v>
      </c>
      <c r="J6124">
        <v>0.113845791315813</v>
      </c>
      <c r="K6124">
        <v>8.6127742374638605E-2</v>
      </c>
      <c r="L6124">
        <v>4259.0065405280802</v>
      </c>
      <c r="M6124">
        <v>74.543955929648405</v>
      </c>
      <c r="N6124">
        <v>57.340464720831299</v>
      </c>
      <c r="O6124">
        <v>57.093085057420403</v>
      </c>
      <c r="P6124">
        <v>-0.288020890934298</v>
      </c>
      <c r="Q6124">
        <v>0.117621372043294</v>
      </c>
      <c r="R6124">
        <v>0.97749408266489801</v>
      </c>
      <c r="S6124" t="s">
        <v>13127</v>
      </c>
      <c r="T6124" t="s">
        <v>14004</v>
      </c>
      <c r="U6124" t="s">
        <v>14004</v>
      </c>
      <c r="V6124" t="s">
        <v>14004</v>
      </c>
      <c r="W6124" t="s">
        <v>20073</v>
      </c>
      <c r="X6124">
        <v>8</v>
      </c>
      <c r="Y6124" t="s">
        <v>26868</v>
      </c>
      <c r="Z6124" t="s">
        <v>33834</v>
      </c>
      <c r="AA6124">
        <v>0.62257937537087815</v>
      </c>
      <c r="AB6124" t="str">
        <f>HYPERLINK("Melting_Curves/meltCurve_Q9HCP0_2_CSNK1G1.pdf", "Melting_Curves/meltCurve_Q9HCP0_2_CSNK1G1.pdf")</f>
        <v>Melting_Curves/meltCurve_Q9HCP0_2_CSNK1G1.pdf</v>
      </c>
    </row>
    <row r="6125" spans="1:28" x14ac:dyDescent="0.25">
      <c r="A6125" t="s">
        <v>6129</v>
      </c>
      <c r="B6125">
        <v>0.99999676499088797</v>
      </c>
      <c r="C6125">
        <v>1.0921940856226</v>
      </c>
      <c r="D6125">
        <v>1.09384572153687</v>
      </c>
      <c r="E6125">
        <v>1.0257434646125301</v>
      </c>
      <c r="F6125">
        <v>0.81864807231441805</v>
      </c>
      <c r="G6125">
        <v>0.54362753602860203</v>
      </c>
      <c r="H6125">
        <v>0.163146007173288</v>
      </c>
      <c r="I6125">
        <v>0.11460460745617</v>
      </c>
      <c r="J6125">
        <v>9.5543099247867705E-2</v>
      </c>
      <c r="K6125">
        <v>8.9028340505865694E-2</v>
      </c>
      <c r="L6125">
        <v>1559.0170348459601</v>
      </c>
      <c r="M6125">
        <v>27.5604754858443</v>
      </c>
      <c r="N6125">
        <v>56.910364515019097</v>
      </c>
      <c r="O6125">
        <v>56.271833198150702</v>
      </c>
      <c r="P6125">
        <v>-0.113068971648288</v>
      </c>
      <c r="Q6125">
        <v>7.6570325098798298E-2</v>
      </c>
      <c r="R6125">
        <v>0.98699926033331598</v>
      </c>
      <c r="S6125" t="s">
        <v>13128</v>
      </c>
      <c r="T6125" t="s">
        <v>14004</v>
      </c>
      <c r="U6125" t="s">
        <v>14004</v>
      </c>
      <c r="V6125" t="s">
        <v>14004</v>
      </c>
      <c r="W6125" t="s">
        <v>20074</v>
      </c>
      <c r="X6125">
        <v>13</v>
      </c>
      <c r="Y6125" t="s">
        <v>26869</v>
      </c>
      <c r="Z6125" t="s">
        <v>33835</v>
      </c>
      <c r="AA6125">
        <v>0.59366982985019989</v>
      </c>
      <c r="AB6125" t="str">
        <f>HYPERLINK("Melting_Curves/meltCurve_Q9HCU5_PREB.pdf", "Melting_Curves/meltCurve_Q9HCU5_PREB.pdf")</f>
        <v>Melting_Curves/meltCurve_Q9HCU5_PREB.pdf</v>
      </c>
    </row>
    <row r="6126" spans="1:28" x14ac:dyDescent="0.25">
      <c r="A6126" t="s">
        <v>6130</v>
      </c>
      <c r="B6126">
        <v>0.99999676499088797</v>
      </c>
      <c r="C6126">
        <v>1.01231197144492</v>
      </c>
      <c r="D6126">
        <v>0.99398147210283205</v>
      </c>
      <c r="E6126">
        <v>0.93557978651617502</v>
      </c>
      <c r="F6126">
        <v>0.68631386642065895</v>
      </c>
      <c r="G6126">
        <v>0.32494958078102099</v>
      </c>
      <c r="H6126">
        <v>0.14700100357806201</v>
      </c>
      <c r="I6126">
        <v>0.127321574914143</v>
      </c>
      <c r="J6126">
        <v>0.129084178421037</v>
      </c>
      <c r="K6126">
        <v>0.13889015788348999</v>
      </c>
      <c r="L6126">
        <v>1530.58626607883</v>
      </c>
      <c r="M6126">
        <v>28.188032481777402</v>
      </c>
      <c r="N6126">
        <v>54.8443733838116</v>
      </c>
      <c r="O6126">
        <v>54.028071489493499</v>
      </c>
      <c r="P6126">
        <v>-0.114495399563751</v>
      </c>
      <c r="Q6126">
        <v>0.12219287425719901</v>
      </c>
      <c r="R6126">
        <v>0.99946807190898701</v>
      </c>
      <c r="S6126" t="s">
        <v>13129</v>
      </c>
      <c r="T6126" t="s">
        <v>14004</v>
      </c>
      <c r="U6126" t="s">
        <v>14004</v>
      </c>
      <c r="V6126" t="s">
        <v>14004</v>
      </c>
      <c r="W6126" t="s">
        <v>20075</v>
      </c>
      <c r="X6126">
        <v>9</v>
      </c>
      <c r="Y6126" t="s">
        <v>26870</v>
      </c>
      <c r="Z6126" t="s">
        <v>33836</v>
      </c>
      <c r="AA6126">
        <v>0.54710230842720586</v>
      </c>
      <c r="AB6126" t="str">
        <f>HYPERLINK("Melting_Curves/meltCurve_Q9HD15_SRA1.pdf", "Melting_Curves/meltCurve_Q9HD15_SRA1.pdf")</f>
        <v>Melting_Curves/meltCurve_Q9HD15_SRA1.pdf</v>
      </c>
    </row>
    <row r="6127" spans="1:28" x14ac:dyDescent="0.25">
      <c r="A6127" t="s">
        <v>6131</v>
      </c>
      <c r="B6127">
        <v>0.99999676499088797</v>
      </c>
      <c r="C6127">
        <v>1.04558746623807</v>
      </c>
      <c r="D6127">
        <v>1.0377850755532101</v>
      </c>
      <c r="E6127">
        <v>1.0125805410353499</v>
      </c>
      <c r="F6127">
        <v>0.51532257813303695</v>
      </c>
      <c r="G6127">
        <v>0.17886134610555701</v>
      </c>
      <c r="H6127">
        <v>7.0368905192033204E-2</v>
      </c>
      <c r="I6127">
        <v>6.8733548575470205E-2</v>
      </c>
      <c r="J6127">
        <v>6.7662924863080301E-2</v>
      </c>
      <c r="K6127">
        <v>5.6027085346744603E-2</v>
      </c>
      <c r="L6127">
        <v>2262.95022752059</v>
      </c>
      <c r="M6127">
        <v>42.542464339639999</v>
      </c>
      <c r="N6127">
        <v>53.392224486471399</v>
      </c>
      <c r="O6127">
        <v>53.075606835205697</v>
      </c>
      <c r="P6127">
        <v>-0.18566068021387999</v>
      </c>
      <c r="Q6127">
        <v>7.3486896139059399E-2</v>
      </c>
      <c r="R6127">
        <v>0.99515265739463699</v>
      </c>
      <c r="S6127" t="s">
        <v>13130</v>
      </c>
      <c r="T6127" t="s">
        <v>14004</v>
      </c>
      <c r="U6127" t="s">
        <v>14004</v>
      </c>
      <c r="V6127" t="s">
        <v>14004</v>
      </c>
      <c r="W6127" t="s">
        <v>20076</v>
      </c>
      <c r="X6127">
        <v>32</v>
      </c>
      <c r="Y6127" t="s">
        <v>26871</v>
      </c>
      <c r="Z6127" t="s">
        <v>33837</v>
      </c>
      <c r="AA6127">
        <v>0.48393521655874688</v>
      </c>
      <c r="AB6127" t="str">
        <f>HYPERLINK("Melting_Curves/meltCurve_Q9HD20_2_ATP13A1.pdf", "Melting_Curves/meltCurve_Q9HD20_2_ATP13A1.pdf")</f>
        <v>Melting_Curves/meltCurve_Q9HD20_2_ATP13A1.pdf</v>
      </c>
    </row>
    <row r="6128" spans="1:28" x14ac:dyDescent="0.25">
      <c r="A6128" t="s">
        <v>6132</v>
      </c>
      <c r="B6128">
        <v>0.99999676499088797</v>
      </c>
      <c r="C6128">
        <v>0.91932921887888996</v>
      </c>
      <c r="D6128">
        <v>0.81886850554943202</v>
      </c>
      <c r="E6128">
        <v>0.27461389374152501</v>
      </c>
      <c r="F6128">
        <v>0.16277590241258799</v>
      </c>
      <c r="G6128">
        <v>9.8013918505603898E-2</v>
      </c>
      <c r="H6128">
        <v>4.7182959511600002E-2</v>
      </c>
      <c r="I6128">
        <v>4.4891522235902398E-2</v>
      </c>
      <c r="J6128">
        <v>4.5886211129389502E-2</v>
      </c>
      <c r="K6128">
        <v>3.65354320171382E-2</v>
      </c>
      <c r="L6128">
        <v>1409.8225775267099</v>
      </c>
      <c r="M6128">
        <v>29.425447869451801</v>
      </c>
      <c r="N6128">
        <v>48.115249359547697</v>
      </c>
      <c r="O6128">
        <v>47.692019192587402</v>
      </c>
      <c r="P6128">
        <v>-0.14522067863549001</v>
      </c>
      <c r="Q6128">
        <v>5.8526459306538603E-2</v>
      </c>
      <c r="R6128">
        <v>0.99294862438782805</v>
      </c>
      <c r="S6128" t="s">
        <v>13131</v>
      </c>
      <c r="T6128" t="s">
        <v>14004</v>
      </c>
      <c r="U6128" t="s">
        <v>14004</v>
      </c>
      <c r="V6128" t="s">
        <v>14004</v>
      </c>
      <c r="W6128" t="s">
        <v>20077</v>
      </c>
      <c r="X6128">
        <v>9</v>
      </c>
      <c r="Y6128" t="s">
        <v>26872</v>
      </c>
      <c r="Z6128" t="s">
        <v>33838</v>
      </c>
      <c r="AA6128">
        <v>0.31271062736157529</v>
      </c>
      <c r="AB6128" t="str">
        <f>HYPERLINK("Melting_Curves/meltCurve_Q9HD26_GOPC.pdf", "Melting_Curves/meltCurve_Q9HD26_GOPC.pdf")</f>
        <v>Melting_Curves/meltCurve_Q9HD26_GOPC.pdf</v>
      </c>
    </row>
    <row r="6129" spans="1:28" x14ac:dyDescent="0.25">
      <c r="A6129" t="s">
        <v>6133</v>
      </c>
      <c r="B6129">
        <v>0.99999676499088797</v>
      </c>
      <c r="C6129">
        <v>0.94950724618643201</v>
      </c>
      <c r="D6129">
        <v>1.0470556054778399</v>
      </c>
      <c r="E6129">
        <v>1.2147187455250199</v>
      </c>
      <c r="F6129">
        <v>0.78841805959344902</v>
      </c>
      <c r="G6129">
        <v>0.465691458307607</v>
      </c>
      <c r="H6129">
        <v>0.13689127919080299</v>
      </c>
      <c r="I6129">
        <v>0.11483475918362</v>
      </c>
      <c r="J6129">
        <v>9.5694893750760998E-2</v>
      </c>
      <c r="K6129">
        <v>7.6704067779352902E-2</v>
      </c>
      <c r="L6129">
        <v>1781.05404705151</v>
      </c>
      <c r="M6129">
        <v>31.8133480659064</v>
      </c>
      <c r="N6129">
        <v>56.317510802576102</v>
      </c>
      <c r="O6129">
        <v>55.764672879996702</v>
      </c>
      <c r="P6129">
        <v>-0.130394891994494</v>
      </c>
      <c r="Q6129">
        <v>8.5743384489947699E-2</v>
      </c>
      <c r="R6129">
        <v>0.96655987960828504</v>
      </c>
      <c r="S6129" t="s">
        <v>13132</v>
      </c>
      <c r="T6129" t="s">
        <v>14004</v>
      </c>
      <c r="U6129" t="s">
        <v>14004</v>
      </c>
      <c r="V6129" t="s">
        <v>14004</v>
      </c>
      <c r="W6129" t="s">
        <v>20078</v>
      </c>
      <c r="X6129">
        <v>3</v>
      </c>
      <c r="Y6129" t="s">
        <v>26873</v>
      </c>
      <c r="Z6129" t="s">
        <v>33839</v>
      </c>
      <c r="AA6129">
        <v>0.57834207976869367</v>
      </c>
      <c r="AB6129" t="str">
        <f>HYPERLINK("Melting_Curves/meltCurve_Q9HD34_LYRM4.pdf", "Melting_Curves/meltCurve_Q9HD34_LYRM4.pdf")</f>
        <v>Melting_Curves/meltCurve_Q9HD34_LYRM4.pdf</v>
      </c>
    </row>
    <row r="6130" spans="1:28" x14ac:dyDescent="0.25">
      <c r="A6130" t="s">
        <v>6134</v>
      </c>
      <c r="B6130">
        <v>0.99999676499088797</v>
      </c>
      <c r="C6130">
        <v>1.1551137356469301</v>
      </c>
      <c r="D6130">
        <v>1.0252976180432001</v>
      </c>
      <c r="E6130">
        <v>0.99129200265780104</v>
      </c>
      <c r="F6130">
        <v>0.92065650263669796</v>
      </c>
      <c r="G6130">
        <v>0.77032951390381599</v>
      </c>
      <c r="H6130">
        <v>0.57539061780329104</v>
      </c>
      <c r="I6130">
        <v>0.48621537012806199</v>
      </c>
      <c r="J6130">
        <v>0.28758141135208798</v>
      </c>
      <c r="K6130">
        <v>0.171263997789809</v>
      </c>
      <c r="L6130">
        <v>838.80811377496298</v>
      </c>
      <c r="M6130">
        <v>13.389180642510199</v>
      </c>
      <c r="N6130">
        <v>62.648203523646302</v>
      </c>
      <c r="O6130">
        <v>61.300182916959002</v>
      </c>
      <c r="P6130">
        <v>-5.4613556948397202E-2</v>
      </c>
      <c r="Q6130">
        <v>0</v>
      </c>
      <c r="R6130">
        <v>0.96961426218805902</v>
      </c>
      <c r="S6130" t="s">
        <v>13133</v>
      </c>
      <c r="T6130" t="s">
        <v>14004</v>
      </c>
      <c r="U6130" t="s">
        <v>14004</v>
      </c>
      <c r="V6130" t="s">
        <v>14004</v>
      </c>
      <c r="W6130" t="s">
        <v>20079</v>
      </c>
      <c r="X6130">
        <v>7</v>
      </c>
      <c r="Y6130" t="s">
        <v>26874</v>
      </c>
      <c r="Z6130" t="s">
        <v>33840</v>
      </c>
      <c r="AA6130">
        <v>0.74361014473164699</v>
      </c>
      <c r="AB6130" t="str">
        <f>HYPERLINK("Melting_Curves/meltCurve_Q9HD40_SEPSECS.pdf", "Melting_Curves/meltCurve_Q9HD40_SEPSECS.pdf")</f>
        <v>Melting_Curves/meltCurve_Q9HD40_SEPSECS.pdf</v>
      </c>
    </row>
    <row r="6131" spans="1:28" x14ac:dyDescent="0.25">
      <c r="A6131" t="s">
        <v>6135</v>
      </c>
      <c r="B6131">
        <v>0.99999676499088797</v>
      </c>
      <c r="C6131">
        <v>0.95797615960045901</v>
      </c>
      <c r="D6131">
        <v>0.96755911615298995</v>
      </c>
      <c r="E6131">
        <v>0.88319360714816797</v>
      </c>
      <c r="F6131">
        <v>0.73009953365437597</v>
      </c>
      <c r="G6131">
        <v>0.592500848792472</v>
      </c>
      <c r="H6131">
        <v>0.27432308054445798</v>
      </c>
      <c r="I6131">
        <v>0.21652701406512601</v>
      </c>
      <c r="J6131">
        <v>0.20020411423456799</v>
      </c>
      <c r="K6131">
        <v>0.189345307425102</v>
      </c>
      <c r="L6131">
        <v>883.92978453090302</v>
      </c>
      <c r="M6131">
        <v>15.7298233671196</v>
      </c>
      <c r="N6131">
        <v>57.259281113436401</v>
      </c>
      <c r="O6131">
        <v>55.309806343660497</v>
      </c>
      <c r="P6131">
        <v>-6.20883247702795E-2</v>
      </c>
      <c r="Q6131">
        <v>0.12680402703450799</v>
      </c>
      <c r="R6131">
        <v>0.99037374644827403</v>
      </c>
      <c r="S6131" t="s">
        <v>13134</v>
      </c>
      <c r="T6131" t="s">
        <v>14004</v>
      </c>
      <c r="U6131" t="s">
        <v>14004</v>
      </c>
      <c r="V6131" t="s">
        <v>14004</v>
      </c>
      <c r="W6131" t="s">
        <v>14044</v>
      </c>
      <c r="X6131">
        <v>9</v>
      </c>
      <c r="Y6131" t="s">
        <v>20980</v>
      </c>
      <c r="Z6131" t="s">
        <v>33841</v>
      </c>
      <c r="AA6131">
        <v>0.61276453654827823</v>
      </c>
      <c r="AB6131" t="str">
        <f>HYPERLINK("Melting_Curves/meltCurve_Q9HD42_CHMP1A.pdf", "Melting_Curves/meltCurve_Q9HD42_CHMP1A.pdf")</f>
        <v>Melting_Curves/meltCurve_Q9HD42_CHMP1A.pdf</v>
      </c>
    </row>
    <row r="6132" spans="1:28" x14ac:dyDescent="0.25">
      <c r="A6132" t="s">
        <v>6136</v>
      </c>
      <c r="B6132">
        <v>0.99999676499088797</v>
      </c>
      <c r="C6132">
        <v>0.91707492073459096</v>
      </c>
      <c r="D6132">
        <v>0.95406764797931498</v>
      </c>
      <c r="E6132">
        <v>0.97119260994833601</v>
      </c>
      <c r="F6132">
        <v>0.30371381410420301</v>
      </c>
      <c r="G6132">
        <v>0.16394655633630101</v>
      </c>
      <c r="H6132">
        <v>6.5080509314568796E-2</v>
      </c>
      <c r="I6132">
        <v>6.4471146427158801E-2</v>
      </c>
      <c r="J6132">
        <v>7.0268989338817298E-2</v>
      </c>
      <c r="K6132">
        <v>5.4157374026069703E-2</v>
      </c>
      <c r="L6132">
        <v>3020.0757859411501</v>
      </c>
      <c r="M6132">
        <v>57.868002204928402</v>
      </c>
      <c r="N6132">
        <v>52.348598761129502</v>
      </c>
      <c r="O6132">
        <v>52.126829730708302</v>
      </c>
      <c r="P6132">
        <v>-0.255096446762549</v>
      </c>
      <c r="Q6132">
        <v>8.0848674336895507E-2</v>
      </c>
      <c r="R6132">
        <v>0.99076370390225399</v>
      </c>
      <c r="S6132" t="s">
        <v>13135</v>
      </c>
      <c r="T6132" t="s">
        <v>14004</v>
      </c>
      <c r="U6132" t="s">
        <v>14004</v>
      </c>
      <c r="V6132" t="s">
        <v>14004</v>
      </c>
      <c r="W6132" t="s">
        <v>20080</v>
      </c>
      <c r="X6132">
        <v>9</v>
      </c>
      <c r="Y6132" t="s">
        <v>26875</v>
      </c>
      <c r="Z6132" t="s">
        <v>33842</v>
      </c>
      <c r="AA6132">
        <v>0.45587866021919682</v>
      </c>
      <c r="AB6132" t="str">
        <f>HYPERLINK("Melting_Curves/meltCurve_Q9HD45_TM9SF3.pdf", "Melting_Curves/meltCurve_Q9HD45_TM9SF3.pdf")</f>
        <v>Melting_Curves/meltCurve_Q9HD45_TM9SF3.pdf</v>
      </c>
    </row>
    <row r="6133" spans="1:28" x14ac:dyDescent="0.25">
      <c r="A6133" t="s">
        <v>6137</v>
      </c>
      <c r="B6133">
        <v>0.99999676499088797</v>
      </c>
      <c r="C6133">
        <v>1.01403064213816</v>
      </c>
      <c r="D6133">
        <v>1.0214309961211301</v>
      </c>
      <c r="E6133">
        <v>0.87402175911911795</v>
      </c>
      <c r="F6133">
        <v>0.74996141969678598</v>
      </c>
      <c r="G6133">
        <v>0.43956283143401098</v>
      </c>
      <c r="H6133">
        <v>0.13148039831200301</v>
      </c>
      <c r="I6133">
        <v>0.15230578535719</v>
      </c>
      <c r="J6133">
        <v>0.15262931211818601</v>
      </c>
      <c r="K6133">
        <v>0.145283771959823</v>
      </c>
      <c r="L6133">
        <v>1309.4565149402699</v>
      </c>
      <c r="M6133">
        <v>23.765168612935199</v>
      </c>
      <c r="N6133">
        <v>55.734254367910999</v>
      </c>
      <c r="O6133">
        <v>54.714121964567298</v>
      </c>
      <c r="P6133">
        <v>-9.5721019489308001E-2</v>
      </c>
      <c r="Q6133">
        <v>0.11850724517893001</v>
      </c>
      <c r="R6133">
        <v>0.99106395915541301</v>
      </c>
      <c r="S6133" t="s">
        <v>13136</v>
      </c>
      <c r="T6133" t="s">
        <v>14004</v>
      </c>
      <c r="U6133" t="s">
        <v>14004</v>
      </c>
      <c r="V6133" t="s">
        <v>14004</v>
      </c>
      <c r="W6133" t="s">
        <v>20081</v>
      </c>
      <c r="X6133">
        <v>5</v>
      </c>
      <c r="Y6133" t="s">
        <v>26876</v>
      </c>
      <c r="Z6133" t="s">
        <v>33843</v>
      </c>
      <c r="AA6133">
        <v>0.57108008317876724</v>
      </c>
      <c r="AB6133" t="str">
        <f>HYPERLINK("Melting_Curves/meltCurve_Q9HD47_RANGRF.pdf", "Melting_Curves/meltCurve_Q9HD47_RANGRF.pdf")</f>
        <v>Melting_Curves/meltCurve_Q9HD47_RANGRF.pdf</v>
      </c>
    </row>
    <row r="6134" spans="1:28" x14ac:dyDescent="0.25">
      <c r="A6134" t="s">
        <v>6138</v>
      </c>
      <c r="B6134">
        <v>0.99999676499088797</v>
      </c>
      <c r="C6134">
        <v>1.02266552619414</v>
      </c>
      <c r="D6134">
        <v>1.0585735540800001</v>
      </c>
      <c r="E6134">
        <v>0.92955674402085198</v>
      </c>
      <c r="F6134">
        <v>1.0281605407650201</v>
      </c>
      <c r="G6134">
        <v>0.74129226653580504</v>
      </c>
      <c r="H6134">
        <v>0.470433548973898</v>
      </c>
      <c r="I6134">
        <v>0.475680297865401</v>
      </c>
      <c r="J6134">
        <v>0.47224058423883902</v>
      </c>
      <c r="K6134">
        <v>0.450844150748691</v>
      </c>
      <c r="L6134">
        <v>14203.2604493455</v>
      </c>
      <c r="M6134">
        <v>250</v>
      </c>
      <c r="N6134">
        <v>57.439641640470299</v>
      </c>
      <c r="O6134">
        <v>56.809401876500097</v>
      </c>
      <c r="P6134">
        <v>-0.58606092061458004</v>
      </c>
      <c r="Q6134">
        <v>0.46729963478998099</v>
      </c>
      <c r="R6134">
        <v>0.98472477924831603</v>
      </c>
      <c r="S6134" t="s">
        <v>13137</v>
      </c>
      <c r="T6134" t="s">
        <v>14004</v>
      </c>
      <c r="U6134" t="s">
        <v>14004</v>
      </c>
      <c r="V6134" t="s">
        <v>14004</v>
      </c>
      <c r="W6134" t="s">
        <v>20082</v>
      </c>
      <c r="X6134">
        <v>3</v>
      </c>
      <c r="Y6134" t="s">
        <v>26877</v>
      </c>
      <c r="Z6134" t="s">
        <v>33844</v>
      </c>
      <c r="AA6134">
        <v>0.7658965317400277</v>
      </c>
      <c r="AB6134" t="str">
        <f>HYPERLINK("Melting_Curves/meltCurve_Q9HD89_RETN.pdf", "Melting_Curves/meltCurve_Q9HD89_RETN.pdf")</f>
        <v>Melting_Curves/meltCurve_Q9HD89_RETN.pdf</v>
      </c>
    </row>
    <row r="6135" spans="1:28" x14ac:dyDescent="0.25">
      <c r="A6135" t="s">
        <v>6139</v>
      </c>
      <c r="B6135">
        <v>0.99999676499088797</v>
      </c>
      <c r="C6135">
        <v>1.0630877582267499</v>
      </c>
      <c r="D6135">
        <v>1.07541128022669</v>
      </c>
      <c r="E6135">
        <v>0.82879080027850904</v>
      </c>
      <c r="F6135">
        <v>0.72876549312973105</v>
      </c>
      <c r="G6135">
        <v>0.63565858076750803</v>
      </c>
      <c r="H6135">
        <v>0.47120286737744499</v>
      </c>
      <c r="I6135">
        <v>0.49818574610555999</v>
      </c>
      <c r="J6135">
        <v>0.47442071812424902</v>
      </c>
      <c r="K6135">
        <v>0.38604596257662299</v>
      </c>
      <c r="L6135">
        <v>893.56349563683204</v>
      </c>
      <c r="M6135">
        <v>16.5720650043151</v>
      </c>
      <c r="N6135">
        <v>60.839646946195501</v>
      </c>
      <c r="O6135">
        <v>53.153073503829297</v>
      </c>
      <c r="P6135">
        <v>-4.4893467095314797E-2</v>
      </c>
      <c r="Q6135">
        <v>0.42407592904725699</v>
      </c>
      <c r="R6135">
        <v>0.95617832412593495</v>
      </c>
      <c r="S6135" t="s">
        <v>13138</v>
      </c>
      <c r="T6135" t="s">
        <v>14004</v>
      </c>
      <c r="U6135" t="s">
        <v>14004</v>
      </c>
      <c r="V6135" t="s">
        <v>14004</v>
      </c>
      <c r="W6135" t="s">
        <v>20083</v>
      </c>
      <c r="X6135">
        <v>5</v>
      </c>
      <c r="Y6135" t="s">
        <v>26878</v>
      </c>
      <c r="Z6135" t="s">
        <v>33845</v>
      </c>
      <c r="AA6135">
        <v>0.70170559810567446</v>
      </c>
      <c r="AB6135" t="str">
        <f>HYPERLINK("Melting_Curves/meltCurve_Q9HDC5_JPH1.pdf", "Melting_Curves/meltCurve_Q9HDC5_JPH1.pdf")</f>
        <v>Melting_Curves/meltCurve_Q9HDC5_JPH1.pdf</v>
      </c>
    </row>
    <row r="6136" spans="1:28" x14ac:dyDescent="0.25">
      <c r="A6136" t="s">
        <v>6140</v>
      </c>
      <c r="B6136">
        <v>0.99999676499088797</v>
      </c>
      <c r="C6136">
        <v>0.97627453257277796</v>
      </c>
      <c r="D6136">
        <v>1.0274839436816401</v>
      </c>
      <c r="E6136">
        <v>1.0586665912851401</v>
      </c>
      <c r="F6136">
        <v>0.910947684808461</v>
      </c>
      <c r="G6136">
        <v>0.55808652806259895</v>
      </c>
      <c r="H6136">
        <v>0.20185758700810699</v>
      </c>
      <c r="I6136">
        <v>0.139932276032149</v>
      </c>
      <c r="J6136">
        <v>0.124796572501664</v>
      </c>
      <c r="K6136">
        <v>9.6939686101076894E-2</v>
      </c>
      <c r="L6136">
        <v>1911.3106502517901</v>
      </c>
      <c r="M6136">
        <v>33.636572447369304</v>
      </c>
      <c r="N6136">
        <v>57.253401979974797</v>
      </c>
      <c r="O6136">
        <v>56.622688926190101</v>
      </c>
      <c r="P6136">
        <v>-0.13190133679961</v>
      </c>
      <c r="Q6136">
        <v>0.111850442145477</v>
      </c>
      <c r="R6136">
        <v>0.99631450145938805</v>
      </c>
      <c r="S6136" t="s">
        <v>13139</v>
      </c>
      <c r="T6136" t="s">
        <v>14004</v>
      </c>
      <c r="U6136" t="s">
        <v>14004</v>
      </c>
      <c r="V6136" t="s">
        <v>14004</v>
      </c>
      <c r="W6136" t="s">
        <v>20084</v>
      </c>
      <c r="X6136">
        <v>22</v>
      </c>
      <c r="Y6136" t="s">
        <v>26879</v>
      </c>
      <c r="Z6136" t="s">
        <v>33846</v>
      </c>
      <c r="AA6136">
        <v>0.61468419103555461</v>
      </c>
      <c r="AB6136" t="str">
        <f>HYPERLINK("Melting_Curves/meltCurve_Q9HDC9_APMAP.pdf", "Melting_Curves/meltCurve_Q9HDC9_APMAP.pdf")</f>
        <v>Melting_Curves/meltCurve_Q9HDC9_APMAP.pdf</v>
      </c>
    </row>
    <row r="6137" spans="1:28" x14ac:dyDescent="0.25">
      <c r="A6137" t="s">
        <v>6141</v>
      </c>
      <c r="B6137">
        <v>0.99999676499088797</v>
      </c>
      <c r="C6137">
        <v>1.0522689556581699</v>
      </c>
      <c r="D6137">
        <v>1.26941819043352</v>
      </c>
      <c r="E6137">
        <v>1.2753807289946799</v>
      </c>
      <c r="F6137">
        <v>0.54607402056950405</v>
      </c>
      <c r="G6137">
        <v>0.27814528223811802</v>
      </c>
      <c r="H6137">
        <v>0.230856633033482</v>
      </c>
      <c r="I6137">
        <v>0.30003224444022603</v>
      </c>
      <c r="J6137">
        <v>0.297050876075513</v>
      </c>
      <c r="K6137">
        <v>0.25318896517043699</v>
      </c>
      <c r="L6137">
        <v>13273.1868777367</v>
      </c>
      <c r="M6137">
        <v>250</v>
      </c>
      <c r="N6137">
        <v>53.259928751396203</v>
      </c>
      <c r="O6137">
        <v>53.089353377291701</v>
      </c>
      <c r="P6137">
        <v>-0.85721667156175896</v>
      </c>
      <c r="Q6137">
        <v>0.27185478736530899</v>
      </c>
      <c r="R6137">
        <v>0.91352412113580395</v>
      </c>
      <c r="S6137" t="s">
        <v>13140</v>
      </c>
      <c r="T6137" t="s">
        <v>14004</v>
      </c>
      <c r="U6137" t="s">
        <v>14004</v>
      </c>
      <c r="V6137" t="s">
        <v>14004</v>
      </c>
      <c r="W6137" t="s">
        <v>20085</v>
      </c>
      <c r="X6137">
        <v>1</v>
      </c>
      <c r="Y6137" t="s">
        <v>26880</v>
      </c>
      <c r="Z6137" t="s">
        <v>33847</v>
      </c>
      <c r="AA6137">
        <v>0.58970334772318045</v>
      </c>
      <c r="AB6137" t="str">
        <f>HYPERLINK("Melting_Curves/meltCurve_Q9NP58_4_ABCB6.pdf", "Melting_Curves/meltCurve_Q9NP58_4_ABCB6.pdf")</f>
        <v>Melting_Curves/meltCurve_Q9NP58_4_ABCB6.pdf</v>
      </c>
    </row>
    <row r="6138" spans="1:28" x14ac:dyDescent="0.25">
      <c r="A6138" t="s">
        <v>6142</v>
      </c>
      <c r="B6138">
        <v>0.99999676499088797</v>
      </c>
      <c r="C6138">
        <v>1.0523536066199799</v>
      </c>
      <c r="D6138">
        <v>0.99024003577961595</v>
      </c>
      <c r="E6138">
        <v>0.88217867288197604</v>
      </c>
      <c r="F6138">
        <v>0.71124811590536297</v>
      </c>
      <c r="G6138">
        <v>0.62833582686770595</v>
      </c>
      <c r="H6138">
        <v>0.439400804900277</v>
      </c>
      <c r="I6138">
        <v>0.432391811957414</v>
      </c>
      <c r="J6138">
        <v>0.46516796662155901</v>
      </c>
      <c r="K6138">
        <v>0.475910042360147</v>
      </c>
      <c r="L6138">
        <v>1030.4147196024301</v>
      </c>
      <c r="M6138">
        <v>19.305369746434501</v>
      </c>
      <c r="N6138">
        <v>60.003012593106</v>
      </c>
      <c r="O6138">
        <v>52.811729051760899</v>
      </c>
      <c r="P6138">
        <v>-5.1111544640051298E-2</v>
      </c>
      <c r="Q6138">
        <v>0.44073861739494702</v>
      </c>
      <c r="R6138">
        <v>0.98036523502987005</v>
      </c>
      <c r="S6138" t="s">
        <v>13141</v>
      </c>
      <c r="T6138" t="s">
        <v>14004</v>
      </c>
      <c r="U6138" t="s">
        <v>14004</v>
      </c>
      <c r="V6138" t="s">
        <v>14004</v>
      </c>
      <c r="W6138" t="s">
        <v>20086</v>
      </c>
      <c r="X6138">
        <v>10</v>
      </c>
      <c r="Y6138" t="s">
        <v>26881</v>
      </c>
      <c r="Z6138" t="s">
        <v>33848</v>
      </c>
      <c r="AA6138">
        <v>0.6981925066354937</v>
      </c>
      <c r="AB6138" t="str">
        <f>HYPERLINK("Melting_Curves/meltCurve_Q9NP66_HMG20A.pdf", "Melting_Curves/meltCurve_Q9NP66_HMG20A.pdf")</f>
        <v>Melting_Curves/meltCurve_Q9NP66_HMG20A.pdf</v>
      </c>
    </row>
    <row r="6139" spans="1:28" x14ac:dyDescent="0.25">
      <c r="A6139" t="s">
        <v>6143</v>
      </c>
      <c r="B6139">
        <v>0.99999676499088797</v>
      </c>
      <c r="C6139">
        <v>1.01369598317762</v>
      </c>
      <c r="D6139">
        <v>1.0144663923448001</v>
      </c>
      <c r="E6139">
        <v>1.1611808059303801</v>
      </c>
      <c r="F6139">
        <v>1.15457618074873</v>
      </c>
      <c r="G6139">
        <v>0.96613818085610104</v>
      </c>
      <c r="H6139">
        <v>0.55413540866537203</v>
      </c>
      <c r="I6139">
        <v>0.313607144085982</v>
      </c>
      <c r="J6139">
        <v>0.13518586596781801</v>
      </c>
      <c r="K6139">
        <v>8.8292257068692107E-2</v>
      </c>
      <c r="L6139">
        <v>2037.5745635325</v>
      </c>
      <c r="M6139">
        <v>33.302749719214297</v>
      </c>
      <c r="N6139">
        <v>61.572566764302003</v>
      </c>
      <c r="O6139">
        <v>60.964025516462499</v>
      </c>
      <c r="P6139">
        <v>-0.123605330713075</v>
      </c>
      <c r="Q6139">
        <v>9.4916039574742303E-2</v>
      </c>
      <c r="R6139">
        <v>0.96448814216651602</v>
      </c>
      <c r="S6139" t="s">
        <v>13142</v>
      </c>
      <c r="T6139" t="s">
        <v>14004</v>
      </c>
      <c r="U6139" t="s">
        <v>14004</v>
      </c>
      <c r="V6139" t="s">
        <v>14004</v>
      </c>
      <c r="W6139" t="s">
        <v>20087</v>
      </c>
      <c r="X6139">
        <v>15</v>
      </c>
      <c r="Y6139" t="s">
        <v>26882</v>
      </c>
      <c r="Z6139" t="s">
        <v>33849</v>
      </c>
      <c r="AA6139">
        <v>0.7383831100375845</v>
      </c>
      <c r="AB6139" t="str">
        <f>HYPERLINK("Melting_Curves/meltCurve_Q9NP72_RAB18.pdf", "Melting_Curves/meltCurve_Q9NP72_RAB18.pdf")</f>
        <v>Melting_Curves/meltCurve_Q9NP72_RAB18.pdf</v>
      </c>
    </row>
    <row r="6140" spans="1:28" x14ac:dyDescent="0.25">
      <c r="A6140" t="s">
        <v>6144</v>
      </c>
      <c r="B6140">
        <v>0.99999676499088797</v>
      </c>
      <c r="C6140">
        <v>1.06646256930002</v>
      </c>
      <c r="D6140">
        <v>1.0230510136808699</v>
      </c>
      <c r="E6140">
        <v>0.87362830051045504</v>
      </c>
      <c r="F6140">
        <v>0.576544114943633</v>
      </c>
      <c r="G6140">
        <v>0.35901402098278601</v>
      </c>
      <c r="H6140">
        <v>0.13104208585347599</v>
      </c>
      <c r="I6140">
        <v>0.113321212836675</v>
      </c>
      <c r="J6140">
        <v>0.120586141480577</v>
      </c>
      <c r="K6140">
        <v>0.12286879536074601</v>
      </c>
      <c r="L6140">
        <v>1182.7184843599</v>
      </c>
      <c r="M6140">
        <v>22.000002419660301</v>
      </c>
      <c r="N6140">
        <v>54.322030680969696</v>
      </c>
      <c r="O6140">
        <v>53.321664032021502</v>
      </c>
      <c r="P6140">
        <v>-9.2649301720344204E-2</v>
      </c>
      <c r="Q6140">
        <v>0.101799443073818</v>
      </c>
      <c r="R6140">
        <v>0.99269384595418197</v>
      </c>
      <c r="S6140" t="s">
        <v>13143</v>
      </c>
      <c r="T6140" t="s">
        <v>14004</v>
      </c>
      <c r="U6140" t="s">
        <v>14004</v>
      </c>
      <c r="V6140" t="s">
        <v>14004</v>
      </c>
      <c r="W6140" t="s">
        <v>20088</v>
      </c>
      <c r="X6140">
        <v>3</v>
      </c>
      <c r="Y6140" t="s">
        <v>26883</v>
      </c>
      <c r="Z6140" t="s">
        <v>33850</v>
      </c>
      <c r="AA6140">
        <v>0.52420627130638919</v>
      </c>
      <c r="AB6140" t="str">
        <f>HYPERLINK("Melting_Curves/meltCurve_Q9NP73_2_ALG13.pdf", "Melting_Curves/meltCurve_Q9NP73_2_ALG13.pdf")</f>
        <v>Melting_Curves/meltCurve_Q9NP73_2_ALG13.pdf</v>
      </c>
    </row>
    <row r="6141" spans="1:28" x14ac:dyDescent="0.25">
      <c r="A6141" t="s">
        <v>6145</v>
      </c>
      <c r="B6141">
        <v>0.99999676499088797</v>
      </c>
      <c r="C6141">
        <v>0.85018215811353204</v>
      </c>
      <c r="D6141">
        <v>0.74826335563082302</v>
      </c>
      <c r="E6141">
        <v>0.268196595678863</v>
      </c>
      <c r="F6141">
        <v>0.20370998590775599</v>
      </c>
      <c r="G6141">
        <v>0.12245876177439401</v>
      </c>
      <c r="H6141">
        <v>6.2970412284171606E-2</v>
      </c>
      <c r="I6141">
        <v>6.9311440762314894E-2</v>
      </c>
      <c r="J6141">
        <v>5.8284698813446202E-2</v>
      </c>
      <c r="K6141">
        <v>7.1783374863640906E-2</v>
      </c>
      <c r="L6141">
        <v>1017.70331860746</v>
      </c>
      <c r="M6141">
        <v>21.450032264243202</v>
      </c>
      <c r="N6141">
        <v>47.788147316297199</v>
      </c>
      <c r="O6141">
        <v>47.038694634457599</v>
      </c>
      <c r="P6141">
        <v>-0.105874630595368</v>
      </c>
      <c r="Q6141">
        <v>7.1314590393295907E-2</v>
      </c>
      <c r="R6141">
        <v>0.98708567470771003</v>
      </c>
      <c r="S6141" t="s">
        <v>13144</v>
      </c>
      <c r="T6141" t="s">
        <v>14004</v>
      </c>
      <c r="U6141" t="s">
        <v>14004</v>
      </c>
      <c r="V6141" t="s">
        <v>14004</v>
      </c>
      <c r="W6141" t="s">
        <v>20089</v>
      </c>
      <c r="X6141">
        <v>7</v>
      </c>
      <c r="Y6141" t="s">
        <v>26884</v>
      </c>
      <c r="Z6141" t="s">
        <v>33851</v>
      </c>
      <c r="AA6141">
        <v>0.31328658598970971</v>
      </c>
      <c r="AB6141" t="str">
        <f>HYPERLINK("Melting_Curves/meltCurve_Q9NP77_SSU72.pdf", "Melting_Curves/meltCurve_Q9NP77_SSU72.pdf")</f>
        <v>Melting_Curves/meltCurve_Q9NP77_SSU72.pdf</v>
      </c>
    </row>
    <row r="6142" spans="1:28" x14ac:dyDescent="0.25">
      <c r="A6142" t="s">
        <v>6146</v>
      </c>
      <c r="B6142">
        <v>0.99999676499088797</v>
      </c>
      <c r="C6142">
        <v>0.91242062800883905</v>
      </c>
      <c r="D6142">
        <v>0.92234918723377401</v>
      </c>
      <c r="E6142">
        <v>0.86024535311775896</v>
      </c>
      <c r="F6142">
        <v>0.252937062761044</v>
      </c>
      <c r="G6142">
        <v>0.176805498717788</v>
      </c>
      <c r="H6142">
        <v>7.7553041466722095E-2</v>
      </c>
      <c r="I6142">
        <v>6.7854555046181694E-2</v>
      </c>
      <c r="J6142">
        <v>7.3112730402925499E-2</v>
      </c>
      <c r="K6142">
        <v>7.0599188634528298E-2</v>
      </c>
      <c r="L6142">
        <v>2162.7852596266798</v>
      </c>
      <c r="M6142">
        <v>42.021287870729701</v>
      </c>
      <c r="N6142">
        <v>51.702507941627303</v>
      </c>
      <c r="O6142">
        <v>51.352647046791098</v>
      </c>
      <c r="P6142">
        <v>-0.18687769282241201</v>
      </c>
      <c r="Q6142">
        <v>8.6496546619365205E-2</v>
      </c>
      <c r="R6142">
        <v>0.987694070194027</v>
      </c>
      <c r="S6142" t="s">
        <v>13145</v>
      </c>
      <c r="T6142" t="s">
        <v>14004</v>
      </c>
      <c r="U6142" t="s">
        <v>14004</v>
      </c>
      <c r="V6142" t="s">
        <v>14004</v>
      </c>
      <c r="W6142" t="s">
        <v>20090</v>
      </c>
      <c r="X6142">
        <v>12</v>
      </c>
      <c r="Y6142" t="s">
        <v>26885</v>
      </c>
      <c r="Z6142" t="s">
        <v>33852</v>
      </c>
      <c r="AA6142">
        <v>0.43866506071606548</v>
      </c>
      <c r="AB6142" t="str">
        <f>HYPERLINK("Melting_Curves/meltCurve_Q9NP79_VTA1.pdf", "Melting_Curves/meltCurve_Q9NP79_VTA1.pdf")</f>
        <v>Melting_Curves/meltCurve_Q9NP79_VTA1.pdf</v>
      </c>
    </row>
    <row r="6143" spans="1:28" x14ac:dyDescent="0.25">
      <c r="A6143" t="s">
        <v>6147</v>
      </c>
      <c r="B6143">
        <v>0.99999676499088797</v>
      </c>
      <c r="C6143">
        <v>0.91984655739501198</v>
      </c>
      <c r="D6143">
        <v>0.75296159499668303</v>
      </c>
      <c r="E6143">
        <v>0.51235438827693203</v>
      </c>
      <c r="F6143">
        <v>0.29520811567820898</v>
      </c>
      <c r="G6143">
        <v>0.15497737996765401</v>
      </c>
      <c r="H6143">
        <v>7.4135063225594697E-2</v>
      </c>
      <c r="I6143">
        <v>8.3928698079683797E-2</v>
      </c>
      <c r="J6143">
        <v>7.4212921667484597E-2</v>
      </c>
      <c r="K6143">
        <v>5.5198624086074399E-2</v>
      </c>
      <c r="L6143">
        <v>762.55858668529197</v>
      </c>
      <c r="M6143">
        <v>15.4395594456971</v>
      </c>
      <c r="N6143">
        <v>49.709536611225303</v>
      </c>
      <c r="O6143">
        <v>48.583620310956498</v>
      </c>
      <c r="P6143">
        <v>-7.5701141355286994E-2</v>
      </c>
      <c r="Q6143">
        <v>4.7251741945917303E-2</v>
      </c>
      <c r="R6143">
        <v>0.99859992316000001</v>
      </c>
      <c r="S6143" t="s">
        <v>13146</v>
      </c>
      <c r="T6143" t="s">
        <v>14004</v>
      </c>
      <c r="U6143" t="s">
        <v>14004</v>
      </c>
      <c r="V6143" t="s">
        <v>14004</v>
      </c>
      <c r="W6143" t="s">
        <v>20091</v>
      </c>
      <c r="X6143">
        <v>3</v>
      </c>
      <c r="Y6143" t="s">
        <v>26886</v>
      </c>
      <c r="Z6143" t="s">
        <v>33853</v>
      </c>
      <c r="AA6143">
        <v>0.36743958799428078</v>
      </c>
      <c r="AB6143" t="str">
        <f>HYPERLINK("Melting_Curves/meltCurve_Q9NP92_MRPS30.pdf", "Melting_Curves/meltCurve_Q9NP92_MRPS30.pdf")</f>
        <v>Melting_Curves/meltCurve_Q9NP92_MRPS30.pdf</v>
      </c>
    </row>
    <row r="6144" spans="1:28" x14ac:dyDescent="0.25">
      <c r="A6144" t="s">
        <v>6148</v>
      </c>
      <c r="B6144">
        <v>0.99999676499088797</v>
      </c>
      <c r="C6144">
        <v>0.97713254856192899</v>
      </c>
      <c r="D6144">
        <v>1.0553724474324999</v>
      </c>
      <c r="E6144">
        <v>1.16264405670499</v>
      </c>
      <c r="F6144">
        <v>0.96593259399673503</v>
      </c>
      <c r="G6144">
        <v>0.47060164531801102</v>
      </c>
      <c r="H6144">
        <v>0.234237708433157</v>
      </c>
      <c r="I6144">
        <v>0.18891666742327701</v>
      </c>
      <c r="J6144">
        <v>0.161166851589055</v>
      </c>
      <c r="K6144">
        <v>0.18436476977802799</v>
      </c>
      <c r="L6144">
        <v>3019.5338631228801</v>
      </c>
      <c r="M6144">
        <v>53.767365536675399</v>
      </c>
      <c r="N6144">
        <v>56.6558158611019</v>
      </c>
      <c r="O6144">
        <v>56.081706372199697</v>
      </c>
      <c r="P6144">
        <v>-0.194648136405081</v>
      </c>
      <c r="Q6144">
        <v>0.18789456730027601</v>
      </c>
      <c r="R6144">
        <v>0.98027512246165005</v>
      </c>
      <c r="S6144" t="s">
        <v>13147</v>
      </c>
      <c r="T6144" t="s">
        <v>14004</v>
      </c>
      <c r="U6144" t="s">
        <v>14004</v>
      </c>
      <c r="V6144" t="s">
        <v>14004</v>
      </c>
      <c r="W6144" t="s">
        <v>20092</v>
      </c>
      <c r="X6144">
        <v>8</v>
      </c>
      <c r="Y6144" t="s">
        <v>26887</v>
      </c>
      <c r="Z6144" t="s">
        <v>33854</v>
      </c>
      <c r="AA6144">
        <v>0.627065132090595</v>
      </c>
      <c r="AB6144" t="str">
        <f>HYPERLINK("Melting_Curves/meltCurve_Q9NPA0_EMC7.pdf", "Melting_Curves/meltCurve_Q9NPA0_EMC7.pdf")</f>
        <v>Melting_Curves/meltCurve_Q9NPA0_EMC7.pdf</v>
      </c>
    </row>
    <row r="6145" spans="1:28" x14ac:dyDescent="0.25">
      <c r="A6145" t="s">
        <v>6149</v>
      </c>
      <c r="B6145">
        <v>0.99999676499088797</v>
      </c>
      <c r="C6145">
        <v>0.80734221718145305</v>
      </c>
      <c r="D6145">
        <v>0.57816352516440195</v>
      </c>
      <c r="E6145">
        <v>0.37175444283751802</v>
      </c>
      <c r="F6145">
        <v>0.258870660836168</v>
      </c>
      <c r="G6145">
        <v>0.15759961386350799</v>
      </c>
      <c r="H6145">
        <v>0.11024402023140201</v>
      </c>
      <c r="I6145">
        <v>0.12661175060639501</v>
      </c>
      <c r="J6145">
        <v>0.122563534529872</v>
      </c>
      <c r="K6145">
        <v>0.13228322735588299</v>
      </c>
      <c r="L6145">
        <v>739.45332938159504</v>
      </c>
      <c r="M6145">
        <v>15.869423600966799</v>
      </c>
      <c r="N6145">
        <v>47.3924932536748</v>
      </c>
      <c r="O6145">
        <v>45.875038493184199</v>
      </c>
      <c r="P6145">
        <v>-7.6366384338059104E-2</v>
      </c>
      <c r="Q6145">
        <v>0.117037637248162</v>
      </c>
      <c r="R6145">
        <v>0.99286687039935695</v>
      </c>
      <c r="S6145" t="s">
        <v>13148</v>
      </c>
      <c r="T6145" t="s">
        <v>14004</v>
      </c>
      <c r="U6145" t="s">
        <v>14004</v>
      </c>
      <c r="V6145" t="s">
        <v>14004</v>
      </c>
      <c r="W6145" t="s">
        <v>20093</v>
      </c>
      <c r="X6145">
        <v>5</v>
      </c>
      <c r="Y6145" t="s">
        <v>26888</v>
      </c>
      <c r="Z6145" t="s">
        <v>33855</v>
      </c>
      <c r="AA6145">
        <v>0.33305875866190499</v>
      </c>
      <c r="AB6145" t="str">
        <f>HYPERLINK("Melting_Curves/meltCurve_Q9NPA3_MID1IP1.pdf", "Melting_Curves/meltCurve_Q9NPA3_MID1IP1.pdf")</f>
        <v>Melting_Curves/meltCurve_Q9NPA3_MID1IP1.pdf</v>
      </c>
    </row>
    <row r="6146" spans="1:28" x14ac:dyDescent="0.25">
      <c r="A6146" t="s">
        <v>6150</v>
      </c>
      <c r="B6146">
        <v>0.99999676499088797</v>
      </c>
      <c r="C6146">
        <v>0.73132758003668497</v>
      </c>
      <c r="D6146">
        <v>0.73307897740436301</v>
      </c>
      <c r="E6146">
        <v>0.56416222878099098</v>
      </c>
      <c r="F6146">
        <v>0.52766237969492502</v>
      </c>
      <c r="G6146">
        <v>0.33033751428389202</v>
      </c>
      <c r="H6146">
        <v>0.23059345627056901</v>
      </c>
      <c r="I6146">
        <v>0.21570590034051901</v>
      </c>
      <c r="J6146">
        <v>0.20354186191684301</v>
      </c>
      <c r="K6146">
        <v>0.25736924497126701</v>
      </c>
      <c r="L6146">
        <v>446.61342168348199</v>
      </c>
      <c r="M6146">
        <v>8.9857002885655994</v>
      </c>
      <c r="N6146">
        <v>51.602309505830597</v>
      </c>
      <c r="O6146">
        <v>47.426155342041199</v>
      </c>
      <c r="P6146">
        <v>-4.0726265302495901E-2</v>
      </c>
      <c r="Q6146">
        <v>0.14082153355851901</v>
      </c>
      <c r="R6146">
        <v>0.95349717484360796</v>
      </c>
      <c r="S6146" t="s">
        <v>13149</v>
      </c>
      <c r="T6146" t="s">
        <v>14004</v>
      </c>
      <c r="U6146" t="s">
        <v>14004</v>
      </c>
      <c r="V6146" t="s">
        <v>14004</v>
      </c>
      <c r="W6146" t="s">
        <v>20094</v>
      </c>
      <c r="X6146">
        <v>7</v>
      </c>
      <c r="Y6146" t="s">
        <v>26889</v>
      </c>
      <c r="Z6146" t="s">
        <v>33856</v>
      </c>
      <c r="AA6146">
        <v>0.46460000661455741</v>
      </c>
      <c r="AB6146" t="str">
        <f>HYPERLINK("Melting_Curves/meltCurve_Q9NPA8_2_ENY2.pdf", "Melting_Curves/meltCurve_Q9NPA8_2_ENY2.pdf")</f>
        <v>Melting_Curves/meltCurve_Q9NPA8_2_ENY2.pdf</v>
      </c>
    </row>
    <row r="6147" spans="1:28" x14ac:dyDescent="0.25">
      <c r="A6147" t="s">
        <v>6151</v>
      </c>
      <c r="B6147">
        <v>0.99999676499088797</v>
      </c>
      <c r="C6147">
        <v>0.95421859410050303</v>
      </c>
      <c r="D6147">
        <v>0.79413581870739702</v>
      </c>
      <c r="E6147">
        <v>0.52596943273716201</v>
      </c>
      <c r="F6147">
        <v>0.213778167033012</v>
      </c>
      <c r="G6147">
        <v>0.15480159008383201</v>
      </c>
      <c r="H6147">
        <v>0.105148035989009</v>
      </c>
      <c r="I6147">
        <v>0.122834810495</v>
      </c>
      <c r="J6147">
        <v>0.104551041988878</v>
      </c>
      <c r="K6147">
        <v>9.4325748291827299E-2</v>
      </c>
      <c r="L6147">
        <v>1011.9268398729899</v>
      </c>
      <c r="M6147">
        <v>20.640516745531301</v>
      </c>
      <c r="N6147">
        <v>49.546915169047899</v>
      </c>
      <c r="O6147">
        <v>48.573012480719697</v>
      </c>
      <c r="P6147">
        <v>-9.5879657189642004E-2</v>
      </c>
      <c r="Q6147">
        <v>9.7497556153830295E-2</v>
      </c>
      <c r="R6147">
        <v>0.99761538203956701</v>
      </c>
      <c r="S6147" t="s">
        <v>13150</v>
      </c>
      <c r="T6147" t="s">
        <v>14004</v>
      </c>
      <c r="U6147" t="s">
        <v>14004</v>
      </c>
      <c r="V6147" t="s">
        <v>14004</v>
      </c>
      <c r="W6147" t="s">
        <v>20095</v>
      </c>
      <c r="X6147">
        <v>1</v>
      </c>
      <c r="Y6147" t="s">
        <v>26890</v>
      </c>
      <c r="Z6147" t="s">
        <v>33857</v>
      </c>
      <c r="AA6147">
        <v>0.3808911985207874</v>
      </c>
      <c r="AB6147" t="str">
        <f>HYPERLINK("Melting_Curves/meltCurve_Q9NPB8_GPCPD1.pdf", "Melting_Curves/meltCurve_Q9NPB8_GPCPD1.pdf")</f>
        <v>Melting_Curves/meltCurve_Q9NPB8_GPCPD1.pdf</v>
      </c>
    </row>
    <row r="6148" spans="1:28" x14ac:dyDescent="0.25">
      <c r="A6148" t="s">
        <v>6152</v>
      </c>
      <c r="B6148">
        <v>0.99999676499088797</v>
      </c>
      <c r="C6148">
        <v>1.02020959424526</v>
      </c>
      <c r="D6148">
        <v>1.0153609970631301</v>
      </c>
      <c r="E6148">
        <v>1.0654343864951601</v>
      </c>
      <c r="F6148">
        <v>0.98392987199841697</v>
      </c>
      <c r="G6148">
        <v>0.89581063007457995</v>
      </c>
      <c r="H6148">
        <v>0.44777930667132898</v>
      </c>
      <c r="I6148">
        <v>0.190727423510409</v>
      </c>
      <c r="J6148">
        <v>9.5747464602400106E-2</v>
      </c>
      <c r="K6148">
        <v>7.8390718259610706E-2</v>
      </c>
      <c r="L6148">
        <v>2045.0378695963</v>
      </c>
      <c r="M6148">
        <v>33.995464335000399</v>
      </c>
      <c r="N6148">
        <v>60.437840757127198</v>
      </c>
      <c r="O6148">
        <v>59.949179661978299</v>
      </c>
      <c r="P6148">
        <v>-0.131383253403899</v>
      </c>
      <c r="Q6148">
        <v>7.3254322107532105E-2</v>
      </c>
      <c r="R6148">
        <v>0.99674369349718095</v>
      </c>
      <c r="S6148" t="s">
        <v>13151</v>
      </c>
      <c r="T6148" t="s">
        <v>14004</v>
      </c>
      <c r="U6148" t="s">
        <v>14004</v>
      </c>
      <c r="V6148" t="s">
        <v>14004</v>
      </c>
      <c r="W6148" t="s">
        <v>20096</v>
      </c>
      <c r="X6148">
        <v>9</v>
      </c>
      <c r="Y6148" t="s">
        <v>26891</v>
      </c>
      <c r="Z6148" t="s">
        <v>33858</v>
      </c>
      <c r="AA6148">
        <v>0.70059903012031766</v>
      </c>
      <c r="AB6148" t="str">
        <f>HYPERLINK("Melting_Curves/meltCurve_Q9NPD3_EXOSC4.pdf", "Melting_Curves/meltCurve_Q9NPD3_EXOSC4.pdf")</f>
        <v>Melting_Curves/meltCurve_Q9NPD3_EXOSC4.pdf</v>
      </c>
    </row>
    <row r="6149" spans="1:28" x14ac:dyDescent="0.25">
      <c r="A6149" t="s">
        <v>6153</v>
      </c>
      <c r="B6149">
        <v>0.99999676499088797</v>
      </c>
      <c r="C6149">
        <v>0.89836968040319498</v>
      </c>
      <c r="D6149">
        <v>0.97907266358420197</v>
      </c>
      <c r="E6149">
        <v>1.0266699176363401</v>
      </c>
      <c r="F6149">
        <v>0.89945476262992596</v>
      </c>
      <c r="G6149">
        <v>0.95475077620464999</v>
      </c>
      <c r="H6149">
        <v>0.66884701534496205</v>
      </c>
      <c r="I6149">
        <v>0.72907051249657695</v>
      </c>
      <c r="J6149">
        <v>0.67593481303618297</v>
      </c>
      <c r="K6149">
        <v>0.72912229919460703</v>
      </c>
      <c r="L6149">
        <v>14297.9899124042</v>
      </c>
      <c r="M6149">
        <v>250</v>
      </c>
      <c r="O6149">
        <v>57.188299523488702</v>
      </c>
      <c r="P6149">
        <v>-0.32705155888715998</v>
      </c>
      <c r="Q6149">
        <v>0.70074363905097203</v>
      </c>
      <c r="R6149">
        <v>0.86059860524030496</v>
      </c>
      <c r="S6149" t="s">
        <v>13152</v>
      </c>
      <c r="T6149" t="s">
        <v>14004</v>
      </c>
      <c r="U6149" t="s">
        <v>14004</v>
      </c>
      <c r="V6149" t="s">
        <v>14004</v>
      </c>
      <c r="W6149" t="s">
        <v>20097</v>
      </c>
      <c r="X6149">
        <v>1</v>
      </c>
      <c r="Y6149" t="s">
        <v>26892</v>
      </c>
      <c r="Z6149" t="s">
        <v>33859</v>
      </c>
      <c r="AA6149">
        <v>0.87226711845513072</v>
      </c>
      <c r="AB6149" t="str">
        <f>HYPERLINK("Melting_Curves/meltCurve_Q9NPD7_NRN1.pdf", "Melting_Curves/meltCurve_Q9NPD7_NRN1.pdf")</f>
        <v>Melting_Curves/meltCurve_Q9NPD7_NRN1.pdf</v>
      </c>
    </row>
    <row r="6150" spans="1:28" x14ac:dyDescent="0.25">
      <c r="A6150" t="s">
        <v>6154</v>
      </c>
      <c r="B6150">
        <v>0.99999676499088797</v>
      </c>
      <c r="C6150">
        <v>0.891026357396137</v>
      </c>
      <c r="D6150">
        <v>0.83780556815037299</v>
      </c>
      <c r="E6150">
        <v>0.46705395671328098</v>
      </c>
      <c r="F6150">
        <v>0.39962618806815098</v>
      </c>
      <c r="G6150">
        <v>0.15806167655835701</v>
      </c>
      <c r="H6150">
        <v>8.7821313793459893E-2</v>
      </c>
      <c r="I6150">
        <v>7.8987724553372204E-2</v>
      </c>
      <c r="J6150">
        <v>8.5947381848469506E-2</v>
      </c>
      <c r="K6150">
        <v>9.4000716465437395E-2</v>
      </c>
      <c r="L6150">
        <v>751.22236252524203</v>
      </c>
      <c r="M6150">
        <v>15.097280223416499</v>
      </c>
      <c r="N6150">
        <v>50.181978672062399</v>
      </c>
      <c r="O6150">
        <v>48.910261005493403</v>
      </c>
      <c r="P6150">
        <v>-7.25628478380686E-2</v>
      </c>
      <c r="Q6150">
        <v>5.9772829495789999E-2</v>
      </c>
      <c r="R6150">
        <v>0.985058101075036</v>
      </c>
      <c r="S6150" t="s">
        <v>13153</v>
      </c>
      <c r="T6150" t="s">
        <v>14004</v>
      </c>
      <c r="U6150" t="s">
        <v>14004</v>
      </c>
      <c r="V6150" t="s">
        <v>14004</v>
      </c>
      <c r="W6150" t="s">
        <v>20098</v>
      </c>
      <c r="X6150">
        <v>8</v>
      </c>
      <c r="Y6150" t="s">
        <v>26893</v>
      </c>
      <c r="Z6150" t="s">
        <v>33860</v>
      </c>
      <c r="AA6150">
        <v>0.38795863244613099</v>
      </c>
      <c r="AB6150" t="str">
        <f>HYPERLINK("Melting_Curves/meltCurve_Q9NPD8_UBE2T.pdf", "Melting_Curves/meltCurve_Q9NPD8_UBE2T.pdf")</f>
        <v>Melting_Curves/meltCurve_Q9NPD8_UBE2T.pdf</v>
      </c>
    </row>
    <row r="6151" spans="1:28" x14ac:dyDescent="0.25">
      <c r="A6151" t="s">
        <v>6155</v>
      </c>
      <c r="B6151">
        <v>0.99999676499088797</v>
      </c>
      <c r="C6151">
        <v>0.90026132119789504</v>
      </c>
      <c r="D6151">
        <v>0.79123136590083998</v>
      </c>
      <c r="E6151">
        <v>0.67282219268560095</v>
      </c>
      <c r="F6151">
        <v>0.58410431076561098</v>
      </c>
      <c r="G6151">
        <v>0.46811481755895901</v>
      </c>
      <c r="H6151">
        <v>0.23540146232901701</v>
      </c>
      <c r="I6151">
        <v>0</v>
      </c>
      <c r="J6151">
        <v>0.178103259006474</v>
      </c>
      <c r="K6151">
        <v>0.18740326118792699</v>
      </c>
      <c r="L6151">
        <v>507.43031239232801</v>
      </c>
      <c r="M6151">
        <v>9.3983782107109004</v>
      </c>
      <c r="N6151">
        <v>53.9912630635719</v>
      </c>
      <c r="O6151">
        <v>51.716119236695803</v>
      </c>
      <c r="P6151">
        <v>-4.5460531113933701E-2</v>
      </c>
      <c r="Q6151">
        <v>0</v>
      </c>
      <c r="R6151">
        <v>0.945452360191949</v>
      </c>
      <c r="S6151" t="s">
        <v>13154</v>
      </c>
      <c r="T6151" t="s">
        <v>14004</v>
      </c>
      <c r="U6151" t="s">
        <v>14004</v>
      </c>
      <c r="V6151" t="s">
        <v>14004</v>
      </c>
      <c r="W6151" t="s">
        <v>20099</v>
      </c>
      <c r="X6151">
        <v>3</v>
      </c>
      <c r="Y6151" t="s">
        <v>26894</v>
      </c>
      <c r="Z6151" t="s">
        <v>33861</v>
      </c>
      <c r="AA6151">
        <v>0.49784907006535828</v>
      </c>
      <c r="AB6151" t="str">
        <f>HYPERLINK("Melting_Curves/meltCurve_Q9NPE2_NGRN.pdf", "Melting_Curves/meltCurve_Q9NPE2_NGRN.pdf")</f>
        <v>Melting_Curves/meltCurve_Q9NPE2_NGRN.pdf</v>
      </c>
    </row>
    <row r="6152" spans="1:28" x14ac:dyDescent="0.25">
      <c r="A6152" t="s">
        <v>6156</v>
      </c>
      <c r="B6152">
        <v>0.99999676499088797</v>
      </c>
      <c r="C6152">
        <v>1.0821039724835499</v>
      </c>
      <c r="D6152">
        <v>0.93863991901078503</v>
      </c>
      <c r="E6152">
        <v>1.00221542938513</v>
      </c>
      <c r="F6152">
        <v>0.82659841954711299</v>
      </c>
      <c r="G6152">
        <v>1.2216655734997599</v>
      </c>
      <c r="H6152">
        <v>0.81684309098116303</v>
      </c>
      <c r="I6152">
        <v>1.09525196001936</v>
      </c>
      <c r="J6152">
        <v>0.845761476407626</v>
      </c>
      <c r="K6152">
        <v>0.53182689526419902</v>
      </c>
      <c r="L6152">
        <v>15000</v>
      </c>
      <c r="M6152">
        <v>222.835929884504</v>
      </c>
      <c r="O6152">
        <v>67.308678045027605</v>
      </c>
      <c r="P6152">
        <v>-0.38756547410100201</v>
      </c>
      <c r="Q6152">
        <v>0.53173584445203503</v>
      </c>
      <c r="R6152">
        <v>0.60433855642832102</v>
      </c>
      <c r="S6152" t="s">
        <v>13155</v>
      </c>
      <c r="T6152" t="s">
        <v>14004</v>
      </c>
      <c r="U6152" t="s">
        <v>14004</v>
      </c>
      <c r="V6152" t="s">
        <v>14004</v>
      </c>
      <c r="W6152" t="s">
        <v>20100</v>
      </c>
      <c r="X6152">
        <v>2</v>
      </c>
      <c r="Y6152" t="s">
        <v>26895</v>
      </c>
      <c r="Z6152" t="s">
        <v>33862</v>
      </c>
      <c r="AA6152">
        <v>0.95814494083392754</v>
      </c>
      <c r="AB6152" t="str">
        <f>HYPERLINK("Melting_Curves/meltCurve_Q9NPE3_NOP10.pdf", "Melting_Curves/meltCurve_Q9NPE3_NOP10.pdf")</f>
        <v>Melting_Curves/meltCurve_Q9NPE3_NOP10.pdf</v>
      </c>
    </row>
    <row r="6153" spans="1:28" x14ac:dyDescent="0.25">
      <c r="A6153" t="s">
        <v>6157</v>
      </c>
      <c r="B6153">
        <v>0.99999676499088797</v>
      </c>
      <c r="C6153">
        <v>0.97993808816335004</v>
      </c>
      <c r="D6153">
        <v>0.96289199946853199</v>
      </c>
      <c r="E6153">
        <v>1.0141690838894699</v>
      </c>
      <c r="F6153">
        <v>0.93832124091315305</v>
      </c>
      <c r="G6153">
        <v>0.81786668102293503</v>
      </c>
      <c r="H6153">
        <v>0.57680973435127103</v>
      </c>
      <c r="I6153">
        <v>0.61189616363948596</v>
      </c>
      <c r="J6153">
        <v>0.60910992512837903</v>
      </c>
      <c r="K6153">
        <v>0.75938222771470099</v>
      </c>
      <c r="L6153">
        <v>14198.876812681099</v>
      </c>
      <c r="M6153">
        <v>250</v>
      </c>
      <c r="O6153">
        <v>56.791852327851103</v>
      </c>
      <c r="P6153">
        <v>-0.39695434397253998</v>
      </c>
      <c r="Q6153">
        <v>0.63929951047090305</v>
      </c>
      <c r="R6153">
        <v>0.90802578486912899</v>
      </c>
      <c r="S6153" t="s">
        <v>13156</v>
      </c>
      <c r="T6153" t="s">
        <v>14004</v>
      </c>
      <c r="U6153" t="s">
        <v>14004</v>
      </c>
      <c r="V6153" t="s">
        <v>14004</v>
      </c>
      <c r="W6153" t="s">
        <v>20101</v>
      </c>
      <c r="X6153">
        <v>5</v>
      </c>
      <c r="Y6153" t="s">
        <v>26896</v>
      </c>
      <c r="Z6153" t="s">
        <v>33863</v>
      </c>
      <c r="AA6153">
        <v>0.84127371961648345</v>
      </c>
      <c r="AB6153" t="str">
        <f>HYPERLINK("Melting_Curves/meltCurve_Q9NPF0_CD320.pdf", "Melting_Curves/meltCurve_Q9NPF0_CD320.pdf")</f>
        <v>Melting_Curves/meltCurve_Q9NPF0_CD320.pdf</v>
      </c>
    </row>
    <row r="6154" spans="1:28" x14ac:dyDescent="0.25">
      <c r="A6154" t="s">
        <v>6158</v>
      </c>
      <c r="B6154">
        <v>0.99999676499088797</v>
      </c>
      <c r="C6154">
        <v>1.03501399648146</v>
      </c>
      <c r="D6154">
        <v>1.0197744536762701</v>
      </c>
      <c r="E6154">
        <v>1.0353982424845201</v>
      </c>
      <c r="F6154">
        <v>0.97890155625674802</v>
      </c>
      <c r="G6154">
        <v>0.74192562867770795</v>
      </c>
      <c r="H6154">
        <v>0.275271394178636</v>
      </c>
      <c r="I6154">
        <v>0.15973405852587</v>
      </c>
      <c r="J6154">
        <v>0.13460992953364001</v>
      </c>
      <c r="K6154">
        <v>9.2032470263402597E-2</v>
      </c>
      <c r="L6154">
        <v>2050.8599341634699</v>
      </c>
      <c r="M6154">
        <v>35.201517948368398</v>
      </c>
      <c r="N6154">
        <v>58.683528835105001</v>
      </c>
      <c r="O6154">
        <v>58.073494809604902</v>
      </c>
      <c r="P6154">
        <v>-0.13455973400677099</v>
      </c>
      <c r="Q6154">
        <v>0.11204660827865</v>
      </c>
      <c r="R6154">
        <v>0.997584936107065</v>
      </c>
      <c r="S6154" t="s">
        <v>13157</v>
      </c>
      <c r="T6154" t="s">
        <v>14004</v>
      </c>
      <c r="U6154" t="s">
        <v>14004</v>
      </c>
      <c r="V6154" t="s">
        <v>14004</v>
      </c>
      <c r="W6154" t="s">
        <v>20102</v>
      </c>
      <c r="X6154">
        <v>18</v>
      </c>
      <c r="Y6154" t="s">
        <v>26897</v>
      </c>
      <c r="Z6154" t="s">
        <v>33864</v>
      </c>
      <c r="AA6154">
        <v>0.65695375807312817</v>
      </c>
      <c r="AB6154" t="str">
        <f>HYPERLINK("Melting_Curves/meltCurve_Q9NPF4_OSGEP.pdf", "Melting_Curves/meltCurve_Q9NPF4_OSGEP.pdf")</f>
        <v>Melting_Curves/meltCurve_Q9NPF4_OSGEP.pdf</v>
      </c>
    </row>
    <row r="6155" spans="1:28" x14ac:dyDescent="0.25">
      <c r="A6155" t="s">
        <v>6159</v>
      </c>
      <c r="B6155">
        <v>0.99999676499088797</v>
      </c>
      <c r="C6155">
        <v>0.97541960221380097</v>
      </c>
      <c r="D6155">
        <v>1.04803058957188</v>
      </c>
      <c r="E6155">
        <v>1.1707425788638499</v>
      </c>
      <c r="F6155">
        <v>0.94594461150389497</v>
      </c>
      <c r="G6155">
        <v>0.369027766754359</v>
      </c>
      <c r="H6155">
        <v>0.14961439467543</v>
      </c>
      <c r="I6155">
        <v>0.12266845754406799</v>
      </c>
      <c r="J6155">
        <v>9.0717743210251903E-2</v>
      </c>
      <c r="K6155">
        <v>6.9390419444194204E-2</v>
      </c>
      <c r="L6155">
        <v>3005.5255481654699</v>
      </c>
      <c r="M6155">
        <v>53.765359885664203</v>
      </c>
      <c r="N6155">
        <v>56.145060237533201</v>
      </c>
      <c r="O6155">
        <v>55.823605618112801</v>
      </c>
      <c r="P6155">
        <v>-0.21567129414174199</v>
      </c>
      <c r="Q6155">
        <v>0.104290076175916</v>
      </c>
      <c r="R6155">
        <v>0.98212079082197301</v>
      </c>
      <c r="S6155" t="s">
        <v>13158</v>
      </c>
      <c r="T6155" t="s">
        <v>14004</v>
      </c>
      <c r="U6155" t="s">
        <v>14004</v>
      </c>
      <c r="V6155" t="s">
        <v>14004</v>
      </c>
      <c r="W6155" t="s">
        <v>20103</v>
      </c>
      <c r="X6155">
        <v>4</v>
      </c>
      <c r="Y6155" t="s">
        <v>26898</v>
      </c>
      <c r="Z6155" t="s">
        <v>33865</v>
      </c>
      <c r="AA6155">
        <v>0.58094727908312649</v>
      </c>
      <c r="AB6155" t="str">
        <f>HYPERLINK("Melting_Curves/meltCurve_Q9NPH0_ACP6.pdf", "Melting_Curves/meltCurve_Q9NPH0_ACP6.pdf")</f>
        <v>Melting_Curves/meltCurve_Q9NPH0_ACP6.pdf</v>
      </c>
    </row>
    <row r="6156" spans="1:28" x14ac:dyDescent="0.25">
      <c r="A6156" t="s">
        <v>6160</v>
      </c>
      <c r="B6156">
        <v>0.99999676499088797</v>
      </c>
      <c r="C6156">
        <v>1.04178838990525</v>
      </c>
      <c r="D6156">
        <v>1.1113243573960201</v>
      </c>
      <c r="E6156">
        <v>1.2269373674062301</v>
      </c>
      <c r="F6156">
        <v>0.98665195207708001</v>
      </c>
      <c r="G6156">
        <v>0.69672905308738198</v>
      </c>
      <c r="H6156">
        <v>0.26183861435841999</v>
      </c>
      <c r="I6156">
        <v>0.17090935459311399</v>
      </c>
      <c r="J6156">
        <v>0.14695089253134699</v>
      </c>
      <c r="K6156">
        <v>0.13152688196137199</v>
      </c>
      <c r="L6156">
        <v>2245.2769490322698</v>
      </c>
      <c r="M6156">
        <v>38.877784931068298</v>
      </c>
      <c r="N6156">
        <v>58.262267973494197</v>
      </c>
      <c r="O6156">
        <v>57.600030732723901</v>
      </c>
      <c r="P6156">
        <v>-0.14440104673911999</v>
      </c>
      <c r="Q6156">
        <v>0.14424306010452101</v>
      </c>
      <c r="R6156">
        <v>0.96340109599247004</v>
      </c>
      <c r="S6156" t="s">
        <v>13159</v>
      </c>
      <c r="T6156" t="s">
        <v>14004</v>
      </c>
      <c r="U6156" t="s">
        <v>14004</v>
      </c>
      <c r="V6156" t="s">
        <v>14004</v>
      </c>
      <c r="W6156" t="s">
        <v>20104</v>
      </c>
      <c r="X6156">
        <v>7</v>
      </c>
      <c r="Y6156" t="s">
        <v>26899</v>
      </c>
      <c r="Z6156" t="s">
        <v>33866</v>
      </c>
      <c r="AA6156">
        <v>0.65417345696922569</v>
      </c>
      <c r="AB6156" t="str">
        <f>HYPERLINK("Melting_Curves/meltCurve_Q9NPH3_IL1RAP.pdf", "Melting_Curves/meltCurve_Q9NPH3_IL1RAP.pdf")</f>
        <v>Melting_Curves/meltCurve_Q9NPH3_IL1RAP.pdf</v>
      </c>
    </row>
    <row r="6157" spans="1:28" x14ac:dyDescent="0.25">
      <c r="A6157" t="s">
        <v>6161</v>
      </c>
      <c r="B6157">
        <v>0.99999676499088797</v>
      </c>
      <c r="C6157">
        <v>0.88037712709443094</v>
      </c>
      <c r="D6157">
        <v>0.67853789171273804</v>
      </c>
      <c r="E6157">
        <v>0.32182503982447402</v>
      </c>
      <c r="F6157">
        <v>0.20450589354513299</v>
      </c>
      <c r="G6157">
        <v>0.14073153967689001</v>
      </c>
      <c r="H6157">
        <v>7.2430878729564899E-2</v>
      </c>
      <c r="I6157">
        <v>7.0440166395126694E-2</v>
      </c>
      <c r="J6157">
        <v>7.6449287878981906E-2</v>
      </c>
      <c r="K6157">
        <v>5.8070238029030802E-2</v>
      </c>
      <c r="L6157">
        <v>895.93999818248994</v>
      </c>
      <c r="M6157">
        <v>18.899097928053699</v>
      </c>
      <c r="N6157">
        <v>47.798260192570901</v>
      </c>
      <c r="O6157">
        <v>46.885284209628203</v>
      </c>
      <c r="P6157">
        <v>-9.3546405885815406E-2</v>
      </c>
      <c r="Q6157">
        <v>7.1749964585570702E-2</v>
      </c>
      <c r="R6157">
        <v>0.99660859960924697</v>
      </c>
      <c r="S6157" t="s">
        <v>13160</v>
      </c>
      <c r="T6157" t="s">
        <v>14004</v>
      </c>
      <c r="U6157" t="s">
        <v>14004</v>
      </c>
      <c r="V6157" t="s">
        <v>14004</v>
      </c>
      <c r="W6157" t="s">
        <v>20105</v>
      </c>
      <c r="X6157">
        <v>7</v>
      </c>
      <c r="Y6157" t="s">
        <v>26900</v>
      </c>
      <c r="Z6157" t="s">
        <v>33867</v>
      </c>
      <c r="AA6157">
        <v>0.31606225585736619</v>
      </c>
      <c r="AB6157" t="str">
        <f>HYPERLINK("Melting_Curves/meltCurve_Q9NPI6_DCP1A.pdf", "Melting_Curves/meltCurve_Q9NPI6_DCP1A.pdf")</f>
        <v>Melting_Curves/meltCurve_Q9NPI6_DCP1A.pdf</v>
      </c>
    </row>
    <row r="6158" spans="1:28" x14ac:dyDescent="0.25">
      <c r="A6158" t="s">
        <v>6162</v>
      </c>
      <c r="B6158">
        <v>0.99999676499088797</v>
      </c>
      <c r="C6158">
        <v>0.96068202168977201</v>
      </c>
      <c r="D6158">
        <v>1.0193943382031601</v>
      </c>
      <c r="E6158">
        <v>1.10834329893602</v>
      </c>
      <c r="F6158">
        <v>1.17684163461216</v>
      </c>
      <c r="G6158">
        <v>1.0847944411789701</v>
      </c>
      <c r="H6158">
        <v>0.73754085190323604</v>
      </c>
      <c r="I6158">
        <v>0.687889249603164</v>
      </c>
      <c r="J6158">
        <v>0.50492292886226997</v>
      </c>
      <c r="K6158">
        <v>0.44349669901038702</v>
      </c>
      <c r="L6158">
        <v>1815.8346619857</v>
      </c>
      <c r="M6158">
        <v>29.048408846005898</v>
      </c>
      <c r="N6158">
        <v>67.366039262114001</v>
      </c>
      <c r="O6158">
        <v>62.216653598403099</v>
      </c>
      <c r="P6158">
        <v>-6.5554087127275701E-2</v>
      </c>
      <c r="Q6158">
        <v>0.43838238222734</v>
      </c>
      <c r="R6158">
        <v>0.88323331571990604</v>
      </c>
      <c r="S6158" t="s">
        <v>13161</v>
      </c>
      <c r="T6158" t="s">
        <v>14004</v>
      </c>
      <c r="U6158" t="s">
        <v>14004</v>
      </c>
      <c r="V6158" t="s">
        <v>14004</v>
      </c>
      <c r="W6158" t="s">
        <v>20106</v>
      </c>
      <c r="X6158">
        <v>5</v>
      </c>
      <c r="Y6158" t="s">
        <v>26901</v>
      </c>
      <c r="Z6158" t="s">
        <v>33868</v>
      </c>
      <c r="AA6158">
        <v>0.86203013934528794</v>
      </c>
      <c r="AB6158" t="str">
        <f>HYPERLINK("Melting_Curves/meltCurve_Q9NPJ3_2_ACOT13.pdf", "Melting_Curves/meltCurve_Q9NPJ3_2_ACOT13.pdf")</f>
        <v>Melting_Curves/meltCurve_Q9NPJ3_2_ACOT13.pdf</v>
      </c>
    </row>
    <row r="6159" spans="1:28" x14ac:dyDescent="0.25">
      <c r="A6159" t="s">
        <v>6163</v>
      </c>
      <c r="B6159">
        <v>0.99999676499088797</v>
      </c>
      <c r="C6159">
        <v>0.89425760844841795</v>
      </c>
      <c r="D6159">
        <v>0.99654198345216605</v>
      </c>
      <c r="E6159">
        <v>0.84225648488317395</v>
      </c>
      <c r="F6159">
        <v>0.72395368399156401</v>
      </c>
      <c r="G6159">
        <v>0.67147247775173602</v>
      </c>
      <c r="H6159">
        <v>0.469595372751545</v>
      </c>
      <c r="I6159">
        <v>0.38358593167431698</v>
      </c>
      <c r="J6159">
        <v>0.27264409480391499</v>
      </c>
      <c r="K6159">
        <v>0.21699029098696901</v>
      </c>
      <c r="L6159">
        <v>524.74202064819599</v>
      </c>
      <c r="M6159">
        <v>8.72536757690259</v>
      </c>
      <c r="N6159">
        <v>60.139816419865298</v>
      </c>
      <c r="O6159">
        <v>57.231534367736302</v>
      </c>
      <c r="P6159">
        <v>-3.8145449460876502E-2</v>
      </c>
      <c r="Q6159">
        <v>0</v>
      </c>
      <c r="R6159">
        <v>0.98210252597341896</v>
      </c>
      <c r="S6159" t="s">
        <v>13162</v>
      </c>
      <c r="T6159" t="s">
        <v>14004</v>
      </c>
      <c r="U6159" t="s">
        <v>14004</v>
      </c>
      <c r="V6159" t="s">
        <v>14004</v>
      </c>
      <c r="W6159" t="s">
        <v>20107</v>
      </c>
      <c r="X6159">
        <v>3</v>
      </c>
      <c r="Y6159" t="s">
        <v>26902</v>
      </c>
      <c r="Z6159" t="s">
        <v>33869</v>
      </c>
      <c r="AA6159">
        <v>0.65966826471735951</v>
      </c>
      <c r="AB6159" t="str">
        <f>HYPERLINK("Melting_Curves/meltCurve_Q9NPJ8_3_NXT2.pdf", "Melting_Curves/meltCurve_Q9NPJ8_3_NXT2.pdf")</f>
        <v>Melting_Curves/meltCurve_Q9NPJ8_3_NXT2.pdf</v>
      </c>
    </row>
    <row r="6160" spans="1:28" x14ac:dyDescent="0.25">
      <c r="A6160" t="s">
        <v>6164</v>
      </c>
      <c r="B6160">
        <v>0.99999676499088797</v>
      </c>
      <c r="C6160">
        <v>0.90246113485533297</v>
      </c>
      <c r="D6160">
        <v>0.93386576156649004</v>
      </c>
      <c r="E6160">
        <v>0.94538414436471196</v>
      </c>
      <c r="F6160">
        <v>0.92759417719109505</v>
      </c>
      <c r="G6160">
        <v>0.82464685723534903</v>
      </c>
      <c r="H6160">
        <v>0.49455446729295899</v>
      </c>
      <c r="I6160">
        <v>0.42287269321267401</v>
      </c>
      <c r="J6160">
        <v>0.35514806155388101</v>
      </c>
      <c r="K6160">
        <v>0.33650824864246798</v>
      </c>
      <c r="L6160">
        <v>1467.96421850864</v>
      </c>
      <c r="M6160">
        <v>25.028316878876598</v>
      </c>
      <c r="N6160">
        <v>61.270334324363901</v>
      </c>
      <c r="O6160">
        <v>58.281541031335202</v>
      </c>
      <c r="P6160">
        <v>-7.2102414374479604E-2</v>
      </c>
      <c r="Q6160">
        <v>0.328411242245577</v>
      </c>
      <c r="R6160">
        <v>0.97220006603445797</v>
      </c>
      <c r="S6160" t="s">
        <v>13163</v>
      </c>
      <c r="T6160" t="s">
        <v>14004</v>
      </c>
      <c r="U6160" t="s">
        <v>14004</v>
      </c>
      <c r="V6160" t="s">
        <v>14004</v>
      </c>
      <c r="W6160" t="s">
        <v>20108</v>
      </c>
      <c r="X6160">
        <v>9</v>
      </c>
      <c r="Y6160" t="s">
        <v>26903</v>
      </c>
      <c r="Z6160" t="s">
        <v>33870</v>
      </c>
      <c r="AA6160">
        <v>0.75159375976625797</v>
      </c>
      <c r="AB6160" t="str">
        <f>HYPERLINK("Melting_Curves/meltCurve_Q9NPL8_TIMMDC1.pdf", "Melting_Curves/meltCurve_Q9NPL8_TIMMDC1.pdf")</f>
        <v>Melting_Curves/meltCurve_Q9NPL8_TIMMDC1.pdf</v>
      </c>
    </row>
    <row r="6161" spans="1:28" x14ac:dyDescent="0.25">
      <c r="A6161" t="s">
        <v>6165</v>
      </c>
      <c r="B6161">
        <v>0.99999676499088797</v>
      </c>
      <c r="C6161">
        <v>0.93705356675875096</v>
      </c>
      <c r="D6161">
        <v>0.746081464546549</v>
      </c>
      <c r="E6161">
        <v>0.25545588813182601</v>
      </c>
      <c r="F6161">
        <v>0.17671634033075001</v>
      </c>
      <c r="G6161">
        <v>0.10746660532133399</v>
      </c>
      <c r="H6161">
        <v>7.2123329460757502E-2</v>
      </c>
      <c r="I6161">
        <v>6.86214776751186E-2</v>
      </c>
      <c r="J6161">
        <v>6.1202345239892202E-2</v>
      </c>
      <c r="K6161">
        <v>4.3809799592631399E-2</v>
      </c>
      <c r="L6161">
        <v>1307.23305493369</v>
      </c>
      <c r="M6161">
        <v>27.548341146223201</v>
      </c>
      <c r="N6161">
        <v>47.732142576460703</v>
      </c>
      <c r="O6161">
        <v>47.204400520787303</v>
      </c>
      <c r="P6161">
        <v>-0.135022562733945</v>
      </c>
      <c r="Q6161">
        <v>7.4557583975992298E-2</v>
      </c>
      <c r="R6161">
        <v>0.99493824573888301</v>
      </c>
      <c r="S6161" t="s">
        <v>13164</v>
      </c>
      <c r="T6161" t="s">
        <v>14004</v>
      </c>
      <c r="U6161" t="s">
        <v>14004</v>
      </c>
      <c r="V6161" t="s">
        <v>14004</v>
      </c>
      <c r="W6161" t="s">
        <v>20109</v>
      </c>
      <c r="X6161">
        <v>11</v>
      </c>
      <c r="Y6161" t="s">
        <v>26904</v>
      </c>
      <c r="Z6161" t="s">
        <v>33871</v>
      </c>
      <c r="AA6161">
        <v>0.31110544462859568</v>
      </c>
      <c r="AB6161" t="str">
        <f>HYPERLINK("Melting_Curves/meltCurve_Q9NPQ8_4_RIC8A.pdf", "Melting_Curves/meltCurve_Q9NPQ8_4_RIC8A.pdf")</f>
        <v>Melting_Curves/meltCurve_Q9NPQ8_4_RIC8A.pdf</v>
      </c>
    </row>
    <row r="6162" spans="1:28" x14ac:dyDescent="0.25">
      <c r="A6162" t="s">
        <v>6166</v>
      </c>
      <c r="B6162">
        <v>0.99999676499088797</v>
      </c>
      <c r="C6162">
        <v>1.1010002480702199</v>
      </c>
      <c r="D6162">
        <v>1.1726081736791401</v>
      </c>
      <c r="E6162">
        <v>1.2921919846550201</v>
      </c>
      <c r="F6162">
        <v>0.60326490252076304</v>
      </c>
      <c r="G6162">
        <v>0.24303450850592101</v>
      </c>
      <c r="H6162">
        <v>0.11792063450354499</v>
      </c>
      <c r="I6162">
        <v>0.134172932976555</v>
      </c>
      <c r="J6162">
        <v>0.13259071435210501</v>
      </c>
      <c r="K6162">
        <v>0.129830240381239</v>
      </c>
      <c r="L6162">
        <v>6005.7105961024099</v>
      </c>
      <c r="M6162">
        <v>112.75607443242799</v>
      </c>
      <c r="N6162">
        <v>53.433640092995098</v>
      </c>
      <c r="O6162">
        <v>53.246110815196303</v>
      </c>
      <c r="P6162">
        <v>-0.44931051411057599</v>
      </c>
      <c r="Q6162">
        <v>0.15129946084412299</v>
      </c>
      <c r="R6162">
        <v>0.93912400413410901</v>
      </c>
      <c r="S6162" t="s">
        <v>13165</v>
      </c>
      <c r="T6162" t="s">
        <v>14004</v>
      </c>
      <c r="U6162" t="s">
        <v>14004</v>
      </c>
      <c r="V6162" t="s">
        <v>14004</v>
      </c>
      <c r="W6162" t="s">
        <v>20110</v>
      </c>
      <c r="X6162">
        <v>5</v>
      </c>
      <c r="Y6162" t="s">
        <v>26905</v>
      </c>
      <c r="Z6162" t="s">
        <v>33872</v>
      </c>
      <c r="AA6162">
        <v>0.52689623311510692</v>
      </c>
      <c r="AB6162" t="str">
        <f>HYPERLINK("Melting_Curves/meltCurve_Q9NPR9_GPR108.pdf", "Melting_Curves/meltCurve_Q9NPR9_GPR108.pdf")</f>
        <v>Melting_Curves/meltCurve_Q9NPR9_GPR108.pdf</v>
      </c>
    </row>
    <row r="6163" spans="1:28" x14ac:dyDescent="0.25">
      <c r="A6163" t="s">
        <v>6167</v>
      </c>
      <c r="B6163">
        <v>0.99999676499088797</v>
      </c>
      <c r="C6163">
        <v>0.95799311756608196</v>
      </c>
      <c r="D6163">
        <v>0.94117504835742505</v>
      </c>
      <c r="E6163">
        <v>0.78549970502683997</v>
      </c>
      <c r="F6163">
        <v>0.37908042939848602</v>
      </c>
      <c r="G6163">
        <v>0.20978404085565999</v>
      </c>
      <c r="H6163">
        <v>0.12193625727905801</v>
      </c>
      <c r="I6163">
        <v>0.128165414360702</v>
      </c>
      <c r="J6163">
        <v>0.131053395349988</v>
      </c>
      <c r="K6163">
        <v>0.13238620926077199</v>
      </c>
      <c r="L6163">
        <v>1357.9391838394499</v>
      </c>
      <c r="M6163">
        <v>26.346705661416301</v>
      </c>
      <c r="N6163">
        <v>52.107731965434603</v>
      </c>
      <c r="O6163">
        <v>51.246933979919497</v>
      </c>
      <c r="P6163">
        <v>-0.112521262448875</v>
      </c>
      <c r="Q6163">
        <v>0.124549496390351</v>
      </c>
      <c r="R6163">
        <v>0.99781747456102599</v>
      </c>
      <c r="S6163" t="s">
        <v>13166</v>
      </c>
      <c r="T6163" t="s">
        <v>14004</v>
      </c>
      <c r="U6163" t="s">
        <v>14004</v>
      </c>
      <c r="V6163" t="s">
        <v>14004</v>
      </c>
      <c r="W6163" t="s">
        <v>20111</v>
      </c>
      <c r="X6163">
        <v>33</v>
      </c>
      <c r="Y6163" t="s">
        <v>26906</v>
      </c>
      <c r="Z6163" t="s">
        <v>33873</v>
      </c>
      <c r="AA6163">
        <v>0.46851916993504461</v>
      </c>
      <c r="AB6163" t="str">
        <f>HYPERLINK("Melting_Curves/meltCurve_Q9NQ29_LUC7L.pdf", "Melting_Curves/meltCurve_Q9NQ29_LUC7L.pdf")</f>
        <v>Melting_Curves/meltCurve_Q9NQ29_LUC7L.pdf</v>
      </c>
    </row>
    <row r="6164" spans="1:28" x14ac:dyDescent="0.25">
      <c r="A6164" t="s">
        <v>6168</v>
      </c>
      <c r="B6164">
        <v>0.99999676499088797</v>
      </c>
      <c r="C6164">
        <v>1.03926434473068</v>
      </c>
      <c r="D6164">
        <v>0.96721104016482196</v>
      </c>
      <c r="E6164">
        <v>0.68682766555952002</v>
      </c>
      <c r="F6164">
        <v>0.58231649097016003</v>
      </c>
      <c r="G6164">
        <v>0.34142861842016298</v>
      </c>
      <c r="H6164">
        <v>0.180765195868509</v>
      </c>
      <c r="I6164">
        <v>0.21662448642012999</v>
      </c>
      <c r="J6164">
        <v>0.19879604876360599</v>
      </c>
      <c r="K6164">
        <v>0.15200819195947099</v>
      </c>
      <c r="L6164">
        <v>871.43887919967005</v>
      </c>
      <c r="M6164">
        <v>16.610847111251399</v>
      </c>
      <c r="N6164">
        <v>53.643729028926998</v>
      </c>
      <c r="O6164">
        <v>51.719377427262501</v>
      </c>
      <c r="P6164">
        <v>-6.7995190449681997E-2</v>
      </c>
      <c r="Q6164">
        <v>0.15322058277311901</v>
      </c>
      <c r="R6164">
        <v>0.98478159543835897</v>
      </c>
      <c r="S6164" t="s">
        <v>13167</v>
      </c>
      <c r="T6164" t="s">
        <v>14004</v>
      </c>
      <c r="U6164" t="s">
        <v>14004</v>
      </c>
      <c r="V6164" t="s">
        <v>14004</v>
      </c>
      <c r="W6164" t="s">
        <v>20112</v>
      </c>
      <c r="X6164">
        <v>6</v>
      </c>
      <c r="Y6164" t="s">
        <v>26907</v>
      </c>
      <c r="Z6164" t="s">
        <v>33874</v>
      </c>
      <c r="AA6164">
        <v>0.52091209621695589</v>
      </c>
      <c r="AB6164" t="str">
        <f>HYPERLINK("Melting_Curves/meltCurve_Q9NQ34_TMEM9B.pdf", "Melting_Curves/meltCurve_Q9NQ34_TMEM9B.pdf")</f>
        <v>Melting_Curves/meltCurve_Q9NQ34_TMEM9B.pdf</v>
      </c>
    </row>
    <row r="6165" spans="1:28" x14ac:dyDescent="0.25">
      <c r="A6165" t="s">
        <v>6169</v>
      </c>
      <c r="B6165">
        <v>0.99999676499088797</v>
      </c>
      <c r="C6165">
        <v>0.98081266105939802</v>
      </c>
      <c r="D6165">
        <v>1.04769536280931</v>
      </c>
      <c r="E6165">
        <v>0.71459472044282801</v>
      </c>
      <c r="F6165">
        <v>0.47607950137646798</v>
      </c>
      <c r="G6165">
        <v>0.32728586493737799</v>
      </c>
      <c r="H6165">
        <v>0.1239758604749</v>
      </c>
      <c r="I6165">
        <v>9.5674784280222802E-2</v>
      </c>
      <c r="J6165">
        <v>7.6089248201611906E-2</v>
      </c>
      <c r="K6165">
        <v>7.98150132022966E-2</v>
      </c>
      <c r="L6165">
        <v>938.95270090099802</v>
      </c>
      <c r="M6165">
        <v>17.806247074255801</v>
      </c>
      <c r="N6165">
        <v>53.140615717832397</v>
      </c>
      <c r="O6165">
        <v>52.0800634046659</v>
      </c>
      <c r="P6165">
        <v>-8.0006417609314096E-2</v>
      </c>
      <c r="Q6165">
        <v>6.4031026111632097E-2</v>
      </c>
      <c r="R6165">
        <v>0.986752988403794</v>
      </c>
      <c r="S6165" t="s">
        <v>13168</v>
      </c>
      <c r="T6165" t="s">
        <v>14004</v>
      </c>
      <c r="U6165" t="s">
        <v>14004</v>
      </c>
      <c r="V6165" t="s">
        <v>14004</v>
      </c>
      <c r="W6165" t="s">
        <v>20113</v>
      </c>
      <c r="X6165">
        <v>2</v>
      </c>
      <c r="Y6165" t="s">
        <v>26908</v>
      </c>
      <c r="Z6165" t="s">
        <v>33875</v>
      </c>
      <c r="AA6165">
        <v>0.4769188693862661</v>
      </c>
      <c r="AB6165" t="str">
        <f>HYPERLINK("Melting_Curves/meltCurve_Q9NQ55_2_PPAN.pdf", "Melting_Curves/meltCurve_Q9NQ55_2_PPAN.pdf")</f>
        <v>Melting_Curves/meltCurve_Q9NQ55_2_PPAN.pdf</v>
      </c>
    </row>
    <row r="6166" spans="1:28" x14ac:dyDescent="0.25">
      <c r="A6166" t="s">
        <v>6170</v>
      </c>
      <c r="B6166">
        <v>0.99999676499088797</v>
      </c>
      <c r="C6166">
        <v>1.0230128929792299</v>
      </c>
      <c r="D6166">
        <v>1.0146053203682299</v>
      </c>
      <c r="E6166">
        <v>0.80221105540432802</v>
      </c>
      <c r="F6166">
        <v>0.20222087068599201</v>
      </c>
      <c r="G6166">
        <v>0.135239529116152</v>
      </c>
      <c r="H6166">
        <v>6.7903900659168098E-2</v>
      </c>
      <c r="I6166">
        <v>6.0726047698424497E-2</v>
      </c>
      <c r="J6166">
        <v>4.83687212095011E-2</v>
      </c>
      <c r="K6166">
        <v>4.1793845769060298E-2</v>
      </c>
      <c r="L6166">
        <v>2202.3186263996099</v>
      </c>
      <c r="M6166">
        <v>43.096237792937004</v>
      </c>
      <c r="N6166">
        <v>51.272446306025302</v>
      </c>
      <c r="O6166">
        <v>50.992676014837201</v>
      </c>
      <c r="P6166">
        <v>-0.197212377956207</v>
      </c>
      <c r="Q6166">
        <v>6.66125917197124E-2</v>
      </c>
      <c r="R6166">
        <v>0.99715497503381501</v>
      </c>
      <c r="S6166" t="s">
        <v>13169</v>
      </c>
      <c r="T6166" t="s">
        <v>14004</v>
      </c>
      <c r="U6166" t="s">
        <v>14004</v>
      </c>
      <c r="V6166" t="s">
        <v>14004</v>
      </c>
      <c r="W6166" t="s">
        <v>20114</v>
      </c>
      <c r="X6166">
        <v>9</v>
      </c>
      <c r="Y6166" t="s">
        <v>26909</v>
      </c>
      <c r="Z6166" t="s">
        <v>33876</v>
      </c>
      <c r="AA6166">
        <v>0.41487587262184777</v>
      </c>
      <c r="AB6166" t="str">
        <f>HYPERLINK("Melting_Curves/meltCurve_Q9NQ88_TIGAR.pdf", "Melting_Curves/meltCurve_Q9NQ88_TIGAR.pdf")</f>
        <v>Melting_Curves/meltCurve_Q9NQ88_TIGAR.pdf</v>
      </c>
    </row>
    <row r="6167" spans="1:28" x14ac:dyDescent="0.25">
      <c r="A6167" t="s">
        <v>6171</v>
      </c>
      <c r="B6167">
        <v>0.99999676499088797</v>
      </c>
      <c r="C6167">
        <v>0.98371489611512897</v>
      </c>
      <c r="D6167">
        <v>0.89632862688064296</v>
      </c>
      <c r="E6167">
        <v>0.74355381278752297</v>
      </c>
      <c r="F6167">
        <v>0.69510641899644299</v>
      </c>
      <c r="G6167">
        <v>0.43706950196532401</v>
      </c>
      <c r="H6167">
        <v>0.32399060397211998</v>
      </c>
      <c r="I6167">
        <v>0.42795072688757102</v>
      </c>
      <c r="J6167">
        <v>0.270018097970044</v>
      </c>
      <c r="K6167">
        <v>0.454857641542942</v>
      </c>
      <c r="L6167">
        <v>803.98121511571901</v>
      </c>
      <c r="M6167">
        <v>15.5127468903784</v>
      </c>
      <c r="N6167">
        <v>55.972872151365301</v>
      </c>
      <c r="O6167">
        <v>50.988798465549401</v>
      </c>
      <c r="P6167">
        <v>-5.00881704591103E-2</v>
      </c>
      <c r="Q6167">
        <v>0.34151977714905002</v>
      </c>
      <c r="R6167">
        <v>0.94270054422187899</v>
      </c>
      <c r="S6167" t="s">
        <v>13170</v>
      </c>
      <c r="T6167" t="s">
        <v>14004</v>
      </c>
      <c r="U6167" t="s">
        <v>14004</v>
      </c>
      <c r="V6167" t="s">
        <v>14004</v>
      </c>
      <c r="W6167" t="s">
        <v>20115</v>
      </c>
      <c r="X6167">
        <v>3</v>
      </c>
      <c r="Y6167" t="s">
        <v>26910</v>
      </c>
      <c r="Z6167" t="s">
        <v>33877</v>
      </c>
      <c r="AA6167">
        <v>0.61516683400912775</v>
      </c>
      <c r="AB6167" t="str">
        <f>HYPERLINK("Melting_Curves/meltCurve_Q9NQ92_COPRS.pdf", "Melting_Curves/meltCurve_Q9NQ92_COPRS.pdf")</f>
        <v>Melting_Curves/meltCurve_Q9NQ92_COPRS.pdf</v>
      </c>
    </row>
    <row r="6168" spans="1:28" x14ac:dyDescent="0.25">
      <c r="A6168" t="s">
        <v>6172</v>
      </c>
      <c r="B6168">
        <v>0.99999676499088797</v>
      </c>
      <c r="C6168">
        <v>0.92831188134794596</v>
      </c>
      <c r="D6168">
        <v>0.97624165747101099</v>
      </c>
      <c r="E6168">
        <v>1.12825612997388</v>
      </c>
      <c r="F6168">
        <v>1.15910926173455</v>
      </c>
      <c r="G6168">
        <v>0.89897389725836596</v>
      </c>
      <c r="H6168">
        <v>0.55116190035208101</v>
      </c>
      <c r="I6168">
        <v>0.36525413530596201</v>
      </c>
      <c r="J6168">
        <v>0.27904852304857802</v>
      </c>
      <c r="K6168">
        <v>0.31481906283824601</v>
      </c>
      <c r="L6168">
        <v>2321.22679190281</v>
      </c>
      <c r="M6168">
        <v>38.759846406194299</v>
      </c>
      <c r="N6168">
        <v>61.313903057050197</v>
      </c>
      <c r="O6168">
        <v>59.728662111637703</v>
      </c>
      <c r="P6168">
        <v>-0.114038026095463</v>
      </c>
      <c r="Q6168">
        <v>0.29707434589200798</v>
      </c>
      <c r="R6168">
        <v>0.95246631737895804</v>
      </c>
      <c r="S6168" t="s">
        <v>13171</v>
      </c>
      <c r="T6168" t="s">
        <v>14004</v>
      </c>
      <c r="U6168" t="s">
        <v>14004</v>
      </c>
      <c r="V6168" t="s">
        <v>14004</v>
      </c>
      <c r="W6168" t="s">
        <v>14823</v>
      </c>
      <c r="X6168">
        <v>16</v>
      </c>
      <c r="Y6168" t="s">
        <v>21761</v>
      </c>
      <c r="Z6168" t="s">
        <v>33878</v>
      </c>
      <c r="AA6168">
        <v>0.76596022533706443</v>
      </c>
      <c r="AB6168" t="str">
        <f>HYPERLINK("Melting_Curves/meltCurve_Q9NQC3_RTN4.pdf", "Melting_Curves/meltCurve_Q9NQC3_RTN4.pdf")</f>
        <v>Melting_Curves/meltCurve_Q9NQC3_RTN4.pdf</v>
      </c>
    </row>
    <row r="6169" spans="1:28" x14ac:dyDescent="0.25">
      <c r="A6169" t="s">
        <v>6173</v>
      </c>
      <c r="B6169">
        <v>0.99999676499088797</v>
      </c>
      <c r="C6169">
        <v>0.94872131868780496</v>
      </c>
      <c r="D6169">
        <v>0.86810155337986805</v>
      </c>
      <c r="E6169">
        <v>1.05023900149146</v>
      </c>
      <c r="F6169">
        <v>1.0292518873249601</v>
      </c>
      <c r="G6169">
        <v>0.80719892575304897</v>
      </c>
      <c r="H6169">
        <v>0.52089228019830502</v>
      </c>
      <c r="I6169">
        <v>0.41670986668705301</v>
      </c>
      <c r="J6169">
        <v>0.27977701626322699</v>
      </c>
      <c r="K6169">
        <v>0.219854182482838</v>
      </c>
      <c r="L6169">
        <v>1369.4907016915899</v>
      </c>
      <c r="M6169">
        <v>22.826788510977799</v>
      </c>
      <c r="N6169">
        <v>61.511739040778799</v>
      </c>
      <c r="O6169">
        <v>59.540162281235098</v>
      </c>
      <c r="P6169">
        <v>-7.5219491971374397E-2</v>
      </c>
      <c r="Q6169">
        <v>0.21522158524736601</v>
      </c>
      <c r="R6169">
        <v>0.96571278398590898</v>
      </c>
      <c r="S6169" t="s">
        <v>13172</v>
      </c>
      <c r="T6169" t="s">
        <v>14004</v>
      </c>
      <c r="U6169" t="s">
        <v>14004</v>
      </c>
      <c r="V6169" t="s">
        <v>14004</v>
      </c>
      <c r="W6169" t="s">
        <v>20116</v>
      </c>
      <c r="X6169">
        <v>10</v>
      </c>
      <c r="Y6169" t="s">
        <v>21761</v>
      </c>
      <c r="Z6169" t="s">
        <v>33879</v>
      </c>
      <c r="AA6169">
        <v>0.74451212572864089</v>
      </c>
      <c r="AB6169" t="str">
        <f>HYPERLINK("Melting_Curves/meltCurve_Q9NQC3_5_RTN4.pdf", "Melting_Curves/meltCurve_Q9NQC3_5_RTN4.pdf")</f>
        <v>Melting_Curves/meltCurve_Q9NQC3_5_RTN4.pdf</v>
      </c>
    </row>
    <row r="6170" spans="1:28" x14ac:dyDescent="0.25">
      <c r="A6170" t="s">
        <v>6174</v>
      </c>
      <c r="B6170">
        <v>0.99999676499088797</v>
      </c>
      <c r="C6170">
        <v>1.0560573397417801</v>
      </c>
      <c r="D6170">
        <v>1.0830139179251199</v>
      </c>
      <c r="E6170">
        <v>1.05503995858017</v>
      </c>
      <c r="F6170">
        <v>0.74887646161308596</v>
      </c>
      <c r="G6170">
        <v>0.38005332435723699</v>
      </c>
      <c r="H6170">
        <v>0.155556116826398</v>
      </c>
      <c r="I6170">
        <v>0.14877326388242301</v>
      </c>
      <c r="J6170">
        <v>0.13341542885268501</v>
      </c>
      <c r="K6170">
        <v>0.139944159875174</v>
      </c>
      <c r="L6170">
        <v>1788.37078049296</v>
      </c>
      <c r="M6170">
        <v>32.540160762538797</v>
      </c>
      <c r="N6170">
        <v>55.496326143415601</v>
      </c>
      <c r="O6170">
        <v>54.752562839532402</v>
      </c>
      <c r="P6170">
        <v>-0.12849787897283299</v>
      </c>
      <c r="Q6170">
        <v>0.13515424307527901</v>
      </c>
      <c r="R6170">
        <v>0.98920095941049402</v>
      </c>
      <c r="S6170" t="s">
        <v>13173</v>
      </c>
      <c r="T6170" t="s">
        <v>14004</v>
      </c>
      <c r="U6170" t="s">
        <v>14004</v>
      </c>
      <c r="V6170" t="s">
        <v>14004</v>
      </c>
      <c r="W6170" t="s">
        <v>20117</v>
      </c>
      <c r="X6170">
        <v>6</v>
      </c>
      <c r="Y6170" t="s">
        <v>26911</v>
      </c>
      <c r="Z6170" t="s">
        <v>33880</v>
      </c>
      <c r="AA6170">
        <v>0.57130161242133637</v>
      </c>
      <c r="AB6170" t="str">
        <f>HYPERLINK("Melting_Curves/meltCurve_Q9NQE9_HINT3.pdf", "Melting_Curves/meltCurve_Q9NQE9_HINT3.pdf")</f>
        <v>Melting_Curves/meltCurve_Q9NQE9_HINT3.pdf</v>
      </c>
    </row>
    <row r="6171" spans="1:28" x14ac:dyDescent="0.25">
      <c r="A6171" t="s">
        <v>6175</v>
      </c>
      <c r="B6171">
        <v>0.99999676499088797</v>
      </c>
      <c r="C6171">
        <v>1.17813629740612</v>
      </c>
      <c r="D6171">
        <v>1.11605792403163</v>
      </c>
      <c r="E6171">
        <v>0.66806979930920096</v>
      </c>
      <c r="F6171">
        <v>0.42089818655438299</v>
      </c>
      <c r="G6171">
        <v>0.22535084735634101</v>
      </c>
      <c r="H6171">
        <v>0</v>
      </c>
      <c r="I6171">
        <v>0</v>
      </c>
      <c r="J6171">
        <v>0</v>
      </c>
      <c r="K6171">
        <v>5.9380006413330098E-2</v>
      </c>
      <c r="L6171">
        <v>1154.89226844731</v>
      </c>
      <c r="M6171">
        <v>22.105748494108902</v>
      </c>
      <c r="N6171">
        <v>52.298518003382803</v>
      </c>
      <c r="O6171">
        <v>51.822076089682803</v>
      </c>
      <c r="P6171">
        <v>-0.105430206785977</v>
      </c>
      <c r="Q6171">
        <v>1.13897247229028E-2</v>
      </c>
      <c r="R6171">
        <v>0.96149075466825396</v>
      </c>
      <c r="S6171" t="s">
        <v>13174</v>
      </c>
      <c r="T6171" t="s">
        <v>14004</v>
      </c>
      <c r="U6171" t="s">
        <v>14004</v>
      </c>
      <c r="V6171" t="s">
        <v>14004</v>
      </c>
      <c r="W6171" t="s">
        <v>20118</v>
      </c>
      <c r="X6171">
        <v>1</v>
      </c>
      <c r="Y6171" t="s">
        <v>26912</v>
      </c>
      <c r="Z6171" t="s">
        <v>33881</v>
      </c>
      <c r="AA6171">
        <v>0.42627554938149981</v>
      </c>
      <c r="AB6171" t="str">
        <f>HYPERLINK("Melting_Curves/meltCurve_Q9NQG1_MANBAL.pdf", "Melting_Curves/meltCurve_Q9NQG1_MANBAL.pdf")</f>
        <v>Melting_Curves/meltCurve_Q9NQG1_MANBAL.pdf</v>
      </c>
    </row>
    <row r="6172" spans="1:28" x14ac:dyDescent="0.25">
      <c r="A6172" t="s">
        <v>6176</v>
      </c>
      <c r="B6172">
        <v>0.99999676499088797</v>
      </c>
      <c r="C6172">
        <v>0.95392611073995504</v>
      </c>
      <c r="D6172">
        <v>1.0094753517916499</v>
      </c>
      <c r="E6172">
        <v>0.740503093755844</v>
      </c>
      <c r="F6172">
        <v>0.24566143807087101</v>
      </c>
      <c r="G6172">
        <v>0.165872442694977</v>
      </c>
      <c r="H6172">
        <v>9.9952842934134006E-2</v>
      </c>
      <c r="I6172">
        <v>9.0047129561731803E-2</v>
      </c>
      <c r="J6172">
        <v>8.4399946265776807E-2</v>
      </c>
      <c r="K6172">
        <v>8.2731618665962903E-2</v>
      </c>
      <c r="L6172">
        <v>1809.9459312930301</v>
      </c>
      <c r="M6172">
        <v>35.576107486599703</v>
      </c>
      <c r="N6172">
        <v>51.188609376072399</v>
      </c>
      <c r="O6172">
        <v>50.715385561310399</v>
      </c>
      <c r="P6172">
        <v>-0.158215039500191</v>
      </c>
      <c r="Q6172">
        <v>9.7831722604001997E-2</v>
      </c>
      <c r="R6172">
        <v>0.99646725659023705</v>
      </c>
      <c r="S6172" t="s">
        <v>13175</v>
      </c>
      <c r="T6172" t="s">
        <v>14004</v>
      </c>
      <c r="U6172" t="s">
        <v>14004</v>
      </c>
      <c r="V6172" t="s">
        <v>14004</v>
      </c>
      <c r="W6172" t="s">
        <v>20119</v>
      </c>
      <c r="X6172">
        <v>18</v>
      </c>
      <c r="Y6172" t="s">
        <v>26913</v>
      </c>
      <c r="Z6172" t="s">
        <v>33882</v>
      </c>
      <c r="AA6172">
        <v>0.42889504588538702</v>
      </c>
      <c r="AB6172" t="str">
        <f>HYPERLINK("Melting_Curves/meltCurve_Q9NQG5_RPRD1B.pdf", "Melting_Curves/meltCurve_Q9NQG5_RPRD1B.pdf")</f>
        <v>Melting_Curves/meltCurve_Q9NQG5_RPRD1B.pdf</v>
      </c>
    </row>
    <row r="6173" spans="1:28" x14ac:dyDescent="0.25">
      <c r="A6173" t="s">
        <v>6177</v>
      </c>
      <c r="B6173">
        <v>0.99999676499088797</v>
      </c>
      <c r="C6173">
        <v>1.1024988753146101</v>
      </c>
      <c r="D6173">
        <v>0.98165779125638697</v>
      </c>
      <c r="E6173">
        <v>0.88855797679450599</v>
      </c>
      <c r="F6173">
        <v>0.84221191236119897</v>
      </c>
      <c r="G6173">
        <v>0.620544887338771</v>
      </c>
      <c r="H6173">
        <v>0.20228620391395699</v>
      </c>
      <c r="I6173">
        <v>0.13544279228765699</v>
      </c>
      <c r="J6173">
        <v>0.12096458209760701</v>
      </c>
      <c r="K6173">
        <v>0.117118559701817</v>
      </c>
      <c r="L6173">
        <v>1370.3802533087</v>
      </c>
      <c r="M6173">
        <v>24.012797802667301</v>
      </c>
      <c r="N6173">
        <v>57.5087807096874</v>
      </c>
      <c r="O6173">
        <v>56.677374446153699</v>
      </c>
      <c r="P6173">
        <v>-9.7031334922556306E-2</v>
      </c>
      <c r="Q6173">
        <v>8.3922735545350596E-2</v>
      </c>
      <c r="R6173">
        <v>0.98357848491421496</v>
      </c>
      <c r="S6173" t="s">
        <v>13176</v>
      </c>
      <c r="T6173" t="s">
        <v>14004</v>
      </c>
      <c r="U6173" t="s">
        <v>14004</v>
      </c>
      <c r="V6173" t="s">
        <v>14004</v>
      </c>
      <c r="W6173" t="s">
        <v>20120</v>
      </c>
      <c r="X6173">
        <v>7</v>
      </c>
      <c r="Y6173" t="s">
        <v>26914</v>
      </c>
      <c r="Z6173" t="s">
        <v>33883</v>
      </c>
      <c r="AA6173">
        <v>0.61388567820863649</v>
      </c>
      <c r="AB6173" t="str">
        <f>HYPERLINK("Melting_Curves/meltCurve_Q9NQH7_2_XPNPEP3.pdf", "Melting_Curves/meltCurve_Q9NQH7_2_XPNPEP3.pdf")</f>
        <v>Melting_Curves/meltCurve_Q9NQH7_2_XPNPEP3.pdf</v>
      </c>
    </row>
    <row r="6174" spans="1:28" x14ac:dyDescent="0.25">
      <c r="A6174" t="s">
        <v>6178</v>
      </c>
      <c r="B6174">
        <v>0.99999676499088797</v>
      </c>
      <c r="C6174">
        <v>1.03450363891273</v>
      </c>
      <c r="D6174">
        <v>1.0112657084618</v>
      </c>
      <c r="E6174">
        <v>0.91257259866817897</v>
      </c>
      <c r="F6174">
        <v>0.95287894816266905</v>
      </c>
      <c r="G6174">
        <v>0.78631438121082098</v>
      </c>
      <c r="H6174">
        <v>0.46214193366825501</v>
      </c>
      <c r="I6174">
        <v>0.43913471634407503</v>
      </c>
      <c r="J6174">
        <v>0.33307632952600502</v>
      </c>
      <c r="K6174">
        <v>0.29484938459682603</v>
      </c>
      <c r="L6174">
        <v>1350.41862012501</v>
      </c>
      <c r="M6174">
        <v>23.073206433616001</v>
      </c>
      <c r="N6174">
        <v>60.945329819900799</v>
      </c>
      <c r="O6174">
        <v>58.093224765057201</v>
      </c>
      <c r="P6174">
        <v>-6.9525830364716198E-2</v>
      </c>
      <c r="Q6174">
        <v>0.29981010033016198</v>
      </c>
      <c r="R6174">
        <v>0.98414379987225598</v>
      </c>
      <c r="S6174" t="s">
        <v>13177</v>
      </c>
      <c r="T6174" t="s">
        <v>14004</v>
      </c>
      <c r="U6174" t="s">
        <v>14004</v>
      </c>
      <c r="V6174" t="s">
        <v>14004</v>
      </c>
      <c r="W6174" t="s">
        <v>20121</v>
      </c>
      <c r="X6174">
        <v>7</v>
      </c>
      <c r="Y6174" t="s">
        <v>26915</v>
      </c>
      <c r="Z6174" t="s">
        <v>33884</v>
      </c>
      <c r="AA6174">
        <v>0.73876576698959806</v>
      </c>
      <c r="AB6174" t="str">
        <f>HYPERLINK("Melting_Curves/meltCurve_Q9NQP4_PFDN4.pdf", "Melting_Curves/meltCurve_Q9NQP4_PFDN4.pdf")</f>
        <v>Melting_Curves/meltCurve_Q9NQP4_PFDN4.pdf</v>
      </c>
    </row>
    <row r="6175" spans="1:28" x14ac:dyDescent="0.25">
      <c r="A6175" t="s">
        <v>6179</v>
      </c>
      <c r="B6175">
        <v>0.99999676499088797</v>
      </c>
      <c r="C6175">
        <v>1.0262125569504399</v>
      </c>
      <c r="D6175">
        <v>1.04517845709079</v>
      </c>
      <c r="E6175">
        <v>1.13067660590603</v>
      </c>
      <c r="F6175">
        <v>0.94627022425799101</v>
      </c>
      <c r="G6175">
        <v>0.61070681066625898</v>
      </c>
      <c r="H6175">
        <v>0.117327098435227</v>
      </c>
      <c r="I6175">
        <v>9.7326118934451603E-2</v>
      </c>
      <c r="J6175">
        <v>8.2705945223845695E-2</v>
      </c>
      <c r="K6175">
        <v>7.50009508419444E-2</v>
      </c>
      <c r="L6175">
        <v>2689.8432258672701</v>
      </c>
      <c r="M6175">
        <v>47.067788300277201</v>
      </c>
      <c r="N6175">
        <v>57.357959223143197</v>
      </c>
      <c r="O6175">
        <v>57.045403506934498</v>
      </c>
      <c r="P6175">
        <v>-0.18997054299893601</v>
      </c>
      <c r="Q6175">
        <v>7.9035961169286406E-2</v>
      </c>
      <c r="R6175">
        <v>0.98929376820959902</v>
      </c>
      <c r="S6175" t="s">
        <v>13178</v>
      </c>
      <c r="T6175" t="s">
        <v>14004</v>
      </c>
      <c r="U6175" t="s">
        <v>14004</v>
      </c>
      <c r="V6175" t="s">
        <v>14004</v>
      </c>
      <c r="W6175" t="s">
        <v>20122</v>
      </c>
      <c r="X6175">
        <v>21</v>
      </c>
      <c r="Y6175" t="s">
        <v>26916</v>
      </c>
      <c r="Z6175" t="s">
        <v>33885</v>
      </c>
      <c r="AA6175">
        <v>0.60807898954917694</v>
      </c>
      <c r="AB6175" t="str">
        <f>HYPERLINK("Melting_Curves/meltCurve_Q9NQR4_NIT2.pdf", "Melting_Curves/meltCurve_Q9NQR4_NIT2.pdf")</f>
        <v>Melting_Curves/meltCurve_Q9NQR4_NIT2.pdf</v>
      </c>
    </row>
    <row r="6176" spans="1:28" x14ac:dyDescent="0.25">
      <c r="A6176" t="s">
        <v>6180</v>
      </c>
      <c r="B6176">
        <v>0.99999676499088797</v>
      </c>
      <c r="C6176">
        <v>0.96248743390481495</v>
      </c>
      <c r="D6176">
        <v>0.96290348153341498</v>
      </c>
      <c r="E6176">
        <v>0.91616378602139104</v>
      </c>
      <c r="F6176">
        <v>0.63752023601873697</v>
      </c>
      <c r="G6176">
        <v>0.35046693709732701</v>
      </c>
      <c r="H6176">
        <v>0.25965260449930899</v>
      </c>
      <c r="I6176">
        <v>0.27221977925442598</v>
      </c>
      <c r="J6176">
        <v>0.26728543697843599</v>
      </c>
      <c r="K6176">
        <v>0.41685699477424498</v>
      </c>
      <c r="L6176">
        <v>1802.58436307344</v>
      </c>
      <c r="M6176">
        <v>34.037693525093999</v>
      </c>
      <c r="N6176">
        <v>54.422267775610798</v>
      </c>
      <c r="O6176">
        <v>52.776676027768403</v>
      </c>
      <c r="P6176">
        <v>-0.112889717965202</v>
      </c>
      <c r="Q6176">
        <v>0.299844339934349</v>
      </c>
      <c r="R6176">
        <v>0.97769696415688301</v>
      </c>
      <c r="S6176" t="s">
        <v>13179</v>
      </c>
      <c r="T6176" t="s">
        <v>14004</v>
      </c>
      <c r="U6176" t="s">
        <v>14004</v>
      </c>
      <c r="V6176" t="s">
        <v>14004</v>
      </c>
      <c r="W6176" t="s">
        <v>20123</v>
      </c>
      <c r="X6176">
        <v>11</v>
      </c>
      <c r="Y6176" t="s">
        <v>26917</v>
      </c>
      <c r="Z6176" t="s">
        <v>33886</v>
      </c>
      <c r="AA6176">
        <v>0.6058116605472591</v>
      </c>
      <c r="AB6176" t="str">
        <f>HYPERLINK("Melting_Curves/meltCurve_Q9NQS1_AVEN.pdf", "Melting_Curves/meltCurve_Q9NQS1_AVEN.pdf")</f>
        <v>Melting_Curves/meltCurve_Q9NQS1_AVEN.pdf</v>
      </c>
    </row>
    <row r="6177" spans="1:28" x14ac:dyDescent="0.25">
      <c r="A6177" t="s">
        <v>6181</v>
      </c>
      <c r="B6177">
        <v>0.99999676499088797</v>
      </c>
      <c r="C6177">
        <v>1.0914223281887101</v>
      </c>
      <c r="D6177">
        <v>1.26640801442563</v>
      </c>
      <c r="E6177">
        <v>1.45154583367329</v>
      </c>
      <c r="F6177">
        <v>1.2821746028274701</v>
      </c>
      <c r="G6177">
        <v>0.80161879731885299</v>
      </c>
      <c r="H6177">
        <v>0.131209779442576</v>
      </c>
      <c r="I6177">
        <v>8.7261453774179307E-2</v>
      </c>
      <c r="J6177">
        <v>7.7864526928053401E-2</v>
      </c>
      <c r="K6177">
        <v>5.1766692183207397E-2</v>
      </c>
      <c r="L6177">
        <v>3940.6395190968501</v>
      </c>
      <c r="M6177">
        <v>68.027831996323101</v>
      </c>
      <c r="N6177">
        <v>58.070241029286102</v>
      </c>
      <c r="O6177">
        <v>57.876875371002598</v>
      </c>
      <c r="P6177">
        <v>-0.27113537298149099</v>
      </c>
      <c r="Q6177">
        <v>7.7291525637066705E-2</v>
      </c>
      <c r="R6177">
        <v>0.87738091011428598</v>
      </c>
      <c r="S6177" t="s">
        <v>13180</v>
      </c>
      <c r="T6177" t="s">
        <v>14004</v>
      </c>
      <c r="U6177" t="s">
        <v>14004</v>
      </c>
      <c r="V6177" t="s">
        <v>14004</v>
      </c>
      <c r="W6177" t="s">
        <v>20124</v>
      </c>
      <c r="X6177">
        <v>10</v>
      </c>
      <c r="Y6177" t="s">
        <v>26918</v>
      </c>
      <c r="Z6177" t="s">
        <v>33887</v>
      </c>
      <c r="AA6177">
        <v>0.62993747446757675</v>
      </c>
      <c r="AB6177" t="str">
        <f>HYPERLINK("Melting_Curves/meltCurve_Q9NQT4_EXOSC5.pdf", "Melting_Curves/meltCurve_Q9NQT4_EXOSC5.pdf")</f>
        <v>Melting_Curves/meltCurve_Q9NQT4_EXOSC5.pdf</v>
      </c>
    </row>
    <row r="6178" spans="1:28" x14ac:dyDescent="0.25">
      <c r="A6178" t="s">
        <v>6182</v>
      </c>
      <c r="B6178">
        <v>0.99999676499088797</v>
      </c>
      <c r="C6178">
        <v>1.0585425756728799</v>
      </c>
      <c r="D6178">
        <v>1.07856410290354</v>
      </c>
      <c r="E6178">
        <v>0.76229146132104397</v>
      </c>
      <c r="F6178">
        <v>0.32472783112657799</v>
      </c>
      <c r="G6178">
        <v>0.15959368943541799</v>
      </c>
      <c r="H6178">
        <v>7.4892343746642095E-2</v>
      </c>
      <c r="I6178">
        <v>6.2716099323707197E-2</v>
      </c>
      <c r="J6178">
        <v>7.5146672295782105E-2</v>
      </c>
      <c r="K6178">
        <v>5.9905640009652601E-2</v>
      </c>
      <c r="L6178">
        <v>1595.2185109478</v>
      </c>
      <c r="M6178">
        <v>30.966444238727799</v>
      </c>
      <c r="N6178">
        <v>51.7793742967715</v>
      </c>
      <c r="O6178">
        <v>51.301002154891599</v>
      </c>
      <c r="P6178">
        <v>-0.13984978004187301</v>
      </c>
      <c r="Q6178">
        <v>7.3268453868557001E-2</v>
      </c>
      <c r="R6178">
        <v>0.99130562020845003</v>
      </c>
      <c r="S6178" t="s">
        <v>13181</v>
      </c>
      <c r="T6178" t="s">
        <v>14004</v>
      </c>
      <c r="U6178" t="s">
        <v>14004</v>
      </c>
      <c r="V6178" t="s">
        <v>14004</v>
      </c>
      <c r="W6178" t="s">
        <v>20125</v>
      </c>
      <c r="X6178">
        <v>7</v>
      </c>
      <c r="Y6178" t="s">
        <v>26919</v>
      </c>
      <c r="Z6178" t="s">
        <v>33888</v>
      </c>
      <c r="AA6178">
        <v>0.43447665321987061</v>
      </c>
      <c r="AB6178" t="str">
        <f>HYPERLINK("Melting_Curves/meltCurve_Q9NQT5_EXOSC3.pdf", "Melting_Curves/meltCurve_Q9NQT5_EXOSC3.pdf")</f>
        <v>Melting_Curves/meltCurve_Q9NQT5_EXOSC3.pdf</v>
      </c>
    </row>
    <row r="6179" spans="1:28" x14ac:dyDescent="0.25">
      <c r="A6179" t="s">
        <v>6183</v>
      </c>
      <c r="B6179">
        <v>0.99999676499088797</v>
      </c>
      <c r="C6179">
        <v>1.0013559014365101</v>
      </c>
      <c r="D6179">
        <v>0.81767815120161802</v>
      </c>
      <c r="E6179">
        <v>0.348553999276705</v>
      </c>
      <c r="F6179">
        <v>0.26421015756495497</v>
      </c>
      <c r="G6179">
        <v>0.19604047188322499</v>
      </c>
      <c r="H6179">
        <v>9.1014304091751499E-2</v>
      </c>
      <c r="I6179">
        <v>9.2639748869017505E-2</v>
      </c>
      <c r="J6179">
        <v>9.8634202247425001E-2</v>
      </c>
      <c r="K6179">
        <v>8.6974962589266597E-2</v>
      </c>
      <c r="L6179">
        <v>1242.5258334243699</v>
      </c>
      <c r="M6179">
        <v>25.792880924621699</v>
      </c>
      <c r="N6179">
        <v>48.672682669929898</v>
      </c>
      <c r="O6179">
        <v>47.886435312893802</v>
      </c>
      <c r="P6179">
        <v>-0.119000461436055</v>
      </c>
      <c r="Q6179">
        <v>0.11627708946423999</v>
      </c>
      <c r="R6179">
        <v>0.98723338940541905</v>
      </c>
      <c r="S6179" t="s">
        <v>13182</v>
      </c>
      <c r="T6179" t="s">
        <v>14004</v>
      </c>
      <c r="U6179" t="s">
        <v>14004</v>
      </c>
      <c r="V6179" t="s">
        <v>14004</v>
      </c>
      <c r="W6179" t="s">
        <v>20126</v>
      </c>
      <c r="X6179">
        <v>16</v>
      </c>
      <c r="Y6179" t="s">
        <v>26920</v>
      </c>
      <c r="Z6179" t="s">
        <v>33889</v>
      </c>
      <c r="AA6179">
        <v>0.36435013249713238</v>
      </c>
      <c r="AB6179" t="str">
        <f>HYPERLINK("Melting_Curves/meltCurve_Q9NQT8_KIF13B.pdf", "Melting_Curves/meltCurve_Q9NQT8_KIF13B.pdf")</f>
        <v>Melting_Curves/meltCurve_Q9NQT8_KIF13B.pdf</v>
      </c>
    </row>
    <row r="6180" spans="1:28" x14ac:dyDescent="0.25">
      <c r="A6180" t="s">
        <v>6184</v>
      </c>
      <c r="B6180">
        <v>0.99999676499088797</v>
      </c>
      <c r="C6180">
        <v>0.93200432097241104</v>
      </c>
      <c r="D6180">
        <v>0.56346703173511403</v>
      </c>
      <c r="E6180">
        <v>0.20272217471453299</v>
      </c>
      <c r="F6180">
        <v>0.16438084735894701</v>
      </c>
      <c r="G6180">
        <v>0.103750016633856</v>
      </c>
      <c r="H6180">
        <v>6.0071044300914499E-2</v>
      </c>
      <c r="I6180">
        <v>7.4910878923384994E-2</v>
      </c>
      <c r="J6180">
        <v>9.4828833363348797E-2</v>
      </c>
      <c r="K6180">
        <v>6.7785017447615406E-2</v>
      </c>
      <c r="L6180">
        <v>1316.71632803692</v>
      </c>
      <c r="M6180">
        <v>28.482954905333902</v>
      </c>
      <c r="N6180">
        <v>46.547597506867596</v>
      </c>
      <c r="O6180">
        <v>46.002148592951599</v>
      </c>
      <c r="P6180">
        <v>-0.141053062081961</v>
      </c>
      <c r="Q6180">
        <v>8.87614054112216E-2</v>
      </c>
      <c r="R6180">
        <v>0.99558756175457497</v>
      </c>
      <c r="S6180" t="s">
        <v>13183</v>
      </c>
      <c r="T6180" t="s">
        <v>14004</v>
      </c>
      <c r="U6180" t="s">
        <v>14004</v>
      </c>
      <c r="V6180" t="s">
        <v>14004</v>
      </c>
      <c r="W6180" t="s">
        <v>20127</v>
      </c>
      <c r="X6180">
        <v>15</v>
      </c>
      <c r="Y6180" t="s">
        <v>26921</v>
      </c>
      <c r="Z6180" t="s">
        <v>33890</v>
      </c>
      <c r="AA6180">
        <v>0.28413900435015649</v>
      </c>
      <c r="AB6180" t="str">
        <f>HYPERLINK("Melting_Curves/meltCurve_Q9NQW6_ANLN.pdf", "Melting_Curves/meltCurve_Q9NQW6_ANLN.pdf")</f>
        <v>Melting_Curves/meltCurve_Q9NQW6_ANLN.pdf</v>
      </c>
    </row>
    <row r="6181" spans="1:28" x14ac:dyDescent="0.25">
      <c r="A6181" t="s">
        <v>6185</v>
      </c>
      <c r="B6181">
        <v>0.99999676499088797</v>
      </c>
      <c r="C6181">
        <v>0.96972249319556003</v>
      </c>
      <c r="D6181">
        <v>0.90825657706708096</v>
      </c>
      <c r="E6181">
        <v>0.761359307592687</v>
      </c>
      <c r="F6181">
        <v>0.32244344388188001</v>
      </c>
      <c r="G6181">
        <v>0.160017456806158</v>
      </c>
      <c r="H6181">
        <v>7.1399483990494103E-2</v>
      </c>
      <c r="I6181">
        <v>7.3307717944194301E-2</v>
      </c>
      <c r="J6181">
        <v>7.1041710095884003E-2</v>
      </c>
      <c r="K6181">
        <v>5.81921179973309E-2</v>
      </c>
      <c r="L6181">
        <v>1283.28948093852</v>
      </c>
      <c r="M6181">
        <v>24.958165925647801</v>
      </c>
      <c r="N6181">
        <v>51.6932745323981</v>
      </c>
      <c r="O6181">
        <v>51.0909381291182</v>
      </c>
      <c r="P6181">
        <v>-0.114518920606572</v>
      </c>
      <c r="Q6181">
        <v>6.2302996437010399E-2</v>
      </c>
      <c r="R6181">
        <v>0.99714158372648098</v>
      </c>
      <c r="S6181" t="s">
        <v>13184</v>
      </c>
      <c r="T6181" t="s">
        <v>14004</v>
      </c>
      <c r="U6181" t="s">
        <v>14004</v>
      </c>
      <c r="V6181" t="s">
        <v>14004</v>
      </c>
      <c r="W6181" t="s">
        <v>20128</v>
      </c>
      <c r="X6181">
        <v>32</v>
      </c>
      <c r="Y6181" t="s">
        <v>26922</v>
      </c>
      <c r="Z6181" t="s">
        <v>33891</v>
      </c>
      <c r="AA6181">
        <v>0.42771579220162242</v>
      </c>
      <c r="AB6181" t="str">
        <f>HYPERLINK("Melting_Curves/meltCurve_Q9NQW7_3_XPNPEP1.pdf", "Melting_Curves/meltCurve_Q9NQW7_3_XPNPEP1.pdf")</f>
        <v>Melting_Curves/meltCurve_Q9NQW7_3_XPNPEP1.pdf</v>
      </c>
    </row>
    <row r="6182" spans="1:28" x14ac:dyDescent="0.25">
      <c r="A6182" t="s">
        <v>6186</v>
      </c>
      <c r="B6182">
        <v>0.99999676499088797</v>
      </c>
      <c r="C6182">
        <v>1.0198866421522801</v>
      </c>
      <c r="D6182">
        <v>1.1472234396624299</v>
      </c>
      <c r="E6182">
        <v>1.4677612694047</v>
      </c>
      <c r="F6182">
        <v>1.6639400252051499</v>
      </c>
      <c r="G6182">
        <v>1.3835441598365601</v>
      </c>
      <c r="H6182">
        <v>0.91740354212851905</v>
      </c>
      <c r="I6182">
        <v>0.27268169020133598</v>
      </c>
      <c r="J6182">
        <v>0.13776991913645001</v>
      </c>
      <c r="K6182">
        <v>0.12511891859701099</v>
      </c>
      <c r="L6182">
        <v>4797.8942534951102</v>
      </c>
      <c r="M6182">
        <v>76.599950148723593</v>
      </c>
      <c r="N6182">
        <v>62.880852376641997</v>
      </c>
      <c r="O6182">
        <v>62.593082455080101</v>
      </c>
      <c r="P6182">
        <v>-0.26645707221450299</v>
      </c>
      <c r="Q6182">
        <v>0.12906640401685701</v>
      </c>
      <c r="R6182">
        <v>0.70375581864194603</v>
      </c>
      <c r="S6182" t="s">
        <v>13185</v>
      </c>
      <c r="T6182" t="s">
        <v>14004</v>
      </c>
      <c r="U6182" t="s">
        <v>14004</v>
      </c>
      <c r="V6182" t="s">
        <v>14004</v>
      </c>
      <c r="W6182" t="s">
        <v>20129</v>
      </c>
      <c r="X6182">
        <v>27</v>
      </c>
      <c r="Y6182" t="s">
        <v>26923</v>
      </c>
      <c r="Z6182" t="s">
        <v>33892</v>
      </c>
      <c r="AA6182">
        <v>0.787219464940483</v>
      </c>
      <c r="AB6182" t="str">
        <f>HYPERLINK("Melting_Curves/meltCurve_Q9NQX3_GPHN.pdf", "Melting_Curves/meltCurve_Q9NQX3_GPHN.pdf")</f>
        <v>Melting_Curves/meltCurve_Q9NQX3_GPHN.pdf</v>
      </c>
    </row>
    <row r="6183" spans="1:28" x14ac:dyDescent="0.25">
      <c r="A6183" t="s">
        <v>6187</v>
      </c>
      <c r="B6183">
        <v>0.99999676499088797</v>
      </c>
      <c r="C6183">
        <v>0.91488692823293205</v>
      </c>
      <c r="D6183">
        <v>0.93430801892430004</v>
      </c>
      <c r="E6183">
        <v>0.65798265724155103</v>
      </c>
      <c r="F6183">
        <v>0.26546582922262402</v>
      </c>
      <c r="G6183">
        <v>0.20180768720539999</v>
      </c>
      <c r="H6183">
        <v>0.114011383838242</v>
      </c>
      <c r="I6183">
        <v>0.146654667604598</v>
      </c>
      <c r="J6183">
        <v>0.14433867418632401</v>
      </c>
      <c r="K6183">
        <v>9.32038976192964E-2</v>
      </c>
      <c r="L6183">
        <v>1331.95440103694</v>
      </c>
      <c r="M6183">
        <v>26.4785434268105</v>
      </c>
      <c r="N6183">
        <v>50.858344011440799</v>
      </c>
      <c r="O6183">
        <v>50.018874302686399</v>
      </c>
      <c r="P6183">
        <v>-0.115733451247424</v>
      </c>
      <c r="Q6183">
        <v>0.125511660032323</v>
      </c>
      <c r="R6183">
        <v>0.99227762651914697</v>
      </c>
      <c r="S6183" t="s">
        <v>13186</v>
      </c>
      <c r="T6183" t="s">
        <v>14004</v>
      </c>
      <c r="U6183" t="s">
        <v>14004</v>
      </c>
      <c r="V6183" t="s">
        <v>14004</v>
      </c>
      <c r="W6183" t="s">
        <v>20130</v>
      </c>
      <c r="X6183">
        <v>6</v>
      </c>
      <c r="Y6183" t="s">
        <v>26924</v>
      </c>
      <c r="Z6183" t="s">
        <v>33893</v>
      </c>
      <c r="AA6183">
        <v>0.43283334668996798</v>
      </c>
      <c r="AB6183" t="str">
        <f>HYPERLINK("Melting_Curves/meltCurve_Q9NQZ2_UTP3.pdf", "Melting_Curves/meltCurve_Q9NQZ2_UTP3.pdf")</f>
        <v>Melting_Curves/meltCurve_Q9NQZ2_UTP3.pdf</v>
      </c>
    </row>
    <row r="6184" spans="1:28" x14ac:dyDescent="0.25">
      <c r="A6184" t="s">
        <v>6188</v>
      </c>
      <c r="B6184">
        <v>0.99999676499088797</v>
      </c>
      <c r="C6184">
        <v>0.97053176550046405</v>
      </c>
      <c r="D6184">
        <v>0.94464707383449797</v>
      </c>
      <c r="E6184">
        <v>0.66367407421100399</v>
      </c>
      <c r="F6184">
        <v>0.32447977838450798</v>
      </c>
      <c r="G6184">
        <v>0.28335793237597101</v>
      </c>
      <c r="H6184">
        <v>0.12292445117664801</v>
      </c>
      <c r="I6184">
        <v>0.103112890342968</v>
      </c>
      <c r="J6184">
        <v>9.5592472615658203E-2</v>
      </c>
      <c r="K6184">
        <v>6.9178066415178194E-2</v>
      </c>
      <c r="L6184">
        <v>993.84652741439595</v>
      </c>
      <c r="M6184">
        <v>19.475007172459801</v>
      </c>
      <c r="N6184">
        <v>51.5620003429527</v>
      </c>
      <c r="O6184">
        <v>50.502969363858597</v>
      </c>
      <c r="P6184">
        <v>-8.7662062034536498E-2</v>
      </c>
      <c r="Q6184">
        <v>9.0725071381138694E-2</v>
      </c>
      <c r="R6184">
        <v>0.99164053370060001</v>
      </c>
      <c r="S6184" t="s">
        <v>13187</v>
      </c>
      <c r="T6184" t="s">
        <v>14004</v>
      </c>
      <c r="U6184" t="s">
        <v>14004</v>
      </c>
      <c r="V6184" t="s">
        <v>14004</v>
      </c>
      <c r="W6184" t="s">
        <v>20131</v>
      </c>
      <c r="X6184">
        <v>8</v>
      </c>
      <c r="Y6184" t="s">
        <v>26925</v>
      </c>
      <c r="Z6184" t="s">
        <v>33894</v>
      </c>
      <c r="AA6184">
        <v>0.43835440992191649</v>
      </c>
      <c r="AB6184" t="str">
        <f>HYPERLINK("Melting_Curves/meltCurve_Q9NQZ5_STARD7.pdf", "Melting_Curves/meltCurve_Q9NQZ5_STARD7.pdf")</f>
        <v>Melting_Curves/meltCurve_Q9NQZ5_STARD7.pdf</v>
      </c>
    </row>
    <row r="6185" spans="1:28" x14ac:dyDescent="0.25">
      <c r="A6185" t="s">
        <v>6189</v>
      </c>
      <c r="B6185">
        <v>0.99999676499088797</v>
      </c>
      <c r="C6185">
        <v>0.93134791777471104</v>
      </c>
      <c r="D6185">
        <v>0.77098093871914197</v>
      </c>
      <c r="E6185">
        <v>0.44643726494222902</v>
      </c>
      <c r="F6185">
        <v>0.394440903725151</v>
      </c>
      <c r="G6185">
        <v>0.33825969221972801</v>
      </c>
      <c r="H6185">
        <v>0.49761851860463902</v>
      </c>
      <c r="I6185">
        <v>1.0117637232254799</v>
      </c>
      <c r="J6185">
        <v>1.48479983773392</v>
      </c>
      <c r="K6185">
        <v>1.67405473711459</v>
      </c>
      <c r="L6185">
        <v>10742.840094740401</v>
      </c>
      <c r="M6185">
        <v>250</v>
      </c>
      <c r="O6185">
        <v>42.9686104178543</v>
      </c>
      <c r="P6185">
        <v>-0.25120888600876701</v>
      </c>
      <c r="Q6185">
        <v>0.827294451782008</v>
      </c>
      <c r="R6185">
        <v>1.7367316392039599E-2</v>
      </c>
      <c r="S6185" t="s">
        <v>13188</v>
      </c>
      <c r="T6185" t="s">
        <v>14004</v>
      </c>
      <c r="U6185" t="s">
        <v>14004</v>
      </c>
      <c r="V6185" t="s">
        <v>14004</v>
      </c>
      <c r="W6185" t="s">
        <v>20132</v>
      </c>
      <c r="X6185">
        <v>2</v>
      </c>
      <c r="Y6185" t="s">
        <v>26926</v>
      </c>
      <c r="Z6185" t="s">
        <v>33895</v>
      </c>
      <c r="AA6185">
        <v>0.84441315699079911</v>
      </c>
      <c r="AB6185" t="str">
        <f>HYPERLINK("Melting_Curves/meltCurve_Q9NQZ6_3_ZC4H2.pdf", "Melting_Curves/meltCurve_Q9NQZ6_3_ZC4H2.pdf")</f>
        <v>Melting_Curves/meltCurve_Q9NQZ6_3_ZC4H2.pdf</v>
      </c>
    </row>
    <row r="6186" spans="1:28" x14ac:dyDescent="0.25">
      <c r="A6186" t="s">
        <v>6190</v>
      </c>
      <c r="B6186">
        <v>0.99999676499088797</v>
      </c>
      <c r="C6186">
        <v>0.99607891578993402</v>
      </c>
      <c r="D6186">
        <v>0.82342131290212395</v>
      </c>
      <c r="E6186">
        <v>0.59405341024250202</v>
      </c>
      <c r="F6186">
        <v>0.28995464949736999</v>
      </c>
      <c r="G6186">
        <v>0.20322171197491601</v>
      </c>
      <c r="H6186">
        <v>0.105776957176104</v>
      </c>
      <c r="I6186">
        <v>9.6350899472883195E-2</v>
      </c>
      <c r="J6186">
        <v>8.1695073820765199E-2</v>
      </c>
      <c r="K6186">
        <v>9.4551422092151005E-2</v>
      </c>
      <c r="L6186">
        <v>928.51590111493999</v>
      </c>
      <c r="M6186">
        <v>18.5575257974462</v>
      </c>
      <c r="N6186">
        <v>50.529281929700602</v>
      </c>
      <c r="O6186">
        <v>49.464326416640198</v>
      </c>
      <c r="P6186">
        <v>-8.6003448210174596E-2</v>
      </c>
      <c r="Q6186">
        <v>8.3085524075606695E-2</v>
      </c>
      <c r="R6186">
        <v>0.99712628703282802</v>
      </c>
      <c r="S6186" t="s">
        <v>13189</v>
      </c>
      <c r="T6186" t="s">
        <v>14004</v>
      </c>
      <c r="U6186" t="s">
        <v>14004</v>
      </c>
      <c r="V6186" t="s">
        <v>14004</v>
      </c>
      <c r="W6186" t="s">
        <v>20133</v>
      </c>
      <c r="X6186">
        <v>10</v>
      </c>
      <c r="Y6186" t="s">
        <v>26927</v>
      </c>
      <c r="Z6186" t="s">
        <v>33896</v>
      </c>
      <c r="AA6186">
        <v>0.40452480501688209</v>
      </c>
      <c r="AB6186" t="str">
        <f>HYPERLINK("Melting_Curves/meltCurve_Q9NR12_PDLIM7.pdf", "Melting_Curves/meltCurve_Q9NR12_PDLIM7.pdf")</f>
        <v>Melting_Curves/meltCurve_Q9NR12_PDLIM7.pdf</v>
      </c>
    </row>
    <row r="6187" spans="1:28" x14ac:dyDescent="0.25">
      <c r="A6187" t="s">
        <v>6191</v>
      </c>
      <c r="B6187">
        <v>0.99999676499088797</v>
      </c>
      <c r="C6187">
        <v>1.0181416540527</v>
      </c>
      <c r="D6187">
        <v>0.97153159632289199</v>
      </c>
      <c r="E6187">
        <v>0.83629723348132901</v>
      </c>
      <c r="F6187">
        <v>0.408396168571937</v>
      </c>
      <c r="G6187">
        <v>0.18297375168838501</v>
      </c>
      <c r="H6187">
        <v>7.2673342106806094E-2</v>
      </c>
      <c r="I6187">
        <v>7.0708447709700098E-2</v>
      </c>
      <c r="J6187">
        <v>7.6481400253018306E-2</v>
      </c>
      <c r="K6187">
        <v>6.2676719743517198E-2</v>
      </c>
      <c r="L6187">
        <v>1439.8124323521099</v>
      </c>
      <c r="M6187">
        <v>27.5529512026358</v>
      </c>
      <c r="N6187">
        <v>52.531645137959899</v>
      </c>
      <c r="O6187">
        <v>51.983255439350302</v>
      </c>
      <c r="P6187">
        <v>-0.12359725891012301</v>
      </c>
      <c r="Q6187">
        <v>6.7260841810234506E-2</v>
      </c>
      <c r="R6187">
        <v>0.99908552096862702</v>
      </c>
      <c r="S6187" t="s">
        <v>13190</v>
      </c>
      <c r="T6187" t="s">
        <v>14004</v>
      </c>
      <c r="U6187" t="s">
        <v>14004</v>
      </c>
      <c r="V6187" t="s">
        <v>14004</v>
      </c>
      <c r="W6187" t="s">
        <v>20134</v>
      </c>
      <c r="X6187">
        <v>6</v>
      </c>
      <c r="Y6187" t="s">
        <v>26928</v>
      </c>
      <c r="Z6187" t="s">
        <v>33897</v>
      </c>
      <c r="AA6187">
        <v>0.45539440852096491</v>
      </c>
      <c r="AB6187" t="str">
        <f>HYPERLINK("Melting_Curves/meltCurve_Q9NR19_ACSS2.pdf", "Melting_Curves/meltCurve_Q9NR19_ACSS2.pdf")</f>
        <v>Melting_Curves/meltCurve_Q9NR19_ACSS2.pdf</v>
      </c>
    </row>
    <row r="6188" spans="1:28" x14ac:dyDescent="0.25">
      <c r="A6188" t="s">
        <v>6192</v>
      </c>
      <c r="B6188">
        <v>0.99999676499088797</v>
      </c>
      <c r="C6188">
        <v>0.997064984918973</v>
      </c>
      <c r="D6188">
        <v>1.02860976894945</v>
      </c>
      <c r="E6188">
        <v>1.0888913561713101</v>
      </c>
      <c r="F6188">
        <v>1.1915670251138799</v>
      </c>
      <c r="G6188">
        <v>0.99752416138655198</v>
      </c>
      <c r="H6188">
        <v>0.73600659420542702</v>
      </c>
      <c r="I6188">
        <v>0.70927239790820795</v>
      </c>
      <c r="J6188">
        <v>0.55272152298796795</v>
      </c>
      <c r="K6188">
        <v>0.38740433154237303</v>
      </c>
      <c r="L6188">
        <v>1281.8778976501001</v>
      </c>
      <c r="M6188">
        <v>19.866875535496501</v>
      </c>
      <c r="N6188">
        <v>67.495734375516903</v>
      </c>
      <c r="O6188">
        <v>63.880317875041399</v>
      </c>
      <c r="P6188">
        <v>-5.50843930403528E-2</v>
      </c>
      <c r="Q6188">
        <v>0.29154636811199602</v>
      </c>
      <c r="R6188">
        <v>0.89185580618910698</v>
      </c>
      <c r="S6188" t="s">
        <v>13191</v>
      </c>
      <c r="T6188" t="s">
        <v>14004</v>
      </c>
      <c r="U6188" t="s">
        <v>14004</v>
      </c>
      <c r="V6188" t="s">
        <v>14004</v>
      </c>
      <c r="W6188" t="s">
        <v>20135</v>
      </c>
      <c r="X6188">
        <v>11</v>
      </c>
      <c r="Y6188" t="s">
        <v>26929</v>
      </c>
      <c r="Z6188" t="s">
        <v>33898</v>
      </c>
      <c r="AA6188">
        <v>0.86412911475244669</v>
      </c>
      <c r="AB6188" t="str">
        <f>HYPERLINK("Melting_Curves/meltCurve_Q9NR28_2_DIABLO.pdf", "Melting_Curves/meltCurve_Q9NR28_2_DIABLO.pdf")</f>
        <v>Melting_Curves/meltCurve_Q9NR28_2_DIABLO.pdf</v>
      </c>
    </row>
    <row r="6189" spans="1:28" x14ac:dyDescent="0.25">
      <c r="A6189" t="s">
        <v>6193</v>
      </c>
      <c r="B6189">
        <v>0.99999676499088797</v>
      </c>
      <c r="C6189">
        <v>1.00607075300076</v>
      </c>
      <c r="D6189">
        <v>1.0527087431984401</v>
      </c>
      <c r="E6189">
        <v>0.60679997408062902</v>
      </c>
      <c r="F6189">
        <v>0.32966041587639899</v>
      </c>
      <c r="G6189">
        <v>0.22167356042690001</v>
      </c>
      <c r="H6189">
        <v>0.13912504617843699</v>
      </c>
      <c r="I6189">
        <v>0.122354248039277</v>
      </c>
      <c r="J6189">
        <v>0.11477442582125701</v>
      </c>
      <c r="K6189">
        <v>0.122310593419477</v>
      </c>
      <c r="L6189">
        <v>1397.62516165999</v>
      </c>
      <c r="M6189">
        <v>27.730803372852399</v>
      </c>
      <c r="N6189">
        <v>50.984453598712498</v>
      </c>
      <c r="O6189">
        <v>50.139833942130899</v>
      </c>
      <c r="P6189">
        <v>-0.11943497297712199</v>
      </c>
      <c r="Q6189">
        <v>0.13621029100272</v>
      </c>
      <c r="R6189">
        <v>0.98675447937385197</v>
      </c>
      <c r="S6189" t="s">
        <v>13192</v>
      </c>
      <c r="T6189" t="s">
        <v>14004</v>
      </c>
      <c r="U6189" t="s">
        <v>14004</v>
      </c>
      <c r="V6189" t="s">
        <v>14004</v>
      </c>
      <c r="W6189" t="s">
        <v>20136</v>
      </c>
      <c r="X6189">
        <v>27</v>
      </c>
      <c r="Y6189" t="s">
        <v>26930</v>
      </c>
      <c r="Z6189" t="s">
        <v>33899</v>
      </c>
      <c r="AA6189">
        <v>0.44194960549735812</v>
      </c>
      <c r="AB6189" t="str">
        <f>HYPERLINK("Melting_Curves/meltCurve_Q9NR30_DDX21.pdf", "Melting_Curves/meltCurve_Q9NR30_DDX21.pdf")</f>
        <v>Melting_Curves/meltCurve_Q9NR30_DDX21.pdf</v>
      </c>
    </row>
    <row r="6190" spans="1:28" x14ac:dyDescent="0.25">
      <c r="A6190" t="s">
        <v>6194</v>
      </c>
      <c r="B6190">
        <v>0.99999676499088797</v>
      </c>
      <c r="C6190">
        <v>0.94382786427015397</v>
      </c>
      <c r="D6190">
        <v>0.96407964930220202</v>
      </c>
      <c r="E6190">
        <v>1.1390619993367499</v>
      </c>
      <c r="F6190">
        <v>0.69385534139007998</v>
      </c>
      <c r="G6190">
        <v>0.22201098696180099</v>
      </c>
      <c r="H6190">
        <v>7.7298460012577494E-2</v>
      </c>
      <c r="I6190">
        <v>5.6584620727960402E-2</v>
      </c>
      <c r="J6190">
        <v>4.3767302062181102E-2</v>
      </c>
      <c r="K6190">
        <v>3.52808362874878E-2</v>
      </c>
      <c r="L6190">
        <v>2193.13375823658</v>
      </c>
      <c r="M6190">
        <v>40.329745471173702</v>
      </c>
      <c r="N6190">
        <v>54.531582635641499</v>
      </c>
      <c r="O6190">
        <v>54.246874611324003</v>
      </c>
      <c r="P6190">
        <v>-0.17601050076524699</v>
      </c>
      <c r="Q6190">
        <v>5.3006811402362498E-2</v>
      </c>
      <c r="R6190">
        <v>0.98408683141703601</v>
      </c>
      <c r="S6190" t="s">
        <v>13193</v>
      </c>
      <c r="T6190" t="s">
        <v>14004</v>
      </c>
      <c r="U6190" t="s">
        <v>14004</v>
      </c>
      <c r="V6190" t="s">
        <v>14004</v>
      </c>
      <c r="W6190" t="s">
        <v>20137</v>
      </c>
      <c r="X6190">
        <v>13</v>
      </c>
      <c r="Y6190" t="s">
        <v>26931</v>
      </c>
      <c r="Z6190" t="s">
        <v>33900</v>
      </c>
      <c r="AA6190">
        <v>0.51042680678460894</v>
      </c>
      <c r="AB6190" t="str">
        <f>HYPERLINK("Melting_Curves/meltCurve_Q9NR31_SAR1A.pdf", "Melting_Curves/meltCurve_Q9NR31_SAR1A.pdf")</f>
        <v>Melting_Curves/meltCurve_Q9NR31_SAR1A.pdf</v>
      </c>
    </row>
    <row r="6191" spans="1:28" x14ac:dyDescent="0.25">
      <c r="A6191" t="s">
        <v>6195</v>
      </c>
      <c r="B6191">
        <v>0.99999676499088797</v>
      </c>
      <c r="C6191">
        <v>0.94006365414069903</v>
      </c>
      <c r="D6191">
        <v>0.90309142052131097</v>
      </c>
      <c r="E6191">
        <v>0.67830071405080095</v>
      </c>
      <c r="F6191">
        <v>0.43512570737780498</v>
      </c>
      <c r="G6191">
        <v>0.292284328902574</v>
      </c>
      <c r="H6191">
        <v>0.16053606991369401</v>
      </c>
      <c r="I6191">
        <v>0.150764956840403</v>
      </c>
      <c r="J6191">
        <v>0.12136960271511101</v>
      </c>
      <c r="K6191">
        <v>0.12752681774744301</v>
      </c>
      <c r="L6191">
        <v>816.79358261914103</v>
      </c>
      <c r="M6191">
        <v>15.8603733740223</v>
      </c>
      <c r="N6191">
        <v>52.289627744676203</v>
      </c>
      <c r="O6191">
        <v>50.701182465975002</v>
      </c>
      <c r="P6191">
        <v>-6.9873442451347897E-2</v>
      </c>
      <c r="Q6191">
        <v>0.106609210107381</v>
      </c>
      <c r="R6191">
        <v>0.99829635996593702</v>
      </c>
      <c r="S6191" t="s">
        <v>13194</v>
      </c>
      <c r="T6191" t="s">
        <v>14004</v>
      </c>
      <c r="U6191" t="s">
        <v>14004</v>
      </c>
      <c r="V6191" t="s">
        <v>14004</v>
      </c>
      <c r="W6191" t="s">
        <v>20138</v>
      </c>
      <c r="X6191">
        <v>5</v>
      </c>
      <c r="Y6191" t="s">
        <v>26932</v>
      </c>
      <c r="Z6191" t="s">
        <v>33901</v>
      </c>
      <c r="AA6191">
        <v>0.46760610082087423</v>
      </c>
      <c r="AB6191" t="str">
        <f>HYPERLINK("Melting_Curves/meltCurve_Q9NR33_POLE4.pdf", "Melting_Curves/meltCurve_Q9NR33_POLE4.pdf")</f>
        <v>Melting_Curves/meltCurve_Q9NR33_POLE4.pdf</v>
      </c>
    </row>
    <row r="6192" spans="1:28" x14ac:dyDescent="0.25">
      <c r="A6192" t="s">
        <v>6196</v>
      </c>
      <c r="B6192">
        <v>0.99999676499088797</v>
      </c>
      <c r="C6192">
        <v>0.97557655398596099</v>
      </c>
      <c r="D6192">
        <v>0.92959845030634802</v>
      </c>
      <c r="E6192">
        <v>0.75005260493746395</v>
      </c>
      <c r="F6192">
        <v>0.31808644569267203</v>
      </c>
      <c r="G6192">
        <v>0.16353048713472501</v>
      </c>
      <c r="H6192">
        <v>6.2526474451984004E-2</v>
      </c>
      <c r="I6192">
        <v>6.9382582744924898E-2</v>
      </c>
      <c r="J6192">
        <v>5.4605159698910499E-2</v>
      </c>
      <c r="K6192">
        <v>3.7173733298290997E-2</v>
      </c>
      <c r="L6192">
        <v>1263.5319819097101</v>
      </c>
      <c r="M6192">
        <v>24.559911014992998</v>
      </c>
      <c r="N6192">
        <v>51.672179101537601</v>
      </c>
      <c r="O6192">
        <v>51.109489419708801</v>
      </c>
      <c r="P6192">
        <v>-0.11403702717311499</v>
      </c>
      <c r="Q6192">
        <v>5.0763710640949901E-2</v>
      </c>
      <c r="R6192">
        <v>0.998122438111262</v>
      </c>
      <c r="S6192" t="s">
        <v>13195</v>
      </c>
      <c r="T6192" t="s">
        <v>14004</v>
      </c>
      <c r="U6192" t="s">
        <v>14004</v>
      </c>
      <c r="V6192" t="s">
        <v>14004</v>
      </c>
      <c r="W6192" t="s">
        <v>20139</v>
      </c>
      <c r="X6192">
        <v>24</v>
      </c>
      <c r="Y6192" t="s">
        <v>26933</v>
      </c>
      <c r="Z6192" t="s">
        <v>33902</v>
      </c>
      <c r="AA6192">
        <v>0.42187807221564122</v>
      </c>
      <c r="AB6192" t="str">
        <f>HYPERLINK("Melting_Curves/meltCurve_Q9NR45_NANS.pdf", "Melting_Curves/meltCurve_Q9NR45_NANS.pdf")</f>
        <v>Melting_Curves/meltCurve_Q9NR45_NANS.pdf</v>
      </c>
    </row>
    <row r="6193" spans="1:28" x14ac:dyDescent="0.25">
      <c r="A6193" t="s">
        <v>6197</v>
      </c>
      <c r="B6193">
        <v>0.99999676499088797</v>
      </c>
      <c r="C6193">
        <v>0.99065284905735695</v>
      </c>
      <c r="D6193">
        <v>1.01673038058987</v>
      </c>
      <c r="E6193">
        <v>1.08361794632076</v>
      </c>
      <c r="F6193">
        <v>0.35365323368448798</v>
      </c>
      <c r="G6193">
        <v>0.214552111698115</v>
      </c>
      <c r="H6193">
        <v>9.1635917989710103E-2</v>
      </c>
      <c r="I6193">
        <v>7.6381653145988507E-2</v>
      </c>
      <c r="J6193">
        <v>5.54185665599339E-2</v>
      </c>
      <c r="K6193">
        <v>5.5242257882821701E-2</v>
      </c>
      <c r="L6193">
        <v>9651.88720386567</v>
      </c>
      <c r="M6193">
        <v>182.356467124625</v>
      </c>
      <c r="N6193">
        <v>52.992542869199703</v>
      </c>
      <c r="O6193">
        <v>52.922312762767397</v>
      </c>
      <c r="P6193">
        <v>-0.77645865601599695</v>
      </c>
      <c r="Q6193">
        <v>9.8644753755475503E-2</v>
      </c>
      <c r="R6193">
        <v>0.987083596706405</v>
      </c>
      <c r="S6193" t="s">
        <v>13196</v>
      </c>
      <c r="T6193" t="s">
        <v>14004</v>
      </c>
      <c r="U6193" t="s">
        <v>14004</v>
      </c>
      <c r="V6193" t="s">
        <v>14004</v>
      </c>
      <c r="W6193" t="s">
        <v>20140</v>
      </c>
      <c r="X6193">
        <v>16</v>
      </c>
      <c r="Y6193" t="s">
        <v>26934</v>
      </c>
      <c r="Z6193" t="s">
        <v>33903</v>
      </c>
      <c r="AA6193">
        <v>0.48724661525630392</v>
      </c>
      <c r="AB6193" t="str">
        <f>HYPERLINK("Melting_Curves/meltCurve_Q9NR50_EIF2B3.pdf", "Melting_Curves/meltCurve_Q9NR50_EIF2B3.pdf")</f>
        <v>Melting_Curves/meltCurve_Q9NR50_EIF2B3.pdf</v>
      </c>
    </row>
    <row r="6194" spans="1:28" x14ac:dyDescent="0.25">
      <c r="A6194" t="s">
        <v>6198</v>
      </c>
      <c r="B6194">
        <v>0.99999676499088797</v>
      </c>
      <c r="C6194">
        <v>1.20288603824544</v>
      </c>
      <c r="D6194">
        <v>0.95879619575546204</v>
      </c>
      <c r="E6194">
        <v>0.57353979690196899</v>
      </c>
      <c r="F6194">
        <v>0.51111505120304002</v>
      </c>
      <c r="G6194">
        <v>0.19539946572054101</v>
      </c>
      <c r="H6194">
        <v>0.37172924052728501</v>
      </c>
      <c r="I6194">
        <v>0.47809736147340898</v>
      </c>
      <c r="J6194">
        <v>0.520994751578163</v>
      </c>
      <c r="K6194">
        <v>0.20013895288690101</v>
      </c>
      <c r="L6194">
        <v>1906.2551724076</v>
      </c>
      <c r="M6194">
        <v>39.019913886381403</v>
      </c>
      <c r="N6194">
        <v>50.6224988342911</v>
      </c>
      <c r="O6194">
        <v>48.725606576536798</v>
      </c>
      <c r="P6194">
        <v>-0.125700443084728</v>
      </c>
      <c r="Q6194">
        <v>0.37213431509266998</v>
      </c>
      <c r="R6194">
        <v>0.85714466896044295</v>
      </c>
      <c r="S6194" t="s">
        <v>13197</v>
      </c>
      <c r="T6194" t="s">
        <v>14004</v>
      </c>
      <c r="U6194" t="s">
        <v>14004</v>
      </c>
      <c r="V6194" t="s">
        <v>14004</v>
      </c>
      <c r="W6194" t="s">
        <v>20141</v>
      </c>
      <c r="X6194">
        <v>4</v>
      </c>
      <c r="Y6194" t="s">
        <v>26935</v>
      </c>
      <c r="Z6194" t="s">
        <v>33904</v>
      </c>
      <c r="AA6194">
        <v>0.5596579806145574</v>
      </c>
      <c r="AB6194" t="str">
        <f>HYPERLINK("Melting_Curves/meltCurve_Q9NR55_BATF3.pdf", "Melting_Curves/meltCurve_Q9NR55_BATF3.pdf")</f>
        <v>Melting_Curves/meltCurve_Q9NR55_BATF3.pdf</v>
      </c>
    </row>
    <row r="6195" spans="1:28" x14ac:dyDescent="0.25">
      <c r="A6195" t="s">
        <v>6199</v>
      </c>
      <c r="B6195">
        <v>0.99999676499088797</v>
      </c>
      <c r="C6195">
        <v>1.08774944150883</v>
      </c>
      <c r="D6195">
        <v>1.07579278795254</v>
      </c>
      <c r="E6195">
        <v>1.1585996316590199</v>
      </c>
      <c r="F6195">
        <v>1.0419258133009399</v>
      </c>
      <c r="G6195">
        <v>0.90061710901170999</v>
      </c>
      <c r="H6195">
        <v>0.33381273646188903</v>
      </c>
      <c r="I6195">
        <v>0.17726286586543899</v>
      </c>
      <c r="J6195">
        <v>6.6847654282108496E-2</v>
      </c>
      <c r="K6195">
        <v>0.10216282280684701</v>
      </c>
      <c r="L6195">
        <v>2624.79609588312</v>
      </c>
      <c r="M6195">
        <v>44.152169754212899</v>
      </c>
      <c r="N6195">
        <v>59.743652098211797</v>
      </c>
      <c r="O6195">
        <v>59.327278061163398</v>
      </c>
      <c r="P6195">
        <v>-0.16784343956455799</v>
      </c>
      <c r="Q6195">
        <v>9.7876027906573806E-2</v>
      </c>
      <c r="R6195">
        <v>0.97697242344292101</v>
      </c>
      <c r="S6195" t="s">
        <v>13198</v>
      </c>
      <c r="T6195" t="s">
        <v>14004</v>
      </c>
      <c r="U6195" t="s">
        <v>14004</v>
      </c>
      <c r="V6195" t="s">
        <v>14004</v>
      </c>
      <c r="W6195" t="s">
        <v>20142</v>
      </c>
      <c r="X6195">
        <v>1</v>
      </c>
      <c r="Y6195" t="s">
        <v>26936</v>
      </c>
      <c r="Z6195" t="s">
        <v>33905</v>
      </c>
      <c r="AA6195">
        <v>0.68568096964382486</v>
      </c>
      <c r="AB6195" t="str">
        <f>HYPERLINK("Melting_Curves/meltCurve_Q9NR77_PXMP2.pdf", "Melting_Curves/meltCurve_Q9NR77_PXMP2.pdf")</f>
        <v>Melting_Curves/meltCurve_Q9NR77_PXMP2.pdf</v>
      </c>
    </row>
    <row r="6196" spans="1:28" x14ac:dyDescent="0.25">
      <c r="A6196" t="s">
        <v>6200</v>
      </c>
      <c r="B6196">
        <v>0.99999676499088797</v>
      </c>
      <c r="C6196">
        <v>0.96310305207760005</v>
      </c>
      <c r="D6196">
        <v>1.0394224705169901</v>
      </c>
      <c r="E6196">
        <v>0.872485134302451</v>
      </c>
      <c r="F6196">
        <v>0.70234133899083895</v>
      </c>
      <c r="G6196">
        <v>0.660159943870818</v>
      </c>
      <c r="H6196">
        <v>0.44566597803503</v>
      </c>
      <c r="I6196">
        <v>0.438975235485624</v>
      </c>
      <c r="J6196">
        <v>0.36928452241920001</v>
      </c>
      <c r="K6196">
        <v>0.37583038701487198</v>
      </c>
      <c r="L6196">
        <v>779.84374024150497</v>
      </c>
      <c r="M6196">
        <v>14.1448899235429</v>
      </c>
      <c r="N6196">
        <v>59.902466018574401</v>
      </c>
      <c r="O6196">
        <v>54.065692094679399</v>
      </c>
      <c r="P6196">
        <v>-4.3311507057875599E-2</v>
      </c>
      <c r="Q6196">
        <v>0.33788978761361799</v>
      </c>
      <c r="R6196">
        <v>0.97771217337395699</v>
      </c>
      <c r="S6196" t="s">
        <v>13199</v>
      </c>
      <c r="T6196" t="s">
        <v>14004</v>
      </c>
      <c r="U6196" t="s">
        <v>14004</v>
      </c>
      <c r="V6196" t="s">
        <v>14004</v>
      </c>
      <c r="W6196" t="s">
        <v>20143</v>
      </c>
      <c r="X6196">
        <v>2</v>
      </c>
      <c r="Y6196" t="s">
        <v>26937</v>
      </c>
      <c r="Z6196" t="s">
        <v>33906</v>
      </c>
      <c r="AA6196">
        <v>0.68526949613369914</v>
      </c>
      <c r="AB6196" t="str">
        <f>HYPERLINK("Melting_Curves/meltCurve_Q9NRA2_SLC17A5.pdf", "Melting_Curves/meltCurve_Q9NRA2_SLC17A5.pdf")</f>
        <v>Melting_Curves/meltCurve_Q9NRA2_SLC17A5.pdf</v>
      </c>
    </row>
    <row r="6197" spans="1:28" x14ac:dyDescent="0.25">
      <c r="A6197" t="s">
        <v>6201</v>
      </c>
      <c r="B6197">
        <v>0.99999676499088797</v>
      </c>
      <c r="C6197">
        <v>0.87176687521330098</v>
      </c>
      <c r="D6197">
        <v>0.64150187586186203</v>
      </c>
      <c r="E6197">
        <v>0.276520329623753</v>
      </c>
      <c r="F6197">
        <v>0.162064107486906</v>
      </c>
      <c r="G6197">
        <v>0.101146828573018</v>
      </c>
      <c r="H6197">
        <v>3.6288269498560601E-2</v>
      </c>
      <c r="I6197">
        <v>4.4373773271170397E-2</v>
      </c>
      <c r="J6197">
        <v>5.7315345373977401E-2</v>
      </c>
      <c r="K6197">
        <v>0</v>
      </c>
      <c r="L6197">
        <v>915.896357599971</v>
      </c>
      <c r="M6197">
        <v>19.426897924540999</v>
      </c>
      <c r="N6197">
        <v>47.339382279806301</v>
      </c>
      <c r="O6197">
        <v>46.654751544300503</v>
      </c>
      <c r="P6197">
        <v>-0.10012782345243899</v>
      </c>
      <c r="Q6197">
        <v>3.8185472869395602E-2</v>
      </c>
      <c r="R6197">
        <v>0.99574135280784803</v>
      </c>
      <c r="S6197" t="s">
        <v>13200</v>
      </c>
      <c r="T6197" t="s">
        <v>14004</v>
      </c>
      <c r="U6197" t="s">
        <v>14004</v>
      </c>
      <c r="V6197" t="s">
        <v>14004</v>
      </c>
      <c r="W6197" t="s">
        <v>20144</v>
      </c>
      <c r="X6197">
        <v>3</v>
      </c>
      <c r="Y6197" t="s">
        <v>26938</v>
      </c>
      <c r="Z6197" t="s">
        <v>33907</v>
      </c>
      <c r="AA6197">
        <v>0.28220678660885867</v>
      </c>
      <c r="AB6197" t="str">
        <f>HYPERLINK("Melting_Curves/meltCurve_Q9NRD5_PICK1.pdf", "Melting_Curves/meltCurve_Q9NRD5_PICK1.pdf")</f>
        <v>Melting_Curves/meltCurve_Q9NRD5_PICK1.pdf</v>
      </c>
    </row>
    <row r="6198" spans="1:28" x14ac:dyDescent="0.25">
      <c r="A6198" t="s">
        <v>6202</v>
      </c>
      <c r="B6198">
        <v>0.99999676499088797</v>
      </c>
      <c r="C6198">
        <v>1.0238309142170701</v>
      </c>
      <c r="D6198">
        <v>0.90224338088261502</v>
      </c>
      <c r="E6198">
        <v>0.74771649487686098</v>
      </c>
      <c r="F6198">
        <v>0.62502584565462005</v>
      </c>
      <c r="G6198">
        <v>0.36668586745345</v>
      </c>
      <c r="H6198">
        <v>0.15751155180244</v>
      </c>
      <c r="I6198">
        <v>0.160868093943277</v>
      </c>
      <c r="J6198">
        <v>0.125469907633179</v>
      </c>
      <c r="K6198">
        <v>0.11293078878641</v>
      </c>
      <c r="L6198">
        <v>784.72827745197799</v>
      </c>
      <c r="M6198">
        <v>14.5848290523694</v>
      </c>
      <c r="N6198">
        <v>54.3458106230825</v>
      </c>
      <c r="O6198">
        <v>52.823280702215001</v>
      </c>
      <c r="P6198">
        <v>-6.4366681517415106E-2</v>
      </c>
      <c r="Q6198">
        <v>6.7613236357879705E-2</v>
      </c>
      <c r="R6198">
        <v>0.99151704834480003</v>
      </c>
      <c r="S6198" t="s">
        <v>13201</v>
      </c>
      <c r="T6198" t="s">
        <v>14004</v>
      </c>
      <c r="U6198" t="s">
        <v>14004</v>
      </c>
      <c r="V6198" t="s">
        <v>14004</v>
      </c>
      <c r="W6198" t="s">
        <v>20145</v>
      </c>
      <c r="X6198">
        <v>6</v>
      </c>
      <c r="Y6198" t="s">
        <v>26939</v>
      </c>
      <c r="Z6198" t="s">
        <v>33908</v>
      </c>
      <c r="AA6198">
        <v>0.51666767455730256</v>
      </c>
      <c r="AB6198" t="str">
        <f>HYPERLINK("Melting_Curves/meltCurve_Q9NRF9_POLE3.pdf", "Melting_Curves/meltCurve_Q9NRF9_POLE3.pdf")</f>
        <v>Melting_Curves/meltCurve_Q9NRF9_POLE3.pdf</v>
      </c>
    </row>
    <row r="6199" spans="1:28" x14ac:dyDescent="0.25">
      <c r="A6199" t="s">
        <v>6203</v>
      </c>
      <c r="B6199">
        <v>0.99999676499088797</v>
      </c>
      <c r="C6199">
        <v>0.88895186188874498</v>
      </c>
      <c r="D6199">
        <v>0.93196597078321297</v>
      </c>
      <c r="E6199">
        <v>0.94933636396113297</v>
      </c>
      <c r="F6199">
        <v>0.69430619147095396</v>
      </c>
      <c r="G6199">
        <v>0.37838085706857899</v>
      </c>
      <c r="H6199">
        <v>0.14953751748896599</v>
      </c>
      <c r="I6199">
        <v>0.12690660383069399</v>
      </c>
      <c r="J6199">
        <v>0.111214471365118</v>
      </c>
      <c r="K6199">
        <v>9.1336262013215902E-2</v>
      </c>
      <c r="L6199">
        <v>1282.51496534381</v>
      </c>
      <c r="M6199">
        <v>23.3933696941601</v>
      </c>
      <c r="N6199">
        <v>55.284724728137</v>
      </c>
      <c r="O6199">
        <v>54.427941229519099</v>
      </c>
      <c r="P6199">
        <v>-9.7934158261908794E-2</v>
      </c>
      <c r="Q6199">
        <v>8.8585702501592506E-2</v>
      </c>
      <c r="R6199">
        <v>0.98823668038186996</v>
      </c>
      <c r="S6199" t="s">
        <v>13202</v>
      </c>
      <c r="T6199" t="s">
        <v>14004</v>
      </c>
      <c r="U6199" t="s">
        <v>14004</v>
      </c>
      <c r="V6199" t="s">
        <v>14004</v>
      </c>
      <c r="W6199" t="s">
        <v>20146</v>
      </c>
      <c r="X6199">
        <v>3</v>
      </c>
      <c r="Y6199" t="s">
        <v>26940</v>
      </c>
      <c r="Z6199" t="s">
        <v>33909</v>
      </c>
      <c r="AA6199">
        <v>0.54840777632178817</v>
      </c>
      <c r="AB6199" t="str">
        <f>HYPERLINK("Melting_Curves/meltCurve_Q9NRG0_CHRAC1.pdf", "Melting_Curves/meltCurve_Q9NRG0_CHRAC1.pdf")</f>
        <v>Melting_Curves/meltCurve_Q9NRG0_CHRAC1.pdf</v>
      </c>
    </row>
    <row r="6200" spans="1:28" x14ac:dyDescent="0.25">
      <c r="A6200" t="s">
        <v>6204</v>
      </c>
      <c r="B6200">
        <v>0.99999676499088797</v>
      </c>
      <c r="C6200">
        <v>0.87667533030792999</v>
      </c>
      <c r="D6200">
        <v>0.68880916948722404</v>
      </c>
      <c r="E6200">
        <v>0.24619409243909299</v>
      </c>
      <c r="F6200">
        <v>0.166743632688161</v>
      </c>
      <c r="G6200">
        <v>0.11806431095570299</v>
      </c>
      <c r="H6200">
        <v>7.2339622706858106E-2</v>
      </c>
      <c r="I6200">
        <v>8.7087329227486104E-2</v>
      </c>
      <c r="J6200">
        <v>8.5421005791548502E-2</v>
      </c>
      <c r="K6200">
        <v>8.5502662318535302E-2</v>
      </c>
      <c r="L6200">
        <v>1143.5738965704199</v>
      </c>
      <c r="M6200">
        <v>24.356194730246301</v>
      </c>
      <c r="N6200">
        <v>47.3257609509754</v>
      </c>
      <c r="O6200">
        <v>46.639010164575701</v>
      </c>
      <c r="P6200">
        <v>-0.11913803365994501</v>
      </c>
      <c r="Q6200">
        <v>8.7477198773261503E-2</v>
      </c>
      <c r="R6200">
        <v>0.99520754432012204</v>
      </c>
      <c r="S6200" t="s">
        <v>13203</v>
      </c>
      <c r="T6200" t="s">
        <v>14004</v>
      </c>
      <c r="U6200" t="s">
        <v>14004</v>
      </c>
      <c r="V6200" t="s">
        <v>14004</v>
      </c>
      <c r="W6200" t="s">
        <v>20147</v>
      </c>
      <c r="X6200">
        <v>4</v>
      </c>
      <c r="Y6200" t="s">
        <v>26941</v>
      </c>
      <c r="Z6200" t="s">
        <v>33910</v>
      </c>
      <c r="AA6200">
        <v>0.30758140010723112</v>
      </c>
      <c r="AB6200" t="str">
        <f>HYPERLINK("Melting_Curves/meltCurve_Q9NRG4_SMYD2.pdf", "Melting_Curves/meltCurve_Q9NRG4_SMYD2.pdf")</f>
        <v>Melting_Curves/meltCurve_Q9NRG4_SMYD2.pdf</v>
      </c>
    </row>
    <row r="6201" spans="1:28" x14ac:dyDescent="0.25">
      <c r="A6201" t="s">
        <v>6205</v>
      </c>
      <c r="B6201">
        <v>0.99999676499088797</v>
      </c>
      <c r="C6201">
        <v>1.2615265380367899</v>
      </c>
      <c r="D6201">
        <v>1.00776459977664</v>
      </c>
      <c r="E6201">
        <v>0.40538583290054903</v>
      </c>
      <c r="F6201">
        <v>0.241810311213075</v>
      </c>
      <c r="G6201">
        <v>0.15714746484251199</v>
      </c>
      <c r="H6201">
        <v>8.6686071582387794E-2</v>
      </c>
      <c r="I6201">
        <v>2.4253356558870998E-2</v>
      </c>
      <c r="J6201">
        <v>4.4718064149158902E-2</v>
      </c>
      <c r="K6201">
        <v>0</v>
      </c>
      <c r="L6201">
        <v>2108.3390221302302</v>
      </c>
      <c r="M6201">
        <v>42.9641984532172</v>
      </c>
      <c r="N6201">
        <v>49.280572524054101</v>
      </c>
      <c r="O6201">
        <v>48.966057345327002</v>
      </c>
      <c r="P6201">
        <v>-0.20111973452162801</v>
      </c>
      <c r="Q6201">
        <v>8.3141526968813897E-2</v>
      </c>
      <c r="R6201">
        <v>0.94852643868537301</v>
      </c>
      <c r="S6201" t="s">
        <v>13204</v>
      </c>
      <c r="T6201" t="s">
        <v>14004</v>
      </c>
      <c r="U6201" t="s">
        <v>14004</v>
      </c>
      <c r="V6201" t="s">
        <v>14004</v>
      </c>
      <c r="W6201" t="s">
        <v>20148</v>
      </c>
      <c r="X6201">
        <v>6</v>
      </c>
      <c r="Y6201" t="s">
        <v>26942</v>
      </c>
      <c r="Z6201" t="s">
        <v>33911</v>
      </c>
      <c r="AA6201">
        <v>0.36309378953496751</v>
      </c>
      <c r="AB6201" t="str">
        <f>HYPERLINK("Melting_Curves/meltCurve_Q9NRG7_2_SDR39U1.pdf", "Melting_Curves/meltCurve_Q9NRG7_2_SDR39U1.pdf")</f>
        <v>Melting_Curves/meltCurve_Q9NRG7_2_SDR39U1.pdf</v>
      </c>
    </row>
    <row r="6202" spans="1:28" x14ac:dyDescent="0.25">
      <c r="A6202" t="s">
        <v>6206</v>
      </c>
      <c r="B6202">
        <v>0.99999676499088797</v>
      </c>
      <c r="C6202">
        <v>0.97664336660531204</v>
      </c>
      <c r="D6202">
        <v>0.91395725243762505</v>
      </c>
      <c r="E6202">
        <v>0.86783344255518302</v>
      </c>
      <c r="F6202">
        <v>0.48399778479776401</v>
      </c>
      <c r="G6202">
        <v>0.24246230278366801</v>
      </c>
      <c r="H6202">
        <v>9.5491123452747906E-2</v>
      </c>
      <c r="I6202">
        <v>9.7825629739755393E-2</v>
      </c>
      <c r="J6202">
        <v>6.24405423587601E-2</v>
      </c>
      <c r="K6202">
        <v>5.5617831745140199E-2</v>
      </c>
      <c r="L6202">
        <v>1186.5127878169801</v>
      </c>
      <c r="M6202">
        <v>22.404358453583299</v>
      </c>
      <c r="N6202">
        <v>53.256719502780101</v>
      </c>
      <c r="O6202">
        <v>52.542515523407403</v>
      </c>
      <c r="P6202">
        <v>-0.10032862069645</v>
      </c>
      <c r="Q6202">
        <v>5.88601562940732E-2</v>
      </c>
      <c r="R6202">
        <v>0.99610996649046002</v>
      </c>
      <c r="S6202" t="s">
        <v>13205</v>
      </c>
      <c r="T6202" t="s">
        <v>14004</v>
      </c>
      <c r="U6202" t="s">
        <v>14004</v>
      </c>
      <c r="V6202" t="s">
        <v>14004</v>
      </c>
      <c r="W6202" t="s">
        <v>20149</v>
      </c>
      <c r="X6202">
        <v>10</v>
      </c>
      <c r="Y6202" t="s">
        <v>26943</v>
      </c>
      <c r="Z6202" t="s">
        <v>33912</v>
      </c>
      <c r="AA6202">
        <v>0.47600557057353732</v>
      </c>
      <c r="AB6202" t="str">
        <f>HYPERLINK("Melting_Curves/meltCurve_Q9NRG9_AAAS.pdf", "Melting_Curves/meltCurve_Q9NRG9_AAAS.pdf")</f>
        <v>Melting_Curves/meltCurve_Q9NRG9_AAAS.pdf</v>
      </c>
    </row>
    <row r="6203" spans="1:28" x14ac:dyDescent="0.25">
      <c r="A6203" t="s">
        <v>6207</v>
      </c>
      <c r="B6203">
        <v>0.99999676499088797</v>
      </c>
      <c r="C6203">
        <v>0.92124751441341601</v>
      </c>
      <c r="D6203">
        <v>0.86984831857276401</v>
      </c>
      <c r="E6203">
        <v>0.68905171497253503</v>
      </c>
      <c r="F6203">
        <v>0.53619826584979902</v>
      </c>
      <c r="G6203">
        <v>0.36463543465860299</v>
      </c>
      <c r="H6203">
        <v>0.14509801481090201</v>
      </c>
      <c r="I6203">
        <v>0.174176906075485</v>
      </c>
      <c r="J6203">
        <v>0.149763389511478</v>
      </c>
      <c r="K6203">
        <v>0.177169731568489</v>
      </c>
      <c r="L6203">
        <v>684.11386534759401</v>
      </c>
      <c r="M6203">
        <v>13.0779100505033</v>
      </c>
      <c r="N6203">
        <v>53.241196792797702</v>
      </c>
      <c r="O6203">
        <v>51.132872011335799</v>
      </c>
      <c r="P6203">
        <v>-5.7418055837071998E-2</v>
      </c>
      <c r="Q6203">
        <v>0.10216742065956499</v>
      </c>
      <c r="R6203">
        <v>0.98900596766284099</v>
      </c>
      <c r="S6203" t="s">
        <v>13206</v>
      </c>
      <c r="T6203" t="s">
        <v>14004</v>
      </c>
      <c r="U6203" t="s">
        <v>14004</v>
      </c>
      <c r="V6203" t="s">
        <v>14004</v>
      </c>
      <c r="W6203" t="s">
        <v>20150</v>
      </c>
      <c r="X6203">
        <v>3</v>
      </c>
      <c r="Y6203" t="s">
        <v>26944</v>
      </c>
      <c r="Z6203" t="s">
        <v>33913</v>
      </c>
      <c r="AA6203">
        <v>0.49468377109028011</v>
      </c>
      <c r="AB6203" t="str">
        <f>HYPERLINK("Melting_Curves/meltCurve_Q9NRH1_YAE1D1.pdf", "Melting_Curves/meltCurve_Q9NRH1_YAE1D1.pdf")</f>
        <v>Melting_Curves/meltCurve_Q9NRH1_YAE1D1.pdf</v>
      </c>
    </row>
    <row r="6204" spans="1:28" x14ac:dyDescent="0.25">
      <c r="A6204" t="s">
        <v>6208</v>
      </c>
      <c r="B6204">
        <v>0.99999676499088797</v>
      </c>
      <c r="C6204">
        <v>1.03633978051262</v>
      </c>
      <c r="D6204">
        <v>1.11056305153225</v>
      </c>
      <c r="E6204">
        <v>1.2190375140929099</v>
      </c>
      <c r="F6204">
        <v>1.1192864483265701</v>
      </c>
      <c r="G6204">
        <v>0.967138097338749</v>
      </c>
      <c r="H6204">
        <v>0.54424256793868897</v>
      </c>
      <c r="I6204">
        <v>0.23536971889837</v>
      </c>
      <c r="J6204">
        <v>0.121532061954595</v>
      </c>
      <c r="K6204">
        <v>0.10390051030023099</v>
      </c>
      <c r="L6204">
        <v>2490.09827350056</v>
      </c>
      <c r="M6204">
        <v>40.942815462626001</v>
      </c>
      <c r="N6204">
        <v>61.186241662411199</v>
      </c>
      <c r="O6204">
        <v>60.674362024967202</v>
      </c>
      <c r="P6204">
        <v>-0.15031867189829701</v>
      </c>
      <c r="Q6204">
        <v>0.108954775471456</v>
      </c>
      <c r="R6204">
        <v>0.95692140336084097</v>
      </c>
      <c r="S6204" t="s">
        <v>13207</v>
      </c>
      <c r="T6204" t="s">
        <v>14004</v>
      </c>
      <c r="U6204" t="s">
        <v>14004</v>
      </c>
      <c r="V6204" t="s">
        <v>14004</v>
      </c>
      <c r="W6204" t="s">
        <v>20151</v>
      </c>
      <c r="X6204">
        <v>16</v>
      </c>
      <c r="Y6204" t="s">
        <v>26945</v>
      </c>
      <c r="Z6204" t="s">
        <v>33914</v>
      </c>
      <c r="AA6204">
        <v>0.73059527097423327</v>
      </c>
      <c r="AB6204" t="str">
        <f>HYPERLINK("Melting_Curves/meltCurve_Q9NRK6_ABCB10.pdf", "Melting_Curves/meltCurve_Q9NRK6_ABCB10.pdf")</f>
        <v>Melting_Curves/meltCurve_Q9NRK6_ABCB10.pdf</v>
      </c>
    </row>
    <row r="6205" spans="1:28" x14ac:dyDescent="0.25">
      <c r="A6205" t="s">
        <v>6209</v>
      </c>
      <c r="B6205">
        <v>0.99999676499088797</v>
      </c>
      <c r="C6205">
        <v>0.60672471182175203</v>
      </c>
      <c r="D6205">
        <v>0.33865454913463799</v>
      </c>
      <c r="E6205">
        <v>0.28119146421484598</v>
      </c>
      <c r="F6205">
        <v>0.16992968905028499</v>
      </c>
      <c r="G6205">
        <v>0.124749555724252</v>
      </c>
      <c r="H6205">
        <v>8.5940710907356693E-2</v>
      </c>
      <c r="I6205">
        <v>6.7151451258639902E-2</v>
      </c>
      <c r="J6205">
        <v>5.91361330434685E-2</v>
      </c>
      <c r="K6205">
        <v>5.2661327925611699E-2</v>
      </c>
      <c r="L6205">
        <v>828.14558141301995</v>
      </c>
      <c r="M6205">
        <v>18.757465958949499</v>
      </c>
      <c r="N6205">
        <v>44.621903113172301</v>
      </c>
      <c r="O6205">
        <v>43.657560645649298</v>
      </c>
      <c r="P6205">
        <v>-9.7756141030950705E-2</v>
      </c>
      <c r="Q6205">
        <v>8.9937687628261501E-2</v>
      </c>
      <c r="R6205">
        <v>0.96259367660849005</v>
      </c>
      <c r="S6205" t="s">
        <v>13208</v>
      </c>
      <c r="T6205" t="s">
        <v>14004</v>
      </c>
      <c r="U6205" t="s">
        <v>14004</v>
      </c>
      <c r="V6205" t="s">
        <v>14004</v>
      </c>
      <c r="W6205" t="s">
        <v>20152</v>
      </c>
      <c r="X6205">
        <v>13</v>
      </c>
      <c r="Y6205" t="s">
        <v>26946</v>
      </c>
      <c r="Z6205" t="s">
        <v>33915</v>
      </c>
      <c r="AA6205">
        <v>0.23582529782213429</v>
      </c>
      <c r="AB6205" t="str">
        <f>HYPERLINK("Melting_Curves/meltCurve_Q9NRL2_2_BAZ1A.pdf", "Melting_Curves/meltCurve_Q9NRL2_2_BAZ1A.pdf")</f>
        <v>Melting_Curves/meltCurve_Q9NRL2_2_BAZ1A.pdf</v>
      </c>
    </row>
    <row r="6206" spans="1:28" x14ac:dyDescent="0.25">
      <c r="A6206" t="s">
        <v>6210</v>
      </c>
      <c r="B6206">
        <v>0.99999676499088797</v>
      </c>
      <c r="C6206">
        <v>0.98176228591498105</v>
      </c>
      <c r="D6206">
        <v>1.0726588575121601</v>
      </c>
      <c r="E6206">
        <v>1.1273847782852</v>
      </c>
      <c r="F6206">
        <v>0.487599727737837</v>
      </c>
      <c r="G6206">
        <v>0.285077260292872</v>
      </c>
      <c r="H6206">
        <v>0.14551537942100701</v>
      </c>
      <c r="I6206">
        <v>0.13947814193067901</v>
      </c>
      <c r="J6206">
        <v>0.129601681330545</v>
      </c>
      <c r="K6206">
        <v>0.109380401536911</v>
      </c>
      <c r="L6206">
        <v>6210.82892917154</v>
      </c>
      <c r="M6206">
        <v>117.195507960763</v>
      </c>
      <c r="N6206">
        <v>53.172715034278099</v>
      </c>
      <c r="O6206">
        <v>52.980025791539298</v>
      </c>
      <c r="P6206">
        <v>-0.46359584357856398</v>
      </c>
      <c r="Q6206">
        <v>0.16169759672916401</v>
      </c>
      <c r="R6206">
        <v>0.97654517047170297</v>
      </c>
      <c r="S6206" t="s">
        <v>13209</v>
      </c>
      <c r="T6206" t="s">
        <v>14004</v>
      </c>
      <c r="U6206" t="s">
        <v>14004</v>
      </c>
      <c r="V6206" t="s">
        <v>14004</v>
      </c>
      <c r="W6206" t="s">
        <v>20153</v>
      </c>
      <c r="X6206">
        <v>9</v>
      </c>
      <c r="Y6206" t="s">
        <v>26947</v>
      </c>
      <c r="Z6206" t="s">
        <v>33916</v>
      </c>
      <c r="AA6206">
        <v>0.52518995642513533</v>
      </c>
      <c r="AB6206" t="str">
        <f>HYPERLINK("Melting_Curves/meltCurve_Q9NRL3_STRN4.pdf", "Melting_Curves/meltCurve_Q9NRL3_STRN4.pdf")</f>
        <v>Melting_Curves/meltCurve_Q9NRL3_STRN4.pdf</v>
      </c>
    </row>
    <row r="6207" spans="1:28" x14ac:dyDescent="0.25">
      <c r="A6207" t="s">
        <v>6211</v>
      </c>
      <c r="B6207">
        <v>0.99999676499088797</v>
      </c>
      <c r="C6207">
        <v>1.03430954340361</v>
      </c>
      <c r="D6207">
        <v>0.98657768399883805</v>
      </c>
      <c r="E6207">
        <v>0.986274104052413</v>
      </c>
      <c r="F6207">
        <v>0.5418072191069</v>
      </c>
      <c r="G6207">
        <v>0.19099837339365799</v>
      </c>
      <c r="H6207">
        <v>8.9562107670652397E-2</v>
      </c>
      <c r="I6207">
        <v>0.102730583233531</v>
      </c>
      <c r="J6207">
        <v>0.100321934271068</v>
      </c>
      <c r="K6207">
        <v>9.0808550626080106E-2</v>
      </c>
      <c r="L6207">
        <v>2155.3091046828199</v>
      </c>
      <c r="M6207">
        <v>40.492610007494797</v>
      </c>
      <c r="N6207">
        <v>53.519169896727398</v>
      </c>
      <c r="O6207">
        <v>53.097896895108001</v>
      </c>
      <c r="P6207">
        <v>-0.171758017559205</v>
      </c>
      <c r="Q6207">
        <v>9.9097692324684294E-2</v>
      </c>
      <c r="R6207">
        <v>0.99805149807846405</v>
      </c>
      <c r="S6207" t="s">
        <v>13210</v>
      </c>
      <c r="T6207" t="s">
        <v>14004</v>
      </c>
      <c r="U6207" t="s">
        <v>14004</v>
      </c>
      <c r="V6207" t="s">
        <v>14004</v>
      </c>
      <c r="W6207" t="s">
        <v>20154</v>
      </c>
      <c r="X6207">
        <v>16</v>
      </c>
      <c r="Y6207" t="s">
        <v>26948</v>
      </c>
      <c r="Z6207" t="s">
        <v>33917</v>
      </c>
      <c r="AA6207">
        <v>0.49954241118723969</v>
      </c>
      <c r="AB6207" t="str">
        <f>HYPERLINK("Melting_Curves/meltCurve_Q9NRN7_AASDHPPT.pdf", "Melting_Curves/meltCurve_Q9NRN7_AASDHPPT.pdf")</f>
        <v>Melting_Curves/meltCurve_Q9NRN7_AASDHPPT.pdf</v>
      </c>
    </row>
    <row r="6208" spans="1:28" x14ac:dyDescent="0.25">
      <c r="A6208" t="s">
        <v>6212</v>
      </c>
      <c r="B6208">
        <v>0.99999676499088797</v>
      </c>
      <c r="C6208">
        <v>1.0398144786091701</v>
      </c>
      <c r="D6208">
        <v>1.0321855941163101</v>
      </c>
      <c r="E6208">
        <v>0.98677439620493701</v>
      </c>
      <c r="F6208">
        <v>0.87976342220655701</v>
      </c>
      <c r="G6208">
        <v>0.79407988077411795</v>
      </c>
      <c r="H6208">
        <v>0.53482016436597302</v>
      </c>
      <c r="I6208">
        <v>0.50556431604865903</v>
      </c>
      <c r="J6208">
        <v>0.38439328363092201</v>
      </c>
      <c r="K6208">
        <v>0.34419588267571699</v>
      </c>
      <c r="L6208">
        <v>975.12467748555605</v>
      </c>
      <c r="M6208">
        <v>16.4731571183077</v>
      </c>
      <c r="N6208">
        <v>62.756077090119199</v>
      </c>
      <c r="O6208">
        <v>58.343064380833802</v>
      </c>
      <c r="P6208">
        <v>-4.9155399058210203E-2</v>
      </c>
      <c r="Q6208">
        <v>0.30367299745179399</v>
      </c>
      <c r="R6208">
        <v>0.98762999281157504</v>
      </c>
      <c r="S6208" t="s">
        <v>13211</v>
      </c>
      <c r="T6208" t="s">
        <v>14004</v>
      </c>
      <c r="U6208" t="s">
        <v>14004</v>
      </c>
      <c r="V6208" t="s">
        <v>14004</v>
      </c>
      <c r="W6208" t="s">
        <v>20155</v>
      </c>
      <c r="X6208">
        <v>11</v>
      </c>
      <c r="Y6208" t="s">
        <v>26949</v>
      </c>
      <c r="Z6208" t="s">
        <v>33918</v>
      </c>
      <c r="AA6208">
        <v>0.75630726104612711</v>
      </c>
      <c r="AB6208" t="str">
        <f>HYPERLINK("Melting_Curves/meltCurve_Q9NRN9_METTL5.pdf", "Melting_Curves/meltCurve_Q9NRN9_METTL5.pdf")</f>
        <v>Melting_Curves/meltCurve_Q9NRN9_METTL5.pdf</v>
      </c>
    </row>
    <row r="6209" spans="1:28" x14ac:dyDescent="0.25">
      <c r="A6209" t="s">
        <v>6213</v>
      </c>
      <c r="B6209">
        <v>0.99999676499088797</v>
      </c>
      <c r="C6209">
        <v>0.886199583077103</v>
      </c>
      <c r="D6209">
        <v>1.0082113906425101</v>
      </c>
      <c r="E6209">
        <v>1.0440491668923999</v>
      </c>
      <c r="F6209">
        <v>0.69642840668116801</v>
      </c>
      <c r="G6209">
        <v>0.385776177837793</v>
      </c>
      <c r="H6209">
        <v>0.11057422726060399</v>
      </c>
      <c r="I6209">
        <v>4.2625861539583802E-2</v>
      </c>
      <c r="J6209">
        <v>4.9434673958369202E-2</v>
      </c>
      <c r="K6209">
        <v>5.7963201702444102E-2</v>
      </c>
      <c r="L6209">
        <v>1461.3745146053</v>
      </c>
      <c r="M6209">
        <v>26.443445026002099</v>
      </c>
      <c r="N6209">
        <v>55.434643700991799</v>
      </c>
      <c r="O6209">
        <v>54.950988383601803</v>
      </c>
      <c r="P6209">
        <v>-0.115607219130704</v>
      </c>
      <c r="Q6209">
        <v>3.9056529753395901E-2</v>
      </c>
      <c r="R6209">
        <v>0.98569483753979503</v>
      </c>
      <c r="S6209" t="s">
        <v>13212</v>
      </c>
      <c r="T6209" t="s">
        <v>14004</v>
      </c>
      <c r="U6209" t="s">
        <v>14004</v>
      </c>
      <c r="V6209" t="s">
        <v>14004</v>
      </c>
      <c r="W6209" t="s">
        <v>20156</v>
      </c>
      <c r="X6209">
        <v>1</v>
      </c>
      <c r="Y6209" t="s">
        <v>26950</v>
      </c>
      <c r="Z6209" t="s">
        <v>33919</v>
      </c>
      <c r="AA6209">
        <v>0.53603553819045768</v>
      </c>
      <c r="AB6209" t="str">
        <f>HYPERLINK("Melting_Curves/meltCurve_Q9NRP0_OSTC.pdf", "Melting_Curves/meltCurve_Q9NRP0_OSTC.pdf")</f>
        <v>Melting_Curves/meltCurve_Q9NRP0_OSTC.pdf</v>
      </c>
    </row>
    <row r="6210" spans="1:28" x14ac:dyDescent="0.25">
      <c r="A6210" t="s">
        <v>6214</v>
      </c>
      <c r="B6210">
        <v>0.99999676499088797</v>
      </c>
      <c r="C6210">
        <v>0.979851250069118</v>
      </c>
      <c r="D6210">
        <v>0.92626920633952603</v>
      </c>
      <c r="E6210">
        <v>0.92150088141125097</v>
      </c>
      <c r="F6210">
        <v>0.73250395768992405</v>
      </c>
      <c r="G6210">
        <v>0.62770812537548204</v>
      </c>
      <c r="H6210">
        <v>0.43169824533596501</v>
      </c>
      <c r="I6210">
        <v>0.51213268142212598</v>
      </c>
      <c r="J6210">
        <v>0.48250138527019998</v>
      </c>
      <c r="K6210">
        <v>0.48383154426647801</v>
      </c>
      <c r="L6210">
        <v>1035.2683644500501</v>
      </c>
      <c r="M6210">
        <v>19.385721029956901</v>
      </c>
      <c r="N6210">
        <v>61.816261253085898</v>
      </c>
      <c r="O6210">
        <v>52.845118391613802</v>
      </c>
      <c r="P6210">
        <v>-4.9134978267177901E-2</v>
      </c>
      <c r="Q6210">
        <v>0.46425552637694301</v>
      </c>
      <c r="R6210">
        <v>0.97509308390361504</v>
      </c>
      <c r="S6210" t="s">
        <v>13213</v>
      </c>
      <c r="T6210" t="s">
        <v>14004</v>
      </c>
      <c r="U6210" t="s">
        <v>14004</v>
      </c>
      <c r="V6210" t="s">
        <v>14004</v>
      </c>
      <c r="W6210" t="s">
        <v>20157</v>
      </c>
      <c r="X6210">
        <v>6</v>
      </c>
      <c r="Y6210" t="s">
        <v>26951</v>
      </c>
      <c r="Z6210" t="s">
        <v>33920</v>
      </c>
      <c r="AA6210">
        <v>0.71134797439378117</v>
      </c>
      <c r="AB6210" t="str">
        <f>HYPERLINK("Melting_Curves/meltCurve_Q9NRP2_CMC2.pdf", "Melting_Curves/meltCurve_Q9NRP2_CMC2.pdf")</f>
        <v>Melting_Curves/meltCurve_Q9NRP2_CMC2.pdf</v>
      </c>
    </row>
    <row r="6211" spans="1:28" x14ac:dyDescent="0.25">
      <c r="A6211" t="s">
        <v>6215</v>
      </c>
      <c r="B6211">
        <v>0.99999676499088797</v>
      </c>
      <c r="C6211">
        <v>1.0109710101062901</v>
      </c>
      <c r="D6211">
        <v>0.91466452865507097</v>
      </c>
      <c r="E6211">
        <v>0.848062225496372</v>
      </c>
      <c r="F6211">
        <v>0.58065749464404504</v>
      </c>
      <c r="G6211">
        <v>0.324592210218206</v>
      </c>
      <c r="H6211">
        <v>0.11932328754730399</v>
      </c>
      <c r="I6211">
        <v>8.9579083360789402E-2</v>
      </c>
      <c r="J6211">
        <v>9.872975273114E-2</v>
      </c>
      <c r="K6211">
        <v>9.7630781089960497E-2</v>
      </c>
      <c r="L6211">
        <v>1032.6562325018799</v>
      </c>
      <c r="M6211">
        <v>19.2237809591904</v>
      </c>
      <c r="N6211">
        <v>54.110867883611597</v>
      </c>
      <c r="O6211">
        <v>53.146492788680199</v>
      </c>
      <c r="P6211">
        <v>-8.4536690251025295E-2</v>
      </c>
      <c r="Q6211">
        <v>6.51876074275205E-2</v>
      </c>
      <c r="R6211">
        <v>0.99639834165630503</v>
      </c>
      <c r="S6211" t="s">
        <v>13214</v>
      </c>
      <c r="T6211" t="s">
        <v>14004</v>
      </c>
      <c r="U6211" t="s">
        <v>14004</v>
      </c>
      <c r="V6211" t="s">
        <v>14004</v>
      </c>
      <c r="W6211" t="s">
        <v>20158</v>
      </c>
      <c r="X6211">
        <v>1</v>
      </c>
      <c r="Y6211" t="s">
        <v>26952</v>
      </c>
      <c r="Z6211" t="s">
        <v>33921</v>
      </c>
      <c r="AA6211">
        <v>0.50623610888192494</v>
      </c>
      <c r="AB6211" t="str">
        <f>HYPERLINK("Melting_Curves/meltCurve_Q9NRP4_ACN9.pdf", "Melting_Curves/meltCurve_Q9NRP4_ACN9.pdf")</f>
        <v>Melting_Curves/meltCurve_Q9NRP4_ACN9.pdf</v>
      </c>
    </row>
    <row r="6212" spans="1:28" x14ac:dyDescent="0.25">
      <c r="A6212" t="s">
        <v>6216</v>
      </c>
      <c r="B6212">
        <v>0.99999676499088797</v>
      </c>
      <c r="C6212">
        <v>1.00531613155846</v>
      </c>
      <c r="D6212">
        <v>1.0024576746615701</v>
      </c>
      <c r="E6212">
        <v>1.0054261801561</v>
      </c>
      <c r="F6212">
        <v>1.0369268276403001</v>
      </c>
      <c r="G6212">
        <v>0.792477921655803</v>
      </c>
      <c r="H6212">
        <v>0.49623790878669799</v>
      </c>
      <c r="I6212">
        <v>0.37473098148183698</v>
      </c>
      <c r="J6212">
        <v>0.337957717983281</v>
      </c>
      <c r="K6212">
        <v>0.46819440689561997</v>
      </c>
      <c r="L6212">
        <v>2363.5158879176302</v>
      </c>
      <c r="M6212">
        <v>40.842451598723301</v>
      </c>
      <c r="N6212">
        <v>60.177084655945698</v>
      </c>
      <c r="O6212">
        <v>57.730893771694802</v>
      </c>
      <c r="P6212">
        <v>-0.10689671809552601</v>
      </c>
      <c r="Q6212">
        <v>0.39560627000250798</v>
      </c>
      <c r="R6212">
        <v>0.982748310942685</v>
      </c>
      <c r="S6212" t="s">
        <v>13215</v>
      </c>
      <c r="T6212" t="s">
        <v>14004</v>
      </c>
      <c r="U6212" t="s">
        <v>14004</v>
      </c>
      <c r="V6212" t="s">
        <v>14004</v>
      </c>
      <c r="W6212" t="s">
        <v>20159</v>
      </c>
      <c r="X6212">
        <v>14</v>
      </c>
      <c r="Y6212" t="s">
        <v>26953</v>
      </c>
      <c r="Z6212" t="s">
        <v>33922</v>
      </c>
      <c r="AA6212">
        <v>0.75788654903029373</v>
      </c>
      <c r="AB6212" t="str">
        <f>HYPERLINK("Melting_Curves/meltCurve_Q9NRR5_UBQLN4.pdf", "Melting_Curves/meltCurve_Q9NRR5_UBQLN4.pdf")</f>
        <v>Melting_Curves/meltCurve_Q9NRR5_UBQLN4.pdf</v>
      </c>
    </row>
    <row r="6213" spans="1:28" x14ac:dyDescent="0.25">
      <c r="A6213" t="s">
        <v>6217</v>
      </c>
      <c r="B6213">
        <v>0.99999676499088797</v>
      </c>
      <c r="C6213">
        <v>0.98277323324993004</v>
      </c>
      <c r="D6213">
        <v>0.85119000316775795</v>
      </c>
      <c r="E6213">
        <v>0.78033065210375996</v>
      </c>
      <c r="F6213">
        <v>0.74843379611960004</v>
      </c>
      <c r="G6213">
        <v>0.98078206454199302</v>
      </c>
      <c r="H6213">
        <v>0.328490427765953</v>
      </c>
      <c r="I6213">
        <v>0.29177490579851101</v>
      </c>
      <c r="J6213">
        <v>0.231013755726479</v>
      </c>
      <c r="K6213">
        <v>0.223596360525953</v>
      </c>
      <c r="L6213">
        <v>668.61741243674305</v>
      </c>
      <c r="M6213">
        <v>11.082236387750999</v>
      </c>
      <c r="N6213">
        <v>60.332354344829199</v>
      </c>
      <c r="O6213">
        <v>58.4677937477284</v>
      </c>
      <c r="P6213">
        <v>-4.7401605824447898E-2</v>
      </c>
      <c r="Q6213">
        <v>0</v>
      </c>
      <c r="R6213">
        <v>0.83553039138029095</v>
      </c>
      <c r="S6213" t="s">
        <v>13216</v>
      </c>
      <c r="T6213" t="s">
        <v>14004</v>
      </c>
      <c r="U6213" t="s">
        <v>14004</v>
      </c>
      <c r="V6213" t="s">
        <v>14004</v>
      </c>
      <c r="W6213" t="s">
        <v>20160</v>
      </c>
      <c r="X6213">
        <v>1</v>
      </c>
      <c r="Y6213" t="s">
        <v>26954</v>
      </c>
      <c r="Z6213" t="s">
        <v>33923</v>
      </c>
      <c r="AA6213">
        <v>0.67536948742597314</v>
      </c>
      <c r="AB6213" t="str">
        <f>HYPERLINK("Melting_Curves/meltCurve_Q9NRR8_CDC42SE1.pdf", "Melting_Curves/meltCurve_Q9NRR8_CDC42SE1.pdf")</f>
        <v>Melting_Curves/meltCurve_Q9NRR8_CDC42SE1.pdf</v>
      </c>
    </row>
    <row r="6214" spans="1:28" x14ac:dyDescent="0.25">
      <c r="A6214" t="s">
        <v>6218</v>
      </c>
      <c r="B6214">
        <v>0.99999676499088797</v>
      </c>
      <c r="C6214">
        <v>0.95293905150424796</v>
      </c>
      <c r="D6214">
        <v>0.54567642680003603</v>
      </c>
      <c r="E6214">
        <v>0.31780130049656302</v>
      </c>
      <c r="F6214">
        <v>0.23981158488714699</v>
      </c>
      <c r="G6214">
        <v>0.18405315859652199</v>
      </c>
      <c r="H6214">
        <v>0.105778808954098</v>
      </c>
      <c r="I6214">
        <v>0.115362242803384</v>
      </c>
      <c r="J6214">
        <v>0.11632948863723699</v>
      </c>
      <c r="K6214">
        <v>0.111093886230109</v>
      </c>
      <c r="L6214">
        <v>1050.1311265448301</v>
      </c>
      <c r="M6214">
        <v>22.635278534547499</v>
      </c>
      <c r="N6214">
        <v>47.0402316845352</v>
      </c>
      <c r="O6214">
        <v>46.036021466137598</v>
      </c>
      <c r="P6214">
        <v>-0.106488350364411</v>
      </c>
      <c r="Q6214">
        <v>0.13370619693309399</v>
      </c>
      <c r="R6214">
        <v>0.98404726798215603</v>
      </c>
      <c r="S6214" t="s">
        <v>13217</v>
      </c>
      <c r="T6214" t="s">
        <v>14004</v>
      </c>
      <c r="U6214" t="s">
        <v>14004</v>
      </c>
      <c r="V6214" t="s">
        <v>14004</v>
      </c>
      <c r="W6214" t="s">
        <v>20161</v>
      </c>
      <c r="X6214">
        <v>11</v>
      </c>
      <c r="Y6214" t="s">
        <v>26955</v>
      </c>
      <c r="Z6214" t="s">
        <v>33924</v>
      </c>
      <c r="AA6214">
        <v>0.32818813858902612</v>
      </c>
      <c r="AB6214" t="str">
        <f>HYPERLINK("Melting_Curves/meltCurve_Q9NRS6_SNX15.pdf", "Melting_Curves/meltCurve_Q9NRS6_SNX15.pdf")</f>
        <v>Melting_Curves/meltCurve_Q9NRS6_SNX15.pdf</v>
      </c>
    </row>
    <row r="6215" spans="1:28" x14ac:dyDescent="0.25">
      <c r="A6215" t="s">
        <v>6219</v>
      </c>
      <c r="B6215">
        <v>0.99999676499088797</v>
      </c>
      <c r="C6215">
        <v>0.90454242537640295</v>
      </c>
      <c r="D6215">
        <v>0.83604489231749801</v>
      </c>
      <c r="E6215">
        <v>0.80422254423018702</v>
      </c>
      <c r="F6215">
        <v>0.506920855043695</v>
      </c>
      <c r="G6215">
        <v>0.211430410599979</v>
      </c>
      <c r="H6215">
        <v>0.10749806480528599</v>
      </c>
      <c r="I6215">
        <v>0.104671430341301</v>
      </c>
      <c r="J6215">
        <v>0.10236354271487801</v>
      </c>
      <c r="K6215">
        <v>9.6907801818380296E-2</v>
      </c>
      <c r="L6215">
        <v>920.173379971347</v>
      </c>
      <c r="M6215">
        <v>17.5283471858349</v>
      </c>
      <c r="N6215">
        <v>52.897775707385797</v>
      </c>
      <c r="O6215">
        <v>51.827310099033703</v>
      </c>
      <c r="P6215">
        <v>-7.9289950190313999E-2</v>
      </c>
      <c r="Q6215">
        <v>6.2282280656258397E-2</v>
      </c>
      <c r="R6215">
        <v>0.98323073515110504</v>
      </c>
      <c r="S6215" t="s">
        <v>13218</v>
      </c>
      <c r="T6215" t="s">
        <v>14004</v>
      </c>
      <c r="U6215" t="s">
        <v>14004</v>
      </c>
      <c r="V6215" t="s">
        <v>14004</v>
      </c>
      <c r="W6215" t="s">
        <v>20162</v>
      </c>
      <c r="X6215">
        <v>8</v>
      </c>
      <c r="Y6215" t="s">
        <v>26956</v>
      </c>
      <c r="Z6215" t="s">
        <v>33925</v>
      </c>
      <c r="AA6215">
        <v>0.46906255049820589</v>
      </c>
      <c r="AB6215" t="str">
        <f>HYPERLINK("Melting_Curves/meltCurve_Q9NRV9_HEBP1.pdf", "Melting_Curves/meltCurve_Q9NRV9_HEBP1.pdf")</f>
        <v>Melting_Curves/meltCurve_Q9NRV9_HEBP1.pdf</v>
      </c>
    </row>
    <row r="6216" spans="1:28" x14ac:dyDescent="0.25">
      <c r="A6216" t="s">
        <v>6220</v>
      </c>
      <c r="B6216">
        <v>0.99999676499088797</v>
      </c>
      <c r="C6216">
        <v>0.95436882291382397</v>
      </c>
      <c r="D6216">
        <v>0.96679198217704998</v>
      </c>
      <c r="E6216">
        <v>0.99859004411131702</v>
      </c>
      <c r="F6216">
        <v>0.96181082873261003</v>
      </c>
      <c r="G6216">
        <v>0.95313813895878197</v>
      </c>
      <c r="H6216">
        <v>0.63543796828426002</v>
      </c>
      <c r="I6216">
        <v>0.54629612072386502</v>
      </c>
      <c r="J6216">
        <v>0.415186241850869</v>
      </c>
      <c r="K6216">
        <v>0.43328495537349698</v>
      </c>
      <c r="L6216">
        <v>1915.4917734174901</v>
      </c>
      <c r="M6216">
        <v>31.838933146643502</v>
      </c>
      <c r="N6216">
        <v>63.970620631234397</v>
      </c>
      <c r="O6216">
        <v>59.926090750951403</v>
      </c>
      <c r="P6216">
        <v>-7.6390127723645798E-2</v>
      </c>
      <c r="Q6216">
        <v>0.42488798498123098</v>
      </c>
      <c r="R6216">
        <v>0.98389917985605202</v>
      </c>
      <c r="S6216" t="s">
        <v>13219</v>
      </c>
      <c r="T6216" t="s">
        <v>14004</v>
      </c>
      <c r="U6216" t="s">
        <v>14004</v>
      </c>
      <c r="V6216" t="s">
        <v>14004</v>
      </c>
      <c r="W6216" t="s">
        <v>20163</v>
      </c>
      <c r="X6216">
        <v>11</v>
      </c>
      <c r="Y6216" t="s">
        <v>26957</v>
      </c>
      <c r="Z6216" t="s">
        <v>33926</v>
      </c>
      <c r="AA6216">
        <v>0.81459441996435034</v>
      </c>
      <c r="AB6216" t="str">
        <f>HYPERLINK("Melting_Curves/meltCurve_Q9NRW1_RAB6B.pdf", "Melting_Curves/meltCurve_Q9NRW1_RAB6B.pdf")</f>
        <v>Melting_Curves/meltCurve_Q9NRW1_RAB6B.pdf</v>
      </c>
    </row>
    <row r="6217" spans="1:28" x14ac:dyDescent="0.25">
      <c r="A6217" t="s">
        <v>6221</v>
      </c>
      <c r="B6217">
        <v>0.99999676499088797</v>
      </c>
      <c r="C6217">
        <v>1.01765125261156</v>
      </c>
      <c r="D6217">
        <v>0.92214270033613099</v>
      </c>
      <c r="E6217">
        <v>0.49679386887273702</v>
      </c>
      <c r="F6217">
        <v>0.21797000079408199</v>
      </c>
      <c r="G6217">
        <v>0.156871694431506</v>
      </c>
      <c r="H6217">
        <v>8.7856133535129E-2</v>
      </c>
      <c r="I6217">
        <v>0.10290709532016699</v>
      </c>
      <c r="J6217">
        <v>9.5642049756654093E-2</v>
      </c>
      <c r="K6217">
        <v>7.1341468596724106E-2</v>
      </c>
      <c r="L6217">
        <v>1421.5128218806899</v>
      </c>
      <c r="M6217">
        <v>28.805206674752899</v>
      </c>
      <c r="N6217">
        <v>49.731598685407398</v>
      </c>
      <c r="O6217">
        <v>49.113171241536698</v>
      </c>
      <c r="P6217">
        <v>-0.13206153362929801</v>
      </c>
      <c r="Q6217">
        <v>9.9342155953039593E-2</v>
      </c>
      <c r="R6217">
        <v>0.99699072032592195</v>
      </c>
      <c r="S6217" t="s">
        <v>13220</v>
      </c>
      <c r="T6217" t="s">
        <v>14004</v>
      </c>
      <c r="U6217" t="s">
        <v>14004</v>
      </c>
      <c r="V6217" t="s">
        <v>14004</v>
      </c>
      <c r="W6217" t="s">
        <v>20164</v>
      </c>
      <c r="X6217">
        <v>9</v>
      </c>
      <c r="Y6217" t="s">
        <v>26958</v>
      </c>
      <c r="Z6217" t="s">
        <v>33927</v>
      </c>
      <c r="AA6217">
        <v>0.38601268495822472</v>
      </c>
      <c r="AB6217" t="str">
        <f>HYPERLINK("Melting_Curves/meltCurve_Q9NRW7_VPS45.pdf", "Melting_Curves/meltCurve_Q9NRW7_VPS45.pdf")</f>
        <v>Melting_Curves/meltCurve_Q9NRW7_VPS45.pdf</v>
      </c>
    </row>
    <row r="6218" spans="1:28" x14ac:dyDescent="0.25">
      <c r="A6218" t="s">
        <v>6222</v>
      </c>
      <c r="B6218">
        <v>0.99999676499088797</v>
      </c>
      <c r="C6218">
        <v>0.86403127646082301</v>
      </c>
      <c r="D6218">
        <v>0.78551711001330005</v>
      </c>
      <c r="E6218">
        <v>0.24714957573747001</v>
      </c>
      <c r="F6218">
        <v>0.12758848581437701</v>
      </c>
      <c r="G6218">
        <v>9.2317728646716099E-2</v>
      </c>
      <c r="H6218">
        <v>4.9762285094546402E-2</v>
      </c>
      <c r="I6218">
        <v>3.75895679766136E-2</v>
      </c>
      <c r="J6218">
        <v>2.41151605042936E-2</v>
      </c>
      <c r="K6218">
        <v>3.3461644899390797E-2</v>
      </c>
      <c r="L6218">
        <v>1283.7641628858</v>
      </c>
      <c r="M6218">
        <v>26.951760022235799</v>
      </c>
      <c r="N6218">
        <v>47.799920068342701</v>
      </c>
      <c r="O6218">
        <v>47.372014861410598</v>
      </c>
      <c r="P6218">
        <v>-0.13580898849584699</v>
      </c>
      <c r="Q6218">
        <v>4.5185751685433199E-2</v>
      </c>
      <c r="R6218">
        <v>0.989150864796848</v>
      </c>
      <c r="S6218" t="s">
        <v>13221</v>
      </c>
      <c r="T6218" t="s">
        <v>14004</v>
      </c>
      <c r="U6218" t="s">
        <v>14004</v>
      </c>
      <c r="V6218" t="s">
        <v>14004</v>
      </c>
      <c r="W6218" t="s">
        <v>20165</v>
      </c>
      <c r="X6218">
        <v>8</v>
      </c>
      <c r="Y6218" t="s">
        <v>26959</v>
      </c>
      <c r="Z6218" t="s">
        <v>33928</v>
      </c>
      <c r="AA6218">
        <v>0.2952836146650416</v>
      </c>
      <c r="AB6218" t="str">
        <f>HYPERLINK("Melting_Curves/meltCurve_Q9NRX1_PNO1.pdf", "Melting_Curves/meltCurve_Q9NRX1_PNO1.pdf")</f>
        <v>Melting_Curves/meltCurve_Q9NRX1_PNO1.pdf</v>
      </c>
    </row>
    <row r="6219" spans="1:28" x14ac:dyDescent="0.25">
      <c r="A6219" t="s">
        <v>6223</v>
      </c>
      <c r="B6219">
        <v>0.99999676499088797</v>
      </c>
      <c r="C6219">
        <v>1.3176093804472799</v>
      </c>
      <c r="D6219">
        <v>1.3315723632004799</v>
      </c>
      <c r="E6219">
        <v>0.447752237443172</v>
      </c>
      <c r="F6219">
        <v>0.40359348572958298</v>
      </c>
      <c r="G6219">
        <v>0.27485582285934901</v>
      </c>
      <c r="H6219">
        <v>0.12501397930736199</v>
      </c>
      <c r="I6219">
        <v>0.110879996385195</v>
      </c>
      <c r="J6219">
        <v>0.149881213911637</v>
      </c>
      <c r="K6219">
        <v>2.7167121161369E-2</v>
      </c>
      <c r="L6219">
        <v>12363.739886859399</v>
      </c>
      <c r="M6219">
        <v>250</v>
      </c>
      <c r="N6219">
        <v>49.544581963791103</v>
      </c>
      <c r="O6219">
        <v>49.451794778972499</v>
      </c>
      <c r="P6219">
        <v>-1.0339632384206701</v>
      </c>
      <c r="Q6219">
        <v>0.18189859529889499</v>
      </c>
      <c r="R6219">
        <v>0.86917774430588701</v>
      </c>
      <c r="S6219" t="s">
        <v>13222</v>
      </c>
      <c r="T6219" t="s">
        <v>14004</v>
      </c>
      <c r="U6219" t="s">
        <v>14004</v>
      </c>
      <c r="V6219" t="s">
        <v>14004</v>
      </c>
      <c r="W6219" t="s">
        <v>20166</v>
      </c>
      <c r="X6219">
        <v>2</v>
      </c>
      <c r="Y6219" t="s">
        <v>26960</v>
      </c>
      <c r="Z6219" t="s">
        <v>33929</v>
      </c>
      <c r="AA6219">
        <v>0.43980679008754692</v>
      </c>
      <c r="AB6219" t="str">
        <f>HYPERLINK("Melting_Curves/meltCurve_Q9NRX4_PHPT1.pdf", "Melting_Curves/meltCurve_Q9NRX4_PHPT1.pdf")</f>
        <v>Melting_Curves/meltCurve_Q9NRX4_PHPT1.pdf</v>
      </c>
    </row>
    <row r="6220" spans="1:28" x14ac:dyDescent="0.25">
      <c r="A6220" t="s">
        <v>6224</v>
      </c>
      <c r="B6220">
        <v>0.99999676499088797</v>
      </c>
      <c r="C6220">
        <v>0.94035702687194</v>
      </c>
      <c r="D6220">
        <v>0.864988336009062</v>
      </c>
      <c r="E6220">
        <v>0.59074164060495205</v>
      </c>
      <c r="F6220">
        <v>0.51890095116546298</v>
      </c>
      <c r="G6220">
        <v>0.54971018964687302</v>
      </c>
      <c r="H6220">
        <v>0.451780065820587</v>
      </c>
      <c r="I6220">
        <v>0.46999482529751602</v>
      </c>
      <c r="J6220">
        <v>0.50430813545474695</v>
      </c>
      <c r="K6220">
        <v>0.69637534916907895</v>
      </c>
      <c r="L6220">
        <v>1631.9333963592501</v>
      </c>
      <c r="M6220">
        <v>34.687453833585103</v>
      </c>
      <c r="O6220">
        <v>46.891249285953101</v>
      </c>
      <c r="P6220">
        <v>-8.6974669945511604E-2</v>
      </c>
      <c r="Q6220">
        <v>0.52970477008686201</v>
      </c>
      <c r="R6220">
        <v>0.89178991433792298</v>
      </c>
      <c r="S6220" t="s">
        <v>13223</v>
      </c>
      <c r="T6220" t="s">
        <v>14004</v>
      </c>
      <c r="U6220" t="s">
        <v>14004</v>
      </c>
      <c r="V6220" t="s">
        <v>14004</v>
      </c>
      <c r="W6220" t="s">
        <v>20167</v>
      </c>
      <c r="X6220">
        <v>4</v>
      </c>
      <c r="Y6220" t="s">
        <v>26961</v>
      </c>
      <c r="Z6220" t="s">
        <v>33930</v>
      </c>
      <c r="AA6220">
        <v>0.64224611190815495</v>
      </c>
      <c r="AB6220" t="str">
        <f>HYPERLINK("Melting_Curves/meltCurve_Q9NRY2_INIP.pdf", "Melting_Curves/meltCurve_Q9NRY2_INIP.pdf")</f>
        <v>Melting_Curves/meltCurve_Q9NRY2_INIP.pdf</v>
      </c>
    </row>
    <row r="6221" spans="1:28" x14ac:dyDescent="0.25">
      <c r="A6221" t="s">
        <v>6225</v>
      </c>
      <c r="B6221">
        <v>0.99999676499088797</v>
      </c>
      <c r="C6221">
        <v>0.76301591923609402</v>
      </c>
      <c r="D6221">
        <v>0.28729078373338701</v>
      </c>
      <c r="E6221">
        <v>0.15727832880475201</v>
      </c>
      <c r="F6221">
        <v>0.1110799601354</v>
      </c>
      <c r="G6221">
        <v>9.5863321684603806E-2</v>
      </c>
      <c r="H6221">
        <v>5.7897942267225201E-2</v>
      </c>
      <c r="I6221">
        <v>6.0301583409276702E-2</v>
      </c>
      <c r="J6221">
        <v>6.3559444223565104E-2</v>
      </c>
      <c r="K6221">
        <v>4.47788201273321E-2</v>
      </c>
      <c r="L6221">
        <v>1396.4994632539299</v>
      </c>
      <c r="M6221">
        <v>31.4917521655514</v>
      </c>
      <c r="N6221">
        <v>44.582655407839397</v>
      </c>
      <c r="O6221">
        <v>44.167261685708901</v>
      </c>
      <c r="P6221">
        <v>-0.16447639819003301</v>
      </c>
      <c r="Q6221">
        <v>7.7290705202063395E-2</v>
      </c>
      <c r="R6221">
        <v>0.99369377081221899</v>
      </c>
      <c r="S6221" t="s">
        <v>13224</v>
      </c>
      <c r="T6221" t="s">
        <v>14004</v>
      </c>
      <c r="U6221" t="s">
        <v>14004</v>
      </c>
      <c r="V6221" t="s">
        <v>14004</v>
      </c>
      <c r="W6221" t="s">
        <v>20168</v>
      </c>
      <c r="X6221">
        <v>8</v>
      </c>
      <c r="Y6221" t="s">
        <v>26962</v>
      </c>
      <c r="Z6221" t="s">
        <v>33931</v>
      </c>
      <c r="AA6221">
        <v>0.21658912941929459</v>
      </c>
      <c r="AB6221" t="str">
        <f>HYPERLINK("Melting_Curves/meltCurve_Q9NRY4_ARHGAP35.pdf", "Melting_Curves/meltCurve_Q9NRY4_ARHGAP35.pdf")</f>
        <v>Melting_Curves/meltCurve_Q9NRY4_ARHGAP35.pdf</v>
      </c>
    </row>
    <row r="6222" spans="1:28" x14ac:dyDescent="0.25">
      <c r="A6222" t="s">
        <v>6226</v>
      </c>
      <c r="B6222">
        <v>0.99999676499088797</v>
      </c>
      <c r="C6222">
        <v>0.93732286727998504</v>
      </c>
      <c r="D6222">
        <v>0.94931796808111102</v>
      </c>
      <c r="E6222">
        <v>0.66673483082148999</v>
      </c>
      <c r="F6222">
        <v>0.26142653073217598</v>
      </c>
      <c r="G6222">
        <v>0.18853724342842601</v>
      </c>
      <c r="H6222">
        <v>8.9714886270519004E-2</v>
      </c>
      <c r="I6222">
        <v>7.7948769810699106E-2</v>
      </c>
      <c r="J6222">
        <v>8.1504176126764499E-2</v>
      </c>
      <c r="K6222">
        <v>7.0583308311144399E-2</v>
      </c>
      <c r="L6222">
        <v>1286.2972255537099</v>
      </c>
      <c r="M6222">
        <v>25.407596898947698</v>
      </c>
      <c r="N6222">
        <v>50.987907507196901</v>
      </c>
      <c r="O6222">
        <v>50.315985574999203</v>
      </c>
      <c r="P6222">
        <v>-0.115838560974889</v>
      </c>
      <c r="Q6222">
        <v>8.2407063346922299E-2</v>
      </c>
      <c r="R6222">
        <v>0.99535142120726405</v>
      </c>
      <c r="S6222" t="s">
        <v>13225</v>
      </c>
      <c r="T6222" t="s">
        <v>14004</v>
      </c>
      <c r="U6222" t="s">
        <v>14004</v>
      </c>
      <c r="V6222" t="s">
        <v>14004</v>
      </c>
      <c r="W6222" t="s">
        <v>20169</v>
      </c>
      <c r="X6222">
        <v>15</v>
      </c>
      <c r="Y6222" t="s">
        <v>26963</v>
      </c>
      <c r="Z6222" t="s">
        <v>33932</v>
      </c>
      <c r="AA6222">
        <v>0.41542812357880338</v>
      </c>
      <c r="AB6222" t="str">
        <f>HYPERLINK("Melting_Curves/meltCurve_Q9NRY5_FAM114A2.pdf", "Melting_Curves/meltCurve_Q9NRY5_FAM114A2.pdf")</f>
        <v>Melting_Curves/meltCurve_Q9NRY5_FAM114A2.pdf</v>
      </c>
    </row>
    <row r="6223" spans="1:28" x14ac:dyDescent="0.25">
      <c r="A6223" t="s">
        <v>6227</v>
      </c>
      <c r="B6223">
        <v>0.99999676499088797</v>
      </c>
      <c r="C6223">
        <v>1.0293807511317401</v>
      </c>
      <c r="D6223">
        <v>0.79205854315441804</v>
      </c>
      <c r="E6223">
        <v>0.79179616156542598</v>
      </c>
      <c r="F6223">
        <v>0.73065147356612403</v>
      </c>
      <c r="G6223">
        <v>0.55330597828619599</v>
      </c>
      <c r="H6223">
        <v>0.27679578669047999</v>
      </c>
      <c r="I6223">
        <v>0.249177547928954</v>
      </c>
      <c r="J6223">
        <v>0.14215725171072499</v>
      </c>
      <c r="K6223">
        <v>0.141859247059612</v>
      </c>
      <c r="L6223">
        <v>583.64416905357905</v>
      </c>
      <c r="M6223">
        <v>10.2657477743873</v>
      </c>
      <c r="N6223">
        <v>56.853546803309598</v>
      </c>
      <c r="O6223">
        <v>54.822899193475898</v>
      </c>
      <c r="P6223">
        <v>-4.6833822901181203E-2</v>
      </c>
      <c r="Q6223">
        <v>0</v>
      </c>
      <c r="R6223">
        <v>0.96992363894696498</v>
      </c>
      <c r="S6223" t="s">
        <v>13226</v>
      </c>
      <c r="T6223" t="s">
        <v>14004</v>
      </c>
      <c r="U6223" t="s">
        <v>14004</v>
      </c>
      <c r="V6223" t="s">
        <v>14004</v>
      </c>
      <c r="W6223" t="s">
        <v>20170</v>
      </c>
      <c r="X6223">
        <v>2</v>
      </c>
      <c r="Y6223" t="s">
        <v>26964</v>
      </c>
      <c r="Z6223" t="s">
        <v>33933</v>
      </c>
      <c r="AA6223">
        <v>0.57862558488130844</v>
      </c>
      <c r="AB6223" t="str">
        <f>HYPERLINK("Melting_Curves/meltCurve_Q9NRY6_PLSCR3.pdf", "Melting_Curves/meltCurve_Q9NRY6_PLSCR3.pdf")</f>
        <v>Melting_Curves/meltCurve_Q9NRY6_PLSCR3.pdf</v>
      </c>
    </row>
    <row r="6224" spans="1:28" x14ac:dyDescent="0.25">
      <c r="A6224" t="s">
        <v>6228</v>
      </c>
      <c r="B6224">
        <v>0.99999676499088797</v>
      </c>
      <c r="C6224">
        <v>0.95310455060870103</v>
      </c>
      <c r="D6224">
        <v>0.96537934931083702</v>
      </c>
      <c r="E6224">
        <v>0.98809653801507102</v>
      </c>
      <c r="F6224">
        <v>0.51504271905530596</v>
      </c>
      <c r="G6224">
        <v>0.33610626703512497</v>
      </c>
      <c r="H6224">
        <v>0.19555320519004499</v>
      </c>
      <c r="I6224">
        <v>0.250295513612589</v>
      </c>
      <c r="J6224">
        <v>0.22436939163443201</v>
      </c>
      <c r="K6224">
        <v>0.20406209441947601</v>
      </c>
      <c r="L6224">
        <v>2223.6905465142399</v>
      </c>
      <c r="M6224">
        <v>42.2138808676889</v>
      </c>
      <c r="N6224">
        <v>53.465774611904401</v>
      </c>
      <c r="O6224">
        <v>52.558961164262499</v>
      </c>
      <c r="P6224">
        <v>-0.15424463777948599</v>
      </c>
      <c r="Q6224">
        <v>0.23182382552049199</v>
      </c>
      <c r="R6224">
        <v>0.98932718805249098</v>
      </c>
      <c r="S6224" t="s">
        <v>13227</v>
      </c>
      <c r="T6224" t="s">
        <v>14004</v>
      </c>
      <c r="U6224" t="s">
        <v>14004</v>
      </c>
      <c r="V6224" t="s">
        <v>14004</v>
      </c>
      <c r="W6224" t="s">
        <v>20171</v>
      </c>
      <c r="X6224">
        <v>5</v>
      </c>
      <c r="Y6224" t="s">
        <v>26965</v>
      </c>
      <c r="Z6224" t="s">
        <v>33934</v>
      </c>
      <c r="AA6224">
        <v>0.55893146005445926</v>
      </c>
      <c r="AB6224" t="str">
        <f>HYPERLINK("Melting_Curves/meltCurve_Q9NRZ5_AGPAT4.pdf", "Melting_Curves/meltCurve_Q9NRZ5_AGPAT4.pdf")</f>
        <v>Melting_Curves/meltCurve_Q9NRZ5_AGPAT4.pdf</v>
      </c>
    </row>
    <row r="6225" spans="1:28" x14ac:dyDescent="0.25">
      <c r="A6225" t="s">
        <v>6229</v>
      </c>
      <c r="B6225">
        <v>0.99999676499088797</v>
      </c>
      <c r="C6225">
        <v>1.16542139850599</v>
      </c>
      <c r="D6225">
        <v>1.0902275879207699</v>
      </c>
      <c r="E6225">
        <v>1.1644213975473101</v>
      </c>
      <c r="F6225">
        <v>0.60329348388094794</v>
      </c>
      <c r="G6225">
        <v>0.208126808772474</v>
      </c>
      <c r="H6225">
        <v>8.4550335457093104E-2</v>
      </c>
      <c r="I6225">
        <v>0.12680279316469101</v>
      </c>
      <c r="J6225">
        <v>9.9641412916321906E-2</v>
      </c>
      <c r="K6225">
        <v>0.11900863329196899</v>
      </c>
      <c r="L6225">
        <v>3575.06197086781</v>
      </c>
      <c r="M6225">
        <v>66.969623407435293</v>
      </c>
      <c r="N6225">
        <v>53.610855269633902</v>
      </c>
      <c r="O6225">
        <v>53.335796797946699</v>
      </c>
      <c r="P6225">
        <v>-0.27507992695545602</v>
      </c>
      <c r="Q6225">
        <v>0.123686094084727</v>
      </c>
      <c r="R6225">
        <v>0.96685951773896595</v>
      </c>
      <c r="S6225" t="s">
        <v>13228</v>
      </c>
      <c r="T6225" t="s">
        <v>14004</v>
      </c>
      <c r="U6225" t="s">
        <v>14004</v>
      </c>
      <c r="V6225" t="s">
        <v>14004</v>
      </c>
      <c r="W6225" t="s">
        <v>20172</v>
      </c>
      <c r="X6225">
        <v>2</v>
      </c>
      <c r="Y6225" t="s">
        <v>26966</v>
      </c>
      <c r="Z6225" t="s">
        <v>33935</v>
      </c>
      <c r="AA6225">
        <v>0.5157669576400965</v>
      </c>
      <c r="AB6225" t="str">
        <f>HYPERLINK("Melting_Curves/meltCurve_Q9NRZ7_2_AGPAT3.pdf", "Melting_Curves/meltCurve_Q9NRZ7_2_AGPAT3.pdf")</f>
        <v>Melting_Curves/meltCurve_Q9NRZ7_2_AGPAT3.pdf</v>
      </c>
    </row>
    <row r="6226" spans="1:28" x14ac:dyDescent="0.25">
      <c r="A6226" t="s">
        <v>6230</v>
      </c>
      <c r="B6226">
        <v>0.99999676499088797</v>
      </c>
      <c r="C6226">
        <v>0.93001976552283605</v>
      </c>
      <c r="D6226">
        <v>0.496643022530041</v>
      </c>
      <c r="E6226">
        <v>0.227524136876948</v>
      </c>
      <c r="F6226">
        <v>0.17730904701553299</v>
      </c>
      <c r="G6226">
        <v>0.137502446523245</v>
      </c>
      <c r="H6226">
        <v>8.21246003656559E-2</v>
      </c>
      <c r="I6226">
        <v>9.04772083645667E-2</v>
      </c>
      <c r="J6226">
        <v>9.49918361820066E-2</v>
      </c>
      <c r="K6226">
        <v>9.2658593505254502E-2</v>
      </c>
      <c r="L6226">
        <v>1345.2628658103199</v>
      </c>
      <c r="M6226">
        <v>29.373512152466901</v>
      </c>
      <c r="N6226">
        <v>46.197268483622402</v>
      </c>
      <c r="O6226">
        <v>45.587805337090202</v>
      </c>
      <c r="P6226">
        <v>-0.14304545944368099</v>
      </c>
      <c r="Q6226">
        <v>0.11197787065779299</v>
      </c>
      <c r="R6226">
        <v>0.99244532160200405</v>
      </c>
      <c r="S6226" t="s">
        <v>13229</v>
      </c>
      <c r="T6226" t="s">
        <v>14004</v>
      </c>
      <c r="U6226" t="s">
        <v>14004</v>
      </c>
      <c r="V6226" t="s">
        <v>14004</v>
      </c>
      <c r="W6226" t="s">
        <v>20173</v>
      </c>
      <c r="X6226">
        <v>27</v>
      </c>
      <c r="Y6226" t="s">
        <v>26967</v>
      </c>
      <c r="Z6226" t="s">
        <v>33936</v>
      </c>
      <c r="AA6226">
        <v>0.28933577564391921</v>
      </c>
      <c r="AB6226" t="str">
        <f>HYPERLINK("Melting_Curves/meltCurve_Q9NRZ9_2_HELLS.pdf", "Melting_Curves/meltCurve_Q9NRZ9_2_HELLS.pdf")</f>
        <v>Melting_Curves/meltCurve_Q9NRZ9_2_HELLS.pdf</v>
      </c>
    </row>
    <row r="6227" spans="1:28" x14ac:dyDescent="0.25">
      <c r="A6227" t="s">
        <v>6231</v>
      </c>
      <c r="B6227">
        <v>0.99999676499088797</v>
      </c>
      <c r="C6227">
        <v>0.95409667866066405</v>
      </c>
      <c r="D6227">
        <v>0.995187641873574</v>
      </c>
      <c r="E6227">
        <v>1.07475605463462</v>
      </c>
      <c r="F6227">
        <v>1.18380885106389</v>
      </c>
      <c r="G6227">
        <v>1.1338783355114701</v>
      </c>
      <c r="H6227">
        <v>0.81279525667015695</v>
      </c>
      <c r="I6227">
        <v>0.66672701584307104</v>
      </c>
      <c r="J6227">
        <v>0.51811385727360704</v>
      </c>
      <c r="K6227">
        <v>0.47316182781865701</v>
      </c>
      <c r="L6227">
        <v>2266.84266943385</v>
      </c>
      <c r="M6227">
        <v>36.221347821838002</v>
      </c>
      <c r="N6227">
        <v>68.185636446838004</v>
      </c>
      <c r="O6227">
        <v>62.393215966972399</v>
      </c>
      <c r="P6227">
        <v>-7.6266855716227003E-2</v>
      </c>
      <c r="Q6227">
        <v>0.47450659838723802</v>
      </c>
      <c r="R6227">
        <v>0.88314087663741503</v>
      </c>
      <c r="S6227" t="s">
        <v>13230</v>
      </c>
      <c r="T6227" t="s">
        <v>14004</v>
      </c>
      <c r="U6227" t="s">
        <v>14004</v>
      </c>
      <c r="V6227" t="s">
        <v>14004</v>
      </c>
      <c r="W6227" t="s">
        <v>20174</v>
      </c>
      <c r="X6227">
        <v>3</v>
      </c>
      <c r="Y6227" t="s">
        <v>26968</v>
      </c>
      <c r="Z6227" t="s">
        <v>33937</v>
      </c>
      <c r="AA6227">
        <v>0.87199770865989867</v>
      </c>
      <c r="AB6227" t="str">
        <f>HYPERLINK("Melting_Curves/meltCurve_Q9NS69_TOMM22.pdf", "Melting_Curves/meltCurve_Q9NS69_TOMM22.pdf")</f>
        <v>Melting_Curves/meltCurve_Q9NS69_TOMM22.pdf</v>
      </c>
    </row>
    <row r="6228" spans="1:28" x14ac:dyDescent="0.25">
      <c r="A6228" t="s">
        <v>6232</v>
      </c>
      <c r="B6228">
        <v>0.99999676499088797</v>
      </c>
      <c r="C6228">
        <v>0.98334305738678196</v>
      </c>
      <c r="D6228">
        <v>0.97414626003503302</v>
      </c>
      <c r="E6228">
        <v>1.0853520089888999</v>
      </c>
      <c r="F6228">
        <v>1.02397541179023</v>
      </c>
      <c r="G6228">
        <v>0.81399764978418598</v>
      </c>
      <c r="H6228">
        <v>0.44145726757258402</v>
      </c>
      <c r="I6228">
        <v>0.18192329453605299</v>
      </c>
      <c r="J6228">
        <v>0.11874867292560599</v>
      </c>
      <c r="K6228">
        <v>9.2064044844284904E-2</v>
      </c>
      <c r="L6228">
        <v>1772.7726283775901</v>
      </c>
      <c r="M6228">
        <v>29.658775573908201</v>
      </c>
      <c r="N6228">
        <v>60.125230274658598</v>
      </c>
      <c r="O6228">
        <v>59.502520390169899</v>
      </c>
      <c r="P6228">
        <v>-0.114656319168521</v>
      </c>
      <c r="Q6228">
        <v>7.9895484337662498E-2</v>
      </c>
      <c r="R6228">
        <v>0.99237735886481404</v>
      </c>
      <c r="S6228" t="s">
        <v>13231</v>
      </c>
      <c r="T6228" t="s">
        <v>14004</v>
      </c>
      <c r="U6228" t="s">
        <v>14004</v>
      </c>
      <c r="V6228" t="s">
        <v>14004</v>
      </c>
      <c r="W6228" t="s">
        <v>20175</v>
      </c>
      <c r="X6228">
        <v>15</v>
      </c>
      <c r="Y6228" t="s">
        <v>26969</v>
      </c>
      <c r="Z6228" t="s">
        <v>33938</v>
      </c>
      <c r="AA6228">
        <v>0.69207715243496748</v>
      </c>
      <c r="AB6228" t="str">
        <f>HYPERLINK("Melting_Curves/meltCurve_Q9NS86_LANCL2.pdf", "Melting_Curves/meltCurve_Q9NS86_LANCL2.pdf")</f>
        <v>Melting_Curves/meltCurve_Q9NS86_LANCL2.pdf</v>
      </c>
    </row>
    <row r="6229" spans="1:28" x14ac:dyDescent="0.25">
      <c r="A6229" t="s">
        <v>6233</v>
      </c>
      <c r="B6229">
        <v>0.99999676499088797</v>
      </c>
      <c r="C6229">
        <v>0.58523363297750397</v>
      </c>
      <c r="D6229">
        <v>0.15051993091860899</v>
      </c>
      <c r="E6229">
        <v>0.10673859933412801</v>
      </c>
      <c r="F6229">
        <v>0.14669744927117001</v>
      </c>
      <c r="G6229">
        <v>5.9423790110526502E-2</v>
      </c>
      <c r="H6229">
        <v>3.2040497982045897E-2</v>
      </c>
      <c r="I6229">
        <v>2.95486174058688E-2</v>
      </c>
      <c r="J6229">
        <v>2.8389052529127001E-2</v>
      </c>
      <c r="K6229">
        <v>2.4837665804218902E-2</v>
      </c>
      <c r="L6229">
        <v>1717.95028833169</v>
      </c>
      <c r="M6229">
        <v>39.7652751617901</v>
      </c>
      <c r="N6229">
        <v>43.3449819271938</v>
      </c>
      <c r="O6229">
        <v>43.093449083971201</v>
      </c>
      <c r="P6229">
        <v>-0.21653796494014299</v>
      </c>
      <c r="Q6229">
        <v>6.1357168826657198E-2</v>
      </c>
      <c r="R6229">
        <v>0.98426458792121496</v>
      </c>
      <c r="S6229" t="s">
        <v>13232</v>
      </c>
      <c r="T6229" t="s">
        <v>14004</v>
      </c>
      <c r="U6229" t="s">
        <v>14004</v>
      </c>
      <c r="V6229" t="s">
        <v>14004</v>
      </c>
      <c r="W6229" t="s">
        <v>20176</v>
      </c>
      <c r="X6229">
        <v>15</v>
      </c>
      <c r="Y6229" t="s">
        <v>26970</v>
      </c>
      <c r="Z6229" t="s">
        <v>33939</v>
      </c>
      <c r="AA6229">
        <v>0.16551867686878149</v>
      </c>
      <c r="AB6229" t="str">
        <f>HYPERLINK("Melting_Curves/meltCurve_Q9NS87_KIF15.pdf", "Melting_Curves/meltCurve_Q9NS87_KIF15.pdf")</f>
        <v>Melting_Curves/meltCurve_Q9NS87_KIF15.pdf</v>
      </c>
    </row>
    <row r="6230" spans="1:28" x14ac:dyDescent="0.25">
      <c r="A6230" t="s">
        <v>6234</v>
      </c>
      <c r="B6230">
        <v>0.99999676499088797</v>
      </c>
      <c r="C6230">
        <v>0.75692136875486704</v>
      </c>
      <c r="D6230">
        <v>0.44822570174988602</v>
      </c>
      <c r="E6230">
        <v>0.27685015935187401</v>
      </c>
      <c r="F6230">
        <v>0.26437018049060901</v>
      </c>
      <c r="G6230">
        <v>0.19013169285658499</v>
      </c>
      <c r="H6230">
        <v>0.12892893960141</v>
      </c>
      <c r="I6230">
        <v>9.1479091477182597E-2</v>
      </c>
      <c r="J6230">
        <v>0.108792496270048</v>
      </c>
      <c r="K6230">
        <v>0.109516973684276</v>
      </c>
      <c r="L6230">
        <v>846.47501439223299</v>
      </c>
      <c r="M6230">
        <v>18.754604358380099</v>
      </c>
      <c r="N6230">
        <v>45.888761755915603</v>
      </c>
      <c r="O6230">
        <v>44.630496217401898</v>
      </c>
      <c r="P6230">
        <v>-9.1120333784223004E-2</v>
      </c>
      <c r="Q6230">
        <v>0.13267697031164999</v>
      </c>
      <c r="R6230">
        <v>0.97805964510364196</v>
      </c>
      <c r="S6230" t="s">
        <v>13233</v>
      </c>
      <c r="T6230" t="s">
        <v>14004</v>
      </c>
      <c r="U6230" t="s">
        <v>14004</v>
      </c>
      <c r="V6230" t="s">
        <v>14004</v>
      </c>
      <c r="W6230" t="s">
        <v>20177</v>
      </c>
      <c r="X6230">
        <v>8</v>
      </c>
      <c r="Y6230" t="s">
        <v>26971</v>
      </c>
      <c r="Z6230" t="s">
        <v>33940</v>
      </c>
      <c r="AA6230">
        <v>0.29789757714107978</v>
      </c>
      <c r="AB6230" t="str">
        <f>HYPERLINK("Melting_Curves/meltCurve_Q9NS91_RAD18.pdf", "Melting_Curves/meltCurve_Q9NS91_RAD18.pdf")</f>
        <v>Melting_Curves/meltCurve_Q9NS91_RAD18.pdf</v>
      </c>
    </row>
    <row r="6231" spans="1:28" x14ac:dyDescent="0.25">
      <c r="A6231" t="s">
        <v>6235</v>
      </c>
      <c r="B6231">
        <v>0.99999676499088797</v>
      </c>
      <c r="C6231">
        <v>0.97011335440611002</v>
      </c>
      <c r="D6231">
        <v>0.92677537091191997</v>
      </c>
      <c r="E6231">
        <v>0.84940853844217101</v>
      </c>
      <c r="F6231">
        <v>0.692291676805184</v>
      </c>
      <c r="G6231">
        <v>0.503830417004552</v>
      </c>
      <c r="H6231">
        <v>0.181397743909329</v>
      </c>
      <c r="I6231">
        <v>0.16202449874805699</v>
      </c>
      <c r="J6231">
        <v>0.12515122761119299</v>
      </c>
      <c r="K6231">
        <v>0.132627827320697</v>
      </c>
      <c r="L6231">
        <v>860.895740590777</v>
      </c>
      <c r="M6231">
        <v>15.5153381492969</v>
      </c>
      <c r="N6231">
        <v>55.975929799118603</v>
      </c>
      <c r="O6231">
        <v>54.589507915266999</v>
      </c>
      <c r="P6231">
        <v>-6.6555706316411598E-2</v>
      </c>
      <c r="Q6231">
        <v>6.3398627497486301E-2</v>
      </c>
      <c r="R6231">
        <v>0.99057190872894196</v>
      </c>
      <c r="S6231" t="s">
        <v>13234</v>
      </c>
      <c r="T6231" t="s">
        <v>14004</v>
      </c>
      <c r="U6231" t="s">
        <v>14004</v>
      </c>
      <c r="V6231" t="s">
        <v>14004</v>
      </c>
      <c r="W6231" t="s">
        <v>20178</v>
      </c>
      <c r="X6231">
        <v>3</v>
      </c>
      <c r="Y6231" t="s">
        <v>26972</v>
      </c>
      <c r="Z6231" t="s">
        <v>33941</v>
      </c>
      <c r="AA6231">
        <v>0.56371907860403814</v>
      </c>
      <c r="AB6231" t="str">
        <f>HYPERLINK("Melting_Curves/meltCurve_Q9NS93_TM7SF3.pdf", "Melting_Curves/meltCurve_Q9NS93_TM7SF3.pdf")</f>
        <v>Melting_Curves/meltCurve_Q9NS93_TM7SF3.pdf</v>
      </c>
    </row>
    <row r="6232" spans="1:28" x14ac:dyDescent="0.25">
      <c r="A6232" t="s">
        <v>6236</v>
      </c>
      <c r="B6232">
        <v>0.99999676499088797</v>
      </c>
      <c r="C6232">
        <v>0.92668202326998494</v>
      </c>
      <c r="D6232">
        <v>0.88901005773110298</v>
      </c>
      <c r="E6232">
        <v>0.73453142178030795</v>
      </c>
      <c r="F6232">
        <v>0.64827357466623403</v>
      </c>
      <c r="G6232">
        <v>0.455584780365965</v>
      </c>
      <c r="H6232">
        <v>0.26562488039583898</v>
      </c>
      <c r="I6232">
        <v>0.245514298768995</v>
      </c>
      <c r="J6232">
        <v>0.21167880984943199</v>
      </c>
      <c r="K6232">
        <v>0.202469536669173</v>
      </c>
      <c r="L6232">
        <v>597.94228953211905</v>
      </c>
      <c r="M6232">
        <v>11.044903056251201</v>
      </c>
      <c r="N6232">
        <v>55.4313457801886</v>
      </c>
      <c r="O6232">
        <v>52.4535396095525</v>
      </c>
      <c r="P6232">
        <v>-4.66749450440265E-2</v>
      </c>
      <c r="Q6232">
        <v>0.11363524628210001</v>
      </c>
      <c r="R6232">
        <v>0.99184513138862995</v>
      </c>
      <c r="S6232" t="s">
        <v>13235</v>
      </c>
      <c r="T6232" t="s">
        <v>14004</v>
      </c>
      <c r="U6232" t="s">
        <v>14004</v>
      </c>
      <c r="V6232" t="s">
        <v>14004</v>
      </c>
      <c r="W6232" t="s">
        <v>20179</v>
      </c>
      <c r="X6232">
        <v>2</v>
      </c>
      <c r="Y6232" t="s">
        <v>26973</v>
      </c>
      <c r="Z6232" t="s">
        <v>33942</v>
      </c>
      <c r="AA6232">
        <v>0.55581322708853875</v>
      </c>
      <c r="AB6232" t="str">
        <f>HYPERLINK("Melting_Curves/meltCurve_Q9NSA3_CTNNBIP1.pdf", "Melting_Curves/meltCurve_Q9NSA3_CTNNBIP1.pdf")</f>
        <v>Melting_Curves/meltCurve_Q9NSA3_CTNNBIP1.pdf</v>
      </c>
    </row>
    <row r="6233" spans="1:28" x14ac:dyDescent="0.25">
      <c r="A6233" t="s">
        <v>6237</v>
      </c>
      <c r="B6233">
        <v>0.99999676499088797</v>
      </c>
      <c r="C6233">
        <v>0.98550651267524403</v>
      </c>
      <c r="D6233">
        <v>0.86301564993709201</v>
      </c>
      <c r="E6233">
        <v>0.59574084854712595</v>
      </c>
      <c r="F6233">
        <v>0.315900739370507</v>
      </c>
      <c r="G6233">
        <v>0.17994354515922201</v>
      </c>
      <c r="H6233">
        <v>0.110636989411711</v>
      </c>
      <c r="I6233">
        <v>8.5084221100028098E-2</v>
      </c>
      <c r="J6233">
        <v>8.1280525247407795E-2</v>
      </c>
      <c r="K6233">
        <v>6.3354347432793098E-2</v>
      </c>
      <c r="L6233">
        <v>944.59851578994699</v>
      </c>
      <c r="M6233">
        <v>18.762681232130799</v>
      </c>
      <c r="N6233">
        <v>50.754238008599998</v>
      </c>
      <c r="O6233">
        <v>49.783105393297902</v>
      </c>
      <c r="P6233">
        <v>-8.7604583589907803E-2</v>
      </c>
      <c r="Q6233">
        <v>7.02724358047115E-2</v>
      </c>
      <c r="R6233">
        <v>0.99944375772566496</v>
      </c>
      <c r="S6233" t="s">
        <v>13236</v>
      </c>
      <c r="T6233" t="s">
        <v>14004</v>
      </c>
      <c r="U6233" t="s">
        <v>14004</v>
      </c>
      <c r="V6233" t="s">
        <v>14004</v>
      </c>
      <c r="W6233" t="s">
        <v>20180</v>
      </c>
      <c r="X6233">
        <v>6</v>
      </c>
      <c r="Y6233" t="s">
        <v>26974</v>
      </c>
      <c r="Z6233" t="s">
        <v>33943</v>
      </c>
      <c r="AA6233">
        <v>0.40546191448827779</v>
      </c>
      <c r="AB6233" t="str">
        <f>HYPERLINK("Melting_Curves/meltCurve_Q9NSB8_2_HOMER2.pdf", "Melting_Curves/meltCurve_Q9NSB8_2_HOMER2.pdf")</f>
        <v>Melting_Curves/meltCurve_Q9NSB8_2_HOMER2.pdf</v>
      </c>
    </row>
    <row r="6234" spans="1:28" x14ac:dyDescent="0.25">
      <c r="A6234" t="s">
        <v>6238</v>
      </c>
      <c r="B6234">
        <v>0.99999676499088797</v>
      </c>
      <c r="C6234">
        <v>0.92435149800007199</v>
      </c>
      <c r="D6234">
        <v>0.74847902078775497</v>
      </c>
      <c r="E6234">
        <v>0.447776885210111</v>
      </c>
      <c r="F6234">
        <v>0.25995038119839198</v>
      </c>
      <c r="G6234">
        <v>0.227815970812248</v>
      </c>
      <c r="H6234">
        <v>0.143661902570279</v>
      </c>
      <c r="I6234">
        <v>0.16297625596343401</v>
      </c>
      <c r="J6234">
        <v>0.162729528875212</v>
      </c>
      <c r="K6234">
        <v>0.16792038985951499</v>
      </c>
      <c r="L6234">
        <v>946.94562780288504</v>
      </c>
      <c r="M6234">
        <v>19.733169248497799</v>
      </c>
      <c r="N6234">
        <v>48.939630271343397</v>
      </c>
      <c r="O6234">
        <v>47.502844470080298</v>
      </c>
      <c r="P6234">
        <v>-8.7301202184543097E-2</v>
      </c>
      <c r="Q6234">
        <v>0.159402522102469</v>
      </c>
      <c r="R6234">
        <v>0.997949802532062</v>
      </c>
      <c r="S6234" t="s">
        <v>13237</v>
      </c>
      <c r="T6234" t="s">
        <v>14004</v>
      </c>
      <c r="U6234" t="s">
        <v>14004</v>
      </c>
      <c r="V6234" t="s">
        <v>14004</v>
      </c>
      <c r="W6234" t="s">
        <v>20181</v>
      </c>
      <c r="X6234">
        <v>10</v>
      </c>
      <c r="Y6234" t="s">
        <v>26975</v>
      </c>
      <c r="Z6234" t="s">
        <v>33944</v>
      </c>
      <c r="AA6234">
        <v>0.39550614097708903</v>
      </c>
      <c r="AB6234" t="str">
        <f>HYPERLINK("Melting_Curves/meltCurve_Q9NSC5_5_HOMER3.pdf", "Melting_Curves/meltCurve_Q9NSC5_5_HOMER3.pdf")</f>
        <v>Melting_Curves/meltCurve_Q9NSC5_5_HOMER3.pdf</v>
      </c>
    </row>
    <row r="6235" spans="1:28" x14ac:dyDescent="0.25">
      <c r="A6235" t="s">
        <v>6239</v>
      </c>
      <c r="B6235">
        <v>0.99999676499088797</v>
      </c>
      <c r="C6235">
        <v>1.0108275746646</v>
      </c>
      <c r="D6235">
        <v>1.02504942098348</v>
      </c>
      <c r="E6235">
        <v>0.776366874842915</v>
      </c>
      <c r="F6235">
        <v>0.37507538945383401</v>
      </c>
      <c r="G6235">
        <v>0.23375054596268999</v>
      </c>
      <c r="H6235">
        <v>9.2568415870147996E-2</v>
      </c>
      <c r="I6235">
        <v>8.0270653200517197E-2</v>
      </c>
      <c r="J6235">
        <v>7.22226624578928E-2</v>
      </c>
      <c r="K6235">
        <v>5.8945805822456003E-2</v>
      </c>
      <c r="L6235">
        <v>1288.6160794499599</v>
      </c>
      <c r="M6235">
        <v>24.810716976684301</v>
      </c>
      <c r="N6235">
        <v>52.282470248315697</v>
      </c>
      <c r="O6235">
        <v>51.603997968759998</v>
      </c>
      <c r="P6235">
        <v>-0.11113319605566301</v>
      </c>
      <c r="Q6235">
        <v>7.5425711605939E-2</v>
      </c>
      <c r="R6235">
        <v>0.99463494769239202</v>
      </c>
      <c r="S6235" t="s">
        <v>13238</v>
      </c>
      <c r="T6235" t="s">
        <v>14004</v>
      </c>
      <c r="U6235" t="s">
        <v>14004</v>
      </c>
      <c r="V6235" t="s">
        <v>14004</v>
      </c>
      <c r="W6235" t="s">
        <v>20182</v>
      </c>
      <c r="X6235">
        <v>41</v>
      </c>
      <c r="Y6235" t="s">
        <v>26976</v>
      </c>
      <c r="Z6235" t="s">
        <v>33945</v>
      </c>
      <c r="AA6235">
        <v>0.4519006701291145</v>
      </c>
      <c r="AB6235" t="str">
        <f>HYPERLINK("Melting_Curves/meltCurve_Q9NSD9_FARSB.pdf", "Melting_Curves/meltCurve_Q9NSD9_FARSB.pdf")</f>
        <v>Melting_Curves/meltCurve_Q9NSD9_FARSB.pdf</v>
      </c>
    </row>
    <row r="6236" spans="1:28" x14ac:dyDescent="0.25">
      <c r="A6236" t="s">
        <v>6240</v>
      </c>
      <c r="B6236">
        <v>0.99999676499088797</v>
      </c>
      <c r="C6236">
        <v>1.05942139695994</v>
      </c>
      <c r="D6236">
        <v>1.0494434638963299</v>
      </c>
      <c r="E6236">
        <v>1.14390796689536</v>
      </c>
      <c r="F6236">
        <v>0.90329073258201398</v>
      </c>
      <c r="G6236">
        <v>0.70941737493562196</v>
      </c>
      <c r="H6236">
        <v>0.13464298095789301</v>
      </c>
      <c r="I6236">
        <v>0.104376257162634</v>
      </c>
      <c r="J6236">
        <v>8.1480638088826607E-2</v>
      </c>
      <c r="K6236">
        <v>7.1445534370843194E-2</v>
      </c>
      <c r="L6236">
        <v>2635.5792139861701</v>
      </c>
      <c r="M6236">
        <v>45.690850707015798</v>
      </c>
      <c r="N6236">
        <v>57.8916635023811</v>
      </c>
      <c r="O6236">
        <v>57.572695726681197</v>
      </c>
      <c r="P6236">
        <v>-0.183331696768541</v>
      </c>
      <c r="Q6236">
        <v>7.5973683191198904E-2</v>
      </c>
      <c r="R6236">
        <v>0.98284478326375402</v>
      </c>
      <c r="S6236" t="s">
        <v>13239</v>
      </c>
      <c r="T6236" t="s">
        <v>14004</v>
      </c>
      <c r="U6236" t="s">
        <v>14004</v>
      </c>
      <c r="V6236" t="s">
        <v>14004</v>
      </c>
      <c r="W6236" t="s">
        <v>20183</v>
      </c>
      <c r="X6236">
        <v>32</v>
      </c>
      <c r="Y6236" t="s">
        <v>26977</v>
      </c>
      <c r="Z6236" t="s">
        <v>33946</v>
      </c>
      <c r="AA6236">
        <v>0.62342057210959034</v>
      </c>
      <c r="AB6236" t="str">
        <f>HYPERLINK("Melting_Curves/meltCurve_Q9NSE4_IARS2.pdf", "Melting_Curves/meltCurve_Q9NSE4_IARS2.pdf")</f>
        <v>Melting_Curves/meltCurve_Q9NSE4_IARS2.pdf</v>
      </c>
    </row>
    <row r="6237" spans="1:28" x14ac:dyDescent="0.25">
      <c r="A6237" t="s">
        <v>6241</v>
      </c>
      <c r="B6237">
        <v>0.99999676499088797</v>
      </c>
      <c r="C6237">
        <v>0.74006473751034396</v>
      </c>
      <c r="D6237">
        <v>0.41661142681174701</v>
      </c>
      <c r="E6237">
        <v>0.20881229263725801</v>
      </c>
      <c r="F6237">
        <v>0.16110658545123999</v>
      </c>
      <c r="G6237">
        <v>0.11353032073789</v>
      </c>
      <c r="H6237">
        <v>5.0153324343514501E-2</v>
      </c>
      <c r="I6237">
        <v>9.0751509941371405E-2</v>
      </c>
      <c r="J6237">
        <v>0.11839198463789399</v>
      </c>
      <c r="K6237">
        <v>0.10115806941434401</v>
      </c>
      <c r="L6237">
        <v>1009.96619685378</v>
      </c>
      <c r="M6237">
        <v>22.533440963140801</v>
      </c>
      <c r="N6237">
        <v>45.273219600740902</v>
      </c>
      <c r="O6237">
        <v>44.472253902094401</v>
      </c>
      <c r="P6237">
        <v>-0.113902787261298</v>
      </c>
      <c r="Q6237">
        <v>0.100819041772895</v>
      </c>
      <c r="R6237">
        <v>0.99115242453284103</v>
      </c>
      <c r="S6237" t="s">
        <v>13240</v>
      </c>
      <c r="T6237" t="s">
        <v>14004</v>
      </c>
      <c r="U6237" t="s">
        <v>14004</v>
      </c>
      <c r="V6237" t="s">
        <v>14004</v>
      </c>
      <c r="W6237" t="s">
        <v>20184</v>
      </c>
      <c r="X6237">
        <v>1</v>
      </c>
      <c r="Y6237" t="s">
        <v>26978</v>
      </c>
      <c r="Z6237" t="s">
        <v>33947</v>
      </c>
      <c r="AA6237">
        <v>0.25703879661772838</v>
      </c>
      <c r="AB6237" t="str">
        <f>HYPERLINK("Melting_Curves/meltCurve_Q9NSI2_2_FAM207A.pdf", "Melting_Curves/meltCurve_Q9NSI2_2_FAM207A.pdf")</f>
        <v>Melting_Curves/meltCurve_Q9NSI2_2_FAM207A.pdf</v>
      </c>
    </row>
    <row r="6238" spans="1:28" x14ac:dyDescent="0.25">
      <c r="A6238" t="s">
        <v>6242</v>
      </c>
      <c r="B6238">
        <v>0.99999676499088797</v>
      </c>
      <c r="C6238">
        <v>1.05092795984874</v>
      </c>
      <c r="D6238">
        <v>0.97456439852388499</v>
      </c>
      <c r="E6238">
        <v>0.68956374883006699</v>
      </c>
      <c r="F6238">
        <v>0.40775318365301899</v>
      </c>
      <c r="G6238">
        <v>0.33885832450718001</v>
      </c>
      <c r="H6238">
        <v>0.171534280234375</v>
      </c>
      <c r="I6238">
        <v>0.15458236622815799</v>
      </c>
      <c r="J6238">
        <v>0.17079045197072101</v>
      </c>
      <c r="K6238">
        <v>0.13683316620335201</v>
      </c>
      <c r="L6238">
        <v>1037.9387647005001</v>
      </c>
      <c r="M6238">
        <v>20.219831205370799</v>
      </c>
      <c r="N6238">
        <v>52.292546295224398</v>
      </c>
      <c r="O6238">
        <v>50.838521304628202</v>
      </c>
      <c r="P6238">
        <v>-8.4019841068428899E-2</v>
      </c>
      <c r="Q6238">
        <v>0.155025275217717</v>
      </c>
      <c r="R6238">
        <v>0.98807677726768794</v>
      </c>
      <c r="S6238" t="s">
        <v>13241</v>
      </c>
      <c r="T6238" t="s">
        <v>14004</v>
      </c>
      <c r="U6238" t="s">
        <v>14004</v>
      </c>
      <c r="V6238" t="s">
        <v>14004</v>
      </c>
      <c r="W6238" t="s">
        <v>20185</v>
      </c>
      <c r="X6238">
        <v>6</v>
      </c>
      <c r="Y6238" t="s">
        <v>26979</v>
      </c>
      <c r="Z6238" t="s">
        <v>33948</v>
      </c>
      <c r="AA6238">
        <v>0.48570548667794539</v>
      </c>
      <c r="AB6238" t="str">
        <f>HYPERLINK("Melting_Curves/meltCurve_Q9NSI8_3_SAMSN1.pdf", "Melting_Curves/meltCurve_Q9NSI8_3_SAMSN1.pdf")</f>
        <v>Melting_Curves/meltCurve_Q9NSI8_3_SAMSN1.pdf</v>
      </c>
    </row>
    <row r="6239" spans="1:28" x14ac:dyDescent="0.25">
      <c r="A6239" t="s">
        <v>6243</v>
      </c>
      <c r="B6239">
        <v>0.99999676499088797</v>
      </c>
      <c r="C6239">
        <v>1.06483328051594</v>
      </c>
      <c r="D6239">
        <v>1.0152570315503699</v>
      </c>
      <c r="E6239">
        <v>0.52538913801027098</v>
      </c>
      <c r="F6239">
        <v>0.30296806812895799</v>
      </c>
      <c r="G6239">
        <v>0.209071679380607</v>
      </c>
      <c r="H6239">
        <v>0.12073897216728301</v>
      </c>
      <c r="I6239">
        <v>0.11517397930666599</v>
      </c>
      <c r="J6239">
        <v>0.130442831612295</v>
      </c>
      <c r="K6239">
        <v>0.10298031141983</v>
      </c>
      <c r="L6239">
        <v>1515.8025521305699</v>
      </c>
      <c r="M6239">
        <v>30.4982171288571</v>
      </c>
      <c r="N6239">
        <v>50.232451566575598</v>
      </c>
      <c r="O6239">
        <v>49.489132718238899</v>
      </c>
      <c r="P6239">
        <v>-0.132833475573229</v>
      </c>
      <c r="Q6239">
        <v>0.13781539446063801</v>
      </c>
      <c r="R6239">
        <v>0.98408054554736701</v>
      </c>
      <c r="S6239" t="s">
        <v>13242</v>
      </c>
      <c r="T6239" t="s">
        <v>14004</v>
      </c>
      <c r="U6239" t="s">
        <v>14004</v>
      </c>
      <c r="V6239" t="s">
        <v>14004</v>
      </c>
      <c r="W6239" t="s">
        <v>20186</v>
      </c>
      <c r="X6239">
        <v>21</v>
      </c>
      <c r="Y6239" t="s">
        <v>26980</v>
      </c>
      <c r="Z6239" t="s">
        <v>33949</v>
      </c>
      <c r="AA6239">
        <v>0.42175993317957872</v>
      </c>
      <c r="AB6239" t="str">
        <f>HYPERLINK("Melting_Curves/meltCurve_Q9NSK0_KLC4.pdf", "Melting_Curves/meltCurve_Q9NSK0_KLC4.pdf")</f>
        <v>Melting_Curves/meltCurve_Q9NSK0_KLC4.pdf</v>
      </c>
    </row>
    <row r="6240" spans="1:28" x14ac:dyDescent="0.25">
      <c r="A6240" t="s">
        <v>6244</v>
      </c>
      <c r="B6240">
        <v>0.99999676499088797</v>
      </c>
      <c r="C6240">
        <v>1.04556127434808</v>
      </c>
      <c r="D6240">
        <v>0.99821499886816401</v>
      </c>
      <c r="E6240">
        <v>0.99603868154373298</v>
      </c>
      <c r="F6240">
        <v>0.75674812243582201</v>
      </c>
      <c r="G6240">
        <v>0.66796349890052498</v>
      </c>
      <c r="H6240">
        <v>0.49794717870931798</v>
      </c>
      <c r="I6240">
        <v>0.220603181826379</v>
      </c>
      <c r="J6240">
        <v>0.12497978646466799</v>
      </c>
      <c r="K6240">
        <v>0.114458640676791</v>
      </c>
      <c r="L6240">
        <v>852.52818876061303</v>
      </c>
      <c r="M6240">
        <v>14.3456595048191</v>
      </c>
      <c r="N6240">
        <v>59.427605384402597</v>
      </c>
      <c r="O6240">
        <v>58.308612813581</v>
      </c>
      <c r="P6240">
        <v>-6.1514862881266598E-2</v>
      </c>
      <c r="Q6240">
        <v>0</v>
      </c>
      <c r="R6240">
        <v>0.98289660137400203</v>
      </c>
      <c r="S6240" t="s">
        <v>13243</v>
      </c>
      <c r="T6240" t="s">
        <v>14004</v>
      </c>
      <c r="U6240" t="s">
        <v>14004</v>
      </c>
      <c r="V6240" t="s">
        <v>14004</v>
      </c>
      <c r="W6240" t="s">
        <v>20187</v>
      </c>
      <c r="X6240">
        <v>6</v>
      </c>
      <c r="Y6240" t="s">
        <v>26981</v>
      </c>
      <c r="Z6240" t="s">
        <v>33950</v>
      </c>
      <c r="AA6240">
        <v>0.65619016216076764</v>
      </c>
      <c r="AB6240" t="str">
        <f>HYPERLINK("Melting_Curves/meltCurve_Q9NSU2_2_TREX1.pdf", "Melting_Curves/meltCurve_Q9NSU2_2_TREX1.pdf")</f>
        <v>Melting_Curves/meltCurve_Q9NSU2_2_TREX1.pdf</v>
      </c>
    </row>
    <row r="6241" spans="1:28" x14ac:dyDescent="0.25">
      <c r="A6241" t="s">
        <v>6245</v>
      </c>
      <c r="B6241">
        <v>0.99999676499088797</v>
      </c>
      <c r="C6241">
        <v>0.93901814633505698</v>
      </c>
      <c r="D6241">
        <v>0.90530252857926297</v>
      </c>
      <c r="E6241">
        <v>0.68115766150129298</v>
      </c>
      <c r="F6241">
        <v>0.40216914453623298</v>
      </c>
      <c r="G6241">
        <v>0.201742405185979</v>
      </c>
      <c r="H6241">
        <v>0.149007861327525</v>
      </c>
      <c r="I6241">
        <v>0.12020191871884101</v>
      </c>
      <c r="J6241">
        <v>0.15392338449996601</v>
      </c>
      <c r="K6241">
        <v>0.19422154156739399</v>
      </c>
      <c r="L6241">
        <v>1052.91107721452</v>
      </c>
      <c r="M6241">
        <v>20.718090643984102</v>
      </c>
      <c r="N6241">
        <v>51.6396099605671</v>
      </c>
      <c r="O6241">
        <v>50.3544985923903</v>
      </c>
      <c r="P6241">
        <v>-8.84639553740557E-2</v>
      </c>
      <c r="Q6241">
        <v>0.139991918368681</v>
      </c>
      <c r="R6241">
        <v>0.99428816490208205</v>
      </c>
      <c r="S6241" t="s">
        <v>13244</v>
      </c>
      <c r="T6241" t="s">
        <v>14004</v>
      </c>
      <c r="U6241" t="s">
        <v>14004</v>
      </c>
      <c r="V6241" t="s">
        <v>14004</v>
      </c>
      <c r="W6241" t="s">
        <v>20188</v>
      </c>
      <c r="X6241">
        <v>5</v>
      </c>
      <c r="Y6241" t="s">
        <v>26982</v>
      </c>
      <c r="Z6241" t="s">
        <v>33951</v>
      </c>
      <c r="AA6241">
        <v>0.46136379146064249</v>
      </c>
      <c r="AB6241" t="str">
        <f>HYPERLINK("Melting_Curves/meltCurve_Q9NSY1_BMP2K.pdf", "Melting_Curves/meltCurve_Q9NSY1_BMP2K.pdf")</f>
        <v>Melting_Curves/meltCurve_Q9NSY1_BMP2K.pdf</v>
      </c>
    </row>
    <row r="6242" spans="1:28" x14ac:dyDescent="0.25">
      <c r="A6242" t="s">
        <v>6246</v>
      </c>
      <c r="B6242">
        <v>0.99999676499088797</v>
      </c>
      <c r="C6242">
        <v>1.0634074438996499</v>
      </c>
      <c r="D6242">
        <v>0.980519315834111</v>
      </c>
      <c r="E6242">
        <v>0.85758006052496605</v>
      </c>
      <c r="F6242">
        <v>0.480094310392572</v>
      </c>
      <c r="G6242">
        <v>0.27252413167532902</v>
      </c>
      <c r="H6242">
        <v>0.106764773873713</v>
      </c>
      <c r="I6242">
        <v>0.107338446926208</v>
      </c>
      <c r="J6242">
        <v>0.112116013459158</v>
      </c>
      <c r="K6242">
        <v>0.106716413174869</v>
      </c>
      <c r="L6242">
        <v>1306.6503907630399</v>
      </c>
      <c r="M6242">
        <v>24.769698812661101</v>
      </c>
      <c r="N6242">
        <v>53.240195686033204</v>
      </c>
      <c r="O6242">
        <v>52.4117558925849</v>
      </c>
      <c r="P6242">
        <v>-0.10614743643562601</v>
      </c>
      <c r="Q6242">
        <v>0.101596784469904</v>
      </c>
      <c r="R6242">
        <v>0.99525827756609997</v>
      </c>
      <c r="S6242" t="s">
        <v>13245</v>
      </c>
      <c r="T6242" t="s">
        <v>14004</v>
      </c>
      <c r="U6242" t="s">
        <v>14004</v>
      </c>
      <c r="V6242" t="s">
        <v>14004</v>
      </c>
      <c r="W6242" t="s">
        <v>20189</v>
      </c>
      <c r="X6242">
        <v>13</v>
      </c>
      <c r="Y6242" t="s">
        <v>26983</v>
      </c>
      <c r="Z6242" t="s">
        <v>33952</v>
      </c>
      <c r="AA6242">
        <v>0.49187907711009049</v>
      </c>
      <c r="AB6242" t="str">
        <f>HYPERLINK("Melting_Curves/meltCurve_Q9NT62_ATG3.pdf", "Melting_Curves/meltCurve_Q9NT62_ATG3.pdf")</f>
        <v>Melting_Curves/meltCurve_Q9NT62_ATG3.pdf</v>
      </c>
    </row>
    <row r="6243" spans="1:28" x14ac:dyDescent="0.25">
      <c r="A6243" t="s">
        <v>6247</v>
      </c>
      <c r="B6243">
        <v>0.99999676499088797</v>
      </c>
      <c r="C6243">
        <v>1.0891762859595</v>
      </c>
      <c r="D6243">
        <v>1.03725825203864</v>
      </c>
      <c r="E6243">
        <v>0.73034740773585505</v>
      </c>
      <c r="F6243">
        <v>0.38789981149981201</v>
      </c>
      <c r="G6243">
        <v>0.15342129819713499</v>
      </c>
      <c r="H6243">
        <v>8.0389457035513298E-2</v>
      </c>
      <c r="I6243">
        <v>9.8092441230988606E-2</v>
      </c>
      <c r="J6243">
        <v>0.17029735542387101</v>
      </c>
      <c r="K6243">
        <v>5.3046194719056701E-2</v>
      </c>
      <c r="L6243">
        <v>1422.46844358359</v>
      </c>
      <c r="M6243">
        <v>27.615329556662299</v>
      </c>
      <c r="N6243">
        <v>51.9146502310549</v>
      </c>
      <c r="O6243">
        <v>51.242261177514401</v>
      </c>
      <c r="P6243">
        <v>-0.121687554921316</v>
      </c>
      <c r="Q6243">
        <v>9.6807591825287198E-2</v>
      </c>
      <c r="R6243">
        <v>0.98625045439671899</v>
      </c>
      <c r="S6243" t="s">
        <v>13246</v>
      </c>
      <c r="T6243" t="s">
        <v>14004</v>
      </c>
      <c r="U6243" t="s">
        <v>14004</v>
      </c>
      <c r="V6243" t="s">
        <v>14004</v>
      </c>
      <c r="W6243" t="s">
        <v>20190</v>
      </c>
      <c r="X6243">
        <v>3</v>
      </c>
      <c r="Y6243" t="s">
        <v>26984</v>
      </c>
      <c r="Z6243" t="s">
        <v>33953</v>
      </c>
      <c r="AA6243">
        <v>0.45008483389136872</v>
      </c>
      <c r="AB6243" t="str">
        <f>HYPERLINK("Melting_Curves/meltCurve_Q9NTG7_SIRT3.pdf", "Melting_Curves/meltCurve_Q9NTG7_SIRT3.pdf")</f>
        <v>Melting_Curves/meltCurve_Q9NTG7_SIRT3.pdf</v>
      </c>
    </row>
    <row r="6244" spans="1:28" x14ac:dyDescent="0.25">
      <c r="A6244" t="s">
        <v>6248</v>
      </c>
      <c r="B6244">
        <v>0.99999676499088797</v>
      </c>
      <c r="C6244">
        <v>1.01082435178389</v>
      </c>
      <c r="D6244">
        <v>0.943274286500562</v>
      </c>
      <c r="E6244">
        <v>0.47148155648629703</v>
      </c>
      <c r="F6244">
        <v>0.228169646403903</v>
      </c>
      <c r="G6244">
        <v>0.167413364557779</v>
      </c>
      <c r="H6244">
        <v>7.8149795219989104E-2</v>
      </c>
      <c r="I6244">
        <v>7.1770026604664805E-2</v>
      </c>
      <c r="J6244">
        <v>6.5797560779104897E-2</v>
      </c>
      <c r="K6244">
        <v>5.2889112460049702E-2</v>
      </c>
      <c r="L6244">
        <v>1386.5589978061701</v>
      </c>
      <c r="M6244">
        <v>28.084367152159899</v>
      </c>
      <c r="N6244">
        <v>49.6977960967046</v>
      </c>
      <c r="O6244">
        <v>49.122899943532602</v>
      </c>
      <c r="P6244">
        <v>-0.13088667704420101</v>
      </c>
      <c r="Q6244">
        <v>8.4261959514103105E-2</v>
      </c>
      <c r="R6244">
        <v>0.99285682895968297</v>
      </c>
      <c r="S6244" t="s">
        <v>13247</v>
      </c>
      <c r="T6244" t="s">
        <v>14004</v>
      </c>
      <c r="U6244" t="s">
        <v>14004</v>
      </c>
      <c r="V6244" t="s">
        <v>14004</v>
      </c>
      <c r="W6244" t="s">
        <v>20191</v>
      </c>
      <c r="X6244">
        <v>34</v>
      </c>
      <c r="Y6244" t="s">
        <v>26985</v>
      </c>
      <c r="Z6244" t="s">
        <v>33954</v>
      </c>
      <c r="AA6244">
        <v>0.37673053356819131</v>
      </c>
      <c r="AB6244" t="str">
        <f>HYPERLINK("Melting_Curves/meltCurve_Q9NTI5_2_PDS5B.pdf", "Melting_Curves/meltCurve_Q9NTI5_2_PDS5B.pdf")</f>
        <v>Melting_Curves/meltCurve_Q9NTI5_2_PDS5B.pdf</v>
      </c>
    </row>
    <row r="6245" spans="1:28" x14ac:dyDescent="0.25">
      <c r="A6245" t="s">
        <v>6249</v>
      </c>
      <c r="B6245">
        <v>0.99999676499088797</v>
      </c>
      <c r="C6245">
        <v>0.98728098265230302</v>
      </c>
      <c r="D6245">
        <v>0.94838741224078604</v>
      </c>
      <c r="E6245">
        <v>0.77654035624633699</v>
      </c>
      <c r="F6245">
        <v>0.214826220525909</v>
      </c>
      <c r="G6245">
        <v>0.160757817235854</v>
      </c>
      <c r="H6245">
        <v>8.1197057284886298E-2</v>
      </c>
      <c r="I6245">
        <v>8.1143709879763798E-2</v>
      </c>
      <c r="J6245">
        <v>7.2686001367202893E-2</v>
      </c>
      <c r="K6245">
        <v>6.8971321242154701E-2</v>
      </c>
      <c r="L6245">
        <v>1991.78566627081</v>
      </c>
      <c r="M6245">
        <v>39.092516994560398</v>
      </c>
      <c r="N6245">
        <v>51.1992751400008</v>
      </c>
      <c r="O6245">
        <v>50.817784936829099</v>
      </c>
      <c r="P6245">
        <v>-0.17568573384116701</v>
      </c>
      <c r="Q6245">
        <v>8.6481039715150601E-2</v>
      </c>
      <c r="R6245">
        <v>0.99632595795252199</v>
      </c>
      <c r="S6245" t="s">
        <v>13248</v>
      </c>
      <c r="T6245" t="s">
        <v>14004</v>
      </c>
      <c r="U6245" t="s">
        <v>14004</v>
      </c>
      <c r="V6245" t="s">
        <v>14004</v>
      </c>
      <c r="W6245" t="s">
        <v>20192</v>
      </c>
      <c r="X6245">
        <v>61</v>
      </c>
      <c r="Y6245" t="s">
        <v>26986</v>
      </c>
      <c r="Z6245" t="s">
        <v>33955</v>
      </c>
      <c r="AA6245">
        <v>0.42330189275548658</v>
      </c>
      <c r="AB6245" t="str">
        <f>HYPERLINK("Melting_Curves/meltCurve_Q9NTJ3_SMC4.pdf", "Melting_Curves/meltCurve_Q9NTJ3_SMC4.pdf")</f>
        <v>Melting_Curves/meltCurve_Q9NTJ3_SMC4.pdf</v>
      </c>
    </row>
    <row r="6246" spans="1:28" x14ac:dyDescent="0.25">
      <c r="A6246" t="s">
        <v>6250</v>
      </c>
      <c r="B6246">
        <v>0.99999676499088797</v>
      </c>
      <c r="C6246">
        <v>0.947209409399413</v>
      </c>
      <c r="D6246">
        <v>0.78268179498551804</v>
      </c>
      <c r="E6246">
        <v>0.33049521362621698</v>
      </c>
      <c r="F6246">
        <v>0.17087690564666999</v>
      </c>
      <c r="G6246">
        <v>0.11960444877511001</v>
      </c>
      <c r="H6246">
        <v>6.6676845200545995E-2</v>
      </c>
      <c r="I6246">
        <v>5.6720819644664501E-2</v>
      </c>
      <c r="J6246">
        <v>4.8579513262249199E-2</v>
      </c>
      <c r="K6246">
        <v>3.9678764596871703E-2</v>
      </c>
      <c r="L6246">
        <v>1178.68278100418</v>
      </c>
      <c r="M6246">
        <v>24.5328308395253</v>
      </c>
      <c r="N6246">
        <v>48.307539025584497</v>
      </c>
      <c r="O6246">
        <v>47.729301298091201</v>
      </c>
      <c r="P6246">
        <v>-0.120485098228037</v>
      </c>
      <c r="Q6246">
        <v>6.2385231860490303E-2</v>
      </c>
      <c r="R6246">
        <v>0.99700017493955495</v>
      </c>
      <c r="S6246" t="s">
        <v>13249</v>
      </c>
      <c r="T6246" t="s">
        <v>14004</v>
      </c>
      <c r="U6246" t="s">
        <v>14004</v>
      </c>
      <c r="V6246" t="s">
        <v>14004</v>
      </c>
      <c r="W6246" t="s">
        <v>20193</v>
      </c>
      <c r="X6246">
        <v>24</v>
      </c>
      <c r="Y6246" t="s">
        <v>26987</v>
      </c>
      <c r="Z6246" t="s">
        <v>33956</v>
      </c>
      <c r="AA6246">
        <v>0.32245077401927941</v>
      </c>
      <c r="AB6246" t="str">
        <f>HYPERLINK("Melting_Curves/meltCurve_Q9NTJ5_SACM1L.pdf", "Melting_Curves/meltCurve_Q9NTJ5_SACM1L.pdf")</f>
        <v>Melting_Curves/meltCurve_Q9NTJ5_SACM1L.pdf</v>
      </c>
    </row>
    <row r="6247" spans="1:28" x14ac:dyDescent="0.25">
      <c r="A6247" t="s">
        <v>6251</v>
      </c>
      <c r="B6247">
        <v>0.99999676499088797</v>
      </c>
      <c r="C6247">
        <v>1.0462373457565699</v>
      </c>
      <c r="D6247">
        <v>0.98157692321043999</v>
      </c>
      <c r="E6247">
        <v>0.90807673850220605</v>
      </c>
      <c r="F6247">
        <v>0.70989833514052003</v>
      </c>
      <c r="G6247">
        <v>0.574254218903407</v>
      </c>
      <c r="H6247">
        <v>0.37225296241613998</v>
      </c>
      <c r="I6247">
        <v>0.36689980548427298</v>
      </c>
      <c r="J6247">
        <v>0.40208242220709001</v>
      </c>
      <c r="K6247">
        <v>0.36622478373030498</v>
      </c>
      <c r="L6247">
        <v>1090.69061081018</v>
      </c>
      <c r="M6247">
        <v>20.188246848317299</v>
      </c>
      <c r="N6247">
        <v>57.600226358353197</v>
      </c>
      <c r="O6247">
        <v>53.504300379017998</v>
      </c>
      <c r="P6247">
        <v>-6.0643238292768797E-2</v>
      </c>
      <c r="Q6247">
        <v>0.357136400256722</v>
      </c>
      <c r="R6247">
        <v>0.98933279391407003</v>
      </c>
      <c r="S6247" t="s">
        <v>13250</v>
      </c>
      <c r="T6247" t="s">
        <v>14004</v>
      </c>
      <c r="U6247" t="s">
        <v>14004</v>
      </c>
      <c r="V6247" t="s">
        <v>14004</v>
      </c>
      <c r="W6247" t="s">
        <v>20194</v>
      </c>
      <c r="X6247">
        <v>13</v>
      </c>
      <c r="Y6247" t="s">
        <v>22085</v>
      </c>
      <c r="Z6247" t="s">
        <v>33957</v>
      </c>
      <c r="AA6247">
        <v>0.6662998117836394</v>
      </c>
      <c r="AB6247" t="str">
        <f>HYPERLINK("Melting_Curves/meltCurve_Q9NTK5_2_OLA1.pdf", "Melting_Curves/meltCurve_Q9NTK5_2_OLA1.pdf")</f>
        <v>Melting_Curves/meltCurve_Q9NTK5_2_OLA1.pdf</v>
      </c>
    </row>
    <row r="6248" spans="1:28" x14ac:dyDescent="0.25">
      <c r="A6248" t="s">
        <v>6252</v>
      </c>
      <c r="B6248">
        <v>0.99999676499088797</v>
      </c>
      <c r="C6248">
        <v>1.11162888499255</v>
      </c>
      <c r="D6248">
        <v>1.0350417166297099</v>
      </c>
      <c r="E6248">
        <v>1.1047279193569499</v>
      </c>
      <c r="F6248">
        <v>0.96958602551656503</v>
      </c>
      <c r="G6248">
        <v>0.61028451376400294</v>
      </c>
      <c r="H6248">
        <v>0.169951653541808</v>
      </c>
      <c r="I6248">
        <v>0.115905773288977</v>
      </c>
      <c r="J6248">
        <v>0.10744775859674</v>
      </c>
      <c r="K6248">
        <v>7.9704122861994894E-2</v>
      </c>
      <c r="L6248">
        <v>2444.5384620268601</v>
      </c>
      <c r="M6248">
        <v>42.750382793846903</v>
      </c>
      <c r="N6248">
        <v>57.477013870630699</v>
      </c>
      <c r="O6248">
        <v>57.0569754668781</v>
      </c>
      <c r="P6248">
        <v>-0.16884409787271401</v>
      </c>
      <c r="Q6248">
        <v>9.8607507397965199E-2</v>
      </c>
      <c r="R6248">
        <v>0.98676522253964905</v>
      </c>
      <c r="S6248" t="s">
        <v>13251</v>
      </c>
      <c r="T6248" t="s">
        <v>14004</v>
      </c>
      <c r="U6248" t="s">
        <v>14004</v>
      </c>
      <c r="V6248" t="s">
        <v>14004</v>
      </c>
      <c r="W6248" t="s">
        <v>20195</v>
      </c>
      <c r="X6248">
        <v>9</v>
      </c>
      <c r="Y6248" t="s">
        <v>26988</v>
      </c>
      <c r="Z6248" t="s">
        <v>33958</v>
      </c>
      <c r="AA6248">
        <v>0.61794632560407659</v>
      </c>
      <c r="AB6248" t="str">
        <f>HYPERLINK("Melting_Curves/meltCurve_Q9NTM9_CUTC.pdf", "Melting_Curves/meltCurve_Q9NTM9_CUTC.pdf")</f>
        <v>Melting_Curves/meltCurve_Q9NTM9_CUTC.pdf</v>
      </c>
    </row>
    <row r="6249" spans="1:28" x14ac:dyDescent="0.25">
      <c r="A6249" t="s">
        <v>6253</v>
      </c>
      <c r="B6249">
        <v>0.99999676499088797</v>
      </c>
      <c r="C6249">
        <v>1.1513729859097099</v>
      </c>
      <c r="D6249">
        <v>1.0753237076140501</v>
      </c>
      <c r="E6249">
        <v>1.0789914729569601</v>
      </c>
      <c r="F6249">
        <v>1.01126535023721</v>
      </c>
      <c r="G6249">
        <v>0.90726288103726405</v>
      </c>
      <c r="H6249">
        <v>0.652875105854969</v>
      </c>
      <c r="I6249">
        <v>0.50661448049380098</v>
      </c>
      <c r="J6249">
        <v>0.21954140288325599</v>
      </c>
      <c r="K6249">
        <v>0.13306649698876699</v>
      </c>
      <c r="L6249">
        <v>1257.4850146763699</v>
      </c>
      <c r="M6249">
        <v>19.845591079365299</v>
      </c>
      <c r="N6249">
        <v>63.363447765079698</v>
      </c>
      <c r="O6249">
        <v>62.730596990444901</v>
      </c>
      <c r="P6249">
        <v>-7.9093210173165104E-2</v>
      </c>
      <c r="Q6249">
        <v>0</v>
      </c>
      <c r="R6249">
        <v>0.96600608454287695</v>
      </c>
      <c r="S6249" t="s">
        <v>13252</v>
      </c>
      <c r="T6249" t="s">
        <v>14004</v>
      </c>
      <c r="U6249" t="s">
        <v>14004</v>
      </c>
      <c r="V6249" t="s">
        <v>14004</v>
      </c>
      <c r="W6249" t="s">
        <v>20196</v>
      </c>
      <c r="X6249">
        <v>1</v>
      </c>
      <c r="Y6249" t="s">
        <v>26989</v>
      </c>
      <c r="Z6249" t="s">
        <v>33959</v>
      </c>
      <c r="AA6249">
        <v>0.77607949161933731</v>
      </c>
      <c r="AB6249" t="str">
        <f>HYPERLINK("Melting_Curves/meltCurve_Q9NTN3_SLC35D1.pdf", "Melting_Curves/meltCurve_Q9NTN3_SLC35D1.pdf")</f>
        <v>Melting_Curves/meltCurve_Q9NTN3_SLC35D1.pdf</v>
      </c>
    </row>
    <row r="6250" spans="1:28" x14ac:dyDescent="0.25">
      <c r="A6250" t="s">
        <v>6254</v>
      </c>
      <c r="B6250">
        <v>0.99999676499088797</v>
      </c>
      <c r="C6250">
        <v>0.93170052229531597</v>
      </c>
      <c r="D6250">
        <v>1.19209735693797</v>
      </c>
      <c r="E6250">
        <v>1.31800648874083</v>
      </c>
      <c r="F6250">
        <v>1.37476538112672</v>
      </c>
      <c r="G6250">
        <v>1.25349577544422</v>
      </c>
      <c r="H6250">
        <v>0.81580931236124998</v>
      </c>
      <c r="I6250">
        <v>0.57322103425319304</v>
      </c>
      <c r="J6250">
        <v>0.41656577945573298</v>
      </c>
      <c r="K6250">
        <v>0.62313840030132095</v>
      </c>
      <c r="L6250">
        <v>5295.46494637048</v>
      </c>
      <c r="M6250">
        <v>86.637399185913196</v>
      </c>
      <c r="O6250">
        <v>61.089616416325001</v>
      </c>
      <c r="P6250">
        <v>-0.165246024928691</v>
      </c>
      <c r="Q6250">
        <v>0.53392805415056999</v>
      </c>
      <c r="R6250">
        <v>0.63711486504765602</v>
      </c>
      <c r="S6250" t="s">
        <v>13253</v>
      </c>
      <c r="T6250" t="s">
        <v>14004</v>
      </c>
      <c r="U6250" t="s">
        <v>14004</v>
      </c>
      <c r="V6250" t="s">
        <v>14004</v>
      </c>
      <c r="W6250" t="s">
        <v>20197</v>
      </c>
      <c r="X6250">
        <v>16</v>
      </c>
      <c r="Y6250" t="s">
        <v>26990</v>
      </c>
      <c r="Z6250" t="s">
        <v>33960</v>
      </c>
      <c r="AA6250">
        <v>0.86249297189012875</v>
      </c>
      <c r="AB6250" t="str">
        <f>HYPERLINK("Melting_Curves/meltCurve_Q9NTX5_2_ECHDC1.pdf", "Melting_Curves/meltCurve_Q9NTX5_2_ECHDC1.pdf")</f>
        <v>Melting_Curves/meltCurve_Q9NTX5_2_ECHDC1.pdf</v>
      </c>
    </row>
    <row r="6251" spans="1:28" x14ac:dyDescent="0.25">
      <c r="A6251" t="s">
        <v>6255</v>
      </c>
      <c r="B6251">
        <v>0.99999676499088797</v>
      </c>
      <c r="C6251">
        <v>0.92028646275033399</v>
      </c>
      <c r="D6251">
        <v>0.86621610721961195</v>
      </c>
      <c r="E6251">
        <v>0.33701763798897899</v>
      </c>
      <c r="F6251">
        <v>0.183122898410219</v>
      </c>
      <c r="G6251">
        <v>0.10857693465033399</v>
      </c>
      <c r="H6251">
        <v>5.4647793780282998E-2</v>
      </c>
      <c r="I6251">
        <v>6.2005010128872898E-2</v>
      </c>
      <c r="J6251">
        <v>6.1492564728624299E-2</v>
      </c>
      <c r="K6251">
        <v>5.7209797947245997E-2</v>
      </c>
      <c r="L6251">
        <v>1404.6236486386699</v>
      </c>
      <c r="M6251">
        <v>29.0533017582637</v>
      </c>
      <c r="N6251">
        <v>48.604088616546697</v>
      </c>
      <c r="O6251">
        <v>48.119129261200101</v>
      </c>
      <c r="P6251">
        <v>-0.14017292024062999</v>
      </c>
      <c r="Q6251">
        <v>7.1369081206680396E-2</v>
      </c>
      <c r="R6251">
        <v>0.99309383354203395</v>
      </c>
      <c r="S6251" t="s">
        <v>13254</v>
      </c>
      <c r="T6251" t="s">
        <v>14004</v>
      </c>
      <c r="U6251" t="s">
        <v>14004</v>
      </c>
      <c r="V6251" t="s">
        <v>14004</v>
      </c>
      <c r="W6251" t="s">
        <v>20198</v>
      </c>
      <c r="X6251">
        <v>24</v>
      </c>
      <c r="Y6251" t="s">
        <v>26991</v>
      </c>
      <c r="Z6251" t="s">
        <v>33961</v>
      </c>
      <c r="AA6251">
        <v>0.33572240674980253</v>
      </c>
      <c r="AB6251" t="str">
        <f>HYPERLINK("Melting_Curves/meltCurve_Q9NTZ6_RBM12.pdf", "Melting_Curves/meltCurve_Q9NTZ6_RBM12.pdf")</f>
        <v>Melting_Curves/meltCurve_Q9NTZ6_RBM12.pdf</v>
      </c>
    </row>
    <row r="6252" spans="1:28" x14ac:dyDescent="0.25">
      <c r="A6252" t="s">
        <v>6256</v>
      </c>
      <c r="B6252">
        <v>0.99999676499088797</v>
      </c>
      <c r="C6252">
        <v>0.99372157925850002</v>
      </c>
      <c r="D6252">
        <v>1.0216076039308799</v>
      </c>
      <c r="E6252">
        <v>0.96953911483239097</v>
      </c>
      <c r="F6252">
        <v>0.37003859728826999</v>
      </c>
      <c r="G6252">
        <v>0.24745789308025001</v>
      </c>
      <c r="H6252">
        <v>0.130345588844404</v>
      </c>
      <c r="I6252">
        <v>0.10429441442479</v>
      </c>
      <c r="J6252">
        <v>9.0519856245459496E-2</v>
      </c>
      <c r="K6252">
        <v>8.3902501461329201E-2</v>
      </c>
      <c r="L6252">
        <v>2548.89686914617</v>
      </c>
      <c r="M6252">
        <v>48.753765417270401</v>
      </c>
      <c r="N6252">
        <v>52.591174428373698</v>
      </c>
      <c r="O6252">
        <v>52.193291369369703</v>
      </c>
      <c r="P6252">
        <v>-0.20435024065548299</v>
      </c>
      <c r="Q6252">
        <v>0.124933103059164</v>
      </c>
      <c r="R6252">
        <v>0.99060287540967895</v>
      </c>
      <c r="S6252" t="s">
        <v>13255</v>
      </c>
      <c r="T6252" t="s">
        <v>14004</v>
      </c>
      <c r="U6252" t="s">
        <v>14004</v>
      </c>
      <c r="V6252" t="s">
        <v>14004</v>
      </c>
      <c r="W6252" t="s">
        <v>20199</v>
      </c>
      <c r="X6252">
        <v>8</v>
      </c>
      <c r="Y6252" t="s">
        <v>26992</v>
      </c>
      <c r="Z6252" t="s">
        <v>33962</v>
      </c>
      <c r="AA6252">
        <v>0.4852799549085815</v>
      </c>
      <c r="AB6252" t="str">
        <f>HYPERLINK("Melting_Curves/meltCurve_Q9NU19_TBC1D22B.pdf", "Melting_Curves/meltCurve_Q9NU19_TBC1D22B.pdf")</f>
        <v>Melting_Curves/meltCurve_Q9NU19_TBC1D22B.pdf</v>
      </c>
    </row>
    <row r="6253" spans="1:28" x14ac:dyDescent="0.25">
      <c r="A6253" t="s">
        <v>6257</v>
      </c>
      <c r="B6253">
        <v>0.99999676499088797</v>
      </c>
      <c r="C6253">
        <v>0.94846959686007004</v>
      </c>
      <c r="D6253">
        <v>0.93598590673505899</v>
      </c>
      <c r="E6253">
        <v>0.63079848009009098</v>
      </c>
      <c r="F6253">
        <v>0.29426215991035698</v>
      </c>
      <c r="G6253">
        <v>0.13145846848801801</v>
      </c>
      <c r="H6253">
        <v>8.1862201818265506E-2</v>
      </c>
      <c r="I6253">
        <v>8.8810407140794898E-2</v>
      </c>
      <c r="J6253">
        <v>0.10334790968415999</v>
      </c>
      <c r="K6253">
        <v>9.1428191661835204E-2</v>
      </c>
      <c r="L6253">
        <v>1240.08973801159</v>
      </c>
      <c r="M6253">
        <v>24.584509960151799</v>
      </c>
      <c r="N6253">
        <v>50.828735683228999</v>
      </c>
      <c r="O6253">
        <v>50.111719704403299</v>
      </c>
      <c r="P6253">
        <v>-0.11218606692569399</v>
      </c>
      <c r="Q6253">
        <v>8.5317423204087597E-2</v>
      </c>
      <c r="R6253">
        <v>0.99826210747141197</v>
      </c>
      <c r="S6253" t="s">
        <v>13256</v>
      </c>
      <c r="T6253" t="s">
        <v>14004</v>
      </c>
      <c r="U6253" t="s">
        <v>14004</v>
      </c>
      <c r="V6253" t="s">
        <v>14004</v>
      </c>
      <c r="W6253" t="s">
        <v>20200</v>
      </c>
      <c r="X6253">
        <v>14</v>
      </c>
      <c r="Y6253" t="s">
        <v>26993</v>
      </c>
      <c r="Z6253" t="s">
        <v>33963</v>
      </c>
      <c r="AA6253">
        <v>0.41217694165308461</v>
      </c>
      <c r="AB6253" t="str">
        <f>HYPERLINK("Melting_Curves/meltCurve_Q9NU22_MDN1.pdf", "Melting_Curves/meltCurve_Q9NU22_MDN1.pdf")</f>
        <v>Melting_Curves/meltCurve_Q9NU22_MDN1.pdf</v>
      </c>
    </row>
    <row r="6254" spans="1:28" x14ac:dyDescent="0.25">
      <c r="A6254" t="s">
        <v>6258</v>
      </c>
      <c r="B6254">
        <v>0.99999676499088797</v>
      </c>
      <c r="C6254">
        <v>0.99326579926825498</v>
      </c>
      <c r="D6254">
        <v>1.04528205490801</v>
      </c>
      <c r="E6254">
        <v>0.84980749955845303</v>
      </c>
      <c r="F6254">
        <v>0.51476873107243504</v>
      </c>
      <c r="G6254">
        <v>0.27875513943661201</v>
      </c>
      <c r="H6254">
        <v>9.09928267839063E-2</v>
      </c>
      <c r="I6254">
        <v>9.2914794058711295E-2</v>
      </c>
      <c r="J6254">
        <v>8.5923222830805501E-2</v>
      </c>
      <c r="K6254">
        <v>6.9469367085423506E-2</v>
      </c>
      <c r="L6254">
        <v>1245.62785341945</v>
      </c>
      <c r="M6254">
        <v>23.417027202332601</v>
      </c>
      <c r="N6254">
        <v>53.545533353072699</v>
      </c>
      <c r="O6254">
        <v>52.809886391781902</v>
      </c>
      <c r="P6254">
        <v>-0.10294306694948201</v>
      </c>
      <c r="Q6254">
        <v>7.1390770551892205E-2</v>
      </c>
      <c r="R6254">
        <v>0.99556986982723095</v>
      </c>
      <c r="S6254" t="s">
        <v>13257</v>
      </c>
      <c r="T6254" t="s">
        <v>14004</v>
      </c>
      <c r="U6254" t="s">
        <v>14004</v>
      </c>
      <c r="V6254" t="s">
        <v>14004</v>
      </c>
      <c r="W6254" t="s">
        <v>20201</v>
      </c>
      <c r="X6254">
        <v>10</v>
      </c>
      <c r="Y6254" t="s">
        <v>26994</v>
      </c>
      <c r="Z6254" t="s">
        <v>33964</v>
      </c>
      <c r="AA6254">
        <v>0.48942971168615329</v>
      </c>
      <c r="AB6254" t="str">
        <f>HYPERLINK("Melting_Curves/meltCurve_Q9NU23_LYRM2.pdf", "Melting_Curves/meltCurve_Q9NU23_LYRM2.pdf")</f>
        <v>Melting_Curves/meltCurve_Q9NU23_LYRM2.pdf</v>
      </c>
    </row>
    <row r="6255" spans="1:28" x14ac:dyDescent="0.25">
      <c r="A6255" t="s">
        <v>6259</v>
      </c>
      <c r="B6255">
        <v>0.99999676499088797</v>
      </c>
      <c r="C6255">
        <v>1.0300517248552901</v>
      </c>
      <c r="D6255">
        <v>1.047516515786</v>
      </c>
      <c r="E6255">
        <v>1.07797492881671</v>
      </c>
      <c r="F6255">
        <v>0.71924131316642803</v>
      </c>
      <c r="G6255">
        <v>0.34575802137638201</v>
      </c>
      <c r="H6255">
        <v>0.16307563196077099</v>
      </c>
      <c r="I6255">
        <v>0.13451689907414899</v>
      </c>
      <c r="J6255">
        <v>0.12505680323545901</v>
      </c>
      <c r="K6255">
        <v>0.122463714352678</v>
      </c>
      <c r="L6255">
        <v>1826.10804364313</v>
      </c>
      <c r="M6255">
        <v>33.390478714773202</v>
      </c>
      <c r="N6255">
        <v>55.1832113616206</v>
      </c>
      <c r="O6255">
        <v>54.494439885151003</v>
      </c>
      <c r="P6255">
        <v>-0.13340335870138501</v>
      </c>
      <c r="Q6255">
        <v>0.129127739123306</v>
      </c>
      <c r="R6255">
        <v>0.99049821284941697</v>
      </c>
      <c r="S6255" t="s">
        <v>13258</v>
      </c>
      <c r="T6255" t="s">
        <v>14004</v>
      </c>
      <c r="U6255" t="s">
        <v>14004</v>
      </c>
      <c r="V6255" t="s">
        <v>14004</v>
      </c>
      <c r="W6255" t="s">
        <v>20202</v>
      </c>
      <c r="X6255">
        <v>20</v>
      </c>
      <c r="Y6255" t="s">
        <v>26995</v>
      </c>
      <c r="Z6255" t="s">
        <v>33965</v>
      </c>
      <c r="AA6255">
        <v>0.56023732848744079</v>
      </c>
      <c r="AB6255" t="str">
        <f>HYPERLINK("Melting_Curves/meltCurve_Q9NUB1_2_ACSS1.pdf", "Melting_Curves/meltCurve_Q9NUB1_2_ACSS1.pdf")</f>
        <v>Melting_Curves/meltCurve_Q9NUB1_2_ACSS1.pdf</v>
      </c>
    </row>
    <row r="6256" spans="1:28" x14ac:dyDescent="0.25">
      <c r="A6256" t="s">
        <v>6260</v>
      </c>
      <c r="B6256">
        <v>0.99999676499088797</v>
      </c>
      <c r="C6256">
        <v>1.05720516445032</v>
      </c>
      <c r="D6256">
        <v>0.87523920668102795</v>
      </c>
      <c r="E6256">
        <v>0.78381845133475003</v>
      </c>
      <c r="F6256">
        <v>0.32235292861701798</v>
      </c>
      <c r="G6256">
        <v>0.25687104589655502</v>
      </c>
      <c r="H6256">
        <v>0.107874036432564</v>
      </c>
      <c r="I6256">
        <v>0.150175070364162</v>
      </c>
      <c r="J6256">
        <v>0.13207031751621101</v>
      </c>
      <c r="K6256">
        <v>0.105513943956836</v>
      </c>
      <c r="L6256">
        <v>1289.13304829452</v>
      </c>
      <c r="M6256">
        <v>25.152226126604301</v>
      </c>
      <c r="N6256">
        <v>51.848233321926401</v>
      </c>
      <c r="O6256">
        <v>50.932550573299899</v>
      </c>
      <c r="P6256">
        <v>-0.107983305551914</v>
      </c>
      <c r="Q6256">
        <v>0.12535885538525601</v>
      </c>
      <c r="R6256">
        <v>0.98535861255161505</v>
      </c>
      <c r="S6256" t="s">
        <v>13259</v>
      </c>
      <c r="T6256" t="s">
        <v>14004</v>
      </c>
      <c r="U6256" t="s">
        <v>14004</v>
      </c>
      <c r="V6256" t="s">
        <v>14004</v>
      </c>
      <c r="W6256" t="s">
        <v>20203</v>
      </c>
      <c r="X6256">
        <v>3</v>
      </c>
      <c r="Y6256" t="s">
        <v>26996</v>
      </c>
      <c r="Z6256" t="s">
        <v>33966</v>
      </c>
      <c r="AA6256">
        <v>0.46127330280243373</v>
      </c>
      <c r="AB6256" t="str">
        <f>HYPERLINK("Melting_Curves/meltCurve_Q9NUD5_ZCCHC3.pdf", "Melting_Curves/meltCurve_Q9NUD5_ZCCHC3.pdf")</f>
        <v>Melting_Curves/meltCurve_Q9NUD5_ZCCHC3.pdf</v>
      </c>
    </row>
    <row r="6257" spans="1:28" x14ac:dyDescent="0.25">
      <c r="A6257" t="s">
        <v>6261</v>
      </c>
      <c r="B6257">
        <v>0.99999676499088797</v>
      </c>
      <c r="C6257">
        <v>1.04721605960497</v>
      </c>
      <c r="D6257">
        <v>1.0340953488856099</v>
      </c>
      <c r="E6257">
        <v>0.91286478337318999</v>
      </c>
      <c r="F6257">
        <v>0.83540289871455498</v>
      </c>
      <c r="G6257">
        <v>0.650380372307925</v>
      </c>
      <c r="H6257">
        <v>0.23487585107165901</v>
      </c>
      <c r="I6257">
        <v>0.12078540418415599</v>
      </c>
      <c r="J6257">
        <v>0.18809475748194501</v>
      </c>
      <c r="K6257">
        <v>8.1982570491003298E-2</v>
      </c>
      <c r="L6257">
        <v>1341.2617178253199</v>
      </c>
      <c r="M6257">
        <v>23.3915420902098</v>
      </c>
      <c r="N6257">
        <v>57.811023764510601</v>
      </c>
      <c r="O6257">
        <v>56.9254623181914</v>
      </c>
      <c r="P6257">
        <v>-9.3810559527520307E-2</v>
      </c>
      <c r="Q6257">
        <v>8.6829596758220606E-2</v>
      </c>
      <c r="R6257">
        <v>0.98591724720343699</v>
      </c>
      <c r="S6257" t="s">
        <v>13260</v>
      </c>
      <c r="T6257" t="s">
        <v>14004</v>
      </c>
      <c r="U6257" t="s">
        <v>14004</v>
      </c>
      <c r="V6257" t="s">
        <v>14004</v>
      </c>
      <c r="W6257" t="s">
        <v>20204</v>
      </c>
      <c r="X6257">
        <v>3</v>
      </c>
      <c r="Y6257" t="s">
        <v>26997</v>
      </c>
      <c r="Z6257" t="s">
        <v>33967</v>
      </c>
      <c r="AA6257">
        <v>0.62359967809407091</v>
      </c>
      <c r="AB6257" t="str">
        <f>HYPERLINK("Melting_Curves/meltCurve_Q9NUE0_ZDHHC18.pdf", "Melting_Curves/meltCurve_Q9NUE0_ZDHHC18.pdf")</f>
        <v>Melting_Curves/meltCurve_Q9NUE0_ZDHHC18.pdf</v>
      </c>
    </row>
    <row r="6258" spans="1:28" x14ac:dyDescent="0.25">
      <c r="A6258" t="s">
        <v>6262</v>
      </c>
      <c r="B6258">
        <v>0.99999676499088797</v>
      </c>
      <c r="C6258">
        <v>1.0096453498571001</v>
      </c>
      <c r="D6258">
        <v>0.99974256323294997</v>
      </c>
      <c r="E6258">
        <v>1.0394701985610699</v>
      </c>
      <c r="F6258">
        <v>1.1092563573409999</v>
      </c>
      <c r="G6258">
        <v>0.83169108999888497</v>
      </c>
      <c r="H6258">
        <v>0.34326978932921098</v>
      </c>
      <c r="I6258">
        <v>0.30822089354140803</v>
      </c>
      <c r="J6258">
        <v>0.27222736028889599</v>
      </c>
      <c r="K6258">
        <v>0.37106875003472001</v>
      </c>
      <c r="L6258">
        <v>4494.2197742978196</v>
      </c>
      <c r="M6258">
        <v>77.998108723621996</v>
      </c>
      <c r="N6258">
        <v>58.387222838850697</v>
      </c>
      <c r="O6258">
        <v>57.581756683297499</v>
      </c>
      <c r="P6258">
        <v>-0.23004520159557701</v>
      </c>
      <c r="Q6258">
        <v>0.32068071708854001</v>
      </c>
      <c r="R6258">
        <v>0.98332984181178296</v>
      </c>
      <c r="S6258" t="s">
        <v>13261</v>
      </c>
      <c r="T6258" t="s">
        <v>14004</v>
      </c>
      <c r="U6258" t="s">
        <v>14004</v>
      </c>
      <c r="V6258" t="s">
        <v>14004</v>
      </c>
      <c r="W6258" t="s">
        <v>20205</v>
      </c>
      <c r="X6258">
        <v>4</v>
      </c>
      <c r="Y6258" t="s">
        <v>26998</v>
      </c>
      <c r="Z6258" t="s">
        <v>33968</v>
      </c>
      <c r="AA6258">
        <v>0.72036564713610973</v>
      </c>
      <c r="AB6258" t="str">
        <f>HYPERLINK("Melting_Curves/meltCurve_Q9NUG6_PDRG1.pdf", "Melting_Curves/meltCurve_Q9NUG6_PDRG1.pdf")</f>
        <v>Melting_Curves/meltCurve_Q9NUG6_PDRG1.pdf</v>
      </c>
    </row>
    <row r="6259" spans="1:28" x14ac:dyDescent="0.25">
      <c r="A6259" t="s">
        <v>6263</v>
      </c>
      <c r="B6259">
        <v>0.99999676499088797</v>
      </c>
      <c r="C6259">
        <v>0.95268337612702603</v>
      </c>
      <c r="D6259">
        <v>1.0346480517757399</v>
      </c>
      <c r="E6259">
        <v>1.3663077611888099</v>
      </c>
      <c r="F6259">
        <v>1.33274131159223</v>
      </c>
      <c r="G6259">
        <v>1.26465362087931</v>
      </c>
      <c r="H6259">
        <v>0.78719177463864998</v>
      </c>
      <c r="I6259">
        <v>0.3171669457063</v>
      </c>
      <c r="J6259">
        <v>0.137022165363089</v>
      </c>
      <c r="K6259">
        <v>0.114846674576118</v>
      </c>
      <c r="L6259">
        <v>3232.8202541730998</v>
      </c>
      <c r="M6259">
        <v>51.856925828402801</v>
      </c>
      <c r="N6259">
        <v>62.667301482966401</v>
      </c>
      <c r="O6259">
        <v>62.248646895092797</v>
      </c>
      <c r="P6259">
        <v>-0.18363419881239601</v>
      </c>
      <c r="Q6259">
        <v>0.11826844953782401</v>
      </c>
      <c r="R6259">
        <v>0.84435277967891298</v>
      </c>
      <c r="S6259" t="s">
        <v>13262</v>
      </c>
      <c r="T6259" t="s">
        <v>14004</v>
      </c>
      <c r="U6259" t="s">
        <v>14004</v>
      </c>
      <c r="V6259" t="s">
        <v>14004</v>
      </c>
      <c r="W6259" t="s">
        <v>20206</v>
      </c>
      <c r="X6259">
        <v>13</v>
      </c>
      <c r="Y6259" t="s">
        <v>26999</v>
      </c>
      <c r="Z6259" t="s">
        <v>33969</v>
      </c>
      <c r="AA6259">
        <v>0.77699165615722687</v>
      </c>
      <c r="AB6259" t="str">
        <f>HYPERLINK("Melting_Curves/meltCurve_Q9NUJ1_ABHD10.pdf", "Melting_Curves/meltCurve_Q9NUJ1_ABHD10.pdf")</f>
        <v>Melting_Curves/meltCurve_Q9NUJ1_ABHD10.pdf</v>
      </c>
    </row>
    <row r="6260" spans="1:28" x14ac:dyDescent="0.25">
      <c r="A6260" t="s">
        <v>6264</v>
      </c>
      <c r="B6260">
        <v>0.99999676499088797</v>
      </c>
      <c r="C6260">
        <v>0.89195841294715295</v>
      </c>
      <c r="D6260">
        <v>0.82165491446826999</v>
      </c>
      <c r="E6260">
        <v>0.68886262920114005</v>
      </c>
      <c r="F6260">
        <v>0.931854918041776</v>
      </c>
      <c r="G6260">
        <v>0.76690972215685205</v>
      </c>
      <c r="H6260">
        <v>0.70453322199415203</v>
      </c>
      <c r="I6260">
        <v>1.16431053030064</v>
      </c>
      <c r="J6260">
        <v>1.20901361499708</v>
      </c>
      <c r="K6260">
        <v>1.3272427203505901</v>
      </c>
      <c r="L6260">
        <v>15000</v>
      </c>
      <c r="M6260">
        <v>234.833892495421</v>
      </c>
      <c r="O6260">
        <v>63.870304116072802</v>
      </c>
      <c r="P6260">
        <v>0.246463009854929</v>
      </c>
      <c r="Q6260">
        <v>1.26813280139303</v>
      </c>
      <c r="R6260">
        <v>0.33278266532686901</v>
      </c>
      <c r="S6260" t="s">
        <v>13263</v>
      </c>
      <c r="T6260" t="s">
        <v>14004</v>
      </c>
      <c r="U6260" t="s">
        <v>14004</v>
      </c>
      <c r="V6260" t="s">
        <v>14004</v>
      </c>
      <c r="W6260" t="s">
        <v>20207</v>
      </c>
      <c r="X6260">
        <v>3</v>
      </c>
      <c r="Y6260" t="s">
        <v>27000</v>
      </c>
      <c r="Z6260" t="s">
        <v>33970</v>
      </c>
      <c r="AA6260">
        <v>1.05471028043874</v>
      </c>
      <c r="AB6260" t="str">
        <f>HYPERLINK("Melting_Curves/meltCurve_Q9NUL5_3_C19orf66.pdf", "Melting_Curves/meltCurve_Q9NUL5_3_C19orf66.pdf")</f>
        <v>Melting_Curves/meltCurve_Q9NUL5_3_C19orf66.pdf</v>
      </c>
    </row>
    <row r="6261" spans="1:28" x14ac:dyDescent="0.25">
      <c r="A6261" t="s">
        <v>6265</v>
      </c>
      <c r="B6261">
        <v>0.99999676499088797</v>
      </c>
      <c r="C6261">
        <v>1.0552463126630101</v>
      </c>
      <c r="D6261">
        <v>1.1091964336936</v>
      </c>
      <c r="E6261">
        <v>1.2330099720074299</v>
      </c>
      <c r="F6261">
        <v>1.1900882911553701</v>
      </c>
      <c r="G6261">
        <v>1.05189085094027</v>
      </c>
      <c r="H6261">
        <v>0.86116680120087896</v>
      </c>
      <c r="I6261">
        <v>0.63490644013867803</v>
      </c>
      <c r="J6261">
        <v>0.53087516939450097</v>
      </c>
      <c r="K6261">
        <v>0.80314246263033595</v>
      </c>
      <c r="L6261">
        <v>15000</v>
      </c>
      <c r="M6261">
        <v>246.32148256164601</v>
      </c>
      <c r="O6261">
        <v>60.892014256523197</v>
      </c>
      <c r="P6261">
        <v>-0.34757788320236899</v>
      </c>
      <c r="Q6261">
        <v>0.65630740510808405</v>
      </c>
      <c r="R6261">
        <v>0.70317165864352305</v>
      </c>
      <c r="S6261" t="s">
        <v>13264</v>
      </c>
      <c r="T6261" t="s">
        <v>14004</v>
      </c>
      <c r="U6261" t="s">
        <v>14004</v>
      </c>
      <c r="V6261" t="s">
        <v>14004</v>
      </c>
      <c r="W6261" t="s">
        <v>20208</v>
      </c>
      <c r="X6261">
        <v>8</v>
      </c>
      <c r="Y6261" t="s">
        <v>27001</v>
      </c>
      <c r="Z6261" t="s">
        <v>33971</v>
      </c>
      <c r="AA6261">
        <v>0.89573891582531806</v>
      </c>
      <c r="AB6261" t="str">
        <f>HYPERLINK("Melting_Curves/meltCurve_Q9NUM4_TMEM106B.pdf", "Melting_Curves/meltCurve_Q9NUM4_TMEM106B.pdf")</f>
        <v>Melting_Curves/meltCurve_Q9NUM4_TMEM106B.pdf</v>
      </c>
    </row>
    <row r="6262" spans="1:28" x14ac:dyDescent="0.25">
      <c r="A6262" t="s">
        <v>6266</v>
      </c>
      <c r="B6262">
        <v>0.99999676499088797</v>
      </c>
      <c r="C6262">
        <v>1.07339614400043</v>
      </c>
      <c r="D6262">
        <v>0.96468354400664202</v>
      </c>
      <c r="E6262">
        <v>0.77838905661270097</v>
      </c>
      <c r="F6262">
        <v>0.54181115335964203</v>
      </c>
      <c r="G6262">
        <v>0.70015386963894999</v>
      </c>
      <c r="H6262">
        <v>0.458084340039214</v>
      </c>
      <c r="I6262">
        <v>0.52892067108357299</v>
      </c>
      <c r="J6262">
        <v>0.46282242354479303</v>
      </c>
      <c r="K6262">
        <v>0.27753415598450398</v>
      </c>
      <c r="L6262">
        <v>616.93851500030496</v>
      </c>
      <c r="M6262">
        <v>11.571595407154501</v>
      </c>
      <c r="N6262">
        <v>59.982793365813897</v>
      </c>
      <c r="O6262">
        <v>51.797257810690702</v>
      </c>
      <c r="P6262">
        <v>-3.5650304557673103E-2</v>
      </c>
      <c r="Q6262">
        <v>0.36185955467699499</v>
      </c>
      <c r="R6262">
        <v>0.87940218373947698</v>
      </c>
      <c r="S6262" t="s">
        <v>13265</v>
      </c>
      <c r="T6262" t="s">
        <v>14004</v>
      </c>
      <c r="U6262" t="s">
        <v>14004</v>
      </c>
      <c r="V6262" t="s">
        <v>14004</v>
      </c>
      <c r="W6262" t="s">
        <v>20209</v>
      </c>
      <c r="X6262">
        <v>3</v>
      </c>
      <c r="Y6262" t="s">
        <v>27002</v>
      </c>
      <c r="Z6262" t="s">
        <v>33972</v>
      </c>
      <c r="AA6262">
        <v>0.663479060338514</v>
      </c>
      <c r="AB6262" t="str">
        <f>HYPERLINK("Melting_Curves/meltCurve_Q9NUN5_3_LMBRD1.pdf", "Melting_Curves/meltCurve_Q9NUN5_3_LMBRD1.pdf")</f>
        <v>Melting_Curves/meltCurve_Q9NUN5_3_LMBRD1.pdf</v>
      </c>
    </row>
    <row r="6263" spans="1:28" x14ac:dyDescent="0.25">
      <c r="A6263" t="s">
        <v>6267</v>
      </c>
      <c r="B6263">
        <v>0.99999676499088797</v>
      </c>
      <c r="C6263">
        <v>0.95619772408223902</v>
      </c>
      <c r="D6263">
        <v>0.85583140901124599</v>
      </c>
      <c r="E6263">
        <v>0.69470646260700297</v>
      </c>
      <c r="F6263">
        <v>0.62017179031516201</v>
      </c>
      <c r="G6263">
        <v>0.37565745100362302</v>
      </c>
      <c r="H6263">
        <v>0.13054911981103001</v>
      </c>
      <c r="I6263">
        <v>0.10433806426571</v>
      </c>
      <c r="J6263">
        <v>0.10030915497173799</v>
      </c>
      <c r="K6263">
        <v>8.2746322997200597E-2</v>
      </c>
      <c r="L6263">
        <v>650.88755712723002</v>
      </c>
      <c r="M6263">
        <v>12.0663286932884</v>
      </c>
      <c r="N6263">
        <v>53.942468312986797</v>
      </c>
      <c r="O6263">
        <v>52.524963942885698</v>
      </c>
      <c r="P6263">
        <v>-5.7444951651026199E-2</v>
      </c>
      <c r="Q6263">
        <v>0</v>
      </c>
      <c r="R6263">
        <v>0.98664899015118201</v>
      </c>
      <c r="S6263" t="s">
        <v>13266</v>
      </c>
      <c r="T6263" t="s">
        <v>14004</v>
      </c>
      <c r="U6263" t="s">
        <v>14004</v>
      </c>
      <c r="V6263" t="s">
        <v>14004</v>
      </c>
      <c r="W6263" t="s">
        <v>20210</v>
      </c>
      <c r="X6263">
        <v>5</v>
      </c>
      <c r="Y6263" t="s">
        <v>27003</v>
      </c>
      <c r="Z6263" t="s">
        <v>33973</v>
      </c>
      <c r="AA6263">
        <v>0.4908738996404437</v>
      </c>
      <c r="AB6263" t="str">
        <f>HYPERLINK("Melting_Curves/meltCurve_Q9NUP1_BLOC1S4.pdf", "Melting_Curves/meltCurve_Q9NUP1_BLOC1S4.pdf")</f>
        <v>Melting_Curves/meltCurve_Q9NUP1_BLOC1S4.pdf</v>
      </c>
    </row>
    <row r="6264" spans="1:28" x14ac:dyDescent="0.25">
      <c r="A6264" t="s">
        <v>6268</v>
      </c>
      <c r="B6264">
        <v>0.99999676499088797</v>
      </c>
      <c r="C6264">
        <v>1.01251078006106</v>
      </c>
      <c r="D6264">
        <v>0.96963199469384798</v>
      </c>
      <c r="E6264">
        <v>0.61856575624132504</v>
      </c>
      <c r="F6264">
        <v>0.25261484627043501</v>
      </c>
      <c r="G6264">
        <v>0.17774287537179301</v>
      </c>
      <c r="H6264">
        <v>8.9474109056655496E-2</v>
      </c>
      <c r="I6264">
        <v>8.5688491923122695E-2</v>
      </c>
      <c r="J6264">
        <v>9.1985940182370995E-2</v>
      </c>
      <c r="K6264">
        <v>7.62735351550093E-2</v>
      </c>
      <c r="L6264">
        <v>1405.7856945276101</v>
      </c>
      <c r="M6264">
        <v>27.955232786041599</v>
      </c>
      <c r="N6264">
        <v>50.662665749352399</v>
      </c>
      <c r="O6264">
        <v>50.031827263118203</v>
      </c>
      <c r="P6264">
        <v>-0.12661383812552299</v>
      </c>
      <c r="Q6264">
        <v>9.3598557392907997E-2</v>
      </c>
      <c r="R6264">
        <v>0.99706524416105902</v>
      </c>
      <c r="S6264" t="s">
        <v>13267</v>
      </c>
      <c r="T6264" t="s">
        <v>14004</v>
      </c>
      <c r="U6264" t="s">
        <v>14004</v>
      </c>
      <c r="V6264" t="s">
        <v>14004</v>
      </c>
      <c r="W6264" t="s">
        <v>20211</v>
      </c>
      <c r="X6264">
        <v>9</v>
      </c>
      <c r="Y6264" t="s">
        <v>27004</v>
      </c>
      <c r="Z6264" t="s">
        <v>33974</v>
      </c>
      <c r="AA6264">
        <v>0.41089825012430242</v>
      </c>
      <c r="AB6264" t="str">
        <f>HYPERLINK("Melting_Curves/meltCurve_Q9NUP7_TRMT13.pdf", "Melting_Curves/meltCurve_Q9NUP7_TRMT13.pdf")</f>
        <v>Melting_Curves/meltCurve_Q9NUP7_TRMT13.pdf</v>
      </c>
    </row>
    <row r="6265" spans="1:28" x14ac:dyDescent="0.25">
      <c r="A6265" t="s">
        <v>6269</v>
      </c>
      <c r="B6265">
        <v>0.99999676499088797</v>
      </c>
      <c r="C6265">
        <v>0.88756394292501495</v>
      </c>
      <c r="D6265">
        <v>0.86893503814845696</v>
      </c>
      <c r="E6265">
        <v>0.64807789517666403</v>
      </c>
      <c r="F6265">
        <v>0.50279410540371094</v>
      </c>
      <c r="G6265">
        <v>0.38861300014938699</v>
      </c>
      <c r="H6265">
        <v>0.20721607521028401</v>
      </c>
      <c r="I6265">
        <v>0.17704789956082201</v>
      </c>
      <c r="J6265">
        <v>0.175895579103204</v>
      </c>
      <c r="K6265">
        <v>0.173030033237798</v>
      </c>
      <c r="L6265">
        <v>602.49001753643097</v>
      </c>
      <c r="M6265">
        <v>11.5935493352208</v>
      </c>
      <c r="N6265">
        <v>53.083007779567801</v>
      </c>
      <c r="O6265">
        <v>50.493731491086002</v>
      </c>
      <c r="P6265">
        <v>-5.1210272638548202E-2</v>
      </c>
      <c r="Q6265">
        <v>0.108095164576843</v>
      </c>
      <c r="R6265">
        <v>0.991471056451109</v>
      </c>
      <c r="S6265" t="s">
        <v>13268</v>
      </c>
      <c r="T6265" t="s">
        <v>14004</v>
      </c>
      <c r="U6265" t="s">
        <v>14004</v>
      </c>
      <c r="V6265" t="s">
        <v>14004</v>
      </c>
      <c r="W6265" t="s">
        <v>20212</v>
      </c>
      <c r="X6265">
        <v>9</v>
      </c>
      <c r="Y6265" t="s">
        <v>27005</v>
      </c>
      <c r="Z6265" t="s">
        <v>33975</v>
      </c>
      <c r="AA6265">
        <v>0.49247420705594658</v>
      </c>
      <c r="AB6265" t="str">
        <f>HYPERLINK("Melting_Curves/meltCurve_Q9NUP9_LIN7C.pdf", "Melting_Curves/meltCurve_Q9NUP9_LIN7C.pdf")</f>
        <v>Melting_Curves/meltCurve_Q9NUP9_LIN7C.pdf</v>
      </c>
    </row>
    <row r="6266" spans="1:28" x14ac:dyDescent="0.25">
      <c r="A6266" t="s">
        <v>6270</v>
      </c>
      <c r="B6266">
        <v>0.99999676499088797</v>
      </c>
      <c r="C6266">
        <v>1.0856332238192301</v>
      </c>
      <c r="D6266">
        <v>0.86283946867041295</v>
      </c>
      <c r="E6266">
        <v>0.49909803675453801</v>
      </c>
      <c r="F6266">
        <v>0.31328362693078099</v>
      </c>
      <c r="G6266">
        <v>0.25822737571487597</v>
      </c>
      <c r="H6266">
        <v>0.126481672311267</v>
      </c>
      <c r="I6266">
        <v>0.138221367610428</v>
      </c>
      <c r="J6266">
        <v>0.114291311305252</v>
      </c>
      <c r="K6266">
        <v>8.0461181818311203E-2</v>
      </c>
      <c r="L6266">
        <v>1053.7803273104801</v>
      </c>
      <c r="M6266">
        <v>21.295542655066399</v>
      </c>
      <c r="N6266">
        <v>50.170059035999103</v>
      </c>
      <c r="O6266">
        <v>49.0534399673897</v>
      </c>
      <c r="P6266">
        <v>-9.4818291055995305E-2</v>
      </c>
      <c r="Q6266">
        <v>0.12638110109185899</v>
      </c>
      <c r="R6266">
        <v>0.98089697635831496</v>
      </c>
      <c r="S6266" t="s">
        <v>13269</v>
      </c>
      <c r="T6266" t="s">
        <v>14004</v>
      </c>
      <c r="U6266" t="s">
        <v>14004</v>
      </c>
      <c r="V6266" t="s">
        <v>14004</v>
      </c>
      <c r="W6266" t="s">
        <v>20213</v>
      </c>
      <c r="X6266">
        <v>3</v>
      </c>
      <c r="Y6266" t="s">
        <v>27006</v>
      </c>
      <c r="Z6266" t="s">
        <v>33976</v>
      </c>
      <c r="AA6266">
        <v>0.41330239632580962</v>
      </c>
      <c r="AB6266" t="str">
        <f>HYPERLINK("Melting_Curves/meltCurve_Q9NUQ2_AGPAT5.pdf", "Melting_Curves/meltCurve_Q9NUQ2_AGPAT5.pdf")</f>
        <v>Melting_Curves/meltCurve_Q9NUQ2_AGPAT5.pdf</v>
      </c>
    </row>
    <row r="6267" spans="1:28" x14ac:dyDescent="0.25">
      <c r="A6267" t="s">
        <v>6271</v>
      </c>
      <c r="B6267">
        <v>0.99999676499088797</v>
      </c>
      <c r="C6267">
        <v>0.96273598992749698</v>
      </c>
      <c r="D6267">
        <v>0.99546318531046496</v>
      </c>
      <c r="E6267">
        <v>1.05288701998471</v>
      </c>
      <c r="F6267">
        <v>0.60875898520165606</v>
      </c>
      <c r="G6267">
        <v>0.260623689004507</v>
      </c>
      <c r="H6267">
        <v>0.13079379420808099</v>
      </c>
      <c r="I6267">
        <v>0.11975086298804299</v>
      </c>
      <c r="J6267">
        <v>0.104333815041402</v>
      </c>
      <c r="K6267">
        <v>0.109505322915987</v>
      </c>
      <c r="L6267">
        <v>2027.47606947754</v>
      </c>
      <c r="M6267">
        <v>37.739547583421299</v>
      </c>
      <c r="N6267">
        <v>54.113972736111002</v>
      </c>
      <c r="O6267">
        <v>53.572693956495002</v>
      </c>
      <c r="P6267">
        <v>-0.15509189473680701</v>
      </c>
      <c r="Q6267">
        <v>0.11936771938588001</v>
      </c>
      <c r="R6267">
        <v>0.99255291570967596</v>
      </c>
      <c r="S6267" t="s">
        <v>13270</v>
      </c>
      <c r="T6267" t="s">
        <v>14004</v>
      </c>
      <c r="U6267" t="s">
        <v>14004</v>
      </c>
      <c r="V6267" t="s">
        <v>14004</v>
      </c>
      <c r="W6267" t="s">
        <v>20214</v>
      </c>
      <c r="X6267">
        <v>31</v>
      </c>
      <c r="Y6267" t="s">
        <v>27007</v>
      </c>
      <c r="Z6267" t="s">
        <v>33977</v>
      </c>
      <c r="AA6267">
        <v>0.52586093294088021</v>
      </c>
      <c r="AB6267" t="str">
        <f>HYPERLINK("Melting_Curves/meltCurve_Q9NUQ3_TXLNG.pdf", "Melting_Curves/meltCurve_Q9NUQ3_TXLNG.pdf")</f>
        <v>Melting_Curves/meltCurve_Q9NUQ3_TXLNG.pdf</v>
      </c>
    </row>
    <row r="6268" spans="1:28" x14ac:dyDescent="0.25">
      <c r="A6268" t="s">
        <v>6272</v>
      </c>
      <c r="B6268">
        <v>0.99999676499088797</v>
      </c>
      <c r="C6268">
        <v>0.80730483747590798</v>
      </c>
      <c r="D6268">
        <v>0.696948770188067</v>
      </c>
      <c r="E6268">
        <v>0.54741574586211605</v>
      </c>
      <c r="F6268">
        <v>0.22292895115077499</v>
      </c>
      <c r="G6268">
        <v>0.110679984295736</v>
      </c>
      <c r="H6268">
        <v>6.2273973000725E-2</v>
      </c>
      <c r="I6268">
        <v>7.6624958980702804E-2</v>
      </c>
      <c r="J6268">
        <v>7.2604091927410894E-2</v>
      </c>
      <c r="K6268">
        <v>4.8190105810771801E-2</v>
      </c>
      <c r="L6268">
        <v>674.34882643942694</v>
      </c>
      <c r="M6268">
        <v>13.792858762038801</v>
      </c>
      <c r="N6268">
        <v>49.064447360806803</v>
      </c>
      <c r="O6268">
        <v>47.897829782179997</v>
      </c>
      <c r="P6268">
        <v>-7.0289245113504095E-2</v>
      </c>
      <c r="Q6268">
        <v>2.3776278843517799E-2</v>
      </c>
      <c r="R6268">
        <v>0.98443003909432103</v>
      </c>
      <c r="S6268" t="s">
        <v>13271</v>
      </c>
      <c r="T6268" t="s">
        <v>14004</v>
      </c>
      <c r="U6268" t="s">
        <v>14004</v>
      </c>
      <c r="V6268" t="s">
        <v>14004</v>
      </c>
      <c r="W6268" t="s">
        <v>20215</v>
      </c>
      <c r="X6268">
        <v>4</v>
      </c>
      <c r="Y6268" t="s">
        <v>27008</v>
      </c>
      <c r="Z6268" t="s">
        <v>33978</v>
      </c>
      <c r="AA6268">
        <v>0.34137551938611782</v>
      </c>
      <c r="AB6268" t="str">
        <f>HYPERLINK("Melting_Curves/meltCurve_Q9NUQ7_UFSP2.pdf", "Melting_Curves/meltCurve_Q9NUQ7_UFSP2.pdf")</f>
        <v>Melting_Curves/meltCurve_Q9NUQ7_UFSP2.pdf</v>
      </c>
    </row>
    <row r="6269" spans="1:28" x14ac:dyDescent="0.25">
      <c r="A6269" t="s">
        <v>6273</v>
      </c>
      <c r="B6269">
        <v>0.99999676499088797</v>
      </c>
      <c r="C6269">
        <v>0.70215092622872699</v>
      </c>
      <c r="D6269">
        <v>0.24809649918750701</v>
      </c>
      <c r="E6269">
        <v>0.19282240707315601</v>
      </c>
      <c r="F6269">
        <v>0.14180366375054301</v>
      </c>
      <c r="G6269">
        <v>0.103992139705506</v>
      </c>
      <c r="H6269">
        <v>5.23778166472951E-2</v>
      </c>
      <c r="I6269">
        <v>4.8912729230299497E-2</v>
      </c>
      <c r="J6269">
        <v>4.2940922629070899E-2</v>
      </c>
      <c r="K6269">
        <v>3.9766304841566999E-2</v>
      </c>
      <c r="L6269">
        <v>1337.7329107591099</v>
      </c>
      <c r="M6269">
        <v>30.426683869983201</v>
      </c>
      <c r="N6269">
        <v>44.223260733767397</v>
      </c>
      <c r="O6269">
        <v>43.777176587383202</v>
      </c>
      <c r="P6269">
        <v>-0.15965483148542001</v>
      </c>
      <c r="Q6269">
        <v>8.1175637943075502E-2</v>
      </c>
      <c r="R6269">
        <v>0.98138811994106701</v>
      </c>
      <c r="S6269" t="s">
        <v>13272</v>
      </c>
      <c r="T6269" t="s">
        <v>14004</v>
      </c>
      <c r="U6269" t="s">
        <v>14004</v>
      </c>
      <c r="V6269" t="s">
        <v>14004</v>
      </c>
      <c r="W6269" t="s">
        <v>20216</v>
      </c>
      <c r="X6269">
        <v>11</v>
      </c>
      <c r="Y6269" t="s">
        <v>27009</v>
      </c>
      <c r="Z6269" t="s">
        <v>33979</v>
      </c>
      <c r="AA6269">
        <v>0.20914886089928769</v>
      </c>
      <c r="AB6269" t="str">
        <f>HYPERLINK("Melting_Curves/meltCurve_Q9NUQ8_ABCF3.pdf", "Melting_Curves/meltCurve_Q9NUQ8_ABCF3.pdf")</f>
        <v>Melting_Curves/meltCurve_Q9NUQ8_ABCF3.pdf</v>
      </c>
    </row>
    <row r="6270" spans="1:28" x14ac:dyDescent="0.25">
      <c r="A6270" t="s">
        <v>6274</v>
      </c>
      <c r="B6270">
        <v>0.99999676499088797</v>
      </c>
      <c r="C6270">
        <v>1.0303097753673101</v>
      </c>
      <c r="D6270">
        <v>1.0027005895551799</v>
      </c>
      <c r="E6270">
        <v>1.03034730958881</v>
      </c>
      <c r="F6270">
        <v>0.82214151400730695</v>
      </c>
      <c r="G6270">
        <v>0.287096815529234</v>
      </c>
      <c r="H6270">
        <v>0.10558890388206001</v>
      </c>
      <c r="I6270">
        <v>8.0219336025518298E-2</v>
      </c>
      <c r="J6270">
        <v>7.3349140349449393E-2</v>
      </c>
      <c r="K6270">
        <v>5.5838778050687599E-2</v>
      </c>
      <c r="L6270">
        <v>2237.24245909517</v>
      </c>
      <c r="M6270">
        <v>40.585115404912102</v>
      </c>
      <c r="N6270">
        <v>55.337757442155898</v>
      </c>
      <c r="O6270">
        <v>54.991376211163399</v>
      </c>
      <c r="P6270">
        <v>-0.17116176914485501</v>
      </c>
      <c r="Q6270">
        <v>7.23295721385976E-2</v>
      </c>
      <c r="R6270">
        <v>0.99840485767795595</v>
      </c>
      <c r="S6270" t="s">
        <v>13273</v>
      </c>
      <c r="T6270" t="s">
        <v>14004</v>
      </c>
      <c r="U6270" t="s">
        <v>14004</v>
      </c>
      <c r="V6270" t="s">
        <v>14004</v>
      </c>
      <c r="W6270" t="s">
        <v>20217</v>
      </c>
      <c r="X6270">
        <v>27</v>
      </c>
      <c r="Y6270" t="s">
        <v>27010</v>
      </c>
      <c r="Z6270" t="s">
        <v>33980</v>
      </c>
      <c r="AA6270">
        <v>0.54344161271178637</v>
      </c>
      <c r="AB6270" t="str">
        <f>HYPERLINK("Melting_Curves/meltCurve_Q9NUQ9_FAM49B.pdf", "Melting_Curves/meltCurve_Q9NUQ9_FAM49B.pdf")</f>
        <v>Melting_Curves/meltCurve_Q9NUQ9_FAM49B.pdf</v>
      </c>
    </row>
    <row r="6271" spans="1:28" x14ac:dyDescent="0.25">
      <c r="A6271" t="s">
        <v>6275</v>
      </c>
      <c r="B6271">
        <v>0.99999676499088797</v>
      </c>
      <c r="C6271">
        <v>1.02870671588975</v>
      </c>
      <c r="D6271">
        <v>0.97501481065823303</v>
      </c>
      <c r="E6271">
        <v>0.77845107847824402</v>
      </c>
      <c r="F6271">
        <v>0.70438004503824403</v>
      </c>
      <c r="G6271">
        <v>0.58257920640869199</v>
      </c>
      <c r="H6271">
        <v>0.547684941827704</v>
      </c>
      <c r="I6271">
        <v>0.53813666124836301</v>
      </c>
      <c r="J6271">
        <v>0.46490616127354101</v>
      </c>
      <c r="K6271">
        <v>0.36248338077624198</v>
      </c>
      <c r="L6271">
        <v>646.32494147412399</v>
      </c>
      <c r="M6271">
        <v>12.0923629035267</v>
      </c>
      <c r="N6271">
        <v>61.943928766809996</v>
      </c>
      <c r="O6271">
        <v>52.050263016911899</v>
      </c>
      <c r="P6271">
        <v>-3.45790833268853E-2</v>
      </c>
      <c r="Q6271">
        <v>0.40477165401228599</v>
      </c>
      <c r="R6271">
        <v>0.96169311793458101</v>
      </c>
      <c r="S6271" t="s">
        <v>13274</v>
      </c>
      <c r="T6271" t="s">
        <v>14004</v>
      </c>
      <c r="U6271" t="s">
        <v>14004</v>
      </c>
      <c r="V6271" t="s">
        <v>14004</v>
      </c>
      <c r="W6271" t="s">
        <v>20218</v>
      </c>
      <c r="X6271">
        <v>2</v>
      </c>
      <c r="Y6271" t="s">
        <v>27011</v>
      </c>
      <c r="Z6271" t="s">
        <v>33981</v>
      </c>
      <c r="AA6271">
        <v>0.68782063349880473</v>
      </c>
      <c r="AB6271" t="str">
        <f>HYPERLINK("Melting_Curves/meltCurve_Q9NUS5_AP5S1.pdf", "Melting_Curves/meltCurve_Q9NUS5_AP5S1.pdf")</f>
        <v>Melting_Curves/meltCurve_Q9NUS5_AP5S1.pdf</v>
      </c>
    </row>
    <row r="6272" spans="1:28" x14ac:dyDescent="0.25">
      <c r="A6272" t="s">
        <v>6276</v>
      </c>
      <c r="B6272">
        <v>0.99999676499088797</v>
      </c>
      <c r="C6272">
        <v>0.96244923359968104</v>
      </c>
      <c r="D6272">
        <v>1.00576645874628</v>
      </c>
      <c r="E6272">
        <v>0.91425927135204799</v>
      </c>
      <c r="F6272">
        <v>0.30082276248390599</v>
      </c>
      <c r="G6272">
        <v>0.197229467340864</v>
      </c>
      <c r="H6272">
        <v>9.0328692724371606E-2</v>
      </c>
      <c r="I6272">
        <v>7.46114397741654E-2</v>
      </c>
      <c r="J6272">
        <v>5.77874917664742E-2</v>
      </c>
      <c r="K6272">
        <v>5.4441032573784097E-2</v>
      </c>
      <c r="L6272">
        <v>2314.9380663383099</v>
      </c>
      <c r="M6272">
        <v>44.594864471457001</v>
      </c>
      <c r="N6272">
        <v>52.136689283622303</v>
      </c>
      <c r="O6272">
        <v>51.806356277758802</v>
      </c>
      <c r="P6272">
        <v>-0.19626648310174</v>
      </c>
      <c r="Q6272">
        <v>8.79812893523816E-2</v>
      </c>
      <c r="R6272">
        <v>0.99293409344706796</v>
      </c>
      <c r="S6272" t="s">
        <v>13275</v>
      </c>
      <c r="T6272" t="s">
        <v>14004</v>
      </c>
      <c r="U6272" t="s">
        <v>14004</v>
      </c>
      <c r="V6272" t="s">
        <v>14004</v>
      </c>
      <c r="W6272" t="s">
        <v>20219</v>
      </c>
      <c r="X6272">
        <v>24</v>
      </c>
      <c r="Y6272" t="s">
        <v>27012</v>
      </c>
      <c r="Z6272" t="s">
        <v>33982</v>
      </c>
      <c r="AA6272">
        <v>0.45269385333673973</v>
      </c>
      <c r="AB6272" t="str">
        <f>HYPERLINK("Melting_Curves/meltCurve_Q9NUU7_DDX19A.pdf", "Melting_Curves/meltCurve_Q9NUU7_DDX19A.pdf")</f>
        <v>Melting_Curves/meltCurve_Q9NUU7_DDX19A.pdf</v>
      </c>
    </row>
    <row r="6273" spans="1:28" x14ac:dyDescent="0.25">
      <c r="A6273" t="s">
        <v>6277</v>
      </c>
      <c r="B6273">
        <v>0.99999676499088797</v>
      </c>
      <c r="C6273">
        <v>1.0039439836422801</v>
      </c>
      <c r="D6273">
        <v>0.87110403380984402</v>
      </c>
      <c r="E6273">
        <v>0.44268139814587898</v>
      </c>
      <c r="F6273">
        <v>0.210761263588891</v>
      </c>
      <c r="G6273">
        <v>0.14653102207386001</v>
      </c>
      <c r="H6273">
        <v>9.3357751202730502E-2</v>
      </c>
      <c r="I6273">
        <v>8.2297606557790406E-2</v>
      </c>
      <c r="J6273">
        <v>7.5472769292388706E-2</v>
      </c>
      <c r="K6273">
        <v>5.5553145627074897E-2</v>
      </c>
      <c r="L6273">
        <v>1271.1698675822099</v>
      </c>
      <c r="M6273">
        <v>25.962285267342001</v>
      </c>
      <c r="N6273">
        <v>49.318407451379201</v>
      </c>
      <c r="O6273">
        <v>48.674462106763102</v>
      </c>
      <c r="P6273">
        <v>-0.121947194337631</v>
      </c>
      <c r="Q6273">
        <v>8.5497395372522406E-2</v>
      </c>
      <c r="R6273">
        <v>0.99695863197941703</v>
      </c>
      <c r="S6273" t="s">
        <v>13276</v>
      </c>
      <c r="T6273" t="s">
        <v>14004</v>
      </c>
      <c r="U6273" t="s">
        <v>14004</v>
      </c>
      <c r="V6273" t="s">
        <v>14004</v>
      </c>
      <c r="W6273" t="s">
        <v>20220</v>
      </c>
      <c r="X6273">
        <v>12</v>
      </c>
      <c r="Y6273" t="s">
        <v>27013</v>
      </c>
      <c r="Z6273" t="s">
        <v>33983</v>
      </c>
      <c r="AA6273">
        <v>0.36618978024744742</v>
      </c>
      <c r="AB6273" t="str">
        <f>HYPERLINK("Melting_Curves/meltCurve_Q9NUW8_TDP1.pdf", "Melting_Curves/meltCurve_Q9NUW8_TDP1.pdf")</f>
        <v>Melting_Curves/meltCurve_Q9NUW8_TDP1.pdf</v>
      </c>
    </row>
    <row r="6274" spans="1:28" x14ac:dyDescent="0.25">
      <c r="A6274" t="s">
        <v>6278</v>
      </c>
      <c r="B6274">
        <v>0.99999676499088797</v>
      </c>
      <c r="C6274">
        <v>0.92443369346924997</v>
      </c>
      <c r="D6274">
        <v>0.86583982167845497</v>
      </c>
      <c r="E6274">
        <v>0.58716796371042101</v>
      </c>
      <c r="F6274">
        <v>0.21197953798219901</v>
      </c>
      <c r="G6274">
        <v>0.148486079860292</v>
      </c>
      <c r="H6274">
        <v>6.6258829644893796E-2</v>
      </c>
      <c r="I6274">
        <v>5.81507903537671E-2</v>
      </c>
      <c r="J6274">
        <v>5.1336840126121601E-2</v>
      </c>
      <c r="K6274">
        <v>4.2253117792947603E-2</v>
      </c>
      <c r="L6274">
        <v>1054.5103966402701</v>
      </c>
      <c r="M6274">
        <v>21.103136375493801</v>
      </c>
      <c r="N6274">
        <v>50.203703908519103</v>
      </c>
      <c r="O6274">
        <v>49.527156062461302</v>
      </c>
      <c r="P6274">
        <v>-0.101529428394955</v>
      </c>
      <c r="Q6274">
        <v>4.6903480696356803E-2</v>
      </c>
      <c r="R6274">
        <v>0.99606135174465205</v>
      </c>
      <c r="S6274" t="s">
        <v>13277</v>
      </c>
      <c r="T6274" t="s">
        <v>14004</v>
      </c>
      <c r="U6274" t="s">
        <v>14004</v>
      </c>
      <c r="V6274" t="s">
        <v>14004</v>
      </c>
      <c r="W6274" t="s">
        <v>20221</v>
      </c>
      <c r="X6274">
        <v>2</v>
      </c>
      <c r="Y6274" t="s">
        <v>27014</v>
      </c>
      <c r="Z6274" t="s">
        <v>33984</v>
      </c>
      <c r="AA6274">
        <v>0.37557140710353548</v>
      </c>
      <c r="AB6274" t="str">
        <f>HYPERLINK("Melting_Curves/meltCurve_Q9NUX5_2_POT1.pdf", "Melting_Curves/meltCurve_Q9NUX5_2_POT1.pdf")</f>
        <v>Melting_Curves/meltCurve_Q9NUX5_2_POT1.pdf</v>
      </c>
    </row>
    <row r="6275" spans="1:28" x14ac:dyDescent="0.25">
      <c r="A6275" t="s">
        <v>6279</v>
      </c>
      <c r="B6275">
        <v>0.99999676499088797</v>
      </c>
      <c r="C6275">
        <v>1.1007715354156</v>
      </c>
      <c r="D6275">
        <v>1.3686800843001801</v>
      </c>
      <c r="E6275">
        <v>1.1431454051754899</v>
      </c>
      <c r="F6275">
        <v>0.606436688187318</v>
      </c>
      <c r="G6275">
        <v>0.406454053773248</v>
      </c>
      <c r="H6275">
        <v>0.13477615825686701</v>
      </c>
      <c r="I6275">
        <v>0.141030384818747</v>
      </c>
      <c r="J6275">
        <v>0.114449067838352</v>
      </c>
      <c r="K6275">
        <v>0.103710394553504</v>
      </c>
      <c r="L6275">
        <v>1646.7397136295999</v>
      </c>
      <c r="M6275">
        <v>30.2137289392934</v>
      </c>
      <c r="N6275">
        <v>55.008479431981797</v>
      </c>
      <c r="O6275">
        <v>54.265936881488798</v>
      </c>
      <c r="P6275">
        <v>-0.122322248117581</v>
      </c>
      <c r="Q6275">
        <v>0.121208856647411</v>
      </c>
      <c r="R6275">
        <v>0.90931526070897495</v>
      </c>
      <c r="S6275" t="s">
        <v>13278</v>
      </c>
      <c r="T6275" t="s">
        <v>14004</v>
      </c>
      <c r="U6275" t="s">
        <v>14004</v>
      </c>
      <c r="V6275" t="s">
        <v>14004</v>
      </c>
      <c r="W6275" t="s">
        <v>20222</v>
      </c>
      <c r="X6275">
        <v>11</v>
      </c>
      <c r="Y6275" t="s">
        <v>27015</v>
      </c>
      <c r="Z6275" t="s">
        <v>33985</v>
      </c>
      <c r="AA6275">
        <v>0.55177208160570701</v>
      </c>
      <c r="AB6275" t="str">
        <f>HYPERLINK("Melting_Curves/meltCurve_Q9NV06_DCAF13.pdf", "Melting_Curves/meltCurve_Q9NV06_DCAF13.pdf")</f>
        <v>Melting_Curves/meltCurve_Q9NV06_DCAF13.pdf</v>
      </c>
    </row>
    <row r="6276" spans="1:28" x14ac:dyDescent="0.25">
      <c r="A6276" t="s">
        <v>6280</v>
      </c>
      <c r="B6276">
        <v>0.99999676499088797</v>
      </c>
      <c r="C6276">
        <v>0.97100407531099997</v>
      </c>
      <c r="D6276">
        <v>0.87544793986478797</v>
      </c>
      <c r="E6276">
        <v>0.39067895755756699</v>
      </c>
      <c r="F6276">
        <v>0.24724395516676201</v>
      </c>
      <c r="G6276">
        <v>0.115528742947345</v>
      </c>
      <c r="H6276">
        <v>5.6751039640654997E-2</v>
      </c>
      <c r="I6276">
        <v>5.7517114021149902E-2</v>
      </c>
      <c r="J6276">
        <v>7.0410739021364396E-2</v>
      </c>
      <c r="K6276">
        <v>4.2855625371675199E-2</v>
      </c>
      <c r="L6276">
        <v>1188.9079198035099</v>
      </c>
      <c r="M6276">
        <v>24.333696888898299</v>
      </c>
      <c r="N6276">
        <v>49.1473745182439</v>
      </c>
      <c r="O6276">
        <v>48.532122662704801</v>
      </c>
      <c r="P6276">
        <v>-0.11699765626043</v>
      </c>
      <c r="Q6276">
        <v>6.6634432157003098E-2</v>
      </c>
      <c r="R6276">
        <v>0.99230005353100903</v>
      </c>
      <c r="S6276" t="s">
        <v>13279</v>
      </c>
      <c r="T6276" t="s">
        <v>14004</v>
      </c>
      <c r="U6276" t="s">
        <v>14004</v>
      </c>
      <c r="V6276" t="s">
        <v>14004</v>
      </c>
      <c r="W6276" t="s">
        <v>20223</v>
      </c>
      <c r="X6276">
        <v>2</v>
      </c>
      <c r="Y6276" t="s">
        <v>27016</v>
      </c>
      <c r="Z6276" t="s">
        <v>33986</v>
      </c>
      <c r="AA6276">
        <v>0.35098064111866428</v>
      </c>
      <c r="AB6276" t="str">
        <f>HYPERLINK("Melting_Curves/meltCurve_Q9NV31_IMP3.pdf", "Melting_Curves/meltCurve_Q9NV31_IMP3.pdf")</f>
        <v>Melting_Curves/meltCurve_Q9NV31_IMP3.pdf</v>
      </c>
    </row>
    <row r="6277" spans="1:28" x14ac:dyDescent="0.25">
      <c r="A6277" t="s">
        <v>6281</v>
      </c>
      <c r="B6277">
        <v>0.99999676499088797</v>
      </c>
      <c r="C6277">
        <v>0.70811764842109703</v>
      </c>
      <c r="D6277">
        <v>0.73734808365342897</v>
      </c>
      <c r="E6277">
        <v>0.65971075935131596</v>
      </c>
      <c r="F6277">
        <v>0.49669449622121098</v>
      </c>
      <c r="G6277">
        <v>0.22853725561635899</v>
      </c>
      <c r="H6277">
        <v>9.0107866325909294E-2</v>
      </c>
      <c r="I6277">
        <v>7.5515567750115406E-2</v>
      </c>
      <c r="J6277">
        <v>5.5314355488366398E-2</v>
      </c>
      <c r="K6277">
        <v>4.8724440434479703E-2</v>
      </c>
      <c r="L6277">
        <v>528.70501676174399</v>
      </c>
      <c r="M6277">
        <v>10.3361390054997</v>
      </c>
      <c r="N6277">
        <v>51.151091446750399</v>
      </c>
      <c r="O6277">
        <v>49.347515085984</v>
      </c>
      <c r="P6277">
        <v>-5.2386476838610301E-2</v>
      </c>
      <c r="Q6277">
        <v>0</v>
      </c>
      <c r="R6277">
        <v>0.94944394765607998</v>
      </c>
      <c r="S6277" t="s">
        <v>13280</v>
      </c>
      <c r="T6277" t="s">
        <v>14004</v>
      </c>
      <c r="U6277" t="s">
        <v>14004</v>
      </c>
      <c r="V6277" t="s">
        <v>14004</v>
      </c>
      <c r="W6277" t="s">
        <v>20224</v>
      </c>
      <c r="X6277">
        <v>5</v>
      </c>
      <c r="Y6277" t="s">
        <v>27017</v>
      </c>
      <c r="Z6277" t="s">
        <v>33987</v>
      </c>
      <c r="AA6277">
        <v>0.41111297924986551</v>
      </c>
      <c r="AB6277" t="str">
        <f>HYPERLINK("Melting_Curves/meltCurve_Q9NV35_NUDT15.pdf", "Melting_Curves/meltCurve_Q9NV35_NUDT15.pdf")</f>
        <v>Melting_Curves/meltCurve_Q9NV35_NUDT15.pdf</v>
      </c>
    </row>
    <row r="6278" spans="1:28" x14ac:dyDescent="0.25">
      <c r="A6278" t="s">
        <v>6282</v>
      </c>
      <c r="B6278">
        <v>0.99999676499088797</v>
      </c>
      <c r="C6278">
        <v>0.94496858314229704</v>
      </c>
      <c r="D6278">
        <v>0.96741253116936798</v>
      </c>
      <c r="E6278">
        <v>0.81488619989390498</v>
      </c>
      <c r="F6278">
        <v>0.331570985652407</v>
      </c>
      <c r="G6278">
        <v>0.190705866849082</v>
      </c>
      <c r="H6278">
        <v>0.122292359441141</v>
      </c>
      <c r="I6278">
        <v>0.124103878697924</v>
      </c>
      <c r="J6278">
        <v>0.10593441158568601</v>
      </c>
      <c r="K6278">
        <v>0.15524408149808699</v>
      </c>
      <c r="L6278">
        <v>1738.64504341612</v>
      </c>
      <c r="M6278">
        <v>33.806577210752302</v>
      </c>
      <c r="N6278">
        <v>51.891171803482102</v>
      </c>
      <c r="O6278">
        <v>51.250240622422403</v>
      </c>
      <c r="P6278">
        <v>-0.14347929064412501</v>
      </c>
      <c r="Q6278">
        <v>0.129954122113701</v>
      </c>
      <c r="R6278">
        <v>0.99615221223688899</v>
      </c>
      <c r="S6278" t="s">
        <v>13281</v>
      </c>
      <c r="T6278" t="s">
        <v>14004</v>
      </c>
      <c r="U6278" t="s">
        <v>14004</v>
      </c>
      <c r="V6278" t="s">
        <v>14004</v>
      </c>
      <c r="W6278" t="s">
        <v>20225</v>
      </c>
      <c r="X6278">
        <v>5</v>
      </c>
      <c r="Y6278" t="s">
        <v>27018</v>
      </c>
      <c r="Z6278" t="s">
        <v>33988</v>
      </c>
      <c r="AA6278">
        <v>0.46575536733053979</v>
      </c>
      <c r="AB6278" t="str">
        <f>HYPERLINK("Melting_Curves/meltCurve_Q9NV56_MRGBP.pdf", "Melting_Curves/meltCurve_Q9NV56_MRGBP.pdf")</f>
        <v>Melting_Curves/meltCurve_Q9NV56_MRGBP.pdf</v>
      </c>
    </row>
    <row r="6279" spans="1:28" x14ac:dyDescent="0.25">
      <c r="A6279" t="s">
        <v>6283</v>
      </c>
      <c r="B6279">
        <v>0.99999676499088797</v>
      </c>
      <c r="C6279">
        <v>0.96761457349347002</v>
      </c>
      <c r="D6279">
        <v>0.83308517119232295</v>
      </c>
      <c r="E6279">
        <v>0.31733737059920403</v>
      </c>
      <c r="F6279">
        <v>0.22231989462858801</v>
      </c>
      <c r="G6279">
        <v>0.136959849856958</v>
      </c>
      <c r="H6279">
        <v>5.9137552082086299E-2</v>
      </c>
      <c r="I6279">
        <v>6.0614703553731102E-2</v>
      </c>
      <c r="J6279">
        <v>6.1660109821917802E-2</v>
      </c>
      <c r="K6279">
        <v>5.32238035983661E-2</v>
      </c>
      <c r="L6279">
        <v>1317.1201124668901</v>
      </c>
      <c r="M6279">
        <v>27.338797165256899</v>
      </c>
      <c r="N6279">
        <v>48.484013220298998</v>
      </c>
      <c r="O6279">
        <v>47.922129077204403</v>
      </c>
      <c r="P6279">
        <v>-0.131310016641079</v>
      </c>
      <c r="Q6279">
        <v>7.9316299261392095E-2</v>
      </c>
      <c r="R6279">
        <v>0.990599129816089</v>
      </c>
      <c r="S6279" t="s">
        <v>13282</v>
      </c>
      <c r="T6279" t="s">
        <v>14004</v>
      </c>
      <c r="U6279" t="s">
        <v>14004</v>
      </c>
      <c r="V6279" t="s">
        <v>14004</v>
      </c>
      <c r="W6279" t="s">
        <v>20226</v>
      </c>
      <c r="X6279">
        <v>13</v>
      </c>
      <c r="Y6279" t="s">
        <v>27019</v>
      </c>
      <c r="Z6279" t="s">
        <v>33989</v>
      </c>
      <c r="AA6279">
        <v>0.33702478143957659</v>
      </c>
      <c r="AB6279" t="str">
        <f>HYPERLINK("Melting_Curves/meltCurve_Q9NV70_2_EXOC1.pdf", "Melting_Curves/meltCurve_Q9NV70_2_EXOC1.pdf")</f>
        <v>Melting_Curves/meltCurve_Q9NV70_2_EXOC1.pdf</v>
      </c>
    </row>
    <row r="6280" spans="1:28" x14ac:dyDescent="0.25">
      <c r="A6280" t="s">
        <v>6284</v>
      </c>
      <c r="B6280">
        <v>0.99999676499088797</v>
      </c>
      <c r="C6280">
        <v>0.98654055781560601</v>
      </c>
      <c r="D6280">
        <v>0.98371602143874204</v>
      </c>
      <c r="E6280">
        <v>0.90477694723872504</v>
      </c>
      <c r="F6280">
        <v>0.76716346989712303</v>
      </c>
      <c r="G6280">
        <v>0.26485887798784002</v>
      </c>
      <c r="H6280">
        <v>9.6707567279619905E-2</v>
      </c>
      <c r="I6280">
        <v>7.4267335400612797E-2</v>
      </c>
      <c r="J6280">
        <v>7.1427570111822505E-2</v>
      </c>
      <c r="K6280">
        <v>5.9394173380726202E-2</v>
      </c>
      <c r="L6280">
        <v>1839.8410711905599</v>
      </c>
      <c r="M6280">
        <v>33.599067243348301</v>
      </c>
      <c r="N6280">
        <v>54.979991087478197</v>
      </c>
      <c r="O6280">
        <v>54.565787998251203</v>
      </c>
      <c r="P6280">
        <v>-0.14420294745388601</v>
      </c>
      <c r="Q6280">
        <v>6.3245706590815395E-2</v>
      </c>
      <c r="R6280">
        <v>0.99669022152467601</v>
      </c>
      <c r="S6280" t="s">
        <v>13283</v>
      </c>
      <c r="T6280" t="s">
        <v>14004</v>
      </c>
      <c r="U6280" t="s">
        <v>14004</v>
      </c>
      <c r="V6280" t="s">
        <v>14004</v>
      </c>
      <c r="W6280" t="s">
        <v>20227</v>
      </c>
      <c r="X6280">
        <v>10</v>
      </c>
      <c r="Y6280" t="s">
        <v>27020</v>
      </c>
      <c r="Z6280" t="s">
        <v>33990</v>
      </c>
      <c r="AA6280">
        <v>0.52907376647745585</v>
      </c>
      <c r="AB6280" t="str">
        <f>HYPERLINK("Melting_Curves/meltCurve_Q9NV88_3_INTS9.pdf", "Melting_Curves/meltCurve_Q9NV88_3_INTS9.pdf")</f>
        <v>Melting_Curves/meltCurve_Q9NV88_3_INTS9.pdf</v>
      </c>
    </row>
    <row r="6281" spans="1:28" x14ac:dyDescent="0.25">
      <c r="A6281" t="s">
        <v>6285</v>
      </c>
      <c r="B6281">
        <v>0.99999676499088797</v>
      </c>
      <c r="C6281">
        <v>0.98582439970322999</v>
      </c>
      <c r="D6281">
        <v>1.0340180647272099</v>
      </c>
      <c r="E6281">
        <v>1.0041933580526099</v>
      </c>
      <c r="F6281">
        <v>0.92739682179023997</v>
      </c>
      <c r="G6281">
        <v>0.63533929059421002</v>
      </c>
      <c r="H6281">
        <v>0.37425421216668198</v>
      </c>
      <c r="I6281">
        <v>0.29611701055611001</v>
      </c>
      <c r="J6281">
        <v>0.25573836763028102</v>
      </c>
      <c r="K6281">
        <v>0.30048785567102099</v>
      </c>
      <c r="L6281">
        <v>1764.9506913530499</v>
      </c>
      <c r="M6281">
        <v>31.053807217548499</v>
      </c>
      <c r="N6281">
        <v>58.353412972088996</v>
      </c>
      <c r="O6281">
        <v>56.601113225227003</v>
      </c>
      <c r="P6281">
        <v>-9.9153076275928495E-2</v>
      </c>
      <c r="Q6281">
        <v>0.27710731289921797</v>
      </c>
      <c r="R6281">
        <v>0.99716944532129603</v>
      </c>
      <c r="S6281" t="s">
        <v>13284</v>
      </c>
      <c r="T6281" t="s">
        <v>14004</v>
      </c>
      <c r="U6281" t="s">
        <v>14004</v>
      </c>
      <c r="V6281" t="s">
        <v>14004</v>
      </c>
      <c r="W6281" t="s">
        <v>20228</v>
      </c>
      <c r="X6281">
        <v>7</v>
      </c>
      <c r="Y6281" t="s">
        <v>27021</v>
      </c>
      <c r="Z6281" t="s">
        <v>33991</v>
      </c>
      <c r="AA6281">
        <v>0.68730603350167463</v>
      </c>
      <c r="AB6281" t="str">
        <f>HYPERLINK("Melting_Curves/meltCurve_Q9NV96_TMEM30A.pdf", "Melting_Curves/meltCurve_Q9NV96_TMEM30A.pdf")</f>
        <v>Melting_Curves/meltCurve_Q9NV96_TMEM30A.pdf</v>
      </c>
    </row>
    <row r="6282" spans="1:28" x14ac:dyDescent="0.25">
      <c r="A6282" t="s">
        <v>6286</v>
      </c>
      <c r="B6282">
        <v>0.99999676499088797</v>
      </c>
      <c r="C6282">
        <v>1.06991752106668</v>
      </c>
      <c r="D6282">
        <v>1.0246903092500399</v>
      </c>
      <c r="E6282">
        <v>1.0976275291958799</v>
      </c>
      <c r="F6282">
        <v>0.80131122282071798</v>
      </c>
      <c r="G6282">
        <v>0.41738543739366302</v>
      </c>
      <c r="H6282">
        <v>0.163185231026515</v>
      </c>
      <c r="I6282">
        <v>0.123645613800272</v>
      </c>
      <c r="J6282">
        <v>0.13429432154475701</v>
      </c>
      <c r="K6282">
        <v>9.0421360180809707E-2</v>
      </c>
      <c r="L6282">
        <v>1810.52722520716</v>
      </c>
      <c r="M6282">
        <v>32.577018962715002</v>
      </c>
      <c r="N6282">
        <v>56.012817182097699</v>
      </c>
      <c r="O6282">
        <v>55.368669415172697</v>
      </c>
      <c r="P6282">
        <v>-0.130619524456423</v>
      </c>
      <c r="Q6282">
        <v>0.11198830219386501</v>
      </c>
      <c r="R6282">
        <v>0.98835936046321804</v>
      </c>
      <c r="S6282" t="s">
        <v>13285</v>
      </c>
      <c r="T6282" t="s">
        <v>14004</v>
      </c>
      <c r="U6282" t="s">
        <v>14004</v>
      </c>
      <c r="V6282" t="s">
        <v>14004</v>
      </c>
      <c r="W6282" t="s">
        <v>20229</v>
      </c>
      <c r="X6282">
        <v>6</v>
      </c>
      <c r="Y6282" t="s">
        <v>27022</v>
      </c>
      <c r="Z6282" t="s">
        <v>33992</v>
      </c>
      <c r="AA6282">
        <v>0.57813070259540977</v>
      </c>
      <c r="AB6282" t="str">
        <f>HYPERLINK("Melting_Curves/meltCurve_Q9NVA1_UQCC.pdf", "Melting_Curves/meltCurve_Q9NVA1_UQCC.pdf")</f>
        <v>Melting_Curves/meltCurve_Q9NVA1_UQCC.pdf</v>
      </c>
    </row>
    <row r="6283" spans="1:28" x14ac:dyDescent="0.25">
      <c r="A6283" t="s">
        <v>6287</v>
      </c>
      <c r="B6283">
        <v>0.99999676499088797</v>
      </c>
      <c r="C6283">
        <v>0.98594954539089896</v>
      </c>
      <c r="D6283">
        <v>0.98411673741416905</v>
      </c>
      <c r="E6283">
        <v>1.2994623855037599</v>
      </c>
      <c r="F6283">
        <v>1.42083094476233</v>
      </c>
      <c r="G6283">
        <v>1.08778073098119</v>
      </c>
      <c r="H6283">
        <v>0.87589022976289699</v>
      </c>
      <c r="I6283">
        <v>0.58942206646285999</v>
      </c>
      <c r="J6283">
        <v>0.359181676785504</v>
      </c>
      <c r="K6283">
        <v>0.35462434801277098</v>
      </c>
      <c r="L6283">
        <v>2777.3890009708598</v>
      </c>
      <c r="M6283">
        <v>43.959450114117203</v>
      </c>
      <c r="N6283">
        <v>64.793101783570194</v>
      </c>
      <c r="O6283">
        <v>63.0503739008563</v>
      </c>
      <c r="P6283">
        <v>-0.116337991268765</v>
      </c>
      <c r="Q6283">
        <v>0.33255367102718802</v>
      </c>
      <c r="R6283">
        <v>0.764484490459578</v>
      </c>
      <c r="S6283" t="s">
        <v>13286</v>
      </c>
      <c r="T6283" t="s">
        <v>14004</v>
      </c>
      <c r="U6283" t="s">
        <v>14004</v>
      </c>
      <c r="V6283" t="s">
        <v>14004</v>
      </c>
      <c r="W6283" t="s">
        <v>20230</v>
      </c>
      <c r="X6283">
        <v>1</v>
      </c>
      <c r="Y6283" t="s">
        <v>27023</v>
      </c>
      <c r="Z6283" t="s">
        <v>33993</v>
      </c>
      <c r="AA6283">
        <v>0.85012549123094439</v>
      </c>
      <c r="AB6283" t="str">
        <f>HYPERLINK("Melting_Curves/meltCurve_Q9NVA4_TMEM184C.pdf", "Melting_Curves/meltCurve_Q9NVA4_TMEM184C.pdf")</f>
        <v>Melting_Curves/meltCurve_Q9NVA4_TMEM184C.pdf</v>
      </c>
    </row>
    <row r="6284" spans="1:28" x14ac:dyDescent="0.25">
      <c r="A6284" t="s">
        <v>6288</v>
      </c>
      <c r="B6284">
        <v>0.99999676499088797</v>
      </c>
      <c r="C6284">
        <v>0.96868510925213502</v>
      </c>
      <c r="D6284">
        <v>0.93857819054096003</v>
      </c>
      <c r="E6284">
        <v>1.12594411164022</v>
      </c>
      <c r="F6284">
        <v>1.10440719327821</v>
      </c>
      <c r="G6284">
        <v>0.84068735267281303</v>
      </c>
      <c r="H6284">
        <v>0.50531735189353799</v>
      </c>
      <c r="I6284">
        <v>0.38588951310014502</v>
      </c>
      <c r="J6284">
        <v>0.25902036692223901</v>
      </c>
      <c r="K6284">
        <v>0.18438497319425301</v>
      </c>
      <c r="L6284">
        <v>1673.3706723422799</v>
      </c>
      <c r="M6284">
        <v>27.879835108649299</v>
      </c>
      <c r="N6284">
        <v>61.217428599768297</v>
      </c>
      <c r="O6284">
        <v>59.714573079832597</v>
      </c>
      <c r="P6284">
        <v>-9.2202670079140306E-2</v>
      </c>
      <c r="Q6284">
        <v>0.210067772313627</v>
      </c>
      <c r="R6284">
        <v>0.962848215417486</v>
      </c>
      <c r="S6284" t="s">
        <v>13287</v>
      </c>
      <c r="T6284" t="s">
        <v>14004</v>
      </c>
      <c r="U6284" t="s">
        <v>14004</v>
      </c>
      <c r="V6284" t="s">
        <v>14004</v>
      </c>
      <c r="W6284" t="s">
        <v>20231</v>
      </c>
      <c r="X6284">
        <v>2</v>
      </c>
      <c r="Y6284" t="s">
        <v>27024</v>
      </c>
      <c r="Z6284" t="s">
        <v>33994</v>
      </c>
      <c r="AA6284">
        <v>0.74247654525107576</v>
      </c>
      <c r="AB6284" t="str">
        <f>HYPERLINK("Melting_Curves/meltCurve_Q9NVC3_SLC38A7.pdf", "Melting_Curves/meltCurve_Q9NVC3_SLC38A7.pdf")</f>
        <v>Melting_Curves/meltCurve_Q9NVC3_SLC38A7.pdf</v>
      </c>
    </row>
    <row r="6285" spans="1:28" x14ac:dyDescent="0.25">
      <c r="A6285" t="s">
        <v>6289</v>
      </c>
      <c r="B6285">
        <v>0.99999676499088797</v>
      </c>
      <c r="C6285">
        <v>0.96171593613223905</v>
      </c>
      <c r="D6285">
        <v>0.86453037930050003</v>
      </c>
      <c r="E6285">
        <v>0.62762400988026101</v>
      </c>
      <c r="F6285">
        <v>0.31097746290066502</v>
      </c>
      <c r="G6285">
        <v>0.22016993270840601</v>
      </c>
      <c r="H6285">
        <v>8.8088038079838504E-2</v>
      </c>
      <c r="I6285">
        <v>8.90797268888113E-2</v>
      </c>
      <c r="J6285">
        <v>7.5721836527083003E-2</v>
      </c>
      <c r="K6285">
        <v>7.7376145664502197E-2</v>
      </c>
      <c r="L6285">
        <v>914.04001310924502</v>
      </c>
      <c r="M6285">
        <v>18.072975292700299</v>
      </c>
      <c r="N6285">
        <v>50.985113201460102</v>
      </c>
      <c r="O6285">
        <v>49.967963277052</v>
      </c>
      <c r="P6285">
        <v>-8.4309166999519902E-2</v>
      </c>
      <c r="Q6285">
        <v>6.7657075379687098E-2</v>
      </c>
      <c r="R6285">
        <v>0.99777869538213104</v>
      </c>
      <c r="S6285" t="s">
        <v>13288</v>
      </c>
      <c r="T6285" t="s">
        <v>14004</v>
      </c>
      <c r="U6285" t="s">
        <v>14004</v>
      </c>
      <c r="V6285" t="s">
        <v>14004</v>
      </c>
      <c r="W6285" t="s">
        <v>20232</v>
      </c>
      <c r="X6285">
        <v>12</v>
      </c>
      <c r="Y6285" t="s">
        <v>27025</v>
      </c>
      <c r="Z6285" t="s">
        <v>33995</v>
      </c>
      <c r="AA6285">
        <v>0.41197680706097201</v>
      </c>
      <c r="AB6285" t="str">
        <f>HYPERLINK("Melting_Curves/meltCurve_Q9NVC6_MED17.pdf", "Melting_Curves/meltCurve_Q9NVC6_MED17.pdf")</f>
        <v>Melting_Curves/meltCurve_Q9NVC6_MED17.pdf</v>
      </c>
    </row>
    <row r="6286" spans="1:28" x14ac:dyDescent="0.25">
      <c r="A6286" t="s">
        <v>6290</v>
      </c>
      <c r="B6286">
        <v>0.99999676499088797</v>
      </c>
      <c r="C6286">
        <v>1.0723008255139399</v>
      </c>
      <c r="D6286">
        <v>0.97017495258365805</v>
      </c>
      <c r="E6286">
        <v>0.91188595227049096</v>
      </c>
      <c r="F6286">
        <v>0.322377266556995</v>
      </c>
      <c r="G6286">
        <v>0.18576317045284799</v>
      </c>
      <c r="H6286">
        <v>9.7018695751614301E-2</v>
      </c>
      <c r="I6286">
        <v>8.8362971084637101E-2</v>
      </c>
      <c r="J6286">
        <v>8.5033152587483493E-2</v>
      </c>
      <c r="K6286">
        <v>6.6453366571363998E-2</v>
      </c>
      <c r="L6286">
        <v>2240.9119975019798</v>
      </c>
      <c r="M6286">
        <v>43.135006480087299</v>
      </c>
      <c r="N6286">
        <v>52.213441996965003</v>
      </c>
      <c r="O6286">
        <v>51.839835697656703</v>
      </c>
      <c r="P6286">
        <v>-0.18775596327149</v>
      </c>
      <c r="Q6286">
        <v>9.7417696369111004E-2</v>
      </c>
      <c r="R6286">
        <v>0.99328078948603704</v>
      </c>
      <c r="S6286" t="s">
        <v>13289</v>
      </c>
      <c r="T6286" t="s">
        <v>14004</v>
      </c>
      <c r="U6286" t="s">
        <v>14004</v>
      </c>
      <c r="V6286" t="s">
        <v>14004</v>
      </c>
      <c r="W6286" t="s">
        <v>20233</v>
      </c>
      <c r="X6286">
        <v>12</v>
      </c>
      <c r="Y6286" t="s">
        <v>27026</v>
      </c>
      <c r="Z6286" t="s">
        <v>33996</v>
      </c>
      <c r="AA6286">
        <v>0.45976359706777797</v>
      </c>
      <c r="AB6286" t="str">
        <f>HYPERLINK("Melting_Curves/meltCurve_Q9NVE7_PANK4.pdf", "Melting_Curves/meltCurve_Q9NVE7_PANK4.pdf")</f>
        <v>Melting_Curves/meltCurve_Q9NVE7_PANK4.pdf</v>
      </c>
    </row>
    <row r="6287" spans="1:28" x14ac:dyDescent="0.25">
      <c r="A6287" t="s">
        <v>6291</v>
      </c>
      <c r="B6287">
        <v>0.99999676499088797</v>
      </c>
      <c r="C6287">
        <v>0.984004926429489</v>
      </c>
      <c r="D6287">
        <v>0.84266028016489802</v>
      </c>
      <c r="E6287">
        <v>0.399020230828522</v>
      </c>
      <c r="F6287">
        <v>0.221961535397868</v>
      </c>
      <c r="G6287">
        <v>0.13063037832716401</v>
      </c>
      <c r="H6287">
        <v>6.91913437250712E-2</v>
      </c>
      <c r="I6287">
        <v>5.9258573887982703E-2</v>
      </c>
      <c r="J6287">
        <v>6.1960927156287898E-2</v>
      </c>
      <c r="K6287">
        <v>4.5474240186047697E-2</v>
      </c>
      <c r="L6287">
        <v>1161.14360174934</v>
      </c>
      <c r="M6287">
        <v>23.819708493886001</v>
      </c>
      <c r="N6287">
        <v>49.047664119872003</v>
      </c>
      <c r="O6287">
        <v>48.407475685427698</v>
      </c>
      <c r="P6287">
        <v>-0.114666871061899</v>
      </c>
      <c r="Q6287">
        <v>6.7890214180917105E-2</v>
      </c>
      <c r="R6287">
        <v>0.99576325033214397</v>
      </c>
      <c r="S6287" t="s">
        <v>13290</v>
      </c>
      <c r="T6287" t="s">
        <v>14004</v>
      </c>
      <c r="U6287" t="s">
        <v>14004</v>
      </c>
      <c r="V6287" t="s">
        <v>14004</v>
      </c>
      <c r="W6287" t="s">
        <v>20234</v>
      </c>
      <c r="X6287">
        <v>3</v>
      </c>
      <c r="Y6287" t="s">
        <v>27027</v>
      </c>
      <c r="Z6287" t="s">
        <v>33997</v>
      </c>
      <c r="AA6287">
        <v>0.34878694351745171</v>
      </c>
      <c r="AB6287" t="str">
        <f>HYPERLINK("Melting_Curves/meltCurve_Q9NVF7_FBXO28.pdf", "Melting_Curves/meltCurve_Q9NVF7_FBXO28.pdf")</f>
        <v>Melting_Curves/meltCurve_Q9NVF7_FBXO28.pdf</v>
      </c>
    </row>
    <row r="6288" spans="1:28" x14ac:dyDescent="0.25">
      <c r="A6288" t="s">
        <v>6292</v>
      </c>
      <c r="B6288">
        <v>0.99999676499088797</v>
      </c>
      <c r="C6288">
        <v>0.98428474990574</v>
      </c>
      <c r="D6288">
        <v>0.98304656369047705</v>
      </c>
      <c r="E6288">
        <v>1.1039163380544299</v>
      </c>
      <c r="F6288">
        <v>0.73418725835662202</v>
      </c>
      <c r="G6288">
        <v>0.340783838676471</v>
      </c>
      <c r="H6288">
        <v>0.13393445511479801</v>
      </c>
      <c r="I6288">
        <v>0.110575088907354</v>
      </c>
      <c r="J6288">
        <v>0.10839592615096399</v>
      </c>
      <c r="K6288">
        <v>0.10593273810123501</v>
      </c>
      <c r="L6288">
        <v>1875.7096244778199</v>
      </c>
      <c r="M6288">
        <v>34.194254621630101</v>
      </c>
      <c r="N6288">
        <v>55.2459055821584</v>
      </c>
      <c r="O6288">
        <v>54.667932150833302</v>
      </c>
      <c r="P6288">
        <v>-0.13955234340214501</v>
      </c>
      <c r="Q6288">
        <v>0.107568393726155</v>
      </c>
      <c r="R6288">
        <v>0.98923006508632005</v>
      </c>
      <c r="S6288" t="s">
        <v>13291</v>
      </c>
      <c r="T6288" t="s">
        <v>14004</v>
      </c>
      <c r="U6288" t="s">
        <v>14004</v>
      </c>
      <c r="V6288" t="s">
        <v>14004</v>
      </c>
      <c r="W6288" t="s">
        <v>20235</v>
      </c>
      <c r="X6288">
        <v>14</v>
      </c>
      <c r="Y6288" t="s">
        <v>27028</v>
      </c>
      <c r="Z6288" t="s">
        <v>33998</v>
      </c>
      <c r="AA6288">
        <v>0.55405227377230637</v>
      </c>
      <c r="AB6288" t="str">
        <f>HYPERLINK("Melting_Curves/meltCurve_Q9NVG8_TBC1D13.pdf", "Melting_Curves/meltCurve_Q9NVG8_TBC1D13.pdf")</f>
        <v>Melting_Curves/meltCurve_Q9NVG8_TBC1D13.pdf</v>
      </c>
    </row>
    <row r="6289" spans="1:28" x14ac:dyDescent="0.25">
      <c r="A6289" t="s">
        <v>6293</v>
      </c>
      <c r="B6289">
        <v>0.99999676499088797</v>
      </c>
      <c r="C6289">
        <v>0.90072177293598898</v>
      </c>
      <c r="D6289">
        <v>0.66346722857722795</v>
      </c>
      <c r="E6289">
        <v>0.34413155282320701</v>
      </c>
      <c r="F6289">
        <v>0.21854600187529899</v>
      </c>
      <c r="G6289">
        <v>0.20233935755254001</v>
      </c>
      <c r="H6289">
        <v>0.112103830528056</v>
      </c>
      <c r="I6289">
        <v>9.2903444053901899E-2</v>
      </c>
      <c r="J6289">
        <v>8.82049743058506E-2</v>
      </c>
      <c r="K6289">
        <v>7.6228161228174093E-2</v>
      </c>
      <c r="L6289">
        <v>882.72209209736297</v>
      </c>
      <c r="M6289">
        <v>18.649255150543201</v>
      </c>
      <c r="N6289">
        <v>47.908023071655201</v>
      </c>
      <c r="O6289">
        <v>46.798666697277497</v>
      </c>
      <c r="P6289">
        <v>-8.9636131748205297E-2</v>
      </c>
      <c r="Q6289">
        <v>0.10030262390994001</v>
      </c>
      <c r="R6289">
        <v>0.99364534680822403</v>
      </c>
      <c r="S6289" t="s">
        <v>13292</v>
      </c>
      <c r="T6289" t="s">
        <v>14004</v>
      </c>
      <c r="U6289" t="s">
        <v>14004</v>
      </c>
      <c r="V6289" t="s">
        <v>14004</v>
      </c>
      <c r="W6289" t="s">
        <v>20236</v>
      </c>
      <c r="X6289">
        <v>3</v>
      </c>
      <c r="Y6289" t="s">
        <v>27029</v>
      </c>
      <c r="Z6289" t="s">
        <v>33999</v>
      </c>
      <c r="AA6289">
        <v>0.33536093279158707</v>
      </c>
      <c r="AB6289" t="str">
        <f>HYPERLINK("Melting_Curves/meltCurve_Q9NVH0_EXD2.pdf", "Melting_Curves/meltCurve_Q9NVH0_EXD2.pdf")</f>
        <v>Melting_Curves/meltCurve_Q9NVH0_EXD2.pdf</v>
      </c>
    </row>
    <row r="6290" spans="1:28" x14ac:dyDescent="0.25">
      <c r="A6290" t="s">
        <v>6294</v>
      </c>
      <c r="B6290">
        <v>0.99999676499088797</v>
      </c>
      <c r="C6290">
        <v>0.96945358129326897</v>
      </c>
      <c r="D6290">
        <v>1.0245178592645301</v>
      </c>
      <c r="E6290">
        <v>0.90587211846413196</v>
      </c>
      <c r="F6290">
        <v>0.55098512896462704</v>
      </c>
      <c r="G6290">
        <v>0.25677808300418298</v>
      </c>
      <c r="H6290">
        <v>0.114770671209</v>
      </c>
      <c r="I6290">
        <v>0.104862625368994</v>
      </c>
      <c r="J6290">
        <v>0.10373233106587799</v>
      </c>
      <c r="K6290">
        <v>7.7239780050124801E-2</v>
      </c>
      <c r="L6290">
        <v>1444.89693898993</v>
      </c>
      <c r="M6290">
        <v>27.073340093677398</v>
      </c>
      <c r="N6290">
        <v>53.767743405178003</v>
      </c>
      <c r="O6290">
        <v>53.081121498472299</v>
      </c>
      <c r="P6290">
        <v>-0.115932422792138</v>
      </c>
      <c r="Q6290">
        <v>9.0801452284455603E-2</v>
      </c>
      <c r="R6290">
        <v>0.99804099066321705</v>
      </c>
      <c r="S6290" t="s">
        <v>13293</v>
      </c>
      <c r="T6290" t="s">
        <v>14004</v>
      </c>
      <c r="U6290" t="s">
        <v>14004</v>
      </c>
      <c r="V6290" t="s">
        <v>14004</v>
      </c>
      <c r="W6290" t="s">
        <v>20237</v>
      </c>
      <c r="X6290">
        <v>26</v>
      </c>
      <c r="Y6290" t="s">
        <v>27030</v>
      </c>
      <c r="Z6290" t="s">
        <v>34000</v>
      </c>
      <c r="AA6290">
        <v>0.50321542098593353</v>
      </c>
      <c r="AB6290" t="str">
        <f>HYPERLINK("Melting_Curves/meltCurve_Q9NVH1_DNAJC11.pdf", "Melting_Curves/meltCurve_Q9NVH1_DNAJC11.pdf")</f>
        <v>Melting_Curves/meltCurve_Q9NVH1_DNAJC11.pdf</v>
      </c>
    </row>
    <row r="6291" spans="1:28" x14ac:dyDescent="0.25">
      <c r="A6291" t="s">
        <v>6295</v>
      </c>
      <c r="B6291">
        <v>0.99999676499088797</v>
      </c>
      <c r="C6291">
        <v>1.09898035516077</v>
      </c>
      <c r="D6291">
        <v>0.966650828451741</v>
      </c>
      <c r="E6291">
        <v>0.64798984996268905</v>
      </c>
      <c r="F6291">
        <v>0.32169215635293402</v>
      </c>
      <c r="G6291">
        <v>0.133622801223585</v>
      </c>
      <c r="H6291">
        <v>5.6378951154805401E-2</v>
      </c>
      <c r="I6291">
        <v>4.3880990820439197E-2</v>
      </c>
      <c r="J6291">
        <v>4.85908290172875E-2</v>
      </c>
      <c r="K6291">
        <v>4.3819699695921199E-2</v>
      </c>
      <c r="L6291">
        <v>1232.0555192654799</v>
      </c>
      <c r="M6291">
        <v>24.149675339406599</v>
      </c>
      <c r="N6291">
        <v>51.217465202941298</v>
      </c>
      <c r="O6291">
        <v>50.671529621912697</v>
      </c>
      <c r="P6291">
        <v>-0.113789050635</v>
      </c>
      <c r="Q6291">
        <v>4.4993423835131698E-2</v>
      </c>
      <c r="R6291">
        <v>0.991899171347711</v>
      </c>
      <c r="S6291" t="s">
        <v>13294</v>
      </c>
      <c r="T6291" t="s">
        <v>14004</v>
      </c>
      <c r="U6291" t="s">
        <v>14004</v>
      </c>
      <c r="V6291" t="s">
        <v>14004</v>
      </c>
      <c r="W6291" t="s">
        <v>20238</v>
      </c>
      <c r="X6291">
        <v>12</v>
      </c>
      <c r="Y6291" t="s">
        <v>27031</v>
      </c>
      <c r="Z6291" t="s">
        <v>34001</v>
      </c>
      <c r="AA6291">
        <v>0.40495407623990409</v>
      </c>
      <c r="AB6291" t="str">
        <f>HYPERLINK("Melting_Curves/meltCurve_Q9NVH2_3_INTS7.pdf", "Melting_Curves/meltCurve_Q9NVH2_3_INTS7.pdf")</f>
        <v>Melting_Curves/meltCurve_Q9NVH2_3_INTS7.pdf</v>
      </c>
    </row>
    <row r="6292" spans="1:28" x14ac:dyDescent="0.25">
      <c r="A6292" t="s">
        <v>6296</v>
      </c>
      <c r="B6292">
        <v>0.99999676499088797</v>
      </c>
      <c r="C6292">
        <v>1.9874172267241901</v>
      </c>
      <c r="D6292">
        <v>1.6294509594398201</v>
      </c>
      <c r="E6292">
        <v>1.7070943675877399</v>
      </c>
      <c r="F6292">
        <v>1.53744825699761</v>
      </c>
      <c r="G6292">
        <v>1.6994587722882</v>
      </c>
      <c r="H6292">
        <v>0.854499519707833</v>
      </c>
      <c r="I6292">
        <v>0.86585746093172</v>
      </c>
      <c r="J6292">
        <v>0.54508004803678201</v>
      </c>
      <c r="K6292">
        <v>0.31085916660282198</v>
      </c>
      <c r="L6292">
        <v>2410.7209461716898</v>
      </c>
      <c r="M6292">
        <v>36.176320718189899</v>
      </c>
      <c r="N6292">
        <v>67.532100936431206</v>
      </c>
      <c r="O6292">
        <v>66.435459696403001</v>
      </c>
      <c r="P6292">
        <v>-0.11023135676950201</v>
      </c>
      <c r="Q6292">
        <v>0.190271767140892</v>
      </c>
      <c r="R6292">
        <v>8.4825509678918207E-2</v>
      </c>
      <c r="S6292" t="s">
        <v>13295</v>
      </c>
      <c r="T6292" t="s">
        <v>14004</v>
      </c>
      <c r="U6292" t="s">
        <v>14004</v>
      </c>
      <c r="V6292" t="s">
        <v>14004</v>
      </c>
      <c r="W6292" t="s">
        <v>20239</v>
      </c>
      <c r="X6292">
        <v>2</v>
      </c>
      <c r="Y6292" t="s">
        <v>27032</v>
      </c>
      <c r="Z6292" t="s">
        <v>34002</v>
      </c>
      <c r="AA6292">
        <v>0.90434444245033108</v>
      </c>
      <c r="AB6292" t="str">
        <f>HYPERLINK("Melting_Curves/meltCurve_Q9NVH6_7_TMLHE.pdf", "Melting_Curves/meltCurve_Q9NVH6_7_TMLHE.pdf")</f>
        <v>Melting_Curves/meltCurve_Q9NVH6_7_TMLHE.pdf</v>
      </c>
    </row>
    <row r="6293" spans="1:28" x14ac:dyDescent="0.25">
      <c r="A6293" t="s">
        <v>6297</v>
      </c>
      <c r="B6293">
        <v>0.99999676499088797</v>
      </c>
      <c r="C6293">
        <v>0.93053838511836595</v>
      </c>
      <c r="D6293">
        <v>0.60235941125119197</v>
      </c>
      <c r="E6293">
        <v>0.21091777200737599</v>
      </c>
      <c r="F6293">
        <v>0.17010346981329</v>
      </c>
      <c r="G6293">
        <v>0.108667521552093</v>
      </c>
      <c r="H6293">
        <v>5.6684323451579699E-2</v>
      </c>
      <c r="I6293">
        <v>4.7751741363481003E-2</v>
      </c>
      <c r="J6293">
        <v>5.3210817106884203E-2</v>
      </c>
      <c r="K6293">
        <v>4.4000935694511703E-2</v>
      </c>
      <c r="L6293">
        <v>1198.91052544229</v>
      </c>
      <c r="M6293">
        <v>25.731413392143601</v>
      </c>
      <c r="N6293">
        <v>46.8616735390004</v>
      </c>
      <c r="O6293">
        <v>46.3145815422033</v>
      </c>
      <c r="P6293">
        <v>-0.129379691083614</v>
      </c>
      <c r="Q6293">
        <v>6.8516898492183897E-2</v>
      </c>
      <c r="R6293">
        <v>0.993912774901066</v>
      </c>
      <c r="S6293" t="s">
        <v>13296</v>
      </c>
      <c r="T6293" t="s">
        <v>14004</v>
      </c>
      <c r="U6293" t="s">
        <v>14004</v>
      </c>
      <c r="V6293" t="s">
        <v>14004</v>
      </c>
      <c r="W6293" t="s">
        <v>20240</v>
      </c>
      <c r="X6293">
        <v>19</v>
      </c>
      <c r="Y6293" t="s">
        <v>27033</v>
      </c>
      <c r="Z6293" t="s">
        <v>34003</v>
      </c>
      <c r="AA6293">
        <v>0.28110935302636858</v>
      </c>
      <c r="AB6293" t="str">
        <f>HYPERLINK("Melting_Curves/meltCurve_Q9NVI1_FANCI.pdf", "Melting_Curves/meltCurve_Q9NVI1_FANCI.pdf")</f>
        <v>Melting_Curves/meltCurve_Q9NVI1_FANCI.pdf</v>
      </c>
    </row>
    <row r="6294" spans="1:28" x14ac:dyDescent="0.25">
      <c r="A6294" t="s">
        <v>6298</v>
      </c>
      <c r="B6294">
        <v>0.99999676499088797</v>
      </c>
      <c r="C6294">
        <v>1.1247251204517701</v>
      </c>
      <c r="D6294">
        <v>1.1150258867384599</v>
      </c>
      <c r="E6294">
        <v>0.89693806996151604</v>
      </c>
      <c r="F6294">
        <v>0.32683452462852802</v>
      </c>
      <c r="G6294">
        <v>0.28771727038916101</v>
      </c>
      <c r="H6294">
        <v>0.182542939719399</v>
      </c>
      <c r="I6294">
        <v>0.18468422852972499</v>
      </c>
      <c r="J6294">
        <v>0.201189787964796</v>
      </c>
      <c r="K6294">
        <v>0.18581240048457301</v>
      </c>
      <c r="L6294">
        <v>2617.5333741972199</v>
      </c>
      <c r="M6294">
        <v>50.861172112430403</v>
      </c>
      <c r="N6294">
        <v>52.006907350986602</v>
      </c>
      <c r="O6294">
        <v>51.384906056996101</v>
      </c>
      <c r="P6294">
        <v>-0.19650251936886401</v>
      </c>
      <c r="Q6294">
        <v>0.20589681626870099</v>
      </c>
      <c r="R6294">
        <v>0.97746910578826796</v>
      </c>
      <c r="S6294" t="s">
        <v>13297</v>
      </c>
      <c r="T6294" t="s">
        <v>14004</v>
      </c>
      <c r="U6294" t="s">
        <v>14004</v>
      </c>
      <c r="V6294" t="s">
        <v>14004</v>
      </c>
      <c r="W6294" t="s">
        <v>20241</v>
      </c>
      <c r="X6294">
        <v>16</v>
      </c>
      <c r="Y6294" t="s">
        <v>27034</v>
      </c>
      <c r="Z6294" t="s">
        <v>34004</v>
      </c>
      <c r="AA6294">
        <v>0.51109918305001301</v>
      </c>
      <c r="AB6294" t="str">
        <f>HYPERLINK("Melting_Curves/meltCurve_Q9NVI7_2_ATAD3A.pdf", "Melting_Curves/meltCurve_Q9NVI7_2_ATAD3A.pdf")</f>
        <v>Melting_Curves/meltCurve_Q9NVI7_2_ATAD3A.pdf</v>
      </c>
    </row>
    <row r="6295" spans="1:28" x14ac:dyDescent="0.25">
      <c r="A6295" t="s">
        <v>6299</v>
      </c>
      <c r="B6295">
        <v>0.99999676499088797</v>
      </c>
      <c r="C6295">
        <v>0.95299681573913597</v>
      </c>
      <c r="D6295">
        <v>0.97523683052423005</v>
      </c>
      <c r="E6295">
        <v>1.0595061934045999</v>
      </c>
      <c r="F6295">
        <v>0.79847010946724195</v>
      </c>
      <c r="G6295">
        <v>0.83335398425773399</v>
      </c>
      <c r="H6295">
        <v>0.52404312199145298</v>
      </c>
      <c r="I6295">
        <v>0.546837486292442</v>
      </c>
      <c r="J6295">
        <v>0.410866557824342</v>
      </c>
      <c r="K6295">
        <v>0.35544769170336699</v>
      </c>
      <c r="L6295">
        <v>837.4057312955</v>
      </c>
      <c r="M6295">
        <v>14.0431226549372</v>
      </c>
      <c r="N6295">
        <v>63.575458206323198</v>
      </c>
      <c r="O6295">
        <v>58.460864180794303</v>
      </c>
      <c r="P6295">
        <v>-4.2595961844505002E-2</v>
      </c>
      <c r="Q6295">
        <v>0.29079251584705301</v>
      </c>
      <c r="R6295">
        <v>0.94506245751196705</v>
      </c>
      <c r="S6295" t="s">
        <v>13298</v>
      </c>
      <c r="T6295" t="s">
        <v>14004</v>
      </c>
      <c r="U6295" t="s">
        <v>14004</v>
      </c>
      <c r="V6295" t="s">
        <v>14004</v>
      </c>
      <c r="W6295" t="s">
        <v>20242</v>
      </c>
      <c r="X6295">
        <v>9</v>
      </c>
      <c r="Y6295" t="s">
        <v>27035</v>
      </c>
      <c r="Z6295" t="s">
        <v>34005</v>
      </c>
      <c r="AA6295">
        <v>0.76020207889042124</v>
      </c>
      <c r="AB6295" t="str">
        <f>HYPERLINK("Melting_Curves/meltCurve_Q9NVJ2_ARL8B.pdf", "Melting_Curves/meltCurve_Q9NVJ2_ARL8B.pdf")</f>
        <v>Melting_Curves/meltCurve_Q9NVJ2_ARL8B.pdf</v>
      </c>
    </row>
    <row r="6296" spans="1:28" x14ac:dyDescent="0.25">
      <c r="A6296" t="s">
        <v>6300</v>
      </c>
      <c r="B6296">
        <v>0.99999676499088797</v>
      </c>
      <c r="C6296">
        <v>0.941243953340129</v>
      </c>
      <c r="D6296">
        <v>0.898330168046096</v>
      </c>
      <c r="E6296">
        <v>0.72810369090848803</v>
      </c>
      <c r="F6296">
        <v>0.79241049389506002</v>
      </c>
      <c r="G6296">
        <v>0.50602592581972505</v>
      </c>
      <c r="H6296">
        <v>0.28021336259187402</v>
      </c>
      <c r="I6296">
        <v>0.29486376895060401</v>
      </c>
      <c r="J6296">
        <v>0.33936981554349699</v>
      </c>
      <c r="K6296">
        <v>0.39406436658892902</v>
      </c>
      <c r="L6296">
        <v>709.95670655708102</v>
      </c>
      <c r="M6296">
        <v>13.278665232443601</v>
      </c>
      <c r="N6296">
        <v>56.904978587774302</v>
      </c>
      <c r="O6296">
        <v>52.29701112067</v>
      </c>
      <c r="P6296">
        <v>-4.5971718486624499E-2</v>
      </c>
      <c r="Q6296">
        <v>0.27589336253143598</v>
      </c>
      <c r="R6296">
        <v>0.92665255379226596</v>
      </c>
      <c r="S6296" t="s">
        <v>13299</v>
      </c>
      <c r="T6296" t="s">
        <v>14004</v>
      </c>
      <c r="U6296" t="s">
        <v>14004</v>
      </c>
      <c r="V6296" t="s">
        <v>14004</v>
      </c>
      <c r="W6296" t="s">
        <v>20243</v>
      </c>
      <c r="X6296">
        <v>8</v>
      </c>
      <c r="Y6296" t="s">
        <v>27036</v>
      </c>
      <c r="Z6296" t="s">
        <v>34006</v>
      </c>
      <c r="AA6296">
        <v>0.61867987244540357</v>
      </c>
      <c r="AB6296" t="str">
        <f>HYPERLINK("Melting_Curves/meltCurve_Q9NVK5_2_FGFR1OP2.pdf", "Melting_Curves/meltCurve_Q9NVK5_2_FGFR1OP2.pdf")</f>
        <v>Melting_Curves/meltCurve_Q9NVK5_2_FGFR1OP2.pdf</v>
      </c>
    </row>
    <row r="6297" spans="1:28" x14ac:dyDescent="0.25">
      <c r="A6297" t="s">
        <v>6301</v>
      </c>
      <c r="B6297">
        <v>0.99999676499088797</v>
      </c>
      <c r="C6297">
        <v>1.0537151446916599</v>
      </c>
      <c r="D6297">
        <v>0.919179657118668</v>
      </c>
      <c r="E6297">
        <v>0.62584577850194201</v>
      </c>
      <c r="F6297">
        <v>0.51293680707188405</v>
      </c>
      <c r="G6297">
        <v>0.39807237467763101</v>
      </c>
      <c r="H6297">
        <v>0.12020279662597699</v>
      </c>
      <c r="I6297">
        <v>0.14929917800912701</v>
      </c>
      <c r="J6297">
        <v>0.11285293301154201</v>
      </c>
      <c r="K6297">
        <v>0.111246656434841</v>
      </c>
      <c r="L6297">
        <v>727.82557827541302</v>
      </c>
      <c r="M6297">
        <v>13.845522815102701</v>
      </c>
      <c r="N6297">
        <v>53.155414710648103</v>
      </c>
      <c r="O6297">
        <v>51.507376215507001</v>
      </c>
      <c r="P6297">
        <v>-6.2439984434433701E-2</v>
      </c>
      <c r="Q6297">
        <v>7.0984763352904601E-2</v>
      </c>
      <c r="R6297">
        <v>0.97658109747117805</v>
      </c>
      <c r="S6297" t="s">
        <v>13300</v>
      </c>
      <c r="T6297" t="s">
        <v>14004</v>
      </c>
      <c r="U6297" t="s">
        <v>14004</v>
      </c>
      <c r="V6297" t="s">
        <v>14004</v>
      </c>
      <c r="W6297" t="s">
        <v>20244</v>
      </c>
      <c r="X6297">
        <v>5</v>
      </c>
      <c r="Y6297" t="s">
        <v>27037</v>
      </c>
      <c r="Z6297" t="s">
        <v>34007</v>
      </c>
      <c r="AA6297">
        <v>0.4829348682985215</v>
      </c>
      <c r="AB6297" t="str">
        <f>HYPERLINK("Melting_Curves/meltCurve_Q9NVM4_3_PRMT7.pdf", "Melting_Curves/meltCurve_Q9NVM4_3_PRMT7.pdf")</f>
        <v>Melting_Curves/meltCurve_Q9NVM4_3_PRMT7.pdf</v>
      </c>
    </row>
    <row r="6298" spans="1:28" x14ac:dyDescent="0.25">
      <c r="A6298" t="s">
        <v>6302</v>
      </c>
      <c r="B6298">
        <v>0.99999676499088797</v>
      </c>
      <c r="C6298">
        <v>0.82534097340048496</v>
      </c>
      <c r="D6298">
        <v>0.924489350611709</v>
      </c>
      <c r="E6298">
        <v>0.95500983757528801</v>
      </c>
      <c r="F6298">
        <v>0.51794411989248001</v>
      </c>
      <c r="G6298">
        <v>0.24777492866487499</v>
      </c>
      <c r="H6298">
        <v>0.13920076491891401</v>
      </c>
      <c r="I6298">
        <v>0.13409397081357699</v>
      </c>
      <c r="J6298">
        <v>0.11001206682202901</v>
      </c>
      <c r="K6298">
        <v>0.115684936997193</v>
      </c>
      <c r="L6298">
        <v>1675.9074666706699</v>
      </c>
      <c r="M6298">
        <v>31.593120112638001</v>
      </c>
      <c r="N6298">
        <v>53.527152827099499</v>
      </c>
      <c r="O6298">
        <v>52.835419926469001</v>
      </c>
      <c r="P6298">
        <v>-0.13103057255665801</v>
      </c>
      <c r="Q6298">
        <v>0.123477698082319</v>
      </c>
      <c r="R6298">
        <v>0.97188925381214597</v>
      </c>
      <c r="S6298" t="s">
        <v>13301</v>
      </c>
      <c r="T6298" t="s">
        <v>14004</v>
      </c>
      <c r="U6298" t="s">
        <v>14004</v>
      </c>
      <c r="V6298" t="s">
        <v>14004</v>
      </c>
      <c r="W6298" t="s">
        <v>20245</v>
      </c>
      <c r="X6298">
        <v>8</v>
      </c>
      <c r="Y6298" t="s">
        <v>27038</v>
      </c>
      <c r="Z6298" t="s">
        <v>34008</v>
      </c>
      <c r="AA6298">
        <v>0.50980338549690918</v>
      </c>
      <c r="AB6298" t="str">
        <f>HYPERLINK("Melting_Curves/meltCurve_Q9NVM6_DNAJC17.pdf", "Melting_Curves/meltCurve_Q9NVM6_DNAJC17.pdf")</f>
        <v>Melting_Curves/meltCurve_Q9NVM6_DNAJC17.pdf</v>
      </c>
    </row>
    <row r="6299" spans="1:28" x14ac:dyDescent="0.25">
      <c r="A6299" t="s">
        <v>6303</v>
      </c>
      <c r="B6299">
        <v>0.99999676499088797</v>
      </c>
      <c r="C6299">
        <v>0.91884074940961902</v>
      </c>
      <c r="D6299">
        <v>0.85667351259170799</v>
      </c>
      <c r="E6299">
        <v>0.58798730789428399</v>
      </c>
      <c r="F6299">
        <v>0.25670372874852898</v>
      </c>
      <c r="G6299">
        <v>0.201250819556858</v>
      </c>
      <c r="H6299">
        <v>0.11412554491275299</v>
      </c>
      <c r="I6299">
        <v>0.11799135352182499</v>
      </c>
      <c r="J6299">
        <v>0.11999309330333401</v>
      </c>
      <c r="K6299">
        <v>0.12130924529843</v>
      </c>
      <c r="L6299">
        <v>1016.80309654702</v>
      </c>
      <c r="M6299">
        <v>20.464464220258701</v>
      </c>
      <c r="N6299">
        <v>50.302437234020999</v>
      </c>
      <c r="O6299">
        <v>49.219129420439103</v>
      </c>
      <c r="P6299">
        <v>-9.2425025356910606E-2</v>
      </c>
      <c r="Q6299">
        <v>0.110859803752602</v>
      </c>
      <c r="R6299">
        <v>0.99566291456763301</v>
      </c>
      <c r="S6299" t="s">
        <v>13302</v>
      </c>
      <c r="T6299" t="s">
        <v>14004</v>
      </c>
      <c r="U6299" t="s">
        <v>14004</v>
      </c>
      <c r="V6299" t="s">
        <v>14004</v>
      </c>
      <c r="W6299" t="s">
        <v>20246</v>
      </c>
      <c r="X6299">
        <v>18</v>
      </c>
      <c r="Y6299" t="s">
        <v>27039</v>
      </c>
      <c r="Z6299" t="s">
        <v>34009</v>
      </c>
      <c r="AA6299">
        <v>0.40978614063340563</v>
      </c>
      <c r="AB6299" t="str">
        <f>HYPERLINK("Melting_Curves/meltCurve_Q9NVM9_ASUN.pdf", "Melting_Curves/meltCurve_Q9NVM9_ASUN.pdf")</f>
        <v>Melting_Curves/meltCurve_Q9NVM9_ASUN.pdf</v>
      </c>
    </row>
    <row r="6300" spans="1:28" x14ac:dyDescent="0.25">
      <c r="A6300" t="s">
        <v>6304</v>
      </c>
      <c r="B6300">
        <v>0.99999676499088797</v>
      </c>
      <c r="C6300">
        <v>0.83398142650027096</v>
      </c>
      <c r="D6300">
        <v>0.32581915337261502</v>
      </c>
      <c r="E6300">
        <v>0.165516053702814</v>
      </c>
      <c r="F6300">
        <v>0.116244260803977</v>
      </c>
      <c r="G6300">
        <v>7.5772785361396505E-2</v>
      </c>
      <c r="H6300">
        <v>4.3071188021586701E-2</v>
      </c>
      <c r="I6300">
        <v>4.87809441100409E-2</v>
      </c>
      <c r="J6300">
        <v>4.1783945041492201E-2</v>
      </c>
      <c r="K6300">
        <v>3.37252014229786E-2</v>
      </c>
      <c r="L6300">
        <v>1434.4122266608599</v>
      </c>
      <c r="M6300">
        <v>32.004321020469199</v>
      </c>
      <c r="N6300">
        <v>45.0172353965458</v>
      </c>
      <c r="O6300">
        <v>44.6454272751524</v>
      </c>
      <c r="P6300">
        <v>-0.167453955062207</v>
      </c>
      <c r="Q6300">
        <v>6.5624095311284006E-2</v>
      </c>
      <c r="R6300">
        <v>0.99192898029764598</v>
      </c>
      <c r="S6300" t="s">
        <v>13303</v>
      </c>
      <c r="T6300" t="s">
        <v>14004</v>
      </c>
      <c r="U6300" t="s">
        <v>14004</v>
      </c>
      <c r="V6300" t="s">
        <v>14004</v>
      </c>
      <c r="W6300" t="s">
        <v>20247</v>
      </c>
      <c r="X6300">
        <v>9</v>
      </c>
      <c r="Y6300" t="s">
        <v>27040</v>
      </c>
      <c r="Z6300" t="s">
        <v>34010</v>
      </c>
      <c r="AA6300">
        <v>0.22096066804745149</v>
      </c>
      <c r="AB6300" t="str">
        <f>HYPERLINK("Melting_Curves/meltCurve_Q9NVN8_GNL3L.pdf", "Melting_Curves/meltCurve_Q9NVN8_GNL3L.pdf")</f>
        <v>Melting_Curves/meltCurve_Q9NVN8_GNL3L.pdf</v>
      </c>
    </row>
    <row r="6301" spans="1:28" x14ac:dyDescent="0.25">
      <c r="A6301" t="s">
        <v>6305</v>
      </c>
      <c r="B6301">
        <v>0.99999676499088797</v>
      </c>
      <c r="C6301">
        <v>0.88799340047629705</v>
      </c>
      <c r="D6301">
        <v>0.96248336394075795</v>
      </c>
      <c r="E6301">
        <v>0.61905055461966896</v>
      </c>
      <c r="F6301">
        <v>0.26616431212132502</v>
      </c>
      <c r="G6301">
        <v>0.21151017126698299</v>
      </c>
      <c r="H6301">
        <v>0.11001323112410399</v>
      </c>
      <c r="I6301">
        <v>8.4686062807545898E-2</v>
      </c>
      <c r="J6301">
        <v>8.0532315847810704E-2</v>
      </c>
      <c r="K6301">
        <v>6.6735267213424501E-2</v>
      </c>
      <c r="L6301">
        <v>1155.54993214615</v>
      </c>
      <c r="M6301">
        <v>22.929514458169798</v>
      </c>
      <c r="N6301">
        <v>50.817627551926698</v>
      </c>
      <c r="O6301">
        <v>50.017125651084697</v>
      </c>
      <c r="P6301">
        <v>-0.104677363890151</v>
      </c>
      <c r="Q6301">
        <v>8.66685685953862E-2</v>
      </c>
      <c r="R6301">
        <v>0.98757334864233703</v>
      </c>
      <c r="S6301" t="s">
        <v>13304</v>
      </c>
      <c r="T6301" t="s">
        <v>14004</v>
      </c>
      <c r="U6301" t="s">
        <v>14004</v>
      </c>
      <c r="V6301" t="s">
        <v>14004</v>
      </c>
      <c r="W6301" t="s">
        <v>20248</v>
      </c>
      <c r="X6301">
        <v>8</v>
      </c>
      <c r="Y6301" t="s">
        <v>27041</v>
      </c>
      <c r="Z6301" t="s">
        <v>34011</v>
      </c>
      <c r="AA6301">
        <v>0.41289063439292423</v>
      </c>
      <c r="AB6301" t="str">
        <f>HYPERLINK("Melting_Curves/meltCurve_Q9NVP1_DDX18.pdf", "Melting_Curves/meltCurve_Q9NVP1_DDX18.pdf")</f>
        <v>Melting_Curves/meltCurve_Q9NVP1_DDX18.pdf</v>
      </c>
    </row>
    <row r="6302" spans="1:28" x14ac:dyDescent="0.25">
      <c r="A6302" t="s">
        <v>6306</v>
      </c>
      <c r="B6302">
        <v>0.99999676499088797</v>
      </c>
      <c r="C6302">
        <v>0.91602843557983304</v>
      </c>
      <c r="D6302">
        <v>0.82666579999225998</v>
      </c>
      <c r="E6302">
        <v>0.36508560604065798</v>
      </c>
      <c r="F6302">
        <v>0.18559445523312601</v>
      </c>
      <c r="G6302">
        <v>0.109844932840318</v>
      </c>
      <c r="H6302">
        <v>5.9557205095330197E-2</v>
      </c>
      <c r="I6302">
        <v>4.2912522237024103E-2</v>
      </c>
      <c r="J6302">
        <v>4.9658927448007303E-2</v>
      </c>
      <c r="K6302">
        <v>4.8526234409886002E-2</v>
      </c>
      <c r="L6302">
        <v>1136.5446640201901</v>
      </c>
      <c r="M6302">
        <v>23.4652657269237</v>
      </c>
      <c r="N6302">
        <v>48.678232402583397</v>
      </c>
      <c r="O6302">
        <v>48.087511374004698</v>
      </c>
      <c r="P6302">
        <v>-0.115251048316537</v>
      </c>
      <c r="Q6302">
        <v>5.5277198848634697E-2</v>
      </c>
      <c r="R6302">
        <v>0.99563252772203503</v>
      </c>
      <c r="S6302" t="s">
        <v>13305</v>
      </c>
      <c r="T6302" t="s">
        <v>14004</v>
      </c>
      <c r="U6302" t="s">
        <v>14004</v>
      </c>
      <c r="V6302" t="s">
        <v>14004</v>
      </c>
      <c r="W6302" t="s">
        <v>20249</v>
      </c>
      <c r="X6302">
        <v>3</v>
      </c>
      <c r="Y6302" t="s">
        <v>27042</v>
      </c>
      <c r="Z6302" t="s">
        <v>34012</v>
      </c>
      <c r="AA6302">
        <v>0.33044406564345241</v>
      </c>
      <c r="AB6302" t="str">
        <f>HYPERLINK("Melting_Curves/meltCurve_Q9NVP2_ASF1B.pdf", "Melting_Curves/meltCurve_Q9NVP2_ASF1B.pdf")</f>
        <v>Melting_Curves/meltCurve_Q9NVP2_ASF1B.pdf</v>
      </c>
    </row>
    <row r="6303" spans="1:28" x14ac:dyDescent="0.25">
      <c r="A6303" t="s">
        <v>6307</v>
      </c>
      <c r="B6303">
        <v>0.99999676499088797</v>
      </c>
      <c r="C6303">
        <v>0.957983425504495</v>
      </c>
      <c r="D6303">
        <v>0.86878134836342802</v>
      </c>
      <c r="E6303">
        <v>0.59060926841245098</v>
      </c>
      <c r="F6303">
        <v>0.31467707410240697</v>
      </c>
      <c r="G6303">
        <v>0.192143693799701</v>
      </c>
      <c r="H6303">
        <v>9.2549704376871794E-2</v>
      </c>
      <c r="I6303">
        <v>0.110086461692425</v>
      </c>
      <c r="J6303">
        <v>9.8246850121541801E-2</v>
      </c>
      <c r="K6303">
        <v>9.18646641652133E-2</v>
      </c>
      <c r="L6303">
        <v>958.40645379465604</v>
      </c>
      <c r="M6303">
        <v>19.1018619491606</v>
      </c>
      <c r="N6303">
        <v>50.681120410395799</v>
      </c>
      <c r="O6303">
        <v>49.633294492811501</v>
      </c>
      <c r="P6303">
        <v>-8.7840619992995E-2</v>
      </c>
      <c r="Q6303">
        <v>8.70738231670206E-2</v>
      </c>
      <c r="R6303">
        <v>0.99911538346242901</v>
      </c>
      <c r="S6303" t="s">
        <v>13306</v>
      </c>
      <c r="T6303" t="s">
        <v>14004</v>
      </c>
      <c r="U6303" t="s">
        <v>14004</v>
      </c>
      <c r="V6303" t="s">
        <v>14004</v>
      </c>
      <c r="W6303" t="s">
        <v>20250</v>
      </c>
      <c r="X6303">
        <v>7</v>
      </c>
      <c r="Y6303" t="s">
        <v>27043</v>
      </c>
      <c r="Z6303" t="s">
        <v>34013</v>
      </c>
      <c r="AA6303">
        <v>0.4105375871062813</v>
      </c>
      <c r="AB6303" t="str">
        <f>HYPERLINK("Melting_Curves/meltCurve_Q9NVR0_KLHL11.pdf", "Melting_Curves/meltCurve_Q9NVR0_KLHL11.pdf")</f>
        <v>Melting_Curves/meltCurve_Q9NVR0_KLHL11.pdf</v>
      </c>
    </row>
    <row r="6304" spans="1:28" x14ac:dyDescent="0.25">
      <c r="A6304" t="s">
        <v>6308</v>
      </c>
      <c r="B6304">
        <v>0.99999676499088797</v>
      </c>
      <c r="C6304">
        <v>0.97523044947474002</v>
      </c>
      <c r="D6304">
        <v>0.92433983367747197</v>
      </c>
      <c r="E6304">
        <v>0.682120516888853</v>
      </c>
      <c r="F6304">
        <v>0.29502109772872198</v>
      </c>
      <c r="G6304">
        <v>0.198824449076833</v>
      </c>
      <c r="H6304">
        <v>0.108469165079734</v>
      </c>
      <c r="I6304">
        <v>0.100599710187354</v>
      </c>
      <c r="J6304">
        <v>9.9015178501808201E-2</v>
      </c>
      <c r="K6304">
        <v>7.7824331311893299E-2</v>
      </c>
      <c r="L6304">
        <v>1199.3098629844999</v>
      </c>
      <c r="M6304">
        <v>23.628711876885401</v>
      </c>
      <c r="N6304">
        <v>51.206847248602699</v>
      </c>
      <c r="O6304">
        <v>50.397107324181299</v>
      </c>
      <c r="P6304">
        <v>-0.106217000261423</v>
      </c>
      <c r="Q6304">
        <v>9.3824568128767799E-2</v>
      </c>
      <c r="R6304">
        <v>0.99804606108663896</v>
      </c>
      <c r="S6304" t="s">
        <v>13307</v>
      </c>
      <c r="T6304" t="s">
        <v>14004</v>
      </c>
      <c r="U6304" t="s">
        <v>14004</v>
      </c>
      <c r="V6304" t="s">
        <v>14004</v>
      </c>
      <c r="W6304" t="s">
        <v>20251</v>
      </c>
      <c r="X6304">
        <v>14</v>
      </c>
      <c r="Y6304" t="s">
        <v>27044</v>
      </c>
      <c r="Z6304" t="s">
        <v>34014</v>
      </c>
      <c r="AA6304">
        <v>0.42785704221270771</v>
      </c>
      <c r="AB6304" t="str">
        <f>HYPERLINK("Melting_Curves/meltCurve_Q9NVR2_INTS10.pdf", "Melting_Curves/meltCurve_Q9NVR2_INTS10.pdf")</f>
        <v>Melting_Curves/meltCurve_Q9NVR2_INTS10.pdf</v>
      </c>
    </row>
    <row r="6305" spans="1:28" x14ac:dyDescent="0.25">
      <c r="A6305" t="s">
        <v>6309</v>
      </c>
      <c r="B6305">
        <v>0.99999676499088797</v>
      </c>
      <c r="C6305">
        <v>0.83596782495119504</v>
      </c>
      <c r="D6305">
        <v>0.81511552293862699</v>
      </c>
      <c r="E6305">
        <v>0.58037002670459703</v>
      </c>
      <c r="F6305">
        <v>0.39665948970494402</v>
      </c>
      <c r="G6305">
        <v>0.18962778957083701</v>
      </c>
      <c r="H6305">
        <v>0.10695470659344999</v>
      </c>
      <c r="I6305">
        <v>0.112581166856965</v>
      </c>
      <c r="J6305">
        <v>0.116128414285758</v>
      </c>
      <c r="K6305">
        <v>0.120758359661362</v>
      </c>
      <c r="L6305">
        <v>684.288231688731</v>
      </c>
      <c r="M6305">
        <v>13.6357939673793</v>
      </c>
      <c r="N6305">
        <v>50.743205315283497</v>
      </c>
      <c r="O6305">
        <v>49.140798751366297</v>
      </c>
      <c r="P6305">
        <v>-6.4534837626835803E-2</v>
      </c>
      <c r="Q6305">
        <v>6.9851017131755205E-2</v>
      </c>
      <c r="R6305">
        <v>0.98795059489725001</v>
      </c>
      <c r="S6305" t="s">
        <v>13308</v>
      </c>
      <c r="T6305" t="s">
        <v>14004</v>
      </c>
      <c r="U6305" t="s">
        <v>14004</v>
      </c>
      <c r="V6305" t="s">
        <v>14004</v>
      </c>
      <c r="W6305" t="s">
        <v>20252</v>
      </c>
      <c r="X6305">
        <v>2</v>
      </c>
      <c r="Y6305" t="s">
        <v>27045</v>
      </c>
      <c r="Z6305" t="s">
        <v>34015</v>
      </c>
      <c r="AA6305">
        <v>0.41153430538419222</v>
      </c>
      <c r="AB6305" t="str">
        <f>HYPERLINK("Melting_Curves/meltCurve_Q9NVR5_DNAAF2.pdf", "Melting_Curves/meltCurve_Q9NVR5_DNAAF2.pdf")</f>
        <v>Melting_Curves/meltCurve_Q9NVR5_DNAAF2.pdf</v>
      </c>
    </row>
    <row r="6306" spans="1:28" x14ac:dyDescent="0.25">
      <c r="A6306" t="s">
        <v>6310</v>
      </c>
      <c r="B6306">
        <v>0.99999676499088797</v>
      </c>
      <c r="C6306">
        <v>0.98587925326838299</v>
      </c>
      <c r="D6306">
        <v>0.91508870007982701</v>
      </c>
      <c r="E6306">
        <v>0.94333986272521098</v>
      </c>
      <c r="F6306">
        <v>0.81384991195654999</v>
      </c>
      <c r="G6306">
        <v>0.321418683207572</v>
      </c>
      <c r="H6306">
        <v>0.167228829653843</v>
      </c>
      <c r="I6306">
        <v>0.19878316485018499</v>
      </c>
      <c r="J6306">
        <v>0.236737507317445</v>
      </c>
      <c r="K6306">
        <v>0.23918984944529401</v>
      </c>
      <c r="L6306">
        <v>2494.6981431272302</v>
      </c>
      <c r="M6306">
        <v>45.741465989963899</v>
      </c>
      <c r="N6306">
        <v>55.192679208697797</v>
      </c>
      <c r="O6306">
        <v>54.435165266697197</v>
      </c>
      <c r="P6306">
        <v>-0.166144940462429</v>
      </c>
      <c r="Q6306">
        <v>0.20911015888864701</v>
      </c>
      <c r="R6306">
        <v>0.98891837538474303</v>
      </c>
      <c r="S6306" t="s">
        <v>13309</v>
      </c>
      <c r="T6306" t="s">
        <v>14004</v>
      </c>
      <c r="U6306" t="s">
        <v>14004</v>
      </c>
      <c r="V6306" t="s">
        <v>14004</v>
      </c>
      <c r="W6306" t="s">
        <v>20253</v>
      </c>
      <c r="X6306">
        <v>9</v>
      </c>
      <c r="Y6306" t="s">
        <v>27046</v>
      </c>
      <c r="Z6306" t="s">
        <v>34016</v>
      </c>
      <c r="AA6306">
        <v>0.59467793733439889</v>
      </c>
      <c r="AB6306" t="str">
        <f>HYPERLINK("Melting_Curves/meltCurve_Q9NVS9_PNPO.pdf", "Melting_Curves/meltCurve_Q9NVS9_PNPO.pdf")</f>
        <v>Melting_Curves/meltCurve_Q9NVS9_PNPO.pdf</v>
      </c>
    </row>
    <row r="6307" spans="1:28" x14ac:dyDescent="0.25">
      <c r="A6307" t="s">
        <v>6311</v>
      </c>
      <c r="B6307">
        <v>0.99999676499088797</v>
      </c>
      <c r="C6307">
        <v>1.0232527494608099</v>
      </c>
      <c r="D6307">
        <v>0.97232109676759204</v>
      </c>
      <c r="E6307">
        <v>0.61383496646497804</v>
      </c>
      <c r="F6307">
        <v>0.34524207972790899</v>
      </c>
      <c r="G6307">
        <v>0.27912539599743502</v>
      </c>
      <c r="H6307">
        <v>0.13773705396238201</v>
      </c>
      <c r="I6307">
        <v>0.148544635253198</v>
      </c>
      <c r="J6307">
        <v>0.126701884585941</v>
      </c>
      <c r="K6307">
        <v>9.2608474364576698E-2</v>
      </c>
      <c r="L6307">
        <v>1103.31600372818</v>
      </c>
      <c r="M6307">
        <v>21.812422801977501</v>
      </c>
      <c r="N6307">
        <v>51.294725640359701</v>
      </c>
      <c r="O6307">
        <v>50.162612132333301</v>
      </c>
      <c r="P6307">
        <v>-9.4499707494469107E-2</v>
      </c>
      <c r="Q6307">
        <v>0.130726059925247</v>
      </c>
      <c r="R6307">
        <v>0.98917354968215898</v>
      </c>
      <c r="S6307" t="s">
        <v>13310</v>
      </c>
      <c r="T6307" t="s">
        <v>14004</v>
      </c>
      <c r="U6307" t="s">
        <v>14004</v>
      </c>
      <c r="V6307" t="s">
        <v>14004</v>
      </c>
      <c r="W6307" t="s">
        <v>20254</v>
      </c>
      <c r="X6307">
        <v>10</v>
      </c>
      <c r="Y6307" t="s">
        <v>27047</v>
      </c>
      <c r="Z6307" t="s">
        <v>34017</v>
      </c>
      <c r="AA6307">
        <v>0.44756980197154878</v>
      </c>
      <c r="AB6307" t="str">
        <f>HYPERLINK("Melting_Curves/meltCurve_Q9NVT9_ARMC1.pdf", "Melting_Curves/meltCurve_Q9NVT9_ARMC1.pdf")</f>
        <v>Melting_Curves/meltCurve_Q9NVT9_ARMC1.pdf</v>
      </c>
    </row>
    <row r="6308" spans="1:28" x14ac:dyDescent="0.25">
      <c r="A6308" t="s">
        <v>6312</v>
      </c>
      <c r="B6308">
        <v>0.99999676499088797</v>
      </c>
      <c r="C6308">
        <v>0.86492651531231801</v>
      </c>
      <c r="D6308">
        <v>0.78758980240210896</v>
      </c>
      <c r="E6308">
        <v>0.46247243928520698</v>
      </c>
      <c r="F6308">
        <v>0.38558929224407201</v>
      </c>
      <c r="G6308">
        <v>0.34931280608721599</v>
      </c>
      <c r="H6308">
        <v>0.15466324809003601</v>
      </c>
      <c r="I6308">
        <v>0.18238121777909699</v>
      </c>
      <c r="J6308">
        <v>0.12340585991889</v>
      </c>
      <c r="K6308">
        <v>7.3151271325413797E-2</v>
      </c>
      <c r="L6308">
        <v>565.63979118477903</v>
      </c>
      <c r="M6308">
        <v>11.348535654054899</v>
      </c>
      <c r="N6308">
        <v>50.625819533002598</v>
      </c>
      <c r="O6308">
        <v>48.3701435038395</v>
      </c>
      <c r="P6308">
        <v>-5.39480978493024E-2</v>
      </c>
      <c r="Q6308">
        <v>8.0516881690123304E-2</v>
      </c>
      <c r="R6308">
        <v>0.97609335096573502</v>
      </c>
      <c r="S6308" t="s">
        <v>13311</v>
      </c>
      <c r="T6308" t="s">
        <v>14004</v>
      </c>
      <c r="U6308" t="s">
        <v>14004</v>
      </c>
      <c r="V6308" t="s">
        <v>14004</v>
      </c>
      <c r="W6308" t="s">
        <v>20255</v>
      </c>
      <c r="X6308">
        <v>2</v>
      </c>
      <c r="Y6308" t="s">
        <v>27048</v>
      </c>
      <c r="Z6308" t="s">
        <v>34018</v>
      </c>
      <c r="AA6308">
        <v>0.41721567615816257</v>
      </c>
      <c r="AB6308" t="str">
        <f>HYPERLINK("Melting_Curves/meltCurve_Q9NVU0_5_POLR3E.pdf", "Melting_Curves/meltCurve_Q9NVU0_5_POLR3E.pdf")</f>
        <v>Melting_Curves/meltCurve_Q9NVU0_5_POLR3E.pdf</v>
      </c>
    </row>
    <row r="6309" spans="1:28" x14ac:dyDescent="0.25">
      <c r="A6309" t="s">
        <v>6313</v>
      </c>
      <c r="B6309">
        <v>0.99999676499088797</v>
      </c>
      <c r="C6309">
        <v>1.00517282348524</v>
      </c>
      <c r="D6309">
        <v>0.75425576813364203</v>
      </c>
      <c r="E6309">
        <v>0.34860594729552602</v>
      </c>
      <c r="F6309">
        <v>0.20284435963528999</v>
      </c>
      <c r="G6309">
        <v>0.131717102520511</v>
      </c>
      <c r="H6309">
        <v>9.2036379878075295E-2</v>
      </c>
      <c r="I6309">
        <v>8.0632238829535394E-2</v>
      </c>
      <c r="J6309">
        <v>8.1048752618097603E-2</v>
      </c>
      <c r="K6309">
        <v>7.0238167498158297E-2</v>
      </c>
      <c r="L6309">
        <v>1192.94873233816</v>
      </c>
      <c r="M6309">
        <v>24.881468587179899</v>
      </c>
      <c r="N6309">
        <v>48.334340450571297</v>
      </c>
      <c r="O6309">
        <v>47.638783872475003</v>
      </c>
      <c r="P6309">
        <v>-0.118725667260316</v>
      </c>
      <c r="Q6309">
        <v>9.0749968585991297E-2</v>
      </c>
      <c r="R6309">
        <v>0.99563818183987896</v>
      </c>
      <c r="S6309" t="s">
        <v>13312</v>
      </c>
      <c r="T6309" t="s">
        <v>14004</v>
      </c>
      <c r="U6309" t="s">
        <v>14004</v>
      </c>
      <c r="V6309" t="s">
        <v>14004</v>
      </c>
      <c r="W6309" t="s">
        <v>20256</v>
      </c>
      <c r="X6309">
        <v>7</v>
      </c>
      <c r="Y6309" t="s">
        <v>27049</v>
      </c>
      <c r="Z6309" t="s">
        <v>34019</v>
      </c>
      <c r="AA6309">
        <v>0.33967724438581282</v>
      </c>
      <c r="AB6309" t="str">
        <f>HYPERLINK("Melting_Curves/meltCurve_Q9NVU7_SDAD1.pdf", "Melting_Curves/meltCurve_Q9NVU7_SDAD1.pdf")</f>
        <v>Melting_Curves/meltCurve_Q9NVU7_SDAD1.pdf</v>
      </c>
    </row>
    <row r="6310" spans="1:28" x14ac:dyDescent="0.25">
      <c r="A6310" t="s">
        <v>6314</v>
      </c>
      <c r="B6310">
        <v>0.99999676499088797</v>
      </c>
      <c r="C6310">
        <v>0.82846549016110205</v>
      </c>
      <c r="D6310">
        <v>0.90322027935148297</v>
      </c>
      <c r="E6310">
        <v>0.68393522337228096</v>
      </c>
      <c r="F6310">
        <v>0.59912409277553702</v>
      </c>
      <c r="G6310">
        <v>0.49020142812769002</v>
      </c>
      <c r="H6310">
        <v>0.48319545699375199</v>
      </c>
      <c r="I6310">
        <v>0.44504240143145501</v>
      </c>
      <c r="J6310">
        <v>0.53158720892851297</v>
      </c>
      <c r="K6310">
        <v>0.28428745759483498</v>
      </c>
      <c r="L6310">
        <v>505.86457688600501</v>
      </c>
      <c r="M6310">
        <v>10.0123446250426</v>
      </c>
      <c r="N6310">
        <v>58.074430235385897</v>
      </c>
      <c r="O6310">
        <v>48.632677091347297</v>
      </c>
      <c r="P6310">
        <v>-3.2751908714528502E-2</v>
      </c>
      <c r="Q6310">
        <v>0.36396824429929098</v>
      </c>
      <c r="R6310">
        <v>0.904366677041756</v>
      </c>
      <c r="S6310" t="s">
        <v>13313</v>
      </c>
      <c r="T6310" t="s">
        <v>14004</v>
      </c>
      <c r="U6310" t="s">
        <v>14004</v>
      </c>
      <c r="V6310" t="s">
        <v>14004</v>
      </c>
      <c r="W6310" t="s">
        <v>20257</v>
      </c>
      <c r="X6310">
        <v>2</v>
      </c>
      <c r="Y6310" t="s">
        <v>27050</v>
      </c>
      <c r="Z6310" t="s">
        <v>34020</v>
      </c>
      <c r="AA6310">
        <v>0.61458915544001669</v>
      </c>
      <c r="AB6310" t="str">
        <f>HYPERLINK("Melting_Curves/meltCurve_Q9NVV0_TMEM38B.pdf", "Melting_Curves/meltCurve_Q9NVV0_TMEM38B.pdf")</f>
        <v>Melting_Curves/meltCurve_Q9NVV0_TMEM38B.pdf</v>
      </c>
    </row>
    <row r="6311" spans="1:28" x14ac:dyDescent="0.25">
      <c r="A6311" t="s">
        <v>6315</v>
      </c>
      <c r="B6311">
        <v>0.99999676499088797</v>
      </c>
      <c r="C6311">
        <v>1.0190420428448901</v>
      </c>
      <c r="D6311">
        <v>0.99392166602101295</v>
      </c>
      <c r="E6311">
        <v>0.91796062554555502</v>
      </c>
      <c r="F6311">
        <v>0.23540171458185899</v>
      </c>
      <c r="G6311">
        <v>0.16600073536165799</v>
      </c>
      <c r="H6311">
        <v>7.3658458207395805E-2</v>
      </c>
      <c r="I6311">
        <v>7.6612154424909498E-2</v>
      </c>
      <c r="J6311">
        <v>6.4753992574350105E-2</v>
      </c>
      <c r="K6311">
        <v>5.2788229400118E-2</v>
      </c>
      <c r="L6311">
        <v>2791.9007957754998</v>
      </c>
      <c r="M6311">
        <v>54.0432521204471</v>
      </c>
      <c r="N6311">
        <v>51.837207268218997</v>
      </c>
      <c r="O6311">
        <v>51.589900152395899</v>
      </c>
      <c r="P6311">
        <v>-0.23985581397971401</v>
      </c>
      <c r="Q6311">
        <v>8.4131412291839805E-2</v>
      </c>
      <c r="R6311">
        <v>0.99588352498365995</v>
      </c>
      <c r="S6311" t="s">
        <v>13314</v>
      </c>
      <c r="T6311" t="s">
        <v>14004</v>
      </c>
      <c r="U6311" t="s">
        <v>14004</v>
      </c>
      <c r="V6311" t="s">
        <v>14004</v>
      </c>
      <c r="W6311" t="s">
        <v>20258</v>
      </c>
      <c r="X6311">
        <v>12</v>
      </c>
      <c r="Y6311" t="s">
        <v>27051</v>
      </c>
      <c r="Z6311" t="s">
        <v>34021</v>
      </c>
      <c r="AA6311">
        <v>0.44189887328648692</v>
      </c>
      <c r="AB6311" t="str">
        <f>HYPERLINK("Melting_Curves/meltCurve_Q9NVV4_MTPAP.pdf", "Melting_Curves/meltCurve_Q9NVV4_MTPAP.pdf")</f>
        <v>Melting_Curves/meltCurve_Q9NVV4_MTPAP.pdf</v>
      </c>
    </row>
    <row r="6312" spans="1:28" x14ac:dyDescent="0.25">
      <c r="A6312" t="s">
        <v>6316</v>
      </c>
      <c r="B6312">
        <v>0.99999676499088797</v>
      </c>
      <c r="C6312">
        <v>0.68907945940592297</v>
      </c>
      <c r="D6312">
        <v>0.64164239654407995</v>
      </c>
      <c r="E6312">
        <v>0.51465371312756902</v>
      </c>
      <c r="F6312">
        <v>0.42686696558986298</v>
      </c>
      <c r="G6312">
        <v>0.387820063950295</v>
      </c>
      <c r="H6312">
        <v>0.23735608825863</v>
      </c>
      <c r="I6312">
        <v>0.27892424650531</v>
      </c>
      <c r="J6312">
        <v>0.33142945253018102</v>
      </c>
      <c r="K6312">
        <v>0.38082899208527698</v>
      </c>
      <c r="L6312">
        <v>586.45209682817199</v>
      </c>
      <c r="M6312">
        <v>12.8662411641031</v>
      </c>
      <c r="N6312">
        <v>49.224776006646799</v>
      </c>
      <c r="O6312">
        <v>44.521713154874099</v>
      </c>
      <c r="P6312">
        <v>-5.0068536917190098E-2</v>
      </c>
      <c r="Q6312">
        <v>0.30710876146786897</v>
      </c>
      <c r="R6312">
        <v>0.92290029785806404</v>
      </c>
      <c r="S6312" t="s">
        <v>13315</v>
      </c>
      <c r="T6312" t="s">
        <v>14004</v>
      </c>
      <c r="U6312" t="s">
        <v>14004</v>
      </c>
      <c r="V6312" t="s">
        <v>14004</v>
      </c>
      <c r="W6312" t="s">
        <v>20259</v>
      </c>
      <c r="X6312">
        <v>1</v>
      </c>
      <c r="Y6312" t="s">
        <v>27052</v>
      </c>
      <c r="Z6312" t="s">
        <v>34022</v>
      </c>
      <c r="AA6312">
        <v>0.46466728613021119</v>
      </c>
      <c r="AB6312" t="str">
        <f>HYPERLINK("Melting_Curves/meltCurve_Q9NVW2_RLIM.pdf", "Melting_Curves/meltCurve_Q9NVW2_RLIM.pdf")</f>
        <v>Melting_Curves/meltCurve_Q9NVW2_RLIM.pdf</v>
      </c>
    </row>
    <row r="6313" spans="1:28" x14ac:dyDescent="0.25">
      <c r="A6313" t="s">
        <v>6317</v>
      </c>
      <c r="B6313">
        <v>0.99999676499088797</v>
      </c>
      <c r="C6313">
        <v>0.84968204137727199</v>
      </c>
      <c r="D6313">
        <v>0.389059500111613</v>
      </c>
      <c r="E6313">
        <v>0.13071870205224001</v>
      </c>
      <c r="F6313">
        <v>0.10209846927223699</v>
      </c>
      <c r="G6313">
        <v>0.16037873810363201</v>
      </c>
      <c r="H6313">
        <v>4.6905773494793003E-2</v>
      </c>
      <c r="I6313">
        <v>6.1369955688411602E-2</v>
      </c>
      <c r="J6313">
        <v>6.0288879151610603E-2</v>
      </c>
      <c r="K6313">
        <v>4.1303005327289401E-2</v>
      </c>
      <c r="L6313">
        <v>1447.3992534316401</v>
      </c>
      <c r="M6313">
        <v>32.117593693206203</v>
      </c>
      <c r="N6313">
        <v>45.304524329838202</v>
      </c>
      <c r="O6313">
        <v>44.891966446371597</v>
      </c>
      <c r="P6313">
        <v>-0.16492795787259101</v>
      </c>
      <c r="Q6313">
        <v>7.7900110486039301E-2</v>
      </c>
      <c r="R6313">
        <v>0.99104943956890001</v>
      </c>
      <c r="S6313" t="s">
        <v>13316</v>
      </c>
      <c r="T6313" t="s">
        <v>14004</v>
      </c>
      <c r="U6313" t="s">
        <v>14004</v>
      </c>
      <c r="V6313" t="s">
        <v>14004</v>
      </c>
      <c r="W6313" t="s">
        <v>20260</v>
      </c>
      <c r="X6313">
        <v>1</v>
      </c>
      <c r="Y6313" t="s">
        <v>27053</v>
      </c>
      <c r="Z6313" t="s">
        <v>34023</v>
      </c>
      <c r="AA6313">
        <v>0.2386250759236431</v>
      </c>
      <c r="AB6313" t="str">
        <f>HYPERLINK("Melting_Curves/meltCurve_Q9NVX0_2_HAUS2.pdf", "Melting_Curves/meltCurve_Q9NVX0_2_HAUS2.pdf")</f>
        <v>Melting_Curves/meltCurve_Q9NVX0_2_HAUS2.pdf</v>
      </c>
    </row>
    <row r="6314" spans="1:28" x14ac:dyDescent="0.25">
      <c r="A6314" t="s">
        <v>6318</v>
      </c>
      <c r="B6314">
        <v>0.99999676499088797</v>
      </c>
      <c r="C6314">
        <v>1.0317947649516499</v>
      </c>
      <c r="D6314">
        <v>0.99071405385144595</v>
      </c>
      <c r="E6314">
        <v>0.91238674380737494</v>
      </c>
      <c r="F6314">
        <v>0.72612274351140604</v>
      </c>
      <c r="G6314">
        <v>0.44239638731171099</v>
      </c>
      <c r="H6314">
        <v>0.254510864779254</v>
      </c>
      <c r="I6314">
        <v>0.174595930578927</v>
      </c>
      <c r="J6314">
        <v>0.15062145343407099</v>
      </c>
      <c r="K6314">
        <v>0.15732846013374799</v>
      </c>
      <c r="L6314">
        <v>1128.7811731048</v>
      </c>
      <c r="M6314">
        <v>20.464003472312299</v>
      </c>
      <c r="N6314">
        <v>56.024971231312101</v>
      </c>
      <c r="O6314">
        <v>54.640725362530802</v>
      </c>
      <c r="P6314">
        <v>-8.09419013571369E-2</v>
      </c>
      <c r="Q6314">
        <v>0.13553714448749399</v>
      </c>
      <c r="R6314">
        <v>0.99882229123669497</v>
      </c>
      <c r="S6314" t="s">
        <v>13317</v>
      </c>
      <c r="T6314" t="s">
        <v>14004</v>
      </c>
      <c r="U6314" t="s">
        <v>14004</v>
      </c>
      <c r="V6314" t="s">
        <v>14004</v>
      </c>
      <c r="W6314" t="s">
        <v>20261</v>
      </c>
      <c r="X6314">
        <v>13</v>
      </c>
      <c r="Y6314" t="s">
        <v>27054</v>
      </c>
      <c r="Z6314" t="s">
        <v>34024</v>
      </c>
      <c r="AA6314">
        <v>0.58343516570190135</v>
      </c>
      <c r="AB6314" t="str">
        <f>HYPERLINK("Melting_Curves/meltCurve_Q9NVX2_NLE1.pdf", "Melting_Curves/meltCurve_Q9NVX2_NLE1.pdf")</f>
        <v>Melting_Curves/meltCurve_Q9NVX2_NLE1.pdf</v>
      </c>
    </row>
    <row r="6315" spans="1:28" x14ac:dyDescent="0.25">
      <c r="A6315" t="s">
        <v>6319</v>
      </c>
      <c r="B6315">
        <v>0.99999676499088797</v>
      </c>
      <c r="C6315">
        <v>1.10381023608964</v>
      </c>
      <c r="D6315">
        <v>1.06813055819925</v>
      </c>
      <c r="E6315">
        <v>0.91991704016827303</v>
      </c>
      <c r="F6315">
        <v>0.60496612416436601</v>
      </c>
      <c r="G6315">
        <v>0.34340998016698498</v>
      </c>
      <c r="H6315">
        <v>0.12312390638319</v>
      </c>
      <c r="I6315">
        <v>0.109760126705292</v>
      </c>
      <c r="J6315">
        <v>9.6856397063398297E-2</v>
      </c>
      <c r="K6315">
        <v>8.5618522811709702E-2</v>
      </c>
      <c r="L6315">
        <v>1312.9637785785901</v>
      </c>
      <c r="M6315">
        <v>24.260002212566601</v>
      </c>
      <c r="N6315">
        <v>54.541694580043902</v>
      </c>
      <c r="O6315">
        <v>53.756800344298803</v>
      </c>
      <c r="P6315">
        <v>-0.103187257338204</v>
      </c>
      <c r="Q6315">
        <v>8.5419217139865194E-2</v>
      </c>
      <c r="R6315">
        <v>0.98825206714359903</v>
      </c>
      <c r="S6315" t="s">
        <v>13318</v>
      </c>
      <c r="T6315" t="s">
        <v>14004</v>
      </c>
      <c r="U6315" t="s">
        <v>14004</v>
      </c>
      <c r="V6315" t="s">
        <v>14004</v>
      </c>
      <c r="W6315" t="s">
        <v>20262</v>
      </c>
      <c r="X6315">
        <v>5</v>
      </c>
      <c r="Y6315" t="s">
        <v>27055</v>
      </c>
      <c r="Z6315" t="s">
        <v>34025</v>
      </c>
      <c r="AA6315">
        <v>0.52483422503261445</v>
      </c>
      <c r="AB6315" t="str">
        <f>HYPERLINK("Melting_Curves/meltCurve_Q9NVX7_KBTBD4.pdf", "Melting_Curves/meltCurve_Q9NVX7_KBTBD4.pdf")</f>
        <v>Melting_Curves/meltCurve_Q9NVX7_KBTBD4.pdf</v>
      </c>
    </row>
    <row r="6316" spans="1:28" x14ac:dyDescent="0.25">
      <c r="A6316" t="s">
        <v>6320</v>
      </c>
      <c r="B6316">
        <v>0.99999676499088797</v>
      </c>
      <c r="C6316">
        <v>0.93803167776960905</v>
      </c>
      <c r="D6316">
        <v>0.93445577232406796</v>
      </c>
      <c r="E6316">
        <v>0.72344964959159097</v>
      </c>
      <c r="F6316">
        <v>0.47119593356094402</v>
      </c>
      <c r="G6316">
        <v>0.26771794523002701</v>
      </c>
      <c r="H6316">
        <v>0.112537414619951</v>
      </c>
      <c r="I6316">
        <v>8.7322631816273893E-2</v>
      </c>
      <c r="J6316">
        <v>7.5284409038123098E-2</v>
      </c>
      <c r="K6316">
        <v>7.7948728642632206E-2</v>
      </c>
      <c r="L6316">
        <v>869.10316974761497</v>
      </c>
      <c r="M6316">
        <v>16.579502947860298</v>
      </c>
      <c r="N6316">
        <v>52.743519728103003</v>
      </c>
      <c r="O6316">
        <v>51.675527019527202</v>
      </c>
      <c r="P6316">
        <v>-7.6340751071612103E-2</v>
      </c>
      <c r="Q6316">
        <v>4.8299688995138999E-2</v>
      </c>
      <c r="R6316">
        <v>0.99785577676461601</v>
      </c>
      <c r="S6316" t="s">
        <v>13319</v>
      </c>
      <c r="T6316" t="s">
        <v>14004</v>
      </c>
      <c r="U6316" t="s">
        <v>14004</v>
      </c>
      <c r="V6316" t="s">
        <v>14004</v>
      </c>
      <c r="W6316" t="s">
        <v>20263</v>
      </c>
      <c r="X6316">
        <v>10</v>
      </c>
      <c r="Y6316" t="s">
        <v>27056</v>
      </c>
      <c r="Z6316" t="s">
        <v>34026</v>
      </c>
      <c r="AA6316">
        <v>0.46029959371797052</v>
      </c>
      <c r="AB6316" t="str">
        <f>HYPERLINK("Melting_Curves/meltCurve_Q9NVZ3_NECAP2.pdf", "Melting_Curves/meltCurve_Q9NVZ3_NECAP2.pdf")</f>
        <v>Melting_Curves/meltCurve_Q9NVZ3_NECAP2.pdf</v>
      </c>
    </row>
    <row r="6317" spans="1:28" x14ac:dyDescent="0.25">
      <c r="A6317" t="s">
        <v>6321</v>
      </c>
      <c r="B6317">
        <v>0.99999676499088797</v>
      </c>
      <c r="C6317">
        <v>0.90261311752933304</v>
      </c>
      <c r="D6317">
        <v>0.76704968996047496</v>
      </c>
      <c r="E6317">
        <v>0.54032145060121695</v>
      </c>
      <c r="F6317">
        <v>0.41226265726292499</v>
      </c>
      <c r="G6317">
        <v>0.46798611624383901</v>
      </c>
      <c r="H6317">
        <v>0.21498517099498801</v>
      </c>
      <c r="I6317">
        <v>0.11395777498000199</v>
      </c>
      <c r="J6317">
        <v>0.13564693300269301</v>
      </c>
      <c r="K6317">
        <v>0.162660366617423</v>
      </c>
      <c r="L6317">
        <v>505.89708616111801</v>
      </c>
      <c r="M6317">
        <v>9.8932620111184892</v>
      </c>
      <c r="N6317">
        <v>51.9501413987091</v>
      </c>
      <c r="O6317">
        <v>49.177765704652401</v>
      </c>
      <c r="P6317">
        <v>-4.6703445696577597E-2</v>
      </c>
      <c r="Q6317">
        <v>7.18501061535015E-2</v>
      </c>
      <c r="R6317">
        <v>0.96222050074041199</v>
      </c>
      <c r="S6317" t="s">
        <v>13320</v>
      </c>
      <c r="T6317" t="s">
        <v>14004</v>
      </c>
      <c r="U6317" t="s">
        <v>14004</v>
      </c>
      <c r="V6317" t="s">
        <v>14004</v>
      </c>
      <c r="W6317" t="s">
        <v>20264</v>
      </c>
      <c r="X6317">
        <v>1</v>
      </c>
      <c r="Y6317" t="s">
        <v>27057</v>
      </c>
      <c r="Z6317" t="s">
        <v>34027</v>
      </c>
      <c r="AA6317">
        <v>0.4550137504950762</v>
      </c>
      <c r="AB6317" t="str">
        <f>HYPERLINK("Melting_Curves/meltCurve_Q9NW08_2_POLR3B.pdf", "Melting_Curves/meltCurve_Q9NW08_2_POLR3B.pdf")</f>
        <v>Melting_Curves/meltCurve_Q9NW08_2_POLR3B.pdf</v>
      </c>
    </row>
    <row r="6318" spans="1:28" x14ac:dyDescent="0.25">
      <c r="A6318" t="s">
        <v>6322</v>
      </c>
      <c r="B6318">
        <v>0.99999676499088797</v>
      </c>
      <c r="C6318">
        <v>0.97164959031926001</v>
      </c>
      <c r="D6318">
        <v>0.854499308050783</v>
      </c>
      <c r="E6318">
        <v>0.54622436674117303</v>
      </c>
      <c r="F6318">
        <v>0.247044562993814</v>
      </c>
      <c r="G6318">
        <v>0.14904300003722701</v>
      </c>
      <c r="H6318">
        <v>7.0975382444245894E-2</v>
      </c>
      <c r="I6318">
        <v>6.7118316509642603E-2</v>
      </c>
      <c r="J6318">
        <v>6.22614280663953E-2</v>
      </c>
      <c r="K6318">
        <v>5.7417622862477598E-2</v>
      </c>
      <c r="L6318">
        <v>1025.51673421484</v>
      </c>
      <c r="M6318">
        <v>20.601382651232001</v>
      </c>
      <c r="N6318">
        <v>50.080330855628198</v>
      </c>
      <c r="O6318">
        <v>49.317133538760203</v>
      </c>
      <c r="P6318">
        <v>-9.8349011262006902E-2</v>
      </c>
      <c r="Q6318">
        <v>5.8286762266166699E-2</v>
      </c>
      <c r="R6318">
        <v>0.99948915763900004</v>
      </c>
      <c r="S6318" t="s">
        <v>13321</v>
      </c>
      <c r="T6318" t="s">
        <v>14004</v>
      </c>
      <c r="U6318" t="s">
        <v>14004</v>
      </c>
      <c r="V6318" t="s">
        <v>14004</v>
      </c>
      <c r="W6318" t="s">
        <v>20265</v>
      </c>
      <c r="X6318">
        <v>18</v>
      </c>
      <c r="Y6318" t="s">
        <v>27058</v>
      </c>
      <c r="Z6318" t="s">
        <v>34028</v>
      </c>
      <c r="AA6318">
        <v>0.37763144565613049</v>
      </c>
      <c r="AB6318" t="str">
        <f>HYPERLINK("Melting_Curves/meltCurve_Q9NW64_RBM22.pdf", "Melting_Curves/meltCurve_Q9NW64_RBM22.pdf")</f>
        <v>Melting_Curves/meltCurve_Q9NW64_RBM22.pdf</v>
      </c>
    </row>
    <row r="6319" spans="1:28" x14ac:dyDescent="0.25">
      <c r="A6319" t="s">
        <v>6323</v>
      </c>
      <c r="B6319">
        <v>0.99999676499088797</v>
      </c>
      <c r="C6319">
        <v>0.98765069458244503</v>
      </c>
      <c r="D6319">
        <v>0.84891698527542303</v>
      </c>
      <c r="E6319">
        <v>0.62380666867684298</v>
      </c>
      <c r="F6319">
        <v>0.418132790008032</v>
      </c>
      <c r="G6319">
        <v>0.35034924040321402</v>
      </c>
      <c r="H6319">
        <v>0.290427211171989</v>
      </c>
      <c r="I6319">
        <v>0.57542733817107194</v>
      </c>
      <c r="J6319">
        <v>0.66120985867337101</v>
      </c>
      <c r="K6319">
        <v>0.56441000317652201</v>
      </c>
      <c r="L6319">
        <v>1541.374321923</v>
      </c>
      <c r="M6319">
        <v>32.437241328048501</v>
      </c>
      <c r="N6319">
        <v>52.616608703372897</v>
      </c>
      <c r="O6319">
        <v>47.339149494120903</v>
      </c>
      <c r="P6319">
        <v>-8.9348501254408505E-2</v>
      </c>
      <c r="Q6319">
        <v>0.47841904080102599</v>
      </c>
      <c r="R6319">
        <v>0.80264551110476601</v>
      </c>
      <c r="S6319" t="s">
        <v>13322</v>
      </c>
      <c r="T6319" t="s">
        <v>14004</v>
      </c>
      <c r="U6319" t="s">
        <v>14004</v>
      </c>
      <c r="V6319" t="s">
        <v>14004</v>
      </c>
      <c r="W6319" t="s">
        <v>20266</v>
      </c>
      <c r="X6319">
        <v>2</v>
      </c>
      <c r="Y6319" t="s">
        <v>27059</v>
      </c>
      <c r="Z6319" t="s">
        <v>34029</v>
      </c>
      <c r="AA6319">
        <v>0.61179368405127521</v>
      </c>
      <c r="AB6319" t="str">
        <f>HYPERLINK("Melting_Curves/meltCurve_Q9NW75_2_GPATCH2.pdf", "Melting_Curves/meltCurve_Q9NW75_2_GPATCH2.pdf")</f>
        <v>Melting_Curves/meltCurve_Q9NW75_2_GPATCH2.pdf</v>
      </c>
    </row>
    <row r="6320" spans="1:28" x14ac:dyDescent="0.25">
      <c r="A6320" t="s">
        <v>6324</v>
      </c>
      <c r="B6320">
        <v>0.99999676499088797</v>
      </c>
      <c r="C6320">
        <v>1.07016213110534</v>
      </c>
      <c r="D6320">
        <v>0.73463013858738702</v>
      </c>
      <c r="E6320">
        <v>0.545134478992648</v>
      </c>
      <c r="F6320">
        <v>0.34869991904162101</v>
      </c>
      <c r="G6320">
        <v>0.209578928408302</v>
      </c>
      <c r="H6320">
        <v>7.8146233435241699E-2</v>
      </c>
      <c r="I6320">
        <v>3.6997398981223603E-2</v>
      </c>
      <c r="J6320">
        <v>4.0815258560787201E-2</v>
      </c>
      <c r="K6320">
        <v>2.9568525758318899E-2</v>
      </c>
      <c r="L6320">
        <v>744.16738685678797</v>
      </c>
      <c r="M6320">
        <v>14.756232334228001</v>
      </c>
      <c r="N6320">
        <v>50.539315034741698</v>
      </c>
      <c r="O6320">
        <v>49.531711076866102</v>
      </c>
      <c r="P6320">
        <v>-7.3324570220260898E-2</v>
      </c>
      <c r="Q6320">
        <v>1.5602434218510999E-2</v>
      </c>
      <c r="R6320">
        <v>0.98112545631258996</v>
      </c>
      <c r="S6320" t="s">
        <v>13323</v>
      </c>
      <c r="T6320" t="s">
        <v>14004</v>
      </c>
      <c r="U6320" t="s">
        <v>14004</v>
      </c>
      <c r="V6320" t="s">
        <v>14004</v>
      </c>
      <c r="W6320" t="s">
        <v>20267</v>
      </c>
      <c r="X6320">
        <v>3</v>
      </c>
      <c r="Y6320" t="s">
        <v>27060</v>
      </c>
      <c r="Z6320" t="s">
        <v>34030</v>
      </c>
      <c r="AA6320">
        <v>0.38168270524263309</v>
      </c>
      <c r="AB6320" t="str">
        <f>HYPERLINK("Melting_Curves/meltCurve_Q9NW81_ATP5SL.pdf", "Melting_Curves/meltCurve_Q9NW81_ATP5SL.pdf")</f>
        <v>Melting_Curves/meltCurve_Q9NW81_ATP5SL.pdf</v>
      </c>
    </row>
    <row r="6321" spans="1:28" x14ac:dyDescent="0.25">
      <c r="A6321" t="s">
        <v>6325</v>
      </c>
      <c r="B6321">
        <v>0.99999676499088797</v>
      </c>
      <c r="C6321">
        <v>0.99551004903226403</v>
      </c>
      <c r="D6321">
        <v>0.97402837128038899</v>
      </c>
      <c r="E6321">
        <v>0.92687472750458999</v>
      </c>
      <c r="F6321">
        <v>0.67660787025222902</v>
      </c>
      <c r="G6321">
        <v>0.38179981414536401</v>
      </c>
      <c r="H6321">
        <v>0.104178658437204</v>
      </c>
      <c r="I6321">
        <v>9.0808908003308195E-2</v>
      </c>
      <c r="J6321">
        <v>9.9161413350134897E-2</v>
      </c>
      <c r="K6321">
        <v>8.4100940512588498E-2</v>
      </c>
      <c r="L6321">
        <v>1280.1030001122199</v>
      </c>
      <c r="M6321">
        <v>23.365115162254501</v>
      </c>
      <c r="N6321">
        <v>55.1235754577229</v>
      </c>
      <c r="O6321">
        <v>54.3903468693508</v>
      </c>
      <c r="P6321">
        <v>-0.10025662882582401</v>
      </c>
      <c r="Q6321">
        <v>6.6489213908519501E-2</v>
      </c>
      <c r="R6321">
        <v>0.99738950048206398</v>
      </c>
      <c r="S6321" t="s">
        <v>13324</v>
      </c>
      <c r="T6321" t="s">
        <v>14004</v>
      </c>
      <c r="U6321" t="s">
        <v>14004</v>
      </c>
      <c r="V6321" t="s">
        <v>14004</v>
      </c>
      <c r="W6321" t="s">
        <v>20268</v>
      </c>
      <c r="X6321">
        <v>24</v>
      </c>
      <c r="Y6321" t="s">
        <v>27061</v>
      </c>
      <c r="Z6321" t="s">
        <v>34031</v>
      </c>
      <c r="AA6321">
        <v>0.53633274007971132</v>
      </c>
      <c r="AB6321" t="str">
        <f>HYPERLINK("Melting_Curves/meltCurve_Q9NW82_WDR70.pdf", "Melting_Curves/meltCurve_Q9NW82_WDR70.pdf")</f>
        <v>Melting_Curves/meltCurve_Q9NW82_WDR70.pdf</v>
      </c>
    </row>
    <row r="6322" spans="1:28" x14ac:dyDescent="0.25">
      <c r="A6322" t="s">
        <v>6326</v>
      </c>
      <c r="B6322">
        <v>0.99999676499088797</v>
      </c>
      <c r="C6322">
        <v>0.97508011610883505</v>
      </c>
      <c r="D6322">
        <v>1.0635206312521499</v>
      </c>
      <c r="E6322">
        <v>0.98895529749254096</v>
      </c>
      <c r="F6322">
        <v>0.88561637531924498</v>
      </c>
      <c r="G6322">
        <v>0.86919907885613901</v>
      </c>
      <c r="H6322">
        <v>0.47453244465996303</v>
      </c>
      <c r="I6322">
        <v>0.41538022974474298</v>
      </c>
      <c r="J6322">
        <v>0.418499510330755</v>
      </c>
      <c r="K6322">
        <v>0.43390057331487503</v>
      </c>
      <c r="L6322">
        <v>2668.5404279721902</v>
      </c>
      <c r="M6322">
        <v>45.883242492964598</v>
      </c>
      <c r="N6322">
        <v>60.519823444152699</v>
      </c>
      <c r="O6322">
        <v>58.049224092188702</v>
      </c>
      <c r="P6322">
        <v>-0.115305418507456</v>
      </c>
      <c r="Q6322">
        <v>0.416485786410068</v>
      </c>
      <c r="R6322">
        <v>0.97587519062041195</v>
      </c>
      <c r="S6322" t="s">
        <v>13325</v>
      </c>
      <c r="T6322" t="s">
        <v>14004</v>
      </c>
      <c r="U6322" t="s">
        <v>14004</v>
      </c>
      <c r="V6322" t="s">
        <v>14004</v>
      </c>
      <c r="W6322" t="s">
        <v>20269</v>
      </c>
      <c r="X6322">
        <v>3</v>
      </c>
      <c r="Y6322" t="s">
        <v>27062</v>
      </c>
      <c r="Z6322" t="s">
        <v>34032</v>
      </c>
      <c r="AA6322">
        <v>0.77145756478128269</v>
      </c>
      <c r="AB6322" t="str">
        <f>HYPERLINK("Melting_Curves/meltCurve_Q9NWA0_MED9.pdf", "Melting_Curves/meltCurve_Q9NWA0_MED9.pdf")</f>
        <v>Melting_Curves/meltCurve_Q9NWA0_MED9.pdf</v>
      </c>
    </row>
    <row r="6323" spans="1:28" x14ac:dyDescent="0.25">
      <c r="A6323" t="s">
        <v>6327</v>
      </c>
      <c r="B6323">
        <v>0.99999676499088797</v>
      </c>
      <c r="C6323">
        <v>0.97094257448784904</v>
      </c>
      <c r="D6323">
        <v>0.95305858951843003</v>
      </c>
      <c r="E6323">
        <v>0.77529173512587102</v>
      </c>
      <c r="F6323">
        <v>0.53361858446519295</v>
      </c>
      <c r="G6323">
        <v>0.52532660712466095</v>
      </c>
      <c r="H6323">
        <v>0.374013520510591</v>
      </c>
      <c r="I6323">
        <v>0.54302563264683101</v>
      </c>
      <c r="J6323">
        <v>0.60706278730446195</v>
      </c>
      <c r="K6323">
        <v>0.62726466466091102</v>
      </c>
      <c r="L6323">
        <v>2164.3116781650301</v>
      </c>
      <c r="M6323">
        <v>43.625999465740399</v>
      </c>
      <c r="O6323">
        <v>49.506690046242703</v>
      </c>
      <c r="P6323">
        <v>-0.103207960997782</v>
      </c>
      <c r="Q6323">
        <v>0.53152000154199697</v>
      </c>
      <c r="R6323">
        <v>0.90282670537373499</v>
      </c>
      <c r="S6323" t="s">
        <v>13326</v>
      </c>
      <c r="T6323" t="s">
        <v>14004</v>
      </c>
      <c r="U6323" t="s">
        <v>14004</v>
      </c>
      <c r="V6323" t="s">
        <v>14004</v>
      </c>
      <c r="W6323" t="s">
        <v>20270</v>
      </c>
      <c r="X6323">
        <v>14</v>
      </c>
      <c r="Y6323" t="s">
        <v>27063</v>
      </c>
      <c r="Z6323" t="s">
        <v>34033</v>
      </c>
      <c r="AA6323">
        <v>0.68294825486034383</v>
      </c>
      <c r="AB6323" t="str">
        <f>HYPERLINK("Melting_Curves/meltCurve_Q9NWB6_ARGLU1.pdf", "Melting_Curves/meltCurve_Q9NWB6_ARGLU1.pdf")</f>
        <v>Melting_Curves/meltCurve_Q9NWB6_ARGLU1.pdf</v>
      </c>
    </row>
    <row r="6324" spans="1:28" x14ac:dyDescent="0.25">
      <c r="A6324" t="s">
        <v>6328</v>
      </c>
      <c r="B6324">
        <v>0.99999676499088797</v>
      </c>
      <c r="C6324">
        <v>1.1354098648297299</v>
      </c>
      <c r="D6324">
        <v>0.98480095712599403</v>
      </c>
      <c r="E6324">
        <v>0.82606448918130904</v>
      </c>
      <c r="F6324">
        <v>0.83120740185867004</v>
      </c>
      <c r="G6324">
        <v>0.64733378740297898</v>
      </c>
      <c r="H6324">
        <v>0.416278789414263</v>
      </c>
      <c r="I6324">
        <v>0.485075677048322</v>
      </c>
      <c r="J6324">
        <v>0.54194712298084902</v>
      </c>
      <c r="K6324">
        <v>0.36398537535973302</v>
      </c>
      <c r="L6324">
        <v>915.11418263691803</v>
      </c>
      <c r="M6324">
        <v>16.694233237385198</v>
      </c>
      <c r="N6324">
        <v>61.267784564450999</v>
      </c>
      <c r="O6324">
        <v>54.047752373504402</v>
      </c>
      <c r="P6324">
        <v>-4.5269318981114297E-2</v>
      </c>
      <c r="Q6324">
        <v>0.41379935424469599</v>
      </c>
      <c r="R6324">
        <v>0.91691033597612204</v>
      </c>
      <c r="S6324" t="s">
        <v>13327</v>
      </c>
      <c r="T6324" t="s">
        <v>14004</v>
      </c>
      <c r="U6324" t="s">
        <v>14004</v>
      </c>
      <c r="V6324" t="s">
        <v>14004</v>
      </c>
      <c r="W6324" t="s">
        <v>20271</v>
      </c>
      <c r="X6324">
        <v>2</v>
      </c>
      <c r="Y6324" t="s">
        <v>27064</v>
      </c>
      <c r="Z6324" t="s">
        <v>34034</v>
      </c>
      <c r="AA6324">
        <v>0.71339668383197874</v>
      </c>
      <c r="AB6324" t="str">
        <f>HYPERLINK("Melting_Curves/meltCurve_Q9NWD8_TMEM248.pdf", "Melting_Curves/meltCurve_Q9NWD8_TMEM248.pdf")</f>
        <v>Melting_Curves/meltCurve_Q9NWD8_TMEM248.pdf</v>
      </c>
    </row>
    <row r="6325" spans="1:28" x14ac:dyDescent="0.25">
      <c r="A6325" t="s">
        <v>6329</v>
      </c>
      <c r="B6325">
        <v>0.99999676499088797</v>
      </c>
      <c r="C6325">
        <v>0.94066933838330002</v>
      </c>
      <c r="D6325">
        <v>1.05341907260013</v>
      </c>
      <c r="E6325">
        <v>1.0755716395435699</v>
      </c>
      <c r="F6325">
        <v>1.06884090895354</v>
      </c>
      <c r="G6325">
        <v>0.93577900052866803</v>
      </c>
      <c r="H6325">
        <v>0.69573957406852105</v>
      </c>
      <c r="I6325">
        <v>0.77417354799648697</v>
      </c>
      <c r="J6325">
        <v>0.73944333499128101</v>
      </c>
      <c r="K6325">
        <v>0.87400531122061997</v>
      </c>
      <c r="L6325">
        <v>14253.5761239366</v>
      </c>
      <c r="M6325">
        <v>250</v>
      </c>
      <c r="O6325">
        <v>57.010659972738097</v>
      </c>
      <c r="P6325">
        <v>-0.25122448276569997</v>
      </c>
      <c r="Q6325">
        <v>0.77084043936632596</v>
      </c>
      <c r="R6325">
        <v>0.80767831787626798</v>
      </c>
      <c r="S6325" t="s">
        <v>13328</v>
      </c>
      <c r="T6325" t="s">
        <v>14004</v>
      </c>
      <c r="U6325" t="s">
        <v>14004</v>
      </c>
      <c r="V6325" t="s">
        <v>14004</v>
      </c>
      <c r="W6325" t="s">
        <v>20272</v>
      </c>
      <c r="X6325">
        <v>1</v>
      </c>
      <c r="Y6325" t="s">
        <v>27065</v>
      </c>
      <c r="Z6325" t="s">
        <v>34035</v>
      </c>
      <c r="AA6325">
        <v>0.90082972031696917</v>
      </c>
      <c r="AB6325" t="str">
        <f>HYPERLINK("Melting_Curves/meltCurve_Q9NWH2_TMEM242.pdf", "Melting_Curves/meltCurve_Q9NWH2_TMEM242.pdf")</f>
        <v>Melting_Curves/meltCurve_Q9NWH2_TMEM242.pdf</v>
      </c>
    </row>
    <row r="6326" spans="1:28" x14ac:dyDescent="0.25">
      <c r="A6326" t="s">
        <v>6330</v>
      </c>
      <c r="B6326">
        <v>0.99999676499088797</v>
      </c>
      <c r="C6326">
        <v>1.0812916631951901</v>
      </c>
      <c r="D6326">
        <v>1.14614184542792</v>
      </c>
      <c r="E6326">
        <v>1.0581987316416299</v>
      </c>
      <c r="F6326">
        <v>0.835457324242037</v>
      </c>
      <c r="G6326">
        <v>1.1515102940052799</v>
      </c>
      <c r="H6326">
        <v>0.71264193853770597</v>
      </c>
      <c r="I6326">
        <v>0.58538781613913504</v>
      </c>
      <c r="J6326">
        <v>0.48409198319212499</v>
      </c>
      <c r="K6326">
        <v>0.36434532390943503</v>
      </c>
      <c r="L6326">
        <v>2155.3596172082398</v>
      </c>
      <c r="M6326">
        <v>34.915188506029502</v>
      </c>
      <c r="N6326">
        <v>64.908932264455601</v>
      </c>
      <c r="O6326">
        <v>61.529840519614702</v>
      </c>
      <c r="P6326">
        <v>-8.3769977064655499E-2</v>
      </c>
      <c r="Q6326">
        <v>0.40950227975501402</v>
      </c>
      <c r="R6326">
        <v>0.86651675965573505</v>
      </c>
      <c r="S6326" t="s">
        <v>13329</v>
      </c>
      <c r="T6326" t="s">
        <v>14004</v>
      </c>
      <c r="U6326" t="s">
        <v>14004</v>
      </c>
      <c r="V6326" t="s">
        <v>14004</v>
      </c>
      <c r="W6326" t="s">
        <v>20273</v>
      </c>
      <c r="X6326">
        <v>18</v>
      </c>
      <c r="Y6326" t="s">
        <v>27066</v>
      </c>
      <c r="Z6326" t="s">
        <v>34036</v>
      </c>
      <c r="AA6326">
        <v>0.83979201169655826</v>
      </c>
      <c r="AB6326" t="str">
        <f>HYPERLINK("Melting_Curves/meltCurve_Q9NWH9_SLTM.pdf", "Melting_Curves/meltCurve_Q9NWH9_SLTM.pdf")</f>
        <v>Melting_Curves/meltCurve_Q9NWH9_SLTM.pdf</v>
      </c>
    </row>
    <row r="6327" spans="1:28" x14ac:dyDescent="0.25">
      <c r="A6327" t="s">
        <v>6331</v>
      </c>
      <c r="B6327">
        <v>0.99999676499088797</v>
      </c>
      <c r="C6327">
        <v>0.67636740210260105</v>
      </c>
      <c r="D6327">
        <v>0.53863622961649804</v>
      </c>
      <c r="E6327">
        <v>0.42373726212976298</v>
      </c>
      <c r="F6327">
        <v>0.40297770172837699</v>
      </c>
      <c r="G6327">
        <v>0.31107167241905798</v>
      </c>
      <c r="H6327">
        <v>0.23777591928230901</v>
      </c>
      <c r="I6327">
        <v>0.232235699635719</v>
      </c>
      <c r="J6327">
        <v>0.19210462393959901</v>
      </c>
      <c r="K6327">
        <v>0.25529215046145498</v>
      </c>
      <c r="L6327">
        <v>596.45131391797997</v>
      </c>
      <c r="M6327">
        <v>13.1893098857597</v>
      </c>
      <c r="N6327">
        <v>47.489983630704501</v>
      </c>
      <c r="O6327">
        <v>44.2206377412612</v>
      </c>
      <c r="P6327">
        <v>-5.7152753027309898E-2</v>
      </c>
      <c r="Q6327">
        <v>0.23364902101098001</v>
      </c>
      <c r="R6327">
        <v>0.94746434120707601</v>
      </c>
      <c r="S6327" t="s">
        <v>13330</v>
      </c>
      <c r="T6327" t="s">
        <v>14004</v>
      </c>
      <c r="U6327" t="s">
        <v>14004</v>
      </c>
      <c r="V6327" t="s">
        <v>14004</v>
      </c>
      <c r="W6327" t="s">
        <v>20274</v>
      </c>
      <c r="X6327">
        <v>3</v>
      </c>
      <c r="Y6327" t="s">
        <v>27067</v>
      </c>
      <c r="Z6327" t="s">
        <v>34037</v>
      </c>
      <c r="AA6327">
        <v>0.39831095703834068</v>
      </c>
      <c r="AB6327" t="str">
        <f>HYPERLINK("Melting_Curves/meltCurve_Q9NWK9_ZNHIT6.pdf", "Melting_Curves/meltCurve_Q9NWK9_ZNHIT6.pdf")</f>
        <v>Melting_Curves/meltCurve_Q9NWK9_ZNHIT6.pdf</v>
      </c>
    </row>
    <row r="6328" spans="1:28" x14ac:dyDescent="0.25">
      <c r="A6328" t="s">
        <v>6332</v>
      </c>
      <c r="B6328">
        <v>0.99999676499088797</v>
      </c>
      <c r="C6328">
        <v>1.0527267798686899</v>
      </c>
      <c r="D6328">
        <v>0.97991281800839902</v>
      </c>
      <c r="E6328">
        <v>0.72565708343616397</v>
      </c>
      <c r="F6328">
        <v>0.45992553937535402</v>
      </c>
      <c r="G6328">
        <v>0.35535912760338301</v>
      </c>
      <c r="H6328">
        <v>0.16280749278525999</v>
      </c>
      <c r="I6328">
        <v>0.14661176044337301</v>
      </c>
      <c r="J6328">
        <v>0.199433484390625</v>
      </c>
      <c r="K6328">
        <v>0.17886622545638101</v>
      </c>
      <c r="L6328">
        <v>1039.83455582939</v>
      </c>
      <c r="M6328">
        <v>20.07705782715</v>
      </c>
      <c r="N6328">
        <v>52.852595799790201</v>
      </c>
      <c r="O6328">
        <v>51.286565932098704</v>
      </c>
      <c r="P6328">
        <v>-8.1644898318039602E-2</v>
      </c>
      <c r="Q6328">
        <v>0.165783700102693</v>
      </c>
      <c r="R6328">
        <v>0.98768564618828802</v>
      </c>
      <c r="S6328" t="s">
        <v>13331</v>
      </c>
      <c r="T6328" t="s">
        <v>14004</v>
      </c>
      <c r="U6328" t="s">
        <v>14004</v>
      </c>
      <c r="V6328" t="s">
        <v>14004</v>
      </c>
      <c r="W6328" t="s">
        <v>20275</v>
      </c>
      <c r="X6328">
        <v>1</v>
      </c>
      <c r="Y6328" t="s">
        <v>27068</v>
      </c>
      <c r="Z6328" t="s">
        <v>34038</v>
      </c>
      <c r="AA6328">
        <v>0.50516493942812213</v>
      </c>
      <c r="AB6328" t="str">
        <f>HYPERLINK("Melting_Curves/meltCurve_Q9NWM8_FKBP14.pdf", "Melting_Curves/meltCurve_Q9NWM8_FKBP14.pdf")</f>
        <v>Melting_Curves/meltCurve_Q9NWM8_FKBP14.pdf</v>
      </c>
    </row>
    <row r="6329" spans="1:28" x14ac:dyDescent="0.25">
      <c r="A6329" t="s">
        <v>6333</v>
      </c>
      <c r="B6329">
        <v>0.99999676499088797</v>
      </c>
      <c r="C6329">
        <v>1.0344682203798901</v>
      </c>
      <c r="D6329">
        <v>1.0664566515798399</v>
      </c>
      <c r="E6329">
        <v>1.07957941867347</v>
      </c>
      <c r="F6329">
        <v>0.92764117528074697</v>
      </c>
      <c r="G6329">
        <v>0.84392169009505202</v>
      </c>
      <c r="H6329">
        <v>0.56788621136786499</v>
      </c>
      <c r="I6329">
        <v>0.440820237474082</v>
      </c>
      <c r="J6329">
        <v>0.42581777649908298</v>
      </c>
      <c r="K6329">
        <v>0.59975857225889995</v>
      </c>
      <c r="L6329">
        <v>2240.1275067261499</v>
      </c>
      <c r="M6329">
        <v>38.693772708061402</v>
      </c>
      <c r="N6329">
        <v>64.0087009241647</v>
      </c>
      <c r="O6329">
        <v>57.739767274176202</v>
      </c>
      <c r="P6329">
        <v>-8.5846020441737905E-2</v>
      </c>
      <c r="Q6329">
        <v>0.48759537477402398</v>
      </c>
      <c r="R6329">
        <v>0.94326132856839295</v>
      </c>
      <c r="S6329" t="s">
        <v>13332</v>
      </c>
      <c r="T6329" t="s">
        <v>14004</v>
      </c>
      <c r="U6329" t="s">
        <v>14004</v>
      </c>
      <c r="V6329" t="s">
        <v>14004</v>
      </c>
      <c r="W6329" t="s">
        <v>20276</v>
      </c>
      <c r="X6329">
        <v>8</v>
      </c>
      <c r="Y6329" t="s">
        <v>27069</v>
      </c>
      <c r="Z6329" t="s">
        <v>34039</v>
      </c>
      <c r="AA6329">
        <v>0.79536708945211443</v>
      </c>
      <c r="AB6329" t="str">
        <f>HYPERLINK("Melting_Curves/meltCurve_Q9NWQ8_PAG1.pdf", "Melting_Curves/meltCurve_Q9NWQ8_PAG1.pdf")</f>
        <v>Melting_Curves/meltCurve_Q9NWQ8_PAG1.pdf</v>
      </c>
    </row>
    <row r="6330" spans="1:28" x14ac:dyDescent="0.25">
      <c r="A6330" t="s">
        <v>6334</v>
      </c>
      <c r="B6330">
        <v>0.99999676499088797</v>
      </c>
      <c r="C6330">
        <v>0.75328541062300602</v>
      </c>
      <c r="D6330">
        <v>0.67355486313991597</v>
      </c>
      <c r="E6330">
        <v>0.49880532555437002</v>
      </c>
      <c r="F6330">
        <v>0.35239121746629698</v>
      </c>
      <c r="G6330">
        <v>0.19845653034204899</v>
      </c>
      <c r="H6330">
        <v>0.10694797298350101</v>
      </c>
      <c r="I6330">
        <v>0.111533486695732</v>
      </c>
      <c r="J6330">
        <v>0.11537910361339</v>
      </c>
      <c r="K6330">
        <v>0.107355054049382</v>
      </c>
      <c r="L6330">
        <v>539.194264235368</v>
      </c>
      <c r="M6330">
        <v>11.0754382029026</v>
      </c>
      <c r="N6330">
        <v>49.211989361704603</v>
      </c>
      <c r="O6330">
        <v>47.177447160208096</v>
      </c>
      <c r="P6330">
        <v>-5.5419500490748203E-2</v>
      </c>
      <c r="Q6330">
        <v>5.6039905450586701E-2</v>
      </c>
      <c r="R6330">
        <v>0.98339620530314298</v>
      </c>
      <c r="S6330" t="s">
        <v>13333</v>
      </c>
      <c r="T6330" t="s">
        <v>14004</v>
      </c>
      <c r="U6330" t="s">
        <v>14004</v>
      </c>
      <c r="V6330" t="s">
        <v>14004</v>
      </c>
      <c r="W6330" t="s">
        <v>20277</v>
      </c>
      <c r="X6330">
        <v>3</v>
      </c>
      <c r="Y6330" t="s">
        <v>27070</v>
      </c>
      <c r="Z6330" t="s">
        <v>34040</v>
      </c>
      <c r="AA6330">
        <v>0.36967573445963547</v>
      </c>
      <c r="AB6330" t="str">
        <f>HYPERLINK("Melting_Curves/meltCurve_Q9NWQ9_C14orf119.pdf", "Melting_Curves/meltCurve_Q9NWQ9_C14orf119.pdf")</f>
        <v>Melting_Curves/meltCurve_Q9NWQ9_C14orf119.pdf</v>
      </c>
    </row>
    <row r="6331" spans="1:28" x14ac:dyDescent="0.25">
      <c r="A6331" t="s">
        <v>6335</v>
      </c>
      <c r="B6331">
        <v>0.99999676499088797</v>
      </c>
      <c r="C6331">
        <v>0.98689833855825404</v>
      </c>
      <c r="D6331">
        <v>1.0240006823987899</v>
      </c>
      <c r="E6331">
        <v>0.903663658509964</v>
      </c>
      <c r="F6331">
        <v>0.31326630909021003</v>
      </c>
      <c r="G6331">
        <v>0.23417738102051699</v>
      </c>
      <c r="H6331">
        <v>9.4817674053331399E-2</v>
      </c>
      <c r="I6331">
        <v>7.2392166702003005E-2</v>
      </c>
      <c r="J6331">
        <v>0</v>
      </c>
      <c r="K6331">
        <v>7.2627216739834896E-2</v>
      </c>
      <c r="L6331">
        <v>2012.01321596146</v>
      </c>
      <c r="M6331">
        <v>38.706881386767002</v>
      </c>
      <c r="N6331">
        <v>52.2226840230487</v>
      </c>
      <c r="O6331">
        <v>51.8425973430965</v>
      </c>
      <c r="P6331">
        <v>-0.171336149241021</v>
      </c>
      <c r="Q6331">
        <v>8.2076396309555794E-2</v>
      </c>
      <c r="R6331">
        <v>0.98647754309343305</v>
      </c>
      <c r="S6331" t="s">
        <v>13334</v>
      </c>
      <c r="T6331" t="s">
        <v>14004</v>
      </c>
      <c r="U6331" t="s">
        <v>14004</v>
      </c>
      <c r="V6331" t="s">
        <v>14004</v>
      </c>
      <c r="W6331" t="s">
        <v>20278</v>
      </c>
      <c r="X6331">
        <v>3</v>
      </c>
      <c r="Y6331" t="s">
        <v>27071</v>
      </c>
      <c r="Z6331" t="s">
        <v>34041</v>
      </c>
      <c r="AA6331">
        <v>0.45217901625924661</v>
      </c>
      <c r="AB6331" t="str">
        <f>HYPERLINK("Melting_Curves/meltCurve_Q9NWR8_CCDC109B.pdf", "Melting_Curves/meltCurve_Q9NWR8_CCDC109B.pdf")</f>
        <v>Melting_Curves/meltCurve_Q9NWR8_CCDC109B.pdf</v>
      </c>
    </row>
    <row r="6332" spans="1:28" x14ac:dyDescent="0.25">
      <c r="A6332" t="s">
        <v>6336</v>
      </c>
      <c r="B6332">
        <v>0.99999676499088797</v>
      </c>
      <c r="C6332">
        <v>0.91354671916797103</v>
      </c>
      <c r="D6332">
        <v>0.79885457820292105</v>
      </c>
      <c r="E6332">
        <v>0.64207268642551996</v>
      </c>
      <c r="F6332">
        <v>0.34740198389563998</v>
      </c>
      <c r="G6332">
        <v>0.19328423719416901</v>
      </c>
      <c r="H6332">
        <v>0.103146350463061</v>
      </c>
      <c r="I6332">
        <v>9.6720593223222906E-2</v>
      </c>
      <c r="J6332">
        <v>0.110597693169958</v>
      </c>
      <c r="K6332">
        <v>0.10580778497564899</v>
      </c>
      <c r="L6332">
        <v>787.79718927015097</v>
      </c>
      <c r="M6332">
        <v>15.625194143655101</v>
      </c>
      <c r="N6332">
        <v>50.925568160921799</v>
      </c>
      <c r="O6332">
        <v>49.614228562481301</v>
      </c>
      <c r="P6332">
        <v>-7.3066588245415398E-2</v>
      </c>
      <c r="Q6332">
        <v>7.2054955348334102E-2</v>
      </c>
      <c r="R6332">
        <v>0.99474181131441997</v>
      </c>
      <c r="S6332" t="s">
        <v>13335</v>
      </c>
      <c r="T6332" t="s">
        <v>14004</v>
      </c>
      <c r="U6332" t="s">
        <v>14004</v>
      </c>
      <c r="V6332" t="s">
        <v>14004</v>
      </c>
      <c r="W6332" t="s">
        <v>20279</v>
      </c>
      <c r="X6332">
        <v>9</v>
      </c>
      <c r="Y6332" t="s">
        <v>27072</v>
      </c>
      <c r="Z6332" t="s">
        <v>34042</v>
      </c>
      <c r="AA6332">
        <v>0.41464925199772951</v>
      </c>
      <c r="AB6332" t="str">
        <f>HYPERLINK("Melting_Curves/meltCurve_Q9NWS0_PIH1D1.pdf", "Melting_Curves/meltCurve_Q9NWS0_PIH1D1.pdf")</f>
        <v>Melting_Curves/meltCurve_Q9NWS0_PIH1D1.pdf</v>
      </c>
    </row>
    <row r="6333" spans="1:28" x14ac:dyDescent="0.25">
      <c r="A6333" t="s">
        <v>6337</v>
      </c>
      <c r="B6333">
        <v>0.99999676499088797</v>
      </c>
      <c r="C6333">
        <v>1.01144910447891</v>
      </c>
      <c r="D6333">
        <v>0.92097395075229405</v>
      </c>
      <c r="E6333">
        <v>0.33650643726207802</v>
      </c>
      <c r="F6333">
        <v>0.94874581680224901</v>
      </c>
      <c r="G6333">
        <v>0.18980615690522501</v>
      </c>
      <c r="H6333">
        <v>0.125474284025482</v>
      </c>
      <c r="I6333">
        <v>0.12921690373217401</v>
      </c>
      <c r="J6333">
        <v>0.13093094149482001</v>
      </c>
      <c r="K6333">
        <v>9.5587856214753394E-2</v>
      </c>
      <c r="L6333">
        <v>589.40046066794901</v>
      </c>
      <c r="M6333">
        <v>11.024963086261801</v>
      </c>
      <c r="N6333">
        <v>53.460537338365697</v>
      </c>
      <c r="O6333">
        <v>51.792022366035198</v>
      </c>
      <c r="P6333">
        <v>-5.32352759042094E-2</v>
      </c>
      <c r="Q6333">
        <v>0</v>
      </c>
      <c r="R6333">
        <v>0.76975093217357005</v>
      </c>
      <c r="S6333" t="s">
        <v>13336</v>
      </c>
      <c r="T6333" t="s">
        <v>14004</v>
      </c>
      <c r="U6333" t="s">
        <v>14004</v>
      </c>
      <c r="V6333" t="s">
        <v>14004</v>
      </c>
      <c r="W6333" t="s">
        <v>20280</v>
      </c>
      <c r="X6333">
        <v>4</v>
      </c>
      <c r="Y6333" t="s">
        <v>27073</v>
      </c>
      <c r="Z6333" t="s">
        <v>34043</v>
      </c>
      <c r="AA6333">
        <v>0.47847205017182243</v>
      </c>
      <c r="AB6333" t="str">
        <f>HYPERLINK("Melting_Curves/meltCurve_Q9NWS6_FAM118A.pdf", "Melting_Curves/meltCurve_Q9NWS6_FAM118A.pdf")</f>
        <v>Melting_Curves/meltCurve_Q9NWS6_FAM118A.pdf</v>
      </c>
    </row>
    <row r="6334" spans="1:28" x14ac:dyDescent="0.25">
      <c r="A6334" t="s">
        <v>6338</v>
      </c>
      <c r="B6334">
        <v>0.99999676499088797</v>
      </c>
      <c r="C6334">
        <v>1.0600600679749499</v>
      </c>
      <c r="D6334">
        <v>1.13012947997297</v>
      </c>
      <c r="E6334">
        <v>1.26008856240339</v>
      </c>
      <c r="F6334">
        <v>0.51299034856356396</v>
      </c>
      <c r="G6334">
        <v>0.30826212879919601</v>
      </c>
      <c r="H6334">
        <v>0.15411991798755301</v>
      </c>
      <c r="I6334">
        <v>0.267288618789087</v>
      </c>
      <c r="J6334">
        <v>0.35929445230047402</v>
      </c>
      <c r="K6334">
        <v>0.21334537368069001</v>
      </c>
      <c r="L6334">
        <v>13265.0603433284</v>
      </c>
      <c r="M6334">
        <v>250</v>
      </c>
      <c r="N6334">
        <v>53.216912009945702</v>
      </c>
      <c r="O6334">
        <v>53.056845789184699</v>
      </c>
      <c r="P6334">
        <v>-0.87116222684696898</v>
      </c>
      <c r="Q6334">
        <v>0.260462080908133</v>
      </c>
      <c r="R6334">
        <v>0.93269303917365298</v>
      </c>
      <c r="S6334" t="s">
        <v>13337</v>
      </c>
      <c r="T6334" t="s">
        <v>14004</v>
      </c>
      <c r="U6334" t="s">
        <v>14004</v>
      </c>
      <c r="V6334" t="s">
        <v>14004</v>
      </c>
      <c r="W6334" t="s">
        <v>20281</v>
      </c>
      <c r="X6334">
        <v>4</v>
      </c>
      <c r="Y6334" t="s">
        <v>27074</v>
      </c>
      <c r="Z6334" t="s">
        <v>34044</v>
      </c>
      <c r="AA6334">
        <v>0.58248240420551367</v>
      </c>
      <c r="AB6334" t="str">
        <f>HYPERLINK("Melting_Curves/meltCurve_Q9NWS8_RMND1.pdf", "Melting_Curves/meltCurve_Q9NWS8_RMND1.pdf")</f>
        <v>Melting_Curves/meltCurve_Q9NWS8_RMND1.pdf</v>
      </c>
    </row>
    <row r="6335" spans="1:28" x14ac:dyDescent="0.25">
      <c r="A6335" t="s">
        <v>6339</v>
      </c>
      <c r="B6335">
        <v>0.99999676499088797</v>
      </c>
      <c r="C6335">
        <v>0.97392831352032905</v>
      </c>
      <c r="D6335">
        <v>0.96998145133546099</v>
      </c>
      <c r="E6335">
        <v>1.02758521702543</v>
      </c>
      <c r="F6335">
        <v>0.83922049442749602</v>
      </c>
      <c r="G6335">
        <v>1.0219590441785</v>
      </c>
      <c r="H6335">
        <v>0.51241758503835999</v>
      </c>
      <c r="I6335">
        <v>0.123190640333808</v>
      </c>
      <c r="J6335">
        <v>8.4214809303026703E-2</v>
      </c>
      <c r="K6335">
        <v>5.3980295772699402E-2</v>
      </c>
      <c r="L6335">
        <v>3824.74021318415</v>
      </c>
      <c r="M6335">
        <v>62.996622534964899</v>
      </c>
      <c r="N6335">
        <v>60.867938166675202</v>
      </c>
      <c r="O6335">
        <v>60.652325730270803</v>
      </c>
      <c r="P6335">
        <v>-0.24047483610725401</v>
      </c>
      <c r="Q6335">
        <v>7.3896186891997701E-2</v>
      </c>
      <c r="R6335">
        <v>0.98145905815259105</v>
      </c>
      <c r="S6335" t="s">
        <v>13338</v>
      </c>
      <c r="T6335" t="s">
        <v>14004</v>
      </c>
      <c r="U6335" t="s">
        <v>14004</v>
      </c>
      <c r="V6335" t="s">
        <v>14004</v>
      </c>
      <c r="W6335" t="s">
        <v>20282</v>
      </c>
      <c r="X6335">
        <v>8</v>
      </c>
      <c r="Y6335" t="s">
        <v>27075</v>
      </c>
      <c r="Z6335" t="s">
        <v>34045</v>
      </c>
      <c r="AA6335">
        <v>0.71487151630394352</v>
      </c>
      <c r="AB6335" t="str">
        <f>HYPERLINK("Melting_Curves/meltCurve_Q9NWT1_PAK1IP1.pdf", "Melting_Curves/meltCurve_Q9NWT1_PAK1IP1.pdf")</f>
        <v>Melting_Curves/meltCurve_Q9NWT1_PAK1IP1.pdf</v>
      </c>
    </row>
    <row r="6336" spans="1:28" x14ac:dyDescent="0.25">
      <c r="A6336" t="s">
        <v>6340</v>
      </c>
      <c r="B6336">
        <v>0.99999676499088797</v>
      </c>
      <c r="C6336">
        <v>0.94388188813930995</v>
      </c>
      <c r="D6336">
        <v>0.96435862148065699</v>
      </c>
      <c r="E6336">
        <v>1.0472446399306901</v>
      </c>
      <c r="F6336">
        <v>0.61488196699060604</v>
      </c>
      <c r="G6336">
        <v>0.374279024192539</v>
      </c>
      <c r="H6336">
        <v>0.211419814695501</v>
      </c>
      <c r="I6336">
        <v>9.4528882404182293E-2</v>
      </c>
      <c r="J6336">
        <v>0.107424723484376</v>
      </c>
      <c r="K6336">
        <v>8.63041186983384E-2</v>
      </c>
      <c r="L6336">
        <v>1331.3110963772599</v>
      </c>
      <c r="M6336">
        <v>24.401218983957499</v>
      </c>
      <c r="N6336">
        <v>55.0561420612175</v>
      </c>
      <c r="O6336">
        <v>54.196745708903798</v>
      </c>
      <c r="P6336">
        <v>-0.101434852907667</v>
      </c>
      <c r="Q6336">
        <v>9.8839127905052296E-2</v>
      </c>
      <c r="R6336">
        <v>0.98269420416874897</v>
      </c>
      <c r="S6336" t="s">
        <v>13339</v>
      </c>
      <c r="T6336" t="s">
        <v>14004</v>
      </c>
      <c r="U6336" t="s">
        <v>14004</v>
      </c>
      <c r="V6336" t="s">
        <v>14004</v>
      </c>
      <c r="W6336" t="s">
        <v>20283</v>
      </c>
      <c r="X6336">
        <v>9</v>
      </c>
      <c r="Y6336" t="s">
        <v>27076</v>
      </c>
      <c r="Z6336" t="s">
        <v>34046</v>
      </c>
      <c r="AA6336">
        <v>0.54488983454230222</v>
      </c>
      <c r="AB6336" t="str">
        <f>HYPERLINK("Melting_Curves/meltCurve_Q9NWT6_HIF1AN.pdf", "Melting_Curves/meltCurve_Q9NWT6_HIF1AN.pdf")</f>
        <v>Melting_Curves/meltCurve_Q9NWT6_HIF1AN.pdf</v>
      </c>
    </row>
    <row r="6337" spans="1:28" x14ac:dyDescent="0.25">
      <c r="A6337" t="s">
        <v>6341</v>
      </c>
      <c r="B6337">
        <v>0.99999676499088797</v>
      </c>
      <c r="C6337">
        <v>1.1064691605439001</v>
      </c>
      <c r="D6337">
        <v>1.0245533378172</v>
      </c>
      <c r="E6337">
        <v>1.0085950379977799</v>
      </c>
      <c r="F6337">
        <v>0.90167522506678299</v>
      </c>
      <c r="G6337">
        <v>0.82130582258520801</v>
      </c>
      <c r="H6337">
        <v>0.57402688844015504</v>
      </c>
      <c r="I6337">
        <v>0.54794449935282896</v>
      </c>
      <c r="J6337">
        <v>0.44778434430561598</v>
      </c>
      <c r="K6337">
        <v>0.53745643329327997</v>
      </c>
      <c r="L6337">
        <v>1446.7948534258301</v>
      </c>
      <c r="M6337">
        <v>25.093944375180602</v>
      </c>
      <c r="N6337">
        <v>67.560685186666902</v>
      </c>
      <c r="O6337">
        <v>57.2927341247455</v>
      </c>
      <c r="P6337">
        <v>-5.6132199022814001E-2</v>
      </c>
      <c r="Q6337">
        <v>0.48737838553269303</v>
      </c>
      <c r="R6337">
        <v>0.96182003289173001</v>
      </c>
      <c r="S6337" t="s">
        <v>13340</v>
      </c>
      <c r="T6337" t="s">
        <v>14004</v>
      </c>
      <c r="U6337" t="s">
        <v>14004</v>
      </c>
      <c r="V6337" t="s">
        <v>14004</v>
      </c>
      <c r="W6337" t="s">
        <v>20284</v>
      </c>
      <c r="X6337">
        <v>13</v>
      </c>
      <c r="Y6337" t="s">
        <v>27077</v>
      </c>
      <c r="Z6337" t="s">
        <v>34047</v>
      </c>
      <c r="AA6337">
        <v>0.79355736710693447</v>
      </c>
      <c r="AB6337" t="str">
        <f>HYPERLINK("Melting_Curves/meltCurve_Q9NWU1_OXSM.pdf", "Melting_Curves/meltCurve_Q9NWU1_OXSM.pdf")</f>
        <v>Melting_Curves/meltCurve_Q9NWU1_OXSM.pdf</v>
      </c>
    </row>
    <row r="6338" spans="1:28" x14ac:dyDescent="0.25">
      <c r="A6338" t="s">
        <v>6342</v>
      </c>
      <c r="B6338">
        <v>0.99999676499088797</v>
      </c>
      <c r="C6338">
        <v>0.97584210184531095</v>
      </c>
      <c r="D6338">
        <v>1.0483641285295699</v>
      </c>
      <c r="E6338">
        <v>1.06037336811754</v>
      </c>
      <c r="F6338">
        <v>0.84049024793577198</v>
      </c>
      <c r="G6338">
        <v>0.51056425622300206</v>
      </c>
      <c r="H6338">
        <v>0.327542206121541</v>
      </c>
      <c r="I6338">
        <v>0.38277206912574502</v>
      </c>
      <c r="J6338">
        <v>0.41213092488922798</v>
      </c>
      <c r="K6338">
        <v>0.42311108726798902</v>
      </c>
      <c r="L6338">
        <v>2330.1251054240802</v>
      </c>
      <c r="M6338">
        <v>42.622022364580502</v>
      </c>
      <c r="N6338">
        <v>56.654062580872299</v>
      </c>
      <c r="O6338">
        <v>54.549578517263697</v>
      </c>
      <c r="P6338">
        <v>-0.119613636359577</v>
      </c>
      <c r="Q6338">
        <v>0.38765340402234499</v>
      </c>
      <c r="R6338">
        <v>0.98306771107636504</v>
      </c>
      <c r="S6338" t="s">
        <v>13341</v>
      </c>
      <c r="T6338" t="s">
        <v>14004</v>
      </c>
      <c r="U6338" t="s">
        <v>14004</v>
      </c>
      <c r="V6338" t="s">
        <v>14004</v>
      </c>
      <c r="W6338" t="s">
        <v>20285</v>
      </c>
      <c r="X6338">
        <v>4</v>
      </c>
      <c r="Y6338" t="s">
        <v>27078</v>
      </c>
      <c r="Z6338" t="s">
        <v>34048</v>
      </c>
      <c r="AA6338">
        <v>0.68911334309200734</v>
      </c>
      <c r="AB6338" t="str">
        <f>HYPERLINK("Melting_Curves/meltCurve_Q9NWU2_GID8.pdf", "Melting_Curves/meltCurve_Q9NWU2_GID8.pdf")</f>
        <v>Melting_Curves/meltCurve_Q9NWU2_GID8.pdf</v>
      </c>
    </row>
    <row r="6339" spans="1:28" x14ac:dyDescent="0.25">
      <c r="A6339" t="s">
        <v>6343</v>
      </c>
      <c r="B6339">
        <v>0.99999676499088797</v>
      </c>
      <c r="C6339">
        <v>0.95164717419450395</v>
      </c>
      <c r="D6339">
        <v>0.93371695629763896</v>
      </c>
      <c r="E6339">
        <v>0.880579635380492</v>
      </c>
      <c r="F6339">
        <v>0.39938599186548501</v>
      </c>
      <c r="G6339">
        <v>0.13925849275379701</v>
      </c>
      <c r="H6339">
        <v>5.8849351871073798E-2</v>
      </c>
      <c r="I6339">
        <v>4.2218019501199799E-2</v>
      </c>
      <c r="J6339">
        <v>3.9336023863919101E-2</v>
      </c>
      <c r="K6339">
        <v>4.1521504601946903E-2</v>
      </c>
      <c r="L6339">
        <v>1623.1228427103999</v>
      </c>
      <c r="M6339">
        <v>30.971317395558899</v>
      </c>
      <c r="N6339">
        <v>52.560527646808197</v>
      </c>
      <c r="O6339">
        <v>52.190257104387598</v>
      </c>
      <c r="P6339">
        <v>-0.141954097502487</v>
      </c>
      <c r="Q6339">
        <v>4.3169106300041303E-2</v>
      </c>
      <c r="R6339">
        <v>0.99646667899883401</v>
      </c>
      <c r="S6339" t="s">
        <v>13342</v>
      </c>
      <c r="T6339" t="s">
        <v>14004</v>
      </c>
      <c r="U6339" t="s">
        <v>14004</v>
      </c>
      <c r="V6339" t="s">
        <v>14004</v>
      </c>
      <c r="W6339" t="s">
        <v>20286</v>
      </c>
      <c r="X6339">
        <v>9</v>
      </c>
      <c r="Y6339" t="s">
        <v>27079</v>
      </c>
      <c r="Z6339" t="s">
        <v>34049</v>
      </c>
      <c r="AA6339">
        <v>0.44466789404445928</v>
      </c>
      <c r="AB6339" t="str">
        <f>HYPERLINK("Melting_Curves/meltCurve_Q9NWV4_C1orf123.pdf", "Melting_Curves/meltCurve_Q9NWV4_C1orf123.pdf")</f>
        <v>Melting_Curves/meltCurve_Q9NWV4_C1orf123.pdf</v>
      </c>
    </row>
    <row r="6340" spans="1:28" x14ac:dyDescent="0.25">
      <c r="A6340" t="s">
        <v>6344</v>
      </c>
      <c r="B6340">
        <v>0.99999676499088797</v>
      </c>
      <c r="C6340">
        <v>0.83018302483968598</v>
      </c>
      <c r="D6340">
        <v>0.779110466947186</v>
      </c>
      <c r="E6340">
        <v>0.82580965014889196</v>
      </c>
      <c r="F6340">
        <v>0.263608712214984</v>
      </c>
      <c r="G6340">
        <v>0.144689421414673</v>
      </c>
      <c r="H6340">
        <v>7.6184075128511095E-2</v>
      </c>
      <c r="I6340">
        <v>8.5672881977479395E-2</v>
      </c>
      <c r="J6340">
        <v>7.4226953571173093E-2</v>
      </c>
      <c r="K6340">
        <v>6.0120880126040603E-2</v>
      </c>
      <c r="S6340" t="s">
        <v>13343</v>
      </c>
      <c r="T6340" t="s">
        <v>14004</v>
      </c>
      <c r="U6340" t="s">
        <v>14005</v>
      </c>
      <c r="V6340" t="s">
        <v>14004</v>
      </c>
      <c r="W6340" t="s">
        <v>20287</v>
      </c>
      <c r="X6340">
        <v>2</v>
      </c>
      <c r="Y6340" t="s">
        <v>27080</v>
      </c>
      <c r="Z6340" t="s">
        <v>34050</v>
      </c>
      <c r="AB6340" t="str">
        <f>HYPERLINK("Melting_Curves/meltCurve_Q9NWW6_NMRK1.pdf", "Melting_Curves/meltCurve_Q9NWW6_NMRK1.pdf")</f>
        <v>Melting_Curves/meltCurve_Q9NWW6_NMRK1.pdf</v>
      </c>
    </row>
    <row r="6341" spans="1:28" x14ac:dyDescent="0.25">
      <c r="A6341" t="s">
        <v>6345</v>
      </c>
      <c r="B6341">
        <v>0.99999676499088797</v>
      </c>
      <c r="C6341">
        <v>1.07520162872744</v>
      </c>
      <c r="D6341">
        <v>0.95960342098651097</v>
      </c>
      <c r="E6341">
        <v>0.66114219737491797</v>
      </c>
      <c r="F6341">
        <v>0.23692125792972199</v>
      </c>
      <c r="G6341">
        <v>0.16512827232251701</v>
      </c>
      <c r="H6341">
        <v>8.7493880050907996E-2</v>
      </c>
      <c r="I6341">
        <v>8.5726798545426905E-2</v>
      </c>
      <c r="J6341">
        <v>5.9208433820564198E-2</v>
      </c>
      <c r="K6341">
        <v>4.6764268592852702E-2</v>
      </c>
      <c r="L6341">
        <v>1477.5035739530999</v>
      </c>
      <c r="M6341">
        <v>29.231470959351501</v>
      </c>
      <c r="N6341">
        <v>50.836255077467399</v>
      </c>
      <c r="O6341">
        <v>50.310182105100303</v>
      </c>
      <c r="P6341">
        <v>-0.13405642315899099</v>
      </c>
      <c r="Q6341">
        <v>7.7110560743736095E-2</v>
      </c>
      <c r="R6341">
        <v>0.993645840353648</v>
      </c>
      <c r="S6341" t="s">
        <v>13344</v>
      </c>
      <c r="T6341" t="s">
        <v>14004</v>
      </c>
      <c r="U6341" t="s">
        <v>14004</v>
      </c>
      <c r="V6341" t="s">
        <v>14004</v>
      </c>
      <c r="W6341" t="s">
        <v>20288</v>
      </c>
      <c r="X6341">
        <v>3</v>
      </c>
      <c r="Y6341" t="s">
        <v>27081</v>
      </c>
      <c r="Z6341" t="s">
        <v>34051</v>
      </c>
      <c r="AA6341">
        <v>0.40757290976782412</v>
      </c>
      <c r="AB6341" t="str">
        <f>HYPERLINK("Melting_Curves/meltCurve_Q9NWX5_ASB6.pdf", "Melting_Curves/meltCurve_Q9NWX5_ASB6.pdf")</f>
        <v>Melting_Curves/meltCurve_Q9NWX5_ASB6.pdf</v>
      </c>
    </row>
    <row r="6342" spans="1:28" x14ac:dyDescent="0.25">
      <c r="A6342" t="s">
        <v>6346</v>
      </c>
      <c r="B6342">
        <v>0.99999676499088797</v>
      </c>
      <c r="C6342">
        <v>0.94784845597482004</v>
      </c>
      <c r="D6342">
        <v>0.96527593843057602</v>
      </c>
      <c r="E6342">
        <v>0.97299517816846504</v>
      </c>
      <c r="F6342">
        <v>0.93959200773156304</v>
      </c>
      <c r="G6342">
        <v>0.68845632735979501</v>
      </c>
      <c r="H6342">
        <v>0.28113300109078199</v>
      </c>
      <c r="I6342">
        <v>0.16066897365340399</v>
      </c>
      <c r="J6342">
        <v>0.14155728977790499</v>
      </c>
      <c r="K6342">
        <v>0.117069054115016</v>
      </c>
      <c r="L6342">
        <v>1758.32918308646</v>
      </c>
      <c r="M6342">
        <v>30.372568902562598</v>
      </c>
      <c r="N6342">
        <v>58.408398464584799</v>
      </c>
      <c r="O6342">
        <v>57.642791170211403</v>
      </c>
      <c r="P6342">
        <v>-0.116217949902757</v>
      </c>
      <c r="Q6342">
        <v>0.117745328480771</v>
      </c>
      <c r="R6342">
        <v>0.99676909209390796</v>
      </c>
      <c r="S6342" t="s">
        <v>13345</v>
      </c>
      <c r="T6342" t="s">
        <v>14004</v>
      </c>
      <c r="U6342" t="s">
        <v>14004</v>
      </c>
      <c r="V6342" t="s">
        <v>14004</v>
      </c>
      <c r="W6342" t="s">
        <v>20289</v>
      </c>
      <c r="X6342">
        <v>4</v>
      </c>
      <c r="Y6342" t="s">
        <v>27082</v>
      </c>
      <c r="Z6342" t="s">
        <v>34052</v>
      </c>
      <c r="AA6342">
        <v>0.64962197219370998</v>
      </c>
      <c r="AB6342" t="str">
        <f>HYPERLINK("Melting_Curves/meltCurve_Q9NWX6_THG1L.pdf", "Melting_Curves/meltCurve_Q9NWX6_THG1L.pdf")</f>
        <v>Melting_Curves/meltCurve_Q9NWX6_THG1L.pdf</v>
      </c>
    </row>
    <row r="6343" spans="1:28" x14ac:dyDescent="0.25">
      <c r="A6343" t="s">
        <v>6347</v>
      </c>
      <c r="B6343">
        <v>0.99999676499088797</v>
      </c>
      <c r="C6343">
        <v>0.85869630579428302</v>
      </c>
      <c r="D6343">
        <v>0.56185090813486105</v>
      </c>
      <c r="E6343">
        <v>0.37712116293335501</v>
      </c>
      <c r="F6343">
        <v>0.31457785465156601</v>
      </c>
      <c r="G6343">
        <v>0.19676926628571201</v>
      </c>
      <c r="H6343">
        <v>7.8961646643705599E-2</v>
      </c>
      <c r="I6343">
        <v>5.9690440021399602E-2</v>
      </c>
      <c r="J6343">
        <v>6.9668034907912305E-2</v>
      </c>
      <c r="K6343">
        <v>6.3629507267404004E-2</v>
      </c>
      <c r="L6343">
        <v>627.44549593516103</v>
      </c>
      <c r="M6343">
        <v>13.1786957233341</v>
      </c>
      <c r="N6343">
        <v>48.032898078911998</v>
      </c>
      <c r="O6343">
        <v>46.554379518035603</v>
      </c>
      <c r="P6343">
        <v>-6.6910118537226601E-2</v>
      </c>
      <c r="Q6343">
        <v>5.47054614051126E-2</v>
      </c>
      <c r="R6343">
        <v>0.98050841077407902</v>
      </c>
      <c r="S6343" t="s">
        <v>13346</v>
      </c>
      <c r="T6343" t="s">
        <v>14004</v>
      </c>
      <c r="U6343" t="s">
        <v>14004</v>
      </c>
      <c r="V6343" t="s">
        <v>14004</v>
      </c>
      <c r="W6343" t="s">
        <v>20290</v>
      </c>
      <c r="X6343">
        <v>14</v>
      </c>
      <c r="Y6343" t="s">
        <v>27083</v>
      </c>
      <c r="Z6343" t="s">
        <v>34053</v>
      </c>
      <c r="AA6343">
        <v>0.32646186380597858</v>
      </c>
      <c r="AB6343" t="str">
        <f>HYPERLINK("Melting_Curves/meltCurve_Q9NWY4_C4orf27.pdf", "Melting_Curves/meltCurve_Q9NWY4_C4orf27.pdf")</f>
        <v>Melting_Curves/meltCurve_Q9NWY4_C4orf27.pdf</v>
      </c>
    </row>
    <row r="6344" spans="1:28" x14ac:dyDescent="0.25">
      <c r="A6344" t="s">
        <v>6348</v>
      </c>
      <c r="B6344">
        <v>0.99999676499088797</v>
      </c>
      <c r="C6344">
        <v>1.00872524034054</v>
      </c>
      <c r="D6344">
        <v>0.93089565853877998</v>
      </c>
      <c r="E6344">
        <v>0.50410750295447404</v>
      </c>
      <c r="F6344">
        <v>0.33454599124057199</v>
      </c>
      <c r="G6344">
        <v>0.29723529564763701</v>
      </c>
      <c r="H6344">
        <v>0.107749452761064</v>
      </c>
      <c r="I6344">
        <v>9.6824976692538603E-2</v>
      </c>
      <c r="J6344">
        <v>9.9575003341558499E-2</v>
      </c>
      <c r="K6344">
        <v>8.68084646232722E-2</v>
      </c>
      <c r="L6344">
        <v>954.948045247707</v>
      </c>
      <c r="M6344">
        <v>19.0841512040721</v>
      </c>
      <c r="N6344">
        <v>50.663814602425497</v>
      </c>
      <c r="O6344">
        <v>49.499099481661297</v>
      </c>
      <c r="P6344">
        <v>-8.6280313583170995E-2</v>
      </c>
      <c r="Q6344">
        <v>0.104884616402286</v>
      </c>
      <c r="R6344">
        <v>0.97945198686853197</v>
      </c>
      <c r="S6344" t="s">
        <v>13347</v>
      </c>
      <c r="T6344" t="s">
        <v>14004</v>
      </c>
      <c r="U6344" t="s">
        <v>14004</v>
      </c>
      <c r="V6344" t="s">
        <v>14004</v>
      </c>
      <c r="W6344" t="s">
        <v>20291</v>
      </c>
      <c r="X6344">
        <v>10</v>
      </c>
      <c r="Y6344" t="s">
        <v>27084</v>
      </c>
      <c r="Z6344" t="s">
        <v>34054</v>
      </c>
      <c r="AA6344">
        <v>0.41805780110930951</v>
      </c>
      <c r="AB6344" t="str">
        <f>HYPERLINK("Melting_Curves/meltCurve_Q9NWZ3_IRAK4.pdf", "Melting_Curves/meltCurve_Q9NWZ3_IRAK4.pdf")</f>
        <v>Melting_Curves/meltCurve_Q9NWZ3_IRAK4.pdf</v>
      </c>
    </row>
    <row r="6345" spans="1:28" x14ac:dyDescent="0.25">
      <c r="A6345" t="s">
        <v>6349</v>
      </c>
      <c r="B6345">
        <v>0.99999676499088797</v>
      </c>
      <c r="C6345">
        <v>0.93265309094153603</v>
      </c>
      <c r="D6345">
        <v>0.89593263533808398</v>
      </c>
      <c r="E6345">
        <v>0.93094483477197898</v>
      </c>
      <c r="F6345">
        <v>0.802741176607627</v>
      </c>
      <c r="G6345">
        <v>0.55252925828961597</v>
      </c>
      <c r="H6345">
        <v>0.24584517387909499</v>
      </c>
      <c r="I6345">
        <v>0.21591440283489</v>
      </c>
      <c r="J6345">
        <v>0.231569990742439</v>
      </c>
      <c r="K6345">
        <v>0.210123046948855</v>
      </c>
      <c r="L6345">
        <v>1263.9784858451901</v>
      </c>
      <c r="M6345">
        <v>22.6256655018543</v>
      </c>
      <c r="N6345">
        <v>57.044451325932698</v>
      </c>
      <c r="O6345">
        <v>55.433898497359699</v>
      </c>
      <c r="P6345">
        <v>-8.2975959632895904E-2</v>
      </c>
      <c r="Q6345">
        <v>0.186836906365032</v>
      </c>
      <c r="R6345">
        <v>0.98163771073657002</v>
      </c>
      <c r="S6345" t="s">
        <v>13348</v>
      </c>
      <c r="T6345" t="s">
        <v>14004</v>
      </c>
      <c r="U6345" t="s">
        <v>14004</v>
      </c>
      <c r="V6345" t="s">
        <v>14004</v>
      </c>
      <c r="W6345" t="s">
        <v>20292</v>
      </c>
      <c r="X6345">
        <v>4</v>
      </c>
      <c r="Y6345" t="s">
        <v>27085</v>
      </c>
      <c r="Z6345" t="s">
        <v>34055</v>
      </c>
      <c r="AA6345">
        <v>0.62564490533524542</v>
      </c>
      <c r="AB6345" t="str">
        <f>HYPERLINK("Melting_Curves/meltCurve_Q9NWZ5_UCKL1.pdf", "Melting_Curves/meltCurve_Q9NWZ5_UCKL1.pdf")</f>
        <v>Melting_Curves/meltCurve_Q9NWZ5_UCKL1.pdf</v>
      </c>
    </row>
    <row r="6346" spans="1:28" x14ac:dyDescent="0.25">
      <c r="A6346" t="s">
        <v>6350</v>
      </c>
      <c r="B6346">
        <v>0.99999676499088797</v>
      </c>
      <c r="C6346">
        <v>1.3308863721539801</v>
      </c>
      <c r="D6346">
        <v>1.2995842349275699</v>
      </c>
      <c r="E6346">
        <v>1.05276776116742</v>
      </c>
      <c r="F6346">
        <v>0.96270867366122503</v>
      </c>
      <c r="G6346">
        <v>0.63473590393261903</v>
      </c>
      <c r="H6346">
        <v>0.45135296378472001</v>
      </c>
      <c r="I6346">
        <v>1.14043492886411</v>
      </c>
      <c r="J6346">
        <v>1.0182795157351301</v>
      </c>
      <c r="K6346">
        <v>1.44183008696535</v>
      </c>
      <c r="L6346">
        <v>8515.3562576035401</v>
      </c>
      <c r="M6346">
        <v>123.672908873209</v>
      </c>
      <c r="O6346">
        <v>68.835853893839101</v>
      </c>
      <c r="P6346">
        <v>0.22457938895555599</v>
      </c>
      <c r="Q6346">
        <v>1.5</v>
      </c>
      <c r="R6346">
        <v>0.21910579115870099</v>
      </c>
      <c r="S6346" t="s">
        <v>13349</v>
      </c>
      <c r="T6346" t="s">
        <v>14004</v>
      </c>
      <c r="U6346" t="s">
        <v>14004</v>
      </c>
      <c r="V6346" t="s">
        <v>14004</v>
      </c>
      <c r="W6346" t="s">
        <v>20293</v>
      </c>
      <c r="X6346">
        <v>1</v>
      </c>
      <c r="Y6346" t="s">
        <v>27086</v>
      </c>
      <c r="Z6346" t="s">
        <v>34056</v>
      </c>
      <c r="AA6346">
        <v>1.0200651618254979</v>
      </c>
      <c r="AB6346" t="str">
        <f>HYPERLINK("Melting_Curves/meltCurve_Q9NWZ8_GEMIN8.pdf", "Melting_Curves/meltCurve_Q9NWZ8_GEMIN8.pdf")</f>
        <v>Melting_Curves/meltCurve_Q9NWZ8_GEMIN8.pdf</v>
      </c>
    </row>
    <row r="6347" spans="1:28" x14ac:dyDescent="0.25">
      <c r="A6347" t="s">
        <v>6351</v>
      </c>
      <c r="B6347">
        <v>0.99999676499088797</v>
      </c>
      <c r="C6347">
        <v>1.01650749577059</v>
      </c>
      <c r="D6347">
        <v>1.09547431789804</v>
      </c>
      <c r="E6347">
        <v>0.95471890937012105</v>
      </c>
      <c r="F6347">
        <v>0.87947444354316595</v>
      </c>
      <c r="G6347">
        <v>0.88372060695893795</v>
      </c>
      <c r="H6347">
        <v>0.60253499343445904</v>
      </c>
      <c r="I6347">
        <v>0.58995574605731804</v>
      </c>
      <c r="J6347">
        <v>0.55398105240013196</v>
      </c>
      <c r="K6347">
        <v>0.53984889331019204</v>
      </c>
      <c r="L6347">
        <v>1245.2137436043299</v>
      </c>
      <c r="M6347">
        <v>21.451416885192302</v>
      </c>
      <c r="O6347">
        <v>57.550691781243302</v>
      </c>
      <c r="P6347">
        <v>-4.4466606340109502E-2</v>
      </c>
      <c r="Q6347">
        <v>0.52282483892805798</v>
      </c>
      <c r="R6347">
        <v>0.948030878300959</v>
      </c>
      <c r="S6347" t="s">
        <v>13350</v>
      </c>
      <c r="T6347" t="s">
        <v>14004</v>
      </c>
      <c r="U6347" t="s">
        <v>14004</v>
      </c>
      <c r="V6347" t="s">
        <v>14004</v>
      </c>
      <c r="W6347" t="s">
        <v>20294</v>
      </c>
      <c r="X6347">
        <v>3</v>
      </c>
      <c r="Y6347" t="s">
        <v>27087</v>
      </c>
      <c r="Z6347" t="s">
        <v>34057</v>
      </c>
      <c r="AA6347">
        <v>0.81490501272684834</v>
      </c>
      <c r="AB6347" t="str">
        <f>HYPERLINK("Melting_Curves/meltCurve_Q9NX00_TMEM160.pdf", "Melting_Curves/meltCurve_Q9NX00_TMEM160.pdf")</f>
        <v>Melting_Curves/meltCurve_Q9NX00_TMEM160.pdf</v>
      </c>
    </row>
    <row r="6348" spans="1:28" x14ac:dyDescent="0.25">
      <c r="A6348" t="s">
        <v>6352</v>
      </c>
      <c r="B6348">
        <v>0.99999676499088797</v>
      </c>
      <c r="C6348">
        <v>0.93219417001750304</v>
      </c>
      <c r="D6348">
        <v>0.88418130509555803</v>
      </c>
      <c r="E6348">
        <v>0.65225083344861401</v>
      </c>
      <c r="F6348">
        <v>0.23671628831910599</v>
      </c>
      <c r="G6348">
        <v>0.18139131404841199</v>
      </c>
      <c r="H6348">
        <v>8.6520152339856396E-2</v>
      </c>
      <c r="I6348">
        <v>7.5700819712023207E-2</v>
      </c>
      <c r="J6348">
        <v>7.6820716190149102E-2</v>
      </c>
      <c r="K6348">
        <v>5.2034000106595299E-2</v>
      </c>
      <c r="L6348">
        <v>1114.19535381984</v>
      </c>
      <c r="M6348">
        <v>22.1086876851329</v>
      </c>
      <c r="N6348">
        <v>50.727261323649799</v>
      </c>
      <c r="O6348">
        <v>49.989393513132903</v>
      </c>
      <c r="P6348">
        <v>-0.103142608222364</v>
      </c>
      <c r="Q6348">
        <v>6.7167878142381995E-2</v>
      </c>
      <c r="R6348">
        <v>0.99385747315790995</v>
      </c>
      <c r="S6348" t="s">
        <v>13351</v>
      </c>
      <c r="T6348" t="s">
        <v>14004</v>
      </c>
      <c r="U6348" t="s">
        <v>14004</v>
      </c>
      <c r="V6348" t="s">
        <v>14004</v>
      </c>
      <c r="W6348" t="s">
        <v>20295</v>
      </c>
      <c r="X6348">
        <v>3</v>
      </c>
      <c r="Y6348" t="s">
        <v>27088</v>
      </c>
      <c r="Z6348" t="s">
        <v>34058</v>
      </c>
      <c r="AA6348">
        <v>0.40110997773719242</v>
      </c>
      <c r="AB6348" t="str">
        <f>HYPERLINK("Melting_Curves/meltCurve_Q9NX01_TXNL4B.pdf", "Melting_Curves/meltCurve_Q9NX01_TXNL4B.pdf")</f>
        <v>Melting_Curves/meltCurve_Q9NX01_TXNL4B.pdf</v>
      </c>
    </row>
    <row r="6349" spans="1:28" x14ac:dyDescent="0.25">
      <c r="A6349" t="s">
        <v>6353</v>
      </c>
      <c r="B6349">
        <v>0.99999676499088797</v>
      </c>
      <c r="C6349">
        <v>1.35176600578704</v>
      </c>
      <c r="D6349">
        <v>1.34253953914743</v>
      </c>
      <c r="E6349">
        <v>1.37774885032961</v>
      </c>
      <c r="F6349">
        <v>1.3562561982269099</v>
      </c>
      <c r="G6349">
        <v>1.36387620347283</v>
      </c>
      <c r="H6349">
        <v>0.34517598228701601</v>
      </c>
      <c r="I6349">
        <v>0.15855756252580699</v>
      </c>
      <c r="J6349">
        <v>0.17597463147214301</v>
      </c>
      <c r="K6349">
        <v>0.106848492422865</v>
      </c>
      <c r="L6349">
        <v>15000</v>
      </c>
      <c r="M6349">
        <v>247.90637387376501</v>
      </c>
      <c r="N6349">
        <v>60.591887275431297</v>
      </c>
      <c r="O6349">
        <v>60.502773768245902</v>
      </c>
      <c r="P6349">
        <v>-0.87364912084514401</v>
      </c>
      <c r="Q6349">
        <v>0.14712645399191601</v>
      </c>
      <c r="R6349">
        <v>0.78862510140901099</v>
      </c>
      <c r="S6349" t="s">
        <v>13352</v>
      </c>
      <c r="T6349" t="s">
        <v>14004</v>
      </c>
      <c r="U6349" t="s">
        <v>14004</v>
      </c>
      <c r="V6349" t="s">
        <v>14004</v>
      </c>
      <c r="W6349" t="s">
        <v>20296</v>
      </c>
      <c r="X6349">
        <v>2</v>
      </c>
      <c r="Y6349" t="s">
        <v>27089</v>
      </c>
      <c r="Z6349" t="s">
        <v>34059</v>
      </c>
      <c r="AA6349">
        <v>0.73020634472024981</v>
      </c>
      <c r="AB6349" t="str">
        <f>HYPERLINK("Melting_Curves/meltCurve_Q9NX04_C1orf109.pdf", "Melting_Curves/meltCurve_Q9NX04_C1orf109.pdf")</f>
        <v>Melting_Curves/meltCurve_Q9NX04_C1orf109.pdf</v>
      </c>
    </row>
    <row r="6350" spans="1:28" x14ac:dyDescent="0.25">
      <c r="A6350" t="s">
        <v>6354</v>
      </c>
      <c r="B6350">
        <v>0.99999676499088797</v>
      </c>
      <c r="C6350">
        <v>0.89681876850442399</v>
      </c>
      <c r="D6350">
        <v>0.38007762080323998</v>
      </c>
      <c r="E6350">
        <v>0.17448877794984899</v>
      </c>
      <c r="F6350">
        <v>0.114975347483793</v>
      </c>
      <c r="G6350">
        <v>7.3526547205713499E-2</v>
      </c>
      <c r="H6350">
        <v>5.3829033698635897E-2</v>
      </c>
      <c r="I6350">
        <v>6.2895969892669296E-2</v>
      </c>
      <c r="J6350">
        <v>2.7136005012376299E-2</v>
      </c>
      <c r="K6350">
        <v>3.4110695307056897E-2</v>
      </c>
      <c r="L6350">
        <v>1514.5243832869901</v>
      </c>
      <c r="M6350">
        <v>33.477180461515204</v>
      </c>
      <c r="N6350">
        <v>45.436021857082302</v>
      </c>
      <c r="O6350">
        <v>45.079990317827502</v>
      </c>
      <c r="P6350">
        <v>-0.17320013651067501</v>
      </c>
      <c r="Q6350">
        <v>6.7086708799273503E-2</v>
      </c>
      <c r="R6350">
        <v>0.99181986919075005</v>
      </c>
      <c r="S6350" t="s">
        <v>13353</v>
      </c>
      <c r="T6350" t="s">
        <v>14004</v>
      </c>
      <c r="U6350" t="s">
        <v>14004</v>
      </c>
      <c r="V6350" t="s">
        <v>14004</v>
      </c>
      <c r="W6350" t="s">
        <v>20297</v>
      </c>
      <c r="X6350">
        <v>4</v>
      </c>
      <c r="Y6350" t="s">
        <v>27090</v>
      </c>
      <c r="Z6350" t="s">
        <v>34060</v>
      </c>
      <c r="AA6350">
        <v>0.2346190505455687</v>
      </c>
      <c r="AB6350" t="str">
        <f>HYPERLINK("Melting_Curves/meltCurve_Q9NX07_TRNAU1AP.pdf", "Melting_Curves/meltCurve_Q9NX07_TRNAU1AP.pdf")</f>
        <v>Melting_Curves/meltCurve_Q9NX07_TRNAU1AP.pdf</v>
      </c>
    </row>
    <row r="6351" spans="1:28" x14ac:dyDescent="0.25">
      <c r="A6351" t="s">
        <v>6355</v>
      </c>
      <c r="B6351">
        <v>0.99999676499088797</v>
      </c>
      <c r="C6351">
        <v>0.97171276613177204</v>
      </c>
      <c r="D6351">
        <v>0.87254558445564301</v>
      </c>
      <c r="E6351">
        <v>0.66276867023102903</v>
      </c>
      <c r="F6351">
        <v>0.33857021482952399</v>
      </c>
      <c r="G6351">
        <v>0.16984506439104599</v>
      </c>
      <c r="H6351">
        <v>8.2540337187962901E-2</v>
      </c>
      <c r="I6351">
        <v>7.2821090455565299E-2</v>
      </c>
      <c r="J6351">
        <v>5.7134236452510201E-2</v>
      </c>
      <c r="K6351">
        <v>5.3337663364049298E-2</v>
      </c>
      <c r="L6351">
        <v>955.92023376543796</v>
      </c>
      <c r="M6351">
        <v>18.741367905542099</v>
      </c>
      <c r="N6351">
        <v>51.268992502923901</v>
      </c>
      <c r="O6351">
        <v>50.435816549358698</v>
      </c>
      <c r="P6351">
        <v>-8.8641733419983507E-2</v>
      </c>
      <c r="Q6351">
        <v>4.58476609684111E-2</v>
      </c>
      <c r="R6351">
        <v>0.99947301057527504</v>
      </c>
      <c r="S6351" t="s">
        <v>13354</v>
      </c>
      <c r="T6351" t="s">
        <v>14004</v>
      </c>
      <c r="U6351" t="s">
        <v>14004</v>
      </c>
      <c r="V6351" t="s">
        <v>14004</v>
      </c>
      <c r="W6351" t="s">
        <v>20298</v>
      </c>
      <c r="X6351">
        <v>6</v>
      </c>
      <c r="Y6351" t="s">
        <v>27091</v>
      </c>
      <c r="Z6351" t="s">
        <v>34061</v>
      </c>
      <c r="AA6351">
        <v>0.41082988794348241</v>
      </c>
      <c r="AB6351" t="str">
        <f>HYPERLINK("Melting_Curves/meltCurve_Q9NX08_COMMD8.pdf", "Melting_Curves/meltCurve_Q9NX08_COMMD8.pdf")</f>
        <v>Melting_Curves/meltCurve_Q9NX08_COMMD8.pdf</v>
      </c>
    </row>
    <row r="6352" spans="1:28" x14ac:dyDescent="0.25">
      <c r="A6352" t="s">
        <v>6356</v>
      </c>
      <c r="B6352">
        <v>0.99999676499088797</v>
      </c>
      <c r="C6352">
        <v>1.09054846125007</v>
      </c>
      <c r="D6352">
        <v>1.1323163383647299</v>
      </c>
      <c r="E6352">
        <v>1.08075217719438</v>
      </c>
      <c r="F6352">
        <v>1.0620359927183001</v>
      </c>
      <c r="G6352">
        <v>1.0263555981338901</v>
      </c>
      <c r="H6352">
        <v>0.83500942168454595</v>
      </c>
      <c r="I6352">
        <v>1.0346869631906599</v>
      </c>
      <c r="J6352">
        <v>0.93264610663557101</v>
      </c>
      <c r="K6352">
        <v>1.1531061073720901</v>
      </c>
      <c r="L6352">
        <v>418.058635253467</v>
      </c>
      <c r="M6352">
        <v>29.921824092766201</v>
      </c>
      <c r="Q6352">
        <v>1.0347453896247001</v>
      </c>
      <c r="R6352">
        <v>-5.9205307323395599E-11</v>
      </c>
      <c r="S6352" t="s">
        <v>13355</v>
      </c>
      <c r="T6352" t="s">
        <v>14004</v>
      </c>
      <c r="U6352" t="s">
        <v>14004</v>
      </c>
      <c r="V6352" t="s">
        <v>14004</v>
      </c>
      <c r="W6352" t="s">
        <v>20299</v>
      </c>
      <c r="X6352">
        <v>4</v>
      </c>
      <c r="Y6352" t="s">
        <v>27092</v>
      </c>
      <c r="Z6352" t="s">
        <v>34062</v>
      </c>
      <c r="AA6352">
        <v>1.0347453896055441</v>
      </c>
      <c r="AB6352" t="str">
        <f>HYPERLINK("Melting_Curves/meltCurve_Q9NX14_2_NDUFB11.pdf", "Melting_Curves/meltCurve_Q9NX14_2_NDUFB11.pdf")</f>
        <v>Melting_Curves/meltCurve_Q9NX14_2_NDUFB11.pdf</v>
      </c>
    </row>
    <row r="6353" spans="1:28" x14ac:dyDescent="0.25">
      <c r="A6353" t="s">
        <v>6357</v>
      </c>
      <c r="B6353">
        <v>0.99999676499088797</v>
      </c>
      <c r="C6353">
        <v>0.87580985503803299</v>
      </c>
      <c r="D6353">
        <v>0.83958700912416795</v>
      </c>
      <c r="E6353">
        <v>0.76278797350312599</v>
      </c>
      <c r="F6353">
        <v>0.66415990211569997</v>
      </c>
      <c r="G6353">
        <v>0.30221428381745102</v>
      </c>
      <c r="H6353">
        <v>9.8051087706889806E-2</v>
      </c>
      <c r="I6353">
        <v>6.67531615979952E-2</v>
      </c>
      <c r="J6353">
        <v>4.7818699656324702E-2</v>
      </c>
      <c r="K6353">
        <v>5.3082249193070599E-2</v>
      </c>
      <c r="L6353">
        <v>787.83490202379596</v>
      </c>
      <c r="M6353">
        <v>14.596769156403299</v>
      </c>
      <c r="N6353">
        <v>53.973238928945001</v>
      </c>
      <c r="O6353">
        <v>52.990572840085001</v>
      </c>
      <c r="P6353">
        <v>-6.8872674427999298E-2</v>
      </c>
      <c r="Q6353">
        <v>0</v>
      </c>
      <c r="R6353">
        <v>0.97369746378900202</v>
      </c>
      <c r="S6353" t="s">
        <v>13356</v>
      </c>
      <c r="T6353" t="s">
        <v>14004</v>
      </c>
      <c r="U6353" t="s">
        <v>14004</v>
      </c>
      <c r="V6353" t="s">
        <v>14004</v>
      </c>
      <c r="W6353" t="s">
        <v>20300</v>
      </c>
      <c r="X6353">
        <v>2</v>
      </c>
      <c r="Y6353" t="s">
        <v>27093</v>
      </c>
      <c r="Z6353" t="s">
        <v>34063</v>
      </c>
      <c r="AA6353">
        <v>0.48701906945844142</v>
      </c>
      <c r="AB6353" t="str">
        <f>HYPERLINK("Melting_Curves/meltCurve_Q9NX20_MRPL16.pdf", "Melting_Curves/meltCurve_Q9NX20_MRPL16.pdf")</f>
        <v>Melting_Curves/meltCurve_Q9NX20_MRPL16.pdf</v>
      </c>
    </row>
    <row r="6354" spans="1:28" x14ac:dyDescent="0.25">
      <c r="A6354" t="s">
        <v>6358</v>
      </c>
      <c r="B6354">
        <v>0.99999676499088797</v>
      </c>
      <c r="C6354">
        <v>1.0400019799820901</v>
      </c>
      <c r="D6354">
        <v>0.99174375541139004</v>
      </c>
      <c r="E6354">
        <v>1.0497089372672099</v>
      </c>
      <c r="F6354">
        <v>1.0327408210098901</v>
      </c>
      <c r="G6354">
        <v>1.0941815660198699</v>
      </c>
      <c r="H6354">
        <v>0.89751893518340997</v>
      </c>
      <c r="I6354">
        <v>0.75599271398258205</v>
      </c>
      <c r="J6354">
        <v>0.662428892281272</v>
      </c>
      <c r="K6354">
        <v>0.88021728248489794</v>
      </c>
      <c r="L6354">
        <v>15000</v>
      </c>
      <c r="M6354">
        <v>246.462675071452</v>
      </c>
      <c r="O6354">
        <v>60.857135324069397</v>
      </c>
      <c r="P6354">
        <v>-0.23670138886626599</v>
      </c>
      <c r="Q6354">
        <v>0.76621257698907197</v>
      </c>
      <c r="R6354">
        <v>0.78553076721209802</v>
      </c>
      <c r="S6354" t="s">
        <v>13357</v>
      </c>
      <c r="T6354" t="s">
        <v>14004</v>
      </c>
      <c r="U6354" t="s">
        <v>14004</v>
      </c>
      <c r="V6354" t="s">
        <v>14004</v>
      </c>
      <c r="W6354" t="s">
        <v>20301</v>
      </c>
      <c r="X6354">
        <v>6</v>
      </c>
      <c r="Y6354" t="s">
        <v>27094</v>
      </c>
      <c r="Z6354" t="s">
        <v>34064</v>
      </c>
      <c r="AA6354">
        <v>0.92880736190254753</v>
      </c>
      <c r="AB6354" t="str">
        <f>HYPERLINK("Melting_Curves/meltCurve_Q9NX24_NHP2.pdf", "Melting_Curves/meltCurve_Q9NX24_NHP2.pdf")</f>
        <v>Melting_Curves/meltCurve_Q9NX24_NHP2.pdf</v>
      </c>
    </row>
    <row r="6355" spans="1:28" x14ac:dyDescent="0.25">
      <c r="A6355" t="s">
        <v>6359</v>
      </c>
      <c r="B6355">
        <v>0.99999676499088797</v>
      </c>
      <c r="C6355">
        <v>1.0102334080759101</v>
      </c>
      <c r="D6355">
        <v>0.84501302542288304</v>
      </c>
      <c r="E6355">
        <v>0.51726823325006799</v>
      </c>
      <c r="F6355">
        <v>0.47042936016684</v>
      </c>
      <c r="G6355">
        <v>0.323341422804929</v>
      </c>
      <c r="H6355">
        <v>0.117241319285471</v>
      </c>
      <c r="I6355">
        <v>9.2076876628329196E-2</v>
      </c>
      <c r="J6355">
        <v>7.1475940787091505E-2</v>
      </c>
      <c r="K6355">
        <v>5.7561302768456203E-2</v>
      </c>
      <c r="L6355">
        <v>639.51088437756596</v>
      </c>
      <c r="M6355">
        <v>12.378176874173301</v>
      </c>
      <c r="N6355">
        <v>51.835904149136901</v>
      </c>
      <c r="O6355">
        <v>50.371494184388503</v>
      </c>
      <c r="P6355">
        <v>-6.0214580341365197E-2</v>
      </c>
      <c r="Q6355">
        <v>2.00653711679432E-2</v>
      </c>
      <c r="R6355">
        <v>0.97833110973783999</v>
      </c>
      <c r="S6355" t="s">
        <v>13358</v>
      </c>
      <c r="T6355" t="s">
        <v>14004</v>
      </c>
      <c r="U6355" t="s">
        <v>14004</v>
      </c>
      <c r="V6355" t="s">
        <v>14004</v>
      </c>
      <c r="W6355" t="s">
        <v>20302</v>
      </c>
      <c r="X6355">
        <v>3</v>
      </c>
      <c r="Y6355" t="s">
        <v>27095</v>
      </c>
      <c r="Z6355" t="s">
        <v>34065</v>
      </c>
      <c r="AA6355">
        <v>0.43047589880152598</v>
      </c>
      <c r="AB6355" t="str">
        <f>HYPERLINK("Melting_Curves/meltCurve_Q9NX38_FAM206A.pdf", "Melting_Curves/meltCurve_Q9NX38_FAM206A.pdf")</f>
        <v>Melting_Curves/meltCurve_Q9NX38_FAM206A.pdf</v>
      </c>
    </row>
    <row r="6356" spans="1:28" x14ac:dyDescent="0.25">
      <c r="A6356" t="s">
        <v>6360</v>
      </c>
      <c r="B6356">
        <v>0.99999676499088797</v>
      </c>
      <c r="C6356">
        <v>0.94578546448711198</v>
      </c>
      <c r="D6356">
        <v>0.94096088830248803</v>
      </c>
      <c r="E6356">
        <v>0.90548931312145498</v>
      </c>
      <c r="F6356">
        <v>0.72720038022203304</v>
      </c>
      <c r="G6356">
        <v>0.69506258099178797</v>
      </c>
      <c r="H6356">
        <v>0.59328427242043502</v>
      </c>
      <c r="I6356">
        <v>0.63812364317172898</v>
      </c>
      <c r="J6356">
        <v>0.59197100766615796</v>
      </c>
      <c r="K6356">
        <v>0.73569845403535095</v>
      </c>
      <c r="L6356">
        <v>1153.8708089905001</v>
      </c>
      <c r="M6356">
        <v>22.585926125236</v>
      </c>
      <c r="O6356">
        <v>50.692592763353701</v>
      </c>
      <c r="P6356">
        <v>-4.0138747443853699E-2</v>
      </c>
      <c r="Q6356">
        <v>0.63965224907707496</v>
      </c>
      <c r="R6356">
        <v>0.91092295915391197</v>
      </c>
      <c r="S6356" t="s">
        <v>13359</v>
      </c>
      <c r="T6356" t="s">
        <v>14004</v>
      </c>
      <c r="U6356" t="s">
        <v>14004</v>
      </c>
      <c r="V6356" t="s">
        <v>14004</v>
      </c>
      <c r="W6356" t="s">
        <v>20303</v>
      </c>
      <c r="X6356">
        <v>13</v>
      </c>
      <c r="Y6356" t="s">
        <v>27096</v>
      </c>
      <c r="Z6356" t="s">
        <v>34066</v>
      </c>
      <c r="AA6356">
        <v>0.77680793963719763</v>
      </c>
      <c r="AB6356" t="str">
        <f>HYPERLINK("Melting_Curves/meltCurve_Q9NX40_OCIAD1.pdf", "Melting_Curves/meltCurve_Q9NX40_OCIAD1.pdf")</f>
        <v>Melting_Curves/meltCurve_Q9NX40_OCIAD1.pdf</v>
      </c>
    </row>
    <row r="6357" spans="1:28" x14ac:dyDescent="0.25">
      <c r="A6357" t="s">
        <v>6361</v>
      </c>
      <c r="B6357">
        <v>0.99999676499088797</v>
      </c>
      <c r="C6357">
        <v>0.97647561331034005</v>
      </c>
      <c r="D6357">
        <v>0.97357970619451195</v>
      </c>
      <c r="E6357">
        <v>0.99424899980342796</v>
      </c>
      <c r="F6357">
        <v>0.83480008361896196</v>
      </c>
      <c r="G6357">
        <v>0.63372271949867398</v>
      </c>
      <c r="H6357">
        <v>0.21354751954363199</v>
      </c>
      <c r="I6357">
        <v>0.110725937835532</v>
      </c>
      <c r="J6357">
        <v>0.115806620448159</v>
      </c>
      <c r="K6357">
        <v>8.3046772179968198E-2</v>
      </c>
      <c r="L6357">
        <v>1455.89679459849</v>
      </c>
      <c r="M6357">
        <v>25.391232659220101</v>
      </c>
      <c r="N6357">
        <v>57.669802273292703</v>
      </c>
      <c r="O6357">
        <v>56.986461017794802</v>
      </c>
      <c r="P6357">
        <v>-0.103834567885113</v>
      </c>
      <c r="Q6357">
        <v>6.7853223938957305E-2</v>
      </c>
      <c r="R6357">
        <v>0.99484558845245896</v>
      </c>
      <c r="S6357" t="s">
        <v>13360</v>
      </c>
      <c r="T6357" t="s">
        <v>14004</v>
      </c>
      <c r="U6357" t="s">
        <v>14004</v>
      </c>
      <c r="V6357" t="s">
        <v>14004</v>
      </c>
      <c r="W6357" t="s">
        <v>20304</v>
      </c>
      <c r="X6357">
        <v>16</v>
      </c>
      <c r="Y6357" t="s">
        <v>27097</v>
      </c>
      <c r="Z6357" t="s">
        <v>34067</v>
      </c>
      <c r="AA6357">
        <v>0.61471280973964992</v>
      </c>
      <c r="AB6357" t="str">
        <f>HYPERLINK("Melting_Curves/meltCurve_Q9NX46_ADPRHL2.pdf", "Melting_Curves/meltCurve_Q9NX46_ADPRHL2.pdf")</f>
        <v>Melting_Curves/meltCurve_Q9NX46_ADPRHL2.pdf</v>
      </c>
    </row>
    <row r="6358" spans="1:28" x14ac:dyDescent="0.25">
      <c r="A6358" t="s">
        <v>6362</v>
      </c>
      <c r="B6358">
        <v>0.99999676499088797</v>
      </c>
      <c r="C6358">
        <v>1.1121251182738401</v>
      </c>
      <c r="D6358">
        <v>1.09322811099437</v>
      </c>
      <c r="E6358">
        <v>1.04125627201113</v>
      </c>
      <c r="F6358">
        <v>0.91592110107908697</v>
      </c>
      <c r="G6358">
        <v>0.763209684878286</v>
      </c>
      <c r="H6358">
        <v>0.471460150437567</v>
      </c>
      <c r="I6358">
        <v>0.28599229413987798</v>
      </c>
      <c r="J6358">
        <v>0.14311500923477499</v>
      </c>
      <c r="K6358">
        <v>8.9904823164412007E-2</v>
      </c>
      <c r="L6358">
        <v>1156.5349111293599</v>
      </c>
      <c r="M6358">
        <v>19.184635160655802</v>
      </c>
      <c r="N6358">
        <v>60.474759056300201</v>
      </c>
      <c r="O6358">
        <v>59.640887300246703</v>
      </c>
      <c r="P6358">
        <v>-7.8064454603571601E-2</v>
      </c>
      <c r="Q6358">
        <v>2.92951634993339E-2</v>
      </c>
      <c r="R6358">
        <v>0.98274926076747904</v>
      </c>
      <c r="S6358" t="s">
        <v>13361</v>
      </c>
      <c r="T6358" t="s">
        <v>14004</v>
      </c>
      <c r="U6358" t="s">
        <v>14004</v>
      </c>
      <c r="V6358" t="s">
        <v>14004</v>
      </c>
      <c r="W6358" t="s">
        <v>20305</v>
      </c>
      <c r="X6358">
        <v>5</v>
      </c>
      <c r="Y6358" t="s">
        <v>27098</v>
      </c>
      <c r="Z6358" t="s">
        <v>34068</v>
      </c>
      <c r="AA6358">
        <v>0.69312790527782842</v>
      </c>
      <c r="AB6358" t="str">
        <f>HYPERLINK("Melting_Curves/meltCurve_Q9NX47_MARCH5.pdf", "Melting_Curves/meltCurve_Q9NX47_MARCH5.pdf")</f>
        <v>Melting_Curves/meltCurve_Q9NX47_MARCH5.pdf</v>
      </c>
    </row>
    <row r="6359" spans="1:28" x14ac:dyDescent="0.25">
      <c r="A6359" t="s">
        <v>6363</v>
      </c>
      <c r="B6359">
        <v>0.99999676499088797</v>
      </c>
      <c r="C6359">
        <v>0.94876513459470502</v>
      </c>
      <c r="D6359">
        <v>0.98673172758170202</v>
      </c>
      <c r="E6359">
        <v>1.01954998619322</v>
      </c>
      <c r="F6359">
        <v>0.96331062556242997</v>
      </c>
      <c r="G6359">
        <v>0.65865307138007201</v>
      </c>
      <c r="H6359">
        <v>0.43195360035274799</v>
      </c>
      <c r="I6359">
        <v>0.392039765087842</v>
      </c>
      <c r="J6359">
        <v>0.36507529958267099</v>
      </c>
      <c r="K6359">
        <v>0.50454076155053496</v>
      </c>
      <c r="L6359">
        <v>2746.6176178006899</v>
      </c>
      <c r="M6359">
        <v>48.7244725175605</v>
      </c>
      <c r="N6359">
        <v>58.559595896359497</v>
      </c>
      <c r="O6359">
        <v>56.275681503814603</v>
      </c>
      <c r="P6359">
        <v>-0.12573617130991299</v>
      </c>
      <c r="Q6359">
        <v>0.41911063046618202</v>
      </c>
      <c r="R6359">
        <v>0.98000379777163604</v>
      </c>
      <c r="S6359" t="s">
        <v>13362</v>
      </c>
      <c r="T6359" t="s">
        <v>14004</v>
      </c>
      <c r="U6359" t="s">
        <v>14004</v>
      </c>
      <c r="V6359" t="s">
        <v>14004</v>
      </c>
      <c r="W6359" t="s">
        <v>15204</v>
      </c>
      <c r="X6359">
        <v>10</v>
      </c>
      <c r="Y6359" t="s">
        <v>22135</v>
      </c>
      <c r="Z6359" t="s">
        <v>34069</v>
      </c>
      <c r="AA6359">
        <v>0.73760888722748752</v>
      </c>
      <c r="AB6359" t="str">
        <f>HYPERLINK("Melting_Curves/meltCurve_Q9NX55_HYPK.pdf", "Melting_Curves/meltCurve_Q9NX55_HYPK.pdf")</f>
        <v>Melting_Curves/meltCurve_Q9NX55_HYPK.pdf</v>
      </c>
    </row>
    <row r="6360" spans="1:28" x14ac:dyDescent="0.25">
      <c r="A6360" t="s">
        <v>6364</v>
      </c>
      <c r="B6360">
        <v>0.99999676499088797</v>
      </c>
      <c r="C6360">
        <v>0.99689841815152402</v>
      </c>
      <c r="D6360">
        <v>0.93473947461551898</v>
      </c>
      <c r="E6360">
        <v>0.77504203125330295</v>
      </c>
      <c r="F6360">
        <v>0.40687940636380299</v>
      </c>
      <c r="G6360">
        <v>0.35054454094376902</v>
      </c>
      <c r="H6360">
        <v>0.174457884713625</v>
      </c>
      <c r="I6360">
        <v>0.165289086365947</v>
      </c>
      <c r="J6360">
        <v>0.19862132893720899</v>
      </c>
      <c r="K6360">
        <v>0.18082553049731701</v>
      </c>
      <c r="L6360">
        <v>1103.0057769262601</v>
      </c>
      <c r="M6360">
        <v>21.40028129017</v>
      </c>
      <c r="N6360">
        <v>52.6160523653569</v>
      </c>
      <c r="O6360">
        <v>51.097922719779604</v>
      </c>
      <c r="P6360">
        <v>-8.6171074169268197E-2</v>
      </c>
      <c r="Q6360">
        <v>0.17701024494186601</v>
      </c>
      <c r="R6360">
        <v>0.99126909114734396</v>
      </c>
      <c r="S6360" t="s">
        <v>13363</v>
      </c>
      <c r="T6360" t="s">
        <v>14004</v>
      </c>
      <c r="U6360" t="s">
        <v>14004</v>
      </c>
      <c r="V6360" t="s">
        <v>14004</v>
      </c>
      <c r="W6360" t="s">
        <v>20306</v>
      </c>
      <c r="X6360">
        <v>12</v>
      </c>
      <c r="Y6360" t="s">
        <v>27099</v>
      </c>
      <c r="Z6360" t="s">
        <v>34070</v>
      </c>
      <c r="AA6360">
        <v>0.50369711112051907</v>
      </c>
      <c r="AB6360" t="str">
        <f>HYPERLINK("Melting_Curves/meltCurve_Q9NX58_LYAR.pdf", "Melting_Curves/meltCurve_Q9NX58_LYAR.pdf")</f>
        <v>Melting_Curves/meltCurve_Q9NX58_LYAR.pdf</v>
      </c>
    </row>
    <row r="6361" spans="1:28" x14ac:dyDescent="0.25">
      <c r="A6361" t="s">
        <v>6365</v>
      </c>
      <c r="B6361">
        <v>0.99999676499088797</v>
      </c>
      <c r="C6361">
        <v>0.87205224567821205</v>
      </c>
      <c r="D6361">
        <v>0.90803764252418995</v>
      </c>
      <c r="E6361">
        <v>0.97799251000781096</v>
      </c>
      <c r="F6361">
        <v>1.0189787268186901</v>
      </c>
      <c r="G6361">
        <v>0.84198448093671097</v>
      </c>
      <c r="H6361">
        <v>0.54444575188716804</v>
      </c>
      <c r="I6361">
        <v>0.346508129365524</v>
      </c>
      <c r="J6361">
        <v>0.212067402321336</v>
      </c>
      <c r="K6361">
        <v>0.18139375522712201</v>
      </c>
      <c r="L6361">
        <v>1463.0611211647299</v>
      </c>
      <c r="M6361">
        <v>24.1762551389509</v>
      </c>
      <c r="N6361">
        <v>61.422258502503503</v>
      </c>
      <c r="O6361">
        <v>60.106972103632899</v>
      </c>
      <c r="P6361">
        <v>-8.5478169864234704E-2</v>
      </c>
      <c r="Q6361">
        <v>0.149950337546323</v>
      </c>
      <c r="R6361">
        <v>0.97246008513325299</v>
      </c>
      <c r="S6361" t="s">
        <v>13364</v>
      </c>
      <c r="T6361" t="s">
        <v>14004</v>
      </c>
      <c r="U6361" t="s">
        <v>14004</v>
      </c>
      <c r="V6361" t="s">
        <v>14004</v>
      </c>
      <c r="W6361" t="s">
        <v>20307</v>
      </c>
      <c r="X6361">
        <v>11</v>
      </c>
      <c r="Y6361" t="s">
        <v>27100</v>
      </c>
      <c r="Z6361" t="s">
        <v>34071</v>
      </c>
      <c r="AA6361">
        <v>0.73725410889118903</v>
      </c>
      <c r="AB6361" t="str">
        <f>HYPERLINK("Melting_Curves/meltCurve_Q9NX62_IMPAD1.pdf", "Melting_Curves/meltCurve_Q9NX62_IMPAD1.pdf")</f>
        <v>Melting_Curves/meltCurve_Q9NX62_IMPAD1.pdf</v>
      </c>
    </row>
    <row r="6362" spans="1:28" x14ac:dyDescent="0.25">
      <c r="A6362" t="s">
        <v>6366</v>
      </c>
      <c r="B6362">
        <v>0.99999676499088797</v>
      </c>
      <c r="C6362">
        <v>0.91948651441851703</v>
      </c>
      <c r="D6362">
        <v>0.84685764833668298</v>
      </c>
      <c r="E6362">
        <v>0.59400295204008102</v>
      </c>
      <c r="F6362">
        <v>0.44657205113297599</v>
      </c>
      <c r="G6362">
        <v>0.249700892426236</v>
      </c>
      <c r="H6362">
        <v>0.148759552798509</v>
      </c>
      <c r="I6362">
        <v>0.120045727360195</v>
      </c>
      <c r="J6362">
        <v>0.121550215540568</v>
      </c>
      <c r="K6362">
        <v>0.10625144903810201</v>
      </c>
      <c r="L6362">
        <v>700.53045444954898</v>
      </c>
      <c r="M6362">
        <v>13.741352180262799</v>
      </c>
      <c r="N6362">
        <v>51.605450317409201</v>
      </c>
      <c r="O6362">
        <v>49.9364382359608</v>
      </c>
      <c r="P6362">
        <v>-6.3524193775545607E-2</v>
      </c>
      <c r="Q6362">
        <v>7.6737009425533798E-2</v>
      </c>
      <c r="R6362">
        <v>0.99651928749347995</v>
      </c>
      <c r="S6362" t="s">
        <v>13365</v>
      </c>
      <c r="T6362" t="s">
        <v>14004</v>
      </c>
      <c r="U6362" t="s">
        <v>14004</v>
      </c>
      <c r="V6362" t="s">
        <v>14004</v>
      </c>
      <c r="W6362" t="s">
        <v>20308</v>
      </c>
      <c r="X6362">
        <v>7</v>
      </c>
      <c r="Y6362" t="s">
        <v>27101</v>
      </c>
      <c r="Z6362" t="s">
        <v>34072</v>
      </c>
      <c r="AA6362">
        <v>0.43923370557079722</v>
      </c>
      <c r="AB6362" t="str">
        <f>HYPERLINK("Melting_Curves/meltCurve_Q9NX70_MED29.pdf", "Melting_Curves/meltCurve_Q9NX70_MED29.pdf")</f>
        <v>Melting_Curves/meltCurve_Q9NX70_MED29.pdf</v>
      </c>
    </row>
    <row r="6363" spans="1:28" x14ac:dyDescent="0.25">
      <c r="A6363" t="s">
        <v>6367</v>
      </c>
      <c r="B6363">
        <v>0.99999676499088797</v>
      </c>
      <c r="C6363">
        <v>0.94824994575625898</v>
      </c>
      <c r="D6363">
        <v>0.81152003529933003</v>
      </c>
      <c r="E6363">
        <v>0.54095428105924004</v>
      </c>
      <c r="F6363">
        <v>0.22043664782726899</v>
      </c>
      <c r="G6363">
        <v>0.13264968144903599</v>
      </c>
      <c r="H6363">
        <v>6.8662409506862407E-2</v>
      </c>
      <c r="I6363">
        <v>5.9894253359184003E-2</v>
      </c>
      <c r="J6363">
        <v>5.4837493350201098E-2</v>
      </c>
      <c r="K6363">
        <v>4.7629412232695699E-2</v>
      </c>
      <c r="L6363">
        <v>958.37287404065</v>
      </c>
      <c r="M6363">
        <v>19.340864509600799</v>
      </c>
      <c r="N6363">
        <v>49.799547571694497</v>
      </c>
      <c r="O6363">
        <v>49.031094676817602</v>
      </c>
      <c r="P6363">
        <v>-9.4093978537641995E-2</v>
      </c>
      <c r="Q6363">
        <v>4.5883529051552102E-2</v>
      </c>
      <c r="R6363">
        <v>0.99884172733233001</v>
      </c>
      <c r="S6363" t="s">
        <v>13366</v>
      </c>
      <c r="T6363" t="s">
        <v>14004</v>
      </c>
      <c r="U6363" t="s">
        <v>14004</v>
      </c>
      <c r="V6363" t="s">
        <v>14004</v>
      </c>
      <c r="W6363" t="s">
        <v>20309</v>
      </c>
      <c r="X6363">
        <v>17</v>
      </c>
      <c r="Y6363" t="s">
        <v>27102</v>
      </c>
      <c r="Z6363" t="s">
        <v>34073</v>
      </c>
      <c r="AA6363">
        <v>0.36388906094950468</v>
      </c>
      <c r="AB6363" t="str">
        <f>HYPERLINK("Melting_Curves/meltCurve_Q9NX74_DUS2L.pdf", "Melting_Curves/meltCurve_Q9NX74_DUS2L.pdf")</f>
        <v>Melting_Curves/meltCurve_Q9NX74_DUS2L.pdf</v>
      </c>
    </row>
    <row r="6364" spans="1:28" x14ac:dyDescent="0.25">
      <c r="A6364" t="s">
        <v>6368</v>
      </c>
      <c r="B6364">
        <v>0.99999676499088797</v>
      </c>
      <c r="C6364">
        <v>1.02133904974012</v>
      </c>
      <c r="D6364">
        <v>0.95271545071193098</v>
      </c>
      <c r="E6364">
        <v>0.58102871586209404</v>
      </c>
      <c r="F6364">
        <v>0.33886469017549198</v>
      </c>
      <c r="G6364">
        <v>0.28858619816634501</v>
      </c>
      <c r="H6364">
        <v>0.14581894476583801</v>
      </c>
      <c r="I6364">
        <v>0.23313467324356299</v>
      </c>
      <c r="J6364">
        <v>0.19561015002295201</v>
      </c>
      <c r="K6364">
        <v>0.13244402187955401</v>
      </c>
      <c r="L6364">
        <v>1262.6159772492299</v>
      </c>
      <c r="M6364">
        <v>25.3477439940424</v>
      </c>
      <c r="N6364">
        <v>50.764985464478102</v>
      </c>
      <c r="O6364">
        <v>49.504848539959603</v>
      </c>
      <c r="P6364">
        <v>-0.10376913415676001</v>
      </c>
      <c r="Q6364">
        <v>0.18935443284963199</v>
      </c>
      <c r="R6364">
        <v>0.98673626006574899</v>
      </c>
      <c r="S6364" t="s">
        <v>13367</v>
      </c>
      <c r="T6364" t="s">
        <v>14004</v>
      </c>
      <c r="U6364" t="s">
        <v>14004</v>
      </c>
      <c r="V6364" t="s">
        <v>14004</v>
      </c>
      <c r="W6364" t="s">
        <v>20310</v>
      </c>
      <c r="X6364">
        <v>2</v>
      </c>
      <c r="Y6364" t="s">
        <v>27103</v>
      </c>
      <c r="Z6364" t="s">
        <v>34074</v>
      </c>
      <c r="AA6364">
        <v>0.46151613714802758</v>
      </c>
      <c r="AB6364" t="str">
        <f>HYPERLINK("Melting_Curves/meltCurve_Q9NX76_CMTM6.pdf", "Melting_Curves/meltCurve_Q9NX76_CMTM6.pdf")</f>
        <v>Melting_Curves/meltCurve_Q9NX76_CMTM6.pdf</v>
      </c>
    </row>
    <row r="6365" spans="1:28" x14ac:dyDescent="0.25">
      <c r="A6365" t="s">
        <v>6369</v>
      </c>
      <c r="B6365">
        <v>0.99999676499088797</v>
      </c>
      <c r="C6365">
        <v>1.0028098300694701</v>
      </c>
      <c r="D6365">
        <v>0.88713257704902704</v>
      </c>
      <c r="E6365">
        <v>0.77581147834293496</v>
      </c>
      <c r="F6365">
        <v>0.47352174325961799</v>
      </c>
      <c r="G6365">
        <v>0.46186305727650301</v>
      </c>
      <c r="H6365">
        <v>0.21795953461020501</v>
      </c>
      <c r="I6365">
        <v>0.30742405726529398</v>
      </c>
      <c r="J6365">
        <v>0.260486119640084</v>
      </c>
      <c r="K6365">
        <v>0.14501408039321201</v>
      </c>
      <c r="L6365">
        <v>757.98262581499296</v>
      </c>
      <c r="M6365">
        <v>14.5032383396615</v>
      </c>
      <c r="N6365">
        <v>54.060584316187303</v>
      </c>
      <c r="O6365">
        <v>51.299527029495003</v>
      </c>
      <c r="P6365">
        <v>-5.7164521582264802E-2</v>
      </c>
      <c r="Q6365">
        <v>0.19130477506958399</v>
      </c>
      <c r="R6365">
        <v>0.97235176167253201</v>
      </c>
      <c r="S6365" t="s">
        <v>13368</v>
      </c>
      <c r="T6365" t="s">
        <v>14004</v>
      </c>
      <c r="U6365" t="s">
        <v>14004</v>
      </c>
      <c r="V6365" t="s">
        <v>14004</v>
      </c>
      <c r="W6365" t="s">
        <v>20311</v>
      </c>
      <c r="X6365">
        <v>2</v>
      </c>
      <c r="Y6365" t="s">
        <v>27104</v>
      </c>
      <c r="Z6365" t="s">
        <v>34075</v>
      </c>
      <c r="AA6365">
        <v>0.54069544589291019</v>
      </c>
      <c r="AB6365" t="str">
        <f>HYPERLINK("Melting_Curves/meltCurve_Q9NX94_WBP1L.pdf", "Melting_Curves/meltCurve_Q9NX94_WBP1L.pdf")</f>
        <v>Melting_Curves/meltCurve_Q9NX94_WBP1L.pdf</v>
      </c>
    </row>
    <row r="6366" spans="1:28" x14ac:dyDescent="0.25">
      <c r="A6366" t="s">
        <v>6370</v>
      </c>
      <c r="B6366">
        <v>0.99999676499088797</v>
      </c>
      <c r="C6366">
        <v>1.0275360972785901</v>
      </c>
      <c r="D6366">
        <v>0.98139528153523503</v>
      </c>
      <c r="E6366">
        <v>0.66701162427518601</v>
      </c>
      <c r="F6366">
        <v>0.21833726174339799</v>
      </c>
      <c r="G6366">
        <v>0.128927292329865</v>
      </c>
      <c r="H6366">
        <v>6.7092973114495399E-2</v>
      </c>
      <c r="I6366">
        <v>5.7761642173371902E-2</v>
      </c>
      <c r="J6366">
        <v>6.4405992255823705E-2</v>
      </c>
      <c r="K6366">
        <v>4.8605737340265798E-2</v>
      </c>
      <c r="L6366">
        <v>1617.25882353667</v>
      </c>
      <c r="M6366">
        <v>31.992014661951799</v>
      </c>
      <c r="N6366">
        <v>50.775097978858597</v>
      </c>
      <c r="O6366">
        <v>50.355667263254297</v>
      </c>
      <c r="P6366">
        <v>-0.14841504359355001</v>
      </c>
      <c r="Q6366">
        <v>6.5579291163171599E-2</v>
      </c>
      <c r="R6366">
        <v>0.99822214726353498</v>
      </c>
      <c r="S6366" t="s">
        <v>13369</v>
      </c>
      <c r="T6366" t="s">
        <v>14004</v>
      </c>
      <c r="U6366" t="s">
        <v>14004</v>
      </c>
      <c r="V6366" t="s">
        <v>14004</v>
      </c>
      <c r="W6366" t="s">
        <v>20312</v>
      </c>
      <c r="X6366">
        <v>9</v>
      </c>
      <c r="Y6366" t="s">
        <v>27105</v>
      </c>
      <c r="Z6366" t="s">
        <v>34076</v>
      </c>
      <c r="AA6366">
        <v>0.39936851547626989</v>
      </c>
      <c r="AB6366" t="str">
        <f>HYPERLINK("Melting_Curves/meltCurve_Q9NXA8_SIRT5.pdf", "Melting_Curves/meltCurve_Q9NXA8_SIRT5.pdf")</f>
        <v>Melting_Curves/meltCurve_Q9NXA8_SIRT5.pdf</v>
      </c>
    </row>
    <row r="6367" spans="1:28" x14ac:dyDescent="0.25">
      <c r="A6367" t="s">
        <v>6371</v>
      </c>
      <c r="B6367">
        <v>0.99999676499088797</v>
      </c>
      <c r="C6367">
        <v>1.0292557118924299</v>
      </c>
      <c r="D6367">
        <v>1.0629383837440001</v>
      </c>
      <c r="E6367">
        <v>0.93072456431466</v>
      </c>
      <c r="F6367">
        <v>0.76131905417324597</v>
      </c>
      <c r="G6367">
        <v>0.33819255106999901</v>
      </c>
      <c r="H6367">
        <v>0.15157434075947099</v>
      </c>
      <c r="I6367">
        <v>0.132657652065679</v>
      </c>
      <c r="J6367">
        <v>0.17718264314462001</v>
      </c>
      <c r="K6367">
        <v>0.14519278513952999</v>
      </c>
      <c r="L6367">
        <v>1796.7609255136099</v>
      </c>
      <c r="M6367">
        <v>32.865818393776898</v>
      </c>
      <c r="N6367">
        <v>55.233735115422398</v>
      </c>
      <c r="O6367">
        <v>54.468384323371197</v>
      </c>
      <c r="P6367">
        <v>-0.12934144182638399</v>
      </c>
      <c r="Q6367">
        <v>0.142575746322507</v>
      </c>
      <c r="R6367">
        <v>0.99451834674732498</v>
      </c>
      <c r="S6367" t="s">
        <v>13370</v>
      </c>
      <c r="T6367" t="s">
        <v>14004</v>
      </c>
      <c r="U6367" t="s">
        <v>14004</v>
      </c>
      <c r="V6367" t="s">
        <v>14004</v>
      </c>
      <c r="W6367" t="s">
        <v>20313</v>
      </c>
      <c r="X6367">
        <v>3</v>
      </c>
      <c r="Y6367" t="s">
        <v>27106</v>
      </c>
      <c r="Z6367" t="s">
        <v>34077</v>
      </c>
      <c r="AA6367">
        <v>0.56660292269065715</v>
      </c>
      <c r="AB6367" t="str">
        <f>HYPERLINK("Melting_Curves/meltCurve_Q9NXC2_GFOD1.pdf", "Melting_Curves/meltCurve_Q9NXC2_GFOD1.pdf")</f>
        <v>Melting_Curves/meltCurve_Q9NXC2_GFOD1.pdf</v>
      </c>
    </row>
    <row r="6368" spans="1:28" x14ac:dyDescent="0.25">
      <c r="A6368" t="s">
        <v>6372</v>
      </c>
      <c r="B6368">
        <v>0.99999676499088797</v>
      </c>
      <c r="C6368">
        <v>1.14903337421116</v>
      </c>
      <c r="D6368">
        <v>1.13572377710765</v>
      </c>
      <c r="E6368">
        <v>1.28789313877791</v>
      </c>
      <c r="F6368">
        <v>1.03886600137582</v>
      </c>
      <c r="G6368">
        <v>0.723586803446714</v>
      </c>
      <c r="H6368">
        <v>0.32997636902988098</v>
      </c>
      <c r="I6368">
        <v>0.206557911372627</v>
      </c>
      <c r="J6368">
        <v>0.18653670852618401</v>
      </c>
      <c r="K6368">
        <v>0.16054658864542401</v>
      </c>
      <c r="L6368">
        <v>2173.69240864528</v>
      </c>
      <c r="M6368">
        <v>37.441987689604801</v>
      </c>
      <c r="N6368">
        <v>58.7494574238344</v>
      </c>
      <c r="O6368">
        <v>57.890078928652102</v>
      </c>
      <c r="P6368">
        <v>-0.13277938247439999</v>
      </c>
      <c r="Q6368">
        <v>0.17882690746653501</v>
      </c>
      <c r="R6368">
        <v>0.930478237978</v>
      </c>
      <c r="S6368" t="s">
        <v>13371</v>
      </c>
      <c r="T6368" t="s">
        <v>14004</v>
      </c>
      <c r="U6368" t="s">
        <v>14004</v>
      </c>
      <c r="V6368" t="s">
        <v>14004</v>
      </c>
      <c r="W6368" t="s">
        <v>20314</v>
      </c>
      <c r="X6368">
        <v>8</v>
      </c>
      <c r="Y6368" t="s">
        <v>27107</v>
      </c>
      <c r="Z6368" t="s">
        <v>34078</v>
      </c>
      <c r="AA6368">
        <v>0.67669047585259368</v>
      </c>
      <c r="AB6368" t="str">
        <f>HYPERLINK("Melting_Curves/meltCurve_Q9NXC5_MIOS.pdf", "Melting_Curves/meltCurve_Q9NXC5_MIOS.pdf")</f>
        <v>Melting_Curves/meltCurve_Q9NXC5_MIOS.pdf</v>
      </c>
    </row>
    <row r="6369" spans="1:28" x14ac:dyDescent="0.25">
      <c r="A6369" t="s">
        <v>6373</v>
      </c>
      <c r="B6369">
        <v>0.99999676499088797</v>
      </c>
      <c r="C6369">
        <v>0.88922970359576403</v>
      </c>
      <c r="D6369">
        <v>0.81859879704746297</v>
      </c>
      <c r="E6369">
        <v>0.76071763780815005</v>
      </c>
      <c r="F6369">
        <v>0.540207640764231</v>
      </c>
      <c r="G6369">
        <v>0.54137991172230404</v>
      </c>
      <c r="H6369">
        <v>0.40278451600661402</v>
      </c>
      <c r="I6369">
        <v>0.512285657579026</v>
      </c>
      <c r="J6369">
        <v>0.50818071382625496</v>
      </c>
      <c r="K6369">
        <v>0.65011952634048598</v>
      </c>
      <c r="L6369">
        <v>788.26229234804998</v>
      </c>
      <c r="M6369">
        <v>16.480990623132801</v>
      </c>
      <c r="O6369">
        <v>47.141037839799303</v>
      </c>
      <c r="P6369">
        <v>-4.2773552920646697E-2</v>
      </c>
      <c r="Q6369">
        <v>0.51064848569135102</v>
      </c>
      <c r="R6369">
        <v>0.87038379906927998</v>
      </c>
      <c r="S6369" t="s">
        <v>13372</v>
      </c>
      <c r="T6369" t="s">
        <v>14004</v>
      </c>
      <c r="U6369" t="s">
        <v>14004</v>
      </c>
      <c r="V6369" t="s">
        <v>14004</v>
      </c>
      <c r="W6369" t="s">
        <v>20315</v>
      </c>
      <c r="X6369">
        <v>11</v>
      </c>
      <c r="Y6369" t="s">
        <v>27108</v>
      </c>
      <c r="Z6369" t="s">
        <v>34079</v>
      </c>
      <c r="AA6369">
        <v>0.64883567220249161</v>
      </c>
      <c r="AB6369" t="str">
        <f>HYPERLINK("Melting_Curves/meltCurve_Q9NXE8_CWC25.pdf", "Melting_Curves/meltCurve_Q9NXE8_CWC25.pdf")</f>
        <v>Melting_Curves/meltCurve_Q9NXE8_CWC25.pdf</v>
      </c>
    </row>
    <row r="6370" spans="1:28" x14ac:dyDescent="0.25">
      <c r="A6370" t="s">
        <v>6374</v>
      </c>
      <c r="B6370">
        <v>0.99999676499088797</v>
      </c>
      <c r="C6370">
        <v>0.95762211388921603</v>
      </c>
      <c r="D6370">
        <v>0.86703270409870004</v>
      </c>
      <c r="E6370">
        <v>0.52876858168435903</v>
      </c>
      <c r="F6370">
        <v>0.27962251756539802</v>
      </c>
      <c r="G6370">
        <v>0.182679272067928</v>
      </c>
      <c r="H6370">
        <v>7.1909425854478098E-2</v>
      </c>
      <c r="I6370">
        <v>6.24522576307696E-2</v>
      </c>
      <c r="J6370">
        <v>4.1932242719763202E-2</v>
      </c>
      <c r="K6370">
        <v>6.7062123262134996E-2</v>
      </c>
      <c r="L6370">
        <v>936.78960140968002</v>
      </c>
      <c r="M6370">
        <v>18.767388177521699</v>
      </c>
      <c r="N6370">
        <v>50.219201447423004</v>
      </c>
      <c r="O6370">
        <v>49.359441758456299</v>
      </c>
      <c r="P6370">
        <v>-8.9964247687243107E-2</v>
      </c>
      <c r="Q6370">
        <v>5.3592467728408602E-2</v>
      </c>
      <c r="R6370">
        <v>0.99733320432037098</v>
      </c>
      <c r="S6370" t="s">
        <v>13373</v>
      </c>
      <c r="T6370" t="s">
        <v>14004</v>
      </c>
      <c r="U6370" t="s">
        <v>14004</v>
      </c>
      <c r="V6370" t="s">
        <v>14004</v>
      </c>
      <c r="W6370" t="s">
        <v>20316</v>
      </c>
      <c r="X6370">
        <v>4</v>
      </c>
      <c r="Y6370" t="s">
        <v>27109</v>
      </c>
      <c r="Z6370" t="s">
        <v>34080</v>
      </c>
      <c r="AA6370">
        <v>0.38132025829471522</v>
      </c>
      <c r="AB6370" t="str">
        <f>HYPERLINK("Melting_Curves/meltCurve_Q9NXF7_DCAF16.pdf", "Melting_Curves/meltCurve_Q9NXF7_DCAF16.pdf")</f>
        <v>Melting_Curves/meltCurve_Q9NXF7_DCAF16.pdf</v>
      </c>
    </row>
    <row r="6371" spans="1:28" x14ac:dyDescent="0.25">
      <c r="A6371" t="s">
        <v>6375</v>
      </c>
      <c r="B6371">
        <v>0.99999676499088797</v>
      </c>
      <c r="C6371">
        <v>0.95320838653137396</v>
      </c>
      <c r="D6371">
        <v>0.95750464481571895</v>
      </c>
      <c r="E6371">
        <v>0.905136031430398</v>
      </c>
      <c r="F6371">
        <v>0.87160919665875103</v>
      </c>
      <c r="G6371">
        <v>0.74940292064519298</v>
      </c>
      <c r="H6371">
        <v>0.28675470249851498</v>
      </c>
      <c r="I6371">
        <v>0.15526468795030701</v>
      </c>
      <c r="J6371">
        <v>0.13115208805453499</v>
      </c>
      <c r="K6371">
        <v>9.2233822946939298E-2</v>
      </c>
      <c r="L6371">
        <v>1503.6933972798699</v>
      </c>
      <c r="M6371">
        <v>25.763319778448398</v>
      </c>
      <c r="N6371">
        <v>58.755689955900998</v>
      </c>
      <c r="O6371">
        <v>58.017427994036701</v>
      </c>
      <c r="P6371">
        <v>-0.102291237778422</v>
      </c>
      <c r="Q6371">
        <v>7.8596430493506397E-2</v>
      </c>
      <c r="R6371">
        <v>0.98607262795827</v>
      </c>
      <c r="S6371" t="s">
        <v>13374</v>
      </c>
      <c r="T6371" t="s">
        <v>14004</v>
      </c>
      <c r="U6371" t="s">
        <v>14004</v>
      </c>
      <c r="V6371" t="s">
        <v>14004</v>
      </c>
      <c r="W6371" t="s">
        <v>20317</v>
      </c>
      <c r="X6371">
        <v>25</v>
      </c>
      <c r="Y6371" t="s">
        <v>27110</v>
      </c>
      <c r="Z6371" t="s">
        <v>34081</v>
      </c>
      <c r="AA6371">
        <v>0.65022544641179658</v>
      </c>
      <c r="AB6371" t="str">
        <f>HYPERLINK("Melting_Curves/meltCurve_Q9NXH9_TRMT1.pdf", "Melting_Curves/meltCurve_Q9NXH9_TRMT1.pdf")</f>
        <v>Melting_Curves/meltCurve_Q9NXH9_TRMT1.pdf</v>
      </c>
    </row>
    <row r="6372" spans="1:28" x14ac:dyDescent="0.25">
      <c r="A6372" t="s">
        <v>6376</v>
      </c>
      <c r="B6372">
        <v>0.99999676499088797</v>
      </c>
      <c r="C6372">
        <v>0.84321645053496297</v>
      </c>
      <c r="D6372">
        <v>0.99231634990512696</v>
      </c>
      <c r="E6372">
        <v>1.1511280830472701</v>
      </c>
      <c r="F6372">
        <v>0.361705188827879</v>
      </c>
      <c r="G6372">
        <v>0.85141443795757799</v>
      </c>
      <c r="H6372">
        <v>0.36268379794702099</v>
      </c>
      <c r="I6372">
        <v>0.52479052568644302</v>
      </c>
      <c r="J6372">
        <v>0.572185406692854</v>
      </c>
      <c r="K6372">
        <v>0.47153820376011901</v>
      </c>
      <c r="L6372">
        <v>4997.7412740189202</v>
      </c>
      <c r="M6372">
        <v>97.382575579931398</v>
      </c>
      <c r="O6372">
        <v>51.299060788757203</v>
      </c>
      <c r="P6372">
        <v>-0.22592128394222</v>
      </c>
      <c r="Q6372">
        <v>0.52395799248346897</v>
      </c>
      <c r="R6372">
        <v>0.70312952732724998</v>
      </c>
      <c r="S6372" t="s">
        <v>13375</v>
      </c>
      <c r="T6372" t="s">
        <v>14004</v>
      </c>
      <c r="U6372" t="s">
        <v>14004</v>
      </c>
      <c r="V6372" t="s">
        <v>14004</v>
      </c>
      <c r="W6372" t="s">
        <v>20318</v>
      </c>
      <c r="X6372">
        <v>2</v>
      </c>
      <c r="Y6372" t="s">
        <v>27111</v>
      </c>
      <c r="Z6372" t="s">
        <v>34082</v>
      </c>
      <c r="AA6372">
        <v>0.70387843017608442</v>
      </c>
      <c r="AB6372" t="str">
        <f>HYPERLINK("Melting_Curves/meltCurve_Q9NXK8_FBXL12.pdf", "Melting_Curves/meltCurve_Q9NXK8_FBXL12.pdf")</f>
        <v>Melting_Curves/meltCurve_Q9NXK8_FBXL12.pdf</v>
      </c>
    </row>
    <row r="6373" spans="1:28" x14ac:dyDescent="0.25">
      <c r="A6373" t="s">
        <v>6377</v>
      </c>
      <c r="B6373">
        <v>0.99999676499088797</v>
      </c>
      <c r="C6373">
        <v>0.92350913926925404</v>
      </c>
      <c r="D6373">
        <v>0.64099284553998803</v>
      </c>
      <c r="E6373">
        <v>0.35678621061274501</v>
      </c>
      <c r="F6373">
        <v>0.163015365414416</v>
      </c>
      <c r="G6373">
        <v>0.116853424632235</v>
      </c>
      <c r="H6373">
        <v>0.12609126760624001</v>
      </c>
      <c r="I6373">
        <v>0.10725263882321399</v>
      </c>
      <c r="J6373">
        <v>0.105101497580636</v>
      </c>
      <c r="K6373">
        <v>7.3311142179174296E-2</v>
      </c>
      <c r="L6373">
        <v>995.81112788031305</v>
      </c>
      <c r="M6373">
        <v>21.111552791899602</v>
      </c>
      <c r="N6373">
        <v>47.661673150673899</v>
      </c>
      <c r="O6373">
        <v>46.751911370862899</v>
      </c>
      <c r="P6373">
        <v>-0.10182773796036</v>
      </c>
      <c r="Q6373">
        <v>9.8026314496826999E-2</v>
      </c>
      <c r="R6373">
        <v>0.99715326264976401</v>
      </c>
      <c r="S6373" t="s">
        <v>13376</v>
      </c>
      <c r="T6373" t="s">
        <v>14004</v>
      </c>
      <c r="U6373" t="s">
        <v>14004</v>
      </c>
      <c r="V6373" t="s">
        <v>14004</v>
      </c>
      <c r="W6373" t="s">
        <v>20319</v>
      </c>
      <c r="X6373">
        <v>7</v>
      </c>
      <c r="Y6373" t="s">
        <v>27112</v>
      </c>
      <c r="Z6373" t="s">
        <v>34083</v>
      </c>
      <c r="AA6373">
        <v>0.32521602280409689</v>
      </c>
      <c r="AB6373" t="str">
        <f>HYPERLINK("Melting_Curves/meltCurve_Q9NXN4_2_GDAP2.pdf", "Melting_Curves/meltCurve_Q9NXN4_2_GDAP2.pdf")</f>
        <v>Melting_Curves/meltCurve_Q9NXN4_2_GDAP2.pdf</v>
      </c>
    </row>
    <row r="6374" spans="1:28" x14ac:dyDescent="0.25">
      <c r="A6374" t="s">
        <v>6378</v>
      </c>
      <c r="B6374">
        <v>0.99999676499088797</v>
      </c>
      <c r="C6374">
        <v>0.98187446117216104</v>
      </c>
      <c r="D6374">
        <v>0.95161905757738297</v>
      </c>
      <c r="E6374">
        <v>0.82293214150250504</v>
      </c>
      <c r="F6374">
        <v>0.69418692034146701</v>
      </c>
      <c r="G6374">
        <v>0.47552456244649599</v>
      </c>
      <c r="H6374">
        <v>0.35221973920654898</v>
      </c>
      <c r="I6374">
        <v>0.39325214105535999</v>
      </c>
      <c r="J6374">
        <v>0.43071392287276</v>
      </c>
      <c r="K6374">
        <v>0.56364215607022905</v>
      </c>
      <c r="L6374">
        <v>1177.4356249171301</v>
      </c>
      <c r="M6374">
        <v>22.678633045683199</v>
      </c>
      <c r="N6374">
        <v>56.804189269557902</v>
      </c>
      <c r="O6374">
        <v>51.5196615733052</v>
      </c>
      <c r="P6374">
        <v>-6.2848787790477798E-2</v>
      </c>
      <c r="Q6374">
        <v>0.42891023368943099</v>
      </c>
      <c r="R6374">
        <v>0.94245481266064401</v>
      </c>
      <c r="S6374" t="s">
        <v>13377</v>
      </c>
      <c r="T6374" t="s">
        <v>14004</v>
      </c>
      <c r="U6374" t="s">
        <v>14004</v>
      </c>
      <c r="V6374" t="s">
        <v>14004</v>
      </c>
      <c r="W6374" t="s">
        <v>20320</v>
      </c>
      <c r="X6374">
        <v>20</v>
      </c>
      <c r="Y6374" t="s">
        <v>27113</v>
      </c>
      <c r="Z6374" t="s">
        <v>34084</v>
      </c>
      <c r="AA6374">
        <v>0.66206278933296114</v>
      </c>
      <c r="AB6374" t="str">
        <f>HYPERLINK("Melting_Curves/meltCurve_Q9NXR1_2_NDE1.pdf", "Melting_Curves/meltCurve_Q9NXR1_2_NDE1.pdf")</f>
        <v>Melting_Curves/meltCurve_Q9NXR1_2_NDE1.pdf</v>
      </c>
    </row>
    <row r="6375" spans="1:28" x14ac:dyDescent="0.25">
      <c r="A6375" t="s">
        <v>6379</v>
      </c>
      <c r="B6375">
        <v>0.99999676499088797</v>
      </c>
      <c r="C6375">
        <v>0.85552065039168101</v>
      </c>
      <c r="D6375">
        <v>0.56657339521036798</v>
      </c>
      <c r="E6375">
        <v>0.35850648757996501</v>
      </c>
      <c r="F6375">
        <v>0.29758624011606999</v>
      </c>
      <c r="G6375">
        <v>0.15288214676016501</v>
      </c>
      <c r="H6375">
        <v>7.1221872916894094E-2</v>
      </c>
      <c r="I6375">
        <v>4.5602224281985002E-2</v>
      </c>
      <c r="J6375">
        <v>1.6436122499327299E-2</v>
      </c>
      <c r="K6375">
        <v>2.4095071127806199E-2</v>
      </c>
      <c r="L6375">
        <v>622.98241251290699</v>
      </c>
      <c r="M6375">
        <v>13.0351657104581</v>
      </c>
      <c r="N6375">
        <v>47.930038405262003</v>
      </c>
      <c r="O6375">
        <v>46.709595558093298</v>
      </c>
      <c r="P6375">
        <v>-6.8497814616619607E-2</v>
      </c>
      <c r="Q6375">
        <v>1.83643093193324E-2</v>
      </c>
      <c r="R6375">
        <v>0.98380029459127705</v>
      </c>
      <c r="S6375" t="s">
        <v>13378</v>
      </c>
      <c r="T6375" t="s">
        <v>14004</v>
      </c>
      <c r="U6375" t="s">
        <v>14004</v>
      </c>
      <c r="V6375" t="s">
        <v>14004</v>
      </c>
      <c r="W6375" t="s">
        <v>20321</v>
      </c>
      <c r="X6375">
        <v>3</v>
      </c>
      <c r="Y6375" t="s">
        <v>27114</v>
      </c>
      <c r="Z6375" t="s">
        <v>34085</v>
      </c>
      <c r="AA6375">
        <v>0.30683017066091423</v>
      </c>
      <c r="AB6375" t="str">
        <f>HYPERLINK("Melting_Curves/meltCurve_Q9NXR5_ANKRD10.pdf", "Melting_Curves/meltCurve_Q9NXR5_ANKRD10.pdf")</f>
        <v>Melting_Curves/meltCurve_Q9NXR5_ANKRD10.pdf</v>
      </c>
    </row>
    <row r="6376" spans="1:28" x14ac:dyDescent="0.25">
      <c r="A6376" t="s">
        <v>6380</v>
      </c>
      <c r="B6376">
        <v>0.99999676499088797</v>
      </c>
      <c r="C6376">
        <v>0.94222945607285702</v>
      </c>
      <c r="D6376">
        <v>1.00587869611272</v>
      </c>
      <c r="E6376">
        <v>0.95645326451113</v>
      </c>
      <c r="F6376">
        <v>0.98911422109441205</v>
      </c>
      <c r="G6376">
        <v>0.69414787789277899</v>
      </c>
      <c r="H6376">
        <v>0.32517157943374703</v>
      </c>
      <c r="I6376">
        <v>0.12667725415387199</v>
      </c>
      <c r="J6376">
        <v>5.8819456156682499E-2</v>
      </c>
      <c r="K6376">
        <v>3.7613928896504403E-2</v>
      </c>
      <c r="L6376">
        <v>1532.81046002928</v>
      </c>
      <c r="M6376">
        <v>26.0829150913146</v>
      </c>
      <c r="N6376">
        <v>58.880216838720699</v>
      </c>
      <c r="O6376">
        <v>58.424661006499001</v>
      </c>
      <c r="P6376">
        <v>-0.108877324737614</v>
      </c>
      <c r="Q6376">
        <v>2.4488096943732999E-2</v>
      </c>
      <c r="R6376">
        <v>0.99521840657830896</v>
      </c>
      <c r="S6376" t="s">
        <v>13379</v>
      </c>
      <c r="T6376" t="s">
        <v>14004</v>
      </c>
      <c r="U6376" t="s">
        <v>14004</v>
      </c>
      <c r="V6376" t="s">
        <v>14004</v>
      </c>
      <c r="W6376" t="s">
        <v>20322</v>
      </c>
      <c r="X6376">
        <v>10</v>
      </c>
      <c r="Y6376" t="s">
        <v>27115</v>
      </c>
      <c r="Z6376" t="s">
        <v>34086</v>
      </c>
      <c r="AA6376">
        <v>0.64243081836663474</v>
      </c>
      <c r="AB6376" t="str">
        <f>HYPERLINK("Melting_Curves/meltCurve_Q9NXR7_BRE.pdf", "Melting_Curves/meltCurve_Q9NXR7_BRE.pdf")</f>
        <v>Melting_Curves/meltCurve_Q9NXR7_BRE.pdf</v>
      </c>
    </row>
    <row r="6377" spans="1:28" x14ac:dyDescent="0.25">
      <c r="A6377" t="s">
        <v>6381</v>
      </c>
      <c r="B6377">
        <v>0.99999676499088797</v>
      </c>
      <c r="C6377">
        <v>1.20808388608119</v>
      </c>
      <c r="D6377">
        <v>1.03064161018252</v>
      </c>
      <c r="E6377">
        <v>0.93679062855911699</v>
      </c>
      <c r="F6377">
        <v>0.52480050438838799</v>
      </c>
      <c r="G6377">
        <v>0.42573510986613999</v>
      </c>
      <c r="H6377">
        <v>0.18851921698760399</v>
      </c>
      <c r="I6377">
        <v>0.190103004979745</v>
      </c>
      <c r="J6377">
        <v>8.5135711926021901E-2</v>
      </c>
      <c r="K6377">
        <v>0.101312605038246</v>
      </c>
      <c r="L6377">
        <v>1113.1958335710999</v>
      </c>
      <c r="M6377">
        <v>20.608257565126198</v>
      </c>
      <c r="N6377">
        <v>54.693129063490503</v>
      </c>
      <c r="O6377">
        <v>53.516070661582098</v>
      </c>
      <c r="P6377">
        <v>-8.5447974002406904E-2</v>
      </c>
      <c r="Q6377">
        <v>0.11245139327345299</v>
      </c>
      <c r="R6377">
        <v>0.95799616531732401</v>
      </c>
      <c r="S6377" t="s">
        <v>13380</v>
      </c>
      <c r="T6377" t="s">
        <v>14004</v>
      </c>
      <c r="U6377" t="s">
        <v>14004</v>
      </c>
      <c r="V6377" t="s">
        <v>14004</v>
      </c>
      <c r="W6377" t="s">
        <v>20323</v>
      </c>
      <c r="X6377">
        <v>2</v>
      </c>
      <c r="Y6377" t="s">
        <v>27116</v>
      </c>
      <c r="Z6377" t="s">
        <v>34087</v>
      </c>
      <c r="AA6377">
        <v>0.53862974379868189</v>
      </c>
      <c r="AB6377" t="str">
        <f>HYPERLINK("Melting_Curves/meltCurve_Q9NXS2_QPCTL.pdf", "Melting_Curves/meltCurve_Q9NXS2_QPCTL.pdf")</f>
        <v>Melting_Curves/meltCurve_Q9NXS2_QPCTL.pdf</v>
      </c>
    </row>
    <row r="6378" spans="1:28" x14ac:dyDescent="0.25">
      <c r="A6378" t="s">
        <v>6382</v>
      </c>
      <c r="B6378">
        <v>0.99999676499088797</v>
      </c>
      <c r="C6378">
        <v>0.94472375703646505</v>
      </c>
      <c r="D6378">
        <v>0.91137429067820797</v>
      </c>
      <c r="E6378">
        <v>0.77077774566365898</v>
      </c>
      <c r="F6378">
        <v>0.542267862690889</v>
      </c>
      <c r="G6378">
        <v>0.134314389909405</v>
      </c>
      <c r="H6378">
        <v>2.9200295270736702E-2</v>
      </c>
      <c r="I6378">
        <v>2.9022058742279699E-2</v>
      </c>
      <c r="J6378">
        <v>9.7364016376377295E-3</v>
      </c>
      <c r="K6378">
        <v>1.32696870759358E-2</v>
      </c>
      <c r="L6378">
        <v>1117.2705140386499</v>
      </c>
      <c r="M6378">
        <v>21.116890458594298</v>
      </c>
      <c r="N6378">
        <v>52.908854286814602</v>
      </c>
      <c r="O6378">
        <v>52.441226794661802</v>
      </c>
      <c r="P6378">
        <v>-0.100671955404648</v>
      </c>
      <c r="Q6378">
        <v>0</v>
      </c>
      <c r="R6378">
        <v>0.99121695262931198</v>
      </c>
      <c r="S6378" t="s">
        <v>13381</v>
      </c>
      <c r="T6378" t="s">
        <v>14004</v>
      </c>
      <c r="U6378" t="s">
        <v>14004</v>
      </c>
      <c r="V6378" t="s">
        <v>14004</v>
      </c>
      <c r="W6378" t="s">
        <v>20324</v>
      </c>
      <c r="X6378">
        <v>5</v>
      </c>
      <c r="Y6378" t="s">
        <v>27117</v>
      </c>
      <c r="Z6378" t="s">
        <v>34088</v>
      </c>
      <c r="AA6378">
        <v>0.44281827526887968</v>
      </c>
      <c r="AB6378" t="str">
        <f>HYPERLINK("Melting_Curves/meltCurve_Q9NXU5_ARL15.pdf", "Melting_Curves/meltCurve_Q9NXU5_ARL15.pdf")</f>
        <v>Melting_Curves/meltCurve_Q9NXU5_ARL15.pdf</v>
      </c>
    </row>
    <row r="6379" spans="1:28" x14ac:dyDescent="0.25">
      <c r="A6379" t="s">
        <v>6383</v>
      </c>
      <c r="B6379">
        <v>0.99999676499088797</v>
      </c>
      <c r="C6379">
        <v>1.0208957941097301</v>
      </c>
      <c r="D6379">
        <v>1.0531233291637601</v>
      </c>
      <c r="E6379">
        <v>0.84609648989130304</v>
      </c>
      <c r="F6379">
        <v>0.97278976486792001</v>
      </c>
      <c r="G6379">
        <v>0.71498337576758897</v>
      </c>
      <c r="H6379">
        <v>0.52034432549925203</v>
      </c>
      <c r="I6379">
        <v>0.43401325863748302</v>
      </c>
      <c r="J6379">
        <v>0.31556040799178198</v>
      </c>
      <c r="K6379">
        <v>0.168731393060852</v>
      </c>
      <c r="L6379">
        <v>744.87028173343106</v>
      </c>
      <c r="M6379">
        <v>12.026228093670699</v>
      </c>
      <c r="N6379">
        <v>61.9371490675601</v>
      </c>
      <c r="O6379">
        <v>60.299159927637703</v>
      </c>
      <c r="P6379">
        <v>-4.9872597018587497E-2</v>
      </c>
      <c r="Q6379">
        <v>0</v>
      </c>
      <c r="R6379">
        <v>0.96747833392371296</v>
      </c>
      <c r="S6379" t="s">
        <v>13382</v>
      </c>
      <c r="T6379" t="s">
        <v>14004</v>
      </c>
      <c r="U6379" t="s">
        <v>14004</v>
      </c>
      <c r="V6379" t="s">
        <v>14004</v>
      </c>
      <c r="W6379" t="s">
        <v>20325</v>
      </c>
      <c r="X6379">
        <v>4</v>
      </c>
      <c r="Y6379" t="s">
        <v>27118</v>
      </c>
      <c r="Z6379" t="s">
        <v>34089</v>
      </c>
      <c r="AA6379">
        <v>0.72048298567567359</v>
      </c>
      <c r="AB6379" t="str">
        <f>HYPERLINK("Melting_Curves/meltCurve_Q9NXV2_KCTD5.pdf", "Melting_Curves/meltCurve_Q9NXV2_KCTD5.pdf")</f>
        <v>Melting_Curves/meltCurve_Q9NXV2_KCTD5.pdf</v>
      </c>
    </row>
    <row r="6380" spans="1:28" x14ac:dyDescent="0.25">
      <c r="A6380" t="s">
        <v>6384</v>
      </c>
      <c r="B6380">
        <v>0.99999676499088797</v>
      </c>
      <c r="C6380">
        <v>0.89967431632376405</v>
      </c>
      <c r="D6380">
        <v>0.91549081149437095</v>
      </c>
      <c r="E6380">
        <v>0.76084223944376905</v>
      </c>
      <c r="F6380">
        <v>0.34529926949950301</v>
      </c>
      <c r="G6380">
        <v>0.16517971791066099</v>
      </c>
      <c r="H6380">
        <v>7.8394203839443399E-2</v>
      </c>
      <c r="I6380">
        <v>6.5717056528599202E-2</v>
      </c>
      <c r="J6380">
        <v>6.4495013782369201E-2</v>
      </c>
      <c r="K6380">
        <v>6.7359133983580302E-2</v>
      </c>
      <c r="L6380">
        <v>1188.3728193146601</v>
      </c>
      <c r="M6380">
        <v>23.055377942293099</v>
      </c>
      <c r="N6380">
        <v>51.820029089586903</v>
      </c>
      <c r="O6380">
        <v>51.1611991460111</v>
      </c>
      <c r="P6380">
        <v>-0.10615881127689</v>
      </c>
      <c r="Q6380">
        <v>5.7727705435798402E-2</v>
      </c>
      <c r="R6380">
        <v>0.99268061388685902</v>
      </c>
      <c r="S6380" t="s">
        <v>13383</v>
      </c>
      <c r="T6380" t="s">
        <v>14004</v>
      </c>
      <c r="U6380" t="s">
        <v>14004</v>
      </c>
      <c r="V6380" t="s">
        <v>14004</v>
      </c>
      <c r="W6380" t="s">
        <v>20326</v>
      </c>
      <c r="X6380">
        <v>19</v>
      </c>
      <c r="Y6380" t="s">
        <v>27119</v>
      </c>
      <c r="Z6380" t="s">
        <v>34090</v>
      </c>
      <c r="AA6380">
        <v>0.430332096569921</v>
      </c>
      <c r="AB6380" t="str">
        <f>HYPERLINK("Melting_Curves/meltCurve_Q9NXV6_CDKN2AIP.pdf", "Melting_Curves/meltCurve_Q9NXV6_CDKN2AIP.pdf")</f>
        <v>Melting_Curves/meltCurve_Q9NXV6_CDKN2AIP.pdf</v>
      </c>
    </row>
    <row r="6381" spans="1:28" x14ac:dyDescent="0.25">
      <c r="A6381" t="s">
        <v>6385</v>
      </c>
      <c r="B6381">
        <v>0.99999676499088797</v>
      </c>
      <c r="C6381">
        <v>1.0052760311902</v>
      </c>
      <c r="D6381">
        <v>0.71928336002875404</v>
      </c>
      <c r="E6381">
        <v>0.46610660898649903</v>
      </c>
      <c r="F6381">
        <v>0.31765106046431901</v>
      </c>
      <c r="G6381">
        <v>0.237988797334591</v>
      </c>
      <c r="H6381">
        <v>0.10254593160684</v>
      </c>
      <c r="I6381">
        <v>0.10987455228045399</v>
      </c>
      <c r="J6381">
        <v>7.9387995618800403E-2</v>
      </c>
      <c r="K6381">
        <v>5.2985741309027001E-2</v>
      </c>
      <c r="L6381">
        <v>757.11152977030997</v>
      </c>
      <c r="M6381">
        <v>15.401003320804101</v>
      </c>
      <c r="N6381">
        <v>49.6823452992111</v>
      </c>
      <c r="O6381">
        <v>48.353419764276303</v>
      </c>
      <c r="P6381">
        <v>-7.3680937667990803E-2</v>
      </c>
      <c r="Q6381">
        <v>7.4761359369426794E-2</v>
      </c>
      <c r="R6381">
        <v>0.98534716986877002</v>
      </c>
      <c r="S6381" t="s">
        <v>13384</v>
      </c>
      <c r="T6381" t="s">
        <v>14004</v>
      </c>
      <c r="U6381" t="s">
        <v>14004</v>
      </c>
      <c r="V6381" t="s">
        <v>14004</v>
      </c>
      <c r="W6381" t="s">
        <v>20327</v>
      </c>
      <c r="X6381">
        <v>4</v>
      </c>
      <c r="Y6381" t="s">
        <v>27120</v>
      </c>
      <c r="Z6381" t="s">
        <v>34091</v>
      </c>
      <c r="AA6381">
        <v>0.37887054781851331</v>
      </c>
      <c r="AB6381" t="str">
        <f>HYPERLINK("Melting_Curves/meltCurve_Q9NXW9_ALKBH4.pdf", "Melting_Curves/meltCurve_Q9NXW9_ALKBH4.pdf")</f>
        <v>Melting_Curves/meltCurve_Q9NXW9_ALKBH4.pdf</v>
      </c>
    </row>
    <row r="6382" spans="1:28" x14ac:dyDescent="0.25">
      <c r="A6382" t="s">
        <v>6386</v>
      </c>
      <c r="B6382">
        <v>0.99999676499088797</v>
      </c>
      <c r="C6382">
        <v>0.80342175371979696</v>
      </c>
      <c r="D6382">
        <v>0.79675375037638996</v>
      </c>
      <c r="E6382">
        <v>0.67981147595027902</v>
      </c>
      <c r="F6382">
        <v>0.26443623918137998</v>
      </c>
      <c r="G6382">
        <v>0.15538550451371699</v>
      </c>
      <c r="H6382">
        <v>4.6371847226057999E-2</v>
      </c>
      <c r="I6382">
        <v>6.7444779418122006E-2</v>
      </c>
      <c r="J6382">
        <v>2.61476437087119E-2</v>
      </c>
      <c r="K6382">
        <v>2.1261890565037501E-2</v>
      </c>
      <c r="L6382">
        <v>739.42396339494098</v>
      </c>
      <c r="M6382">
        <v>14.621133332018401</v>
      </c>
      <c r="N6382">
        <v>50.5722719352487</v>
      </c>
      <c r="O6382">
        <v>49.654502569997703</v>
      </c>
      <c r="P6382">
        <v>-7.3622558736328197E-2</v>
      </c>
      <c r="Q6382">
        <v>0</v>
      </c>
      <c r="R6382">
        <v>0.97447934285845705</v>
      </c>
      <c r="S6382" t="s">
        <v>13385</v>
      </c>
      <c r="T6382" t="s">
        <v>14004</v>
      </c>
      <c r="U6382" t="s">
        <v>14004</v>
      </c>
      <c r="V6382" t="s">
        <v>14004</v>
      </c>
      <c r="W6382" t="s">
        <v>20328</v>
      </c>
      <c r="X6382">
        <v>2</v>
      </c>
      <c r="Y6382" t="s">
        <v>27121</v>
      </c>
      <c r="Z6382" t="s">
        <v>34092</v>
      </c>
      <c r="AA6382">
        <v>0.3768634851518905</v>
      </c>
      <c r="AB6382" t="str">
        <f>HYPERLINK("Melting_Curves/meltCurve_Q9NXX6_NSMCE4A.pdf", "Melting_Curves/meltCurve_Q9NXX6_NSMCE4A.pdf")</f>
        <v>Melting_Curves/meltCurve_Q9NXX6_NSMCE4A.pdf</v>
      </c>
    </row>
    <row r="6383" spans="1:28" x14ac:dyDescent="0.25">
      <c r="A6383" t="s">
        <v>6387</v>
      </c>
      <c r="B6383">
        <v>0.99999676499088797</v>
      </c>
      <c r="C6383">
        <v>0.99575174944310296</v>
      </c>
      <c r="D6383">
        <v>0.99134194360435801</v>
      </c>
      <c r="E6383">
        <v>1.0293200440061301</v>
      </c>
      <c r="F6383">
        <v>0.83631583333969295</v>
      </c>
      <c r="G6383">
        <v>0.97198271379407997</v>
      </c>
      <c r="H6383">
        <v>0.58646639136005596</v>
      </c>
      <c r="I6383">
        <v>0.362046866321386</v>
      </c>
      <c r="J6383">
        <v>0.39071211534087302</v>
      </c>
      <c r="K6383">
        <v>0.54289786853616595</v>
      </c>
      <c r="L6383">
        <v>15000</v>
      </c>
      <c r="M6383">
        <v>247.69455273851099</v>
      </c>
      <c r="N6383">
        <v>61.049777974316498</v>
      </c>
      <c r="O6383">
        <v>60.554509489390298</v>
      </c>
      <c r="P6383">
        <v>-0.58095949988290396</v>
      </c>
      <c r="Q6383">
        <v>0.43188548752475497</v>
      </c>
      <c r="R6383">
        <v>0.92823233344339995</v>
      </c>
      <c r="S6383" t="s">
        <v>13386</v>
      </c>
      <c r="T6383" t="s">
        <v>14004</v>
      </c>
      <c r="U6383" t="s">
        <v>14004</v>
      </c>
      <c r="V6383" t="s">
        <v>14004</v>
      </c>
      <c r="W6383" t="s">
        <v>20329</v>
      </c>
      <c r="X6383">
        <v>5</v>
      </c>
      <c r="Y6383" t="s">
        <v>27122</v>
      </c>
      <c r="Z6383" t="s">
        <v>34093</v>
      </c>
      <c r="AA6383">
        <v>0.82126559425729928</v>
      </c>
      <c r="AB6383" t="str">
        <f>HYPERLINK("Melting_Curves/meltCurve_Q9NY12_2_GAR1.pdf", "Melting_Curves/meltCurve_Q9NY12_2_GAR1.pdf")</f>
        <v>Melting_Curves/meltCurve_Q9NY12_2_GAR1.pdf</v>
      </c>
    </row>
    <row r="6384" spans="1:28" x14ac:dyDescent="0.25">
      <c r="A6384" t="s">
        <v>6388</v>
      </c>
      <c r="B6384">
        <v>0.99999676499088797</v>
      </c>
      <c r="C6384">
        <v>0.96175333986123301</v>
      </c>
      <c r="D6384">
        <v>0.92399687343422598</v>
      </c>
      <c r="E6384">
        <v>0.79928672127711198</v>
      </c>
      <c r="F6384">
        <v>0.42510500307232302</v>
      </c>
      <c r="G6384">
        <v>0.22057829738229601</v>
      </c>
      <c r="H6384">
        <v>0.10091512964291401</v>
      </c>
      <c r="I6384">
        <v>8.9585146292688295E-2</v>
      </c>
      <c r="J6384">
        <v>8.0599375709708307E-2</v>
      </c>
      <c r="K6384">
        <v>7.5650616664729498E-2</v>
      </c>
      <c r="L6384">
        <v>1130.8237076418</v>
      </c>
      <c r="M6384">
        <v>21.661718249797001</v>
      </c>
      <c r="N6384">
        <v>52.573228041062102</v>
      </c>
      <c r="O6384">
        <v>51.764997306467897</v>
      </c>
      <c r="P6384">
        <v>-9.7232061967584799E-2</v>
      </c>
      <c r="Q6384">
        <v>7.0600542292575397E-2</v>
      </c>
      <c r="R6384">
        <v>0.99803579105662299</v>
      </c>
      <c r="S6384" t="s">
        <v>13387</v>
      </c>
      <c r="T6384" t="s">
        <v>14004</v>
      </c>
      <c r="U6384" t="s">
        <v>14004</v>
      </c>
      <c r="V6384" t="s">
        <v>14004</v>
      </c>
      <c r="W6384" t="s">
        <v>20330</v>
      </c>
      <c r="X6384">
        <v>26</v>
      </c>
      <c r="Y6384" t="s">
        <v>27123</v>
      </c>
      <c r="Z6384" t="s">
        <v>34094</v>
      </c>
      <c r="AA6384">
        <v>0.45979920274081121</v>
      </c>
      <c r="AB6384" t="str">
        <f>HYPERLINK("Melting_Curves/meltCurve_Q9NY27_PPP4R2.pdf", "Melting_Curves/meltCurve_Q9NY27_PPP4R2.pdf")</f>
        <v>Melting_Curves/meltCurve_Q9NY27_PPP4R2.pdf</v>
      </c>
    </row>
    <row r="6385" spans="1:28" x14ac:dyDescent="0.25">
      <c r="A6385" t="s">
        <v>6389</v>
      </c>
      <c r="B6385">
        <v>0.99999676499088797</v>
      </c>
      <c r="C6385">
        <v>0.94770576700939002</v>
      </c>
      <c r="D6385">
        <v>0.98924159815394697</v>
      </c>
      <c r="E6385">
        <v>0.72307395838612498</v>
      </c>
      <c r="F6385">
        <v>0.28400441440150198</v>
      </c>
      <c r="G6385">
        <v>0.212549130303189</v>
      </c>
      <c r="H6385">
        <v>0.114952585893071</v>
      </c>
      <c r="I6385">
        <v>0.130846485652369</v>
      </c>
      <c r="J6385">
        <v>0.12514766542814801</v>
      </c>
      <c r="K6385">
        <v>0.10813992548900001</v>
      </c>
      <c r="L6385">
        <v>1580.46060678854</v>
      </c>
      <c r="M6385">
        <v>31.105370667082799</v>
      </c>
      <c r="N6385">
        <v>51.2963464712304</v>
      </c>
      <c r="O6385">
        <v>50.601274105887804</v>
      </c>
      <c r="P6385">
        <v>-0.13405080474994299</v>
      </c>
      <c r="Q6385">
        <v>0.12772578928484599</v>
      </c>
      <c r="R6385">
        <v>0.99528946669523999</v>
      </c>
      <c r="S6385" t="s">
        <v>13388</v>
      </c>
      <c r="T6385" t="s">
        <v>14004</v>
      </c>
      <c r="U6385" t="s">
        <v>14004</v>
      </c>
      <c r="V6385" t="s">
        <v>14004</v>
      </c>
      <c r="W6385" t="s">
        <v>20331</v>
      </c>
      <c r="X6385">
        <v>10</v>
      </c>
      <c r="Y6385" t="s">
        <v>27124</v>
      </c>
      <c r="Z6385" t="s">
        <v>34095</v>
      </c>
      <c r="AA6385">
        <v>0.44711627051444103</v>
      </c>
      <c r="AB6385" t="str">
        <f>HYPERLINK("Melting_Curves/meltCurve_Q9NY93_2_DDX56.pdf", "Melting_Curves/meltCurve_Q9NY93_2_DDX56.pdf")</f>
        <v>Melting_Curves/meltCurve_Q9NY93_2_DDX56.pdf</v>
      </c>
    </row>
    <row r="6386" spans="1:28" x14ac:dyDescent="0.25">
      <c r="A6386" t="s">
        <v>6390</v>
      </c>
      <c r="B6386">
        <v>0.99999676499088797</v>
      </c>
      <c r="C6386">
        <v>1.01124188797027</v>
      </c>
      <c r="D6386">
        <v>0.94388437076441301</v>
      </c>
      <c r="E6386">
        <v>0.95111098825075602</v>
      </c>
      <c r="F6386">
        <v>0.66912421469912398</v>
      </c>
      <c r="G6386">
        <v>0.43923568742018099</v>
      </c>
      <c r="H6386">
        <v>0.18609086291360999</v>
      </c>
      <c r="I6386">
        <v>6.9387116652629297E-2</v>
      </c>
      <c r="J6386">
        <v>5.7613027321911502E-2</v>
      </c>
      <c r="K6386">
        <v>7.3671838444379606E-2</v>
      </c>
      <c r="L6386">
        <v>1062.0459685012599</v>
      </c>
      <c r="M6386">
        <v>19.1308878306954</v>
      </c>
      <c r="N6386">
        <v>55.693353591372997</v>
      </c>
      <c r="O6386">
        <v>54.918816187973903</v>
      </c>
      <c r="P6386">
        <v>-8.4498902342936194E-2</v>
      </c>
      <c r="Q6386">
        <v>2.9757595543296898E-2</v>
      </c>
      <c r="R6386">
        <v>0.99549398454994098</v>
      </c>
      <c r="S6386" t="s">
        <v>13389</v>
      </c>
      <c r="T6386" t="s">
        <v>14004</v>
      </c>
      <c r="U6386" t="s">
        <v>14004</v>
      </c>
      <c r="V6386" t="s">
        <v>14004</v>
      </c>
      <c r="W6386" t="s">
        <v>20332</v>
      </c>
      <c r="X6386">
        <v>1</v>
      </c>
      <c r="Y6386" t="s">
        <v>27125</v>
      </c>
      <c r="Z6386" t="s">
        <v>34096</v>
      </c>
      <c r="AA6386">
        <v>0.54506436035040906</v>
      </c>
      <c r="AB6386" t="str">
        <f>HYPERLINK("Melting_Curves/meltCurve_Q9NYA1_SPHK1.pdf", "Melting_Curves/meltCurve_Q9NYA1_SPHK1.pdf")</f>
        <v>Melting_Curves/meltCurve_Q9NYA1_SPHK1.pdf</v>
      </c>
    </row>
    <row r="6387" spans="1:28" x14ac:dyDescent="0.25">
      <c r="A6387" t="s">
        <v>6391</v>
      </c>
      <c r="B6387">
        <v>0.99999676499088797</v>
      </c>
      <c r="C6387">
        <v>0.94273105401091795</v>
      </c>
      <c r="D6387">
        <v>0.884388680580796</v>
      </c>
      <c r="E6387">
        <v>0.46804157106262601</v>
      </c>
      <c r="F6387">
        <v>0.24326746981560199</v>
      </c>
      <c r="G6387">
        <v>0.15456394463750001</v>
      </c>
      <c r="H6387">
        <v>8.3049230646601704E-2</v>
      </c>
      <c r="I6387">
        <v>8.4320265914100204E-2</v>
      </c>
      <c r="J6387">
        <v>9.1159478865099702E-2</v>
      </c>
      <c r="K6387">
        <v>8.8663638703798106E-2</v>
      </c>
      <c r="L6387">
        <v>1150.11665153537</v>
      </c>
      <c r="M6387">
        <v>23.393927911928198</v>
      </c>
      <c r="N6387">
        <v>49.586542734776202</v>
      </c>
      <c r="O6387">
        <v>48.808020672244197</v>
      </c>
      <c r="P6387">
        <v>-0.108977637922894</v>
      </c>
      <c r="Q6387">
        <v>9.0551929627400607E-2</v>
      </c>
      <c r="R6387">
        <v>0.99662898086825102</v>
      </c>
      <c r="S6387" t="s">
        <v>13390</v>
      </c>
      <c r="T6387" t="s">
        <v>14004</v>
      </c>
      <c r="U6387" t="s">
        <v>14004</v>
      </c>
      <c r="V6387" t="s">
        <v>14004</v>
      </c>
      <c r="W6387" t="s">
        <v>20333</v>
      </c>
      <c r="X6387">
        <v>20</v>
      </c>
      <c r="Y6387" t="s">
        <v>27126</v>
      </c>
      <c r="Z6387" t="s">
        <v>34097</v>
      </c>
      <c r="AA6387">
        <v>0.37757366992280161</v>
      </c>
      <c r="AB6387" t="str">
        <f>HYPERLINK("Melting_Curves/meltCurve_Q9NYB0_TERF2IP.pdf", "Melting_Curves/meltCurve_Q9NYB0_TERF2IP.pdf")</f>
        <v>Melting_Curves/meltCurve_Q9NYB0_TERF2IP.pdf</v>
      </c>
    </row>
    <row r="6388" spans="1:28" x14ac:dyDescent="0.25">
      <c r="A6388" t="s">
        <v>6392</v>
      </c>
      <c r="B6388">
        <v>0.99999676499088797</v>
      </c>
      <c r="C6388">
        <v>0.92221488470228896</v>
      </c>
      <c r="D6388">
        <v>0.89178878661703698</v>
      </c>
      <c r="E6388">
        <v>0.76428227746988797</v>
      </c>
      <c r="F6388">
        <v>0.47930362539412802</v>
      </c>
      <c r="G6388">
        <v>0.59458360619353201</v>
      </c>
      <c r="H6388">
        <v>0.46699379457087697</v>
      </c>
      <c r="I6388">
        <v>0.77761287925935796</v>
      </c>
      <c r="J6388">
        <v>0.726482365831848</v>
      </c>
      <c r="K6388">
        <v>0.70429750427875504</v>
      </c>
      <c r="L6388">
        <v>1434.9685686656501</v>
      </c>
      <c r="M6388">
        <v>30.254013379558</v>
      </c>
      <c r="O6388">
        <v>47.224907068356401</v>
      </c>
      <c r="P6388">
        <v>-5.92616263974566E-2</v>
      </c>
      <c r="Q6388">
        <v>0.62998535942933198</v>
      </c>
      <c r="R6388">
        <v>0.65958190444234199</v>
      </c>
      <c r="S6388" t="s">
        <v>13391</v>
      </c>
      <c r="T6388" t="s">
        <v>14004</v>
      </c>
      <c r="U6388" t="s">
        <v>14004</v>
      </c>
      <c r="V6388" t="s">
        <v>14004</v>
      </c>
      <c r="W6388" t="s">
        <v>20334</v>
      </c>
      <c r="X6388">
        <v>25</v>
      </c>
      <c r="Y6388" t="s">
        <v>21529</v>
      </c>
      <c r="Z6388" t="s">
        <v>34098</v>
      </c>
      <c r="AA6388">
        <v>0.72381411214565738</v>
      </c>
      <c r="AB6388" t="str">
        <f>HYPERLINK("Melting_Curves/meltCurve_Q9NYF8_2_BCLAF1.pdf", "Melting_Curves/meltCurve_Q9NYF8_2_BCLAF1.pdf")</f>
        <v>Melting_Curves/meltCurve_Q9NYF8_2_BCLAF1.pdf</v>
      </c>
    </row>
    <row r="6389" spans="1:28" x14ac:dyDescent="0.25">
      <c r="A6389" t="s">
        <v>6393</v>
      </c>
      <c r="B6389">
        <v>0.99999676499088797</v>
      </c>
      <c r="C6389">
        <v>0.90910489813355899</v>
      </c>
      <c r="D6389">
        <v>0.67880015489582002</v>
      </c>
      <c r="E6389">
        <v>0.376561433537417</v>
      </c>
      <c r="F6389">
        <v>0.23617819776040699</v>
      </c>
      <c r="G6389">
        <v>0.23469623280667001</v>
      </c>
      <c r="H6389">
        <v>0.10616176377606799</v>
      </c>
      <c r="I6389">
        <v>0.13923640664081199</v>
      </c>
      <c r="J6389">
        <v>0.134504724690202</v>
      </c>
      <c r="K6389">
        <v>9.0967696009757196E-2</v>
      </c>
      <c r="L6389">
        <v>884.21805622134104</v>
      </c>
      <c r="M6389">
        <v>18.640763699998502</v>
      </c>
      <c r="N6389">
        <v>48.187305309792997</v>
      </c>
      <c r="O6389">
        <v>46.898839373292802</v>
      </c>
      <c r="P6389">
        <v>-8.6820643937369393E-2</v>
      </c>
      <c r="Q6389">
        <v>0.12629897218472499</v>
      </c>
      <c r="R6389">
        <v>0.99167644864085602</v>
      </c>
      <c r="S6389" t="s">
        <v>13392</v>
      </c>
      <c r="T6389" t="s">
        <v>14004</v>
      </c>
      <c r="U6389" t="s">
        <v>14004</v>
      </c>
      <c r="V6389" t="s">
        <v>14004</v>
      </c>
      <c r="W6389" t="s">
        <v>20335</v>
      </c>
      <c r="X6389">
        <v>6</v>
      </c>
      <c r="Y6389" t="s">
        <v>27127</v>
      </c>
      <c r="Z6389" t="s">
        <v>34099</v>
      </c>
      <c r="AA6389">
        <v>0.3574883160163404</v>
      </c>
      <c r="AB6389" t="str">
        <f>HYPERLINK("Melting_Curves/meltCurve_Q9NYH9_UTP6.pdf", "Melting_Curves/meltCurve_Q9NYH9_UTP6.pdf")</f>
        <v>Melting_Curves/meltCurve_Q9NYH9_UTP6.pdf</v>
      </c>
    </row>
    <row r="6390" spans="1:28" x14ac:dyDescent="0.25">
      <c r="A6390" t="s">
        <v>6394</v>
      </c>
      <c r="B6390">
        <v>0.99999676499088797</v>
      </c>
      <c r="C6390">
        <v>0.94034095675704199</v>
      </c>
      <c r="D6390">
        <v>0.994624909612006</v>
      </c>
      <c r="E6390">
        <v>0.74395177876558305</v>
      </c>
      <c r="F6390">
        <v>0.60082350801199502</v>
      </c>
      <c r="G6390">
        <v>0.59235937320015097</v>
      </c>
      <c r="H6390">
        <v>0.40337337822665298</v>
      </c>
      <c r="I6390">
        <v>0.49452202006163098</v>
      </c>
      <c r="J6390">
        <v>0.480765681163836</v>
      </c>
      <c r="K6390">
        <v>0.44463147297350603</v>
      </c>
      <c r="L6390">
        <v>973.50695413310905</v>
      </c>
      <c r="M6390">
        <v>19.249654996585999</v>
      </c>
      <c r="N6390">
        <v>58.207842144639201</v>
      </c>
      <c r="O6390">
        <v>50.036397314826999</v>
      </c>
      <c r="P6390">
        <v>-5.1941089529188897E-2</v>
      </c>
      <c r="Q6390">
        <v>0.45997024795879099</v>
      </c>
      <c r="R6390">
        <v>0.95936291818705399</v>
      </c>
      <c r="S6390" t="s">
        <v>13393</v>
      </c>
      <c r="T6390" t="s">
        <v>14004</v>
      </c>
      <c r="U6390" t="s">
        <v>14004</v>
      </c>
      <c r="V6390" t="s">
        <v>14004</v>
      </c>
      <c r="W6390" t="s">
        <v>20336</v>
      </c>
      <c r="X6390">
        <v>7</v>
      </c>
      <c r="Y6390" t="s">
        <v>27128</v>
      </c>
      <c r="Z6390" t="s">
        <v>34100</v>
      </c>
      <c r="AA6390">
        <v>0.65835780719718739</v>
      </c>
      <c r="AB6390" t="str">
        <f>HYPERLINK("Melting_Curves/meltCurve_Q9NYJ1_COA4.pdf", "Melting_Curves/meltCurve_Q9NYJ1_COA4.pdf")</f>
        <v>Melting_Curves/meltCurve_Q9NYJ1_COA4.pdf</v>
      </c>
    </row>
    <row r="6391" spans="1:28" x14ac:dyDescent="0.25">
      <c r="A6391" t="s">
        <v>6395</v>
      </c>
      <c r="B6391">
        <v>0.99999676499088797</v>
      </c>
      <c r="C6391">
        <v>0.92975844594732604</v>
      </c>
      <c r="D6391">
        <v>0.87899732723435897</v>
      </c>
      <c r="E6391">
        <v>0.84740368984026804</v>
      </c>
      <c r="F6391">
        <v>0.26062962323771599</v>
      </c>
      <c r="G6391">
        <v>0.167329274445147</v>
      </c>
      <c r="H6391">
        <v>7.3398635767285406E-2</v>
      </c>
      <c r="I6391">
        <v>7.7906865510831896E-2</v>
      </c>
      <c r="J6391">
        <v>7.55419003409568E-2</v>
      </c>
      <c r="K6391">
        <v>4.9198601061281003E-2</v>
      </c>
      <c r="L6391">
        <v>1945.5725672737699</v>
      </c>
      <c r="M6391">
        <v>37.804875138373198</v>
      </c>
      <c r="N6391">
        <v>51.699432922521602</v>
      </c>
      <c r="O6391">
        <v>51.320172070619499</v>
      </c>
      <c r="P6391">
        <v>-0.16957300582763399</v>
      </c>
      <c r="Q6391">
        <v>7.9220015683018299E-2</v>
      </c>
      <c r="R6391">
        <v>0.98507320485326999</v>
      </c>
      <c r="S6391" t="s">
        <v>13394</v>
      </c>
      <c r="T6391" t="s">
        <v>14004</v>
      </c>
      <c r="U6391" t="s">
        <v>14004</v>
      </c>
      <c r="V6391" t="s">
        <v>14004</v>
      </c>
      <c r="W6391" t="s">
        <v>20337</v>
      </c>
      <c r="X6391">
        <v>13</v>
      </c>
      <c r="Y6391" t="s">
        <v>27129</v>
      </c>
      <c r="Z6391" t="s">
        <v>34101</v>
      </c>
      <c r="AA6391">
        <v>0.43473513221695848</v>
      </c>
      <c r="AB6391" t="str">
        <f>HYPERLINK("Melting_Curves/meltCurve_Q9NYK5_MRPL39.pdf", "Melting_Curves/meltCurve_Q9NYK5_MRPL39.pdf")</f>
        <v>Melting_Curves/meltCurve_Q9NYK5_MRPL39.pdf</v>
      </c>
    </row>
    <row r="6392" spans="1:28" x14ac:dyDescent="0.25">
      <c r="A6392" t="s">
        <v>6396</v>
      </c>
      <c r="B6392">
        <v>0.99999676499088797</v>
      </c>
      <c r="C6392">
        <v>0.98371831059680903</v>
      </c>
      <c r="D6392">
        <v>0.90262865485902999</v>
      </c>
      <c r="E6392">
        <v>0.84987944315922204</v>
      </c>
      <c r="F6392">
        <v>0.51832092688470799</v>
      </c>
      <c r="G6392">
        <v>0.27495978953185102</v>
      </c>
      <c r="H6392">
        <v>0.136045928383942</v>
      </c>
      <c r="I6392">
        <v>0.17251298976537899</v>
      </c>
      <c r="J6392">
        <v>0.16672732772464299</v>
      </c>
      <c r="K6392">
        <v>0.15522493334769599</v>
      </c>
      <c r="L6392">
        <v>1220.858095692</v>
      </c>
      <c r="M6392">
        <v>23.2140255209648</v>
      </c>
      <c r="N6392">
        <v>53.375458173915298</v>
      </c>
      <c r="O6392">
        <v>52.205793813943203</v>
      </c>
      <c r="P6392">
        <v>-9.5107366425526196E-2</v>
      </c>
      <c r="Q6392">
        <v>0.14447135453731699</v>
      </c>
      <c r="R6392">
        <v>0.99409474403209497</v>
      </c>
      <c r="S6392" t="s">
        <v>13395</v>
      </c>
      <c r="T6392" t="s">
        <v>14004</v>
      </c>
      <c r="U6392" t="s">
        <v>14004</v>
      </c>
      <c r="V6392" t="s">
        <v>14004</v>
      </c>
      <c r="W6392" t="s">
        <v>20338</v>
      </c>
      <c r="X6392">
        <v>6</v>
      </c>
      <c r="Y6392" t="s">
        <v>27130</v>
      </c>
      <c r="Z6392" t="s">
        <v>34102</v>
      </c>
      <c r="AA6392">
        <v>0.51257225110934757</v>
      </c>
      <c r="AB6392" t="str">
        <f>HYPERLINK("Melting_Curves/meltCurve_Q9NYL2_MLTK.pdf", "Melting_Curves/meltCurve_Q9NYL2_MLTK.pdf")</f>
        <v>Melting_Curves/meltCurve_Q9NYL2_MLTK.pdf</v>
      </c>
    </row>
    <row r="6393" spans="1:28" x14ac:dyDescent="0.25">
      <c r="A6393" t="s">
        <v>6397</v>
      </c>
      <c r="B6393">
        <v>0.99999676499088797</v>
      </c>
      <c r="C6393">
        <v>0.93220156155566403</v>
      </c>
      <c r="D6393">
        <v>1.05219573096152</v>
      </c>
      <c r="E6393">
        <v>1.0001705370213601</v>
      </c>
      <c r="F6393">
        <v>0.78677695269973402</v>
      </c>
      <c r="G6393">
        <v>0.30888652647600701</v>
      </c>
      <c r="H6393">
        <v>8.2369293357577103E-2</v>
      </c>
      <c r="I6393">
        <v>7.2590894150584701E-2</v>
      </c>
      <c r="J6393">
        <v>6.2141686081593699E-2</v>
      </c>
      <c r="K6393">
        <v>2.5091545915320299E-2</v>
      </c>
      <c r="L6393">
        <v>1901.2973739768299</v>
      </c>
      <c r="M6393">
        <v>34.463773148438001</v>
      </c>
      <c r="N6393">
        <v>55.3326429392298</v>
      </c>
      <c r="O6393">
        <v>54.9832446162618</v>
      </c>
      <c r="P6393">
        <v>-0.14906531855097499</v>
      </c>
      <c r="Q6393">
        <v>4.8732812773585002E-2</v>
      </c>
      <c r="R6393">
        <v>0.99529455361502095</v>
      </c>
      <c r="S6393" t="s">
        <v>13396</v>
      </c>
      <c r="T6393" t="s">
        <v>14004</v>
      </c>
      <c r="U6393" t="s">
        <v>14004</v>
      </c>
      <c r="V6393" t="s">
        <v>14004</v>
      </c>
      <c r="W6393" t="s">
        <v>20339</v>
      </c>
      <c r="X6393">
        <v>7</v>
      </c>
      <c r="Y6393" t="s">
        <v>27130</v>
      </c>
      <c r="Z6393" t="s">
        <v>34103</v>
      </c>
      <c r="AA6393">
        <v>0.53453709189831389</v>
      </c>
      <c r="AB6393" t="str">
        <f>HYPERLINK("Melting_Curves/meltCurve_Q9NYL2_2_MLTK.pdf", "Melting_Curves/meltCurve_Q9NYL2_2_MLTK.pdf")</f>
        <v>Melting_Curves/meltCurve_Q9NYL2_2_MLTK.pdf</v>
      </c>
    </row>
    <row r="6394" spans="1:28" x14ac:dyDescent="0.25">
      <c r="A6394" t="s">
        <v>6398</v>
      </c>
      <c r="B6394">
        <v>0.99999676499088797</v>
      </c>
      <c r="C6394">
        <v>1.0220522971992101</v>
      </c>
      <c r="D6394">
        <v>0.94243532654858597</v>
      </c>
      <c r="E6394">
        <v>0.36617863543579598</v>
      </c>
      <c r="F6394">
        <v>0.31396153937749199</v>
      </c>
      <c r="G6394">
        <v>0.21618508585528401</v>
      </c>
      <c r="H6394">
        <v>0.12585820894767499</v>
      </c>
      <c r="I6394">
        <v>0.13272769774887599</v>
      </c>
      <c r="J6394">
        <v>0.14631843384316101</v>
      </c>
      <c r="K6394">
        <v>0.15057209266765001</v>
      </c>
      <c r="L6394">
        <v>2071.2456642524699</v>
      </c>
      <c r="M6394">
        <v>42.800247960062002</v>
      </c>
      <c r="N6394">
        <v>48.884828892570098</v>
      </c>
      <c r="O6394">
        <v>48.288023753330599</v>
      </c>
      <c r="P6394">
        <v>-0.18284251484681499</v>
      </c>
      <c r="Q6394">
        <v>0.17485622575964799</v>
      </c>
      <c r="R6394">
        <v>0.98218614161787898</v>
      </c>
      <c r="S6394" t="s">
        <v>13397</v>
      </c>
      <c r="T6394" t="s">
        <v>14004</v>
      </c>
      <c r="U6394" t="s">
        <v>14004</v>
      </c>
      <c r="V6394" t="s">
        <v>14004</v>
      </c>
      <c r="W6394" t="s">
        <v>20340</v>
      </c>
      <c r="X6394">
        <v>12</v>
      </c>
      <c r="Y6394" t="s">
        <v>27131</v>
      </c>
      <c r="Z6394" t="s">
        <v>34104</v>
      </c>
      <c r="AA6394">
        <v>0.40812371790954038</v>
      </c>
      <c r="AB6394" t="str">
        <f>HYPERLINK("Melting_Curves/meltCurve_Q9NYL9_TMOD3.pdf", "Melting_Curves/meltCurve_Q9NYL9_TMOD3.pdf")</f>
        <v>Melting_Curves/meltCurve_Q9NYL9_TMOD3.pdf</v>
      </c>
    </row>
    <row r="6395" spans="1:28" x14ac:dyDescent="0.25">
      <c r="A6395" t="s">
        <v>6399</v>
      </c>
      <c r="B6395">
        <v>0.99999676499088797</v>
      </c>
      <c r="C6395">
        <v>0.91827171581397304</v>
      </c>
      <c r="D6395">
        <v>0.93321197984395499</v>
      </c>
      <c r="E6395">
        <v>0.93691131119376703</v>
      </c>
      <c r="F6395">
        <v>1.01237936818519</v>
      </c>
      <c r="G6395">
        <v>0.88732518595217302</v>
      </c>
      <c r="H6395">
        <v>0.77233305804484198</v>
      </c>
      <c r="I6395">
        <v>0.72087631981752598</v>
      </c>
      <c r="J6395">
        <v>0.64168190937490799</v>
      </c>
      <c r="K6395">
        <v>0.85936738893789999</v>
      </c>
      <c r="L6395">
        <v>2846.5332821458601</v>
      </c>
      <c r="M6395">
        <v>49.8183231068788</v>
      </c>
      <c r="O6395">
        <v>57.046432529842498</v>
      </c>
      <c r="P6395">
        <v>-5.5728437448820597E-2</v>
      </c>
      <c r="Q6395">
        <v>0.74474403302391701</v>
      </c>
      <c r="R6395">
        <v>0.69666113794298301</v>
      </c>
      <c r="S6395" t="s">
        <v>13398</v>
      </c>
      <c r="T6395" t="s">
        <v>14004</v>
      </c>
      <c r="U6395" t="s">
        <v>14004</v>
      </c>
      <c r="V6395" t="s">
        <v>14004</v>
      </c>
      <c r="W6395" t="s">
        <v>20341</v>
      </c>
      <c r="X6395">
        <v>4</v>
      </c>
      <c r="Y6395" t="s">
        <v>27132</v>
      </c>
      <c r="Z6395" t="s">
        <v>34105</v>
      </c>
      <c r="AA6395">
        <v>0.89121207945438718</v>
      </c>
      <c r="AB6395" t="str">
        <f>HYPERLINK("Melting_Curves/meltCurve_Q9NYM9_BET1L.pdf", "Melting_Curves/meltCurve_Q9NYM9_BET1L.pdf")</f>
        <v>Melting_Curves/meltCurve_Q9NYM9_BET1L.pdf</v>
      </c>
    </row>
    <row r="6396" spans="1:28" x14ac:dyDescent="0.25">
      <c r="A6396" t="s">
        <v>6400</v>
      </c>
      <c r="B6396">
        <v>0.99999676499088797</v>
      </c>
      <c r="C6396">
        <v>0.95401153191009103</v>
      </c>
      <c r="D6396">
        <v>0.97724919185751802</v>
      </c>
      <c r="E6396">
        <v>0.94871684298854297</v>
      </c>
      <c r="F6396">
        <v>0.50498511599622098</v>
      </c>
      <c r="G6396">
        <v>0.25646819494845202</v>
      </c>
      <c r="H6396">
        <v>0.12712571014749299</v>
      </c>
      <c r="I6396">
        <v>0.118667066125878</v>
      </c>
      <c r="J6396">
        <v>0.11841702339869201</v>
      </c>
      <c r="K6396">
        <v>0.11337494567081401</v>
      </c>
      <c r="L6396">
        <v>1683.69189772342</v>
      </c>
      <c r="M6396">
        <v>31.769877453469501</v>
      </c>
      <c r="N6396">
        <v>53.462575389510597</v>
      </c>
      <c r="O6396">
        <v>52.787836305930199</v>
      </c>
      <c r="P6396">
        <v>-0.13226136433874899</v>
      </c>
      <c r="Q6396">
        <v>0.12095914604838701</v>
      </c>
      <c r="R6396">
        <v>0.99568964931848103</v>
      </c>
      <c r="S6396" t="s">
        <v>13399</v>
      </c>
      <c r="T6396" t="s">
        <v>14004</v>
      </c>
      <c r="U6396" t="s">
        <v>14004</v>
      </c>
      <c r="V6396" t="s">
        <v>14004</v>
      </c>
      <c r="W6396" t="s">
        <v>20342</v>
      </c>
      <c r="X6396">
        <v>7</v>
      </c>
      <c r="Y6396" t="s">
        <v>27133</v>
      </c>
      <c r="Z6396" t="s">
        <v>34106</v>
      </c>
      <c r="AA6396">
        <v>0.50686630815214628</v>
      </c>
      <c r="AB6396" t="str">
        <f>HYPERLINK("Melting_Curves/meltCurve_Q9NYP9_MIS18A.pdf", "Melting_Curves/meltCurve_Q9NYP9_MIS18A.pdf")</f>
        <v>Melting_Curves/meltCurve_Q9NYP9_MIS18A.pdf</v>
      </c>
    </row>
    <row r="6397" spans="1:28" x14ac:dyDescent="0.25">
      <c r="A6397" t="s">
        <v>6401</v>
      </c>
      <c r="B6397">
        <v>0.99999676499088797</v>
      </c>
      <c r="C6397">
        <v>0.78983880644460802</v>
      </c>
      <c r="D6397">
        <v>0.70200671745407905</v>
      </c>
      <c r="E6397">
        <v>0.62532479710242095</v>
      </c>
      <c r="F6397">
        <v>0.412965581930057</v>
      </c>
      <c r="G6397">
        <v>0.31370348781527402</v>
      </c>
      <c r="H6397">
        <v>0.17601834164664101</v>
      </c>
      <c r="I6397">
        <v>0.169751052649986</v>
      </c>
      <c r="J6397">
        <v>0.12374512405726</v>
      </c>
      <c r="K6397">
        <v>0.18779977948312401</v>
      </c>
      <c r="L6397">
        <v>492.648524163292</v>
      </c>
      <c r="M6397">
        <v>9.8120662932479501</v>
      </c>
      <c r="N6397">
        <v>51.109218903016</v>
      </c>
      <c r="O6397">
        <v>48.256257765176599</v>
      </c>
      <c r="P6397">
        <v>-4.6821277837726702E-2</v>
      </c>
      <c r="Q6397">
        <v>7.9403410684773607E-2</v>
      </c>
      <c r="R6397">
        <v>0.97765516821232901</v>
      </c>
      <c r="S6397" t="s">
        <v>13400</v>
      </c>
      <c r="T6397" t="s">
        <v>14004</v>
      </c>
      <c r="U6397" t="s">
        <v>14004</v>
      </c>
      <c r="V6397" t="s">
        <v>14004</v>
      </c>
      <c r="W6397" t="s">
        <v>20343</v>
      </c>
      <c r="X6397">
        <v>1</v>
      </c>
      <c r="Y6397" t="s">
        <v>27134</v>
      </c>
      <c r="Z6397" t="s">
        <v>34107</v>
      </c>
      <c r="AA6397">
        <v>0.43462780921508948</v>
      </c>
      <c r="AB6397" t="str">
        <f>HYPERLINK("Melting_Curves/meltCurve_Q9NYS0_NKIRAS1.pdf", "Melting_Curves/meltCurve_Q9NYS0_NKIRAS1.pdf")</f>
        <v>Melting_Curves/meltCurve_Q9NYS0_NKIRAS1.pdf</v>
      </c>
    </row>
    <row r="6398" spans="1:28" x14ac:dyDescent="0.25">
      <c r="A6398" t="s">
        <v>6402</v>
      </c>
      <c r="B6398">
        <v>0.99999676499088797</v>
      </c>
      <c r="C6398">
        <v>0.70399660940488795</v>
      </c>
      <c r="D6398">
        <v>0.77236534838670201</v>
      </c>
      <c r="E6398">
        <v>0.99343445899437799</v>
      </c>
      <c r="F6398">
        <v>0.745791631397282</v>
      </c>
      <c r="G6398">
        <v>0.50497443874435199</v>
      </c>
      <c r="H6398">
        <v>0.29660201587614499</v>
      </c>
      <c r="I6398">
        <v>0.18599637945862099</v>
      </c>
      <c r="J6398">
        <v>0.13616411901349501</v>
      </c>
      <c r="K6398">
        <v>0.150763752363654</v>
      </c>
      <c r="L6398">
        <v>656.30803060462904</v>
      </c>
      <c r="M6398">
        <v>11.503177389351601</v>
      </c>
      <c r="N6398">
        <v>57.054499158097997</v>
      </c>
      <c r="O6398">
        <v>55.411938851567498</v>
      </c>
      <c r="P6398">
        <v>-5.1913193565768997E-2</v>
      </c>
      <c r="Q6398">
        <v>0</v>
      </c>
      <c r="R6398">
        <v>0.873669855167304</v>
      </c>
      <c r="S6398" t="s">
        <v>13401</v>
      </c>
      <c r="T6398" t="s">
        <v>14004</v>
      </c>
      <c r="U6398" t="s">
        <v>14004</v>
      </c>
      <c r="V6398" t="s">
        <v>14004</v>
      </c>
      <c r="W6398" t="s">
        <v>20344</v>
      </c>
      <c r="X6398">
        <v>3</v>
      </c>
      <c r="Y6398" t="s">
        <v>27135</v>
      </c>
      <c r="Z6398" t="s">
        <v>34108</v>
      </c>
      <c r="AA6398">
        <v>0.58501003724209666</v>
      </c>
      <c r="AB6398" t="str">
        <f>HYPERLINK("Melting_Curves/meltCurve_Q9NYU1_UGGT2.pdf", "Melting_Curves/meltCurve_Q9NYU1_UGGT2.pdf")</f>
        <v>Melting_Curves/meltCurve_Q9NYU1_UGGT2.pdf</v>
      </c>
    </row>
    <row r="6399" spans="1:28" x14ac:dyDescent="0.25">
      <c r="A6399" t="s">
        <v>6403</v>
      </c>
      <c r="B6399">
        <v>0.99999676499088797</v>
      </c>
      <c r="C6399">
        <v>1.0735282852516099</v>
      </c>
      <c r="D6399">
        <v>1.11439357190555</v>
      </c>
      <c r="E6399">
        <v>1.2081893777528001</v>
      </c>
      <c r="F6399">
        <v>0.55508727813858505</v>
      </c>
      <c r="G6399">
        <v>0.33392844460582</v>
      </c>
      <c r="H6399">
        <v>0.146364565496928</v>
      </c>
      <c r="I6399">
        <v>0.12829222137195201</v>
      </c>
      <c r="J6399">
        <v>0.11407992014255</v>
      </c>
      <c r="K6399">
        <v>0.114103670896195</v>
      </c>
      <c r="S6399" t="s">
        <v>13402</v>
      </c>
      <c r="T6399" t="s">
        <v>14004</v>
      </c>
      <c r="U6399" t="s">
        <v>14005</v>
      </c>
      <c r="V6399" t="s">
        <v>14004</v>
      </c>
      <c r="W6399" t="s">
        <v>20345</v>
      </c>
      <c r="X6399">
        <v>56</v>
      </c>
      <c r="Y6399" t="s">
        <v>27136</v>
      </c>
      <c r="Z6399" t="s">
        <v>34109</v>
      </c>
      <c r="AB6399" t="str">
        <f>HYPERLINK("Melting_Curves/meltCurve_Q9NYU2_2_UGGT1.pdf", "Melting_Curves/meltCurve_Q9NYU2_2_UGGT1.pdf")</f>
        <v>Melting_Curves/meltCurve_Q9NYU2_2_UGGT1.pdf</v>
      </c>
    </row>
    <row r="6400" spans="1:28" x14ac:dyDescent="0.25">
      <c r="A6400" t="s">
        <v>6404</v>
      </c>
      <c r="B6400">
        <v>0.99999676499088797</v>
      </c>
      <c r="C6400">
        <v>1.0033426278532001</v>
      </c>
      <c r="D6400">
        <v>0.94925366918276299</v>
      </c>
      <c r="E6400">
        <v>0.76793728163643005</v>
      </c>
      <c r="F6400">
        <v>0.42104449013286199</v>
      </c>
      <c r="G6400">
        <v>0.26318049414066003</v>
      </c>
      <c r="H6400">
        <v>0.12823234266821501</v>
      </c>
      <c r="I6400">
        <v>0.13002128948236699</v>
      </c>
      <c r="J6400">
        <v>0.127153990571681</v>
      </c>
      <c r="K6400">
        <v>0.105029493546672</v>
      </c>
      <c r="L6400">
        <v>1119.3813827690501</v>
      </c>
      <c r="M6400">
        <v>21.570203621712999</v>
      </c>
      <c r="N6400">
        <v>52.511340509971603</v>
      </c>
      <c r="O6400">
        <v>51.454945010010498</v>
      </c>
      <c r="P6400">
        <v>-9.3079851510722705E-2</v>
      </c>
      <c r="Q6400">
        <v>0.111866907684263</v>
      </c>
      <c r="R6400">
        <v>0.99841723200559895</v>
      </c>
      <c r="S6400" t="s">
        <v>13403</v>
      </c>
      <c r="T6400" t="s">
        <v>14004</v>
      </c>
      <c r="U6400" t="s">
        <v>14004</v>
      </c>
      <c r="V6400" t="s">
        <v>14004</v>
      </c>
      <c r="W6400" t="s">
        <v>20346</v>
      </c>
      <c r="X6400">
        <v>18</v>
      </c>
      <c r="Y6400" t="s">
        <v>27137</v>
      </c>
      <c r="Z6400" t="s">
        <v>34110</v>
      </c>
      <c r="AA6400">
        <v>0.47471566522786668</v>
      </c>
      <c r="AB6400" t="str">
        <f>HYPERLINK("Melting_Curves/meltCurve_Q9NYV4_2_CDK12.pdf", "Melting_Curves/meltCurve_Q9NYV4_2_CDK12.pdf")</f>
        <v>Melting_Curves/meltCurve_Q9NYV4_2_CDK12.pdf</v>
      </c>
    </row>
    <row r="6401" spans="1:28" x14ac:dyDescent="0.25">
      <c r="A6401" t="s">
        <v>6405</v>
      </c>
      <c r="B6401">
        <v>0.99999676499088797</v>
      </c>
      <c r="C6401">
        <v>0.76468386962767698</v>
      </c>
      <c r="D6401">
        <v>0.71776986134058895</v>
      </c>
      <c r="E6401">
        <v>0.53890173141314202</v>
      </c>
      <c r="F6401">
        <v>0.26445902837309798</v>
      </c>
      <c r="G6401">
        <v>0.14438228631875299</v>
      </c>
      <c r="H6401">
        <v>6.8540702983728705E-2</v>
      </c>
      <c r="I6401">
        <v>5.6471677228257099E-2</v>
      </c>
      <c r="J6401">
        <v>6.3662803043963503E-2</v>
      </c>
      <c r="K6401">
        <v>5.0222612489486701E-2</v>
      </c>
      <c r="L6401">
        <v>601.95965808733899</v>
      </c>
      <c r="M6401">
        <v>12.230299097937801</v>
      </c>
      <c r="N6401">
        <v>49.261677467184597</v>
      </c>
      <c r="O6401">
        <v>47.958344364381098</v>
      </c>
      <c r="P6401">
        <v>-6.3430830870325305E-2</v>
      </c>
      <c r="Q6401">
        <v>5.30432224072364E-3</v>
      </c>
      <c r="R6401">
        <v>0.98392075697761205</v>
      </c>
      <c r="S6401" t="s">
        <v>13404</v>
      </c>
      <c r="T6401" t="s">
        <v>14004</v>
      </c>
      <c r="U6401" t="s">
        <v>14004</v>
      </c>
      <c r="V6401" t="s">
        <v>14004</v>
      </c>
      <c r="W6401" t="s">
        <v>20347</v>
      </c>
      <c r="X6401">
        <v>5</v>
      </c>
      <c r="Y6401" t="s">
        <v>27138</v>
      </c>
      <c r="Z6401" t="s">
        <v>34111</v>
      </c>
      <c r="AA6401">
        <v>0.34590816821703879</v>
      </c>
      <c r="AB6401" t="str">
        <f>HYPERLINK("Melting_Curves/meltCurve_Q9NYY8_FASTKD2.pdf", "Melting_Curves/meltCurve_Q9NYY8_FASTKD2.pdf")</f>
        <v>Melting_Curves/meltCurve_Q9NYY8_FASTKD2.pdf</v>
      </c>
    </row>
    <row r="6402" spans="1:28" x14ac:dyDescent="0.25">
      <c r="A6402" t="s">
        <v>6406</v>
      </c>
      <c r="B6402">
        <v>0.99999676499088797</v>
      </c>
      <c r="C6402">
        <v>1.0589902357168099</v>
      </c>
      <c r="D6402">
        <v>1.1572150982546301</v>
      </c>
      <c r="E6402">
        <v>1.1592395474730699</v>
      </c>
      <c r="F6402">
        <v>0.99666184923011703</v>
      </c>
      <c r="G6402">
        <v>0.62916369593844401</v>
      </c>
      <c r="H6402">
        <v>0.42843758920066699</v>
      </c>
      <c r="I6402">
        <v>0.37659172061440299</v>
      </c>
      <c r="J6402">
        <v>0.28415252915712302</v>
      </c>
      <c r="K6402">
        <v>0.30841874646779499</v>
      </c>
      <c r="L6402">
        <v>2349.5808536240002</v>
      </c>
      <c r="M6402">
        <v>41.454960050597499</v>
      </c>
      <c r="N6402">
        <v>58.235260628978999</v>
      </c>
      <c r="O6402">
        <v>56.5465050511363</v>
      </c>
      <c r="P6402">
        <v>-0.12188212925205499</v>
      </c>
      <c r="Q6402">
        <v>0.33498948731991801</v>
      </c>
      <c r="R6402">
        <v>0.94760471910922595</v>
      </c>
      <c r="S6402" t="s">
        <v>13405</v>
      </c>
      <c r="T6402" t="s">
        <v>14004</v>
      </c>
      <c r="U6402" t="s">
        <v>14004</v>
      </c>
      <c r="V6402" t="s">
        <v>14004</v>
      </c>
      <c r="W6402" t="s">
        <v>20348</v>
      </c>
      <c r="X6402">
        <v>1</v>
      </c>
      <c r="Y6402" t="s">
        <v>27139</v>
      </c>
      <c r="Z6402" t="s">
        <v>34112</v>
      </c>
      <c r="AA6402">
        <v>0.70709561888524108</v>
      </c>
      <c r="AB6402" t="str">
        <f>HYPERLINK("Melting_Curves/meltCurve_Q9NYZ2_SLC25A37.pdf", "Melting_Curves/meltCurve_Q9NYZ2_SLC25A37.pdf")</f>
        <v>Melting_Curves/meltCurve_Q9NYZ2_SLC25A37.pdf</v>
      </c>
    </row>
    <row r="6403" spans="1:28" x14ac:dyDescent="0.25">
      <c r="A6403" t="s">
        <v>6407</v>
      </c>
      <c r="B6403">
        <v>0.99999676499088797</v>
      </c>
      <c r="C6403">
        <v>0.66981553125063797</v>
      </c>
      <c r="D6403">
        <v>0.51232015269514197</v>
      </c>
      <c r="E6403">
        <v>0.42000036093996401</v>
      </c>
      <c r="F6403">
        <v>0.40249783250760302</v>
      </c>
      <c r="G6403">
        <v>0.29164125485446402</v>
      </c>
      <c r="H6403">
        <v>0.15223773437193799</v>
      </c>
      <c r="I6403">
        <v>0.18115967730642399</v>
      </c>
      <c r="J6403">
        <v>0.18811281954502501</v>
      </c>
      <c r="K6403">
        <v>0.17981372209247901</v>
      </c>
      <c r="L6403">
        <v>527.10894648458998</v>
      </c>
      <c r="M6403">
        <v>11.499024861948801</v>
      </c>
      <c r="N6403">
        <v>47.5461072445284</v>
      </c>
      <c r="O6403">
        <v>44.518877772885702</v>
      </c>
      <c r="P6403">
        <v>-5.3670481012887503E-2</v>
      </c>
      <c r="Q6403">
        <v>0.169088084585545</v>
      </c>
      <c r="R6403">
        <v>0.93818923990670899</v>
      </c>
      <c r="S6403" t="s">
        <v>13406</v>
      </c>
      <c r="T6403" t="s">
        <v>14004</v>
      </c>
      <c r="U6403" t="s">
        <v>14004</v>
      </c>
      <c r="V6403" t="s">
        <v>14004</v>
      </c>
      <c r="W6403" t="s">
        <v>20349</v>
      </c>
      <c r="X6403">
        <v>3</v>
      </c>
      <c r="Y6403" t="s">
        <v>27140</v>
      </c>
      <c r="Z6403" t="s">
        <v>34113</v>
      </c>
      <c r="AA6403">
        <v>0.37229039833990463</v>
      </c>
      <c r="AB6403" t="str">
        <f>HYPERLINK("Melting_Curves/meltCurve_Q9NYZ3_GTSE1.pdf", "Melting_Curves/meltCurve_Q9NYZ3_GTSE1.pdf")</f>
        <v>Melting_Curves/meltCurve_Q9NYZ3_GTSE1.pdf</v>
      </c>
    </row>
    <row r="6404" spans="1:28" x14ac:dyDescent="0.25">
      <c r="A6404" t="s">
        <v>6408</v>
      </c>
      <c r="B6404">
        <v>0.99999676499088797</v>
      </c>
      <c r="C6404">
        <v>1.1480200757297101</v>
      </c>
      <c r="D6404">
        <v>0.966321081770666</v>
      </c>
      <c r="E6404">
        <v>0.61889746036085003</v>
      </c>
      <c r="F6404">
        <v>0.229345005615401</v>
      </c>
      <c r="G6404">
        <v>0.17516079807524099</v>
      </c>
      <c r="H6404">
        <v>5.8025093543469797E-2</v>
      </c>
      <c r="I6404">
        <v>5.9087565524823499E-2</v>
      </c>
      <c r="J6404">
        <v>4.0498513850304903E-2</v>
      </c>
      <c r="K6404">
        <v>3.4897900443198598E-2</v>
      </c>
      <c r="L6404">
        <v>1424.0272382830899</v>
      </c>
      <c r="M6404">
        <v>28.246679967222299</v>
      </c>
      <c r="N6404">
        <v>50.648552540707897</v>
      </c>
      <c r="O6404">
        <v>50.163322434958097</v>
      </c>
      <c r="P6404">
        <v>-0.13214310749510899</v>
      </c>
      <c r="Q6404">
        <v>6.1315240797182403E-2</v>
      </c>
      <c r="R6404">
        <v>0.982701994045446</v>
      </c>
      <c r="S6404" t="s">
        <v>13407</v>
      </c>
      <c r="T6404" t="s">
        <v>14004</v>
      </c>
      <c r="U6404" t="s">
        <v>14004</v>
      </c>
      <c r="V6404" t="s">
        <v>14004</v>
      </c>
      <c r="W6404" t="s">
        <v>20350</v>
      </c>
      <c r="X6404">
        <v>9</v>
      </c>
      <c r="Y6404" t="s">
        <v>27141</v>
      </c>
      <c r="Z6404" t="s">
        <v>34114</v>
      </c>
      <c r="AA6404">
        <v>0.39376153065256592</v>
      </c>
      <c r="AB6404" t="str">
        <f>HYPERLINK("Melting_Curves/meltCurve_Q9NZ01_TECR.pdf", "Melting_Curves/meltCurve_Q9NZ01_TECR.pdf")</f>
        <v>Melting_Curves/meltCurve_Q9NZ01_TECR.pdf</v>
      </c>
    </row>
    <row r="6405" spans="1:28" x14ac:dyDescent="0.25">
      <c r="A6405" t="s">
        <v>6409</v>
      </c>
      <c r="B6405">
        <v>0.99999676499088797</v>
      </c>
      <c r="C6405">
        <v>1.0521784138025101</v>
      </c>
      <c r="D6405">
        <v>1.0736461769697001</v>
      </c>
      <c r="E6405">
        <v>1.14339380558737</v>
      </c>
      <c r="F6405">
        <v>0.42126550764444498</v>
      </c>
      <c r="G6405">
        <v>0.28692079932129899</v>
      </c>
      <c r="H6405">
        <v>0.13582167290814801</v>
      </c>
      <c r="I6405">
        <v>0.118324247774123</v>
      </c>
      <c r="J6405">
        <v>0.111253168570473</v>
      </c>
      <c r="K6405">
        <v>0.109066969813161</v>
      </c>
      <c r="L6405">
        <v>9991.1954000888709</v>
      </c>
      <c r="M6405">
        <v>188.57057729766299</v>
      </c>
      <c r="N6405">
        <v>53.086119540292003</v>
      </c>
      <c r="O6405">
        <v>52.977895617132603</v>
      </c>
      <c r="P6405">
        <v>-0.75435117219495795</v>
      </c>
      <c r="Q6405">
        <v>0.15227634245457</v>
      </c>
      <c r="R6405">
        <v>0.97289334511879699</v>
      </c>
      <c r="S6405" t="s">
        <v>13408</v>
      </c>
      <c r="T6405" t="s">
        <v>14004</v>
      </c>
      <c r="U6405" t="s">
        <v>14004</v>
      </c>
      <c r="V6405" t="s">
        <v>14004</v>
      </c>
      <c r="W6405" t="s">
        <v>20351</v>
      </c>
      <c r="X6405">
        <v>31</v>
      </c>
      <c r="Y6405" t="s">
        <v>27142</v>
      </c>
      <c r="Z6405" t="s">
        <v>34115</v>
      </c>
      <c r="AA6405">
        <v>0.51930550769752348</v>
      </c>
      <c r="AB6405" t="str">
        <f>HYPERLINK("Melting_Curves/meltCurve_Q9NZ08_ERAP1.pdf", "Melting_Curves/meltCurve_Q9NZ08_ERAP1.pdf")</f>
        <v>Melting_Curves/meltCurve_Q9NZ08_ERAP1.pdf</v>
      </c>
    </row>
    <row r="6406" spans="1:28" x14ac:dyDescent="0.25">
      <c r="A6406" t="s">
        <v>6410</v>
      </c>
      <c r="B6406">
        <v>0.99999676499088797</v>
      </c>
      <c r="C6406">
        <v>0.96578055667379703</v>
      </c>
      <c r="D6406">
        <v>0.81311524594707796</v>
      </c>
      <c r="E6406">
        <v>0.38997814363568001</v>
      </c>
      <c r="F6406">
        <v>0.38490108005517398</v>
      </c>
      <c r="G6406">
        <v>0.26733719150231899</v>
      </c>
      <c r="H6406">
        <v>0.148643250383206</v>
      </c>
      <c r="I6406">
        <v>0.16477554392562499</v>
      </c>
      <c r="J6406">
        <v>0.14125366559150501</v>
      </c>
      <c r="K6406">
        <v>0.12038225305311601</v>
      </c>
      <c r="L6406">
        <v>881.29401644377799</v>
      </c>
      <c r="M6406">
        <v>18.146681038098201</v>
      </c>
      <c r="N6406">
        <v>49.561704707734897</v>
      </c>
      <c r="O6406">
        <v>47.9867758372094</v>
      </c>
      <c r="P6406">
        <v>-8.0090883751533296E-2</v>
      </c>
      <c r="Q6406">
        <v>0.15287648350187999</v>
      </c>
      <c r="R6406">
        <v>0.97507619898071296</v>
      </c>
      <c r="S6406" t="s">
        <v>13409</v>
      </c>
      <c r="T6406" t="s">
        <v>14004</v>
      </c>
      <c r="U6406" t="s">
        <v>14004</v>
      </c>
      <c r="V6406" t="s">
        <v>14004</v>
      </c>
      <c r="W6406" t="s">
        <v>20352</v>
      </c>
      <c r="X6406">
        <v>3</v>
      </c>
      <c r="Y6406" t="s">
        <v>27143</v>
      </c>
      <c r="Z6406" t="s">
        <v>34116</v>
      </c>
      <c r="AA6406">
        <v>0.4092947837630676</v>
      </c>
      <c r="AB6406" t="str">
        <f>HYPERLINK("Melting_Curves/meltCurve_Q9NZ09_UBAP1.pdf", "Melting_Curves/meltCurve_Q9NZ09_UBAP1.pdf")</f>
        <v>Melting_Curves/meltCurve_Q9NZ09_UBAP1.pdf</v>
      </c>
    </row>
    <row r="6407" spans="1:28" x14ac:dyDescent="0.25">
      <c r="A6407" t="s">
        <v>6411</v>
      </c>
      <c r="B6407">
        <v>0.99999676499088797</v>
      </c>
      <c r="C6407">
        <v>1.0319166334902901</v>
      </c>
      <c r="D6407">
        <v>1.0803421054271201</v>
      </c>
      <c r="E6407">
        <v>0.99452070037925799</v>
      </c>
      <c r="F6407">
        <v>1.0258438215825001</v>
      </c>
      <c r="G6407">
        <v>0.97252605554054905</v>
      </c>
      <c r="H6407">
        <v>0.72355980314588897</v>
      </c>
      <c r="I6407">
        <v>0.41273151173336903</v>
      </c>
      <c r="J6407">
        <v>0.15642207242511599</v>
      </c>
      <c r="K6407">
        <v>9.0719745047383393E-2</v>
      </c>
      <c r="L6407">
        <v>1826.65040095071</v>
      </c>
      <c r="M6407">
        <v>29.057303110100499</v>
      </c>
      <c r="N6407">
        <v>63.033339818409601</v>
      </c>
      <c r="O6407">
        <v>62.568259353230196</v>
      </c>
      <c r="P6407">
        <v>-0.111737164922685</v>
      </c>
      <c r="Q6407">
        <v>3.7605635434023101E-2</v>
      </c>
      <c r="R6407">
        <v>0.99303062078610504</v>
      </c>
      <c r="S6407" t="s">
        <v>13410</v>
      </c>
      <c r="T6407" t="s">
        <v>14004</v>
      </c>
      <c r="U6407" t="s">
        <v>14004</v>
      </c>
      <c r="V6407" t="s">
        <v>14004</v>
      </c>
      <c r="W6407" t="s">
        <v>20353</v>
      </c>
      <c r="X6407">
        <v>15</v>
      </c>
      <c r="Y6407" t="s">
        <v>27144</v>
      </c>
      <c r="Z6407" t="s">
        <v>34117</v>
      </c>
      <c r="AA6407">
        <v>0.77434027189451959</v>
      </c>
      <c r="AB6407" t="str">
        <f>HYPERLINK("Melting_Curves/meltCurve_Q9NZ32_ACTR10.pdf", "Melting_Curves/meltCurve_Q9NZ32_ACTR10.pdf")</f>
        <v>Melting_Curves/meltCurve_Q9NZ32_ACTR10.pdf</v>
      </c>
    </row>
    <row r="6408" spans="1:28" x14ac:dyDescent="0.25">
      <c r="A6408" t="s">
        <v>6412</v>
      </c>
      <c r="B6408">
        <v>0.99999676499088797</v>
      </c>
      <c r="C6408">
        <v>1.0626053096478001</v>
      </c>
      <c r="D6408">
        <v>1.0590199419702999</v>
      </c>
      <c r="E6408">
        <v>0.68249368602886595</v>
      </c>
      <c r="F6408">
        <v>0.460324351682181</v>
      </c>
      <c r="G6408">
        <v>0.26012286933429601</v>
      </c>
      <c r="H6408">
        <v>0.146426897658571</v>
      </c>
      <c r="I6408">
        <v>0.16312500665291199</v>
      </c>
      <c r="J6408">
        <v>0.14635890899746001</v>
      </c>
      <c r="K6408">
        <v>0.18266040926166099</v>
      </c>
      <c r="L6408">
        <v>1208.7927961620801</v>
      </c>
      <c r="M6408">
        <v>23.484279602011501</v>
      </c>
      <c r="N6408">
        <v>52.315410585601903</v>
      </c>
      <c r="O6408">
        <v>51.1035691184521</v>
      </c>
      <c r="P6408">
        <v>-9.6789803648221096E-2</v>
      </c>
      <c r="Q6408">
        <v>0.157526999031735</v>
      </c>
      <c r="R6408">
        <v>0.98248128296791604</v>
      </c>
      <c r="S6408" t="s">
        <v>13411</v>
      </c>
      <c r="T6408" t="s">
        <v>14004</v>
      </c>
      <c r="U6408" t="s">
        <v>14004</v>
      </c>
      <c r="V6408" t="s">
        <v>14004</v>
      </c>
      <c r="W6408" t="s">
        <v>20354</v>
      </c>
      <c r="X6408">
        <v>9</v>
      </c>
      <c r="Y6408" t="s">
        <v>27145</v>
      </c>
      <c r="Z6408" t="s">
        <v>34118</v>
      </c>
      <c r="AA6408">
        <v>0.48833471163164133</v>
      </c>
      <c r="AB6408" t="str">
        <f>HYPERLINK("Melting_Curves/meltCurve_Q9NZ43_USE1.pdf", "Melting_Curves/meltCurve_Q9NZ43_USE1.pdf")</f>
        <v>Melting_Curves/meltCurve_Q9NZ43_USE1.pdf</v>
      </c>
    </row>
    <row r="6409" spans="1:28" x14ac:dyDescent="0.25">
      <c r="A6409" t="s">
        <v>6413</v>
      </c>
      <c r="B6409">
        <v>0.99999676499088797</v>
      </c>
      <c r="C6409">
        <v>0.82230637038403698</v>
      </c>
      <c r="D6409">
        <v>0.86403138676217595</v>
      </c>
      <c r="E6409">
        <v>0.79949005529347605</v>
      </c>
      <c r="F6409">
        <v>0.78725122697273497</v>
      </c>
      <c r="G6409">
        <v>0.70592653328827504</v>
      </c>
      <c r="H6409">
        <v>0.58328714629515099</v>
      </c>
      <c r="I6409">
        <v>0.49463622179587502</v>
      </c>
      <c r="J6409">
        <v>0.385796076497399</v>
      </c>
      <c r="K6409">
        <v>0.53950557005565303</v>
      </c>
      <c r="L6409">
        <v>298.77003351752097</v>
      </c>
      <c r="M6409">
        <v>4.7298660154456904</v>
      </c>
      <c r="N6409">
        <v>66.160461638075404</v>
      </c>
      <c r="O6409">
        <v>54.390435720270901</v>
      </c>
      <c r="P6409">
        <v>-1.9791367389514501E-2</v>
      </c>
      <c r="Q6409">
        <v>9.6336458873985897E-2</v>
      </c>
      <c r="R6409">
        <v>0.89103891115395994</v>
      </c>
      <c r="S6409" t="s">
        <v>13412</v>
      </c>
      <c r="T6409" t="s">
        <v>14004</v>
      </c>
      <c r="U6409" t="s">
        <v>14004</v>
      </c>
      <c r="V6409" t="s">
        <v>14004</v>
      </c>
      <c r="W6409" t="s">
        <v>20355</v>
      </c>
      <c r="X6409">
        <v>9</v>
      </c>
      <c r="Y6409" t="s">
        <v>27146</v>
      </c>
      <c r="Z6409" t="s">
        <v>34119</v>
      </c>
      <c r="AA6409">
        <v>0.7002106166348333</v>
      </c>
      <c r="AB6409" t="str">
        <f>HYPERLINK("Melting_Curves/meltCurve_Q9NZ45_CISD1.pdf", "Melting_Curves/meltCurve_Q9NZ45_CISD1.pdf")</f>
        <v>Melting_Curves/meltCurve_Q9NZ45_CISD1.pdf</v>
      </c>
    </row>
    <row r="6410" spans="1:28" x14ac:dyDescent="0.25">
      <c r="A6410" t="s">
        <v>6414</v>
      </c>
      <c r="B6410">
        <v>0.99999676499088797</v>
      </c>
      <c r="C6410">
        <v>0.92918901552738797</v>
      </c>
      <c r="D6410">
        <v>0.77426459936276004</v>
      </c>
      <c r="E6410">
        <v>0.327414276009526</v>
      </c>
      <c r="F6410">
        <v>0.202261492133016</v>
      </c>
      <c r="G6410">
        <v>0.11615723678668601</v>
      </c>
      <c r="H6410">
        <v>8.1935463346446802E-2</v>
      </c>
      <c r="I6410">
        <v>8.8684427991725795E-2</v>
      </c>
      <c r="J6410">
        <v>8.0038845484324703E-2</v>
      </c>
      <c r="K6410">
        <v>7.4902504966130698E-2</v>
      </c>
      <c r="L6410">
        <v>1159.77503860041</v>
      </c>
      <c r="M6410">
        <v>24.231697521973501</v>
      </c>
      <c r="N6410">
        <v>48.241391600734403</v>
      </c>
      <c r="O6410">
        <v>47.5395043109638</v>
      </c>
      <c r="P6410">
        <v>-0.116373191788554</v>
      </c>
      <c r="Q6410">
        <v>8.677638732654E-2</v>
      </c>
      <c r="R6410">
        <v>0.99678672918100997</v>
      </c>
      <c r="S6410" t="s">
        <v>13413</v>
      </c>
      <c r="T6410" t="s">
        <v>14004</v>
      </c>
      <c r="U6410" t="s">
        <v>14004</v>
      </c>
      <c r="V6410" t="s">
        <v>14004</v>
      </c>
      <c r="W6410" t="s">
        <v>20356</v>
      </c>
      <c r="X6410">
        <v>7</v>
      </c>
      <c r="Y6410" t="s">
        <v>27147</v>
      </c>
      <c r="Z6410" t="s">
        <v>34120</v>
      </c>
      <c r="AA6410">
        <v>0.33473068971653308</v>
      </c>
      <c r="AB6410" t="str">
        <f>HYPERLINK("Melting_Curves/meltCurve_Q9NZ52_GGA3.pdf", "Melting_Curves/meltCurve_Q9NZ52_GGA3.pdf")</f>
        <v>Melting_Curves/meltCurve_Q9NZ52_GGA3.pdf</v>
      </c>
    </row>
    <row r="6411" spans="1:28" x14ac:dyDescent="0.25">
      <c r="A6411" t="s">
        <v>6415</v>
      </c>
      <c r="B6411">
        <v>0.99999676499088797</v>
      </c>
      <c r="C6411">
        <v>0.91123756259771704</v>
      </c>
      <c r="D6411">
        <v>0.93116640765126202</v>
      </c>
      <c r="E6411">
        <v>0.944873538563056</v>
      </c>
      <c r="F6411">
        <v>0.85872285365568402</v>
      </c>
      <c r="G6411">
        <v>0.80343171393032298</v>
      </c>
      <c r="H6411">
        <v>0.51100273524092998</v>
      </c>
      <c r="I6411">
        <v>0.54595651174028204</v>
      </c>
      <c r="J6411">
        <v>0.52646339061545699</v>
      </c>
      <c r="K6411">
        <v>0.649483816276204</v>
      </c>
      <c r="L6411">
        <v>1294.3564908144101</v>
      </c>
      <c r="M6411">
        <v>23.2278200005115</v>
      </c>
      <c r="O6411">
        <v>55.316308347455603</v>
      </c>
      <c r="P6411">
        <v>-4.7422712795879403E-2</v>
      </c>
      <c r="Q6411">
        <v>0.54826545372827695</v>
      </c>
      <c r="R6411">
        <v>0.87925372409265901</v>
      </c>
      <c r="S6411" t="s">
        <v>13414</v>
      </c>
      <c r="T6411" t="s">
        <v>14004</v>
      </c>
      <c r="U6411" t="s">
        <v>14004</v>
      </c>
      <c r="V6411" t="s">
        <v>14004</v>
      </c>
      <c r="W6411" t="s">
        <v>20357</v>
      </c>
      <c r="X6411">
        <v>24</v>
      </c>
      <c r="Y6411" t="s">
        <v>27148</v>
      </c>
      <c r="Z6411" t="s">
        <v>34121</v>
      </c>
      <c r="AA6411">
        <v>0.78973583575589679</v>
      </c>
      <c r="AB6411" t="str">
        <f>HYPERLINK("Melting_Curves/meltCurve_Q9NZ63_C9orf78.pdf", "Melting_Curves/meltCurve_Q9NZ63_C9orf78.pdf")</f>
        <v>Melting_Curves/meltCurve_Q9NZ63_C9orf78.pdf</v>
      </c>
    </row>
    <row r="6412" spans="1:28" x14ac:dyDescent="0.25">
      <c r="A6412" t="s">
        <v>6416</v>
      </c>
      <c r="B6412">
        <v>0.99999676499088797</v>
      </c>
      <c r="C6412">
        <v>1.0517883494962701</v>
      </c>
      <c r="D6412">
        <v>1.0110375134791001</v>
      </c>
      <c r="E6412">
        <v>1.04151519640442</v>
      </c>
      <c r="F6412">
        <v>0.59559875317321598</v>
      </c>
      <c r="G6412">
        <v>0.26908956881621598</v>
      </c>
      <c r="H6412">
        <v>0.155007026205119</v>
      </c>
      <c r="I6412">
        <v>0.140634556074065</v>
      </c>
      <c r="J6412">
        <v>5.9182191123623301E-2</v>
      </c>
      <c r="K6412">
        <v>4.0385550985656597E-2</v>
      </c>
      <c r="L6412">
        <v>1735.9152663795801</v>
      </c>
      <c r="M6412">
        <v>32.2196539816129</v>
      </c>
      <c r="N6412">
        <v>54.229428005680496</v>
      </c>
      <c r="O6412">
        <v>53.671275353563402</v>
      </c>
      <c r="P6412">
        <v>-0.135921816429486</v>
      </c>
      <c r="Q6412">
        <v>9.4334392794183999E-2</v>
      </c>
      <c r="R6412">
        <v>0.98783549943931503</v>
      </c>
      <c r="S6412" t="s">
        <v>13415</v>
      </c>
      <c r="T6412" t="s">
        <v>14004</v>
      </c>
      <c r="U6412" t="s">
        <v>14004</v>
      </c>
      <c r="V6412" t="s">
        <v>14004</v>
      </c>
      <c r="W6412" t="s">
        <v>20358</v>
      </c>
      <c r="X6412">
        <v>1</v>
      </c>
      <c r="Y6412" t="s">
        <v>27149</v>
      </c>
      <c r="Z6412" t="s">
        <v>34122</v>
      </c>
      <c r="AA6412">
        <v>0.51845102372288732</v>
      </c>
      <c r="AB6412" t="str">
        <f>HYPERLINK("Melting_Curves/meltCurve_Q9NZA1_3_CLIC5.pdf", "Melting_Curves/meltCurve_Q9NZA1_3_CLIC5.pdf")</f>
        <v>Melting_Curves/meltCurve_Q9NZA1_3_CLIC5.pdf</v>
      </c>
    </row>
    <row r="6413" spans="1:28" x14ac:dyDescent="0.25">
      <c r="A6413" t="s">
        <v>6417</v>
      </c>
      <c r="B6413">
        <v>0.99999676499088797</v>
      </c>
      <c r="C6413">
        <v>1.1049316023629301</v>
      </c>
      <c r="D6413">
        <v>1.19032873115412</v>
      </c>
      <c r="E6413">
        <v>1.28864212511354</v>
      </c>
      <c r="F6413">
        <v>0.74807341881748801</v>
      </c>
      <c r="G6413">
        <v>0.42914753508402098</v>
      </c>
      <c r="H6413">
        <v>0.16588287147143699</v>
      </c>
      <c r="I6413">
        <v>0.14346531008275501</v>
      </c>
      <c r="J6413">
        <v>0.15884390224296999</v>
      </c>
      <c r="K6413">
        <v>0.158906565661355</v>
      </c>
      <c r="L6413">
        <v>1938.3699621661499</v>
      </c>
      <c r="M6413">
        <v>35.070543637552703</v>
      </c>
      <c r="N6413">
        <v>55.842649005408397</v>
      </c>
      <c r="O6413">
        <v>55.091815102757899</v>
      </c>
      <c r="P6413">
        <v>-0.13513020160050601</v>
      </c>
      <c r="Q6413">
        <v>0.15090653597172199</v>
      </c>
      <c r="R6413">
        <v>0.92797466696228303</v>
      </c>
      <c r="S6413" t="s">
        <v>13416</v>
      </c>
      <c r="T6413" t="s">
        <v>14004</v>
      </c>
      <c r="U6413" t="s">
        <v>14004</v>
      </c>
      <c r="V6413" t="s">
        <v>14004</v>
      </c>
      <c r="W6413" t="s">
        <v>20359</v>
      </c>
      <c r="X6413">
        <v>19</v>
      </c>
      <c r="Y6413" t="s">
        <v>27150</v>
      </c>
      <c r="Z6413" t="s">
        <v>34123</v>
      </c>
      <c r="AA6413">
        <v>0.5872963964460427</v>
      </c>
      <c r="AB6413" t="str">
        <f>HYPERLINK("Melting_Curves/meltCurve_Q9NZB2_FAM120A.pdf", "Melting_Curves/meltCurve_Q9NZB2_FAM120A.pdf")</f>
        <v>Melting_Curves/meltCurve_Q9NZB2_FAM120A.pdf</v>
      </c>
    </row>
    <row r="6414" spans="1:28" x14ac:dyDescent="0.25">
      <c r="A6414" t="s">
        <v>6418</v>
      </c>
      <c r="B6414">
        <v>0.99999676499088797</v>
      </c>
      <c r="C6414">
        <v>0.94598315932329202</v>
      </c>
      <c r="D6414">
        <v>0.85434303043708104</v>
      </c>
      <c r="E6414">
        <v>0.70170438685582104</v>
      </c>
      <c r="F6414">
        <v>0.48497151256006199</v>
      </c>
      <c r="G6414">
        <v>0.34373953427930698</v>
      </c>
      <c r="H6414">
        <v>0.17456098839562401</v>
      </c>
      <c r="I6414">
        <v>0.146301436395298</v>
      </c>
      <c r="J6414">
        <v>0.15750833575946899</v>
      </c>
      <c r="K6414">
        <v>0.12749042310046901</v>
      </c>
      <c r="L6414">
        <v>693.33197429375105</v>
      </c>
      <c r="M6414">
        <v>13.2940426457725</v>
      </c>
      <c r="N6414">
        <v>52.950054600459701</v>
      </c>
      <c r="O6414">
        <v>51.015860019563299</v>
      </c>
      <c r="P6414">
        <v>-5.9252532674743001E-2</v>
      </c>
      <c r="Q6414">
        <v>9.0621389609217395E-2</v>
      </c>
      <c r="R6414">
        <v>0.99721733412408098</v>
      </c>
      <c r="S6414" t="s">
        <v>13417</v>
      </c>
      <c r="T6414" t="s">
        <v>14004</v>
      </c>
      <c r="U6414" t="s">
        <v>14004</v>
      </c>
      <c r="V6414" t="s">
        <v>14004</v>
      </c>
      <c r="W6414" t="s">
        <v>20360</v>
      </c>
      <c r="X6414">
        <v>9</v>
      </c>
      <c r="Y6414" t="s">
        <v>27151</v>
      </c>
      <c r="Z6414" t="s">
        <v>34124</v>
      </c>
      <c r="AA6414">
        <v>0.48309445325679079</v>
      </c>
      <c r="AB6414" t="str">
        <f>HYPERLINK("Melting_Curves/meltCurve_Q9NZB8_2_MOCS1.pdf", "Melting_Curves/meltCurve_Q9NZB8_2_MOCS1.pdf")</f>
        <v>Melting_Curves/meltCurve_Q9NZB8_2_MOCS1.pdf</v>
      </c>
    </row>
    <row r="6415" spans="1:28" x14ac:dyDescent="0.25">
      <c r="A6415" t="s">
        <v>6419</v>
      </c>
      <c r="B6415">
        <v>0.99999676499088797</v>
      </c>
      <c r="C6415">
        <v>0.96926215658017401</v>
      </c>
      <c r="D6415">
        <v>0.97586067987005698</v>
      </c>
      <c r="E6415">
        <v>0.85783120109622402</v>
      </c>
      <c r="F6415">
        <v>0.89914039513420396</v>
      </c>
      <c r="G6415">
        <v>0.76544014344007305</v>
      </c>
      <c r="H6415">
        <v>0.43353079185146898</v>
      </c>
      <c r="I6415">
        <v>0.14024957828450799</v>
      </c>
      <c r="J6415">
        <v>0.100570568982007</v>
      </c>
      <c r="K6415">
        <v>6.2582199733766095E-2</v>
      </c>
      <c r="L6415">
        <v>1223.3444000936199</v>
      </c>
      <c r="M6415">
        <v>20.501608949721302</v>
      </c>
      <c r="N6415">
        <v>59.670654492719798</v>
      </c>
      <c r="O6415">
        <v>59.1116326550124</v>
      </c>
      <c r="P6415">
        <v>-8.6709724483171699E-2</v>
      </c>
      <c r="Q6415">
        <v>0</v>
      </c>
      <c r="R6415">
        <v>0.98316027819898</v>
      </c>
      <c r="S6415" t="s">
        <v>13418</v>
      </c>
      <c r="T6415" t="s">
        <v>14004</v>
      </c>
      <c r="U6415" t="s">
        <v>14004</v>
      </c>
      <c r="V6415" t="s">
        <v>14004</v>
      </c>
      <c r="W6415" t="s">
        <v>20361</v>
      </c>
      <c r="X6415">
        <v>6</v>
      </c>
      <c r="Y6415" t="s">
        <v>27152</v>
      </c>
      <c r="Z6415" t="s">
        <v>34125</v>
      </c>
      <c r="AA6415">
        <v>0.66458398609653169</v>
      </c>
      <c r="AB6415" t="str">
        <f>HYPERLINK("Melting_Curves/meltCurve_Q9NZC3_GDE1.pdf", "Melting_Curves/meltCurve_Q9NZC3_GDE1.pdf")</f>
        <v>Melting_Curves/meltCurve_Q9NZC3_GDE1.pdf</v>
      </c>
    </row>
    <row r="6416" spans="1:28" x14ac:dyDescent="0.25">
      <c r="A6416" t="s">
        <v>6420</v>
      </c>
      <c r="B6416">
        <v>0.99999676499088797</v>
      </c>
      <c r="C6416">
        <v>0.90937342340361904</v>
      </c>
      <c r="D6416">
        <v>0.62361367098857301</v>
      </c>
      <c r="E6416">
        <v>0.50380930105380595</v>
      </c>
      <c r="F6416">
        <v>0.377121379064289</v>
      </c>
      <c r="G6416">
        <v>0.255307588937569</v>
      </c>
      <c r="H6416">
        <v>0.106938139299653</v>
      </c>
      <c r="I6416">
        <v>5.50406056265055E-2</v>
      </c>
      <c r="J6416">
        <v>5.6832680683654199E-2</v>
      </c>
      <c r="K6416">
        <v>5.1996438554227899E-2</v>
      </c>
      <c r="L6416">
        <v>537.74751235555595</v>
      </c>
      <c r="M6416">
        <v>10.772438943544801</v>
      </c>
      <c r="N6416">
        <v>49.918826661247302</v>
      </c>
      <c r="O6416">
        <v>48.290902560778697</v>
      </c>
      <c r="P6416">
        <v>-5.5788863108322401E-2</v>
      </c>
      <c r="Q6416">
        <v>0</v>
      </c>
      <c r="R6416">
        <v>0.98224689335491</v>
      </c>
      <c r="S6416" t="s">
        <v>13419</v>
      </c>
      <c r="T6416" t="s">
        <v>14004</v>
      </c>
      <c r="U6416" t="s">
        <v>14004</v>
      </c>
      <c r="V6416" t="s">
        <v>14004</v>
      </c>
      <c r="W6416" t="s">
        <v>20362</v>
      </c>
      <c r="X6416">
        <v>3</v>
      </c>
      <c r="Y6416" t="s">
        <v>27153</v>
      </c>
      <c r="Z6416" t="s">
        <v>34126</v>
      </c>
      <c r="AA6416">
        <v>0.37158298415521068</v>
      </c>
      <c r="AB6416" t="str">
        <f>HYPERLINK("Melting_Curves/meltCurve_Q9NZC7_WWOX.pdf", "Melting_Curves/meltCurve_Q9NZC7_WWOX.pdf")</f>
        <v>Melting_Curves/meltCurve_Q9NZC7_WWOX.pdf</v>
      </c>
    </row>
    <row r="6417" spans="1:28" x14ac:dyDescent="0.25">
      <c r="A6417" t="s">
        <v>6421</v>
      </c>
      <c r="B6417">
        <v>0.99999676499088797</v>
      </c>
      <c r="C6417">
        <v>0.91903956552372501</v>
      </c>
      <c r="D6417">
        <v>0.58899291992283398</v>
      </c>
      <c r="E6417">
        <v>0.24144710378807999</v>
      </c>
      <c r="F6417">
        <v>0.18115278443980301</v>
      </c>
      <c r="G6417">
        <v>0.107007342809731</v>
      </c>
      <c r="H6417">
        <v>6.0626405364316703E-2</v>
      </c>
      <c r="I6417">
        <v>7.5817152232621199E-2</v>
      </c>
      <c r="J6417">
        <v>6.3944220351068906E-2</v>
      </c>
      <c r="K6417">
        <v>6.6211499553297096E-2</v>
      </c>
      <c r="L6417">
        <v>1109.22665822196</v>
      </c>
      <c r="M6417">
        <v>23.825759528025799</v>
      </c>
      <c r="N6417">
        <v>46.896089207769698</v>
      </c>
      <c r="O6417">
        <v>46.231547992693798</v>
      </c>
      <c r="P6417">
        <v>-0.118613030592151</v>
      </c>
      <c r="Q6417">
        <v>7.9387672289159897E-2</v>
      </c>
      <c r="R6417">
        <v>0.99520959719769597</v>
      </c>
      <c r="S6417" t="s">
        <v>13420</v>
      </c>
      <c r="T6417" t="s">
        <v>14004</v>
      </c>
      <c r="U6417" t="s">
        <v>14004</v>
      </c>
      <c r="V6417" t="s">
        <v>14004</v>
      </c>
      <c r="W6417" t="s">
        <v>20363</v>
      </c>
      <c r="X6417">
        <v>7</v>
      </c>
      <c r="Y6417" t="s">
        <v>27154</v>
      </c>
      <c r="Z6417" t="s">
        <v>34127</v>
      </c>
      <c r="AA6417">
        <v>0.28982989811836368</v>
      </c>
      <c r="AB6417" t="str">
        <f>HYPERLINK("Melting_Curves/meltCurve_Q9NZC9_SMARCAL1.pdf", "Melting_Curves/meltCurve_Q9NZC9_SMARCAL1.pdf")</f>
        <v>Melting_Curves/meltCurve_Q9NZC9_SMARCAL1.pdf</v>
      </c>
    </row>
    <row r="6418" spans="1:28" x14ac:dyDescent="0.25">
      <c r="A6418" t="s">
        <v>6422</v>
      </c>
      <c r="B6418">
        <v>0.99999676499088797</v>
      </c>
      <c r="C6418">
        <v>0.82608628924584804</v>
      </c>
      <c r="D6418">
        <v>0.775307475835603</v>
      </c>
      <c r="E6418">
        <v>0.54772640925715299</v>
      </c>
      <c r="F6418">
        <v>0.18571041681548101</v>
      </c>
      <c r="G6418">
        <v>0.112872338087751</v>
      </c>
      <c r="H6418">
        <v>4.9604813184338903E-2</v>
      </c>
      <c r="I6418">
        <v>5.4439197928142197E-2</v>
      </c>
      <c r="J6418">
        <v>4.1827067715945097E-2</v>
      </c>
      <c r="K6418">
        <v>4.2260887392415902E-2</v>
      </c>
      <c r="L6418">
        <v>795.93882945500604</v>
      </c>
      <c r="M6418">
        <v>16.154907705988101</v>
      </c>
      <c r="N6418">
        <v>49.385363392244201</v>
      </c>
      <c r="O6418">
        <v>48.532774225385197</v>
      </c>
      <c r="P6418">
        <v>-8.1670798610669199E-2</v>
      </c>
      <c r="Q6418">
        <v>1.8648539790434501E-2</v>
      </c>
      <c r="R6418">
        <v>0.986466985735035</v>
      </c>
      <c r="S6418" t="s">
        <v>13421</v>
      </c>
      <c r="T6418" t="s">
        <v>14004</v>
      </c>
      <c r="U6418" t="s">
        <v>14004</v>
      </c>
      <c r="V6418" t="s">
        <v>14004</v>
      </c>
      <c r="W6418" t="s">
        <v>20364</v>
      </c>
      <c r="X6418">
        <v>6</v>
      </c>
      <c r="Y6418" t="s">
        <v>27155</v>
      </c>
      <c r="Z6418" t="s">
        <v>34128</v>
      </c>
      <c r="AA6418">
        <v>0.34272169663720642</v>
      </c>
      <c r="AB6418" t="str">
        <f>HYPERLINK("Melting_Curves/meltCurve_Q9NZD2_GLTP.pdf", "Melting_Curves/meltCurve_Q9NZD2_GLTP.pdf")</f>
        <v>Melting_Curves/meltCurve_Q9NZD2_GLTP.pdf</v>
      </c>
    </row>
    <row r="6419" spans="1:28" x14ac:dyDescent="0.25">
      <c r="A6419" t="s">
        <v>6423</v>
      </c>
      <c r="B6419">
        <v>0.99999676499088797</v>
      </c>
      <c r="C6419">
        <v>0.80488223750906396</v>
      </c>
      <c r="D6419">
        <v>0.74525606174048897</v>
      </c>
      <c r="E6419">
        <v>0.54541594099053103</v>
      </c>
      <c r="F6419">
        <v>0.25856159435697601</v>
      </c>
      <c r="G6419">
        <v>0.15987119316700699</v>
      </c>
      <c r="H6419">
        <v>0.100908314469263</v>
      </c>
      <c r="I6419">
        <v>4.8309469698973199E-2</v>
      </c>
      <c r="J6419">
        <v>6.3579801133749503E-2</v>
      </c>
      <c r="K6419">
        <v>5.7859907368590299E-2</v>
      </c>
      <c r="L6419">
        <v>650.16594864579895</v>
      </c>
      <c r="M6419">
        <v>13.1654987380488</v>
      </c>
      <c r="N6419">
        <v>49.548423937698502</v>
      </c>
      <c r="O6419">
        <v>48.286399895121399</v>
      </c>
      <c r="P6419">
        <v>-6.6718503456287298E-2</v>
      </c>
      <c r="Q6419">
        <v>2.13649502461647E-2</v>
      </c>
      <c r="R6419">
        <v>0.98925663616841897</v>
      </c>
      <c r="S6419" t="s">
        <v>13422</v>
      </c>
      <c r="T6419" t="s">
        <v>14004</v>
      </c>
      <c r="U6419" t="s">
        <v>14004</v>
      </c>
      <c r="V6419" t="s">
        <v>14004</v>
      </c>
      <c r="W6419" t="s">
        <v>20365</v>
      </c>
      <c r="X6419">
        <v>1</v>
      </c>
      <c r="Y6419" t="s">
        <v>27156</v>
      </c>
      <c r="Z6419" t="s">
        <v>34129</v>
      </c>
      <c r="AA6419">
        <v>0.35755075332624131</v>
      </c>
      <c r="AB6419" t="str">
        <f>HYPERLINK("Melting_Curves/meltCurve_Q9NZD8_2_SPG21.pdf", "Melting_Curves/meltCurve_Q9NZD8_2_SPG21.pdf")</f>
        <v>Melting_Curves/meltCurve_Q9NZD8_2_SPG21.pdf</v>
      </c>
    </row>
    <row r="6420" spans="1:28" x14ac:dyDescent="0.25">
      <c r="A6420" t="s">
        <v>6424</v>
      </c>
      <c r="B6420">
        <v>0.99999676499088797</v>
      </c>
      <c r="C6420">
        <v>1.1180907544787699</v>
      </c>
      <c r="D6420">
        <v>1.05163315216912</v>
      </c>
      <c r="E6420">
        <v>0.90380721754761395</v>
      </c>
      <c r="F6420">
        <v>0.84110240470049402</v>
      </c>
      <c r="G6420">
        <v>0.69983439358997102</v>
      </c>
      <c r="H6420">
        <v>0.42911451172408699</v>
      </c>
      <c r="I6420">
        <v>0.52903566208610298</v>
      </c>
      <c r="J6420">
        <v>0.36011415108626599</v>
      </c>
      <c r="K6420">
        <v>0.43883694647270199</v>
      </c>
      <c r="L6420">
        <v>1108.8112072095801</v>
      </c>
      <c r="M6420">
        <v>19.7896396346686</v>
      </c>
      <c r="N6420">
        <v>60.983628985052803</v>
      </c>
      <c r="O6420">
        <v>55.467163817112201</v>
      </c>
      <c r="P6420">
        <v>-5.3536094281103702E-2</v>
      </c>
      <c r="Q6420">
        <v>0.39980825985058999</v>
      </c>
      <c r="R6420">
        <v>0.94556624299472403</v>
      </c>
      <c r="S6420" t="s">
        <v>13423</v>
      </c>
      <c r="T6420" t="s">
        <v>14004</v>
      </c>
      <c r="U6420" t="s">
        <v>14004</v>
      </c>
      <c r="V6420" t="s">
        <v>14004</v>
      </c>
      <c r="W6420" t="s">
        <v>20366</v>
      </c>
      <c r="X6420">
        <v>2</v>
      </c>
      <c r="Y6420" t="s">
        <v>27157</v>
      </c>
      <c r="Z6420" t="s">
        <v>34130</v>
      </c>
      <c r="AA6420">
        <v>0.72834092677703088</v>
      </c>
      <c r="AB6420" t="str">
        <f>HYPERLINK("Melting_Curves/meltCurve_Q9NZG7_NINJ2.pdf", "Melting_Curves/meltCurve_Q9NZG7_NINJ2.pdf")</f>
        <v>Melting_Curves/meltCurve_Q9NZG7_NINJ2.pdf</v>
      </c>
    </row>
    <row r="6421" spans="1:28" x14ac:dyDescent="0.25">
      <c r="A6421" t="s">
        <v>6425</v>
      </c>
      <c r="B6421">
        <v>0.99999676499088797</v>
      </c>
      <c r="C6421">
        <v>0.70744902888846795</v>
      </c>
      <c r="D6421">
        <v>0.32709199905375202</v>
      </c>
      <c r="E6421">
        <v>0.19928543586608499</v>
      </c>
      <c r="F6421">
        <v>0.15703534817731199</v>
      </c>
      <c r="G6421">
        <v>8.1085678771345204E-2</v>
      </c>
      <c r="H6421">
        <v>6.2505383725952907E-2</v>
      </c>
      <c r="I6421">
        <v>4.9089734476523997E-2</v>
      </c>
      <c r="J6421">
        <v>4.72820408946443E-2</v>
      </c>
      <c r="K6421">
        <v>3.9048015603251003E-2</v>
      </c>
      <c r="L6421">
        <v>1042.3471754099601</v>
      </c>
      <c r="M6421">
        <v>23.463629516854301</v>
      </c>
      <c r="N6421">
        <v>44.722450155058198</v>
      </c>
      <c r="O6421">
        <v>44.105040722438901</v>
      </c>
      <c r="P6421">
        <v>-0.123360321500199</v>
      </c>
      <c r="Q6421">
        <v>7.2484822041634894E-2</v>
      </c>
      <c r="R6421">
        <v>0.98468382983549496</v>
      </c>
      <c r="S6421" t="s">
        <v>13424</v>
      </c>
      <c r="T6421" t="s">
        <v>14004</v>
      </c>
      <c r="U6421" t="s">
        <v>14004</v>
      </c>
      <c r="V6421" t="s">
        <v>14004</v>
      </c>
      <c r="W6421" t="s">
        <v>20367</v>
      </c>
      <c r="X6421">
        <v>2</v>
      </c>
      <c r="Y6421" t="s">
        <v>27158</v>
      </c>
      <c r="Z6421" t="s">
        <v>34131</v>
      </c>
      <c r="AA6421">
        <v>0.2208316224974067</v>
      </c>
      <c r="AB6421" t="str">
        <f>HYPERLINK("Melting_Curves/meltCurve_Q9NZI7_UBP1.pdf", "Melting_Curves/meltCurve_Q9NZI7_UBP1.pdf")</f>
        <v>Melting_Curves/meltCurve_Q9NZI7_UBP1.pdf</v>
      </c>
    </row>
    <row r="6422" spans="1:28" x14ac:dyDescent="0.25">
      <c r="A6422" t="s">
        <v>6426</v>
      </c>
      <c r="B6422">
        <v>0.99999676499088797</v>
      </c>
      <c r="C6422">
        <v>0.98485280855082402</v>
      </c>
      <c r="D6422">
        <v>0.83132820532032203</v>
      </c>
      <c r="E6422">
        <v>0.29312806893478899</v>
      </c>
      <c r="F6422">
        <v>0.34649786418370399</v>
      </c>
      <c r="G6422">
        <v>0.21236379724354501</v>
      </c>
      <c r="H6422">
        <v>0.143305991009574</v>
      </c>
      <c r="I6422">
        <v>0.13823714854961799</v>
      </c>
      <c r="J6422">
        <v>0.149516808834746</v>
      </c>
      <c r="K6422">
        <v>9.4145251039786701E-2</v>
      </c>
      <c r="L6422">
        <v>1625.15718284793</v>
      </c>
      <c r="M6422">
        <v>34.1091116776173</v>
      </c>
      <c r="N6422">
        <v>48.232698278948803</v>
      </c>
      <c r="O6422">
        <v>47.482959227857698</v>
      </c>
      <c r="P6422">
        <v>-0.14908756400201501</v>
      </c>
      <c r="Q6422">
        <v>0.169829927915226</v>
      </c>
      <c r="R6422">
        <v>0.97073976265801498</v>
      </c>
      <c r="S6422" t="s">
        <v>13425</v>
      </c>
      <c r="T6422" t="s">
        <v>14004</v>
      </c>
      <c r="U6422" t="s">
        <v>14004</v>
      </c>
      <c r="V6422" t="s">
        <v>14004</v>
      </c>
      <c r="W6422" t="s">
        <v>20368</v>
      </c>
      <c r="X6422">
        <v>9</v>
      </c>
      <c r="Y6422" t="s">
        <v>27159</v>
      </c>
      <c r="Z6422" t="s">
        <v>34132</v>
      </c>
      <c r="AA6422">
        <v>0.38521848901700811</v>
      </c>
      <c r="AB6422" t="str">
        <f>HYPERLINK("Melting_Curves/meltCurve_Q9NZI8_IGF2BP1.pdf", "Melting_Curves/meltCurve_Q9NZI8_IGF2BP1.pdf")</f>
        <v>Melting_Curves/meltCurve_Q9NZI8_IGF2BP1.pdf</v>
      </c>
    </row>
    <row r="6423" spans="1:28" x14ac:dyDescent="0.25">
      <c r="A6423" t="s">
        <v>6427</v>
      </c>
      <c r="B6423">
        <v>0.99999676499088797</v>
      </c>
      <c r="C6423">
        <v>0.94917854165368698</v>
      </c>
      <c r="D6423">
        <v>1.01302532407089</v>
      </c>
      <c r="E6423">
        <v>0.99482764139207003</v>
      </c>
      <c r="F6423">
        <v>0.90021470527999503</v>
      </c>
      <c r="G6423">
        <v>0.50957186490638895</v>
      </c>
      <c r="H6423">
        <v>0.13049942513055601</v>
      </c>
      <c r="I6423">
        <v>9.7294900977331497E-2</v>
      </c>
      <c r="J6423">
        <v>8.74588012491333E-2</v>
      </c>
      <c r="K6423">
        <v>6.7017159648411206E-2</v>
      </c>
      <c r="L6423">
        <v>1994.89363341693</v>
      </c>
      <c r="M6423">
        <v>35.270191748951099</v>
      </c>
      <c r="N6423">
        <v>56.8160447862589</v>
      </c>
      <c r="O6423">
        <v>56.379432637669701</v>
      </c>
      <c r="P6423">
        <v>-0.14491866328377601</v>
      </c>
      <c r="Q6423">
        <v>7.3392780341280203E-2</v>
      </c>
      <c r="R6423">
        <v>0.99802364521392395</v>
      </c>
      <c r="S6423" t="s">
        <v>13426</v>
      </c>
      <c r="T6423" t="s">
        <v>14004</v>
      </c>
      <c r="U6423" t="s">
        <v>14004</v>
      </c>
      <c r="V6423" t="s">
        <v>14004</v>
      </c>
      <c r="W6423" t="s">
        <v>20369</v>
      </c>
      <c r="X6423">
        <v>5</v>
      </c>
      <c r="Y6423" t="s">
        <v>27160</v>
      </c>
      <c r="Z6423" t="s">
        <v>34133</v>
      </c>
      <c r="AA6423">
        <v>0.58946914552242835</v>
      </c>
      <c r="AB6423" t="str">
        <f>HYPERLINK("Melting_Curves/meltCurve_Q9NZJ6_COQ3.pdf", "Melting_Curves/meltCurve_Q9NZJ6_COQ3.pdf")</f>
        <v>Melting_Curves/meltCurve_Q9NZJ6_COQ3.pdf</v>
      </c>
    </row>
    <row r="6424" spans="1:28" x14ac:dyDescent="0.25">
      <c r="A6424" t="s">
        <v>6428</v>
      </c>
      <c r="B6424">
        <v>0.99999676499088797</v>
      </c>
      <c r="C6424">
        <v>0.96490236725642897</v>
      </c>
      <c r="D6424">
        <v>1.04798115279027</v>
      </c>
      <c r="E6424">
        <v>1.03944193469128</v>
      </c>
      <c r="F6424">
        <v>0.60031280864210601</v>
      </c>
      <c r="G6424">
        <v>0.211455618595733</v>
      </c>
      <c r="H6424">
        <v>7.1863987094334406E-2</v>
      </c>
      <c r="I6424">
        <v>7.0784182456058303E-2</v>
      </c>
      <c r="J6424">
        <v>5.7140353042288601E-2</v>
      </c>
      <c r="K6424">
        <v>6.2537426740187196E-2</v>
      </c>
      <c r="L6424">
        <v>2048.8874996305499</v>
      </c>
      <c r="M6424">
        <v>38.107012101366102</v>
      </c>
      <c r="N6424">
        <v>53.973959066958102</v>
      </c>
      <c r="O6424">
        <v>53.619255459906398</v>
      </c>
      <c r="P6424">
        <v>-0.16557971621268799</v>
      </c>
      <c r="Q6424">
        <v>6.8073000751547499E-2</v>
      </c>
      <c r="R6424">
        <v>0.99387824448251705</v>
      </c>
      <c r="S6424" t="s">
        <v>13427</v>
      </c>
      <c r="T6424" t="s">
        <v>14004</v>
      </c>
      <c r="U6424" t="s">
        <v>14004</v>
      </c>
      <c r="V6424" t="s">
        <v>14004</v>
      </c>
      <c r="W6424" t="s">
        <v>20370</v>
      </c>
      <c r="X6424">
        <v>4</v>
      </c>
      <c r="Y6424" t="s">
        <v>27161</v>
      </c>
      <c r="Z6424" t="s">
        <v>34134</v>
      </c>
      <c r="AA6424">
        <v>0.4995335086800155</v>
      </c>
      <c r="AB6424" t="str">
        <f>HYPERLINK("Melting_Curves/meltCurve_Q9NZJ7_2_MTCH1.pdf", "Melting_Curves/meltCurve_Q9NZJ7_2_MTCH1.pdf")</f>
        <v>Melting_Curves/meltCurve_Q9NZJ7_2_MTCH1.pdf</v>
      </c>
    </row>
    <row r="6425" spans="1:28" x14ac:dyDescent="0.25">
      <c r="A6425" t="s">
        <v>6429</v>
      </c>
      <c r="B6425">
        <v>0.99999676499088797</v>
      </c>
      <c r="C6425">
        <v>0.83600696266381003</v>
      </c>
      <c r="D6425">
        <v>0.84083120078099804</v>
      </c>
      <c r="E6425">
        <v>0.81972919241978504</v>
      </c>
      <c r="F6425">
        <v>0.54420276385045596</v>
      </c>
      <c r="G6425">
        <v>0.24169024167799999</v>
      </c>
      <c r="H6425">
        <v>7.4034273973156706E-2</v>
      </c>
      <c r="I6425">
        <v>6.4226974683322904E-2</v>
      </c>
      <c r="J6425">
        <v>5.4097205175383897E-2</v>
      </c>
      <c r="K6425">
        <v>4.3274209663022298E-2</v>
      </c>
      <c r="L6425">
        <v>839.76458849016899</v>
      </c>
      <c r="M6425">
        <v>15.760969805386701</v>
      </c>
      <c r="N6425">
        <v>53.281279798732399</v>
      </c>
      <c r="O6425">
        <v>52.445666218166799</v>
      </c>
      <c r="P6425">
        <v>-7.5136266664405205E-2</v>
      </c>
      <c r="Q6425">
        <v>0</v>
      </c>
      <c r="R6425">
        <v>0.97428622826907396</v>
      </c>
      <c r="S6425" t="s">
        <v>13428</v>
      </c>
      <c r="T6425" t="s">
        <v>14004</v>
      </c>
      <c r="U6425" t="s">
        <v>14004</v>
      </c>
      <c r="V6425" t="s">
        <v>14004</v>
      </c>
      <c r="W6425" t="s">
        <v>20371</v>
      </c>
      <c r="X6425">
        <v>6</v>
      </c>
      <c r="Y6425" t="s">
        <v>27162</v>
      </c>
      <c r="Z6425" t="s">
        <v>34135</v>
      </c>
      <c r="AA6425">
        <v>0.46256082923481628</v>
      </c>
      <c r="AB6425" t="str">
        <f>HYPERLINK("Melting_Curves/meltCurve_Q9NZJ9_NUDT4.pdf", "Melting_Curves/meltCurve_Q9NZJ9_NUDT4.pdf")</f>
        <v>Melting_Curves/meltCurve_Q9NZJ9_NUDT4.pdf</v>
      </c>
    </row>
    <row r="6426" spans="1:28" x14ac:dyDescent="0.25">
      <c r="A6426" t="s">
        <v>6430</v>
      </c>
      <c r="B6426">
        <v>0.99999676499088797</v>
      </c>
      <c r="C6426">
        <v>1.11571298186035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11198.333857891699</v>
      </c>
      <c r="M6426">
        <v>250</v>
      </c>
      <c r="N6426">
        <v>44.793329147225201</v>
      </c>
      <c r="O6426">
        <v>44.790468962618199</v>
      </c>
      <c r="P6426">
        <v>-1.3953861509189001</v>
      </c>
      <c r="Q6426">
        <v>0</v>
      </c>
      <c r="R6426">
        <v>0.99254654878945803</v>
      </c>
      <c r="S6426" t="s">
        <v>13429</v>
      </c>
      <c r="T6426" t="s">
        <v>14004</v>
      </c>
      <c r="U6426" t="s">
        <v>14004</v>
      </c>
      <c r="V6426" t="s">
        <v>14004</v>
      </c>
      <c r="W6426" t="s">
        <v>20372</v>
      </c>
      <c r="X6426">
        <v>7</v>
      </c>
      <c r="Y6426" t="s">
        <v>27162</v>
      </c>
      <c r="Z6426" t="s">
        <v>34136</v>
      </c>
      <c r="AA6426">
        <v>0.15985645932543771</v>
      </c>
      <c r="AB6426" t="str">
        <f>HYPERLINK("Melting_Curves/meltCurve_Q9NZJ9_2_NUDT4.pdf", "Melting_Curves/meltCurve_Q9NZJ9_2_NUDT4.pdf")</f>
        <v>Melting_Curves/meltCurve_Q9NZJ9_2_NUDT4.pdf</v>
      </c>
    </row>
    <row r="6427" spans="1:28" x14ac:dyDescent="0.25">
      <c r="A6427" t="s">
        <v>6431</v>
      </c>
      <c r="B6427">
        <v>0.99999676499088797</v>
      </c>
      <c r="C6427">
        <v>0.76428669938314098</v>
      </c>
      <c r="D6427">
        <v>0.64066502830336303</v>
      </c>
      <c r="E6427">
        <v>0.32955077823010998</v>
      </c>
      <c r="F6427">
        <v>0.239800450472477</v>
      </c>
      <c r="G6427">
        <v>0.17157299671496501</v>
      </c>
      <c r="H6427">
        <v>7.8962867967516295E-2</v>
      </c>
      <c r="I6427">
        <v>7.2882873179442406E-2</v>
      </c>
      <c r="J6427">
        <v>6.9773478744137807E-2</v>
      </c>
      <c r="K6427">
        <v>6.7330594224023599E-2</v>
      </c>
      <c r="L6427">
        <v>676.777957557082</v>
      </c>
      <c r="M6427">
        <v>14.3656952296956</v>
      </c>
      <c r="N6427">
        <v>47.547453883031899</v>
      </c>
      <c r="O6427">
        <v>46.226026441263599</v>
      </c>
      <c r="P6427">
        <v>-7.2899239783213499E-2</v>
      </c>
      <c r="Q6427">
        <v>6.1809713471663301E-2</v>
      </c>
      <c r="R6427">
        <v>0.98833567581947002</v>
      </c>
      <c r="S6427" t="s">
        <v>13430</v>
      </c>
      <c r="T6427" t="s">
        <v>14004</v>
      </c>
      <c r="U6427" t="s">
        <v>14004</v>
      </c>
      <c r="V6427" t="s">
        <v>14004</v>
      </c>
      <c r="W6427" t="s">
        <v>20373</v>
      </c>
      <c r="X6427">
        <v>13</v>
      </c>
      <c r="Y6427" t="s">
        <v>27163</v>
      </c>
      <c r="Z6427" t="s">
        <v>34137</v>
      </c>
      <c r="AA6427">
        <v>0.31182333099472281</v>
      </c>
      <c r="AB6427" t="str">
        <f>HYPERLINK("Melting_Curves/meltCurve_Q9NZL4_HSPBP1.pdf", "Melting_Curves/meltCurve_Q9NZL4_HSPBP1.pdf")</f>
        <v>Melting_Curves/meltCurve_Q9NZL4_HSPBP1.pdf</v>
      </c>
    </row>
    <row r="6428" spans="1:28" x14ac:dyDescent="0.25">
      <c r="A6428" t="s">
        <v>6432</v>
      </c>
      <c r="B6428">
        <v>0.99999676499088797</v>
      </c>
      <c r="C6428">
        <v>0.92753749345049097</v>
      </c>
      <c r="D6428">
        <v>0.91987995000265299</v>
      </c>
      <c r="E6428">
        <v>0.85192700110683595</v>
      </c>
      <c r="F6428">
        <v>0.86222382319977597</v>
      </c>
      <c r="G6428">
        <v>0.58400212271315499</v>
      </c>
      <c r="H6428">
        <v>0.286539644358066</v>
      </c>
      <c r="I6428">
        <v>0.109028501339977</v>
      </c>
      <c r="J6428">
        <v>8.0969436173664602E-2</v>
      </c>
      <c r="K6428">
        <v>6.6128514241548406E-2</v>
      </c>
      <c r="L6428">
        <v>1012.44394977275</v>
      </c>
      <c r="M6428">
        <v>17.546816244512101</v>
      </c>
      <c r="N6428">
        <v>57.6995820832433</v>
      </c>
      <c r="O6428">
        <v>56.965806936537298</v>
      </c>
      <c r="P6428">
        <v>-7.7010115745792002E-2</v>
      </c>
      <c r="Q6428">
        <v>0</v>
      </c>
      <c r="R6428">
        <v>0.98325010914810096</v>
      </c>
      <c r="S6428" t="s">
        <v>13431</v>
      </c>
      <c r="T6428" t="s">
        <v>14004</v>
      </c>
      <c r="U6428" t="s">
        <v>14004</v>
      </c>
      <c r="V6428" t="s">
        <v>14004</v>
      </c>
      <c r="W6428" t="s">
        <v>20374</v>
      </c>
      <c r="X6428">
        <v>20</v>
      </c>
      <c r="Y6428" t="s">
        <v>27164</v>
      </c>
      <c r="Z6428" t="s">
        <v>34138</v>
      </c>
      <c r="AA6428">
        <v>0.60305579616933336</v>
      </c>
      <c r="AB6428" t="str">
        <f>HYPERLINK("Melting_Curves/meltCurve_Q9NZL9_MAT2B.pdf", "Melting_Curves/meltCurve_Q9NZL9_MAT2B.pdf")</f>
        <v>Melting_Curves/meltCurve_Q9NZL9_MAT2B.pdf</v>
      </c>
    </row>
    <row r="6429" spans="1:28" x14ac:dyDescent="0.25">
      <c r="A6429" t="s">
        <v>6433</v>
      </c>
      <c r="B6429">
        <v>0.99999676499088797</v>
      </c>
      <c r="C6429">
        <v>1.0053771547994901</v>
      </c>
      <c r="D6429">
        <v>1.0649990078097999</v>
      </c>
      <c r="E6429">
        <v>0.98241875142415602</v>
      </c>
      <c r="F6429">
        <v>0.86002342388798503</v>
      </c>
      <c r="G6429">
        <v>0.51960692135517905</v>
      </c>
      <c r="H6429">
        <v>0.197019566738701</v>
      </c>
      <c r="I6429">
        <v>0.18393652919089401</v>
      </c>
      <c r="J6429">
        <v>0.236238321148977</v>
      </c>
      <c r="K6429">
        <v>0.153175643539085</v>
      </c>
      <c r="L6429">
        <v>1828.17721773481</v>
      </c>
      <c r="M6429">
        <v>32.620058959092397</v>
      </c>
      <c r="N6429">
        <v>56.799569977848101</v>
      </c>
      <c r="O6429">
        <v>55.835201781339698</v>
      </c>
      <c r="P6429">
        <v>-0.120362525354913</v>
      </c>
      <c r="Q6429">
        <v>0.17591387840136599</v>
      </c>
      <c r="R6429">
        <v>0.99273180201803102</v>
      </c>
      <c r="S6429" t="s">
        <v>13432</v>
      </c>
      <c r="T6429" t="s">
        <v>14004</v>
      </c>
      <c r="U6429" t="s">
        <v>14004</v>
      </c>
      <c r="V6429" t="s">
        <v>14004</v>
      </c>
      <c r="W6429" t="s">
        <v>20375</v>
      </c>
      <c r="X6429">
        <v>18</v>
      </c>
      <c r="Y6429" t="s">
        <v>27164</v>
      </c>
      <c r="Z6429" t="s">
        <v>34139</v>
      </c>
      <c r="AA6429">
        <v>0.62135460737274173</v>
      </c>
      <c r="AB6429" t="str">
        <f>HYPERLINK("Melting_Curves/meltCurve_Q9NZL9_2_MAT2B.pdf", "Melting_Curves/meltCurve_Q9NZL9_2_MAT2B.pdf")</f>
        <v>Melting_Curves/meltCurve_Q9NZL9_2_MAT2B.pdf</v>
      </c>
    </row>
    <row r="6430" spans="1:28" x14ac:dyDescent="0.25">
      <c r="A6430" t="s">
        <v>6434</v>
      </c>
      <c r="B6430">
        <v>0.99999676499088797</v>
      </c>
      <c r="C6430">
        <v>0.83445456220106695</v>
      </c>
      <c r="D6430">
        <v>0.394534899264459</v>
      </c>
      <c r="E6430">
        <v>0.205481338757763</v>
      </c>
      <c r="F6430">
        <v>0.13509205131894</v>
      </c>
      <c r="G6430">
        <v>8.0440825312067699E-2</v>
      </c>
      <c r="H6430">
        <v>4.6775622024969502E-2</v>
      </c>
      <c r="I6430">
        <v>5.0781892609930698E-2</v>
      </c>
      <c r="J6430">
        <v>4.3385462388960003E-2</v>
      </c>
      <c r="K6430">
        <v>3.82500605078872E-2</v>
      </c>
      <c r="L6430">
        <v>1131.1318951481401</v>
      </c>
      <c r="M6430">
        <v>24.997073275881899</v>
      </c>
      <c r="N6430">
        <v>45.501094706638497</v>
      </c>
      <c r="O6430">
        <v>44.963955799449103</v>
      </c>
      <c r="P6430">
        <v>-0.130050227912828</v>
      </c>
      <c r="Q6430">
        <v>6.4291432594480197E-2</v>
      </c>
      <c r="R6430">
        <v>0.99106646479912697</v>
      </c>
      <c r="S6430" t="s">
        <v>13433</v>
      </c>
      <c r="T6430" t="s">
        <v>14004</v>
      </c>
      <c r="U6430" t="s">
        <v>14004</v>
      </c>
      <c r="V6430" t="s">
        <v>14004</v>
      </c>
      <c r="W6430" t="s">
        <v>20376</v>
      </c>
      <c r="X6430">
        <v>13</v>
      </c>
      <c r="Y6430" t="s">
        <v>27165</v>
      </c>
      <c r="Z6430" t="s">
        <v>34140</v>
      </c>
      <c r="AA6430">
        <v>0.23716240563838689</v>
      </c>
      <c r="AB6430" t="str">
        <f>HYPERLINK("Melting_Curves/meltCurve_Q9NZM3_2_ITSN2.pdf", "Melting_Curves/meltCurve_Q9NZM3_2_ITSN2.pdf")</f>
        <v>Melting_Curves/meltCurve_Q9NZM3_2_ITSN2.pdf</v>
      </c>
    </row>
    <row r="6431" spans="1:28" x14ac:dyDescent="0.25">
      <c r="A6431" t="s">
        <v>6435</v>
      </c>
      <c r="B6431">
        <v>0.99999676499088797</v>
      </c>
      <c r="C6431">
        <v>0.95532775951167503</v>
      </c>
      <c r="D6431">
        <v>0.68578532024597905</v>
      </c>
      <c r="E6431">
        <v>0.31222217593593199</v>
      </c>
      <c r="F6431">
        <v>0.234546636697261</v>
      </c>
      <c r="G6431">
        <v>0.179090051231653</v>
      </c>
      <c r="H6431">
        <v>9.5631704647204094E-2</v>
      </c>
      <c r="I6431">
        <v>9.8532141685274605E-2</v>
      </c>
      <c r="J6431">
        <v>0.14552437585824601</v>
      </c>
      <c r="K6431">
        <v>5.9854592835706003E-2</v>
      </c>
      <c r="L6431">
        <v>1083.9858264381701</v>
      </c>
      <c r="M6431">
        <v>22.930143684583001</v>
      </c>
      <c r="N6431">
        <v>47.824103306555301</v>
      </c>
      <c r="O6431">
        <v>46.9182772728876</v>
      </c>
      <c r="P6431">
        <v>-0.108006615860709</v>
      </c>
      <c r="Q6431">
        <v>0.11603063098710099</v>
      </c>
      <c r="R6431">
        <v>0.989747215594869</v>
      </c>
      <c r="S6431" t="s">
        <v>13434</v>
      </c>
      <c r="T6431" t="s">
        <v>14004</v>
      </c>
      <c r="U6431" t="s">
        <v>14004</v>
      </c>
      <c r="V6431" t="s">
        <v>14004</v>
      </c>
      <c r="W6431" t="s">
        <v>20377</v>
      </c>
      <c r="X6431">
        <v>10</v>
      </c>
      <c r="Y6431" t="s">
        <v>27166</v>
      </c>
      <c r="Z6431" t="s">
        <v>34141</v>
      </c>
      <c r="AA6431">
        <v>0.33983806075841438</v>
      </c>
      <c r="AB6431" t="str">
        <f>HYPERLINK("Melting_Curves/meltCurve_Q9NZQ3_3_NCKIPSD.pdf", "Melting_Curves/meltCurve_Q9NZQ3_3_NCKIPSD.pdf")</f>
        <v>Melting_Curves/meltCurve_Q9NZQ3_3_NCKIPSD.pdf</v>
      </c>
    </row>
    <row r="6432" spans="1:28" x14ac:dyDescent="0.25">
      <c r="A6432" t="s">
        <v>6436</v>
      </c>
      <c r="B6432">
        <v>0.99999676499088797</v>
      </c>
      <c r="C6432">
        <v>0.91757165629514303</v>
      </c>
      <c r="D6432">
        <v>0.94272717933063999</v>
      </c>
      <c r="E6432">
        <v>0.25192277549685499</v>
      </c>
      <c r="F6432">
        <v>0.222383132933338</v>
      </c>
      <c r="G6432">
        <v>0.14385983483315901</v>
      </c>
      <c r="H6432">
        <v>8.6929288012539893E-2</v>
      </c>
      <c r="I6432">
        <v>9.22319537215531E-2</v>
      </c>
      <c r="J6432">
        <v>0.104914504808599</v>
      </c>
      <c r="K6432">
        <v>9.7779762587410904E-2</v>
      </c>
      <c r="L6432">
        <v>2663.0822364829</v>
      </c>
      <c r="M6432">
        <v>55.383559088773602</v>
      </c>
      <c r="N6432">
        <v>48.330573795000802</v>
      </c>
      <c r="O6432">
        <v>48.021760843235803</v>
      </c>
      <c r="P6432">
        <v>-0.25288343435868899</v>
      </c>
      <c r="Q6432">
        <v>0.122923459030068</v>
      </c>
      <c r="R6432">
        <v>0.98622174553018804</v>
      </c>
      <c r="S6432" t="s">
        <v>13435</v>
      </c>
      <c r="T6432" t="s">
        <v>14004</v>
      </c>
      <c r="U6432" t="s">
        <v>14004</v>
      </c>
      <c r="V6432" t="s">
        <v>14004</v>
      </c>
      <c r="W6432" t="s">
        <v>20378</v>
      </c>
      <c r="X6432">
        <v>2</v>
      </c>
      <c r="Y6432" t="s">
        <v>27167</v>
      </c>
      <c r="Z6432" t="s">
        <v>34142</v>
      </c>
      <c r="AA6432">
        <v>0.36079134764431148</v>
      </c>
      <c r="AB6432" t="str">
        <f>HYPERLINK("Melting_Curves/meltCurve_Q9NZR1_TMOD2.pdf", "Melting_Curves/meltCurve_Q9NZR1_TMOD2.pdf")</f>
        <v>Melting_Curves/meltCurve_Q9NZR1_TMOD2.pdf</v>
      </c>
    </row>
    <row r="6433" spans="1:28" x14ac:dyDescent="0.25">
      <c r="A6433" t="s">
        <v>6437</v>
      </c>
      <c r="B6433">
        <v>0.99999676499088797</v>
      </c>
      <c r="C6433">
        <v>0.72640681812033303</v>
      </c>
      <c r="D6433">
        <v>0.41871851481963501</v>
      </c>
      <c r="E6433">
        <v>0.278139647785134</v>
      </c>
      <c r="F6433">
        <v>0.17820944703351799</v>
      </c>
      <c r="G6433">
        <v>0.132302168305963</v>
      </c>
      <c r="H6433">
        <v>7.3733509498548302E-2</v>
      </c>
      <c r="I6433">
        <v>7.4905999162338005E-2</v>
      </c>
      <c r="J6433">
        <v>6.14260227948989E-2</v>
      </c>
      <c r="K6433">
        <v>5.7966750354629303E-2</v>
      </c>
      <c r="L6433">
        <v>805.31796632997998</v>
      </c>
      <c r="M6433">
        <v>17.824376187672001</v>
      </c>
      <c r="N6433">
        <v>45.6310511637842</v>
      </c>
      <c r="O6433">
        <v>44.623532175979001</v>
      </c>
      <c r="P6433">
        <v>-9.1810049751637507E-2</v>
      </c>
      <c r="Q6433">
        <v>8.0657058624156994E-2</v>
      </c>
      <c r="R6433">
        <v>0.98404409354800904</v>
      </c>
      <c r="S6433" t="s">
        <v>13436</v>
      </c>
      <c r="T6433" t="s">
        <v>14004</v>
      </c>
      <c r="U6433" t="s">
        <v>14004</v>
      </c>
      <c r="V6433" t="s">
        <v>14004</v>
      </c>
      <c r="W6433" t="s">
        <v>20379</v>
      </c>
      <c r="X6433">
        <v>12</v>
      </c>
      <c r="Y6433" t="s">
        <v>27168</v>
      </c>
      <c r="Z6433" t="s">
        <v>34143</v>
      </c>
      <c r="AA6433">
        <v>0.25929460972354318</v>
      </c>
      <c r="AB6433" t="str">
        <f>HYPERLINK("Melting_Curves/meltCurve_Q9NZT2_2_OGFR.pdf", "Melting_Curves/meltCurve_Q9NZT2_2_OGFR.pdf")</f>
        <v>Melting_Curves/meltCurve_Q9NZT2_2_OGFR.pdf</v>
      </c>
    </row>
    <row r="6434" spans="1:28" x14ac:dyDescent="0.25">
      <c r="A6434" t="s">
        <v>6438</v>
      </c>
      <c r="B6434">
        <v>0.99999676499088797</v>
      </c>
      <c r="C6434">
        <v>0.99031619591843201</v>
      </c>
      <c r="D6434">
        <v>0.86550554046069095</v>
      </c>
      <c r="E6434">
        <v>0.52420585823649202</v>
      </c>
      <c r="F6434">
        <v>0.28034403068414798</v>
      </c>
      <c r="G6434">
        <v>0.18754312869725201</v>
      </c>
      <c r="H6434">
        <v>9.5540326237045503E-2</v>
      </c>
      <c r="I6434">
        <v>9.8486013822430996E-2</v>
      </c>
      <c r="J6434">
        <v>9.6378508967649504E-2</v>
      </c>
      <c r="K6434">
        <v>7.8802289903013703E-2</v>
      </c>
      <c r="L6434">
        <v>1028.9890263341399</v>
      </c>
      <c r="M6434">
        <v>20.735459386708399</v>
      </c>
      <c r="N6434">
        <v>50.112100364040899</v>
      </c>
      <c r="O6434">
        <v>49.169961323740402</v>
      </c>
      <c r="P6434">
        <v>-9.5800837267031702E-2</v>
      </c>
      <c r="Q6434">
        <v>9.1335961456718004E-2</v>
      </c>
      <c r="R6434">
        <v>0.99774257134890798</v>
      </c>
      <c r="S6434" t="s">
        <v>13437</v>
      </c>
      <c r="T6434" t="s">
        <v>14004</v>
      </c>
      <c r="U6434" t="s">
        <v>14004</v>
      </c>
      <c r="V6434" t="s">
        <v>14004</v>
      </c>
      <c r="W6434" t="s">
        <v>20380</v>
      </c>
      <c r="X6434">
        <v>18</v>
      </c>
      <c r="Y6434" t="s">
        <v>27169</v>
      </c>
      <c r="Z6434" t="s">
        <v>34144</v>
      </c>
      <c r="AA6434">
        <v>0.39464769396415172</v>
      </c>
      <c r="AB6434" t="str">
        <f>HYPERLINK("Melting_Curves/meltCurve_Q9NZW5_MPP6.pdf", "Melting_Curves/meltCurve_Q9NZW5_MPP6.pdf")</f>
        <v>Melting_Curves/meltCurve_Q9NZW5_MPP6.pdf</v>
      </c>
    </row>
    <row r="6435" spans="1:28" x14ac:dyDescent="0.25">
      <c r="A6435" t="s">
        <v>6439</v>
      </c>
      <c r="B6435">
        <v>0.99999676499088797</v>
      </c>
      <c r="C6435">
        <v>1.0104265284065399</v>
      </c>
      <c r="D6435">
        <v>1.0171350010565501</v>
      </c>
      <c r="E6435">
        <v>0.94657096552746101</v>
      </c>
      <c r="F6435">
        <v>0.78854871527053605</v>
      </c>
      <c r="G6435">
        <v>0.800530539632194</v>
      </c>
      <c r="H6435">
        <v>0.40649256100258302</v>
      </c>
      <c r="I6435">
        <v>0.37088789891340201</v>
      </c>
      <c r="J6435">
        <v>0.32032412737577298</v>
      </c>
      <c r="K6435">
        <v>0.34398905285777898</v>
      </c>
      <c r="L6435">
        <v>1070.24132808329</v>
      </c>
      <c r="M6435">
        <v>18.576273401774099</v>
      </c>
      <c r="N6435">
        <v>60.301888471504199</v>
      </c>
      <c r="O6435">
        <v>56.958140967332199</v>
      </c>
      <c r="P6435">
        <v>-5.8578243525768098E-2</v>
      </c>
      <c r="Q6435">
        <v>0.28158627019596499</v>
      </c>
      <c r="R6435">
        <v>0.96686617290214005</v>
      </c>
      <c r="S6435" t="s">
        <v>13438</v>
      </c>
      <c r="T6435" t="s">
        <v>14004</v>
      </c>
      <c r="U6435" t="s">
        <v>14004</v>
      </c>
      <c r="V6435" t="s">
        <v>14004</v>
      </c>
      <c r="W6435" t="s">
        <v>20381</v>
      </c>
      <c r="X6435">
        <v>10</v>
      </c>
      <c r="Y6435" t="s">
        <v>27170</v>
      </c>
      <c r="Z6435" t="s">
        <v>34145</v>
      </c>
      <c r="AA6435">
        <v>0.71242267652797631</v>
      </c>
      <c r="AB6435" t="str">
        <f>HYPERLINK("Melting_Curves/meltCurve_Q9NZZ3_CHMP5.pdf", "Melting_Curves/meltCurve_Q9NZZ3_CHMP5.pdf")</f>
        <v>Melting_Curves/meltCurve_Q9NZZ3_CHMP5.pdf</v>
      </c>
    </row>
    <row r="6436" spans="1:28" x14ac:dyDescent="0.25">
      <c r="A6436" t="s">
        <v>6440</v>
      </c>
      <c r="B6436">
        <v>0.99999676499088797</v>
      </c>
      <c r="C6436">
        <v>0.88056074397009099</v>
      </c>
      <c r="D6436">
        <v>0.90377912628381496</v>
      </c>
      <c r="E6436">
        <v>0.71992261843613503</v>
      </c>
      <c r="F6436">
        <v>0.42751256854217901</v>
      </c>
      <c r="G6436">
        <v>0.203715584229168</v>
      </c>
      <c r="H6436">
        <v>0.114242068285235</v>
      </c>
      <c r="I6436">
        <v>8.6440842091128997E-2</v>
      </c>
      <c r="J6436">
        <v>8.1234992547813897E-2</v>
      </c>
      <c r="K6436">
        <v>9.2281695054296495E-2</v>
      </c>
      <c r="L6436">
        <v>899.80917852328901</v>
      </c>
      <c r="M6436">
        <v>17.388391887932102</v>
      </c>
      <c r="N6436">
        <v>52.131482027800601</v>
      </c>
      <c r="O6436">
        <v>51.077822556020202</v>
      </c>
      <c r="P6436">
        <v>-7.9998749681609901E-2</v>
      </c>
      <c r="Q6436">
        <v>6.0078482939430397E-2</v>
      </c>
      <c r="R6436">
        <v>0.992139247807165</v>
      </c>
      <c r="S6436" t="s">
        <v>13439</v>
      </c>
      <c r="T6436" t="s">
        <v>14004</v>
      </c>
      <c r="U6436" t="s">
        <v>14004</v>
      </c>
      <c r="V6436" t="s">
        <v>14004</v>
      </c>
      <c r="W6436" t="s">
        <v>20382</v>
      </c>
      <c r="X6436">
        <v>8</v>
      </c>
      <c r="Y6436" t="s">
        <v>27171</v>
      </c>
      <c r="Z6436" t="s">
        <v>34146</v>
      </c>
      <c r="AA6436">
        <v>0.44479524535103432</v>
      </c>
      <c r="AB6436" t="str">
        <f>HYPERLINK("Melting_Curves/meltCurve_Q9P000_COMMD9.pdf", "Melting_Curves/meltCurve_Q9P000_COMMD9.pdf")</f>
        <v>Melting_Curves/meltCurve_Q9P000_COMMD9.pdf</v>
      </c>
    </row>
    <row r="6437" spans="1:28" x14ac:dyDescent="0.25">
      <c r="A6437" t="s">
        <v>6441</v>
      </c>
      <c r="B6437">
        <v>0.99999676499088797</v>
      </c>
      <c r="C6437">
        <v>1.01436428964868</v>
      </c>
      <c r="D6437">
        <v>1.0708460650536999</v>
      </c>
      <c r="E6437">
        <v>0.79058525160705695</v>
      </c>
      <c r="F6437">
        <v>0.62335283767131699</v>
      </c>
      <c r="G6437">
        <v>0.66894330856703899</v>
      </c>
      <c r="H6437">
        <v>0.41651049234061399</v>
      </c>
      <c r="I6437">
        <v>0.67005692801560901</v>
      </c>
      <c r="J6437">
        <v>0.69284579404114599</v>
      </c>
      <c r="K6437">
        <v>0.50597368073229898</v>
      </c>
      <c r="L6437">
        <v>5878.6781599983497</v>
      </c>
      <c r="M6437">
        <v>118.59588176412301</v>
      </c>
      <c r="O6437">
        <v>49.554883976669402</v>
      </c>
      <c r="P6437">
        <v>-0.241563194970428</v>
      </c>
      <c r="Q6437">
        <v>0.59625445562623502</v>
      </c>
      <c r="R6437">
        <v>0.84884233111972995</v>
      </c>
      <c r="S6437" t="s">
        <v>13440</v>
      </c>
      <c r="T6437" t="s">
        <v>14004</v>
      </c>
      <c r="U6437" t="s">
        <v>14004</v>
      </c>
      <c r="V6437" t="s">
        <v>14004</v>
      </c>
      <c r="W6437" t="s">
        <v>20383</v>
      </c>
      <c r="X6437">
        <v>20</v>
      </c>
      <c r="Y6437" t="s">
        <v>27172</v>
      </c>
      <c r="Z6437" t="s">
        <v>34147</v>
      </c>
      <c r="AA6437">
        <v>0.72519189450797583</v>
      </c>
      <c r="AB6437" t="str">
        <f>HYPERLINK("Melting_Curves/meltCurve_Q9P013_CWC15.pdf", "Melting_Curves/meltCurve_Q9P013_CWC15.pdf")</f>
        <v>Melting_Curves/meltCurve_Q9P013_CWC15.pdf</v>
      </c>
    </row>
    <row r="6438" spans="1:28" x14ac:dyDescent="0.25">
      <c r="A6438" t="s">
        <v>6442</v>
      </c>
      <c r="B6438">
        <v>0.99999676499088797</v>
      </c>
      <c r="C6438">
        <v>0.89391313570985398</v>
      </c>
      <c r="D6438">
        <v>0.85155191874998104</v>
      </c>
      <c r="E6438">
        <v>0.689628683051698</v>
      </c>
      <c r="F6438">
        <v>0.262708177759581</v>
      </c>
      <c r="G6438">
        <v>0.19219573271436699</v>
      </c>
      <c r="H6438">
        <v>0.105354239118568</v>
      </c>
      <c r="I6438">
        <v>0.11247891282167399</v>
      </c>
      <c r="J6438">
        <v>0.12968716664492999</v>
      </c>
      <c r="K6438">
        <v>9.31387669468383E-2</v>
      </c>
      <c r="L6438">
        <v>1042.6312243979</v>
      </c>
      <c r="M6438">
        <v>20.693559957304</v>
      </c>
      <c r="N6438">
        <v>50.914162095382501</v>
      </c>
      <c r="O6438">
        <v>49.920895309618601</v>
      </c>
      <c r="P6438">
        <v>-9.3595873596040005E-2</v>
      </c>
      <c r="Q6438">
        <v>9.6867445127979193E-2</v>
      </c>
      <c r="R6438">
        <v>0.98601999765333304</v>
      </c>
      <c r="S6438" t="s">
        <v>13441</v>
      </c>
      <c r="T6438" t="s">
        <v>14004</v>
      </c>
      <c r="U6438" t="s">
        <v>14004</v>
      </c>
      <c r="V6438" t="s">
        <v>14004</v>
      </c>
      <c r="W6438" t="s">
        <v>20384</v>
      </c>
      <c r="X6438">
        <v>26</v>
      </c>
      <c r="Y6438" t="s">
        <v>27173</v>
      </c>
      <c r="Z6438" t="s">
        <v>34148</v>
      </c>
      <c r="AA6438">
        <v>0.4212397428191853</v>
      </c>
      <c r="AB6438" t="str">
        <f>HYPERLINK("Melting_Curves/meltCurve_Q9P016_THYN1.pdf", "Melting_Curves/meltCurve_Q9P016_THYN1.pdf")</f>
        <v>Melting_Curves/meltCurve_Q9P016_THYN1.pdf</v>
      </c>
    </row>
    <row r="6439" spans="1:28" x14ac:dyDescent="0.25">
      <c r="A6439" t="s">
        <v>6443</v>
      </c>
      <c r="B6439">
        <v>0.99999676499088797</v>
      </c>
      <c r="C6439">
        <v>0.90944866191096496</v>
      </c>
      <c r="D6439">
        <v>0.98128264033888402</v>
      </c>
      <c r="E6439">
        <v>0.87141339316211297</v>
      </c>
      <c r="F6439">
        <v>0.469239798508015</v>
      </c>
      <c r="G6439">
        <v>0.53399484572752298</v>
      </c>
      <c r="H6439">
        <v>0.42175966525918901</v>
      </c>
      <c r="I6439">
        <v>0.54671184878726797</v>
      </c>
      <c r="J6439">
        <v>0.50514389927028702</v>
      </c>
      <c r="K6439">
        <v>0.41549977610371602</v>
      </c>
      <c r="L6439">
        <v>12454.9512958828</v>
      </c>
      <c r="M6439">
        <v>250</v>
      </c>
      <c r="N6439">
        <v>50.491871551100999</v>
      </c>
      <c r="O6439">
        <v>49.816599347336201</v>
      </c>
      <c r="P6439">
        <v>-0.64981041338274403</v>
      </c>
      <c r="Q6439">
        <v>0.482058295323812</v>
      </c>
      <c r="R6439">
        <v>0.95444880396648102</v>
      </c>
      <c r="S6439" t="s">
        <v>13442</v>
      </c>
      <c r="T6439" t="s">
        <v>14004</v>
      </c>
      <c r="U6439" t="s">
        <v>14004</v>
      </c>
      <c r="V6439" t="s">
        <v>14004</v>
      </c>
      <c r="W6439" t="s">
        <v>20385</v>
      </c>
      <c r="X6439">
        <v>1</v>
      </c>
      <c r="Y6439" t="s">
        <v>27174</v>
      </c>
      <c r="Z6439" t="s">
        <v>34149</v>
      </c>
      <c r="AA6439">
        <v>0.6516398017234537</v>
      </c>
      <c r="AB6439" t="str">
        <f>HYPERLINK("Melting_Curves/meltCurve_Q9P031_CCDC59.pdf", "Melting_Curves/meltCurve_Q9P031_CCDC59.pdf")</f>
        <v>Melting_Curves/meltCurve_Q9P031_CCDC59.pdf</v>
      </c>
    </row>
    <row r="6440" spans="1:28" x14ac:dyDescent="0.25">
      <c r="A6440" t="s">
        <v>6444</v>
      </c>
      <c r="B6440">
        <v>0.99999676499088797</v>
      </c>
      <c r="C6440">
        <v>0.95685949608588505</v>
      </c>
      <c r="D6440">
        <v>0.98002822332605</v>
      </c>
      <c r="E6440">
        <v>1.07611533857552</v>
      </c>
      <c r="F6440">
        <v>0.709893901168274</v>
      </c>
      <c r="G6440">
        <v>0.33500041971644001</v>
      </c>
      <c r="H6440">
        <v>0.1164911236533</v>
      </c>
      <c r="I6440">
        <v>9.6578469467386893E-2</v>
      </c>
      <c r="J6440">
        <v>7.4921720866227198E-2</v>
      </c>
      <c r="K6440">
        <v>6.3529475548196407E-2</v>
      </c>
      <c r="L6440">
        <v>1711.6713763590401</v>
      </c>
      <c r="M6440">
        <v>31.191495499192101</v>
      </c>
      <c r="N6440">
        <v>55.166812050186401</v>
      </c>
      <c r="O6440">
        <v>54.652136992505802</v>
      </c>
      <c r="P6440">
        <v>-0.13187289110567499</v>
      </c>
      <c r="Q6440">
        <v>7.5761517233943296E-2</v>
      </c>
      <c r="R6440">
        <v>0.99082146172572105</v>
      </c>
      <c r="S6440" t="s">
        <v>13443</v>
      </c>
      <c r="T6440" t="s">
        <v>14004</v>
      </c>
      <c r="U6440" t="s">
        <v>14004</v>
      </c>
      <c r="V6440" t="s">
        <v>14004</v>
      </c>
      <c r="W6440" t="s">
        <v>20386</v>
      </c>
      <c r="X6440">
        <v>10</v>
      </c>
      <c r="Y6440" t="s">
        <v>27175</v>
      </c>
      <c r="Z6440" t="s">
        <v>34150</v>
      </c>
      <c r="AA6440">
        <v>0.53975423284382462</v>
      </c>
      <c r="AB6440" t="str">
        <f>HYPERLINK("Melting_Curves/meltCurve_Q9P032_NDUFAF4.pdf", "Melting_Curves/meltCurve_Q9P032_NDUFAF4.pdf")</f>
        <v>Melting_Curves/meltCurve_Q9P032_NDUFAF4.pdf</v>
      </c>
    </row>
    <row r="6441" spans="1:28" x14ac:dyDescent="0.25">
      <c r="A6441" t="s">
        <v>6445</v>
      </c>
      <c r="B6441">
        <v>0.99999676499088797</v>
      </c>
      <c r="C6441">
        <v>1.15918587314273</v>
      </c>
      <c r="D6441">
        <v>1.17547563957681</v>
      </c>
      <c r="E6441">
        <v>1.05863263886701</v>
      </c>
      <c r="F6441">
        <v>0.80940400846640503</v>
      </c>
      <c r="G6441">
        <v>0.48407782787585402</v>
      </c>
      <c r="H6441">
        <v>0.18643397597804001</v>
      </c>
      <c r="I6441">
        <v>0.15204736931281801</v>
      </c>
      <c r="J6441">
        <v>0.14584761230974799</v>
      </c>
      <c r="K6441">
        <v>0.12351464951188899</v>
      </c>
      <c r="L6441">
        <v>1678.8571502904299</v>
      </c>
      <c r="M6441">
        <v>30.020411091288</v>
      </c>
      <c r="N6441">
        <v>56.486193330621802</v>
      </c>
      <c r="O6441">
        <v>55.677467861700798</v>
      </c>
      <c r="P6441">
        <v>-0.117385394743021</v>
      </c>
      <c r="Q6441">
        <v>0.12916866863833701</v>
      </c>
      <c r="R6441">
        <v>0.96537554825649796</v>
      </c>
      <c r="S6441" t="s">
        <v>13444</v>
      </c>
      <c r="T6441" t="s">
        <v>14004</v>
      </c>
      <c r="U6441" t="s">
        <v>14004</v>
      </c>
      <c r="V6441" t="s">
        <v>14004</v>
      </c>
      <c r="W6441" t="s">
        <v>20387</v>
      </c>
      <c r="X6441">
        <v>7</v>
      </c>
      <c r="Y6441" t="s">
        <v>27176</v>
      </c>
      <c r="Z6441" t="s">
        <v>34151</v>
      </c>
      <c r="AA6441">
        <v>0.59720044640004522</v>
      </c>
      <c r="AB6441" t="str">
        <f>HYPERLINK("Melting_Curves/meltCurve_Q9P035_PTPLAD1.pdf", "Melting_Curves/meltCurve_Q9P035_PTPLAD1.pdf")</f>
        <v>Melting_Curves/meltCurve_Q9P035_PTPLAD1.pdf</v>
      </c>
    </row>
    <row r="6442" spans="1:28" x14ac:dyDescent="0.25">
      <c r="A6442" t="s">
        <v>6446</v>
      </c>
      <c r="B6442">
        <v>0.99999676499088797</v>
      </c>
      <c r="C6442">
        <v>1.1056344718075899</v>
      </c>
      <c r="D6442">
        <v>0.88273598179456902</v>
      </c>
      <c r="E6442">
        <v>0.68205372300039702</v>
      </c>
      <c r="F6442">
        <v>0.50399692550314401</v>
      </c>
      <c r="G6442">
        <v>0.366599231757953</v>
      </c>
      <c r="H6442">
        <v>0.18592340797870499</v>
      </c>
      <c r="I6442">
        <v>0.20767673892097899</v>
      </c>
      <c r="J6442">
        <v>0.176309416992741</v>
      </c>
      <c r="K6442">
        <v>0.13061786961644101</v>
      </c>
      <c r="L6442">
        <v>804.85740405902595</v>
      </c>
      <c r="M6442">
        <v>15.468358690232099</v>
      </c>
      <c r="N6442">
        <v>53.158524876363302</v>
      </c>
      <c r="O6442">
        <v>51.186132353411303</v>
      </c>
      <c r="P6442">
        <v>-6.5001640595876001E-2</v>
      </c>
      <c r="Q6442">
        <v>0.139692916920378</v>
      </c>
      <c r="R6442">
        <v>0.97943803277668995</v>
      </c>
      <c r="S6442" t="s">
        <v>13445</v>
      </c>
      <c r="T6442" t="s">
        <v>14004</v>
      </c>
      <c r="U6442" t="s">
        <v>14004</v>
      </c>
      <c r="V6442" t="s">
        <v>14004</v>
      </c>
      <c r="W6442" t="s">
        <v>20388</v>
      </c>
      <c r="X6442">
        <v>2</v>
      </c>
      <c r="Y6442" t="s">
        <v>27177</v>
      </c>
      <c r="Z6442" t="s">
        <v>34152</v>
      </c>
      <c r="AA6442">
        <v>0.50307103305770828</v>
      </c>
      <c r="AB6442" t="str">
        <f>HYPERLINK("Melting_Curves/meltCurve_Q9P086_MED11.pdf", "Melting_Curves/meltCurve_Q9P086_MED11.pdf")</f>
        <v>Melting_Curves/meltCurve_Q9P086_MED11.pdf</v>
      </c>
    </row>
    <row r="6443" spans="1:28" x14ac:dyDescent="0.25">
      <c r="A6443" t="s">
        <v>6447</v>
      </c>
      <c r="B6443">
        <v>0.99999676499088797</v>
      </c>
      <c r="C6443">
        <v>0.88591457310487698</v>
      </c>
      <c r="D6443">
        <v>0.84693957081732096</v>
      </c>
      <c r="E6443">
        <v>0.62317297654609805</v>
      </c>
      <c r="F6443">
        <v>0.29032911106862103</v>
      </c>
      <c r="G6443">
        <v>0.23647098374171999</v>
      </c>
      <c r="H6443">
        <v>0.15515719240947801</v>
      </c>
      <c r="I6443">
        <v>0.26745956161739398</v>
      </c>
      <c r="J6443">
        <v>0.36422356603043199</v>
      </c>
      <c r="K6443">
        <v>0.33088397220023402</v>
      </c>
      <c r="L6443">
        <v>1210.6721027840699</v>
      </c>
      <c r="M6443">
        <v>24.766576284876301</v>
      </c>
      <c r="N6443">
        <v>50.378555534550401</v>
      </c>
      <c r="O6443">
        <v>48.5679487718768</v>
      </c>
      <c r="P6443">
        <v>-9.4305644469800706E-2</v>
      </c>
      <c r="Q6443">
        <v>0.26026629966937898</v>
      </c>
      <c r="R6443">
        <v>0.94737547686265999</v>
      </c>
      <c r="S6443" t="s">
        <v>13446</v>
      </c>
      <c r="T6443" t="s">
        <v>14004</v>
      </c>
      <c r="U6443" t="s">
        <v>14004</v>
      </c>
      <c r="V6443" t="s">
        <v>14004</v>
      </c>
      <c r="W6443" t="s">
        <v>20389</v>
      </c>
      <c r="X6443">
        <v>4</v>
      </c>
      <c r="Y6443" t="s">
        <v>27178</v>
      </c>
      <c r="Z6443" t="s">
        <v>34153</v>
      </c>
      <c r="AA6443">
        <v>0.48598769564517652</v>
      </c>
      <c r="AB6443" t="str">
        <f>HYPERLINK("Melting_Curves/meltCurve_Q9P0B6_CCDC167.pdf", "Melting_Curves/meltCurve_Q9P0B6_CCDC167.pdf")</f>
        <v>Melting_Curves/meltCurve_Q9P0B6_CCDC167.pdf</v>
      </c>
    </row>
    <row r="6444" spans="1:28" x14ac:dyDescent="0.25">
      <c r="A6444" t="s">
        <v>6448</v>
      </c>
      <c r="B6444">
        <v>0.99999676499088797</v>
      </c>
      <c r="C6444">
        <v>1.00153444454145</v>
      </c>
      <c r="D6444">
        <v>1.0643753983148601</v>
      </c>
      <c r="E6444">
        <v>1.1015269750268799</v>
      </c>
      <c r="F6444">
        <v>0.91733224592002705</v>
      </c>
      <c r="G6444">
        <v>0.29752198934350099</v>
      </c>
      <c r="H6444">
        <v>0.126593261897987</v>
      </c>
      <c r="I6444">
        <v>0.12497623984464799</v>
      </c>
      <c r="J6444">
        <v>0.111965451844613</v>
      </c>
      <c r="K6444">
        <v>6.4268609557838696E-2</v>
      </c>
      <c r="L6444">
        <v>3030.9839755399198</v>
      </c>
      <c r="M6444">
        <v>54.652710175741902</v>
      </c>
      <c r="N6444">
        <v>55.698725975819002</v>
      </c>
      <c r="O6444">
        <v>55.384906521090102</v>
      </c>
      <c r="P6444">
        <v>-0.22083878127814</v>
      </c>
      <c r="Q6444">
        <v>0.104811241220852</v>
      </c>
      <c r="R6444">
        <v>0.991271753054072</v>
      </c>
      <c r="S6444" t="s">
        <v>13447</v>
      </c>
      <c r="T6444" t="s">
        <v>14004</v>
      </c>
      <c r="U6444" t="s">
        <v>14004</v>
      </c>
      <c r="V6444" t="s">
        <v>14004</v>
      </c>
      <c r="W6444" t="s">
        <v>20390</v>
      </c>
      <c r="X6444">
        <v>7</v>
      </c>
      <c r="Y6444" t="s">
        <v>27179</v>
      </c>
      <c r="Z6444" t="s">
        <v>34154</v>
      </c>
      <c r="AA6444">
        <v>0.56793228770000981</v>
      </c>
      <c r="AB6444" t="str">
        <f>HYPERLINK("Melting_Curves/meltCurve_Q9P0I2_EMC3.pdf", "Melting_Curves/meltCurve_Q9P0I2_EMC3.pdf")</f>
        <v>Melting_Curves/meltCurve_Q9P0I2_EMC3.pdf</v>
      </c>
    </row>
    <row r="6445" spans="1:28" x14ac:dyDescent="0.25">
      <c r="A6445" t="s">
        <v>6449</v>
      </c>
      <c r="B6445">
        <v>0.99999676499088797</v>
      </c>
      <c r="C6445">
        <v>1.04700697746597</v>
      </c>
      <c r="D6445">
        <v>0.92439786001476298</v>
      </c>
      <c r="E6445">
        <v>0.98844795593634904</v>
      </c>
      <c r="F6445">
        <v>0.30432880300398502</v>
      </c>
      <c r="G6445">
        <v>0.15644085989054199</v>
      </c>
      <c r="H6445">
        <v>5.8620535175346503E-2</v>
      </c>
      <c r="I6445">
        <v>7.1545647981314894E-2</v>
      </c>
      <c r="J6445">
        <v>6.8530282391953995E-2</v>
      </c>
      <c r="K6445">
        <v>4.6055680057992703E-2</v>
      </c>
      <c r="L6445">
        <v>3418.1276951139798</v>
      </c>
      <c r="M6445">
        <v>65.351963062171293</v>
      </c>
      <c r="N6445">
        <v>52.4405126358565</v>
      </c>
      <c r="O6445">
        <v>52.254461554794602</v>
      </c>
      <c r="P6445">
        <v>-0.28810036290248697</v>
      </c>
      <c r="Q6445">
        <v>7.8557218358324202E-2</v>
      </c>
      <c r="R6445">
        <v>0.99203198442954499</v>
      </c>
      <c r="S6445" t="s">
        <v>13448</v>
      </c>
      <c r="T6445" t="s">
        <v>14004</v>
      </c>
      <c r="U6445" t="s">
        <v>14004</v>
      </c>
      <c r="V6445" t="s">
        <v>14004</v>
      </c>
      <c r="W6445" t="s">
        <v>20391</v>
      </c>
      <c r="X6445">
        <v>7</v>
      </c>
      <c r="Y6445" t="s">
        <v>27180</v>
      </c>
      <c r="Z6445" t="s">
        <v>34155</v>
      </c>
      <c r="AA6445">
        <v>0.4576936788708848</v>
      </c>
      <c r="AB6445" t="str">
        <f>HYPERLINK("Melting_Curves/meltCurve_Q9P0J1_PDP1.pdf", "Melting_Curves/meltCurve_Q9P0J1_PDP1.pdf")</f>
        <v>Melting_Curves/meltCurve_Q9P0J1_PDP1.pdf</v>
      </c>
    </row>
    <row r="6446" spans="1:28" x14ac:dyDescent="0.25">
      <c r="A6446" t="s">
        <v>6450</v>
      </c>
      <c r="B6446">
        <v>0.99999676499088797</v>
      </c>
      <c r="C6446">
        <v>1.1317447464183601</v>
      </c>
      <c r="D6446">
        <v>1.22385287294364</v>
      </c>
      <c r="E6446">
        <v>0.87076387765184704</v>
      </c>
      <c r="F6446">
        <v>0.52329060901218105</v>
      </c>
      <c r="G6446">
        <v>0.34597295844369103</v>
      </c>
      <c r="H6446">
        <v>0.27562289318171501</v>
      </c>
      <c r="I6446">
        <v>0.35257461084479302</v>
      </c>
      <c r="J6446">
        <v>0.26251288732086298</v>
      </c>
      <c r="K6446">
        <v>0.31835805557124203</v>
      </c>
      <c r="L6446">
        <v>1929.3594833791699</v>
      </c>
      <c r="M6446">
        <v>37.095833751662298</v>
      </c>
      <c r="N6446">
        <v>53.363105614457297</v>
      </c>
      <c r="O6446">
        <v>51.859678447706401</v>
      </c>
      <c r="P6446">
        <v>-0.124323211365706</v>
      </c>
      <c r="Q6446">
        <v>0.30479042135615902</v>
      </c>
      <c r="R6446">
        <v>0.94238885617168999</v>
      </c>
      <c r="S6446" t="s">
        <v>13449</v>
      </c>
      <c r="T6446" t="s">
        <v>14004</v>
      </c>
      <c r="U6446" t="s">
        <v>14004</v>
      </c>
      <c r="V6446" t="s">
        <v>14004</v>
      </c>
      <c r="W6446" t="s">
        <v>20392</v>
      </c>
      <c r="X6446">
        <v>2</v>
      </c>
      <c r="Y6446" t="s">
        <v>27181</v>
      </c>
      <c r="Z6446" t="s">
        <v>34156</v>
      </c>
      <c r="AA6446">
        <v>0.58601594465079254</v>
      </c>
      <c r="AB6446" t="str">
        <f>HYPERLINK("Melting_Curves/meltCurve_Q9P0J7_KCMF1.pdf", "Melting_Curves/meltCurve_Q9P0J7_KCMF1.pdf")</f>
        <v>Melting_Curves/meltCurve_Q9P0J7_KCMF1.pdf</v>
      </c>
    </row>
    <row r="6447" spans="1:28" x14ac:dyDescent="0.25">
      <c r="A6447" t="s">
        <v>6451</v>
      </c>
      <c r="B6447">
        <v>0.99999676499088797</v>
      </c>
      <c r="C6447">
        <v>0.99743865384347596</v>
      </c>
      <c r="D6447">
        <v>0.98739250638403298</v>
      </c>
      <c r="E6447">
        <v>0.88513263945164899</v>
      </c>
      <c r="F6447">
        <v>0.69628342760055395</v>
      </c>
      <c r="G6447">
        <v>0.50654053700618795</v>
      </c>
      <c r="H6447">
        <v>0.15423874213974101</v>
      </c>
      <c r="I6447">
        <v>9.0527624357221198E-2</v>
      </c>
      <c r="J6447">
        <v>7.5088683807936499E-2</v>
      </c>
      <c r="K6447">
        <v>6.5741185357434007E-2</v>
      </c>
      <c r="L6447">
        <v>990.36909264614303</v>
      </c>
      <c r="M6447">
        <v>17.695127358333099</v>
      </c>
      <c r="N6447">
        <v>56.058527787848398</v>
      </c>
      <c r="O6447">
        <v>55.2683466334475</v>
      </c>
      <c r="P6447">
        <v>-7.8924099489028801E-2</v>
      </c>
      <c r="Q6447">
        <v>1.4016996603664299E-2</v>
      </c>
      <c r="R6447">
        <v>0.99415698615473602</v>
      </c>
      <c r="S6447" t="s">
        <v>13450</v>
      </c>
      <c r="T6447" t="s">
        <v>14004</v>
      </c>
      <c r="U6447" t="s">
        <v>14004</v>
      </c>
      <c r="V6447" t="s">
        <v>14004</v>
      </c>
      <c r="W6447" t="s">
        <v>20393</v>
      </c>
      <c r="X6447">
        <v>25</v>
      </c>
      <c r="Y6447" t="s">
        <v>27182</v>
      </c>
      <c r="Z6447" t="s">
        <v>34157</v>
      </c>
      <c r="AA6447">
        <v>0.55368491082280058</v>
      </c>
      <c r="AB6447" t="str">
        <f>HYPERLINK("Melting_Curves/meltCurve_Q9P0L0_VAPA.pdf", "Melting_Curves/meltCurve_Q9P0L0_VAPA.pdf")</f>
        <v>Melting_Curves/meltCurve_Q9P0L0_VAPA.pdf</v>
      </c>
    </row>
    <row r="6448" spans="1:28" x14ac:dyDescent="0.25">
      <c r="A6448" t="s">
        <v>6452</v>
      </c>
      <c r="B6448">
        <v>0.99999676499088797</v>
      </c>
      <c r="C6448">
        <v>0.91850240306026598</v>
      </c>
      <c r="D6448">
        <v>0.72711718807152304</v>
      </c>
      <c r="E6448">
        <v>0.43883038937520402</v>
      </c>
      <c r="F6448">
        <v>0.31388626828591298</v>
      </c>
      <c r="G6448">
        <v>0.192925105055094</v>
      </c>
      <c r="H6448">
        <v>0.10095412133935899</v>
      </c>
      <c r="I6448">
        <v>8.0715580026782904E-2</v>
      </c>
      <c r="J6448">
        <v>7.67907092734013E-2</v>
      </c>
      <c r="K6448">
        <v>6.1987776025404201E-2</v>
      </c>
      <c r="L6448">
        <v>722.68532567506395</v>
      </c>
      <c r="M6448">
        <v>14.785317720459</v>
      </c>
      <c r="N6448">
        <v>49.316647952727202</v>
      </c>
      <c r="O6448">
        <v>48.010571790790102</v>
      </c>
      <c r="P6448">
        <v>-7.2259853476177097E-2</v>
      </c>
      <c r="Q6448">
        <v>6.1537847423950701E-2</v>
      </c>
      <c r="R6448">
        <v>0.99523708252578202</v>
      </c>
      <c r="S6448" t="s">
        <v>13451</v>
      </c>
      <c r="T6448" t="s">
        <v>14004</v>
      </c>
      <c r="U6448" t="s">
        <v>14004</v>
      </c>
      <c r="V6448" t="s">
        <v>14004</v>
      </c>
      <c r="W6448" t="s">
        <v>20394</v>
      </c>
      <c r="X6448">
        <v>5</v>
      </c>
      <c r="Y6448" t="s">
        <v>27183</v>
      </c>
      <c r="Z6448" t="s">
        <v>34158</v>
      </c>
      <c r="AA6448">
        <v>0.36318819992912699</v>
      </c>
      <c r="AB6448" t="str">
        <f>HYPERLINK("Melting_Curves/meltCurve_Q9P0N9_3_TBC1D7.pdf", "Melting_Curves/meltCurve_Q9P0N9_3_TBC1D7.pdf")</f>
        <v>Melting_Curves/meltCurve_Q9P0N9_3_TBC1D7.pdf</v>
      </c>
    </row>
    <row r="6449" spans="1:28" x14ac:dyDescent="0.25">
      <c r="A6449" t="s">
        <v>6453</v>
      </c>
      <c r="B6449">
        <v>0.99999676499088797</v>
      </c>
      <c r="C6449">
        <v>1.0600170618617599</v>
      </c>
      <c r="D6449">
        <v>0.99359288053874795</v>
      </c>
      <c r="E6449">
        <v>0.80323267716403102</v>
      </c>
      <c r="F6449">
        <v>0.67322296188017605</v>
      </c>
      <c r="G6449">
        <v>0.55173370633710905</v>
      </c>
      <c r="H6449">
        <v>0.30222230192046401</v>
      </c>
      <c r="I6449">
        <v>0.32680262194099502</v>
      </c>
      <c r="J6449">
        <v>0.32326144410644198</v>
      </c>
      <c r="K6449">
        <v>0.31643887183581798</v>
      </c>
      <c r="L6449">
        <v>892.76755053703403</v>
      </c>
      <c r="M6449">
        <v>16.618448919409701</v>
      </c>
      <c r="N6449">
        <v>56.584031758820998</v>
      </c>
      <c r="O6449">
        <v>52.961686046958398</v>
      </c>
      <c r="P6449">
        <v>-5.6147350762135798E-2</v>
      </c>
      <c r="Q6449">
        <v>0.284299954893589</v>
      </c>
      <c r="R6449">
        <v>0.97908850554629101</v>
      </c>
      <c r="S6449" t="s">
        <v>13452</v>
      </c>
      <c r="T6449" t="s">
        <v>14004</v>
      </c>
      <c r="U6449" t="s">
        <v>14004</v>
      </c>
      <c r="V6449" t="s">
        <v>14004</v>
      </c>
      <c r="W6449" t="s">
        <v>20395</v>
      </c>
      <c r="X6449">
        <v>11</v>
      </c>
      <c r="Y6449" t="s">
        <v>27184</v>
      </c>
      <c r="Z6449" t="s">
        <v>34159</v>
      </c>
      <c r="AA6449">
        <v>0.62461988628934839</v>
      </c>
      <c r="AB6449" t="str">
        <f>HYPERLINK("Melting_Curves/meltCurve_Q9P0P0_RNF181.pdf", "Melting_Curves/meltCurve_Q9P0P0_RNF181.pdf")</f>
        <v>Melting_Curves/meltCurve_Q9P0P0_RNF181.pdf</v>
      </c>
    </row>
    <row r="6450" spans="1:28" x14ac:dyDescent="0.25">
      <c r="A6450" t="s">
        <v>6454</v>
      </c>
      <c r="B6450">
        <v>0.99999676499088797</v>
      </c>
      <c r="C6450">
        <v>1.01724416813853</v>
      </c>
      <c r="D6450">
        <v>0.98845794773581497</v>
      </c>
      <c r="E6450">
        <v>0.90097196703394</v>
      </c>
      <c r="F6450">
        <v>0.52301350891242304</v>
      </c>
      <c r="G6450">
        <v>0.25113902050859499</v>
      </c>
      <c r="H6450">
        <v>0.10008250054593</v>
      </c>
      <c r="I6450">
        <v>7.7557415292344195E-2</v>
      </c>
      <c r="J6450">
        <v>7.5225097497112495E-2</v>
      </c>
      <c r="K6450">
        <v>8.4449343389633696E-2</v>
      </c>
      <c r="L6450">
        <v>1395.9680533322501</v>
      </c>
      <c r="M6450">
        <v>26.213884817133401</v>
      </c>
      <c r="N6450">
        <v>53.585104865412603</v>
      </c>
      <c r="O6450">
        <v>52.945978633237402</v>
      </c>
      <c r="P6450">
        <v>-0.11449739623862901</v>
      </c>
      <c r="Q6450">
        <v>7.4977163813133296E-2</v>
      </c>
      <c r="R6450">
        <v>0.99880161802355605</v>
      </c>
      <c r="S6450" t="s">
        <v>13453</v>
      </c>
      <c r="T6450" t="s">
        <v>14004</v>
      </c>
      <c r="U6450" t="s">
        <v>14004</v>
      </c>
      <c r="V6450" t="s">
        <v>14004</v>
      </c>
      <c r="W6450" t="s">
        <v>20396</v>
      </c>
      <c r="X6450">
        <v>5</v>
      </c>
      <c r="Y6450" t="s">
        <v>27185</v>
      </c>
      <c r="Z6450" t="s">
        <v>34160</v>
      </c>
      <c r="AA6450">
        <v>0.49142557924557889</v>
      </c>
      <c r="AB6450" t="str">
        <f>HYPERLINK("Melting_Curves/meltCurve_Q9P0R6_GSKIP.pdf", "Melting_Curves/meltCurve_Q9P0R6_GSKIP.pdf")</f>
        <v>Melting_Curves/meltCurve_Q9P0R6_GSKIP.pdf</v>
      </c>
    </row>
    <row r="6451" spans="1:28" x14ac:dyDescent="0.25">
      <c r="A6451" t="s">
        <v>6455</v>
      </c>
      <c r="B6451">
        <v>0.99999676499088797</v>
      </c>
      <c r="C6451">
        <v>0.97291647586249197</v>
      </c>
      <c r="D6451">
        <v>0.984716975787154</v>
      </c>
      <c r="E6451">
        <v>1.1131046590967</v>
      </c>
      <c r="F6451">
        <v>0.93145515578916405</v>
      </c>
      <c r="G6451">
        <v>0.79490349667163196</v>
      </c>
      <c r="H6451">
        <v>0.57682228059187701</v>
      </c>
      <c r="I6451">
        <v>0.55523885192492906</v>
      </c>
      <c r="J6451">
        <v>0.48837819450626502</v>
      </c>
      <c r="K6451">
        <v>0.59756631487269296</v>
      </c>
      <c r="L6451">
        <v>2005.67285738384</v>
      </c>
      <c r="M6451">
        <v>35.194349439283698</v>
      </c>
      <c r="O6451">
        <v>56.8054400028091</v>
      </c>
      <c r="P6451">
        <v>-7.1082092451489096E-2</v>
      </c>
      <c r="Q6451">
        <v>0.54108137692657698</v>
      </c>
      <c r="R6451">
        <v>0.95325639299098697</v>
      </c>
      <c r="S6451" t="s">
        <v>13454</v>
      </c>
      <c r="T6451" t="s">
        <v>14004</v>
      </c>
      <c r="U6451" t="s">
        <v>14004</v>
      </c>
      <c r="V6451" t="s">
        <v>14004</v>
      </c>
      <c r="W6451" t="s">
        <v>20397</v>
      </c>
      <c r="X6451">
        <v>8</v>
      </c>
      <c r="Y6451" t="s">
        <v>27186</v>
      </c>
      <c r="Z6451" t="s">
        <v>34161</v>
      </c>
      <c r="AA6451">
        <v>0.80324309854363152</v>
      </c>
      <c r="AB6451" t="str">
        <f>HYPERLINK("Melting_Curves/meltCurve_Q9P0S2_COX16.pdf", "Melting_Curves/meltCurve_Q9P0S2_COX16.pdf")</f>
        <v>Melting_Curves/meltCurve_Q9P0S2_COX16.pdf</v>
      </c>
    </row>
    <row r="6452" spans="1:28" x14ac:dyDescent="0.25">
      <c r="A6452" t="s">
        <v>6456</v>
      </c>
      <c r="B6452">
        <v>0.99999676499088797</v>
      </c>
      <c r="C6452">
        <v>0.91585362049313701</v>
      </c>
      <c r="D6452">
        <v>0.557874615395762</v>
      </c>
      <c r="E6452">
        <v>0.32113094628274702</v>
      </c>
      <c r="F6452">
        <v>0.27166341395176402</v>
      </c>
      <c r="G6452">
        <v>0.17333018189438101</v>
      </c>
      <c r="H6452">
        <v>9.4872734753612104E-2</v>
      </c>
      <c r="I6452">
        <v>9.2475806025675206E-2</v>
      </c>
      <c r="J6452">
        <v>8.3439924409808297E-2</v>
      </c>
      <c r="K6452">
        <v>6.2093581775478898E-2</v>
      </c>
      <c r="L6452">
        <v>834.16115890255901</v>
      </c>
      <c r="M6452">
        <v>17.810979346541501</v>
      </c>
      <c r="N6452">
        <v>47.402832875957202</v>
      </c>
      <c r="O6452">
        <v>46.255663527268901</v>
      </c>
      <c r="P6452">
        <v>-8.7007413560184793E-2</v>
      </c>
      <c r="Q6452">
        <v>9.6202414576704906E-2</v>
      </c>
      <c r="R6452">
        <v>0.98206408100390596</v>
      </c>
      <c r="S6452" t="s">
        <v>13455</v>
      </c>
      <c r="T6452" t="s">
        <v>14004</v>
      </c>
      <c r="U6452" t="s">
        <v>14004</v>
      </c>
      <c r="V6452" t="s">
        <v>14004</v>
      </c>
      <c r="W6452" t="s">
        <v>20398</v>
      </c>
      <c r="X6452">
        <v>4</v>
      </c>
      <c r="Y6452" t="s">
        <v>27187</v>
      </c>
      <c r="Z6452" t="s">
        <v>34162</v>
      </c>
      <c r="AA6452">
        <v>0.31929976969695639</v>
      </c>
      <c r="AB6452" t="str">
        <f>HYPERLINK("Melting_Curves/meltCurve_Q9P0U4_CXXC1.pdf", "Melting_Curves/meltCurve_Q9P0U4_CXXC1.pdf")</f>
        <v>Melting_Curves/meltCurve_Q9P0U4_CXXC1.pdf</v>
      </c>
    </row>
    <row r="6453" spans="1:28" x14ac:dyDescent="0.25">
      <c r="A6453" t="s">
        <v>6457</v>
      </c>
      <c r="B6453">
        <v>0.99999676499088797</v>
      </c>
      <c r="C6453">
        <v>0.84935110467952701</v>
      </c>
      <c r="D6453">
        <v>0.74804873454189302</v>
      </c>
      <c r="E6453">
        <v>0.75166320047681401</v>
      </c>
      <c r="F6453">
        <v>0.46386376207312802</v>
      </c>
      <c r="G6453">
        <v>0.579135980247931</v>
      </c>
      <c r="H6453">
        <v>0.20088277872365201</v>
      </c>
      <c r="I6453">
        <v>0.145209628961634</v>
      </c>
      <c r="J6453">
        <v>0.120646230652242</v>
      </c>
      <c r="K6453">
        <v>0.112099734732442</v>
      </c>
      <c r="L6453">
        <v>478.47476381009102</v>
      </c>
      <c r="M6453">
        <v>8.8602100629571598</v>
      </c>
      <c r="N6453">
        <v>54.002643136554703</v>
      </c>
      <c r="O6453">
        <v>51.464001849476801</v>
      </c>
      <c r="P6453">
        <v>-4.3073977436538097E-2</v>
      </c>
      <c r="Q6453">
        <v>0</v>
      </c>
      <c r="R6453">
        <v>0.93719365239964303</v>
      </c>
      <c r="S6453" t="s">
        <v>13456</v>
      </c>
      <c r="T6453" t="s">
        <v>14004</v>
      </c>
      <c r="U6453" t="s">
        <v>14004</v>
      </c>
      <c r="V6453" t="s">
        <v>14004</v>
      </c>
      <c r="W6453" t="s">
        <v>20399</v>
      </c>
      <c r="X6453">
        <v>4</v>
      </c>
      <c r="Y6453" t="s">
        <v>27188</v>
      </c>
      <c r="Z6453" t="s">
        <v>34163</v>
      </c>
      <c r="AA6453">
        <v>0.49923550723868781</v>
      </c>
      <c r="AB6453" t="str">
        <f>HYPERLINK("Melting_Curves/meltCurve_Q9P1F3_ABRACL.pdf", "Melting_Curves/meltCurve_Q9P1F3_ABRACL.pdf")</f>
        <v>Melting_Curves/meltCurve_Q9P1F3_ABRACL.pdf</v>
      </c>
    </row>
    <row r="6454" spans="1:28" x14ac:dyDescent="0.25">
      <c r="A6454" t="s">
        <v>6458</v>
      </c>
      <c r="B6454">
        <v>0.99999676499088797</v>
      </c>
      <c r="C6454">
        <v>0.88333930503786795</v>
      </c>
      <c r="D6454">
        <v>0.87024004708948499</v>
      </c>
      <c r="E6454">
        <v>0.65956212975335204</v>
      </c>
      <c r="F6454">
        <v>0.695974136844282</v>
      </c>
      <c r="G6454">
        <v>0.50269651497183798</v>
      </c>
      <c r="H6454">
        <v>0.49342355997460502</v>
      </c>
      <c r="I6454">
        <v>0.62418069616859595</v>
      </c>
      <c r="J6454">
        <v>0.64353250889186597</v>
      </c>
      <c r="K6454">
        <v>0.94913493568065199</v>
      </c>
      <c r="L6454">
        <v>1089.2917972169</v>
      </c>
      <c r="M6454">
        <v>23.7365868606555</v>
      </c>
      <c r="O6454">
        <v>45.568831465415897</v>
      </c>
      <c r="P6454">
        <v>-4.6094909368160498E-2</v>
      </c>
      <c r="Q6454">
        <v>0.64603894388860394</v>
      </c>
      <c r="R6454">
        <v>0.505063028494385</v>
      </c>
      <c r="S6454" t="s">
        <v>13457</v>
      </c>
      <c r="T6454" t="s">
        <v>14004</v>
      </c>
      <c r="U6454" t="s">
        <v>14004</v>
      </c>
      <c r="V6454" t="s">
        <v>14004</v>
      </c>
      <c r="W6454" t="s">
        <v>20400</v>
      </c>
      <c r="X6454">
        <v>2</v>
      </c>
      <c r="Y6454" t="s">
        <v>27189</v>
      </c>
      <c r="Z6454" t="s">
        <v>34164</v>
      </c>
      <c r="AA6454">
        <v>0.71925286392334942</v>
      </c>
      <c r="AB6454" t="str">
        <f>HYPERLINK("Melting_Curves/meltCurve_Q9P1U0_ZNRD1.pdf", "Melting_Curves/meltCurve_Q9P1U0_ZNRD1.pdf")</f>
        <v>Melting_Curves/meltCurve_Q9P1U0_ZNRD1.pdf</v>
      </c>
    </row>
    <row r="6455" spans="1:28" x14ac:dyDescent="0.25">
      <c r="A6455" t="s">
        <v>6459</v>
      </c>
      <c r="B6455">
        <v>0.99999676499088797</v>
      </c>
      <c r="C6455">
        <v>1.1561958149010301</v>
      </c>
      <c r="D6455">
        <v>1.2123109400523999</v>
      </c>
      <c r="E6455">
        <v>0.97863571234623303</v>
      </c>
      <c r="F6455">
        <v>1.1004178912026199</v>
      </c>
      <c r="G6455">
        <v>0.79977061668367899</v>
      </c>
      <c r="H6455">
        <v>0.112796012842687</v>
      </c>
      <c r="I6455">
        <v>9.7373198299367997E-2</v>
      </c>
      <c r="J6455">
        <v>0</v>
      </c>
      <c r="K6455">
        <v>0</v>
      </c>
      <c r="L6455">
        <v>3226.68524143377</v>
      </c>
      <c r="M6455">
        <v>55.425767140054496</v>
      </c>
      <c r="N6455">
        <v>58.280304520510199</v>
      </c>
      <c r="O6455">
        <v>58.140701585551</v>
      </c>
      <c r="P6455">
        <v>-0.231291119537757</v>
      </c>
      <c r="Q6455">
        <v>2.9518514608706799E-2</v>
      </c>
      <c r="R6455">
        <v>0.964869864733918</v>
      </c>
      <c r="S6455" t="s">
        <v>13458</v>
      </c>
      <c r="T6455" t="s">
        <v>14004</v>
      </c>
      <c r="U6455" t="s">
        <v>14004</v>
      </c>
      <c r="V6455" t="s">
        <v>14004</v>
      </c>
      <c r="W6455" t="s">
        <v>20401</v>
      </c>
      <c r="X6455">
        <v>5</v>
      </c>
      <c r="Y6455" t="s">
        <v>27190</v>
      </c>
      <c r="Z6455" t="s">
        <v>34165</v>
      </c>
      <c r="AA6455">
        <v>0.62082725449796472</v>
      </c>
      <c r="AB6455" t="str">
        <f>HYPERLINK("Melting_Curves/meltCurve_Q9P1U1_ACTR3B.pdf", "Melting_Curves/meltCurve_Q9P1U1_ACTR3B.pdf")</f>
        <v>Melting_Curves/meltCurve_Q9P1U1_ACTR3B.pdf</v>
      </c>
    </row>
    <row r="6456" spans="1:28" x14ac:dyDescent="0.25">
      <c r="A6456" t="s">
        <v>6460</v>
      </c>
      <c r="B6456">
        <v>0.99999676499088797</v>
      </c>
      <c r="C6456">
        <v>0.926281742107402</v>
      </c>
      <c r="D6456">
        <v>0.88624949341186299</v>
      </c>
      <c r="E6456">
        <v>0.82594346261358398</v>
      </c>
      <c r="F6456">
        <v>0.70384895892795096</v>
      </c>
      <c r="G6456">
        <v>0.56223522717202701</v>
      </c>
      <c r="H6456">
        <v>0.312740016037511</v>
      </c>
      <c r="I6456">
        <v>0.34008814206126597</v>
      </c>
      <c r="J6456">
        <v>0.27258407841932297</v>
      </c>
      <c r="K6456">
        <v>0.31016099628467098</v>
      </c>
      <c r="L6456">
        <v>641.77259573722904</v>
      </c>
      <c r="M6456">
        <v>11.710685651265599</v>
      </c>
      <c r="N6456">
        <v>57.434871779389802</v>
      </c>
      <c r="O6456">
        <v>53.277472498449796</v>
      </c>
      <c r="P6456">
        <v>-4.3550505821337397E-2</v>
      </c>
      <c r="Q6456">
        <v>0.20768216774923101</v>
      </c>
      <c r="R6456">
        <v>0.97932778439496504</v>
      </c>
      <c r="S6456" t="s">
        <v>13459</v>
      </c>
      <c r="T6456" t="s">
        <v>14004</v>
      </c>
      <c r="U6456" t="s">
        <v>14004</v>
      </c>
      <c r="V6456" t="s">
        <v>14004</v>
      </c>
      <c r="W6456" t="s">
        <v>20402</v>
      </c>
      <c r="X6456">
        <v>3</v>
      </c>
      <c r="Y6456" t="s">
        <v>27191</v>
      </c>
      <c r="Z6456" t="s">
        <v>34166</v>
      </c>
      <c r="AA6456">
        <v>0.61797887913483307</v>
      </c>
      <c r="AB6456" t="str">
        <f>HYPERLINK("Melting_Curves/meltCurve_Q9P1W8_4_SIRPG.pdf", "Melting_Curves/meltCurve_Q9P1W8_4_SIRPG.pdf")</f>
        <v>Melting_Curves/meltCurve_Q9P1W8_4_SIRPG.pdf</v>
      </c>
    </row>
    <row r="6457" spans="1:28" x14ac:dyDescent="0.25">
      <c r="A6457" t="s">
        <v>6461</v>
      </c>
      <c r="B6457">
        <v>0.99999676499088797</v>
      </c>
      <c r="C6457">
        <v>0.78223898647039003</v>
      </c>
      <c r="D6457">
        <v>0.55632673060879001</v>
      </c>
      <c r="E6457">
        <v>0.36107953511596103</v>
      </c>
      <c r="F6457">
        <v>0.27353288787924401</v>
      </c>
      <c r="G6457">
        <v>0.18776816570208901</v>
      </c>
      <c r="H6457">
        <v>8.3590657186093195E-2</v>
      </c>
      <c r="I6457">
        <v>7.9163261056589801E-2</v>
      </c>
      <c r="J6457">
        <v>8.9883127921584705E-2</v>
      </c>
      <c r="K6457">
        <v>6.7985149432895603E-2</v>
      </c>
      <c r="L6457">
        <v>634.54353153050602</v>
      </c>
      <c r="M6457">
        <v>13.5299823626631</v>
      </c>
      <c r="N6457">
        <v>47.435570249057001</v>
      </c>
      <c r="O6457">
        <v>45.910120767409701</v>
      </c>
      <c r="P6457">
        <v>-6.8459748264415907E-2</v>
      </c>
      <c r="Q6457">
        <v>7.0946492506599901E-2</v>
      </c>
      <c r="R6457">
        <v>0.98628520094566297</v>
      </c>
      <c r="S6457" t="s">
        <v>13460</v>
      </c>
      <c r="T6457" t="s">
        <v>14004</v>
      </c>
      <c r="U6457" t="s">
        <v>14004</v>
      </c>
      <c r="V6457" t="s">
        <v>14004</v>
      </c>
      <c r="W6457" t="s">
        <v>20403</v>
      </c>
      <c r="X6457">
        <v>3</v>
      </c>
      <c r="Y6457" t="s">
        <v>27192</v>
      </c>
      <c r="Z6457" t="s">
        <v>34167</v>
      </c>
      <c r="AA6457">
        <v>0.31587893771409109</v>
      </c>
      <c r="AB6457" t="str">
        <f>HYPERLINK("Melting_Curves/meltCurve_Q9P1Y5_CAMSAP3.pdf", "Melting_Curves/meltCurve_Q9P1Y5_CAMSAP3.pdf")</f>
        <v>Melting_Curves/meltCurve_Q9P1Y5_CAMSAP3.pdf</v>
      </c>
    </row>
    <row r="6458" spans="1:28" x14ac:dyDescent="0.25">
      <c r="A6458" t="s">
        <v>6462</v>
      </c>
      <c r="B6458">
        <v>0.99999676499088797</v>
      </c>
      <c r="C6458">
        <v>1.1229076824050599</v>
      </c>
      <c r="D6458">
        <v>0.75631452643916297</v>
      </c>
      <c r="E6458">
        <v>0.71741820229891595</v>
      </c>
      <c r="F6458">
        <v>0.375490002052567</v>
      </c>
      <c r="G6458">
        <v>0.41538713409526901</v>
      </c>
      <c r="H6458">
        <v>0.38016081604079299</v>
      </c>
      <c r="I6458">
        <v>0.72282567739505299</v>
      </c>
      <c r="J6458">
        <v>0.64783868314983795</v>
      </c>
      <c r="K6458">
        <v>0.52648698254014403</v>
      </c>
      <c r="L6458">
        <v>1455.74280564219</v>
      </c>
      <c r="M6458">
        <v>30.981709616065</v>
      </c>
      <c r="O6458">
        <v>46.792710677200098</v>
      </c>
      <c r="P6458">
        <v>-7.9041226199035503E-2</v>
      </c>
      <c r="Q6458">
        <v>0.522488325502658</v>
      </c>
      <c r="R6458">
        <v>0.73353218368963002</v>
      </c>
      <c r="S6458" t="s">
        <v>13461</v>
      </c>
      <c r="T6458" t="s">
        <v>14004</v>
      </c>
      <c r="U6458" t="s">
        <v>14004</v>
      </c>
      <c r="V6458" t="s">
        <v>14004</v>
      </c>
      <c r="W6458" t="s">
        <v>20404</v>
      </c>
      <c r="X6458">
        <v>2</v>
      </c>
      <c r="Y6458" t="s">
        <v>27193</v>
      </c>
      <c r="Z6458" t="s">
        <v>34168</v>
      </c>
      <c r="AA6458">
        <v>0.63637670580218342</v>
      </c>
      <c r="AB6458" t="str">
        <f>HYPERLINK("Melting_Curves/meltCurve_Q9P206_2_KIAA1522.pdf", "Melting_Curves/meltCurve_Q9P206_2_KIAA1522.pdf")</f>
        <v>Melting_Curves/meltCurve_Q9P206_2_KIAA1522.pdf</v>
      </c>
    </row>
    <row r="6459" spans="1:28" x14ac:dyDescent="0.25">
      <c r="A6459" t="s">
        <v>6463</v>
      </c>
      <c r="B6459">
        <v>0.99999676499088797</v>
      </c>
      <c r="C6459">
        <v>0.87769941138498897</v>
      </c>
      <c r="D6459">
        <v>0.59016622765085602</v>
      </c>
      <c r="E6459">
        <v>0.333757468451929</v>
      </c>
      <c r="F6459">
        <v>0.240206097977056</v>
      </c>
      <c r="G6459">
        <v>0.12569712923380399</v>
      </c>
      <c r="H6459">
        <v>0</v>
      </c>
      <c r="I6459">
        <v>9.9556657384888794E-2</v>
      </c>
      <c r="J6459">
        <v>0.14261189677317199</v>
      </c>
      <c r="K6459">
        <v>0.14464726683517201</v>
      </c>
      <c r="L6459">
        <v>881.65612295594406</v>
      </c>
      <c r="M6459">
        <v>18.851092570444798</v>
      </c>
      <c r="N6459">
        <v>47.336908330302599</v>
      </c>
      <c r="O6459">
        <v>46.2527238404898</v>
      </c>
      <c r="P6459">
        <v>-9.1591693969316504E-2</v>
      </c>
      <c r="Q6459">
        <v>0.10112559946277</v>
      </c>
      <c r="R6459">
        <v>0.98022809221261598</v>
      </c>
      <c r="S6459" t="s">
        <v>13462</v>
      </c>
      <c r="T6459" t="s">
        <v>14004</v>
      </c>
      <c r="U6459" t="s">
        <v>14004</v>
      </c>
      <c r="V6459" t="s">
        <v>14004</v>
      </c>
      <c r="W6459" t="s">
        <v>20405</v>
      </c>
      <c r="X6459">
        <v>1</v>
      </c>
      <c r="Y6459" t="s">
        <v>27194</v>
      </c>
      <c r="Z6459" t="s">
        <v>34169</v>
      </c>
      <c r="AA6459">
        <v>0.31911492497044042</v>
      </c>
      <c r="AB6459" t="str">
        <f>HYPERLINK("Melting_Curves/meltCurve_Q9P215_POGK.pdf", "Melting_Curves/meltCurve_Q9P215_POGK.pdf")</f>
        <v>Melting_Curves/meltCurve_Q9P215_POGK.pdf</v>
      </c>
    </row>
    <row r="6460" spans="1:28" x14ac:dyDescent="0.25">
      <c r="A6460" t="s">
        <v>6464</v>
      </c>
      <c r="B6460">
        <v>0.99999676499088797</v>
      </c>
      <c r="C6460">
        <v>0.84267308961778098</v>
      </c>
      <c r="D6460">
        <v>0.374096497667052</v>
      </c>
      <c r="E6460">
        <v>0.26800242427319498</v>
      </c>
      <c r="F6460">
        <v>0.205513597207371</v>
      </c>
      <c r="G6460">
        <v>0.18752039506190701</v>
      </c>
      <c r="H6460">
        <v>0.10353116343570599</v>
      </c>
      <c r="I6460">
        <v>9.39983878576406E-2</v>
      </c>
      <c r="J6460">
        <v>8.2998986643663994E-2</v>
      </c>
      <c r="K6460">
        <v>7.5530953963323003E-2</v>
      </c>
      <c r="L6460">
        <v>1240.7771256042299</v>
      </c>
      <c r="M6460">
        <v>27.628869017977799</v>
      </c>
      <c r="N6460">
        <v>45.402559014725703</v>
      </c>
      <c r="O6460">
        <v>44.675431072921903</v>
      </c>
      <c r="P6460">
        <v>-0.13454459651119099</v>
      </c>
      <c r="Q6460">
        <v>0.12978218391865101</v>
      </c>
      <c r="R6460">
        <v>0.97459245368438796</v>
      </c>
      <c r="S6460" t="s">
        <v>13463</v>
      </c>
      <c r="T6460" t="s">
        <v>14004</v>
      </c>
      <c r="U6460" t="s">
        <v>14004</v>
      </c>
      <c r="V6460" t="s">
        <v>14004</v>
      </c>
      <c r="W6460" t="s">
        <v>20406</v>
      </c>
      <c r="X6460">
        <v>14</v>
      </c>
      <c r="Y6460" t="s">
        <v>27195</v>
      </c>
      <c r="Z6460" t="s">
        <v>34170</v>
      </c>
      <c r="AA6460">
        <v>0.2790503122319366</v>
      </c>
      <c r="AB6460" t="str">
        <f>HYPERLINK("Melting_Curves/meltCurve_Q9P219_CCDC88C.pdf", "Melting_Curves/meltCurve_Q9P219_CCDC88C.pdf")</f>
        <v>Melting_Curves/meltCurve_Q9P219_CCDC88C.pdf</v>
      </c>
    </row>
    <row r="6461" spans="1:28" x14ac:dyDescent="0.25">
      <c r="A6461" t="s">
        <v>6465</v>
      </c>
      <c r="B6461">
        <v>0.99999676499088797</v>
      </c>
      <c r="C6461">
        <v>0.97925925730343799</v>
      </c>
      <c r="D6461">
        <v>0.942877455114985</v>
      </c>
      <c r="E6461">
        <v>0.90184335060848797</v>
      </c>
      <c r="F6461">
        <v>0.67475460826004596</v>
      </c>
      <c r="G6461">
        <v>0.42895222084595802</v>
      </c>
      <c r="H6461">
        <v>0.319535339336255</v>
      </c>
      <c r="I6461">
        <v>0.268086616062783</v>
      </c>
      <c r="J6461">
        <v>0.237681362585282</v>
      </c>
      <c r="K6461">
        <v>0.25431150043787598</v>
      </c>
      <c r="L6461">
        <v>1085.8812098999999</v>
      </c>
      <c r="M6461">
        <v>20.131920768973298</v>
      </c>
      <c r="N6461">
        <v>55.718259071066399</v>
      </c>
      <c r="O6461">
        <v>53.414562460334501</v>
      </c>
      <c r="P6461">
        <v>-7.1879016658743994E-2</v>
      </c>
      <c r="Q6461">
        <v>0.237179052543466</v>
      </c>
      <c r="R6461">
        <v>0.99779456804518996</v>
      </c>
      <c r="S6461" t="s">
        <v>13464</v>
      </c>
      <c r="T6461" t="s">
        <v>14004</v>
      </c>
      <c r="U6461" t="s">
        <v>14004</v>
      </c>
      <c r="V6461" t="s">
        <v>14004</v>
      </c>
      <c r="W6461" t="s">
        <v>20407</v>
      </c>
      <c r="X6461">
        <v>3</v>
      </c>
      <c r="Y6461" t="s">
        <v>27196</v>
      </c>
      <c r="Z6461" t="s">
        <v>34171</v>
      </c>
      <c r="AA6461">
        <v>0.60186052181442884</v>
      </c>
      <c r="AB6461" t="str">
        <f>HYPERLINK("Melting_Curves/meltCurve_Q9P244_LRFN1.pdf", "Melting_Curves/meltCurve_Q9P244_LRFN1.pdf")</f>
        <v>Melting_Curves/meltCurve_Q9P244_LRFN1.pdf</v>
      </c>
    </row>
    <row r="6462" spans="1:28" x14ac:dyDescent="0.25">
      <c r="A6462" t="s">
        <v>6466</v>
      </c>
      <c r="B6462">
        <v>0.99999676499088797</v>
      </c>
      <c r="C6462">
        <v>0.95195003964342495</v>
      </c>
      <c r="D6462">
        <v>0.90167431098790396</v>
      </c>
      <c r="E6462">
        <v>0.489442656426746</v>
      </c>
      <c r="F6462">
        <v>0.28267091560764801</v>
      </c>
      <c r="G6462">
        <v>0.22788904947946501</v>
      </c>
      <c r="H6462">
        <v>0.116414463404136</v>
      </c>
      <c r="I6462">
        <v>0.127587728398038</v>
      </c>
      <c r="J6462">
        <v>0.101233435811693</v>
      </c>
      <c r="K6462">
        <v>6.6585146240095594E-2</v>
      </c>
      <c r="L6462">
        <v>1045.6808851615299</v>
      </c>
      <c r="M6462">
        <v>21.153605975983901</v>
      </c>
      <c r="N6462">
        <v>50.0143744158378</v>
      </c>
      <c r="O6462">
        <v>48.997325510314198</v>
      </c>
      <c r="P6462">
        <v>-9.6166214258134305E-2</v>
      </c>
      <c r="Q6462">
        <v>0.109037811307663</v>
      </c>
      <c r="R6462">
        <v>0.99072114503267505</v>
      </c>
      <c r="S6462" t="s">
        <v>13465</v>
      </c>
      <c r="T6462" t="s">
        <v>14004</v>
      </c>
      <c r="U6462" t="s">
        <v>14004</v>
      </c>
      <c r="V6462" t="s">
        <v>14004</v>
      </c>
      <c r="W6462" t="s">
        <v>20408</v>
      </c>
      <c r="X6462">
        <v>7</v>
      </c>
      <c r="Y6462" t="s">
        <v>27197</v>
      </c>
      <c r="Z6462" t="s">
        <v>34172</v>
      </c>
      <c r="AA6462">
        <v>0.40029405483635461</v>
      </c>
      <c r="AB6462" t="str">
        <f>HYPERLINK("Melting_Curves/meltCurve_Q9P253_VPS18.pdf", "Melting_Curves/meltCurve_Q9P253_VPS18.pdf")</f>
        <v>Melting_Curves/meltCurve_Q9P253_VPS18.pdf</v>
      </c>
    </row>
    <row r="6463" spans="1:28" x14ac:dyDescent="0.25">
      <c r="A6463" t="s">
        <v>6467</v>
      </c>
      <c r="B6463">
        <v>0.99999676499088797</v>
      </c>
      <c r="C6463">
        <v>1.0456176562998201</v>
      </c>
      <c r="D6463">
        <v>0.98932741318623496</v>
      </c>
      <c r="E6463">
        <v>0.92224380953677998</v>
      </c>
      <c r="F6463">
        <v>0.38876472713104698</v>
      </c>
      <c r="G6463">
        <v>0.20958574438635699</v>
      </c>
      <c r="H6463">
        <v>9.81924704642817E-2</v>
      </c>
      <c r="I6463">
        <v>9.2723326650556603E-2</v>
      </c>
      <c r="J6463">
        <v>7.9437559856608206E-2</v>
      </c>
      <c r="K6463">
        <v>6.2616320359795793E-2</v>
      </c>
      <c r="L6463">
        <v>1914.1802589915101</v>
      </c>
      <c r="M6463">
        <v>36.573821658990802</v>
      </c>
      <c r="N6463">
        <v>52.636433020468203</v>
      </c>
      <c r="O6463">
        <v>52.181725811198902</v>
      </c>
      <c r="P6463">
        <v>-0.158788342890959</v>
      </c>
      <c r="Q6463">
        <v>9.3797419291416606E-2</v>
      </c>
      <c r="R6463">
        <v>0.99462720495476997</v>
      </c>
      <c r="S6463" t="s">
        <v>13466</v>
      </c>
      <c r="T6463" t="s">
        <v>14004</v>
      </c>
      <c r="U6463" t="s">
        <v>14004</v>
      </c>
      <c r="V6463" t="s">
        <v>14004</v>
      </c>
      <c r="W6463" t="s">
        <v>20409</v>
      </c>
      <c r="X6463">
        <v>43</v>
      </c>
      <c r="Y6463" t="s">
        <v>27198</v>
      </c>
      <c r="Z6463" t="s">
        <v>34173</v>
      </c>
      <c r="AA6463">
        <v>0.4703929503762494</v>
      </c>
      <c r="AB6463" t="str">
        <f>HYPERLINK("Melting_Curves/meltCurve_Q9P258_RCC2.pdf", "Melting_Curves/meltCurve_Q9P258_RCC2.pdf")</f>
        <v>Melting_Curves/meltCurve_Q9P258_RCC2.pdf</v>
      </c>
    </row>
    <row r="6464" spans="1:28" x14ac:dyDescent="0.25">
      <c r="A6464" t="s">
        <v>6468</v>
      </c>
      <c r="B6464">
        <v>0.99999676499088797</v>
      </c>
      <c r="C6464">
        <v>1.13277715314294</v>
      </c>
      <c r="D6464">
        <v>0.89530495414010103</v>
      </c>
      <c r="E6464">
        <v>0.47832630173776602</v>
      </c>
      <c r="F6464">
        <v>0.312821420934771</v>
      </c>
      <c r="G6464">
        <v>0.217277488266472</v>
      </c>
      <c r="H6464">
        <v>7.6669151576699304E-2</v>
      </c>
      <c r="I6464">
        <v>6.80067350408948E-2</v>
      </c>
      <c r="J6464">
        <v>8.1152313506222595E-2</v>
      </c>
      <c r="K6464">
        <v>6.1260279927455197E-2</v>
      </c>
      <c r="L6464">
        <v>1100.12499237155</v>
      </c>
      <c r="M6464">
        <v>22.125452940925602</v>
      </c>
      <c r="N6464">
        <v>50.152293524390203</v>
      </c>
      <c r="O6464">
        <v>49.321313039459604</v>
      </c>
      <c r="P6464">
        <v>-0.102459454632429</v>
      </c>
      <c r="Q6464">
        <v>8.6423306195616098E-2</v>
      </c>
      <c r="R6464">
        <v>0.97354198102191303</v>
      </c>
      <c r="S6464" t="s">
        <v>13467</v>
      </c>
      <c r="T6464" t="s">
        <v>14004</v>
      </c>
      <c r="U6464" t="s">
        <v>14004</v>
      </c>
      <c r="V6464" t="s">
        <v>14004</v>
      </c>
      <c r="W6464" t="s">
        <v>20410</v>
      </c>
      <c r="X6464">
        <v>4</v>
      </c>
      <c r="Y6464" t="s">
        <v>27199</v>
      </c>
      <c r="Z6464" t="s">
        <v>34174</v>
      </c>
      <c r="AA6464">
        <v>0.39290308225408133</v>
      </c>
      <c r="AB6464" t="str">
        <f>HYPERLINK("Melting_Curves/meltCurve_Q9P260_KIAA1468.pdf", "Melting_Curves/meltCurve_Q9P260_KIAA1468.pdf")</f>
        <v>Melting_Curves/meltCurve_Q9P260_KIAA1468.pdf</v>
      </c>
    </row>
    <row r="6465" spans="1:28" x14ac:dyDescent="0.25">
      <c r="A6465" t="s">
        <v>6469</v>
      </c>
      <c r="B6465">
        <v>0.99999676499088797</v>
      </c>
      <c r="C6465">
        <v>1.05115636251384</v>
      </c>
      <c r="D6465">
        <v>1.03897367724469</v>
      </c>
      <c r="E6465">
        <v>1.0096656058333</v>
      </c>
      <c r="F6465">
        <v>0.82136525668474203</v>
      </c>
      <c r="G6465">
        <v>0.34380866822906098</v>
      </c>
      <c r="H6465">
        <v>0.127850796224867</v>
      </c>
      <c r="I6465">
        <v>0.12005831615566601</v>
      </c>
      <c r="J6465">
        <v>0.113705607340012</v>
      </c>
      <c r="K6465">
        <v>9.9948347320833603E-2</v>
      </c>
      <c r="L6465">
        <v>2070.6925111792498</v>
      </c>
      <c r="M6465">
        <v>37.497727213561198</v>
      </c>
      <c r="N6465">
        <v>55.579965545023299</v>
      </c>
      <c r="O6465">
        <v>55.065468463277703</v>
      </c>
      <c r="P6465">
        <v>-0.15197025824382299</v>
      </c>
      <c r="Q6465">
        <v>0.107328320215339</v>
      </c>
      <c r="R6465">
        <v>0.99722785450880502</v>
      </c>
      <c r="S6465" t="s">
        <v>13468</v>
      </c>
      <c r="T6465" t="s">
        <v>14004</v>
      </c>
      <c r="U6465" t="s">
        <v>14004</v>
      </c>
      <c r="V6465" t="s">
        <v>14004</v>
      </c>
      <c r="W6465" t="s">
        <v>20411</v>
      </c>
      <c r="X6465">
        <v>36</v>
      </c>
      <c r="Y6465" t="s">
        <v>27200</v>
      </c>
      <c r="Z6465" t="s">
        <v>34175</v>
      </c>
      <c r="AA6465">
        <v>0.56412003147341527</v>
      </c>
      <c r="AB6465" t="str">
        <f>HYPERLINK("Melting_Curves/meltCurve_Q9P265_DIP2B.pdf", "Melting_Curves/meltCurve_Q9P265_DIP2B.pdf")</f>
        <v>Melting_Curves/meltCurve_Q9P265_DIP2B.pdf</v>
      </c>
    </row>
    <row r="6466" spans="1:28" x14ac:dyDescent="0.25">
      <c r="A6466" t="s">
        <v>6470</v>
      </c>
      <c r="B6466">
        <v>0.99999676499088797</v>
      </c>
      <c r="C6466">
        <v>1.04681092594111</v>
      </c>
      <c r="D6466">
        <v>0.92035545163059596</v>
      </c>
      <c r="E6466">
        <v>0.71999506870395402</v>
      </c>
      <c r="F6466">
        <v>0.68469231654579898</v>
      </c>
      <c r="G6466">
        <v>0.52919070955219905</v>
      </c>
      <c r="H6466">
        <v>0.37282072471470301</v>
      </c>
      <c r="I6466">
        <v>0.417959858184972</v>
      </c>
      <c r="J6466">
        <v>0.43504978387322502</v>
      </c>
      <c r="K6466">
        <v>0.50904098377939</v>
      </c>
      <c r="L6466">
        <v>873.40751333273704</v>
      </c>
      <c r="M6466">
        <v>17.133901509421701</v>
      </c>
      <c r="N6466">
        <v>57.506233817511003</v>
      </c>
      <c r="O6466">
        <v>50.296222909546103</v>
      </c>
      <c r="P6466">
        <v>-4.8668962199591097E-2</v>
      </c>
      <c r="Q6466">
        <v>0.42856728836913899</v>
      </c>
      <c r="R6466">
        <v>0.95102600243789304</v>
      </c>
      <c r="S6466" t="s">
        <v>13469</v>
      </c>
      <c r="T6466" t="s">
        <v>14004</v>
      </c>
      <c r="U6466" t="s">
        <v>14004</v>
      </c>
      <c r="V6466" t="s">
        <v>14004</v>
      </c>
      <c r="W6466" t="s">
        <v>14416</v>
      </c>
      <c r="X6466">
        <v>18</v>
      </c>
      <c r="Y6466" t="s">
        <v>21353</v>
      </c>
      <c r="Z6466" t="s">
        <v>34176</v>
      </c>
      <c r="AA6466">
        <v>0.64814280992640882</v>
      </c>
      <c r="AB6466" t="str">
        <f>HYPERLINK("Melting_Curves/meltCurve_Q9P270_SLAIN2.pdf", "Melting_Curves/meltCurve_Q9P270_SLAIN2.pdf")</f>
        <v>Melting_Curves/meltCurve_Q9P270_SLAIN2.pdf</v>
      </c>
    </row>
    <row r="6467" spans="1:28" x14ac:dyDescent="0.25">
      <c r="A6467" t="s">
        <v>6471</v>
      </c>
      <c r="B6467">
        <v>0.99999676499088797</v>
      </c>
      <c r="C6467">
        <v>1.01393402846423</v>
      </c>
      <c r="D6467">
        <v>1.01721543509333</v>
      </c>
      <c r="E6467">
        <v>0.955854582219825</v>
      </c>
      <c r="F6467">
        <v>0.56292176391099602</v>
      </c>
      <c r="G6467">
        <v>0.26532824204859301</v>
      </c>
      <c r="H6467">
        <v>0.13099143394526699</v>
      </c>
      <c r="I6467">
        <v>0.10835072485304</v>
      </c>
      <c r="J6467">
        <v>9.8544864698851806E-2</v>
      </c>
      <c r="K6467">
        <v>9.1879822284196902E-2</v>
      </c>
      <c r="L6467">
        <v>1594.05394356022</v>
      </c>
      <c r="M6467">
        <v>29.793617282205201</v>
      </c>
      <c r="N6467">
        <v>53.918537543404398</v>
      </c>
      <c r="O6467">
        <v>53.263924983733197</v>
      </c>
      <c r="P6467">
        <v>-0.125502057038923</v>
      </c>
      <c r="Q6467">
        <v>0.10253472119552</v>
      </c>
      <c r="R6467">
        <v>0.99782249022288705</v>
      </c>
      <c r="S6467" t="s">
        <v>13470</v>
      </c>
      <c r="T6467" t="s">
        <v>14004</v>
      </c>
      <c r="U6467" t="s">
        <v>14004</v>
      </c>
      <c r="V6467" t="s">
        <v>14004</v>
      </c>
      <c r="W6467" t="s">
        <v>20412</v>
      </c>
      <c r="X6467">
        <v>14</v>
      </c>
      <c r="Y6467" t="s">
        <v>27201</v>
      </c>
      <c r="Z6467" t="s">
        <v>34177</v>
      </c>
      <c r="AA6467">
        <v>0.51242863312290809</v>
      </c>
      <c r="AB6467" t="str">
        <f>HYPERLINK("Melting_Curves/meltCurve_Q9P287_BCCIP.pdf", "Melting_Curves/meltCurve_Q9P287_BCCIP.pdf")</f>
        <v>Melting_Curves/meltCurve_Q9P287_BCCIP.pdf</v>
      </c>
    </row>
    <row r="6468" spans="1:28" x14ac:dyDescent="0.25">
      <c r="A6468" t="s">
        <v>6472</v>
      </c>
      <c r="B6468">
        <v>0.99999676499088797</v>
      </c>
      <c r="C6468">
        <v>0.96323574529807099</v>
      </c>
      <c r="D6468">
        <v>0.95222439445231399</v>
      </c>
      <c r="E6468">
        <v>0.82392113355695895</v>
      </c>
      <c r="F6468">
        <v>0.45946323953044199</v>
      </c>
      <c r="G6468">
        <v>0.230356623348144</v>
      </c>
      <c r="H6468">
        <v>0.115051897914195</v>
      </c>
      <c r="I6468">
        <v>0.113332061131122</v>
      </c>
      <c r="J6468">
        <v>9.3535096979037696E-2</v>
      </c>
      <c r="K6468">
        <v>9.8407526166180995E-2</v>
      </c>
      <c r="L6468">
        <v>1229.07573077145</v>
      </c>
      <c r="M6468">
        <v>23.446449012420199</v>
      </c>
      <c r="N6468">
        <v>52.882494640891501</v>
      </c>
      <c r="O6468">
        <v>52.043687539497803</v>
      </c>
      <c r="P6468">
        <v>-0.102201143031518</v>
      </c>
      <c r="Q6468">
        <v>9.2599123931353694E-2</v>
      </c>
      <c r="R6468">
        <v>0.99875599554782002</v>
      </c>
      <c r="S6468" t="s">
        <v>13471</v>
      </c>
      <c r="T6468" t="s">
        <v>14004</v>
      </c>
      <c r="U6468" t="s">
        <v>14004</v>
      </c>
      <c r="V6468" t="s">
        <v>14004</v>
      </c>
      <c r="W6468" t="s">
        <v>20413</v>
      </c>
      <c r="X6468">
        <v>14</v>
      </c>
      <c r="Y6468" t="s">
        <v>27201</v>
      </c>
      <c r="Z6468" t="s">
        <v>34178</v>
      </c>
      <c r="AA6468">
        <v>0.47766708018112908</v>
      </c>
      <c r="AB6468" t="str">
        <f>HYPERLINK("Melting_Curves/meltCurve_Q9P287_2_BCCIP.pdf", "Melting_Curves/meltCurve_Q9P287_2_BCCIP.pdf")</f>
        <v>Melting_Curves/meltCurve_Q9P287_2_BCCIP.pdf</v>
      </c>
    </row>
    <row r="6469" spans="1:28" x14ac:dyDescent="0.25">
      <c r="A6469" t="s">
        <v>6473</v>
      </c>
      <c r="B6469">
        <v>0.99999676499088797</v>
      </c>
      <c r="C6469">
        <v>1.0263623646372899</v>
      </c>
      <c r="D6469">
        <v>0.93743942123484303</v>
      </c>
      <c r="E6469">
        <v>0.66621309366118897</v>
      </c>
      <c r="F6469">
        <v>0.30657174519184299</v>
      </c>
      <c r="G6469">
        <v>0.26415513892668102</v>
      </c>
      <c r="H6469">
        <v>0.111656521927092</v>
      </c>
      <c r="I6469">
        <v>9.71688671540753E-2</v>
      </c>
      <c r="J6469">
        <v>0.14026559932736299</v>
      </c>
      <c r="K6469">
        <v>0.127236462447535</v>
      </c>
      <c r="L6469">
        <v>1206.3512912737899</v>
      </c>
      <c r="M6469">
        <v>23.830987876998901</v>
      </c>
      <c r="N6469">
        <v>51.243679121654203</v>
      </c>
      <c r="O6469">
        <v>50.268709860263797</v>
      </c>
      <c r="P6469">
        <v>-0.103623629652718</v>
      </c>
      <c r="Q6469">
        <v>0.12568601942732999</v>
      </c>
      <c r="R6469">
        <v>0.99245398359898696</v>
      </c>
      <c r="S6469" t="s">
        <v>13472</v>
      </c>
      <c r="T6469" t="s">
        <v>14004</v>
      </c>
      <c r="U6469" t="s">
        <v>14004</v>
      </c>
      <c r="V6469" t="s">
        <v>14004</v>
      </c>
      <c r="W6469" t="s">
        <v>20414</v>
      </c>
      <c r="X6469">
        <v>8</v>
      </c>
      <c r="Y6469" t="s">
        <v>27202</v>
      </c>
      <c r="Z6469" t="s">
        <v>34179</v>
      </c>
      <c r="AA6469">
        <v>0.44387307848029828</v>
      </c>
      <c r="AB6469" t="str">
        <f>HYPERLINK("Melting_Curves/meltCurve_Q9P2A4_2_ABI3.pdf", "Melting_Curves/meltCurve_Q9P2A4_2_ABI3.pdf")</f>
        <v>Melting_Curves/meltCurve_Q9P2A4_2_ABI3.pdf</v>
      </c>
    </row>
    <row r="6470" spans="1:28" x14ac:dyDescent="0.25">
      <c r="A6470" t="s">
        <v>6474</v>
      </c>
      <c r="B6470">
        <v>0.99999676499088797</v>
      </c>
      <c r="C6470">
        <v>1.2466599858207501</v>
      </c>
      <c r="D6470">
        <v>1.1531683471010401</v>
      </c>
      <c r="E6470">
        <v>0.60674471293553001</v>
      </c>
      <c r="F6470">
        <v>0.36205466581853901</v>
      </c>
      <c r="G6470">
        <v>0.22423878561118399</v>
      </c>
      <c r="H6470">
        <v>0.144024027098063</v>
      </c>
      <c r="I6470">
        <v>0.214324368225316</v>
      </c>
      <c r="J6470">
        <v>0.27658447731971803</v>
      </c>
      <c r="K6470">
        <v>0.36063058082903798</v>
      </c>
      <c r="L6470">
        <v>4086.08656692362</v>
      </c>
      <c r="M6470">
        <v>82.502296589021</v>
      </c>
      <c r="N6470">
        <v>49.979219994886101</v>
      </c>
      <c r="O6470">
        <v>49.497875015529999</v>
      </c>
      <c r="P6470">
        <v>-0.30710144283900098</v>
      </c>
      <c r="Q6470">
        <v>0.263008902587548</v>
      </c>
      <c r="R6470">
        <v>0.92309634222591097</v>
      </c>
      <c r="S6470" t="s">
        <v>13473</v>
      </c>
      <c r="T6470" t="s">
        <v>14004</v>
      </c>
      <c r="U6470" t="s">
        <v>14004</v>
      </c>
      <c r="V6470" t="s">
        <v>14004</v>
      </c>
      <c r="W6470" t="s">
        <v>20415</v>
      </c>
      <c r="X6470">
        <v>3</v>
      </c>
      <c r="Y6470" t="s">
        <v>27203</v>
      </c>
      <c r="Z6470" t="s">
        <v>34180</v>
      </c>
      <c r="AA6470">
        <v>0.49764058552755119</v>
      </c>
      <c r="AB6470" t="str">
        <f>HYPERLINK("Melting_Curves/meltCurve_Q9P2B4_CTTNBP2NL.pdf", "Melting_Curves/meltCurve_Q9P2B4_CTTNBP2NL.pdf")</f>
        <v>Melting_Curves/meltCurve_Q9P2B4_CTTNBP2NL.pdf</v>
      </c>
    </row>
    <row r="6471" spans="1:28" x14ac:dyDescent="0.25">
      <c r="A6471" t="s">
        <v>6475</v>
      </c>
      <c r="B6471">
        <v>0.99999676499088797</v>
      </c>
      <c r="C6471">
        <v>0.990741836762978</v>
      </c>
      <c r="D6471">
        <v>0.90774751646719398</v>
      </c>
      <c r="E6471">
        <v>0.82580390737304499</v>
      </c>
      <c r="F6471">
        <v>0.70475161446943801</v>
      </c>
      <c r="G6471">
        <v>0.61263378242859101</v>
      </c>
      <c r="H6471">
        <v>0.41710443136007302</v>
      </c>
      <c r="I6471">
        <v>0.49687835679362802</v>
      </c>
      <c r="J6471">
        <v>0.48457722125906699</v>
      </c>
      <c r="K6471">
        <v>0.626570020787386</v>
      </c>
      <c r="L6471">
        <v>900.13776640959998</v>
      </c>
      <c r="M6471">
        <v>17.529214673101599</v>
      </c>
      <c r="O6471">
        <v>50.6963990782587</v>
      </c>
      <c r="P6471">
        <v>-4.29281945859206E-2</v>
      </c>
      <c r="Q6471">
        <v>0.503415131933446</v>
      </c>
      <c r="R6471">
        <v>0.92301920241703295</v>
      </c>
      <c r="S6471" t="s">
        <v>13474</v>
      </c>
      <c r="T6471" t="s">
        <v>14004</v>
      </c>
      <c r="U6471" t="s">
        <v>14004</v>
      </c>
      <c r="V6471" t="s">
        <v>14004</v>
      </c>
      <c r="W6471" t="s">
        <v>20416</v>
      </c>
      <c r="X6471">
        <v>3</v>
      </c>
      <c r="Y6471" t="s">
        <v>27204</v>
      </c>
      <c r="Z6471" t="s">
        <v>34181</v>
      </c>
      <c r="AA6471">
        <v>0.70003191814863286</v>
      </c>
      <c r="AB6471" t="str">
        <f>HYPERLINK("Melting_Curves/meltCurve_Q9P2B7_KIAA1430.pdf", "Melting_Curves/meltCurve_Q9P2B7_KIAA1430.pdf")</f>
        <v>Melting_Curves/meltCurve_Q9P2B7_KIAA1430.pdf</v>
      </c>
    </row>
    <row r="6472" spans="1:28" x14ac:dyDescent="0.25">
      <c r="A6472" t="s">
        <v>6476</v>
      </c>
      <c r="B6472">
        <v>0.99999676499088797</v>
      </c>
      <c r="C6472">
        <v>1.02203028646322</v>
      </c>
      <c r="D6472">
        <v>0.97697362564863299</v>
      </c>
      <c r="E6472">
        <v>1.1321594836267299</v>
      </c>
      <c r="F6472">
        <v>1.0837396537592801</v>
      </c>
      <c r="G6472">
        <v>0.77462443599859498</v>
      </c>
      <c r="H6472">
        <v>0.44033068980325302</v>
      </c>
      <c r="I6472">
        <v>0.361939383093414</v>
      </c>
      <c r="J6472">
        <v>0.23416299653542599</v>
      </c>
      <c r="K6472">
        <v>0.34105715217235999</v>
      </c>
      <c r="L6472">
        <v>2194.8839729972501</v>
      </c>
      <c r="M6472">
        <v>37.704344083613698</v>
      </c>
      <c r="N6472">
        <v>59.712716423336602</v>
      </c>
      <c r="O6472">
        <v>58.049999166295599</v>
      </c>
      <c r="P6472">
        <v>-0.112684902769614</v>
      </c>
      <c r="Q6472">
        <v>0.30603847140109097</v>
      </c>
      <c r="R6472">
        <v>0.965534876285431</v>
      </c>
      <c r="S6472" t="s">
        <v>13475</v>
      </c>
      <c r="T6472" t="s">
        <v>14004</v>
      </c>
      <c r="U6472" t="s">
        <v>14004</v>
      </c>
      <c r="V6472" t="s">
        <v>14004</v>
      </c>
      <c r="W6472" t="s">
        <v>20417</v>
      </c>
      <c r="X6472">
        <v>2</v>
      </c>
      <c r="Y6472" t="s">
        <v>27205</v>
      </c>
      <c r="Z6472" t="s">
        <v>34182</v>
      </c>
      <c r="AA6472">
        <v>0.73039371769083539</v>
      </c>
      <c r="AB6472" t="str">
        <f>HYPERLINK("Melting_Curves/meltCurve_Q9P2C4_TMEM181.pdf", "Melting_Curves/meltCurve_Q9P2C4_TMEM181.pdf")</f>
        <v>Melting_Curves/meltCurve_Q9P2C4_TMEM181.pdf</v>
      </c>
    </row>
    <row r="6473" spans="1:28" x14ac:dyDescent="0.25">
      <c r="A6473" t="s">
        <v>6477</v>
      </c>
      <c r="B6473">
        <v>0.99999676499088797</v>
      </c>
      <c r="C6473">
        <v>0.74390961695623303</v>
      </c>
      <c r="D6473">
        <v>0.66906595437907002</v>
      </c>
      <c r="E6473">
        <v>0.51688488585515702</v>
      </c>
      <c r="F6473">
        <v>0.90500254375098699</v>
      </c>
      <c r="G6473">
        <v>0.42291583047485998</v>
      </c>
      <c r="H6473">
        <v>0.24910172379120801</v>
      </c>
      <c r="I6473">
        <v>0.23292774893784399</v>
      </c>
      <c r="J6473">
        <v>0.24918366366880201</v>
      </c>
      <c r="K6473">
        <v>0.40038093105049699</v>
      </c>
      <c r="L6473">
        <v>320.105954534376</v>
      </c>
      <c r="M6473">
        <v>6.0085222598966803</v>
      </c>
      <c r="N6473">
        <v>55.029522811306698</v>
      </c>
      <c r="O6473">
        <v>48.273433639717901</v>
      </c>
      <c r="P6473">
        <v>-2.8496627265156602E-2</v>
      </c>
      <c r="Q6473">
        <v>8.7155243573674296E-2</v>
      </c>
      <c r="R6473">
        <v>0.68680363333083805</v>
      </c>
      <c r="S6473" t="s">
        <v>13476</v>
      </c>
      <c r="T6473" t="s">
        <v>14004</v>
      </c>
      <c r="U6473" t="s">
        <v>14004</v>
      </c>
      <c r="V6473" t="s">
        <v>14004</v>
      </c>
      <c r="W6473" t="s">
        <v>20418</v>
      </c>
      <c r="X6473">
        <v>5</v>
      </c>
      <c r="Y6473" t="s">
        <v>27206</v>
      </c>
      <c r="Z6473" t="s">
        <v>34183</v>
      </c>
      <c r="AA6473">
        <v>0.53193875833579263</v>
      </c>
      <c r="AB6473" t="str">
        <f>HYPERLINK("Melting_Curves/meltCurve_Q9P2D1_CHD7.pdf", "Melting_Curves/meltCurve_Q9P2D1_CHD7.pdf")</f>
        <v>Melting_Curves/meltCurve_Q9P2D1_CHD7.pdf</v>
      </c>
    </row>
    <row r="6474" spans="1:28" x14ac:dyDescent="0.25">
      <c r="A6474" t="s">
        <v>6478</v>
      </c>
      <c r="B6474">
        <v>0.99999676499088797</v>
      </c>
      <c r="C6474">
        <v>1.05145022249637</v>
      </c>
      <c r="D6474">
        <v>1.06289925151769</v>
      </c>
      <c r="E6474">
        <v>0.73219951493953706</v>
      </c>
      <c r="F6474">
        <v>0.24050802667622301</v>
      </c>
      <c r="G6474">
        <v>0.14843752551970299</v>
      </c>
      <c r="H6474">
        <v>7.6552409623693196E-2</v>
      </c>
      <c r="I6474">
        <v>7.5155205824198795E-2</v>
      </c>
      <c r="J6474">
        <v>6.9667140481742398E-2</v>
      </c>
      <c r="K6474">
        <v>6.8643752868832397E-2</v>
      </c>
      <c r="L6474">
        <v>1863.9713006049301</v>
      </c>
      <c r="M6474">
        <v>36.6195435512589</v>
      </c>
      <c r="N6474">
        <v>51.153534113294903</v>
      </c>
      <c r="O6474">
        <v>50.749925858762097</v>
      </c>
      <c r="P6474">
        <v>-0.165475452548865</v>
      </c>
      <c r="Q6474">
        <v>8.2693013619978495E-2</v>
      </c>
      <c r="R6474">
        <v>0.99335727442370203</v>
      </c>
      <c r="S6474" t="s">
        <v>13477</v>
      </c>
      <c r="T6474" t="s">
        <v>14004</v>
      </c>
      <c r="U6474" t="s">
        <v>14004</v>
      </c>
      <c r="V6474" t="s">
        <v>14004</v>
      </c>
      <c r="W6474" t="s">
        <v>20419</v>
      </c>
      <c r="X6474">
        <v>9</v>
      </c>
      <c r="Y6474" t="s">
        <v>27207</v>
      </c>
      <c r="Z6474" t="s">
        <v>34184</v>
      </c>
      <c r="AA6474">
        <v>0.41986751833317743</v>
      </c>
      <c r="AB6474" t="str">
        <f>HYPERLINK("Melting_Curves/meltCurve_Q9P2D3_3_HEATR5B.pdf", "Melting_Curves/meltCurve_Q9P2D3_3_HEATR5B.pdf")</f>
        <v>Melting_Curves/meltCurve_Q9P2D3_3_HEATR5B.pdf</v>
      </c>
    </row>
    <row r="6475" spans="1:28" x14ac:dyDescent="0.25">
      <c r="A6475" t="s">
        <v>6479</v>
      </c>
      <c r="B6475">
        <v>0.99999676499088797</v>
      </c>
      <c r="C6475">
        <v>0.94084241463361096</v>
      </c>
      <c r="D6475">
        <v>0.881312103972271</v>
      </c>
      <c r="E6475">
        <v>0.70722851813162702</v>
      </c>
      <c r="F6475">
        <v>0.50413530585577704</v>
      </c>
      <c r="G6475">
        <v>0.44062271427667399</v>
      </c>
      <c r="H6475">
        <v>0.270155035515598</v>
      </c>
      <c r="I6475">
        <v>0.26154947516895999</v>
      </c>
      <c r="J6475">
        <v>0.23166169867167399</v>
      </c>
      <c r="K6475">
        <v>0.235501310226329</v>
      </c>
      <c r="L6475">
        <v>676.61232866119303</v>
      </c>
      <c r="M6475">
        <v>13.0719164045125</v>
      </c>
      <c r="N6475">
        <v>53.867521195427003</v>
      </c>
      <c r="O6475">
        <v>50.594341699025101</v>
      </c>
      <c r="P6475">
        <v>-5.1674275224073501E-2</v>
      </c>
      <c r="Q6475">
        <v>0.200125254624439</v>
      </c>
      <c r="R6475">
        <v>0.99458534973063095</v>
      </c>
      <c r="S6475" t="s">
        <v>13478</v>
      </c>
      <c r="T6475" t="s">
        <v>14004</v>
      </c>
      <c r="U6475" t="s">
        <v>14004</v>
      </c>
      <c r="V6475" t="s">
        <v>14004</v>
      </c>
      <c r="W6475" t="s">
        <v>20420</v>
      </c>
      <c r="X6475">
        <v>54</v>
      </c>
      <c r="Y6475" t="s">
        <v>27208</v>
      </c>
      <c r="Z6475" t="s">
        <v>34185</v>
      </c>
      <c r="AA6475">
        <v>0.53582015490833057</v>
      </c>
      <c r="AB6475" t="str">
        <f>HYPERLINK("Melting_Curves/meltCurve_Q9P2E9_RRBP1.pdf", "Melting_Curves/meltCurve_Q9P2E9_RRBP1.pdf")</f>
        <v>Melting_Curves/meltCurve_Q9P2E9_RRBP1.pdf</v>
      </c>
    </row>
    <row r="6476" spans="1:28" x14ac:dyDescent="0.25">
      <c r="A6476" t="s">
        <v>6480</v>
      </c>
      <c r="B6476">
        <v>0.99999676499088797</v>
      </c>
      <c r="C6476">
        <v>0.89993880147202998</v>
      </c>
      <c r="D6476">
        <v>0.73207086590983395</v>
      </c>
      <c r="E6476">
        <v>0.400642848410942</v>
      </c>
      <c r="F6476">
        <v>0.22340414582638099</v>
      </c>
      <c r="G6476">
        <v>0.13884655145018801</v>
      </c>
      <c r="H6476">
        <v>7.0212771641778304E-2</v>
      </c>
      <c r="I6476">
        <v>6.34793518301833E-2</v>
      </c>
      <c r="J6476">
        <v>6.8493754443876995E-2</v>
      </c>
      <c r="K6476">
        <v>5.3255656573245498E-2</v>
      </c>
      <c r="L6476">
        <v>852.51203270911196</v>
      </c>
      <c r="M6476">
        <v>17.658587167722299</v>
      </c>
      <c r="N6476">
        <v>48.611452587628598</v>
      </c>
      <c r="O6476">
        <v>47.671111170339103</v>
      </c>
      <c r="P6476">
        <v>-8.7320949466584905E-2</v>
      </c>
      <c r="Q6476">
        <v>5.7123841392996998E-2</v>
      </c>
      <c r="R6476">
        <v>0.99853979250811498</v>
      </c>
      <c r="S6476" t="s">
        <v>13479</v>
      </c>
      <c r="T6476" t="s">
        <v>14004</v>
      </c>
      <c r="U6476" t="s">
        <v>14004</v>
      </c>
      <c r="V6476" t="s">
        <v>14004</v>
      </c>
      <c r="W6476" t="s">
        <v>20421</v>
      </c>
      <c r="X6476">
        <v>19</v>
      </c>
      <c r="Y6476" t="s">
        <v>27209</v>
      </c>
      <c r="Z6476" t="s">
        <v>34186</v>
      </c>
      <c r="AA6476">
        <v>0.33454350460182952</v>
      </c>
      <c r="AB6476" t="str">
        <f>HYPERLINK("Melting_Curves/meltCurve_Q9P2I0_CPSF2.pdf", "Melting_Curves/meltCurve_Q9P2I0_CPSF2.pdf")</f>
        <v>Melting_Curves/meltCurve_Q9P2I0_CPSF2.pdf</v>
      </c>
    </row>
    <row r="6477" spans="1:28" x14ac:dyDescent="0.25">
      <c r="A6477" t="s">
        <v>6481</v>
      </c>
      <c r="B6477">
        <v>0.99999676499088797</v>
      </c>
      <c r="C6477">
        <v>1.0697685637490399</v>
      </c>
      <c r="D6477">
        <v>0.92684024994295999</v>
      </c>
      <c r="E6477">
        <v>0.59619030051830202</v>
      </c>
      <c r="F6477">
        <v>0.28996350343344302</v>
      </c>
      <c r="G6477">
        <v>0.21686310180592699</v>
      </c>
      <c r="H6477">
        <v>0.104890874425712</v>
      </c>
      <c r="I6477">
        <v>0.10333417671702801</v>
      </c>
      <c r="J6477">
        <v>0.109030058759974</v>
      </c>
      <c r="K6477">
        <v>8.2052566794789394E-2</v>
      </c>
      <c r="L6477">
        <v>1201.86175084551</v>
      </c>
      <c r="M6477">
        <v>23.933925536082501</v>
      </c>
      <c r="N6477">
        <v>50.721715932715803</v>
      </c>
      <c r="O6477">
        <v>49.869199214768798</v>
      </c>
      <c r="P6477">
        <v>-0.107245566350979</v>
      </c>
      <c r="Q6477">
        <v>0.106178363996856</v>
      </c>
      <c r="R6477">
        <v>0.99185764574128599</v>
      </c>
      <c r="S6477" t="s">
        <v>13480</v>
      </c>
      <c r="T6477" t="s">
        <v>14004</v>
      </c>
      <c r="U6477" t="s">
        <v>14004</v>
      </c>
      <c r="V6477" t="s">
        <v>14004</v>
      </c>
      <c r="W6477" t="s">
        <v>20422</v>
      </c>
      <c r="X6477">
        <v>38</v>
      </c>
      <c r="Y6477" t="s">
        <v>27210</v>
      </c>
      <c r="Z6477" t="s">
        <v>34187</v>
      </c>
      <c r="AA6477">
        <v>0.41928372559757859</v>
      </c>
      <c r="AB6477" t="str">
        <f>HYPERLINK("Melting_Curves/meltCurve_Q9P2J5_LARS.pdf", "Melting_Curves/meltCurve_Q9P2J5_LARS.pdf")</f>
        <v>Melting_Curves/meltCurve_Q9P2J5_LARS.pdf</v>
      </c>
    </row>
    <row r="6478" spans="1:28" x14ac:dyDescent="0.25">
      <c r="A6478" t="s">
        <v>6482</v>
      </c>
      <c r="B6478">
        <v>0.99999676499088797</v>
      </c>
      <c r="C6478">
        <v>0.77531658384050695</v>
      </c>
      <c r="D6478">
        <v>0.82439616231080903</v>
      </c>
      <c r="E6478">
        <v>0.47413634870561999</v>
      </c>
      <c r="F6478">
        <v>0.27556150530233903</v>
      </c>
      <c r="G6478">
        <v>0.120080958726656</v>
      </c>
      <c r="H6478">
        <v>0.10537116683159201</v>
      </c>
      <c r="I6478">
        <v>0.13653612548458399</v>
      </c>
      <c r="J6478">
        <v>0.211239163445408</v>
      </c>
      <c r="K6478">
        <v>0.20038539419485701</v>
      </c>
      <c r="L6478">
        <v>877.79644833587804</v>
      </c>
      <c r="M6478">
        <v>18.184727518635398</v>
      </c>
      <c r="N6478">
        <v>49.161396755668697</v>
      </c>
      <c r="O6478">
        <v>47.698680685994802</v>
      </c>
      <c r="P6478">
        <v>-8.1942646489752205E-2</v>
      </c>
      <c r="Q6478">
        <v>0.14029576175182801</v>
      </c>
      <c r="R6478">
        <v>0.95765670543141801</v>
      </c>
      <c r="S6478" t="s">
        <v>13481</v>
      </c>
      <c r="T6478" t="s">
        <v>14004</v>
      </c>
      <c r="U6478" t="s">
        <v>14004</v>
      </c>
      <c r="V6478" t="s">
        <v>14004</v>
      </c>
      <c r="W6478" t="s">
        <v>20423</v>
      </c>
      <c r="X6478">
        <v>2</v>
      </c>
      <c r="Y6478" t="s">
        <v>27211</v>
      </c>
      <c r="Z6478" t="s">
        <v>34188</v>
      </c>
      <c r="AA6478">
        <v>0.39213900811740993</v>
      </c>
      <c r="AB6478" t="str">
        <f>HYPERLINK("Melting_Curves/meltCurve_Q9P2J9_PDP2.pdf", "Melting_Curves/meltCurve_Q9P2J9_PDP2.pdf")</f>
        <v>Melting_Curves/meltCurve_Q9P2J9_PDP2.pdf</v>
      </c>
    </row>
    <row r="6479" spans="1:28" x14ac:dyDescent="0.25">
      <c r="A6479" t="s">
        <v>6483</v>
      </c>
      <c r="B6479">
        <v>0.99999676499088797</v>
      </c>
      <c r="C6479">
        <v>0.76176850690751097</v>
      </c>
      <c r="D6479">
        <v>0.86713518717673799</v>
      </c>
      <c r="E6479">
        <v>1.01506350661414</v>
      </c>
      <c r="F6479">
        <v>0.35145168857022402</v>
      </c>
      <c r="G6479">
        <v>0.29659334752321098</v>
      </c>
      <c r="H6479">
        <v>0.15700455877115899</v>
      </c>
      <c r="I6479">
        <v>0.22520170742382201</v>
      </c>
      <c r="J6479">
        <v>0.35330819797169499</v>
      </c>
      <c r="K6479">
        <v>0.35941058200845399</v>
      </c>
      <c r="L6479">
        <v>13183.904243881099</v>
      </c>
      <c r="M6479">
        <v>250</v>
      </c>
      <c r="N6479">
        <v>52.907737500442302</v>
      </c>
      <c r="O6479">
        <v>52.732242260144403</v>
      </c>
      <c r="P6479">
        <v>-0.85537839261289395</v>
      </c>
      <c r="Q6479">
        <v>0.27830367106819598</v>
      </c>
      <c r="R6479">
        <v>0.89545195171793202</v>
      </c>
      <c r="S6479" t="s">
        <v>13482</v>
      </c>
      <c r="T6479" t="s">
        <v>14004</v>
      </c>
      <c r="U6479" t="s">
        <v>14004</v>
      </c>
      <c r="V6479" t="s">
        <v>14004</v>
      </c>
      <c r="W6479" t="s">
        <v>20424</v>
      </c>
      <c r="X6479">
        <v>1</v>
      </c>
      <c r="Y6479" t="s">
        <v>27212</v>
      </c>
      <c r="Z6479" t="s">
        <v>34189</v>
      </c>
      <c r="AA6479">
        <v>0.58474539812901205</v>
      </c>
      <c r="AB6479" t="str">
        <f>HYPERLINK("Melting_Curves/meltCurve_Q9P2K2_TXNDC16.pdf", "Melting_Curves/meltCurve_Q9P2K2_TXNDC16.pdf")</f>
        <v>Melting_Curves/meltCurve_Q9P2K2_TXNDC16.pdf</v>
      </c>
    </row>
    <row r="6480" spans="1:28" x14ac:dyDescent="0.25">
      <c r="A6480" t="s">
        <v>6484</v>
      </c>
      <c r="B6480">
        <v>0.99999676499088797</v>
      </c>
      <c r="C6480">
        <v>0.85477173979469701</v>
      </c>
      <c r="D6480">
        <v>0.82085156459562003</v>
      </c>
      <c r="E6480">
        <v>0.70211562744004097</v>
      </c>
      <c r="F6480">
        <v>0.31835565524217702</v>
      </c>
      <c r="G6480">
        <v>0.19118150719912799</v>
      </c>
      <c r="H6480">
        <v>8.3397589055284493E-2</v>
      </c>
      <c r="I6480">
        <v>8.9396114088780704E-2</v>
      </c>
      <c r="J6480">
        <v>0.106929254662883</v>
      </c>
      <c r="K6480">
        <v>0.10938808731639001</v>
      </c>
      <c r="L6480">
        <v>837.71264141674999</v>
      </c>
      <c r="M6480">
        <v>16.5290513317684</v>
      </c>
      <c r="N6480">
        <v>51.1265858990458</v>
      </c>
      <c r="O6480">
        <v>49.956828909653701</v>
      </c>
      <c r="P6480">
        <v>-7.7175979677306203E-2</v>
      </c>
      <c r="Q6480">
        <v>6.7048427709965094E-2</v>
      </c>
      <c r="R6480">
        <v>0.98091102375889405</v>
      </c>
      <c r="S6480" t="s">
        <v>13483</v>
      </c>
      <c r="T6480" t="s">
        <v>14004</v>
      </c>
      <c r="U6480" t="s">
        <v>14004</v>
      </c>
      <c r="V6480" t="s">
        <v>14004</v>
      </c>
      <c r="W6480" t="s">
        <v>20425</v>
      </c>
      <c r="X6480">
        <v>5</v>
      </c>
      <c r="Y6480" t="s">
        <v>27213</v>
      </c>
      <c r="Z6480" t="s">
        <v>34190</v>
      </c>
      <c r="AA6480">
        <v>0.41761886308057677</v>
      </c>
      <c r="AB6480" t="str">
        <f>HYPERLINK("Melting_Curves/meltCurve_Q9P2K3_4_RCOR3.pdf", "Melting_Curves/meltCurve_Q9P2K3_4_RCOR3.pdf")</f>
        <v>Melting_Curves/meltCurve_Q9P2K3_4_RCOR3.pdf</v>
      </c>
    </row>
    <row r="6481" spans="1:28" x14ac:dyDescent="0.25">
      <c r="A6481" t="s">
        <v>6485</v>
      </c>
      <c r="B6481">
        <v>0.99999676499088797</v>
      </c>
      <c r="C6481">
        <v>0.88920773995861702</v>
      </c>
      <c r="D6481">
        <v>0.50652426246689097</v>
      </c>
      <c r="E6481">
        <v>0.21624149790910299</v>
      </c>
      <c r="F6481">
        <v>0.193844372558172</v>
      </c>
      <c r="G6481">
        <v>0.135706192299693</v>
      </c>
      <c r="H6481">
        <v>7.7198834234429303E-2</v>
      </c>
      <c r="I6481">
        <v>7.6555007638980793E-2</v>
      </c>
      <c r="J6481">
        <v>9.9788297011456098E-2</v>
      </c>
      <c r="K6481">
        <v>8.4244883697325607E-2</v>
      </c>
      <c r="L6481">
        <v>1185.30063351942</v>
      </c>
      <c r="M6481">
        <v>25.877738958417101</v>
      </c>
      <c r="N6481">
        <v>46.2236824851554</v>
      </c>
      <c r="O6481">
        <v>45.532968978019397</v>
      </c>
      <c r="P6481">
        <v>-0.127204381078592</v>
      </c>
      <c r="Q6481">
        <v>0.104724690748964</v>
      </c>
      <c r="R6481">
        <v>0.99243622025850997</v>
      </c>
      <c r="S6481" t="s">
        <v>13484</v>
      </c>
      <c r="T6481" t="s">
        <v>14004</v>
      </c>
      <c r="U6481" t="s">
        <v>14004</v>
      </c>
      <c r="V6481" t="s">
        <v>14004</v>
      </c>
      <c r="W6481" t="s">
        <v>20426</v>
      </c>
      <c r="X6481">
        <v>7</v>
      </c>
      <c r="Y6481" t="s">
        <v>27214</v>
      </c>
      <c r="Z6481" t="s">
        <v>34191</v>
      </c>
      <c r="AA6481">
        <v>0.285643683295073</v>
      </c>
      <c r="AB6481" t="str">
        <f>HYPERLINK("Melting_Curves/meltCurve_Q9P2K5_MYEF2.pdf", "Melting_Curves/meltCurve_Q9P2K5_MYEF2.pdf")</f>
        <v>Melting_Curves/meltCurve_Q9P2K5_MYEF2.pdf</v>
      </c>
    </row>
    <row r="6482" spans="1:28" x14ac:dyDescent="0.25">
      <c r="A6482" t="s">
        <v>6486</v>
      </c>
      <c r="B6482">
        <v>0.99999676499088797</v>
      </c>
      <c r="C6482">
        <v>0.95301645219094</v>
      </c>
      <c r="D6482">
        <v>0.77929625111766099</v>
      </c>
      <c r="E6482">
        <v>0.39688296084012398</v>
      </c>
      <c r="F6482">
        <v>0.28906025699184701</v>
      </c>
      <c r="G6482">
        <v>0.18673228299259001</v>
      </c>
      <c r="H6482">
        <v>9.6092673041331206E-2</v>
      </c>
      <c r="I6482">
        <v>0.102157471348799</v>
      </c>
      <c r="J6482">
        <v>9.2189014935164501E-2</v>
      </c>
      <c r="K6482">
        <v>6.3210674630680294E-2</v>
      </c>
      <c r="L6482">
        <v>903.61755894492399</v>
      </c>
      <c r="M6482">
        <v>18.615157320068999</v>
      </c>
      <c r="N6482">
        <v>49.071735481557702</v>
      </c>
      <c r="O6482">
        <v>47.992247528816499</v>
      </c>
      <c r="P6482">
        <v>-8.8147281903967201E-2</v>
      </c>
      <c r="Q6482">
        <v>9.1019582646164499E-2</v>
      </c>
      <c r="R6482">
        <v>0.99207941045431502</v>
      </c>
      <c r="S6482" t="s">
        <v>13485</v>
      </c>
      <c r="T6482" t="s">
        <v>14004</v>
      </c>
      <c r="U6482" t="s">
        <v>14004</v>
      </c>
      <c r="V6482" t="s">
        <v>14004</v>
      </c>
      <c r="W6482" t="s">
        <v>20427</v>
      </c>
      <c r="X6482">
        <v>7</v>
      </c>
      <c r="Y6482" t="s">
        <v>27215</v>
      </c>
      <c r="Z6482" t="s">
        <v>34192</v>
      </c>
      <c r="AA6482">
        <v>0.36467844022809398</v>
      </c>
      <c r="AB6482" t="str">
        <f>HYPERLINK("Melting_Curves/meltCurve_Q9P2K8_2_EIF2AK4.pdf", "Melting_Curves/meltCurve_Q9P2K8_2_EIF2AK4.pdf")</f>
        <v>Melting_Curves/meltCurve_Q9P2K8_2_EIF2AK4.pdf</v>
      </c>
    </row>
    <row r="6483" spans="1:28" x14ac:dyDescent="0.25">
      <c r="A6483" t="s">
        <v>6487</v>
      </c>
      <c r="B6483">
        <v>0.99999676499088797</v>
      </c>
      <c r="C6483">
        <v>0.91065019609216202</v>
      </c>
      <c r="D6483">
        <v>0.75572306558676505</v>
      </c>
      <c r="E6483">
        <v>0.468390886032649</v>
      </c>
      <c r="F6483">
        <v>0.29204479003010902</v>
      </c>
      <c r="G6483">
        <v>0.167537518448613</v>
      </c>
      <c r="H6483">
        <v>7.0817030859995397E-2</v>
      </c>
      <c r="I6483">
        <v>0.10448038573804699</v>
      </c>
      <c r="J6483">
        <v>9.2392352861468394E-2</v>
      </c>
      <c r="K6483">
        <v>6.2503900149712494E-2</v>
      </c>
      <c r="L6483">
        <v>781.50027504604498</v>
      </c>
      <c r="M6483">
        <v>15.9603714664278</v>
      </c>
      <c r="N6483">
        <v>49.405431828468402</v>
      </c>
      <c r="O6483">
        <v>48.215694643404703</v>
      </c>
      <c r="P6483">
        <v>-7.7274089152967101E-2</v>
      </c>
      <c r="Q6483">
        <v>6.63052277349028E-2</v>
      </c>
      <c r="R6483">
        <v>0.99728483505100096</v>
      </c>
      <c r="S6483" t="s">
        <v>13486</v>
      </c>
      <c r="T6483" t="s">
        <v>14004</v>
      </c>
      <c r="U6483" t="s">
        <v>14004</v>
      </c>
      <c r="V6483" t="s">
        <v>14004</v>
      </c>
      <c r="W6483" t="s">
        <v>20428</v>
      </c>
      <c r="X6483">
        <v>2</v>
      </c>
      <c r="Y6483" t="s">
        <v>27216</v>
      </c>
      <c r="Z6483" t="s">
        <v>34193</v>
      </c>
      <c r="AA6483">
        <v>0.36582388371662689</v>
      </c>
      <c r="AB6483" t="str">
        <f>HYPERLINK("Melting_Curves/meltCurve_Q9P2M4_TBC1D14.pdf", "Melting_Curves/meltCurve_Q9P2M4_TBC1D14.pdf")</f>
        <v>Melting_Curves/meltCurve_Q9P2M4_TBC1D14.pdf</v>
      </c>
    </row>
    <row r="6484" spans="1:28" x14ac:dyDescent="0.25">
      <c r="A6484" t="s">
        <v>6488</v>
      </c>
      <c r="B6484">
        <v>0.99999676499088797</v>
      </c>
      <c r="C6484">
        <v>0.95368920267216395</v>
      </c>
      <c r="D6484">
        <v>0.881216986532813</v>
      </c>
      <c r="E6484">
        <v>0.72212838792256495</v>
      </c>
      <c r="F6484">
        <v>0.57468599848932</v>
      </c>
      <c r="G6484">
        <v>0.43703641838226098</v>
      </c>
      <c r="H6484">
        <v>0.31475567795624898</v>
      </c>
      <c r="I6484">
        <v>0.42128221422176698</v>
      </c>
      <c r="J6484">
        <v>0.427804361404166</v>
      </c>
      <c r="K6484">
        <v>0.499418942655521</v>
      </c>
      <c r="L6484">
        <v>953.27326051064904</v>
      </c>
      <c r="M6484">
        <v>19.158289846665301</v>
      </c>
      <c r="N6484">
        <v>54.636137685542998</v>
      </c>
      <c r="O6484">
        <v>49.225121193850299</v>
      </c>
      <c r="P6484">
        <v>-5.7445484731294301E-2</v>
      </c>
      <c r="Q6484">
        <v>0.40962320753752801</v>
      </c>
      <c r="R6484">
        <v>0.95870383816770699</v>
      </c>
      <c r="S6484" t="s">
        <v>13487</v>
      </c>
      <c r="T6484" t="s">
        <v>14004</v>
      </c>
      <c r="U6484" t="s">
        <v>14004</v>
      </c>
      <c r="V6484" t="s">
        <v>14004</v>
      </c>
      <c r="W6484" t="s">
        <v>20429</v>
      </c>
      <c r="X6484">
        <v>56</v>
      </c>
      <c r="Y6484" t="s">
        <v>27217</v>
      </c>
      <c r="Z6484" t="s">
        <v>34194</v>
      </c>
      <c r="AA6484">
        <v>0.61059936851123431</v>
      </c>
      <c r="AB6484" t="str">
        <f>HYPERLINK("Melting_Curves/meltCurve_Q9P2M7_CGN.pdf", "Melting_Curves/meltCurve_Q9P2M7_CGN.pdf")</f>
        <v>Melting_Curves/meltCurve_Q9P2M7_CGN.pdf</v>
      </c>
    </row>
    <row r="6485" spans="1:28" x14ac:dyDescent="0.25">
      <c r="A6485" t="s">
        <v>6489</v>
      </c>
      <c r="B6485">
        <v>0.99999676499088797</v>
      </c>
      <c r="C6485">
        <v>0.86769925394633995</v>
      </c>
      <c r="D6485">
        <v>0.66802689557882799</v>
      </c>
      <c r="E6485">
        <v>0.34264630332201501</v>
      </c>
      <c r="F6485">
        <v>0.20208166183847501</v>
      </c>
      <c r="G6485">
        <v>0.147305828601731</v>
      </c>
      <c r="H6485">
        <v>7.2701051032870403E-2</v>
      </c>
      <c r="I6485">
        <v>7.6847185163226001E-2</v>
      </c>
      <c r="J6485">
        <v>8.2525997349414806E-2</v>
      </c>
      <c r="K6485">
        <v>8.2172659970349601E-2</v>
      </c>
      <c r="L6485">
        <v>863.32793620228699</v>
      </c>
      <c r="M6485">
        <v>18.227605949389201</v>
      </c>
      <c r="N6485">
        <v>47.808747600547697</v>
      </c>
      <c r="O6485">
        <v>46.8047104034912</v>
      </c>
      <c r="P6485">
        <v>-8.9767817975816303E-2</v>
      </c>
      <c r="Q6485">
        <v>7.8022633305607797E-2</v>
      </c>
      <c r="R6485">
        <v>0.99746681211737498</v>
      </c>
      <c r="S6485" t="s">
        <v>13488</v>
      </c>
      <c r="T6485" t="s">
        <v>14004</v>
      </c>
      <c r="U6485" t="s">
        <v>14004</v>
      </c>
      <c r="V6485" t="s">
        <v>14004</v>
      </c>
      <c r="W6485" t="s">
        <v>20430</v>
      </c>
      <c r="X6485">
        <v>19</v>
      </c>
      <c r="Y6485" t="s">
        <v>27218</v>
      </c>
      <c r="Z6485" t="s">
        <v>34195</v>
      </c>
      <c r="AA6485">
        <v>0.32061711152198802</v>
      </c>
      <c r="AB6485" t="str">
        <f>HYPERLINK("Melting_Curves/meltCurve_Q9P2N5_RBM27.pdf", "Melting_Curves/meltCurve_Q9P2N5_RBM27.pdf")</f>
        <v>Melting_Curves/meltCurve_Q9P2N5_RBM27.pdf</v>
      </c>
    </row>
    <row r="6486" spans="1:28" x14ac:dyDescent="0.25">
      <c r="A6486" t="s">
        <v>6490</v>
      </c>
      <c r="B6486">
        <v>0.99999676499088797</v>
      </c>
      <c r="C6486">
        <v>1.10516580771777</v>
      </c>
      <c r="D6486">
        <v>1.2371820457738001</v>
      </c>
      <c r="E6486">
        <v>0.60509537737207597</v>
      </c>
      <c r="F6486">
        <v>0.60415452152822002</v>
      </c>
      <c r="G6486">
        <v>0.42516693063698502</v>
      </c>
      <c r="H6486">
        <v>0.27658705319338001</v>
      </c>
      <c r="I6486">
        <v>0.19365995688783799</v>
      </c>
      <c r="J6486">
        <v>0.132573535874315</v>
      </c>
      <c r="K6486">
        <v>0.22540804133220901</v>
      </c>
      <c r="L6486">
        <v>939.86364444370804</v>
      </c>
      <c r="M6486">
        <v>17.746319793385901</v>
      </c>
      <c r="N6486">
        <v>54.321986571951001</v>
      </c>
      <c r="O6486">
        <v>52.3022706222945</v>
      </c>
      <c r="P6486">
        <v>-6.96065055285877E-2</v>
      </c>
      <c r="Q6486">
        <v>0.17946053217736599</v>
      </c>
      <c r="R6486">
        <v>0.89807990866793397</v>
      </c>
      <c r="S6486" t="s">
        <v>13489</v>
      </c>
      <c r="T6486" t="s">
        <v>14004</v>
      </c>
      <c r="U6486" t="s">
        <v>14004</v>
      </c>
      <c r="V6486" t="s">
        <v>14004</v>
      </c>
      <c r="W6486" t="s">
        <v>20431</v>
      </c>
      <c r="X6486">
        <v>3</v>
      </c>
      <c r="Y6486" t="s">
        <v>27219</v>
      </c>
      <c r="Z6486" t="s">
        <v>34196</v>
      </c>
      <c r="AA6486">
        <v>0.54771594216238806</v>
      </c>
      <c r="AB6486" t="str">
        <f>HYPERLINK("Melting_Curves/meltCurve_Q9P2N6_3_KANSL3.pdf", "Melting_Curves/meltCurve_Q9P2N6_3_KANSL3.pdf")</f>
        <v>Melting_Curves/meltCurve_Q9P2N6_3_KANSL3.pdf</v>
      </c>
    </row>
    <row r="6487" spans="1:28" x14ac:dyDescent="0.25">
      <c r="A6487" t="s">
        <v>6491</v>
      </c>
      <c r="B6487">
        <v>0.99999676499088797</v>
      </c>
      <c r="C6487">
        <v>1.0582394919711899</v>
      </c>
      <c r="D6487">
        <v>0.64545122929426102</v>
      </c>
      <c r="E6487">
        <v>0.27233055657529798</v>
      </c>
      <c r="F6487">
        <v>0.196420742345563</v>
      </c>
      <c r="G6487">
        <v>0.14918654271708001</v>
      </c>
      <c r="H6487">
        <v>6.9422562602781498E-2</v>
      </c>
      <c r="I6487">
        <v>6.7363741963449103E-2</v>
      </c>
      <c r="J6487">
        <v>6.7225144048621302E-2</v>
      </c>
      <c r="K6487">
        <v>7.3065841290714098E-2</v>
      </c>
      <c r="L6487">
        <v>1351.0255867752401</v>
      </c>
      <c r="M6487">
        <v>28.7199303361445</v>
      </c>
      <c r="N6487">
        <v>47.3948625856492</v>
      </c>
      <c r="O6487">
        <v>46.815085117006298</v>
      </c>
      <c r="P6487">
        <v>-0.13858494518268799</v>
      </c>
      <c r="Q6487">
        <v>9.6402082553809096E-2</v>
      </c>
      <c r="R6487">
        <v>0.982481742991831</v>
      </c>
      <c r="S6487" t="s">
        <v>13490</v>
      </c>
      <c r="T6487" t="s">
        <v>14004</v>
      </c>
      <c r="U6487" t="s">
        <v>14004</v>
      </c>
      <c r="V6487" t="s">
        <v>14004</v>
      </c>
      <c r="W6487" t="s">
        <v>20432</v>
      </c>
      <c r="X6487">
        <v>8</v>
      </c>
      <c r="Y6487" t="s">
        <v>27220</v>
      </c>
      <c r="Z6487" t="s">
        <v>34197</v>
      </c>
      <c r="AA6487">
        <v>0.31444247872362069</v>
      </c>
      <c r="AB6487" t="str">
        <f>HYPERLINK("Melting_Curves/meltCurve_Q9P2R3_ANKFY1.pdf", "Melting_Curves/meltCurve_Q9P2R3_ANKFY1.pdf")</f>
        <v>Melting_Curves/meltCurve_Q9P2R3_ANKFY1.pdf</v>
      </c>
    </row>
    <row r="6488" spans="1:28" x14ac:dyDescent="0.25">
      <c r="A6488" t="s">
        <v>6492</v>
      </c>
      <c r="B6488">
        <v>0.99999676499088797</v>
      </c>
      <c r="C6488">
        <v>0.92645481202625601</v>
      </c>
      <c r="D6488">
        <v>0.63292539378646795</v>
      </c>
      <c r="E6488">
        <v>0.48494719624279797</v>
      </c>
      <c r="F6488">
        <v>0.44194865067925698</v>
      </c>
      <c r="G6488">
        <v>0.44575318751941601</v>
      </c>
      <c r="H6488">
        <v>0.57873898326326101</v>
      </c>
      <c r="I6488">
        <v>0.72142896862816297</v>
      </c>
      <c r="J6488">
        <v>0.81599017436889698</v>
      </c>
      <c r="K6488">
        <v>0.83787599804246304</v>
      </c>
      <c r="L6488">
        <v>3083.3739527389598</v>
      </c>
      <c r="M6488">
        <v>70.437126664501605</v>
      </c>
      <c r="O6488">
        <v>43.739594984852701</v>
      </c>
      <c r="P6488">
        <v>-0.15363034990596799</v>
      </c>
      <c r="Q6488">
        <v>0.61839852662735395</v>
      </c>
      <c r="R6488">
        <v>0.51788567390900697</v>
      </c>
      <c r="S6488" t="s">
        <v>13491</v>
      </c>
      <c r="T6488" t="s">
        <v>14004</v>
      </c>
      <c r="U6488" t="s">
        <v>14004</v>
      </c>
      <c r="V6488" t="s">
        <v>14004</v>
      </c>
      <c r="W6488" t="s">
        <v>20433</v>
      </c>
      <c r="X6488">
        <v>2</v>
      </c>
      <c r="Y6488" t="s">
        <v>27221</v>
      </c>
      <c r="Z6488" t="s">
        <v>34198</v>
      </c>
      <c r="AA6488">
        <v>0.66679328062568299</v>
      </c>
      <c r="AB6488" t="str">
        <f>HYPERLINK("Melting_Curves/meltCurve_Q9P2R6_RERE.pdf", "Melting_Curves/meltCurve_Q9P2R6_RERE.pdf")</f>
        <v>Melting_Curves/meltCurve_Q9P2R6_RERE.pdf</v>
      </c>
    </row>
    <row r="6489" spans="1:28" x14ac:dyDescent="0.25">
      <c r="A6489" t="s">
        <v>6493</v>
      </c>
      <c r="B6489">
        <v>0.99999676499088797</v>
      </c>
      <c r="C6489">
        <v>0.942494153368577</v>
      </c>
      <c r="D6489">
        <v>0.66171964318278298</v>
      </c>
      <c r="E6489">
        <v>0.28366091206546801</v>
      </c>
      <c r="F6489">
        <v>0.23358264021233299</v>
      </c>
      <c r="G6489">
        <v>0.16516630770768301</v>
      </c>
      <c r="H6489">
        <v>0.104132954584194</v>
      </c>
      <c r="I6489">
        <v>8.44680411903969E-2</v>
      </c>
      <c r="J6489">
        <v>6.3681819041127699E-2</v>
      </c>
      <c r="K6489">
        <v>0.10263721535966901</v>
      </c>
      <c r="L6489">
        <v>1076.84438918979</v>
      </c>
      <c r="M6489">
        <v>22.881072752507301</v>
      </c>
      <c r="N6489">
        <v>47.559272605827601</v>
      </c>
      <c r="O6489">
        <v>46.707613045589</v>
      </c>
      <c r="P6489">
        <v>-0.109458134846827</v>
      </c>
      <c r="Q6489">
        <v>0.10626034800267101</v>
      </c>
      <c r="R6489">
        <v>0.990616431926028</v>
      </c>
      <c r="S6489" t="s">
        <v>13492</v>
      </c>
      <c r="T6489" t="s">
        <v>14004</v>
      </c>
      <c r="U6489" t="s">
        <v>14004</v>
      </c>
      <c r="V6489" t="s">
        <v>14004</v>
      </c>
      <c r="W6489" t="s">
        <v>20434</v>
      </c>
      <c r="X6489">
        <v>4</v>
      </c>
      <c r="Y6489" t="s">
        <v>27222</v>
      </c>
      <c r="Z6489" t="s">
        <v>34199</v>
      </c>
      <c r="AA6489">
        <v>0.32635777548850159</v>
      </c>
      <c r="AB6489" t="str">
        <f>HYPERLINK("Melting_Curves/meltCurve_Q9P2W1_PSMC3IP.pdf", "Melting_Curves/meltCurve_Q9P2W1_PSMC3IP.pdf")</f>
        <v>Melting_Curves/meltCurve_Q9P2W1_PSMC3IP.pdf</v>
      </c>
    </row>
    <row r="6490" spans="1:28" x14ac:dyDescent="0.25">
      <c r="A6490" t="s">
        <v>6494</v>
      </c>
      <c r="B6490">
        <v>0.99999676499088797</v>
      </c>
      <c r="C6490">
        <v>0.95266854409288404</v>
      </c>
      <c r="D6490">
        <v>1.0562192125015499</v>
      </c>
      <c r="E6490">
        <v>1.2127249727860001</v>
      </c>
      <c r="F6490">
        <v>1.00324055833405</v>
      </c>
      <c r="G6490">
        <v>0.88799306990369598</v>
      </c>
      <c r="H6490">
        <v>0.35003620061667401</v>
      </c>
      <c r="I6490">
        <v>0.245389447415684</v>
      </c>
      <c r="J6490">
        <v>0.16705512777939899</v>
      </c>
      <c r="K6490">
        <v>0.112297698985381</v>
      </c>
      <c r="L6490">
        <v>2489.7282659612601</v>
      </c>
      <c r="M6490">
        <v>42.0433607596892</v>
      </c>
      <c r="N6490">
        <v>59.750035455886596</v>
      </c>
      <c r="O6490">
        <v>59.084614450163699</v>
      </c>
      <c r="P6490">
        <v>-0.15012378302260099</v>
      </c>
      <c r="Q6490">
        <v>0.156110320136363</v>
      </c>
      <c r="R6490">
        <v>0.96546842210972394</v>
      </c>
      <c r="S6490" t="s">
        <v>13493</v>
      </c>
      <c r="T6490" t="s">
        <v>14004</v>
      </c>
      <c r="U6490" t="s">
        <v>14004</v>
      </c>
      <c r="V6490" t="s">
        <v>14004</v>
      </c>
      <c r="W6490" t="s">
        <v>20435</v>
      </c>
      <c r="X6490">
        <v>2</v>
      </c>
      <c r="Y6490" t="s">
        <v>27223</v>
      </c>
      <c r="Z6490" t="s">
        <v>34200</v>
      </c>
      <c r="AA6490">
        <v>0.6997435925766361</v>
      </c>
      <c r="AB6490" t="str">
        <f>HYPERLINK("Melting_Curves/meltCurve_Q9P2X0_DPM3.pdf", "Melting_Curves/meltCurve_Q9P2X0_DPM3.pdf")</f>
        <v>Melting_Curves/meltCurve_Q9P2X0_DPM3.pdf</v>
      </c>
    </row>
    <row r="6491" spans="1:28" x14ac:dyDescent="0.25">
      <c r="A6491" t="s">
        <v>6495</v>
      </c>
      <c r="B6491">
        <v>0.99999676499088797</v>
      </c>
      <c r="C6491">
        <v>0.97625905887147402</v>
      </c>
      <c r="D6491">
        <v>0.85289595764829595</v>
      </c>
      <c r="E6491">
        <v>0.65896658881613002</v>
      </c>
      <c r="F6491">
        <v>0.60670728084778403</v>
      </c>
      <c r="G6491">
        <v>0.614136033416257</v>
      </c>
      <c r="H6491">
        <v>0.441085418803283</v>
      </c>
      <c r="I6491">
        <v>0.69250547480876501</v>
      </c>
      <c r="J6491">
        <v>0.77318143869992395</v>
      </c>
      <c r="K6491">
        <v>0.77253305866418898</v>
      </c>
      <c r="L6491">
        <v>2206.8541207315898</v>
      </c>
      <c r="M6491">
        <v>47.679385580070097</v>
      </c>
      <c r="O6491">
        <v>46.204085947780001</v>
      </c>
      <c r="P6491">
        <v>-9.0463454401877003E-2</v>
      </c>
      <c r="Q6491">
        <v>0.64934305514324997</v>
      </c>
      <c r="R6491">
        <v>0.70697231106113601</v>
      </c>
      <c r="S6491" t="s">
        <v>13494</v>
      </c>
      <c r="T6491" t="s">
        <v>14004</v>
      </c>
      <c r="U6491" t="s">
        <v>14004</v>
      </c>
      <c r="V6491" t="s">
        <v>14004</v>
      </c>
      <c r="W6491" t="s">
        <v>20436</v>
      </c>
      <c r="X6491">
        <v>4</v>
      </c>
      <c r="Y6491" t="s">
        <v>27224</v>
      </c>
      <c r="Z6491" t="s">
        <v>34201</v>
      </c>
      <c r="AA6491">
        <v>0.72360136931681418</v>
      </c>
      <c r="AB6491" t="str">
        <f>HYPERLINK("Melting_Curves/meltCurve_Q9P2Y4_ZNF219.pdf", "Melting_Curves/meltCurve_Q9P2Y4_ZNF219.pdf")</f>
        <v>Melting_Curves/meltCurve_Q9P2Y4_ZNF219.pdf</v>
      </c>
    </row>
    <row r="6492" spans="1:28" x14ac:dyDescent="0.25">
      <c r="A6492" t="s">
        <v>6496</v>
      </c>
      <c r="B6492">
        <v>0.99999676499088797</v>
      </c>
      <c r="C6492">
        <v>0.97809700798495303</v>
      </c>
      <c r="D6492">
        <v>1.0545069442608099</v>
      </c>
      <c r="E6492">
        <v>1.0421305608301099</v>
      </c>
      <c r="F6492">
        <v>0.53253022608450995</v>
      </c>
      <c r="G6492">
        <v>0.29985151437443103</v>
      </c>
      <c r="H6492">
        <v>0.13755305063169401</v>
      </c>
      <c r="I6492">
        <v>0.11352226073389</v>
      </c>
      <c r="J6492">
        <v>0.12849907703645599</v>
      </c>
      <c r="K6492">
        <v>9.1018309805856304E-2</v>
      </c>
      <c r="L6492">
        <v>1866.47550390522</v>
      </c>
      <c r="M6492">
        <v>34.971051954736801</v>
      </c>
      <c r="N6492">
        <v>53.821019647529099</v>
      </c>
      <c r="O6492">
        <v>53.198413317884601</v>
      </c>
      <c r="P6492">
        <v>-0.143550231192309</v>
      </c>
      <c r="Q6492">
        <v>0.12652155627445499</v>
      </c>
      <c r="R6492">
        <v>0.98554097414256403</v>
      </c>
      <c r="S6492" t="s">
        <v>13495</v>
      </c>
      <c r="T6492" t="s">
        <v>14004</v>
      </c>
      <c r="U6492" t="s">
        <v>14004</v>
      </c>
      <c r="V6492" t="s">
        <v>14004</v>
      </c>
      <c r="W6492" t="s">
        <v>20437</v>
      </c>
      <c r="X6492">
        <v>7</v>
      </c>
      <c r="Y6492" t="s">
        <v>27225</v>
      </c>
      <c r="Z6492" t="s">
        <v>34202</v>
      </c>
      <c r="AA6492">
        <v>0.52006896312933004</v>
      </c>
      <c r="AB6492" t="str">
        <f>HYPERLINK("Melting_Curves/meltCurve_Q9P2Y5_UVRAG.pdf", "Melting_Curves/meltCurve_Q9P2Y5_UVRAG.pdf")</f>
        <v>Melting_Curves/meltCurve_Q9P2Y5_UVRAG.pdf</v>
      </c>
    </row>
    <row r="6493" spans="1:28" x14ac:dyDescent="0.25">
      <c r="A6493" t="s">
        <v>6497</v>
      </c>
      <c r="B6493">
        <v>0.99999676499088797</v>
      </c>
      <c r="C6493">
        <v>1.01534289560402</v>
      </c>
      <c r="D6493">
        <v>1.04694429755037</v>
      </c>
      <c r="E6493">
        <v>0.94094327340222395</v>
      </c>
      <c r="F6493">
        <v>0.33616101292919298</v>
      </c>
      <c r="G6493">
        <v>0.16927891280421101</v>
      </c>
      <c r="H6493">
        <v>8.2192163777416199E-2</v>
      </c>
      <c r="I6493">
        <v>7.4563180282976205E-2</v>
      </c>
      <c r="J6493">
        <v>7.8340426240364497E-2</v>
      </c>
      <c r="K6493">
        <v>6.2781663392004694E-2</v>
      </c>
      <c r="L6493">
        <v>2485.3578858728501</v>
      </c>
      <c r="M6493">
        <v>47.641752290643602</v>
      </c>
      <c r="N6493">
        <v>52.380277868651099</v>
      </c>
      <c r="O6493">
        <v>52.075975300269903</v>
      </c>
      <c r="P6493">
        <v>-0.20860364961589101</v>
      </c>
      <c r="Q6493">
        <v>8.7923783126885993E-2</v>
      </c>
      <c r="R6493">
        <v>0.99583254160564105</v>
      </c>
      <c r="S6493" t="s">
        <v>13496</v>
      </c>
      <c r="T6493" t="s">
        <v>14004</v>
      </c>
      <c r="U6493" t="s">
        <v>14004</v>
      </c>
      <c r="V6493" t="s">
        <v>14004</v>
      </c>
      <c r="W6493" t="s">
        <v>20438</v>
      </c>
      <c r="X6493">
        <v>23</v>
      </c>
      <c r="Y6493" t="s">
        <v>27226</v>
      </c>
      <c r="Z6493" t="s">
        <v>34203</v>
      </c>
      <c r="AA6493">
        <v>0.46016374708779112</v>
      </c>
      <c r="AB6493" t="str">
        <f>HYPERLINK("Melting_Curves/meltCurve_Q9UBB4_ATXN10.pdf", "Melting_Curves/meltCurve_Q9UBB4_ATXN10.pdf")</f>
        <v>Melting_Curves/meltCurve_Q9UBB4_ATXN10.pdf</v>
      </c>
    </row>
    <row r="6494" spans="1:28" x14ac:dyDescent="0.25">
      <c r="A6494" t="s">
        <v>6498</v>
      </c>
      <c r="B6494">
        <v>0.99999676499088797</v>
      </c>
      <c r="C6494">
        <v>1.0264681035688199</v>
      </c>
      <c r="D6494">
        <v>0.78696468141103004</v>
      </c>
      <c r="E6494">
        <v>0.56182177779454601</v>
      </c>
      <c r="F6494">
        <v>0.40786722352993898</v>
      </c>
      <c r="G6494">
        <v>0.306514075820082</v>
      </c>
      <c r="H6494">
        <v>0.23571612071888901</v>
      </c>
      <c r="I6494">
        <v>0.45129165737714999</v>
      </c>
      <c r="J6494">
        <v>0.604817834103896</v>
      </c>
      <c r="K6494">
        <v>0.68167562033716</v>
      </c>
      <c r="L6494">
        <v>1618.7624898148499</v>
      </c>
      <c r="M6494">
        <v>34.557808332170197</v>
      </c>
      <c r="N6494">
        <v>50.229191071146701</v>
      </c>
      <c r="O6494">
        <v>46.686143094694401</v>
      </c>
      <c r="P6494">
        <v>-0.101527374026206</v>
      </c>
      <c r="Q6494">
        <v>0.45136525397258198</v>
      </c>
      <c r="R6494">
        <v>0.77092758569033304</v>
      </c>
      <c r="S6494" t="s">
        <v>13497</v>
      </c>
      <c r="T6494" t="s">
        <v>14004</v>
      </c>
      <c r="U6494" t="s">
        <v>14004</v>
      </c>
      <c r="V6494" t="s">
        <v>14004</v>
      </c>
      <c r="W6494" t="s">
        <v>20439</v>
      </c>
      <c r="X6494">
        <v>4</v>
      </c>
      <c r="Y6494" t="s">
        <v>27227</v>
      </c>
      <c r="Z6494" t="s">
        <v>34204</v>
      </c>
      <c r="AA6494">
        <v>0.57892742290148747</v>
      </c>
      <c r="AB6494" t="str">
        <f>HYPERLINK("Melting_Curves/meltCurve_Q9UBB5_MBD2.pdf", "Melting_Curves/meltCurve_Q9UBB5_MBD2.pdf")</f>
        <v>Melting_Curves/meltCurve_Q9UBB5_MBD2.pdf</v>
      </c>
    </row>
    <row r="6495" spans="1:28" x14ac:dyDescent="0.25">
      <c r="A6495" t="s">
        <v>6499</v>
      </c>
      <c r="B6495">
        <v>0.99999676499088797</v>
      </c>
      <c r="C6495">
        <v>0.95529572231820903</v>
      </c>
      <c r="D6495">
        <v>0.85308646628236995</v>
      </c>
      <c r="E6495">
        <v>0.41405860075963002</v>
      </c>
      <c r="F6495">
        <v>0.26562321979751502</v>
      </c>
      <c r="G6495">
        <v>0.13846405452361901</v>
      </c>
      <c r="H6495">
        <v>5.8023616456462299E-2</v>
      </c>
      <c r="I6495">
        <v>5.4770120642397002E-2</v>
      </c>
      <c r="J6495">
        <v>3.8166710428203701E-2</v>
      </c>
      <c r="K6495">
        <v>4.02802403262046E-2</v>
      </c>
      <c r="L6495">
        <v>991.62892017767899</v>
      </c>
      <c r="M6495">
        <v>20.186727186713401</v>
      </c>
      <c r="N6495">
        <v>49.380272123769302</v>
      </c>
      <c r="O6495">
        <v>48.648379402775497</v>
      </c>
      <c r="P6495">
        <v>-9.8559391195960397E-2</v>
      </c>
      <c r="Q6495">
        <v>4.9949201878367502E-2</v>
      </c>
      <c r="R6495">
        <v>0.99295469336489794</v>
      </c>
      <c r="S6495" t="s">
        <v>13498</v>
      </c>
      <c r="T6495" t="s">
        <v>14004</v>
      </c>
      <c r="U6495" t="s">
        <v>14004</v>
      </c>
      <c r="V6495" t="s">
        <v>14004</v>
      </c>
      <c r="W6495" t="s">
        <v>20440</v>
      </c>
      <c r="X6495">
        <v>5</v>
      </c>
      <c r="Y6495" t="s">
        <v>27228</v>
      </c>
      <c r="Z6495" t="s">
        <v>34205</v>
      </c>
      <c r="AA6495">
        <v>0.35189976092930603</v>
      </c>
      <c r="AB6495" t="str">
        <f>HYPERLINK("Melting_Curves/meltCurve_Q9UBB6_2_NCDN.pdf", "Melting_Curves/meltCurve_Q9UBB6_2_NCDN.pdf")</f>
        <v>Melting_Curves/meltCurve_Q9UBB6_2_NCDN.pdf</v>
      </c>
    </row>
    <row r="6496" spans="1:28" x14ac:dyDescent="0.25">
      <c r="A6496" t="s">
        <v>6500</v>
      </c>
      <c r="B6496">
        <v>0.99999676499088797</v>
      </c>
      <c r="C6496">
        <v>0.90959451645778799</v>
      </c>
      <c r="D6496">
        <v>0.61620861584537401</v>
      </c>
      <c r="E6496">
        <v>0.245479280682349</v>
      </c>
      <c r="F6496">
        <v>0.24784531164476101</v>
      </c>
      <c r="G6496">
        <v>0.13333694494395801</v>
      </c>
      <c r="H6496">
        <v>7.7616495461786797E-2</v>
      </c>
      <c r="I6496">
        <v>8.0041833107249202E-2</v>
      </c>
      <c r="J6496">
        <v>8.7030015840691699E-2</v>
      </c>
      <c r="K6496">
        <v>7.4598139791960699E-2</v>
      </c>
      <c r="L6496">
        <v>1039.38041814435</v>
      </c>
      <c r="M6496">
        <v>22.268438653006999</v>
      </c>
      <c r="N6496">
        <v>47.130495197435302</v>
      </c>
      <c r="O6496">
        <v>46.3035479726883</v>
      </c>
      <c r="P6496">
        <v>-0.108593993743624</v>
      </c>
      <c r="Q6496">
        <v>9.6806295745392304E-2</v>
      </c>
      <c r="R6496">
        <v>0.988072773051627</v>
      </c>
      <c r="S6496" t="s">
        <v>13499</v>
      </c>
      <c r="T6496" t="s">
        <v>14004</v>
      </c>
      <c r="U6496" t="s">
        <v>14004</v>
      </c>
      <c r="V6496" t="s">
        <v>14004</v>
      </c>
      <c r="W6496" t="s">
        <v>20441</v>
      </c>
      <c r="X6496">
        <v>8</v>
      </c>
      <c r="Y6496" t="s">
        <v>27229</v>
      </c>
      <c r="Z6496" t="s">
        <v>34206</v>
      </c>
      <c r="AA6496">
        <v>0.30830622804848867</v>
      </c>
      <c r="AB6496" t="str">
        <f>HYPERLINK("Melting_Curves/meltCurve_Q9UBB9_TFIP11.pdf", "Melting_Curves/meltCurve_Q9UBB9_TFIP11.pdf")</f>
        <v>Melting_Curves/meltCurve_Q9UBB9_TFIP11.pdf</v>
      </c>
    </row>
    <row r="6497" spans="1:28" x14ac:dyDescent="0.25">
      <c r="A6497" t="s">
        <v>6501</v>
      </c>
      <c r="B6497">
        <v>0.99999676499088797</v>
      </c>
      <c r="C6497">
        <v>0.98996077965193696</v>
      </c>
      <c r="D6497">
        <v>0.83871064866693101</v>
      </c>
      <c r="E6497">
        <v>0.53423657250669898</v>
      </c>
      <c r="F6497">
        <v>0.24773307169129899</v>
      </c>
      <c r="G6497">
        <v>0.17337179884576201</v>
      </c>
      <c r="H6497">
        <v>0.12902070117681999</v>
      </c>
      <c r="I6497">
        <v>0.122552458363936</v>
      </c>
      <c r="J6497">
        <v>0.129818522967626</v>
      </c>
      <c r="K6497">
        <v>0.15455846306475801</v>
      </c>
      <c r="L6497">
        <v>1144.43330378101</v>
      </c>
      <c r="M6497">
        <v>23.269849908382199</v>
      </c>
      <c r="N6497">
        <v>49.827194604474698</v>
      </c>
      <c r="O6497">
        <v>48.822046009818401</v>
      </c>
      <c r="P6497">
        <v>-0.103637308836711</v>
      </c>
      <c r="Q6497">
        <v>0.13025720823915701</v>
      </c>
      <c r="R6497">
        <v>0.99865254404737702</v>
      </c>
      <c r="S6497" t="s">
        <v>13500</v>
      </c>
      <c r="T6497" t="s">
        <v>14004</v>
      </c>
      <c r="U6497" t="s">
        <v>14004</v>
      </c>
      <c r="V6497" t="s">
        <v>14004</v>
      </c>
      <c r="W6497" t="s">
        <v>20442</v>
      </c>
      <c r="X6497">
        <v>33</v>
      </c>
      <c r="Y6497" t="s">
        <v>27230</v>
      </c>
      <c r="Z6497" t="s">
        <v>34207</v>
      </c>
      <c r="AA6497">
        <v>0.40536445586044939</v>
      </c>
      <c r="AB6497" t="str">
        <f>HYPERLINK("Melting_Curves/meltCurve_Q9UBC2_2_EPS15L1.pdf", "Melting_Curves/meltCurve_Q9UBC2_2_EPS15L1.pdf")</f>
        <v>Melting_Curves/meltCurve_Q9UBC2_2_EPS15L1.pdf</v>
      </c>
    </row>
    <row r="6498" spans="1:28" x14ac:dyDescent="0.25">
      <c r="A6498" t="s">
        <v>6502</v>
      </c>
      <c r="B6498">
        <v>0.99999676499088797</v>
      </c>
      <c r="C6498">
        <v>0.98781654782372896</v>
      </c>
      <c r="D6498">
        <v>0.77356132189460503</v>
      </c>
      <c r="E6498">
        <v>0.45009776361749199</v>
      </c>
      <c r="F6498">
        <v>0.25597735126203502</v>
      </c>
      <c r="G6498">
        <v>0.14680850210205099</v>
      </c>
      <c r="H6498">
        <v>6.0099457547147302E-2</v>
      </c>
      <c r="I6498">
        <v>7.8655223032303406E-2</v>
      </c>
      <c r="J6498">
        <v>9.1562844164596702E-2</v>
      </c>
      <c r="K6498">
        <v>6.6917144053041902E-2</v>
      </c>
      <c r="L6498">
        <v>953.71200880145102</v>
      </c>
      <c r="M6498">
        <v>19.521420246486699</v>
      </c>
      <c r="N6498">
        <v>49.250101655141698</v>
      </c>
      <c r="O6498">
        <v>48.350651888183499</v>
      </c>
      <c r="P6498">
        <v>-9.3618038721972593E-2</v>
      </c>
      <c r="Q6498">
        <v>7.2540807560058193E-2</v>
      </c>
      <c r="R6498">
        <v>0.99623126507622495</v>
      </c>
      <c r="S6498" t="s">
        <v>13501</v>
      </c>
      <c r="T6498" t="s">
        <v>14004</v>
      </c>
      <c r="U6498" t="s">
        <v>14004</v>
      </c>
      <c r="V6498" t="s">
        <v>14004</v>
      </c>
      <c r="W6498" t="s">
        <v>20443</v>
      </c>
      <c r="X6498">
        <v>27</v>
      </c>
      <c r="Y6498" t="s">
        <v>27230</v>
      </c>
      <c r="Z6498" t="s">
        <v>34208</v>
      </c>
      <c r="AA6498">
        <v>0.35995477705477291</v>
      </c>
      <c r="AB6498" t="str">
        <f>HYPERLINK("Melting_Curves/meltCurve_Q9UBC2_4_EPS15L1.pdf", "Melting_Curves/meltCurve_Q9UBC2_4_EPS15L1.pdf")</f>
        <v>Melting_Curves/meltCurve_Q9UBC2_4_EPS15L1.pdf</v>
      </c>
    </row>
    <row r="6499" spans="1:28" x14ac:dyDescent="0.25">
      <c r="A6499" t="s">
        <v>6503</v>
      </c>
      <c r="B6499">
        <v>0.99999676499088797</v>
      </c>
      <c r="C6499">
        <v>0.95480363889659803</v>
      </c>
      <c r="D6499">
        <v>0.52872166247796104</v>
      </c>
      <c r="E6499">
        <v>7.7951042521676103E-2</v>
      </c>
      <c r="F6499">
        <v>0.12450510786301</v>
      </c>
      <c r="G6499">
        <v>8.4496073610100905E-2</v>
      </c>
      <c r="H6499">
        <v>5.5821314011394403E-2</v>
      </c>
      <c r="I6499">
        <v>2.7826157753119401E-2</v>
      </c>
      <c r="J6499">
        <v>0</v>
      </c>
      <c r="K6499">
        <v>0</v>
      </c>
      <c r="L6499">
        <v>1917.90614802919</v>
      </c>
      <c r="M6499">
        <v>41.675830171735001</v>
      </c>
      <c r="N6499">
        <v>46.126757338663097</v>
      </c>
      <c r="O6499">
        <v>45.914025371003397</v>
      </c>
      <c r="P6499">
        <v>-0.21645668589524</v>
      </c>
      <c r="Q6499">
        <v>4.61247780552256E-2</v>
      </c>
      <c r="R6499">
        <v>0.99153822176886197</v>
      </c>
      <c r="S6499" t="s">
        <v>13502</v>
      </c>
      <c r="T6499" t="s">
        <v>14004</v>
      </c>
      <c r="U6499" t="s">
        <v>14004</v>
      </c>
      <c r="V6499" t="s">
        <v>14004</v>
      </c>
      <c r="W6499" t="s">
        <v>20444</v>
      </c>
      <c r="X6499">
        <v>2</v>
      </c>
      <c r="Y6499" t="s">
        <v>27231</v>
      </c>
      <c r="Z6499" t="s">
        <v>34209</v>
      </c>
      <c r="AA6499">
        <v>0.2403659136966842</v>
      </c>
      <c r="AB6499" t="str">
        <f>HYPERLINK("Melting_Curves/meltCurve_Q9UBC3_7_DNMT3B.pdf", "Melting_Curves/meltCurve_Q9UBC3_7_DNMT3B.pdf")</f>
        <v>Melting_Curves/meltCurve_Q9UBC3_7_DNMT3B.pdf</v>
      </c>
    </row>
    <row r="6500" spans="1:28" x14ac:dyDescent="0.25">
      <c r="A6500" t="s">
        <v>6504</v>
      </c>
      <c r="B6500">
        <v>0.99999676499088797</v>
      </c>
      <c r="C6500">
        <v>0.98178204489938004</v>
      </c>
      <c r="D6500">
        <v>0.85100588676635203</v>
      </c>
      <c r="E6500">
        <v>0.53904781639877897</v>
      </c>
      <c r="F6500">
        <v>0.25703447058281498</v>
      </c>
      <c r="G6500">
        <v>0.13267107143266699</v>
      </c>
      <c r="H6500">
        <v>5.6933555566370697E-2</v>
      </c>
      <c r="I6500">
        <v>6.0596727762285703E-2</v>
      </c>
      <c r="J6500">
        <v>5.8954972011785699E-2</v>
      </c>
      <c r="K6500">
        <v>6.1282892846763498E-2</v>
      </c>
      <c r="L6500">
        <v>1024.1550513995601</v>
      </c>
      <c r="M6500">
        <v>20.5703558992025</v>
      </c>
      <c r="N6500">
        <v>50.058189301963502</v>
      </c>
      <c r="O6500">
        <v>49.324565127454697</v>
      </c>
      <c r="P6500">
        <v>-9.8783236173289504E-2</v>
      </c>
      <c r="Q6500">
        <v>5.2559714500118003E-2</v>
      </c>
      <c r="R6500">
        <v>0.99944842604219197</v>
      </c>
      <c r="S6500" t="s">
        <v>13503</v>
      </c>
      <c r="T6500" t="s">
        <v>14004</v>
      </c>
      <c r="U6500" t="s">
        <v>14004</v>
      </c>
      <c r="V6500" t="s">
        <v>14004</v>
      </c>
      <c r="W6500" t="s">
        <v>20445</v>
      </c>
      <c r="X6500">
        <v>12</v>
      </c>
      <c r="Y6500" t="s">
        <v>27232</v>
      </c>
      <c r="Z6500" t="s">
        <v>34210</v>
      </c>
      <c r="AA6500">
        <v>0.37416407260662682</v>
      </c>
      <c r="AB6500" t="str">
        <f>HYPERLINK("Melting_Curves/meltCurve_Q9UBD5_2_ORC3.pdf", "Melting_Curves/meltCurve_Q9UBD5_2_ORC3.pdf")</f>
        <v>Melting_Curves/meltCurve_Q9UBD5_2_ORC3.pdf</v>
      </c>
    </row>
    <row r="6501" spans="1:28" x14ac:dyDescent="0.25">
      <c r="A6501" t="s">
        <v>6505</v>
      </c>
      <c r="B6501">
        <v>0.99999676499088797</v>
      </c>
      <c r="C6501">
        <v>0.95751338199331204</v>
      </c>
      <c r="D6501">
        <v>0.95267308915402305</v>
      </c>
      <c r="E6501">
        <v>0.92885311354817401</v>
      </c>
      <c r="F6501">
        <v>0.55999479823936205</v>
      </c>
      <c r="G6501">
        <v>0.26182582795482001</v>
      </c>
      <c r="H6501">
        <v>0.102953094029332</v>
      </c>
      <c r="I6501">
        <v>9.9157703653828505E-2</v>
      </c>
      <c r="J6501">
        <v>9.2428438954229905E-2</v>
      </c>
      <c r="K6501">
        <v>7.64624535868524E-2</v>
      </c>
      <c r="L6501">
        <v>1430.5508915605999</v>
      </c>
      <c r="M6501">
        <v>26.730090263859999</v>
      </c>
      <c r="N6501">
        <v>53.879382022716698</v>
      </c>
      <c r="O6501">
        <v>53.221517734240102</v>
      </c>
      <c r="P6501">
        <v>-0.115267094973898</v>
      </c>
      <c r="Q6501">
        <v>8.1989315616357E-2</v>
      </c>
      <c r="R6501">
        <v>0.99696813726521305</v>
      </c>
      <c r="S6501" t="s">
        <v>13504</v>
      </c>
      <c r="T6501" t="s">
        <v>14004</v>
      </c>
      <c r="U6501" t="s">
        <v>14004</v>
      </c>
      <c r="V6501" t="s">
        <v>14004</v>
      </c>
      <c r="W6501" t="s">
        <v>20446</v>
      </c>
      <c r="X6501">
        <v>32</v>
      </c>
      <c r="Y6501" t="s">
        <v>27233</v>
      </c>
      <c r="Z6501" t="s">
        <v>34211</v>
      </c>
      <c r="AA6501">
        <v>0.50313757376185919</v>
      </c>
      <c r="AB6501" t="str">
        <f>HYPERLINK("Melting_Curves/meltCurve_Q9UBE0_SAE1.pdf", "Melting_Curves/meltCurve_Q9UBE0_SAE1.pdf")</f>
        <v>Melting_Curves/meltCurve_Q9UBE0_SAE1.pdf</v>
      </c>
    </row>
    <row r="6502" spans="1:28" x14ac:dyDescent="0.25">
      <c r="A6502" t="s">
        <v>6506</v>
      </c>
      <c r="B6502">
        <v>0.99999676499088797</v>
      </c>
      <c r="C6502">
        <v>1.1578815767769599</v>
      </c>
      <c r="D6502">
        <v>1.1812328653838899</v>
      </c>
      <c r="E6502">
        <v>1.3366828064045799</v>
      </c>
      <c r="F6502">
        <v>0.75079345559275201</v>
      </c>
      <c r="G6502">
        <v>0.29883148117295699</v>
      </c>
      <c r="H6502">
        <v>0.105857820163993</v>
      </c>
      <c r="I6502">
        <v>9.4086023729717097E-2</v>
      </c>
      <c r="J6502">
        <v>8.7876919268028403E-2</v>
      </c>
      <c r="K6502">
        <v>7.0616642077170194E-2</v>
      </c>
      <c r="L6502">
        <v>2275.1541568662301</v>
      </c>
      <c r="M6502">
        <v>41.466449786046802</v>
      </c>
      <c r="N6502">
        <v>55.128973180202301</v>
      </c>
      <c r="O6502">
        <v>54.7402051093107</v>
      </c>
      <c r="P6502">
        <v>-0.172463743290734</v>
      </c>
      <c r="Q6502">
        <v>8.9318379532175599E-2</v>
      </c>
      <c r="R6502">
        <v>0.926999474156326</v>
      </c>
      <c r="S6502" t="s">
        <v>13505</v>
      </c>
      <c r="T6502" t="s">
        <v>14004</v>
      </c>
      <c r="U6502" t="s">
        <v>14004</v>
      </c>
      <c r="V6502" t="s">
        <v>14004</v>
      </c>
      <c r="W6502" t="s">
        <v>20447</v>
      </c>
      <c r="X6502">
        <v>28</v>
      </c>
      <c r="Y6502" t="s">
        <v>27234</v>
      </c>
      <c r="Z6502" t="s">
        <v>34212</v>
      </c>
      <c r="AA6502">
        <v>0.54383630192530097</v>
      </c>
      <c r="AB6502" t="str">
        <f>HYPERLINK("Melting_Curves/meltCurve_Q9UBF2_COPG2.pdf", "Melting_Curves/meltCurve_Q9UBF2_COPG2.pdf")</f>
        <v>Melting_Curves/meltCurve_Q9UBF2_COPG2.pdf</v>
      </c>
    </row>
    <row r="6503" spans="1:28" x14ac:dyDescent="0.25">
      <c r="A6503" t="s">
        <v>6507</v>
      </c>
      <c r="B6503">
        <v>0.99999676499088797</v>
      </c>
      <c r="C6503">
        <v>1.1367877203194601</v>
      </c>
      <c r="D6503">
        <v>1.10464695115267</v>
      </c>
      <c r="E6503">
        <v>1.07062019353796</v>
      </c>
      <c r="F6503">
        <v>1.17315654786187</v>
      </c>
      <c r="G6503">
        <v>0.69805884334660695</v>
      </c>
      <c r="H6503">
        <v>0.27567288760977599</v>
      </c>
      <c r="I6503">
        <v>0.267570356809266</v>
      </c>
      <c r="J6503">
        <v>0.229650876550027</v>
      </c>
      <c r="K6503">
        <v>0.47797980153349401</v>
      </c>
      <c r="L6503">
        <v>14213.8532344373</v>
      </c>
      <c r="M6503">
        <v>250</v>
      </c>
      <c r="N6503">
        <v>57.079630911932199</v>
      </c>
      <c r="O6503">
        <v>56.851782783041699</v>
      </c>
      <c r="P6503">
        <v>-0.75556297727644595</v>
      </c>
      <c r="Q6503">
        <v>0.31271846367994099</v>
      </c>
      <c r="R6503">
        <v>0.92821639821445501</v>
      </c>
      <c r="S6503" t="s">
        <v>13506</v>
      </c>
      <c r="T6503" t="s">
        <v>14004</v>
      </c>
      <c r="U6503" t="s">
        <v>14004</v>
      </c>
      <c r="V6503" t="s">
        <v>14004</v>
      </c>
      <c r="W6503" t="s">
        <v>20448</v>
      </c>
      <c r="X6503">
        <v>2</v>
      </c>
      <c r="Y6503" t="s">
        <v>27235</v>
      </c>
      <c r="Z6503" t="s">
        <v>34213</v>
      </c>
      <c r="AA6503">
        <v>0.69893417752122511</v>
      </c>
      <c r="AB6503" t="str">
        <f>HYPERLINK("Melting_Curves/meltCurve_Q9UBF6_RNF7.pdf", "Melting_Curves/meltCurve_Q9UBF6_RNF7.pdf")</f>
        <v>Melting_Curves/meltCurve_Q9UBF6_RNF7.pdf</v>
      </c>
    </row>
    <row r="6504" spans="1:28" x14ac:dyDescent="0.25">
      <c r="A6504" t="s">
        <v>6508</v>
      </c>
      <c r="B6504">
        <v>0.99999676499088797</v>
      </c>
      <c r="C6504">
        <v>0.95528168723978901</v>
      </c>
      <c r="D6504">
        <v>1.0977758617290601</v>
      </c>
      <c r="E6504">
        <v>1.0260728419803999</v>
      </c>
      <c r="F6504">
        <v>0.50479602808343904</v>
      </c>
      <c r="G6504">
        <v>0.21575429350245601</v>
      </c>
      <c r="H6504">
        <v>9.3337302779641501E-2</v>
      </c>
      <c r="I6504">
        <v>0.123980540599006</v>
      </c>
      <c r="J6504">
        <v>9.3575453281091098E-2</v>
      </c>
      <c r="K6504">
        <v>9.9153958944434406E-2</v>
      </c>
      <c r="L6504">
        <v>2548.2548725104002</v>
      </c>
      <c r="M6504">
        <v>48.059843454524199</v>
      </c>
      <c r="N6504">
        <v>53.314708854222403</v>
      </c>
      <c r="O6504">
        <v>52.9309782429482</v>
      </c>
      <c r="P6504">
        <v>-0.200713969416176</v>
      </c>
      <c r="Q6504">
        <v>0.115771055959353</v>
      </c>
      <c r="R6504">
        <v>0.98838087524343099</v>
      </c>
      <c r="S6504" t="s">
        <v>13507</v>
      </c>
      <c r="T6504" t="s">
        <v>14004</v>
      </c>
      <c r="U6504" t="s">
        <v>14004</v>
      </c>
      <c r="V6504" t="s">
        <v>14004</v>
      </c>
      <c r="W6504" t="s">
        <v>20449</v>
      </c>
      <c r="X6504">
        <v>8</v>
      </c>
      <c r="Y6504" t="s">
        <v>27236</v>
      </c>
      <c r="Z6504" t="s">
        <v>34214</v>
      </c>
      <c r="AA6504">
        <v>0.50184016661317943</v>
      </c>
      <c r="AB6504" t="str">
        <f>HYPERLINK("Melting_Curves/meltCurve_Q9UBF8_2_PI4KB.pdf", "Melting_Curves/meltCurve_Q9UBF8_2_PI4KB.pdf")</f>
        <v>Melting_Curves/meltCurve_Q9UBF8_2_PI4KB.pdf</v>
      </c>
    </row>
    <row r="6505" spans="1:28" x14ac:dyDescent="0.25">
      <c r="A6505" t="s">
        <v>6509</v>
      </c>
      <c r="B6505">
        <v>0.99999676499088797</v>
      </c>
      <c r="C6505">
        <v>0.99251784867936399</v>
      </c>
      <c r="D6505">
        <v>1.0090605375542001</v>
      </c>
      <c r="E6505">
        <v>0.70427679264721998</v>
      </c>
      <c r="F6505">
        <v>0.60689413652204904</v>
      </c>
      <c r="G6505">
        <v>0.364069085834694</v>
      </c>
      <c r="H6505">
        <v>0.229563955893378</v>
      </c>
      <c r="I6505">
        <v>0.12731636259951601</v>
      </c>
      <c r="J6505">
        <v>0.146480435525325</v>
      </c>
      <c r="K6505">
        <v>9.7162770169962706E-2</v>
      </c>
      <c r="L6505">
        <v>784.67899311895701</v>
      </c>
      <c r="M6505">
        <v>14.601455184084401</v>
      </c>
      <c r="N6505">
        <v>54.347527939360099</v>
      </c>
      <c r="O6505">
        <v>52.761960958514301</v>
      </c>
      <c r="P6505">
        <v>-6.3981206601968404E-2</v>
      </c>
      <c r="Q6505">
        <v>7.5326178740326794E-2</v>
      </c>
      <c r="R6505">
        <v>0.98708156413353199</v>
      </c>
      <c r="S6505" t="s">
        <v>13508</v>
      </c>
      <c r="T6505" t="s">
        <v>14004</v>
      </c>
      <c r="U6505" t="s">
        <v>14004</v>
      </c>
      <c r="V6505" t="s">
        <v>14004</v>
      </c>
      <c r="W6505" t="s">
        <v>20450</v>
      </c>
      <c r="X6505">
        <v>5</v>
      </c>
      <c r="Y6505" t="s">
        <v>27237</v>
      </c>
      <c r="Z6505" t="s">
        <v>34215</v>
      </c>
      <c r="AA6505">
        <v>0.51871643461174155</v>
      </c>
      <c r="AB6505" t="str">
        <f>HYPERLINK("Melting_Curves/meltCurve_Q9UBG0_MRC2.pdf", "Melting_Curves/meltCurve_Q9UBG0_MRC2.pdf")</f>
        <v>Melting_Curves/meltCurve_Q9UBG0_MRC2.pdf</v>
      </c>
    </row>
    <row r="6506" spans="1:28" x14ac:dyDescent="0.25">
      <c r="A6506" t="s">
        <v>6510</v>
      </c>
      <c r="B6506">
        <v>0.99999676499088797</v>
      </c>
      <c r="C6506">
        <v>0.95534575357588203</v>
      </c>
      <c r="D6506">
        <v>2.25717510494637</v>
      </c>
      <c r="E6506">
        <v>1.44048098674075</v>
      </c>
      <c r="F6506">
        <v>29.940935393126999</v>
      </c>
      <c r="G6506">
        <v>0.18567359933630301</v>
      </c>
      <c r="H6506">
        <v>1.3457903210748201</v>
      </c>
      <c r="I6506">
        <v>0.35524186521295398</v>
      </c>
      <c r="J6506">
        <v>0</v>
      </c>
      <c r="K6506">
        <v>0.59332334618576699</v>
      </c>
      <c r="L6506">
        <v>2037.92173861434</v>
      </c>
      <c r="M6506">
        <v>31.822739143353001</v>
      </c>
      <c r="N6506">
        <v>65.310171900725905</v>
      </c>
      <c r="O6506">
        <v>63.788503038877202</v>
      </c>
      <c r="P6506">
        <v>-9.5940159124182495E-2</v>
      </c>
      <c r="Q6506">
        <v>0.23075795598615401</v>
      </c>
      <c r="R6506">
        <v>-0.101831682177544</v>
      </c>
      <c r="S6506" t="s">
        <v>13509</v>
      </c>
      <c r="T6506" t="s">
        <v>14004</v>
      </c>
      <c r="U6506" t="s">
        <v>14004</v>
      </c>
      <c r="V6506" t="s">
        <v>14004</v>
      </c>
      <c r="W6506" t="s">
        <v>20451</v>
      </c>
      <c r="X6506">
        <v>1</v>
      </c>
      <c r="Y6506" t="s">
        <v>27238</v>
      </c>
      <c r="Z6506" t="s">
        <v>34216</v>
      </c>
      <c r="AA6506">
        <v>0.84829758042132875</v>
      </c>
      <c r="AB6506" t="str">
        <f>HYPERLINK("Melting_Curves/meltCurve_Q9UBG3_CRNN.pdf", "Melting_Curves/meltCurve_Q9UBG3_CRNN.pdf")</f>
        <v>Melting_Curves/meltCurve_Q9UBG3_CRNN.pdf</v>
      </c>
    </row>
    <row r="6507" spans="1:28" x14ac:dyDescent="0.25">
      <c r="A6507" t="s">
        <v>6511</v>
      </c>
      <c r="B6507">
        <v>0.99999676499088797</v>
      </c>
      <c r="C6507">
        <v>0.94132116682502898</v>
      </c>
      <c r="D6507">
        <v>0.88680912252848598</v>
      </c>
      <c r="E6507">
        <v>0.59536072847838095</v>
      </c>
      <c r="F6507">
        <v>0.335490564284188</v>
      </c>
      <c r="G6507">
        <v>0.215228771178856</v>
      </c>
      <c r="H6507">
        <v>9.5040800998205804E-2</v>
      </c>
      <c r="I6507">
        <v>9.4410365262551504E-2</v>
      </c>
      <c r="J6507">
        <v>8.2901607458926996E-2</v>
      </c>
      <c r="K6507">
        <v>7.2881633760311801E-2</v>
      </c>
      <c r="L6507">
        <v>889.091255710729</v>
      </c>
      <c r="M6507">
        <v>17.595119603058599</v>
      </c>
      <c r="N6507">
        <v>50.9631983379861</v>
      </c>
      <c r="O6507">
        <v>49.891405333960499</v>
      </c>
      <c r="P6507">
        <v>-8.2054987511593597E-2</v>
      </c>
      <c r="Q6507">
        <v>6.9374280444842298E-2</v>
      </c>
      <c r="R6507">
        <v>0.997993808598306</v>
      </c>
      <c r="S6507" t="s">
        <v>13510</v>
      </c>
      <c r="T6507" t="s">
        <v>14004</v>
      </c>
      <c r="U6507" t="s">
        <v>14004</v>
      </c>
      <c r="V6507" t="s">
        <v>14004</v>
      </c>
      <c r="W6507" t="s">
        <v>20452</v>
      </c>
      <c r="X6507">
        <v>9</v>
      </c>
      <c r="Y6507" t="s">
        <v>27239</v>
      </c>
      <c r="Z6507" t="s">
        <v>34217</v>
      </c>
      <c r="AA6507">
        <v>0.4124823946034411</v>
      </c>
      <c r="AB6507" t="str">
        <f>HYPERLINK("Melting_Curves/meltCurve_Q9UBK8_2_MTRR.pdf", "Melting_Curves/meltCurve_Q9UBK8_2_MTRR.pdf")</f>
        <v>Melting_Curves/meltCurve_Q9UBK8_2_MTRR.pdf</v>
      </c>
    </row>
    <row r="6508" spans="1:28" x14ac:dyDescent="0.25">
      <c r="A6508" t="s">
        <v>6512</v>
      </c>
      <c r="B6508">
        <v>0.99999676499088797</v>
      </c>
      <c r="C6508">
        <v>1.05008296179727</v>
      </c>
      <c r="D6508">
        <v>1.0349572129994999</v>
      </c>
      <c r="E6508">
        <v>1.23028724527228</v>
      </c>
      <c r="F6508">
        <v>1.4120414559836301</v>
      </c>
      <c r="G6508">
        <v>0.99385681300375395</v>
      </c>
      <c r="H6508">
        <v>0.25802391845706502</v>
      </c>
      <c r="I6508">
        <v>0.18918200104782101</v>
      </c>
      <c r="J6508">
        <v>0.17487671218591999</v>
      </c>
      <c r="K6508">
        <v>0.142885678388596</v>
      </c>
      <c r="L6508">
        <v>5944.2213869260504</v>
      </c>
      <c r="M6508">
        <v>99.8795094150979</v>
      </c>
      <c r="N6508">
        <v>59.7600510193015</v>
      </c>
      <c r="O6508">
        <v>59.490075456105501</v>
      </c>
      <c r="P6508">
        <v>-0.34894962084303699</v>
      </c>
      <c r="Q6508">
        <v>0.16863675931010499</v>
      </c>
      <c r="R6508">
        <v>0.89737087457728804</v>
      </c>
      <c r="S6508" t="s">
        <v>13511</v>
      </c>
      <c r="T6508" t="s">
        <v>14004</v>
      </c>
      <c r="U6508" t="s">
        <v>14004</v>
      </c>
      <c r="V6508" t="s">
        <v>14004</v>
      </c>
      <c r="W6508" t="s">
        <v>20453</v>
      </c>
      <c r="X6508">
        <v>4</v>
      </c>
      <c r="Y6508" t="s">
        <v>27240</v>
      </c>
      <c r="Z6508" t="s">
        <v>34218</v>
      </c>
      <c r="AA6508">
        <v>0.70995333048502529</v>
      </c>
      <c r="AB6508" t="str">
        <f>HYPERLINK("Melting_Curves/meltCurve_Q9UBK9_UXT.pdf", "Melting_Curves/meltCurve_Q9UBK9_UXT.pdf")</f>
        <v>Melting_Curves/meltCurve_Q9UBK9_UXT.pdf</v>
      </c>
    </row>
    <row r="6509" spans="1:28" x14ac:dyDescent="0.25">
      <c r="A6509" t="s">
        <v>6513</v>
      </c>
      <c r="B6509">
        <v>0.99999676499088797</v>
      </c>
      <c r="C6509">
        <v>0.88338723779683104</v>
      </c>
      <c r="D6509">
        <v>0.747136963340578</v>
      </c>
      <c r="E6509">
        <v>0.508180478209183</v>
      </c>
      <c r="F6509">
        <v>0.28853442518971401</v>
      </c>
      <c r="G6509">
        <v>0.203178344610044</v>
      </c>
      <c r="H6509">
        <v>0.139106146126454</v>
      </c>
      <c r="I6509">
        <v>0.143221149183998</v>
      </c>
      <c r="J6509">
        <v>0.11954266823290299</v>
      </c>
      <c r="K6509">
        <v>0.17053915277767601</v>
      </c>
      <c r="L6509">
        <v>787.38619113522395</v>
      </c>
      <c r="M6509">
        <v>16.209542838130801</v>
      </c>
      <c r="N6509">
        <v>49.4687268389062</v>
      </c>
      <c r="O6509">
        <v>47.854231644972899</v>
      </c>
      <c r="P6509">
        <v>-7.3943388520329098E-2</v>
      </c>
      <c r="Q6509">
        <v>0.12687517142515101</v>
      </c>
      <c r="R6509">
        <v>0.99631990871999998</v>
      </c>
      <c r="S6509" t="s">
        <v>13512</v>
      </c>
      <c r="T6509" t="s">
        <v>14004</v>
      </c>
      <c r="U6509" t="s">
        <v>14004</v>
      </c>
      <c r="V6509" t="s">
        <v>14004</v>
      </c>
      <c r="W6509" t="s">
        <v>20454</v>
      </c>
      <c r="X6509">
        <v>3</v>
      </c>
      <c r="Y6509" t="s">
        <v>27241</v>
      </c>
      <c r="Z6509" t="s">
        <v>34219</v>
      </c>
      <c r="AA6509">
        <v>0.39528746625884248</v>
      </c>
      <c r="AB6509" t="str">
        <f>HYPERLINK("Melting_Curves/meltCurve_Q9UBL0_ARPP21.pdf", "Melting_Curves/meltCurve_Q9UBL0_ARPP21.pdf")</f>
        <v>Melting_Curves/meltCurve_Q9UBL0_ARPP21.pdf</v>
      </c>
    </row>
    <row r="6510" spans="1:28" x14ac:dyDescent="0.25">
      <c r="A6510" t="s">
        <v>6514</v>
      </c>
      <c r="B6510">
        <v>0.99999676499088797</v>
      </c>
      <c r="C6510">
        <v>0.92662078464891995</v>
      </c>
      <c r="D6510">
        <v>1.0314028474702599</v>
      </c>
      <c r="E6510">
        <v>0.936859385187785</v>
      </c>
      <c r="F6510">
        <v>0.27242103885998398</v>
      </c>
      <c r="G6510">
        <v>0.16092014271485799</v>
      </c>
      <c r="H6510">
        <v>8.3216786681842903E-2</v>
      </c>
      <c r="I6510">
        <v>7.7508820093881006E-2</v>
      </c>
      <c r="J6510">
        <v>5.7766185635257497E-2</v>
      </c>
      <c r="K6510">
        <v>5.8473029521103601E-2</v>
      </c>
      <c r="L6510">
        <v>2782.9179906372801</v>
      </c>
      <c r="M6510">
        <v>53.618278136757802</v>
      </c>
      <c r="N6510">
        <v>52.082456062212003</v>
      </c>
      <c r="O6510">
        <v>51.830384415679703</v>
      </c>
      <c r="P6510">
        <v>-0.236746034903518</v>
      </c>
      <c r="Q6510">
        <v>8.4593832712506201E-2</v>
      </c>
      <c r="R6510">
        <v>0.99303592216501002</v>
      </c>
      <c r="S6510" t="s">
        <v>13513</v>
      </c>
      <c r="T6510" t="s">
        <v>14004</v>
      </c>
      <c r="U6510" t="s">
        <v>14004</v>
      </c>
      <c r="V6510" t="s">
        <v>14004</v>
      </c>
      <c r="W6510" t="s">
        <v>20455</v>
      </c>
      <c r="X6510">
        <v>14</v>
      </c>
      <c r="Y6510" t="s">
        <v>27242</v>
      </c>
      <c r="Z6510" t="s">
        <v>34220</v>
      </c>
      <c r="AA6510">
        <v>0.44959962682663202</v>
      </c>
      <c r="AB6510" t="str">
        <f>HYPERLINK("Melting_Curves/meltCurve_Q9UBL3_3_ASH2L.pdf", "Melting_Curves/meltCurve_Q9UBL3_3_ASH2L.pdf")</f>
        <v>Melting_Curves/meltCurve_Q9UBL3_3_ASH2L.pdf</v>
      </c>
    </row>
    <row r="6511" spans="1:28" x14ac:dyDescent="0.25">
      <c r="A6511" t="s">
        <v>6515</v>
      </c>
      <c r="B6511">
        <v>0.99999676499088797</v>
      </c>
      <c r="C6511">
        <v>1.16248455365211</v>
      </c>
      <c r="D6511">
        <v>1.0732929147935599</v>
      </c>
      <c r="E6511">
        <v>0.98407824337107597</v>
      </c>
      <c r="F6511">
        <v>0.228196679540414</v>
      </c>
      <c r="G6511">
        <v>0.22802472164958401</v>
      </c>
      <c r="H6511">
        <v>0.124692198617326</v>
      </c>
      <c r="I6511">
        <v>0.20240345982872601</v>
      </c>
      <c r="J6511">
        <v>0.170805736777384</v>
      </c>
      <c r="K6511">
        <v>0.16720930291689301</v>
      </c>
      <c r="L6511">
        <v>4865.75300125182</v>
      </c>
      <c r="M6511">
        <v>94.198607877497807</v>
      </c>
      <c r="N6511">
        <v>51.8975603279859</v>
      </c>
      <c r="O6511">
        <v>51.630925366794202</v>
      </c>
      <c r="P6511">
        <v>-0.37468159968232401</v>
      </c>
      <c r="Q6511">
        <v>0.17853749258173099</v>
      </c>
      <c r="R6511">
        <v>0.97938362987563998</v>
      </c>
      <c r="S6511" t="s">
        <v>13514</v>
      </c>
      <c r="T6511" t="s">
        <v>14004</v>
      </c>
      <c r="U6511" t="s">
        <v>14004</v>
      </c>
      <c r="V6511" t="s">
        <v>14004</v>
      </c>
      <c r="W6511" t="s">
        <v>20456</v>
      </c>
      <c r="X6511">
        <v>6</v>
      </c>
      <c r="Y6511" t="s">
        <v>27243</v>
      </c>
      <c r="Z6511" t="s">
        <v>34221</v>
      </c>
      <c r="AA6511">
        <v>0.49817877706463543</v>
      </c>
      <c r="AB6511" t="str">
        <f>HYPERLINK("Melting_Curves/meltCurve_Q9UBM7_DHCR7.pdf", "Melting_Curves/meltCurve_Q9UBM7_DHCR7.pdf")</f>
        <v>Melting_Curves/meltCurve_Q9UBM7_DHCR7.pdf</v>
      </c>
    </row>
    <row r="6512" spans="1:28" x14ac:dyDescent="0.25">
      <c r="A6512" t="s">
        <v>6516</v>
      </c>
      <c r="B6512">
        <v>0.99999676499088797</v>
      </c>
      <c r="C6512">
        <v>0.97116536507406004</v>
      </c>
      <c r="D6512">
        <v>0.87723991291033199</v>
      </c>
      <c r="E6512">
        <v>0.51309854783506903</v>
      </c>
      <c r="F6512">
        <v>0.225234295005246</v>
      </c>
      <c r="G6512">
        <v>0.16476318109527499</v>
      </c>
      <c r="H6512">
        <v>9.5757780810795307E-2</v>
      </c>
      <c r="I6512">
        <v>8.9514057221807899E-2</v>
      </c>
      <c r="J6512">
        <v>0.10182154425847501</v>
      </c>
      <c r="K6512">
        <v>7.7100605721646898E-2</v>
      </c>
      <c r="L6512">
        <v>1179.6630659801301</v>
      </c>
      <c r="M6512">
        <v>23.897621086363301</v>
      </c>
      <c r="N6512">
        <v>49.793463599489002</v>
      </c>
      <c r="O6512">
        <v>49.021421162076301</v>
      </c>
      <c r="P6512">
        <v>-0.110506110823975</v>
      </c>
      <c r="Q6512">
        <v>9.3285223691085203E-2</v>
      </c>
      <c r="R6512">
        <v>0.99868642114135098</v>
      </c>
      <c r="S6512" t="s">
        <v>13515</v>
      </c>
      <c r="T6512" t="s">
        <v>14004</v>
      </c>
      <c r="U6512" t="s">
        <v>14004</v>
      </c>
      <c r="V6512" t="s">
        <v>14004</v>
      </c>
      <c r="W6512" t="s">
        <v>20457</v>
      </c>
      <c r="X6512">
        <v>12</v>
      </c>
      <c r="Y6512" t="s">
        <v>27244</v>
      </c>
      <c r="Z6512" t="s">
        <v>34222</v>
      </c>
      <c r="AA6512">
        <v>0.38510951862451898</v>
      </c>
      <c r="AB6512" t="str">
        <f>HYPERLINK("Melting_Curves/meltCurve_Q9UBP0_3_SPAST.pdf", "Melting_Curves/meltCurve_Q9UBP0_3_SPAST.pdf")</f>
        <v>Melting_Curves/meltCurve_Q9UBP0_3_SPAST.pdf</v>
      </c>
    </row>
    <row r="6513" spans="1:28" x14ac:dyDescent="0.25">
      <c r="A6513" t="s">
        <v>6517</v>
      </c>
      <c r="B6513">
        <v>0.99999676499088797</v>
      </c>
      <c r="C6513">
        <v>1.0154513910955101</v>
      </c>
      <c r="D6513">
        <v>0.96288778859514701</v>
      </c>
      <c r="E6513">
        <v>0.88540683368600204</v>
      </c>
      <c r="F6513">
        <v>0.79238677604252905</v>
      </c>
      <c r="G6513">
        <v>0.23580751413965401</v>
      </c>
      <c r="H6513">
        <v>8.8771246735921794E-2</v>
      </c>
      <c r="I6513">
        <v>6.7064957292083005E-2</v>
      </c>
      <c r="J6513">
        <v>6.0485663524587702E-2</v>
      </c>
      <c r="K6513">
        <v>6.5976017377871399E-2</v>
      </c>
      <c r="L6513">
        <v>2112.81777672006</v>
      </c>
      <c r="M6513">
        <v>38.582954013486997</v>
      </c>
      <c r="N6513">
        <v>54.950328709379299</v>
      </c>
      <c r="O6513">
        <v>54.613909246551202</v>
      </c>
      <c r="P6513">
        <v>-0.165591888414581</v>
      </c>
      <c r="Q6513">
        <v>6.2425487138495002E-2</v>
      </c>
      <c r="R6513">
        <v>0.99328611578034298</v>
      </c>
      <c r="S6513" t="s">
        <v>13516</v>
      </c>
      <c r="T6513" t="s">
        <v>14004</v>
      </c>
      <c r="U6513" t="s">
        <v>14004</v>
      </c>
      <c r="V6513" t="s">
        <v>14004</v>
      </c>
      <c r="W6513" t="s">
        <v>20458</v>
      </c>
      <c r="X6513">
        <v>6</v>
      </c>
      <c r="Y6513" t="s">
        <v>27245</v>
      </c>
      <c r="Z6513" t="s">
        <v>34223</v>
      </c>
      <c r="AA6513">
        <v>0.52752500361332211</v>
      </c>
      <c r="AB6513" t="str">
        <f>HYPERLINK("Melting_Curves/meltCurve_Q9UBP6_METTL1.pdf", "Melting_Curves/meltCurve_Q9UBP6_METTL1.pdf")</f>
        <v>Melting_Curves/meltCurve_Q9UBP6_METTL1.pdf</v>
      </c>
    </row>
    <row r="6514" spans="1:28" x14ac:dyDescent="0.25">
      <c r="A6514" t="s">
        <v>6518</v>
      </c>
      <c r="B6514">
        <v>0.99999676499088797</v>
      </c>
      <c r="C6514">
        <v>1.0498873730470799</v>
      </c>
      <c r="D6514">
        <v>1.06546657564599</v>
      </c>
      <c r="E6514">
        <v>1.07547115904355</v>
      </c>
      <c r="F6514">
        <v>0.87262200546468305</v>
      </c>
      <c r="G6514">
        <v>0.57466806306642804</v>
      </c>
      <c r="H6514">
        <v>0.182549997589143</v>
      </c>
      <c r="I6514">
        <v>0.113569479210678</v>
      </c>
      <c r="J6514">
        <v>9.1589379226212603E-2</v>
      </c>
      <c r="K6514">
        <v>8.1166577321926295E-2</v>
      </c>
      <c r="L6514">
        <v>1750.32862155711</v>
      </c>
      <c r="M6514">
        <v>30.7219269701835</v>
      </c>
      <c r="N6514">
        <v>57.293462301751397</v>
      </c>
      <c r="O6514">
        <v>56.733508527493797</v>
      </c>
      <c r="P6514">
        <v>-0.12469991897754</v>
      </c>
      <c r="Q6514">
        <v>7.8883062147207597E-2</v>
      </c>
      <c r="R6514">
        <v>0.991420678041537</v>
      </c>
      <c r="S6514" t="s">
        <v>13517</v>
      </c>
      <c r="T6514" t="s">
        <v>14004</v>
      </c>
      <c r="U6514" t="s">
        <v>14004</v>
      </c>
      <c r="V6514" t="s">
        <v>14004</v>
      </c>
      <c r="W6514" t="s">
        <v>20459</v>
      </c>
      <c r="X6514">
        <v>12</v>
      </c>
      <c r="Y6514" t="s">
        <v>27246</v>
      </c>
      <c r="Z6514" t="s">
        <v>34224</v>
      </c>
      <c r="AA6514">
        <v>0.60591040884780256</v>
      </c>
      <c r="AB6514" t="str">
        <f>HYPERLINK("Melting_Curves/meltCurve_Q9UBQ0_VPS29.pdf", "Melting_Curves/meltCurve_Q9UBQ0_VPS29.pdf")</f>
        <v>Melting_Curves/meltCurve_Q9UBQ0_VPS29.pdf</v>
      </c>
    </row>
    <row r="6515" spans="1:28" x14ac:dyDescent="0.25">
      <c r="A6515" t="s">
        <v>6519</v>
      </c>
      <c r="B6515">
        <v>0.99999676499088797</v>
      </c>
      <c r="C6515">
        <v>0.98007572782597496</v>
      </c>
      <c r="D6515">
        <v>1.0008855615903101</v>
      </c>
      <c r="E6515">
        <v>1.1400077676212901</v>
      </c>
      <c r="F6515">
        <v>0.701439396415244</v>
      </c>
      <c r="G6515">
        <v>0.24078081049724601</v>
      </c>
      <c r="H6515">
        <v>9.8280769459004103E-2</v>
      </c>
      <c r="I6515">
        <v>9.4838227334466396E-2</v>
      </c>
      <c r="J6515">
        <v>9.1735108738356594E-2</v>
      </c>
      <c r="K6515">
        <v>7.53808705348194E-2</v>
      </c>
      <c r="L6515">
        <v>2296.6888262391999</v>
      </c>
      <c r="M6515">
        <v>42.310017042214</v>
      </c>
      <c r="N6515">
        <v>54.544200082322298</v>
      </c>
      <c r="O6515">
        <v>54.161568842375601</v>
      </c>
      <c r="P6515">
        <v>-0.177350309178048</v>
      </c>
      <c r="Q6515">
        <v>9.1888690891679906E-2</v>
      </c>
      <c r="R6515">
        <v>0.985932166676729</v>
      </c>
      <c r="S6515" t="s">
        <v>13518</v>
      </c>
      <c r="T6515" t="s">
        <v>14004</v>
      </c>
      <c r="U6515" t="s">
        <v>14004</v>
      </c>
      <c r="V6515" t="s">
        <v>14004</v>
      </c>
      <c r="W6515" t="s">
        <v>20460</v>
      </c>
      <c r="X6515">
        <v>12</v>
      </c>
      <c r="Y6515" t="s">
        <v>27247</v>
      </c>
      <c r="Z6515" t="s">
        <v>34225</v>
      </c>
      <c r="AA6515">
        <v>0.5272603168369947</v>
      </c>
      <c r="AB6515" t="str">
        <f>HYPERLINK("Melting_Curves/meltCurve_Q9UBQ7_GRHPR.pdf", "Melting_Curves/meltCurve_Q9UBQ7_GRHPR.pdf")</f>
        <v>Melting_Curves/meltCurve_Q9UBQ7_GRHPR.pdf</v>
      </c>
    </row>
    <row r="6516" spans="1:28" x14ac:dyDescent="0.25">
      <c r="A6516" t="s">
        <v>6520</v>
      </c>
      <c r="B6516">
        <v>0.99999676499088797</v>
      </c>
      <c r="C6516">
        <v>0.83102450702929398</v>
      </c>
      <c r="D6516">
        <v>0.48271518846644801</v>
      </c>
      <c r="E6516">
        <v>0.20219134655479401</v>
      </c>
      <c r="F6516">
        <v>0.17184167602469699</v>
      </c>
      <c r="G6516">
        <v>7.6889868221289195E-2</v>
      </c>
      <c r="H6516">
        <v>2.7187271385412101E-2</v>
      </c>
      <c r="I6516">
        <v>3.8765019990655E-2</v>
      </c>
      <c r="J6516">
        <v>1.5684768675741201E-2</v>
      </c>
      <c r="K6516">
        <v>2.8394368364090102E-2</v>
      </c>
      <c r="L6516">
        <v>946.98941606437597</v>
      </c>
      <c r="M6516">
        <v>20.6333646427214</v>
      </c>
      <c r="N6516">
        <v>46.094779000208</v>
      </c>
      <c r="O6516">
        <v>45.471441574369997</v>
      </c>
      <c r="P6516">
        <v>-0.108616319803721</v>
      </c>
      <c r="Q6516">
        <v>4.2560701951257898E-2</v>
      </c>
      <c r="R6516">
        <v>0.99105364942343299</v>
      </c>
      <c r="S6516" t="s">
        <v>13519</v>
      </c>
      <c r="T6516" t="s">
        <v>14004</v>
      </c>
      <c r="U6516" t="s">
        <v>14004</v>
      </c>
      <c r="V6516" t="s">
        <v>14004</v>
      </c>
      <c r="W6516" t="s">
        <v>20461</v>
      </c>
      <c r="X6516">
        <v>5</v>
      </c>
      <c r="Y6516" t="s">
        <v>27248</v>
      </c>
      <c r="Z6516" t="s">
        <v>34226</v>
      </c>
      <c r="AA6516">
        <v>0.24461054758734899</v>
      </c>
      <c r="AB6516" t="str">
        <f>HYPERLINK("Melting_Curves/meltCurve_Q9UBS0_RPS6KB2.pdf", "Melting_Curves/meltCurve_Q9UBS0_RPS6KB2.pdf")</f>
        <v>Melting_Curves/meltCurve_Q9UBS0_RPS6KB2.pdf</v>
      </c>
    </row>
    <row r="6517" spans="1:28" x14ac:dyDescent="0.25">
      <c r="A6517" t="s">
        <v>6521</v>
      </c>
      <c r="B6517">
        <v>0.99999676499088797</v>
      </c>
      <c r="C6517">
        <v>1.0572771143828299</v>
      </c>
      <c r="D6517">
        <v>1.11273020810986</v>
      </c>
      <c r="E6517">
        <v>1.2135757326632299</v>
      </c>
      <c r="F6517">
        <v>0.96356622881937404</v>
      </c>
      <c r="G6517">
        <v>0.74264556153841299</v>
      </c>
      <c r="H6517">
        <v>0.39497220887649098</v>
      </c>
      <c r="I6517">
        <v>0.20672513591057701</v>
      </c>
      <c r="J6517">
        <v>0.16282798440978599</v>
      </c>
      <c r="K6517">
        <v>0.15986419530490101</v>
      </c>
      <c r="L6517">
        <v>1712.50658389054</v>
      </c>
      <c r="M6517">
        <v>29.183435285586999</v>
      </c>
      <c r="N6517">
        <v>59.392585165219202</v>
      </c>
      <c r="O6517">
        <v>58.4073032300536</v>
      </c>
      <c r="P6517">
        <v>-0.10648062997878199</v>
      </c>
      <c r="Q6517">
        <v>0.14757095616452401</v>
      </c>
      <c r="R6517">
        <v>0.96064073848461295</v>
      </c>
      <c r="S6517" t="s">
        <v>13520</v>
      </c>
      <c r="T6517" t="s">
        <v>14004</v>
      </c>
      <c r="U6517" t="s">
        <v>14004</v>
      </c>
      <c r="V6517" t="s">
        <v>14004</v>
      </c>
      <c r="W6517" t="s">
        <v>14671</v>
      </c>
      <c r="X6517">
        <v>17</v>
      </c>
      <c r="Y6517" t="s">
        <v>21609</v>
      </c>
      <c r="Z6517" t="s">
        <v>34227</v>
      </c>
      <c r="AA6517">
        <v>0.68413128603625917</v>
      </c>
      <c r="AB6517" t="str">
        <f>HYPERLINK("Melting_Curves/meltCurve_Q9UBS4_DNAJB11.pdf", "Melting_Curves/meltCurve_Q9UBS4_DNAJB11.pdf")</f>
        <v>Melting_Curves/meltCurve_Q9UBS4_DNAJB11.pdf</v>
      </c>
    </row>
    <row r="6518" spans="1:28" x14ac:dyDescent="0.25">
      <c r="A6518" t="s">
        <v>6522</v>
      </c>
      <c r="B6518">
        <v>0.99999676499088797</v>
      </c>
      <c r="C6518">
        <v>1.0508753985958901</v>
      </c>
      <c r="D6518">
        <v>0.981682184347341</v>
      </c>
      <c r="E6518">
        <v>0.60085538009623796</v>
      </c>
      <c r="F6518">
        <v>0.25763311252687099</v>
      </c>
      <c r="G6518">
        <v>0.17361567395688299</v>
      </c>
      <c r="H6518">
        <v>8.4323324365919203E-2</v>
      </c>
      <c r="I6518">
        <v>8.3108209892974794E-2</v>
      </c>
      <c r="J6518">
        <v>8.93131276723306E-2</v>
      </c>
      <c r="K6518">
        <v>5.5901946925498401E-2</v>
      </c>
      <c r="L6518">
        <v>1403.8644303195399</v>
      </c>
      <c r="M6518">
        <v>27.9310190503911</v>
      </c>
      <c r="N6518">
        <v>50.611574116692999</v>
      </c>
      <c r="O6518">
        <v>50.006322856138503</v>
      </c>
      <c r="P6518">
        <v>-0.12738385245884901</v>
      </c>
      <c r="Q6518">
        <v>8.7760895798772401E-2</v>
      </c>
      <c r="R6518">
        <v>0.99384936438084703</v>
      </c>
      <c r="S6518" t="s">
        <v>13521</v>
      </c>
      <c r="T6518" t="s">
        <v>14004</v>
      </c>
      <c r="U6518" t="s">
        <v>14004</v>
      </c>
      <c r="V6518" t="s">
        <v>14004</v>
      </c>
      <c r="W6518" t="s">
        <v>20462</v>
      </c>
      <c r="X6518">
        <v>8</v>
      </c>
      <c r="Y6518" t="s">
        <v>27249</v>
      </c>
      <c r="Z6518" t="s">
        <v>34228</v>
      </c>
      <c r="AA6518">
        <v>0.40634712797184341</v>
      </c>
      <c r="AB6518" t="str">
        <f>HYPERLINK("Melting_Curves/meltCurve_Q9UBS8_RNF14.pdf", "Melting_Curves/meltCurve_Q9UBS8_RNF14.pdf")</f>
        <v>Melting_Curves/meltCurve_Q9UBS8_RNF14.pdf</v>
      </c>
    </row>
    <row r="6519" spans="1:28" x14ac:dyDescent="0.25">
      <c r="A6519" t="s">
        <v>6523</v>
      </c>
      <c r="B6519">
        <v>0.99999676499088797</v>
      </c>
      <c r="C6519">
        <v>0.97139506730865399</v>
      </c>
      <c r="D6519">
        <v>1.0718952920387901</v>
      </c>
      <c r="E6519">
        <v>0.96762011303760098</v>
      </c>
      <c r="F6519">
        <v>0.63582264141896705</v>
      </c>
      <c r="G6519">
        <v>0.31054553287131498</v>
      </c>
      <c r="H6519">
        <v>0.13344176964711099</v>
      </c>
      <c r="I6519">
        <v>0.202445225539715</v>
      </c>
      <c r="J6519">
        <v>0.19017551937869501</v>
      </c>
      <c r="K6519">
        <v>0.22647718812201301</v>
      </c>
      <c r="L6519">
        <v>1925.8574080748899</v>
      </c>
      <c r="M6519">
        <v>35.944331653553803</v>
      </c>
      <c r="N6519">
        <v>54.300380959971299</v>
      </c>
      <c r="O6519">
        <v>53.413870797502</v>
      </c>
      <c r="P6519">
        <v>-0.13629379196908301</v>
      </c>
      <c r="Q6519">
        <v>0.18986339805900301</v>
      </c>
      <c r="R6519">
        <v>0.99062428677340297</v>
      </c>
      <c r="S6519" t="s">
        <v>13522</v>
      </c>
      <c r="T6519" t="s">
        <v>14004</v>
      </c>
      <c r="U6519" t="s">
        <v>14004</v>
      </c>
      <c r="V6519" t="s">
        <v>14004</v>
      </c>
      <c r="W6519" t="s">
        <v>20463</v>
      </c>
      <c r="X6519">
        <v>1</v>
      </c>
      <c r="Y6519" t="s">
        <v>27250</v>
      </c>
      <c r="Z6519" t="s">
        <v>34229</v>
      </c>
      <c r="AA6519">
        <v>0.56026383305125749</v>
      </c>
      <c r="AB6519" t="str">
        <f>HYPERLINK("Melting_Curves/meltCurve_Q9UBS9_SUCO.pdf", "Melting_Curves/meltCurve_Q9UBS9_SUCO.pdf")</f>
        <v>Melting_Curves/meltCurve_Q9UBS9_SUCO.pdf</v>
      </c>
    </row>
    <row r="6520" spans="1:28" x14ac:dyDescent="0.25">
      <c r="A6520" t="s">
        <v>6524</v>
      </c>
      <c r="B6520">
        <v>0.99999676499088797</v>
      </c>
      <c r="C6520">
        <v>0.98099489755394398</v>
      </c>
      <c r="D6520">
        <v>0.92155717609532195</v>
      </c>
      <c r="E6520">
        <v>0.76921390554327895</v>
      </c>
      <c r="F6520">
        <v>0.28927867935103102</v>
      </c>
      <c r="G6520">
        <v>0.18522356774780999</v>
      </c>
      <c r="H6520">
        <v>7.8810884055833197E-2</v>
      </c>
      <c r="I6520">
        <v>6.69486160999644E-2</v>
      </c>
      <c r="J6520">
        <v>7.1113349521884306E-2</v>
      </c>
      <c r="K6520">
        <v>5.5430451270335197E-2</v>
      </c>
      <c r="L6520">
        <v>1386.22732174002</v>
      </c>
      <c r="M6520">
        <v>27.011485632970999</v>
      </c>
      <c r="N6520">
        <v>51.606937778404401</v>
      </c>
      <c r="O6520">
        <v>51.041114155459098</v>
      </c>
      <c r="P6520">
        <v>-0.12307655336616299</v>
      </c>
      <c r="Q6520">
        <v>6.9743534712125799E-2</v>
      </c>
      <c r="R6520">
        <v>0.99546852221063598</v>
      </c>
      <c r="S6520" t="s">
        <v>13523</v>
      </c>
      <c r="T6520" t="s">
        <v>14004</v>
      </c>
      <c r="U6520" t="s">
        <v>14004</v>
      </c>
      <c r="V6520" t="s">
        <v>14004</v>
      </c>
      <c r="W6520" t="s">
        <v>20464</v>
      </c>
      <c r="X6520">
        <v>32</v>
      </c>
      <c r="Y6520" t="s">
        <v>27251</v>
      </c>
      <c r="Z6520" t="s">
        <v>34230</v>
      </c>
      <c r="AA6520">
        <v>0.42800085125898241</v>
      </c>
      <c r="AB6520" t="str">
        <f>HYPERLINK("Melting_Curves/meltCurve_Q9UBT2_UBA2.pdf", "Melting_Curves/meltCurve_Q9UBT2_UBA2.pdf")</f>
        <v>Melting_Curves/meltCurve_Q9UBT2_UBA2.pdf</v>
      </c>
    </row>
    <row r="6521" spans="1:28" x14ac:dyDescent="0.25">
      <c r="A6521" t="s">
        <v>6525</v>
      </c>
      <c r="B6521">
        <v>0.99999676499088797</v>
      </c>
      <c r="C6521">
        <v>1.13818276304618</v>
      </c>
      <c r="D6521">
        <v>1.2132697264753101</v>
      </c>
      <c r="E6521">
        <v>0.97760693441152702</v>
      </c>
      <c r="F6521">
        <v>0.77491205242907102</v>
      </c>
      <c r="G6521">
        <v>0.546244168139155</v>
      </c>
      <c r="H6521">
        <v>0.137096729465119</v>
      </c>
      <c r="I6521">
        <v>0.15154605174744601</v>
      </c>
      <c r="J6521">
        <v>6.5651488170395095E-2</v>
      </c>
      <c r="K6521">
        <v>0.112476270813357</v>
      </c>
      <c r="L6521">
        <v>1429.33177347337</v>
      </c>
      <c r="M6521">
        <v>25.370558620354799</v>
      </c>
      <c r="N6521">
        <v>56.710510760072196</v>
      </c>
      <c r="O6521">
        <v>55.991679591075702</v>
      </c>
      <c r="P6521">
        <v>-0.104589666655867</v>
      </c>
      <c r="Q6521">
        <v>7.6712957004728105E-2</v>
      </c>
      <c r="R6521">
        <v>0.95928980311357903</v>
      </c>
      <c r="S6521" t="s">
        <v>13524</v>
      </c>
      <c r="T6521" t="s">
        <v>14004</v>
      </c>
      <c r="U6521" t="s">
        <v>14004</v>
      </c>
      <c r="V6521" t="s">
        <v>14004</v>
      </c>
      <c r="W6521" t="s">
        <v>20465</v>
      </c>
      <c r="X6521">
        <v>1</v>
      </c>
      <c r="Y6521" t="s">
        <v>27252</v>
      </c>
      <c r="Z6521" t="s">
        <v>34231</v>
      </c>
      <c r="AA6521">
        <v>0.5877748831484737</v>
      </c>
      <c r="AB6521" t="str">
        <f>HYPERLINK("Melting_Curves/meltCurve_Q9UBU6_FAM8A1.pdf", "Melting_Curves/meltCurve_Q9UBU6_FAM8A1.pdf")</f>
        <v>Melting_Curves/meltCurve_Q9UBU6_FAM8A1.pdf</v>
      </c>
    </row>
    <row r="6522" spans="1:28" x14ac:dyDescent="0.25">
      <c r="A6522" t="s">
        <v>6526</v>
      </c>
      <c r="B6522">
        <v>0.99999676499088797</v>
      </c>
      <c r="C6522">
        <v>0.88572216954499705</v>
      </c>
      <c r="D6522">
        <v>0.75911010039097304</v>
      </c>
      <c r="E6522">
        <v>0.46224856443516099</v>
      </c>
      <c r="F6522">
        <v>0.40599836016968699</v>
      </c>
      <c r="G6522">
        <v>0.18897071485341799</v>
      </c>
      <c r="H6522">
        <v>0.102596133460139</v>
      </c>
      <c r="I6522">
        <v>0.107795257402654</v>
      </c>
      <c r="J6522">
        <v>0.101049406892587</v>
      </c>
      <c r="K6522">
        <v>7.00680305973026E-2</v>
      </c>
      <c r="L6522">
        <v>647.02668148931298</v>
      </c>
      <c r="M6522">
        <v>13.060004764906999</v>
      </c>
      <c r="N6522">
        <v>49.994813925979997</v>
      </c>
      <c r="O6522">
        <v>48.424208605843802</v>
      </c>
      <c r="P6522">
        <v>-6.3679830294781498E-2</v>
      </c>
      <c r="Q6522">
        <v>5.5709186877421497E-2</v>
      </c>
      <c r="R6522">
        <v>0.98862193636330098</v>
      </c>
      <c r="S6522" t="s">
        <v>13525</v>
      </c>
      <c r="T6522" t="s">
        <v>14004</v>
      </c>
      <c r="U6522" t="s">
        <v>14004</v>
      </c>
      <c r="V6522" t="s">
        <v>14004</v>
      </c>
      <c r="W6522" t="s">
        <v>20466</v>
      </c>
      <c r="X6522">
        <v>14</v>
      </c>
      <c r="Y6522" t="s">
        <v>27253</v>
      </c>
      <c r="Z6522" t="s">
        <v>34232</v>
      </c>
      <c r="AA6522">
        <v>0.38526004316812418</v>
      </c>
      <c r="AB6522" t="str">
        <f>HYPERLINK("Melting_Curves/meltCurve_Q9UBU9_NXF1.pdf", "Melting_Curves/meltCurve_Q9UBU9_NXF1.pdf")</f>
        <v>Melting_Curves/meltCurve_Q9UBU9_NXF1.pdf</v>
      </c>
    </row>
    <row r="6523" spans="1:28" x14ac:dyDescent="0.25">
      <c r="A6523" t="s">
        <v>6527</v>
      </c>
      <c r="B6523">
        <v>0.99999676499088797</v>
      </c>
      <c r="C6523">
        <v>0.985553980147303</v>
      </c>
      <c r="D6523">
        <v>0.97645739451304603</v>
      </c>
      <c r="E6523">
        <v>0.90989435666812601</v>
      </c>
      <c r="F6523">
        <v>0.64484493412701105</v>
      </c>
      <c r="G6523">
        <v>0.42776551020026399</v>
      </c>
      <c r="H6523">
        <v>0.18374140775492501</v>
      </c>
      <c r="I6523">
        <v>0.165366869078345</v>
      </c>
      <c r="J6523">
        <v>0.13051687265693299</v>
      </c>
      <c r="K6523">
        <v>0.111239253171171</v>
      </c>
      <c r="L6523">
        <v>1053.8286934851201</v>
      </c>
      <c r="M6523">
        <v>19.261655782071202</v>
      </c>
      <c r="N6523">
        <v>55.3580786582421</v>
      </c>
      <c r="O6523">
        <v>54.131744062180204</v>
      </c>
      <c r="P6523">
        <v>-7.99962535174394E-2</v>
      </c>
      <c r="Q6523">
        <v>0.100768226844936</v>
      </c>
      <c r="R6523">
        <v>0.99769419078938604</v>
      </c>
      <c r="S6523" t="s">
        <v>13526</v>
      </c>
      <c r="T6523" t="s">
        <v>14004</v>
      </c>
      <c r="U6523" t="s">
        <v>14004</v>
      </c>
      <c r="V6523" t="s">
        <v>14004</v>
      </c>
      <c r="W6523" t="s">
        <v>20467</v>
      </c>
      <c r="X6523">
        <v>14</v>
      </c>
      <c r="Y6523" t="s">
        <v>27254</v>
      </c>
      <c r="Z6523" t="s">
        <v>34233</v>
      </c>
      <c r="AA6523">
        <v>0.55448909839070637</v>
      </c>
      <c r="AB6523" t="str">
        <f>HYPERLINK("Melting_Curves/meltCurve_Q9UBV2_SEL1L.pdf", "Melting_Curves/meltCurve_Q9UBV2_SEL1L.pdf")</f>
        <v>Melting_Curves/meltCurve_Q9UBV2_SEL1L.pdf</v>
      </c>
    </row>
    <row r="6524" spans="1:28" x14ac:dyDescent="0.25">
      <c r="A6524" t="s">
        <v>6528</v>
      </c>
      <c r="B6524">
        <v>0.99999676499088797</v>
      </c>
      <c r="C6524">
        <v>1.0263911153791101</v>
      </c>
      <c r="D6524">
        <v>0.97602316881122597</v>
      </c>
      <c r="E6524">
        <v>1.1937970829062601</v>
      </c>
      <c r="F6524">
        <v>0.65338791107035898</v>
      </c>
      <c r="G6524">
        <v>0.390421933467058</v>
      </c>
      <c r="H6524">
        <v>0.147539382085348</v>
      </c>
      <c r="I6524">
        <v>0.22068501153945</v>
      </c>
      <c r="J6524">
        <v>0.22680317391253699</v>
      </c>
      <c r="K6524">
        <v>0.15998686718296301</v>
      </c>
      <c r="L6524">
        <v>2025.7940883208601</v>
      </c>
      <c r="M6524">
        <v>37.445016635857499</v>
      </c>
      <c r="N6524">
        <v>54.835743097911298</v>
      </c>
      <c r="O6524">
        <v>53.9469012096028</v>
      </c>
      <c r="P6524">
        <v>-0.13928009297548</v>
      </c>
      <c r="Q6524">
        <v>0.19736099524547901</v>
      </c>
      <c r="R6524">
        <v>0.95731886267559496</v>
      </c>
      <c r="S6524" t="s">
        <v>13527</v>
      </c>
      <c r="T6524" t="s">
        <v>14004</v>
      </c>
      <c r="U6524" t="s">
        <v>14004</v>
      </c>
      <c r="V6524" t="s">
        <v>14004</v>
      </c>
      <c r="W6524" t="s">
        <v>20468</v>
      </c>
      <c r="X6524">
        <v>2</v>
      </c>
      <c r="Y6524" t="s">
        <v>27255</v>
      </c>
      <c r="Z6524" t="s">
        <v>34234</v>
      </c>
      <c r="AA6524">
        <v>0.57803102965311892</v>
      </c>
      <c r="AB6524" t="str">
        <f>HYPERLINK("Melting_Curves/meltCurve_Q9UBV7_B4GALT7.pdf", "Melting_Curves/meltCurve_Q9UBV7_B4GALT7.pdf")</f>
        <v>Melting_Curves/meltCurve_Q9UBV7_B4GALT7.pdf</v>
      </c>
    </row>
    <row r="6525" spans="1:28" x14ac:dyDescent="0.25">
      <c r="A6525" t="s">
        <v>6529</v>
      </c>
      <c r="B6525">
        <v>0.99999676499088797</v>
      </c>
      <c r="C6525">
        <v>1.0168195870166099</v>
      </c>
      <c r="D6525">
        <v>1.00235566818267</v>
      </c>
      <c r="E6525">
        <v>0.89917455411104497</v>
      </c>
      <c r="F6525">
        <v>0.33861739538713598</v>
      </c>
      <c r="G6525">
        <v>0.17967930499422499</v>
      </c>
      <c r="H6525">
        <v>0.108154305538522</v>
      </c>
      <c r="I6525">
        <v>0.120185247377047</v>
      </c>
      <c r="J6525">
        <v>0.11803641021905199</v>
      </c>
      <c r="K6525">
        <v>0.13069577631065901</v>
      </c>
      <c r="L6525">
        <v>2254.2976498294302</v>
      </c>
      <c r="M6525">
        <v>43.467642096703699</v>
      </c>
      <c r="N6525">
        <v>52.210480507925602</v>
      </c>
      <c r="O6525">
        <v>51.752106542988003</v>
      </c>
      <c r="P6525">
        <v>-0.18350872009466099</v>
      </c>
      <c r="Q6525">
        <v>0.126067294864359</v>
      </c>
      <c r="R6525">
        <v>0.99874603770078296</v>
      </c>
      <c r="S6525" t="s">
        <v>13528</v>
      </c>
      <c r="T6525" t="s">
        <v>14004</v>
      </c>
      <c r="U6525" t="s">
        <v>14004</v>
      </c>
      <c r="V6525" t="s">
        <v>14004</v>
      </c>
      <c r="W6525" t="s">
        <v>20469</v>
      </c>
      <c r="X6525">
        <v>4</v>
      </c>
      <c r="Y6525" t="s">
        <v>27256</v>
      </c>
      <c r="Z6525" t="s">
        <v>34235</v>
      </c>
      <c r="AA6525">
        <v>0.47425538283109198</v>
      </c>
      <c r="AB6525" t="str">
        <f>HYPERLINK("Melting_Curves/meltCurve_Q9UBV8_PEF1.pdf", "Melting_Curves/meltCurve_Q9UBV8_PEF1.pdf")</f>
        <v>Melting_Curves/meltCurve_Q9UBV8_PEF1.pdf</v>
      </c>
    </row>
    <row r="6526" spans="1:28" x14ac:dyDescent="0.25">
      <c r="A6526" t="s">
        <v>6530</v>
      </c>
      <c r="B6526">
        <v>0.99999676499088797</v>
      </c>
      <c r="C6526">
        <v>0.93458720790374805</v>
      </c>
      <c r="D6526">
        <v>0.89802597931250505</v>
      </c>
      <c r="E6526">
        <v>0.78118833923638398</v>
      </c>
      <c r="F6526">
        <v>0.302028438728147</v>
      </c>
      <c r="G6526">
        <v>0.21450066365578499</v>
      </c>
      <c r="H6526">
        <v>0.11966490904793101</v>
      </c>
      <c r="I6526">
        <v>9.9124280536028606E-2</v>
      </c>
      <c r="J6526">
        <v>9.4410590439056696E-2</v>
      </c>
      <c r="K6526">
        <v>0.110225542147828</v>
      </c>
      <c r="L6526">
        <v>1359.3158447927201</v>
      </c>
      <c r="M6526">
        <v>26.535032263214099</v>
      </c>
      <c r="N6526">
        <v>51.6900248257258</v>
      </c>
      <c r="O6526">
        <v>50.938923455058998</v>
      </c>
      <c r="P6526">
        <v>-0.11646118263503</v>
      </c>
      <c r="Q6526">
        <v>0.105734001725834</v>
      </c>
      <c r="R6526">
        <v>0.98997140718866095</v>
      </c>
      <c r="S6526" t="s">
        <v>13529</v>
      </c>
      <c r="T6526" t="s">
        <v>14004</v>
      </c>
      <c r="U6526" t="s">
        <v>14004</v>
      </c>
      <c r="V6526" t="s">
        <v>14004</v>
      </c>
      <c r="W6526" t="s">
        <v>20470</v>
      </c>
      <c r="X6526">
        <v>12</v>
      </c>
      <c r="Y6526" t="s">
        <v>27257</v>
      </c>
      <c r="Z6526" t="s">
        <v>34236</v>
      </c>
      <c r="AA6526">
        <v>0.4476076323969862</v>
      </c>
      <c r="AB6526" t="str">
        <f>HYPERLINK("Melting_Curves/meltCurve_Q9UBW5_BIN2.pdf", "Melting_Curves/meltCurve_Q9UBW5_BIN2.pdf")</f>
        <v>Melting_Curves/meltCurve_Q9UBW5_BIN2.pdf</v>
      </c>
    </row>
    <row r="6527" spans="1:28" x14ac:dyDescent="0.25">
      <c r="A6527" t="s">
        <v>6531</v>
      </c>
      <c r="B6527">
        <v>0.99999676499088797</v>
      </c>
      <c r="C6527">
        <v>1.1434555037551</v>
      </c>
      <c r="D6527">
        <v>0.64276011231088803</v>
      </c>
      <c r="E6527">
        <v>0.29859910255605598</v>
      </c>
      <c r="F6527">
        <v>0.28002203153578098</v>
      </c>
      <c r="G6527">
        <v>0.235113072820788</v>
      </c>
      <c r="H6527">
        <v>0.24406969405617801</v>
      </c>
      <c r="I6527">
        <v>0.27833299714073301</v>
      </c>
      <c r="J6527">
        <v>0.44598583259700397</v>
      </c>
      <c r="K6527">
        <v>0.41180872402729302</v>
      </c>
      <c r="L6527">
        <v>11496.259613275701</v>
      </c>
      <c r="M6527">
        <v>250</v>
      </c>
      <c r="N6527">
        <v>46.167063318636302</v>
      </c>
      <c r="O6527">
        <v>45.982095730805398</v>
      </c>
      <c r="P6527">
        <v>-0.93321815292916499</v>
      </c>
      <c r="Q6527">
        <v>0.31341877789957401</v>
      </c>
      <c r="R6527">
        <v>0.93668483188951701</v>
      </c>
      <c r="S6527" t="s">
        <v>13530</v>
      </c>
      <c r="T6527" t="s">
        <v>14004</v>
      </c>
      <c r="U6527" t="s">
        <v>14004</v>
      </c>
      <c r="V6527" t="s">
        <v>14004</v>
      </c>
      <c r="W6527" t="s">
        <v>20471</v>
      </c>
      <c r="X6527">
        <v>5</v>
      </c>
      <c r="Y6527" t="s">
        <v>27258</v>
      </c>
      <c r="Z6527" t="s">
        <v>34237</v>
      </c>
      <c r="AA6527">
        <v>0.45044802093065373</v>
      </c>
      <c r="AB6527" t="str">
        <f>HYPERLINK("Melting_Curves/meltCurve_Q9UBW7_ZMYM2.pdf", "Melting_Curves/meltCurve_Q9UBW7_ZMYM2.pdf")</f>
        <v>Melting_Curves/meltCurve_Q9UBW7_ZMYM2.pdf</v>
      </c>
    </row>
    <row r="6528" spans="1:28" x14ac:dyDescent="0.25">
      <c r="A6528" t="s">
        <v>6532</v>
      </c>
      <c r="B6528">
        <v>0.99999676499088797</v>
      </c>
      <c r="C6528">
        <v>1.0301675899402201</v>
      </c>
      <c r="D6528">
        <v>1.0840984476140401</v>
      </c>
      <c r="E6528">
        <v>1.14790176330653</v>
      </c>
      <c r="F6528">
        <v>0.69703657500287897</v>
      </c>
      <c r="G6528">
        <v>0.31890105148536602</v>
      </c>
      <c r="H6528">
        <v>0.15116031381234701</v>
      </c>
      <c r="I6528">
        <v>0.101083393981824</v>
      </c>
      <c r="J6528">
        <v>8.4586094739567894E-2</v>
      </c>
      <c r="K6528">
        <v>7.2794118573682801E-2</v>
      </c>
      <c r="L6528">
        <v>1875.3991362789</v>
      </c>
      <c r="M6528">
        <v>34.299734567107699</v>
      </c>
      <c r="N6528">
        <v>55.019358529898199</v>
      </c>
      <c r="O6528">
        <v>54.491928268762003</v>
      </c>
      <c r="P6528">
        <v>-0.14223153178624801</v>
      </c>
      <c r="Q6528">
        <v>9.6151508184469894E-2</v>
      </c>
      <c r="R6528">
        <v>0.97778936520412796</v>
      </c>
      <c r="S6528" t="s">
        <v>13531</v>
      </c>
      <c r="T6528" t="s">
        <v>14004</v>
      </c>
      <c r="U6528" t="s">
        <v>14004</v>
      </c>
      <c r="V6528" t="s">
        <v>14004</v>
      </c>
      <c r="W6528" t="s">
        <v>20472</v>
      </c>
      <c r="X6528">
        <v>8</v>
      </c>
      <c r="Y6528" t="s">
        <v>27259</v>
      </c>
      <c r="Z6528" t="s">
        <v>34238</v>
      </c>
      <c r="AA6528">
        <v>0.5429531903947018</v>
      </c>
      <c r="AB6528" t="str">
        <f>HYPERLINK("Melting_Curves/meltCurve_Q9UBW8_COPS7A.pdf", "Melting_Curves/meltCurve_Q9UBW8_COPS7A.pdf")</f>
        <v>Melting_Curves/meltCurve_Q9UBW8_COPS7A.pdf</v>
      </c>
    </row>
    <row r="6529" spans="1:28" x14ac:dyDescent="0.25">
      <c r="A6529" t="s">
        <v>6533</v>
      </c>
      <c r="B6529">
        <v>0.99999676499088797</v>
      </c>
      <c r="C6529">
        <v>1.16425386070717</v>
      </c>
      <c r="D6529">
        <v>0.97631877217475704</v>
      </c>
      <c r="E6529">
        <v>0.73983629544092999</v>
      </c>
      <c r="F6529">
        <v>0.53283542310440002</v>
      </c>
      <c r="G6529">
        <v>0.60845987009017999</v>
      </c>
      <c r="H6529">
        <v>0.30056417175640698</v>
      </c>
      <c r="I6529">
        <v>0.29753258457197101</v>
      </c>
      <c r="J6529">
        <v>0.16757233662881599</v>
      </c>
      <c r="K6529">
        <v>0.17344282393937199</v>
      </c>
      <c r="L6529">
        <v>656.16136144581003</v>
      </c>
      <c r="M6529">
        <v>11.937019071838</v>
      </c>
      <c r="N6529">
        <v>56.229167159000703</v>
      </c>
      <c r="O6529">
        <v>53.494068056698701</v>
      </c>
      <c r="P6529">
        <v>-4.92496528245615E-2</v>
      </c>
      <c r="Q6529">
        <v>0.117395697075956</v>
      </c>
      <c r="R6529">
        <v>0.93259342540005896</v>
      </c>
      <c r="S6529" t="s">
        <v>13532</v>
      </c>
      <c r="T6529" t="s">
        <v>14004</v>
      </c>
      <c r="U6529" t="s">
        <v>14004</v>
      </c>
      <c r="V6529" t="s">
        <v>14004</v>
      </c>
      <c r="W6529" t="s">
        <v>14172</v>
      </c>
      <c r="X6529">
        <v>11</v>
      </c>
      <c r="Y6529" t="s">
        <v>21107</v>
      </c>
      <c r="Z6529" t="s">
        <v>34239</v>
      </c>
      <c r="AA6529">
        <v>0.57862742421173163</v>
      </c>
      <c r="AB6529" t="str">
        <f>HYPERLINK("Melting_Curves/meltCurve_Q9UBX3_SLC25A10.pdf", "Melting_Curves/meltCurve_Q9UBX3_SLC25A10.pdf")</f>
        <v>Melting_Curves/meltCurve_Q9UBX3_SLC25A10.pdf</v>
      </c>
    </row>
    <row r="6530" spans="1:28" x14ac:dyDescent="0.25">
      <c r="A6530" t="s">
        <v>6534</v>
      </c>
      <c r="B6530">
        <v>0.99999676499088797</v>
      </c>
      <c r="C6530">
        <v>1.0408973800046899</v>
      </c>
      <c r="D6530">
        <v>0.98424370803178296</v>
      </c>
      <c r="E6530">
        <v>1.0690751677560599</v>
      </c>
      <c r="F6530">
        <v>0.38667825897040697</v>
      </c>
      <c r="G6530">
        <v>0.22166819183577599</v>
      </c>
      <c r="H6530">
        <v>0.132792503440432</v>
      </c>
      <c r="I6530">
        <v>0.114017394210244</v>
      </c>
      <c r="J6530">
        <v>0.118976261050251</v>
      </c>
      <c r="K6530">
        <v>0.11266860453404599</v>
      </c>
      <c r="L6530">
        <v>10350.717298863099</v>
      </c>
      <c r="M6530">
        <v>195.473250112447</v>
      </c>
      <c r="N6530">
        <v>53.041248232201603</v>
      </c>
      <c r="O6530">
        <v>52.946531445306299</v>
      </c>
      <c r="P6530">
        <v>-0.79373580864982196</v>
      </c>
      <c r="Q6530">
        <v>0.140024092983562</v>
      </c>
      <c r="R6530">
        <v>0.99135358214212999</v>
      </c>
      <c r="S6530" t="s">
        <v>13533</v>
      </c>
      <c r="T6530" t="s">
        <v>14004</v>
      </c>
      <c r="U6530" t="s">
        <v>14004</v>
      </c>
      <c r="V6530" t="s">
        <v>14004</v>
      </c>
      <c r="W6530" t="s">
        <v>20473</v>
      </c>
      <c r="X6530">
        <v>15</v>
      </c>
      <c r="Y6530" t="s">
        <v>27260</v>
      </c>
      <c r="Z6530" t="s">
        <v>34240</v>
      </c>
      <c r="AA6530">
        <v>0.51143770241495756</v>
      </c>
      <c r="AB6530" t="str">
        <f>HYPERLINK("Melting_Curves/meltCurve_Q9UDR5_AASS.pdf", "Melting_Curves/meltCurve_Q9UDR5_AASS.pdf")</f>
        <v>Melting_Curves/meltCurve_Q9UDR5_AASS.pdf</v>
      </c>
    </row>
    <row r="6531" spans="1:28" x14ac:dyDescent="0.25">
      <c r="A6531" t="s">
        <v>6535</v>
      </c>
      <c r="B6531">
        <v>0.99999676499088797</v>
      </c>
      <c r="C6531">
        <v>0.95155179227903597</v>
      </c>
      <c r="D6531">
        <v>0.72030794465085202</v>
      </c>
      <c r="E6531">
        <v>0.328111050201154</v>
      </c>
      <c r="F6531">
        <v>0.194793309962529</v>
      </c>
      <c r="G6531">
        <v>0.13401196152195499</v>
      </c>
      <c r="H6531">
        <v>7.76934076867455E-2</v>
      </c>
      <c r="I6531">
        <v>0.105665080548674</v>
      </c>
      <c r="J6531">
        <v>0.122092515714851</v>
      </c>
      <c r="K6531">
        <v>0.108475943020997</v>
      </c>
      <c r="L6531">
        <v>1168.6506145644601</v>
      </c>
      <c r="M6531">
        <v>24.6140890144374</v>
      </c>
      <c r="N6531">
        <v>47.9563653224943</v>
      </c>
      <c r="O6531">
        <v>47.168882377348403</v>
      </c>
      <c r="P6531">
        <v>-0.116282645654384</v>
      </c>
      <c r="Q6531">
        <v>0.108666204528062</v>
      </c>
      <c r="R6531">
        <v>0.99789927949671198</v>
      </c>
      <c r="S6531" t="s">
        <v>13534</v>
      </c>
      <c r="T6531" t="s">
        <v>14004</v>
      </c>
      <c r="U6531" t="s">
        <v>14004</v>
      </c>
      <c r="V6531" t="s">
        <v>14004</v>
      </c>
      <c r="W6531" t="s">
        <v>20474</v>
      </c>
      <c r="X6531">
        <v>12</v>
      </c>
      <c r="Y6531" t="s">
        <v>27261</v>
      </c>
      <c r="Z6531" t="s">
        <v>34241</v>
      </c>
      <c r="AA6531">
        <v>0.33904696714452348</v>
      </c>
      <c r="AB6531" t="str">
        <f>HYPERLINK("Melting_Curves/meltCurve_Q9UDT6_2_CLIP2.pdf", "Melting_Curves/meltCurve_Q9UDT6_2_CLIP2.pdf")</f>
        <v>Melting_Curves/meltCurve_Q9UDT6_2_CLIP2.pdf</v>
      </c>
    </row>
    <row r="6532" spans="1:28" x14ac:dyDescent="0.25">
      <c r="A6532" t="s">
        <v>6536</v>
      </c>
      <c r="B6532">
        <v>0.99999676499088797</v>
      </c>
      <c r="C6532">
        <v>0.67380426634778601</v>
      </c>
      <c r="D6532">
        <v>0.91895842428917496</v>
      </c>
      <c r="E6532">
        <v>0.89913149044624097</v>
      </c>
      <c r="F6532">
        <v>0.68513884206762399</v>
      </c>
      <c r="G6532">
        <v>0.667458454941806</v>
      </c>
      <c r="H6532">
        <v>0.34593803589312999</v>
      </c>
      <c r="I6532">
        <v>0.214031986132275</v>
      </c>
      <c r="J6532">
        <v>0.17466114906698901</v>
      </c>
      <c r="K6532">
        <v>0.19674620866144699</v>
      </c>
      <c r="L6532">
        <v>567.81604788964398</v>
      </c>
      <c r="M6532">
        <v>9.7995976452132396</v>
      </c>
      <c r="N6532">
        <v>57.942791838191603</v>
      </c>
      <c r="O6532">
        <v>55.684518555452698</v>
      </c>
      <c r="P6532">
        <v>-4.4019181216873302E-2</v>
      </c>
      <c r="Q6532">
        <v>0</v>
      </c>
      <c r="R6532">
        <v>0.875524558602221</v>
      </c>
      <c r="S6532" t="s">
        <v>13535</v>
      </c>
      <c r="T6532" t="s">
        <v>14004</v>
      </c>
      <c r="U6532" t="s">
        <v>14004</v>
      </c>
      <c r="V6532" t="s">
        <v>14004</v>
      </c>
      <c r="W6532" t="s">
        <v>20475</v>
      </c>
      <c r="X6532">
        <v>2</v>
      </c>
      <c r="Y6532" t="s">
        <v>27262</v>
      </c>
      <c r="Z6532" t="s">
        <v>34242</v>
      </c>
      <c r="AA6532">
        <v>0.60793037400983074</v>
      </c>
      <c r="AB6532" t="str">
        <f>HYPERLINK("Melting_Curves/meltCurve_Q9UDW1_UQCR10.pdf", "Melting_Curves/meltCurve_Q9UDW1_UQCR10.pdf")</f>
        <v>Melting_Curves/meltCurve_Q9UDW1_UQCR10.pdf</v>
      </c>
    </row>
    <row r="6533" spans="1:28" x14ac:dyDescent="0.25">
      <c r="A6533" t="s">
        <v>6537</v>
      </c>
      <c r="B6533">
        <v>0.99999676499088797</v>
      </c>
      <c r="C6533">
        <v>1.0980815024477499</v>
      </c>
      <c r="D6533">
        <v>1.0826648686326901</v>
      </c>
      <c r="E6533">
        <v>0.91047038126879198</v>
      </c>
      <c r="F6533">
        <v>0.84912208731859695</v>
      </c>
      <c r="G6533">
        <v>0.94311166537216695</v>
      </c>
      <c r="H6533">
        <v>0.75019736270688897</v>
      </c>
      <c r="I6533">
        <v>0.71469928636383195</v>
      </c>
      <c r="J6533">
        <v>0.51811469957753498</v>
      </c>
      <c r="K6533">
        <v>0.54693280022569002</v>
      </c>
      <c r="L6533">
        <v>664.67795847452805</v>
      </c>
      <c r="M6533">
        <v>10.172751891975601</v>
      </c>
      <c r="O6533">
        <v>62.965012050694298</v>
      </c>
      <c r="P6533">
        <v>-2.95179918728386E-2</v>
      </c>
      <c r="Q6533">
        <v>0.26951744293588997</v>
      </c>
      <c r="R6533">
        <v>0.88678361576289599</v>
      </c>
      <c r="S6533" t="s">
        <v>13536</v>
      </c>
      <c r="T6533" t="s">
        <v>14004</v>
      </c>
      <c r="U6533" t="s">
        <v>14004</v>
      </c>
      <c r="V6533" t="s">
        <v>14004</v>
      </c>
      <c r="W6533" t="s">
        <v>20476</v>
      </c>
      <c r="X6533">
        <v>8</v>
      </c>
      <c r="Y6533" t="s">
        <v>27263</v>
      </c>
      <c r="Z6533" t="s">
        <v>34243</v>
      </c>
      <c r="AA6533">
        <v>0.84469109754253557</v>
      </c>
      <c r="AB6533" t="str">
        <f>HYPERLINK("Melting_Curves/meltCurve_Q9UDX5_MTFP1.pdf", "Melting_Curves/meltCurve_Q9UDX5_MTFP1.pdf")</f>
        <v>Melting_Curves/meltCurve_Q9UDX5_MTFP1.pdf</v>
      </c>
    </row>
    <row r="6534" spans="1:28" x14ac:dyDescent="0.25">
      <c r="A6534" t="s">
        <v>6538</v>
      </c>
      <c r="B6534">
        <v>0.99999676499088797</v>
      </c>
      <c r="C6534">
        <v>0.93127990502803504</v>
      </c>
      <c r="D6534">
        <v>0.70639457182099497</v>
      </c>
      <c r="E6534">
        <v>0.33115908612484402</v>
      </c>
      <c r="F6534">
        <v>0.28944577598461102</v>
      </c>
      <c r="G6534">
        <v>0.172305450159037</v>
      </c>
      <c r="H6534">
        <v>9.3729065060587896E-2</v>
      </c>
      <c r="I6534">
        <v>9.6049601523923805E-2</v>
      </c>
      <c r="J6534">
        <v>8.2918188373300103E-2</v>
      </c>
      <c r="K6534">
        <v>8.7986148703564096E-2</v>
      </c>
      <c r="L6534">
        <v>900.70611975566806</v>
      </c>
      <c r="M6534">
        <v>18.878435522084299</v>
      </c>
      <c r="N6534">
        <v>48.272746164192903</v>
      </c>
      <c r="O6534">
        <v>47.185169043633501</v>
      </c>
      <c r="P6534">
        <v>-9.0160625655912E-2</v>
      </c>
      <c r="Q6534">
        <v>9.8639205231833296E-2</v>
      </c>
      <c r="R6534">
        <v>0.98861697924111902</v>
      </c>
      <c r="S6534" t="s">
        <v>13537</v>
      </c>
      <c r="T6534" t="s">
        <v>14004</v>
      </c>
      <c r="U6534" t="s">
        <v>14004</v>
      </c>
      <c r="V6534" t="s">
        <v>14004</v>
      </c>
      <c r="W6534" t="s">
        <v>20477</v>
      </c>
      <c r="X6534">
        <v>6</v>
      </c>
      <c r="Y6534" t="s">
        <v>27264</v>
      </c>
      <c r="Z6534" t="s">
        <v>34244</v>
      </c>
      <c r="AA6534">
        <v>0.34490433039977642</v>
      </c>
      <c r="AB6534" t="str">
        <f>HYPERLINK("Melting_Curves/meltCurve_Q9UDY2_6_TJP2.pdf", "Melting_Curves/meltCurve_Q9UDY2_6_TJP2.pdf")</f>
        <v>Melting_Curves/meltCurve_Q9UDY2_6_TJP2.pdf</v>
      </c>
    </row>
    <row r="6535" spans="1:28" x14ac:dyDescent="0.25">
      <c r="A6535" t="s">
        <v>6539</v>
      </c>
      <c r="B6535">
        <v>0.99999676499088797</v>
      </c>
      <c r="C6535">
        <v>0.89485960432746203</v>
      </c>
      <c r="D6535">
        <v>0.67376855448122297</v>
      </c>
      <c r="E6535">
        <v>0.25331547292649897</v>
      </c>
      <c r="F6535">
        <v>0.22977043946683701</v>
      </c>
      <c r="G6535">
        <v>0.13205008284960601</v>
      </c>
      <c r="H6535">
        <v>8.4843820719239002E-2</v>
      </c>
      <c r="I6535">
        <v>5.5615785878527502E-2</v>
      </c>
      <c r="J6535">
        <v>5.5606708725708602E-2</v>
      </c>
      <c r="K6535">
        <v>4.2966024640146601E-2</v>
      </c>
      <c r="L6535">
        <v>980.59848758246801</v>
      </c>
      <c r="M6535">
        <v>20.800914430318699</v>
      </c>
      <c r="N6535">
        <v>47.498990794370997</v>
      </c>
      <c r="O6535">
        <v>46.712866814212397</v>
      </c>
      <c r="P6535">
        <v>-0.103272179526116</v>
      </c>
      <c r="Q6535">
        <v>7.2347488327417095E-2</v>
      </c>
      <c r="R6535">
        <v>0.98881840516866104</v>
      </c>
      <c r="S6535" t="s">
        <v>13538</v>
      </c>
      <c r="T6535" t="s">
        <v>14004</v>
      </c>
      <c r="U6535" t="s">
        <v>14004</v>
      </c>
      <c r="V6535" t="s">
        <v>14004</v>
      </c>
      <c r="W6535" t="s">
        <v>20478</v>
      </c>
      <c r="X6535">
        <v>5</v>
      </c>
      <c r="Y6535" t="s">
        <v>27265</v>
      </c>
      <c r="Z6535" t="s">
        <v>34245</v>
      </c>
      <c r="AA6535">
        <v>0.30558105968385751</v>
      </c>
      <c r="AB6535" t="str">
        <f>HYPERLINK("Melting_Curves/meltCurve_Q9UDY8_2_MALT1.pdf", "Melting_Curves/meltCurve_Q9UDY8_2_MALT1.pdf")</f>
        <v>Melting_Curves/meltCurve_Q9UDY8_2_MALT1.pdf</v>
      </c>
    </row>
    <row r="6536" spans="1:28" x14ac:dyDescent="0.25">
      <c r="A6536" t="s">
        <v>6540</v>
      </c>
      <c r="B6536">
        <v>0.99999676499088797</v>
      </c>
      <c r="C6536">
        <v>1.02771741025581</v>
      </c>
      <c r="D6536">
        <v>0.81695392340119299</v>
      </c>
      <c r="E6536">
        <v>0.43603599669225901</v>
      </c>
      <c r="F6536">
        <v>0.25938845415304601</v>
      </c>
      <c r="G6536">
        <v>0.13834186911809701</v>
      </c>
      <c r="H6536">
        <v>0.13942966650208899</v>
      </c>
      <c r="I6536">
        <v>6.4714380115568598E-2</v>
      </c>
      <c r="J6536">
        <v>6.18357556687796E-2</v>
      </c>
      <c r="K6536">
        <v>6.5380668586347501E-2</v>
      </c>
      <c r="L6536">
        <v>1073.1604228998101</v>
      </c>
      <c r="M6536">
        <v>21.943183271189199</v>
      </c>
      <c r="N6536">
        <v>49.3238116215989</v>
      </c>
      <c r="O6536">
        <v>48.505594571655998</v>
      </c>
      <c r="P6536">
        <v>-0.10351340667046301</v>
      </c>
      <c r="Q6536">
        <v>8.4751823034830795E-2</v>
      </c>
      <c r="R6536">
        <v>0.99198595787452903</v>
      </c>
      <c r="S6536" t="s">
        <v>13539</v>
      </c>
      <c r="T6536" t="s">
        <v>14004</v>
      </c>
      <c r="U6536" t="s">
        <v>14004</v>
      </c>
      <c r="V6536" t="s">
        <v>14004</v>
      </c>
      <c r="W6536" t="s">
        <v>20479</v>
      </c>
      <c r="X6536">
        <v>4</v>
      </c>
      <c r="Y6536" t="s">
        <v>27266</v>
      </c>
      <c r="Z6536" t="s">
        <v>34246</v>
      </c>
      <c r="AA6536">
        <v>0.36707810277939468</v>
      </c>
      <c r="AB6536" t="str">
        <f>HYPERLINK("Melting_Curves/meltCurve_Q9UEE5_STK17A.pdf", "Melting_Curves/meltCurve_Q9UEE5_STK17A.pdf")</f>
        <v>Melting_Curves/meltCurve_Q9UEE5_STK17A.pdf</v>
      </c>
    </row>
    <row r="6537" spans="1:28" x14ac:dyDescent="0.25">
      <c r="A6537" t="s">
        <v>6541</v>
      </c>
      <c r="B6537">
        <v>0.99999676499088797</v>
      </c>
      <c r="C6537">
        <v>1.0411257839180501</v>
      </c>
      <c r="D6537">
        <v>0.94386616793001299</v>
      </c>
      <c r="E6537">
        <v>0.69725298580156403</v>
      </c>
      <c r="F6537">
        <v>0.57639672138374298</v>
      </c>
      <c r="G6537">
        <v>0.58435835908469502</v>
      </c>
      <c r="H6537">
        <v>0.373619511313043</v>
      </c>
      <c r="I6537">
        <v>0.54140826011985999</v>
      </c>
      <c r="J6537">
        <v>0.59009339097255398</v>
      </c>
      <c r="K6537">
        <v>0.42951972099201902</v>
      </c>
      <c r="L6537">
        <v>1347.13461951205</v>
      </c>
      <c r="M6537">
        <v>27.423677993970198</v>
      </c>
      <c r="O6537">
        <v>48.864073207306902</v>
      </c>
      <c r="P6537">
        <v>-6.9862016281411005E-2</v>
      </c>
      <c r="Q6537">
        <v>0.50207839280107103</v>
      </c>
      <c r="R6537">
        <v>0.92089184438726601</v>
      </c>
      <c r="S6537" t="s">
        <v>13540</v>
      </c>
      <c r="T6537" t="s">
        <v>14004</v>
      </c>
      <c r="U6537" t="s">
        <v>14004</v>
      </c>
      <c r="V6537" t="s">
        <v>14004</v>
      </c>
      <c r="W6537" t="s">
        <v>20480</v>
      </c>
      <c r="X6537">
        <v>14</v>
      </c>
      <c r="Y6537" t="s">
        <v>27267</v>
      </c>
      <c r="Z6537" t="s">
        <v>34247</v>
      </c>
      <c r="AA6537">
        <v>0.65714892213295262</v>
      </c>
      <c r="AB6537" t="str">
        <f>HYPERLINK("Melting_Curves/meltCurve_Q9UEE9_CFDP1.pdf", "Melting_Curves/meltCurve_Q9UEE9_CFDP1.pdf")</f>
        <v>Melting_Curves/meltCurve_Q9UEE9_CFDP1.pdf</v>
      </c>
    </row>
    <row r="6538" spans="1:28" x14ac:dyDescent="0.25">
      <c r="A6538" t="s">
        <v>6542</v>
      </c>
      <c r="B6538">
        <v>0.99999676499088797</v>
      </c>
      <c r="C6538">
        <v>0.81040685512475397</v>
      </c>
      <c r="D6538">
        <v>0.95476917468635603</v>
      </c>
      <c r="E6538">
        <v>0.76067687112512605</v>
      </c>
      <c r="F6538">
        <v>0.37304999455709797</v>
      </c>
      <c r="G6538">
        <v>0.43441969145749298</v>
      </c>
      <c r="H6538">
        <v>0.21106965403860301</v>
      </c>
      <c r="I6538">
        <v>0.475030739917223</v>
      </c>
      <c r="J6538">
        <v>0.42297605677363598</v>
      </c>
      <c r="K6538">
        <v>0.43599943669979901</v>
      </c>
      <c r="L6538">
        <v>12421.4202184726</v>
      </c>
      <c r="M6538">
        <v>250</v>
      </c>
      <c r="N6538">
        <v>49.992297397372496</v>
      </c>
      <c r="O6538">
        <v>49.682514849089102</v>
      </c>
      <c r="P6538">
        <v>-0.76474244100142297</v>
      </c>
      <c r="Q6538">
        <v>0.39209092265845003</v>
      </c>
      <c r="R6538">
        <v>0.87445083832591597</v>
      </c>
      <c r="S6538" t="s">
        <v>13541</v>
      </c>
      <c r="T6538" t="s">
        <v>14004</v>
      </c>
      <c r="U6538" t="s">
        <v>14004</v>
      </c>
      <c r="V6538" t="s">
        <v>14004</v>
      </c>
      <c r="W6538" t="s">
        <v>20481</v>
      </c>
      <c r="X6538">
        <v>3</v>
      </c>
      <c r="Y6538" t="s">
        <v>27268</v>
      </c>
      <c r="Z6538" t="s">
        <v>34248</v>
      </c>
      <c r="AA6538">
        <v>0.58841104165135849</v>
      </c>
      <c r="AB6538" t="str">
        <f>HYPERLINK("Melting_Curves/meltCurve_Q9UEG4_ZNF629.pdf", "Melting_Curves/meltCurve_Q9UEG4_ZNF629.pdf")</f>
        <v>Melting_Curves/meltCurve_Q9UEG4_ZNF629.pdf</v>
      </c>
    </row>
    <row r="6539" spans="1:28" x14ac:dyDescent="0.25">
      <c r="A6539" t="s">
        <v>6543</v>
      </c>
      <c r="B6539">
        <v>0.99999676499088797</v>
      </c>
      <c r="C6539">
        <v>1.0217622936934501</v>
      </c>
      <c r="D6539">
        <v>1.0683540921708501</v>
      </c>
      <c r="E6539">
        <v>1.0777949118032599</v>
      </c>
      <c r="F6539">
        <v>0.97860020036225004</v>
      </c>
      <c r="G6539">
        <v>0.72605045886826003</v>
      </c>
      <c r="H6539">
        <v>0.46851306560010098</v>
      </c>
      <c r="I6539">
        <v>0.36180010949125302</v>
      </c>
      <c r="J6539">
        <v>0.286298925679357</v>
      </c>
      <c r="K6539">
        <v>0.284225328153418</v>
      </c>
      <c r="L6539">
        <v>1577.33317102923</v>
      </c>
      <c r="M6539">
        <v>27.114205175926099</v>
      </c>
      <c r="N6539">
        <v>60.036999475110598</v>
      </c>
      <c r="O6539">
        <v>57.860009647233902</v>
      </c>
      <c r="P6539">
        <v>-8.3827958269604902E-2</v>
      </c>
      <c r="Q6539">
        <v>0.28447259588086399</v>
      </c>
      <c r="R6539">
        <v>0.98559196120966897</v>
      </c>
      <c r="S6539" t="s">
        <v>13542</v>
      </c>
      <c r="T6539" t="s">
        <v>14004</v>
      </c>
      <c r="U6539" t="s">
        <v>14004</v>
      </c>
      <c r="V6539" t="s">
        <v>14004</v>
      </c>
      <c r="W6539" t="s">
        <v>20482</v>
      </c>
      <c r="X6539">
        <v>4</v>
      </c>
      <c r="Y6539" t="s">
        <v>22743</v>
      </c>
      <c r="Z6539" t="s">
        <v>34249</v>
      </c>
      <c r="AA6539">
        <v>0.72342910353977707</v>
      </c>
      <c r="AB6539" t="str">
        <f>HYPERLINK("Melting_Curves/meltCurve_Q9UEL6_MPZL1.pdf", "Melting_Curves/meltCurve_Q9UEL6_MPZL1.pdf")</f>
        <v>Melting_Curves/meltCurve_Q9UEL6_MPZL1.pdf</v>
      </c>
    </row>
    <row r="6540" spans="1:28" x14ac:dyDescent="0.25">
      <c r="A6540" t="s">
        <v>6544</v>
      </c>
      <c r="B6540">
        <v>0.99999676499088797</v>
      </c>
      <c r="C6540">
        <v>0.88125355687631601</v>
      </c>
      <c r="D6540">
        <v>0.58891281609885404</v>
      </c>
      <c r="E6540">
        <v>0.362609882466357</v>
      </c>
      <c r="F6540">
        <v>0.283355960139061</v>
      </c>
      <c r="G6540">
        <v>0.23690274304540501</v>
      </c>
      <c r="H6540">
        <v>0.137008442950976</v>
      </c>
      <c r="I6540">
        <v>0.161749036634313</v>
      </c>
      <c r="J6540">
        <v>0.15374679811261099</v>
      </c>
      <c r="K6540">
        <v>0.136206384319882</v>
      </c>
      <c r="L6540">
        <v>839.55920046086305</v>
      </c>
      <c r="M6540">
        <v>18.0197954189616</v>
      </c>
      <c r="N6540">
        <v>47.5984367700053</v>
      </c>
      <c r="O6540">
        <v>46.028520430821501</v>
      </c>
      <c r="P6540">
        <v>-8.2358942362579998E-2</v>
      </c>
      <c r="Q6540">
        <v>0.158553423475632</v>
      </c>
      <c r="R6540">
        <v>0.98922529265538595</v>
      </c>
      <c r="S6540" t="s">
        <v>13543</v>
      </c>
      <c r="T6540" t="s">
        <v>14004</v>
      </c>
      <c r="U6540" t="s">
        <v>14004</v>
      </c>
      <c r="V6540" t="s">
        <v>14004</v>
      </c>
      <c r="W6540" t="s">
        <v>20483</v>
      </c>
      <c r="X6540">
        <v>7</v>
      </c>
      <c r="Y6540" t="s">
        <v>27269</v>
      </c>
      <c r="Z6540" t="s">
        <v>34250</v>
      </c>
      <c r="AA6540">
        <v>0.35925075413611579</v>
      </c>
      <c r="AB6540" t="str">
        <f>HYPERLINK("Melting_Curves/meltCurve_Q9UER7_2_DAXX.pdf", "Melting_Curves/meltCurve_Q9UER7_2_DAXX.pdf")</f>
        <v>Melting_Curves/meltCurve_Q9UER7_2_DAXX.pdf</v>
      </c>
    </row>
    <row r="6541" spans="1:28" x14ac:dyDescent="0.25">
      <c r="A6541" t="s">
        <v>6545</v>
      </c>
      <c r="B6541">
        <v>0.99999676499088797</v>
      </c>
      <c r="C6541">
        <v>1.08823270583314</v>
      </c>
      <c r="D6541">
        <v>1.0177088770065501</v>
      </c>
      <c r="E6541">
        <v>0.98983099556915399</v>
      </c>
      <c r="F6541">
        <v>0.40274765110733501</v>
      </c>
      <c r="G6541">
        <v>0.23625698408471499</v>
      </c>
      <c r="H6541">
        <v>9.2032629432153498E-2</v>
      </c>
      <c r="I6541">
        <v>7.1026653191827202E-2</v>
      </c>
      <c r="J6541">
        <v>5.5526546662256301E-2</v>
      </c>
      <c r="K6541">
        <v>5.0652545206277599E-2</v>
      </c>
      <c r="L6541">
        <v>2225.6408135044699</v>
      </c>
      <c r="M6541">
        <v>42.313742973194898</v>
      </c>
      <c r="N6541">
        <v>52.8414156391894</v>
      </c>
      <c r="O6541">
        <v>52.481476208995197</v>
      </c>
      <c r="P6541">
        <v>-0.183752443486981</v>
      </c>
      <c r="Q6541">
        <v>8.8373670748740807E-2</v>
      </c>
      <c r="R6541">
        <v>0.98587513530040505</v>
      </c>
      <c r="S6541" t="s">
        <v>13544</v>
      </c>
      <c r="T6541" t="s">
        <v>14004</v>
      </c>
      <c r="U6541" t="s">
        <v>14004</v>
      </c>
      <c r="V6541" t="s">
        <v>14004</v>
      </c>
      <c r="W6541" t="s">
        <v>20484</v>
      </c>
      <c r="X6541">
        <v>4</v>
      </c>
      <c r="Y6541" t="s">
        <v>27270</v>
      </c>
      <c r="Z6541" t="s">
        <v>34251</v>
      </c>
      <c r="AA6541">
        <v>0.47417020023139839</v>
      </c>
      <c r="AB6541" t="str">
        <f>HYPERLINK("Melting_Curves/meltCurve_Q9UET6_2_FTSJ1.pdf", "Melting_Curves/meltCurve_Q9UET6_2_FTSJ1.pdf")</f>
        <v>Melting_Curves/meltCurve_Q9UET6_2_FTSJ1.pdf</v>
      </c>
    </row>
    <row r="6542" spans="1:28" x14ac:dyDescent="0.25">
      <c r="A6542" t="s">
        <v>6546</v>
      </c>
      <c r="B6542">
        <v>0.99999676499088797</v>
      </c>
      <c r="C6542">
        <v>0.93176245992393303</v>
      </c>
      <c r="D6542">
        <v>0.86590162492129596</v>
      </c>
      <c r="E6542">
        <v>0.70665213744545197</v>
      </c>
      <c r="F6542">
        <v>0.64137588434522996</v>
      </c>
      <c r="G6542">
        <v>0.620467790985754</v>
      </c>
      <c r="H6542">
        <v>0.38975700723909401</v>
      </c>
      <c r="I6542">
        <v>0.445893343166121</v>
      </c>
      <c r="J6542">
        <v>0.41222222246069301</v>
      </c>
      <c r="K6542">
        <v>0.37660878563731398</v>
      </c>
      <c r="L6542">
        <v>502.68526003701299</v>
      </c>
      <c r="M6542">
        <v>9.5957148035990798</v>
      </c>
      <c r="N6542">
        <v>58.897221813441803</v>
      </c>
      <c r="O6542">
        <v>50.262833948523998</v>
      </c>
      <c r="P6542">
        <v>-3.2143628039069602E-2</v>
      </c>
      <c r="Q6542">
        <v>0.32690351449059002</v>
      </c>
      <c r="R6542">
        <v>0.96798125306815597</v>
      </c>
      <c r="S6542" t="s">
        <v>13545</v>
      </c>
      <c r="T6542" t="s">
        <v>14004</v>
      </c>
      <c r="U6542" t="s">
        <v>14004</v>
      </c>
      <c r="V6542" t="s">
        <v>14004</v>
      </c>
      <c r="W6542" t="s">
        <v>20485</v>
      </c>
      <c r="X6542">
        <v>13</v>
      </c>
      <c r="Y6542" t="s">
        <v>27271</v>
      </c>
      <c r="Z6542" t="s">
        <v>34252</v>
      </c>
      <c r="AA6542">
        <v>0.63043462514536908</v>
      </c>
      <c r="AB6542" t="str">
        <f>HYPERLINK("Melting_Curves/meltCurve_Q9UEU0_VTI1B.pdf", "Melting_Curves/meltCurve_Q9UEU0_VTI1B.pdf")</f>
        <v>Melting_Curves/meltCurve_Q9UEU0_VTI1B.pdf</v>
      </c>
    </row>
    <row r="6543" spans="1:28" x14ac:dyDescent="0.25">
      <c r="A6543" t="s">
        <v>6547</v>
      </c>
      <c r="B6543">
        <v>0.99999676499088797</v>
      </c>
      <c r="C6543">
        <v>0.90381892614456205</v>
      </c>
      <c r="D6543">
        <v>0.65649101552608302</v>
      </c>
      <c r="E6543">
        <v>0.258878881391225</v>
      </c>
      <c r="F6543">
        <v>0.219604923980038</v>
      </c>
      <c r="G6543">
        <v>0.13670394320635099</v>
      </c>
      <c r="H6543">
        <v>7.8511691267518099E-2</v>
      </c>
      <c r="I6543">
        <v>6.3913154652517803E-2</v>
      </c>
      <c r="J6543">
        <v>4.7967202369631597E-2</v>
      </c>
      <c r="K6543">
        <v>4.2424775145889299E-2</v>
      </c>
      <c r="L6543">
        <v>982.76106314180299</v>
      </c>
      <c r="M6543">
        <v>20.8721636786894</v>
      </c>
      <c r="N6543">
        <v>47.437462815312799</v>
      </c>
      <c r="O6543">
        <v>46.658952810214998</v>
      </c>
      <c r="P6543">
        <v>-0.10379899508495501</v>
      </c>
      <c r="Q6543">
        <v>7.1870202758440194E-2</v>
      </c>
      <c r="R6543">
        <v>0.99055314497186098</v>
      </c>
      <c r="S6543" t="s">
        <v>13546</v>
      </c>
      <c r="T6543" t="s">
        <v>14004</v>
      </c>
      <c r="U6543" t="s">
        <v>14004</v>
      </c>
      <c r="V6543" t="s">
        <v>14004</v>
      </c>
      <c r="W6543" t="s">
        <v>20486</v>
      </c>
      <c r="X6543">
        <v>10</v>
      </c>
      <c r="Y6543" t="s">
        <v>27272</v>
      </c>
      <c r="Z6543" t="s">
        <v>34253</v>
      </c>
      <c r="AA6543">
        <v>0.30338134573338688</v>
      </c>
      <c r="AB6543" t="str">
        <f>HYPERLINK("Melting_Curves/meltCurve_Q9UEW8_STK39.pdf", "Melting_Curves/meltCurve_Q9UEW8_STK39.pdf")</f>
        <v>Melting_Curves/meltCurve_Q9UEW8_STK39.pdf</v>
      </c>
    </row>
    <row r="6544" spans="1:28" x14ac:dyDescent="0.25">
      <c r="A6544" t="s">
        <v>6548</v>
      </c>
      <c r="B6544">
        <v>0.99999676499088797</v>
      </c>
      <c r="C6544">
        <v>0.97707262671361095</v>
      </c>
      <c r="D6544">
        <v>0.94986206462554601</v>
      </c>
      <c r="E6544">
        <v>0.915274373303956</v>
      </c>
      <c r="F6544">
        <v>0.91805962640549699</v>
      </c>
      <c r="G6544">
        <v>0.68325101347099604</v>
      </c>
      <c r="H6544">
        <v>0.47167056522610701</v>
      </c>
      <c r="I6544">
        <v>0.42449042945565502</v>
      </c>
      <c r="J6544">
        <v>0.34849871130715498</v>
      </c>
      <c r="K6544">
        <v>0.26642306422163098</v>
      </c>
      <c r="L6544">
        <v>897.96098641878098</v>
      </c>
      <c r="M6544">
        <v>15.3783693462317</v>
      </c>
      <c r="N6544">
        <v>60.919187931860897</v>
      </c>
      <c r="O6544">
        <v>57.430524089158702</v>
      </c>
      <c r="P6544">
        <v>-5.11581640622462E-2</v>
      </c>
      <c r="Q6544">
        <v>0.23586930684647001</v>
      </c>
      <c r="R6544">
        <v>0.98693889027948101</v>
      </c>
      <c r="S6544" t="s">
        <v>13547</v>
      </c>
      <c r="T6544" t="s">
        <v>14004</v>
      </c>
      <c r="U6544" t="s">
        <v>14004</v>
      </c>
      <c r="V6544" t="s">
        <v>14004</v>
      </c>
      <c r="W6544" t="s">
        <v>20487</v>
      </c>
      <c r="X6544">
        <v>29</v>
      </c>
      <c r="Y6544" t="s">
        <v>27273</v>
      </c>
      <c r="Z6544" t="s">
        <v>34254</v>
      </c>
      <c r="AA6544">
        <v>0.71374513513721527</v>
      </c>
      <c r="AB6544" t="str">
        <f>HYPERLINK("Melting_Curves/meltCurve_Q9UEY8_2_ADD3.pdf", "Melting_Curves/meltCurve_Q9UEY8_2_ADD3.pdf")</f>
        <v>Melting_Curves/meltCurve_Q9UEY8_2_ADD3.pdf</v>
      </c>
    </row>
    <row r="6545" spans="1:28" x14ac:dyDescent="0.25">
      <c r="A6545" t="s">
        <v>6549</v>
      </c>
      <c r="B6545">
        <v>0.99999676499088797</v>
      </c>
      <c r="C6545">
        <v>1.01649234571959</v>
      </c>
      <c r="D6545">
        <v>0.84995880582227701</v>
      </c>
      <c r="E6545">
        <v>0.38671807900351601</v>
      </c>
      <c r="F6545">
        <v>0.19230084658027399</v>
      </c>
      <c r="G6545">
        <v>0.214103056776107</v>
      </c>
      <c r="H6545">
        <v>0.17870146644238799</v>
      </c>
      <c r="I6545">
        <v>0.144335690206882</v>
      </c>
      <c r="J6545">
        <v>0.15559354585356699</v>
      </c>
      <c r="K6545">
        <v>0.13224189419989199</v>
      </c>
      <c r="L6545">
        <v>1625.0256043935001</v>
      </c>
      <c r="M6545">
        <v>33.770741949649597</v>
      </c>
      <c r="N6545">
        <v>48.688831924913103</v>
      </c>
      <c r="O6545">
        <v>47.9515512316976</v>
      </c>
      <c r="P6545">
        <v>-0.14734018840554899</v>
      </c>
      <c r="Q6545">
        <v>0.16316193531100101</v>
      </c>
      <c r="R6545">
        <v>0.99630120926320398</v>
      </c>
      <c r="S6545" t="s">
        <v>13548</v>
      </c>
      <c r="T6545" t="s">
        <v>14004</v>
      </c>
      <c r="U6545" t="s">
        <v>14004</v>
      </c>
      <c r="V6545" t="s">
        <v>14004</v>
      </c>
      <c r="W6545" t="s">
        <v>20488</v>
      </c>
      <c r="X6545">
        <v>1</v>
      </c>
      <c r="Y6545" t="s">
        <v>27274</v>
      </c>
      <c r="Z6545" t="s">
        <v>34255</v>
      </c>
      <c r="AA6545">
        <v>0.39359300544286302</v>
      </c>
      <c r="AB6545" t="str">
        <f>HYPERLINK("Melting_Curves/meltCurve_Q9UF56_FBXL17.pdf", "Melting_Curves/meltCurve_Q9UF56_FBXL17.pdf")</f>
        <v>Melting_Curves/meltCurve_Q9UF56_FBXL17.pdf</v>
      </c>
    </row>
    <row r="6546" spans="1:28" x14ac:dyDescent="0.25">
      <c r="A6546" t="s">
        <v>6550</v>
      </c>
      <c r="B6546">
        <v>0.99999676499088797</v>
      </c>
      <c r="C6546">
        <v>0.95751574896839198</v>
      </c>
      <c r="D6546">
        <v>0.57381250118004101</v>
      </c>
      <c r="E6546">
        <v>0.21068626598597701</v>
      </c>
      <c r="F6546">
        <v>0.189635920301123</v>
      </c>
      <c r="G6546">
        <v>0.12060866529054499</v>
      </c>
      <c r="H6546">
        <v>5.1975314034162598E-2</v>
      </c>
      <c r="I6546">
        <v>6.1264046638843501E-2</v>
      </c>
      <c r="J6546">
        <v>4.62118810339801E-2</v>
      </c>
      <c r="K6546">
        <v>3.5524361934625499E-2</v>
      </c>
      <c r="L6546">
        <v>1246.5019605289201</v>
      </c>
      <c r="M6546">
        <v>26.829496573336399</v>
      </c>
      <c r="N6546">
        <v>46.7435084092536</v>
      </c>
      <c r="O6546">
        <v>46.204322499287997</v>
      </c>
      <c r="P6546">
        <v>-0.13427369815830401</v>
      </c>
      <c r="Q6546">
        <v>7.5053500816364596E-2</v>
      </c>
      <c r="R6546">
        <v>0.98842383117789501</v>
      </c>
      <c r="S6546" t="s">
        <v>13549</v>
      </c>
      <c r="T6546" t="s">
        <v>14004</v>
      </c>
      <c r="U6546" t="s">
        <v>14004</v>
      </c>
      <c r="V6546" t="s">
        <v>14004</v>
      </c>
      <c r="W6546" t="s">
        <v>20489</v>
      </c>
      <c r="X6546">
        <v>9</v>
      </c>
      <c r="Y6546" t="s">
        <v>27275</v>
      </c>
      <c r="Z6546" t="s">
        <v>34256</v>
      </c>
      <c r="AA6546">
        <v>0.28137693028428767</v>
      </c>
      <c r="AB6546" t="str">
        <f>HYPERLINK("Melting_Curves/meltCurve_Q9UFC0_LRWD1.pdf", "Melting_Curves/meltCurve_Q9UFC0_LRWD1.pdf")</f>
        <v>Melting_Curves/meltCurve_Q9UFC0_LRWD1.pdf</v>
      </c>
    </row>
    <row r="6547" spans="1:28" x14ac:dyDescent="0.25">
      <c r="A6547" t="s">
        <v>6551</v>
      </c>
      <c r="B6547">
        <v>0.99999676499088797</v>
      </c>
      <c r="C6547">
        <v>1.1130370470080699</v>
      </c>
      <c r="D6547">
        <v>1.16067625019849</v>
      </c>
      <c r="E6547">
        <v>0.77393451403264202</v>
      </c>
      <c r="F6547">
        <v>0.83281229248350597</v>
      </c>
      <c r="G6547">
        <v>0.53539704083616102</v>
      </c>
      <c r="H6547">
        <v>0.41782383197060602</v>
      </c>
      <c r="I6547">
        <v>0.40707597656484901</v>
      </c>
      <c r="J6547">
        <v>0.39426037169164602</v>
      </c>
      <c r="K6547">
        <v>0.53155138494668197</v>
      </c>
      <c r="L6547">
        <v>1253.5422056847599</v>
      </c>
      <c r="M6547">
        <v>23.291658725306899</v>
      </c>
      <c r="N6547">
        <v>58.584438482869501</v>
      </c>
      <c r="O6547">
        <v>53.4273450324647</v>
      </c>
      <c r="P6547">
        <v>-6.2690657782632803E-2</v>
      </c>
      <c r="Q6547">
        <v>0.42480080291023897</v>
      </c>
      <c r="R6547">
        <v>0.88961537247012501</v>
      </c>
      <c r="S6547" t="s">
        <v>13550</v>
      </c>
      <c r="T6547" t="s">
        <v>14004</v>
      </c>
      <c r="U6547" t="s">
        <v>14004</v>
      </c>
      <c r="V6547" t="s">
        <v>14004</v>
      </c>
      <c r="W6547" t="s">
        <v>20490</v>
      </c>
      <c r="X6547">
        <v>7</v>
      </c>
      <c r="Y6547" t="s">
        <v>27276</v>
      </c>
      <c r="Z6547" t="s">
        <v>34257</v>
      </c>
      <c r="AA6547">
        <v>0.69580835553307852</v>
      </c>
      <c r="AB6547" t="str">
        <f>HYPERLINK("Melting_Curves/meltCurve_Q9UFN0_NIPSNAP3A.pdf", "Melting_Curves/meltCurve_Q9UFN0_NIPSNAP3A.pdf")</f>
        <v>Melting_Curves/meltCurve_Q9UFN0_NIPSNAP3A.pdf</v>
      </c>
    </row>
    <row r="6548" spans="1:28" x14ac:dyDescent="0.25">
      <c r="A6548" t="s">
        <v>6552</v>
      </c>
      <c r="B6548">
        <v>0.99999676499088797</v>
      </c>
      <c r="C6548">
        <v>0.91530861337926805</v>
      </c>
      <c r="D6548">
        <v>0.91060552858445099</v>
      </c>
      <c r="E6548">
        <v>0.806591761620299</v>
      </c>
      <c r="F6548">
        <v>0.52900554767202701</v>
      </c>
      <c r="G6548">
        <v>0.33016779813388902</v>
      </c>
      <c r="H6548">
        <v>0.18646504246338699</v>
      </c>
      <c r="I6548">
        <v>0.19658696008208201</v>
      </c>
      <c r="J6548">
        <v>0.19413275783165401</v>
      </c>
      <c r="K6548">
        <v>0.25783822025452402</v>
      </c>
      <c r="L6548">
        <v>1026.7511394235501</v>
      </c>
      <c r="M6548">
        <v>19.671329124409301</v>
      </c>
      <c r="N6548">
        <v>53.502780344918101</v>
      </c>
      <c r="O6548">
        <v>51.664884391258397</v>
      </c>
      <c r="P6548">
        <v>-7.7025261274107498E-2</v>
      </c>
      <c r="Q6548">
        <v>0.190829873034947</v>
      </c>
      <c r="R6548">
        <v>0.98675178531529595</v>
      </c>
      <c r="S6548" t="s">
        <v>13551</v>
      </c>
      <c r="T6548" t="s">
        <v>14004</v>
      </c>
      <c r="U6548" t="s">
        <v>14004</v>
      </c>
      <c r="V6548" t="s">
        <v>14004</v>
      </c>
      <c r="W6548" t="s">
        <v>20491</v>
      </c>
      <c r="X6548">
        <v>15</v>
      </c>
      <c r="Y6548" t="s">
        <v>27277</v>
      </c>
      <c r="Z6548" t="s">
        <v>34258</v>
      </c>
      <c r="AA6548">
        <v>0.53128687229830107</v>
      </c>
      <c r="AB6548" t="str">
        <f>HYPERLINK("Melting_Curves/meltCurve_Q9UFW8_CGGBP1.pdf", "Melting_Curves/meltCurve_Q9UFW8_CGGBP1.pdf")</f>
        <v>Melting_Curves/meltCurve_Q9UFW8_CGGBP1.pdf</v>
      </c>
    </row>
    <row r="6549" spans="1:28" x14ac:dyDescent="0.25">
      <c r="A6549" t="s">
        <v>6553</v>
      </c>
      <c r="B6549">
        <v>0.99999676499088797</v>
      </c>
      <c r="C6549">
        <v>0.98165622393878305</v>
      </c>
      <c r="D6549">
        <v>0.95599275020965302</v>
      </c>
      <c r="E6549">
        <v>0.97018508791708702</v>
      </c>
      <c r="F6549">
        <v>0.52745627574885801</v>
      </c>
      <c r="G6549">
        <v>0.239636083505883</v>
      </c>
      <c r="H6549">
        <v>0.101364772907858</v>
      </c>
      <c r="I6549">
        <v>9.2866664494791501E-2</v>
      </c>
      <c r="J6549">
        <v>8.2756401186749498E-2</v>
      </c>
      <c r="K6549">
        <v>6.9953254403518003E-2</v>
      </c>
      <c r="L6549">
        <v>1665.26832180878</v>
      </c>
      <c r="M6549">
        <v>31.2321903967254</v>
      </c>
      <c r="N6549">
        <v>53.640901382233302</v>
      </c>
      <c r="O6549">
        <v>53.101818391302203</v>
      </c>
      <c r="P6549">
        <v>-0.134473784941849</v>
      </c>
      <c r="Q6549">
        <v>8.5461257448458894E-2</v>
      </c>
      <c r="R6549">
        <v>0.99585631644738704</v>
      </c>
      <c r="S6549" t="s">
        <v>13552</v>
      </c>
      <c r="T6549" t="s">
        <v>14004</v>
      </c>
      <c r="U6549" t="s">
        <v>14004</v>
      </c>
      <c r="V6549" t="s">
        <v>14004</v>
      </c>
      <c r="W6549" t="s">
        <v>20492</v>
      </c>
      <c r="X6549">
        <v>35</v>
      </c>
      <c r="Y6549" t="s">
        <v>27278</v>
      </c>
      <c r="Z6549" t="s">
        <v>34259</v>
      </c>
      <c r="AA6549">
        <v>0.49699065230939282</v>
      </c>
      <c r="AB6549" t="str">
        <f>HYPERLINK("Melting_Curves/meltCurve_Q9UG63_ABCF2.pdf", "Melting_Curves/meltCurve_Q9UG63_ABCF2.pdf")</f>
        <v>Melting_Curves/meltCurve_Q9UG63_ABCF2.pdf</v>
      </c>
    </row>
    <row r="6550" spans="1:28" x14ac:dyDescent="0.25">
      <c r="A6550" t="s">
        <v>6554</v>
      </c>
      <c r="B6550">
        <v>0.99999676499088797</v>
      </c>
      <c r="C6550">
        <v>0.92589163536782804</v>
      </c>
      <c r="D6550">
        <v>0.80224033945682105</v>
      </c>
      <c r="E6550">
        <v>0.74132233509238799</v>
      </c>
      <c r="F6550">
        <v>0.75576429664162703</v>
      </c>
      <c r="G6550">
        <v>0.61414697796781403</v>
      </c>
      <c r="H6550">
        <v>0.185903698372686</v>
      </c>
      <c r="I6550">
        <v>9.5944113890061494E-2</v>
      </c>
      <c r="J6550">
        <v>0.10872212929041</v>
      </c>
      <c r="K6550">
        <v>0.10109689052955199</v>
      </c>
      <c r="L6550">
        <v>688.66023651779801</v>
      </c>
      <c r="M6550">
        <v>12.2459046775377</v>
      </c>
      <c r="N6550">
        <v>56.235964168351302</v>
      </c>
      <c r="O6550">
        <v>54.799404183040501</v>
      </c>
      <c r="P6550">
        <v>-5.5879410203335103E-2</v>
      </c>
      <c r="Q6550">
        <v>0</v>
      </c>
      <c r="R6550">
        <v>0.93672561700379398</v>
      </c>
      <c r="S6550" t="s">
        <v>13553</v>
      </c>
      <c r="T6550" t="s">
        <v>14004</v>
      </c>
      <c r="U6550" t="s">
        <v>14004</v>
      </c>
      <c r="V6550" t="s">
        <v>14004</v>
      </c>
      <c r="W6550" t="s">
        <v>20493</v>
      </c>
      <c r="X6550">
        <v>4</v>
      </c>
      <c r="Y6550" t="s">
        <v>27279</v>
      </c>
      <c r="Z6550" t="s">
        <v>34260</v>
      </c>
      <c r="AA6550">
        <v>0.56066250168784881</v>
      </c>
      <c r="AB6550" t="str">
        <f>HYPERLINK("Melting_Curves/meltCurve_Q9UGJ1_2_TUBGCP4.pdf", "Melting_Curves/meltCurve_Q9UGJ1_2_TUBGCP4.pdf")</f>
        <v>Melting_Curves/meltCurve_Q9UGJ1_2_TUBGCP4.pdf</v>
      </c>
    </row>
    <row r="6551" spans="1:28" x14ac:dyDescent="0.25">
      <c r="A6551" t="s">
        <v>6555</v>
      </c>
      <c r="B6551">
        <v>0.99999676499088797</v>
      </c>
      <c r="C6551">
        <v>0.92312362841499795</v>
      </c>
      <c r="D6551">
        <v>0.95959310343996296</v>
      </c>
      <c r="E6551">
        <v>0.98942411469426195</v>
      </c>
      <c r="F6551">
        <v>0.661201030916025</v>
      </c>
      <c r="G6551">
        <v>0.36162126979241699</v>
      </c>
      <c r="H6551">
        <v>0.18219684506676101</v>
      </c>
      <c r="I6551">
        <v>0.201637019214678</v>
      </c>
      <c r="J6551">
        <v>0.155233899885206</v>
      </c>
      <c r="K6551">
        <v>0.18302666406214399</v>
      </c>
      <c r="L6551">
        <v>1574.11532523233</v>
      </c>
      <c r="M6551">
        <v>29.1008517724235</v>
      </c>
      <c r="N6551">
        <v>54.890193843645797</v>
      </c>
      <c r="O6551">
        <v>53.838226906930302</v>
      </c>
      <c r="P6551">
        <v>-0.111813133629941</v>
      </c>
      <c r="Q6551">
        <v>0.172563520312358</v>
      </c>
      <c r="R6551">
        <v>0.99100939985336001</v>
      </c>
      <c r="S6551" t="s">
        <v>13554</v>
      </c>
      <c r="T6551" t="s">
        <v>14004</v>
      </c>
      <c r="U6551" t="s">
        <v>14004</v>
      </c>
      <c r="V6551" t="s">
        <v>14004</v>
      </c>
      <c r="W6551" t="s">
        <v>20494</v>
      </c>
      <c r="X6551">
        <v>3</v>
      </c>
      <c r="Y6551" t="s">
        <v>27280</v>
      </c>
      <c r="Z6551" t="s">
        <v>34261</v>
      </c>
      <c r="AA6551">
        <v>0.56699842570929226</v>
      </c>
      <c r="AB6551" t="str">
        <f>HYPERLINK("Melting_Curves/meltCurve_Q9UGK8_SERGEF.pdf", "Melting_Curves/meltCurve_Q9UGK8_SERGEF.pdf")</f>
        <v>Melting_Curves/meltCurve_Q9UGK8_SERGEF.pdf</v>
      </c>
    </row>
    <row r="6552" spans="1:28" x14ac:dyDescent="0.25">
      <c r="A6552" t="s">
        <v>6556</v>
      </c>
      <c r="B6552">
        <v>0.99999676499088797</v>
      </c>
      <c r="C6552">
        <v>0.98012220527168004</v>
      </c>
      <c r="D6552">
        <v>0.99101042025942898</v>
      </c>
      <c r="E6552">
        <v>0.69732557161401798</v>
      </c>
      <c r="F6552">
        <v>0.54342896113559502</v>
      </c>
      <c r="G6552">
        <v>0.52930456459516495</v>
      </c>
      <c r="H6552">
        <v>0.24003188372579601</v>
      </c>
      <c r="I6552">
        <v>0.19660325848427801</v>
      </c>
      <c r="J6552">
        <v>0.13420974537372399</v>
      </c>
      <c r="K6552">
        <v>8.7941114268647994E-2</v>
      </c>
      <c r="L6552">
        <v>593.59856010450596</v>
      </c>
      <c r="M6552">
        <v>10.741438289966901</v>
      </c>
      <c r="N6552">
        <v>55.290105790270097</v>
      </c>
      <c r="O6552">
        <v>53.4504491992938</v>
      </c>
      <c r="P6552">
        <v>-5.0124266829710697E-2</v>
      </c>
      <c r="Q6552">
        <v>2.6759280917203498E-3</v>
      </c>
      <c r="R6552">
        <v>0.97484608822043695</v>
      </c>
      <c r="S6552" t="s">
        <v>13555</v>
      </c>
      <c r="T6552" t="s">
        <v>14004</v>
      </c>
      <c r="U6552" t="s">
        <v>14004</v>
      </c>
      <c r="V6552" t="s">
        <v>14004</v>
      </c>
      <c r="W6552" t="s">
        <v>20495</v>
      </c>
      <c r="X6552">
        <v>2</v>
      </c>
      <c r="Y6552" t="s">
        <v>27281</v>
      </c>
      <c r="Z6552" t="s">
        <v>34262</v>
      </c>
      <c r="AA6552">
        <v>0.53403613192179855</v>
      </c>
      <c r="AB6552" t="str">
        <f>HYPERLINK("Melting_Curves/meltCurve_Q9UGM1_CHRNA9.pdf", "Melting_Curves/meltCurve_Q9UGM1_CHRNA9.pdf")</f>
        <v>Melting_Curves/meltCurve_Q9UGM1_CHRNA9.pdf</v>
      </c>
    </row>
    <row r="6553" spans="1:28" x14ac:dyDescent="0.25">
      <c r="A6553" t="s">
        <v>6557</v>
      </c>
      <c r="B6553">
        <v>0.99999676499088797</v>
      </c>
      <c r="C6553">
        <v>0.98013297839903801</v>
      </c>
      <c r="D6553">
        <v>0.96829752672579705</v>
      </c>
      <c r="E6553">
        <v>0.52444724160988299</v>
      </c>
      <c r="F6553">
        <v>0.40667464931410702</v>
      </c>
      <c r="G6553">
        <v>0.22853298929864899</v>
      </c>
      <c r="H6553">
        <v>0.137667109532777</v>
      </c>
      <c r="I6553">
        <v>0.107885941154752</v>
      </c>
      <c r="J6553">
        <v>0.12472730114795599</v>
      </c>
      <c r="K6553">
        <v>0.12962429378684601</v>
      </c>
      <c r="L6553">
        <v>988.88576684849102</v>
      </c>
      <c r="M6553">
        <v>19.661409830238501</v>
      </c>
      <c r="N6553">
        <v>51.019950031673503</v>
      </c>
      <c r="O6553">
        <v>49.784142137731003</v>
      </c>
      <c r="P6553">
        <v>-8.6714821806921194E-2</v>
      </c>
      <c r="Q6553">
        <v>0.12175725100595</v>
      </c>
      <c r="R6553">
        <v>0.98304970891366406</v>
      </c>
      <c r="S6553" t="s">
        <v>13556</v>
      </c>
      <c r="T6553" t="s">
        <v>14004</v>
      </c>
      <c r="U6553" t="s">
        <v>14004</v>
      </c>
      <c r="V6553" t="s">
        <v>14004</v>
      </c>
      <c r="W6553" t="s">
        <v>20496</v>
      </c>
      <c r="X6553">
        <v>7</v>
      </c>
      <c r="Y6553" t="s">
        <v>27282</v>
      </c>
      <c r="Z6553" t="s">
        <v>34263</v>
      </c>
      <c r="AA6553">
        <v>0.43578511016251392</v>
      </c>
      <c r="AB6553" t="str">
        <f>HYPERLINK("Melting_Curves/meltCurve_Q9UGM6_WARS2.pdf", "Melting_Curves/meltCurve_Q9UGM6_WARS2.pdf")</f>
        <v>Melting_Curves/meltCurve_Q9UGM6_WARS2.pdf</v>
      </c>
    </row>
    <row r="6554" spans="1:28" x14ac:dyDescent="0.25">
      <c r="A6554" t="s">
        <v>6558</v>
      </c>
      <c r="B6554">
        <v>0.99999676499088797</v>
      </c>
      <c r="C6554">
        <v>0.95829451131336996</v>
      </c>
      <c r="D6554">
        <v>0.82332698787188097</v>
      </c>
      <c r="E6554">
        <v>0.50809767235627701</v>
      </c>
      <c r="F6554">
        <v>0.32505575290210098</v>
      </c>
      <c r="G6554">
        <v>0.19539247865050699</v>
      </c>
      <c r="H6554">
        <v>0.12474237892581901</v>
      </c>
      <c r="I6554">
        <v>0.16795026625892101</v>
      </c>
      <c r="J6554">
        <v>0.19739483085398399</v>
      </c>
      <c r="K6554">
        <v>0.19357211262156099</v>
      </c>
      <c r="L6554">
        <v>1021.67154935807</v>
      </c>
      <c r="M6554">
        <v>20.906496719518898</v>
      </c>
      <c r="N6554">
        <v>49.834924246158003</v>
      </c>
      <c r="O6554">
        <v>48.428096377074901</v>
      </c>
      <c r="P6554">
        <v>-8.9943396913160903E-2</v>
      </c>
      <c r="Q6554">
        <v>0.166638342828341</v>
      </c>
      <c r="R6554">
        <v>0.99471267543809905</v>
      </c>
      <c r="S6554" t="s">
        <v>13557</v>
      </c>
      <c r="T6554" t="s">
        <v>14004</v>
      </c>
      <c r="U6554" t="s">
        <v>14004</v>
      </c>
      <c r="V6554" t="s">
        <v>14004</v>
      </c>
      <c r="W6554" t="s">
        <v>20497</v>
      </c>
      <c r="X6554">
        <v>12</v>
      </c>
      <c r="Y6554" t="s">
        <v>27283</v>
      </c>
      <c r="Z6554" t="s">
        <v>34264</v>
      </c>
      <c r="AA6554">
        <v>0.42367073922036408</v>
      </c>
      <c r="AB6554" t="str">
        <f>HYPERLINK("Melting_Curves/meltCurve_Q9UGP4_LIMD1.pdf", "Melting_Curves/meltCurve_Q9UGP4_LIMD1.pdf")</f>
        <v>Melting_Curves/meltCurve_Q9UGP4_LIMD1.pdf</v>
      </c>
    </row>
    <row r="6555" spans="1:28" x14ac:dyDescent="0.25">
      <c r="A6555" t="s">
        <v>6559</v>
      </c>
      <c r="B6555">
        <v>0.99999676499088797</v>
      </c>
      <c r="C6555">
        <v>1.0380154687549601</v>
      </c>
      <c r="D6555">
        <v>0.99334360623647899</v>
      </c>
      <c r="E6555">
        <v>0.89786937961857405</v>
      </c>
      <c r="F6555">
        <v>0.62657919666096795</v>
      </c>
      <c r="G6555">
        <v>0.313380079729841</v>
      </c>
      <c r="H6555">
        <v>0.108042410836408</v>
      </c>
      <c r="I6555">
        <v>0.113705415221596</v>
      </c>
      <c r="J6555">
        <v>0.12905196086369999</v>
      </c>
      <c r="K6555">
        <v>9.2890141216602204E-2</v>
      </c>
      <c r="L6555">
        <v>1339.12359837145</v>
      </c>
      <c r="M6555">
        <v>24.815102056460699</v>
      </c>
      <c r="N6555">
        <v>54.421185278484799</v>
      </c>
      <c r="O6555">
        <v>53.6172715750875</v>
      </c>
      <c r="P6555">
        <v>-0.104821205531825</v>
      </c>
      <c r="Q6555">
        <v>9.4076012029601003E-2</v>
      </c>
      <c r="R6555">
        <v>0.99733470299966498</v>
      </c>
      <c r="S6555" t="s">
        <v>13558</v>
      </c>
      <c r="T6555" t="s">
        <v>14004</v>
      </c>
      <c r="U6555" t="s">
        <v>14004</v>
      </c>
      <c r="V6555" t="s">
        <v>14004</v>
      </c>
      <c r="W6555" t="s">
        <v>20498</v>
      </c>
      <c r="X6555">
        <v>16</v>
      </c>
      <c r="Y6555" t="s">
        <v>27284</v>
      </c>
      <c r="Z6555" t="s">
        <v>34265</v>
      </c>
      <c r="AA6555">
        <v>0.52425154542697883</v>
      </c>
      <c r="AB6555" t="str">
        <f>HYPERLINK("Melting_Curves/meltCurve_Q9UGP8_SEC63.pdf", "Melting_Curves/meltCurve_Q9UGP8_SEC63.pdf")</f>
        <v>Melting_Curves/meltCurve_Q9UGP8_SEC63.pdf</v>
      </c>
    </row>
    <row r="6556" spans="1:28" x14ac:dyDescent="0.25">
      <c r="A6556" t="s">
        <v>6560</v>
      </c>
      <c r="B6556">
        <v>0.99999676499088797</v>
      </c>
      <c r="C6556">
        <v>1.0935856393032799</v>
      </c>
      <c r="D6556">
        <v>1.0218053198236401</v>
      </c>
      <c r="E6556">
        <v>0.90018527220454103</v>
      </c>
      <c r="F6556">
        <v>0.88270699241426998</v>
      </c>
      <c r="G6556">
        <v>0.92234670232375504</v>
      </c>
      <c r="H6556">
        <v>0.57805489630079498</v>
      </c>
      <c r="I6556">
        <v>0.72573157503207597</v>
      </c>
      <c r="J6556">
        <v>0.75502205602930805</v>
      </c>
      <c r="K6556">
        <v>0.65341558148516798</v>
      </c>
      <c r="L6556">
        <v>1013.28545347453</v>
      </c>
      <c r="M6556">
        <v>18.140205486281701</v>
      </c>
      <c r="O6556">
        <v>55.192989653852798</v>
      </c>
      <c r="P6556">
        <v>-2.72543275983546E-2</v>
      </c>
      <c r="Q6556">
        <v>0.66832218391260001</v>
      </c>
      <c r="R6556">
        <v>0.77681176487340797</v>
      </c>
      <c r="S6556" t="s">
        <v>13559</v>
      </c>
      <c r="T6556" t="s">
        <v>14004</v>
      </c>
      <c r="U6556" t="s">
        <v>14004</v>
      </c>
      <c r="V6556" t="s">
        <v>14004</v>
      </c>
      <c r="W6556" t="s">
        <v>20499</v>
      </c>
      <c r="X6556">
        <v>2</v>
      </c>
      <c r="Y6556" t="s">
        <v>27285</v>
      </c>
      <c r="Z6556" t="s">
        <v>34266</v>
      </c>
      <c r="AA6556">
        <v>0.84853242849492927</v>
      </c>
      <c r="AB6556" t="str">
        <f>HYPERLINK("Melting_Curves/meltCurve_Q9UGQ2_2_CACFD1.pdf", "Melting_Curves/meltCurve_Q9UGQ2_2_CACFD1.pdf")</f>
        <v>Melting_Curves/meltCurve_Q9UGQ2_2_CACFD1.pdf</v>
      </c>
    </row>
    <row r="6557" spans="1:28" x14ac:dyDescent="0.25">
      <c r="A6557" t="s">
        <v>6561</v>
      </c>
      <c r="B6557">
        <v>0.99999676499088797</v>
      </c>
      <c r="C6557">
        <v>1.07432209861554</v>
      </c>
      <c r="D6557">
        <v>1.0733927086389601</v>
      </c>
      <c r="E6557">
        <v>1.1547269869821</v>
      </c>
      <c r="F6557">
        <v>1.2123074701513901</v>
      </c>
      <c r="G6557">
        <v>1.02453156262446</v>
      </c>
      <c r="H6557">
        <v>0.69067123597829705</v>
      </c>
      <c r="I6557">
        <v>0.741902824902956</v>
      </c>
      <c r="J6557">
        <v>0.65647571360082402</v>
      </c>
      <c r="K6557">
        <v>0.55820603670672198</v>
      </c>
      <c r="L6557">
        <v>9559.3592860794706</v>
      </c>
      <c r="M6557">
        <v>159.307746409993</v>
      </c>
      <c r="O6557">
        <v>59.996159925756302</v>
      </c>
      <c r="P6557">
        <v>-0.23090038312951799</v>
      </c>
      <c r="Q6557">
        <v>0.65216666487178898</v>
      </c>
      <c r="R6557">
        <v>0.801108207472642</v>
      </c>
      <c r="S6557" t="s">
        <v>13560</v>
      </c>
      <c r="T6557" t="s">
        <v>14004</v>
      </c>
      <c r="U6557" t="s">
        <v>14004</v>
      </c>
      <c r="V6557" t="s">
        <v>14004</v>
      </c>
      <c r="W6557" t="s">
        <v>20500</v>
      </c>
      <c r="X6557">
        <v>1</v>
      </c>
      <c r="Y6557" t="s">
        <v>27286</v>
      </c>
      <c r="Z6557" t="s">
        <v>34267</v>
      </c>
      <c r="AA6557">
        <v>0.88421089362655303</v>
      </c>
      <c r="AB6557" t="str">
        <f>HYPERLINK("Melting_Curves/meltCurve_Q9UGQ3_2_SLC2A6.pdf", "Melting_Curves/meltCurve_Q9UGQ3_2_SLC2A6.pdf")</f>
        <v>Melting_Curves/meltCurve_Q9UGQ3_2_SLC2A6.pdf</v>
      </c>
    </row>
    <row r="6558" spans="1:28" x14ac:dyDescent="0.25">
      <c r="A6558" t="s">
        <v>6562</v>
      </c>
      <c r="B6558">
        <v>0.99999676499088797</v>
      </c>
      <c r="C6558">
        <v>1.17449704230316</v>
      </c>
      <c r="D6558">
        <v>0.62039084800272704</v>
      </c>
      <c r="E6558">
        <v>0.37781539157119498</v>
      </c>
      <c r="F6558">
        <v>0.27766759829721499</v>
      </c>
      <c r="G6558">
        <v>0.31764528694176802</v>
      </c>
      <c r="H6558">
        <v>0.14667641956463701</v>
      </c>
      <c r="I6558">
        <v>0.11585747792793499</v>
      </c>
      <c r="J6558">
        <v>0.120447875335164</v>
      </c>
      <c r="K6558">
        <v>0.106274750691599</v>
      </c>
      <c r="L6558">
        <v>1271.5522977958501</v>
      </c>
      <c r="M6558">
        <v>26.954653674456502</v>
      </c>
      <c r="N6558">
        <v>47.926709699585103</v>
      </c>
      <c r="O6558">
        <v>46.916391136901503</v>
      </c>
      <c r="P6558">
        <v>-0.11883957875958299</v>
      </c>
      <c r="Q6558">
        <v>0.172614857521947</v>
      </c>
      <c r="R6558">
        <v>0.92672219625584396</v>
      </c>
      <c r="S6558" t="s">
        <v>13561</v>
      </c>
      <c r="T6558" t="s">
        <v>14004</v>
      </c>
      <c r="U6558" t="s">
        <v>14004</v>
      </c>
      <c r="V6558" t="s">
        <v>14004</v>
      </c>
      <c r="W6558" t="s">
        <v>20501</v>
      </c>
      <c r="X6558">
        <v>5</v>
      </c>
      <c r="Y6558" t="s">
        <v>27287</v>
      </c>
      <c r="Z6558" t="s">
        <v>34268</v>
      </c>
      <c r="AA6558">
        <v>0.37671263422423062</v>
      </c>
      <c r="AB6558" t="str">
        <f>HYPERLINK("Melting_Curves/meltCurve_Q9UGR2_2_ZC3H7B.pdf", "Melting_Curves/meltCurve_Q9UGR2_2_ZC3H7B.pdf")</f>
        <v>Melting_Curves/meltCurve_Q9UGR2_2_ZC3H7B.pdf</v>
      </c>
    </row>
    <row r="6559" spans="1:28" x14ac:dyDescent="0.25">
      <c r="A6559" t="s">
        <v>6563</v>
      </c>
      <c r="B6559">
        <v>0.99999676499088797</v>
      </c>
      <c r="C6559">
        <v>0.92697431676498399</v>
      </c>
      <c r="D6559">
        <v>0.93985060466989101</v>
      </c>
      <c r="E6559">
        <v>0.86060796855792199</v>
      </c>
      <c r="F6559">
        <v>0.72516882036300101</v>
      </c>
      <c r="G6559">
        <v>0.65452214673527298</v>
      </c>
      <c r="H6559">
        <v>0.891240387030098</v>
      </c>
      <c r="I6559">
        <v>1.3179863447032201</v>
      </c>
      <c r="J6559">
        <v>1.38980620341168</v>
      </c>
      <c r="K6559">
        <v>1.61400918203778</v>
      </c>
      <c r="L6559">
        <v>12274.3762476844</v>
      </c>
      <c r="M6559">
        <v>192.344429171782</v>
      </c>
      <c r="O6559">
        <v>63.807667604815698</v>
      </c>
      <c r="P6559">
        <v>0.37680508710431498</v>
      </c>
      <c r="Q6559">
        <v>1.5</v>
      </c>
      <c r="R6559">
        <v>0.69560075942174204</v>
      </c>
      <c r="S6559" t="s">
        <v>13562</v>
      </c>
      <c r="T6559" t="s">
        <v>14004</v>
      </c>
      <c r="U6559" t="s">
        <v>14004</v>
      </c>
      <c r="V6559" t="s">
        <v>14004</v>
      </c>
      <c r="W6559" t="s">
        <v>20502</v>
      </c>
      <c r="X6559">
        <v>9</v>
      </c>
      <c r="Y6559" t="s">
        <v>27288</v>
      </c>
      <c r="Z6559" t="s">
        <v>34269</v>
      </c>
      <c r="AA6559">
        <v>1.1029959560362339</v>
      </c>
      <c r="AB6559" t="str">
        <f>HYPERLINK("Melting_Curves/meltCurve_Q9UGU0_2_TCF20.pdf", "Melting_Curves/meltCurve_Q9UGU0_2_TCF20.pdf")</f>
        <v>Melting_Curves/meltCurve_Q9UGU0_2_TCF20.pdf</v>
      </c>
    </row>
    <row r="6560" spans="1:28" x14ac:dyDescent="0.25">
      <c r="A6560" t="s">
        <v>6564</v>
      </c>
      <c r="B6560">
        <v>0.99999676499088797</v>
      </c>
      <c r="C6560">
        <v>0.906357553476415</v>
      </c>
      <c r="D6560">
        <v>0.94440844616883401</v>
      </c>
      <c r="E6560">
        <v>0.85644249123112304</v>
      </c>
      <c r="F6560">
        <v>0.32984905449527302</v>
      </c>
      <c r="G6560">
        <v>0.22722585083396701</v>
      </c>
      <c r="H6560">
        <v>0.10114764282504</v>
      </c>
      <c r="I6560">
        <v>7.7500989320297795E-2</v>
      </c>
      <c r="J6560">
        <v>7.2371608380470701E-2</v>
      </c>
      <c r="K6560">
        <v>6.2266260803975099E-2</v>
      </c>
      <c r="L6560">
        <v>1568.6212636452101</v>
      </c>
      <c r="M6560">
        <v>30.244222139742298</v>
      </c>
      <c r="N6560">
        <v>52.193509695813098</v>
      </c>
      <c r="O6560">
        <v>51.639989921420302</v>
      </c>
      <c r="P6560">
        <v>-0.13373493226311101</v>
      </c>
      <c r="Q6560">
        <v>8.6631890156976393E-2</v>
      </c>
      <c r="R6560">
        <v>0.98636512446501901</v>
      </c>
      <c r="S6560" t="s">
        <v>13563</v>
      </c>
      <c r="T6560" t="s">
        <v>14004</v>
      </c>
      <c r="U6560" t="s">
        <v>14004</v>
      </c>
      <c r="V6560" t="s">
        <v>14004</v>
      </c>
      <c r="W6560" t="s">
        <v>20503</v>
      </c>
      <c r="X6560">
        <v>12</v>
      </c>
      <c r="Y6560" t="s">
        <v>27289</v>
      </c>
      <c r="Z6560" t="s">
        <v>34270</v>
      </c>
      <c r="AA6560">
        <v>0.45360413809272332</v>
      </c>
      <c r="AB6560" t="str">
        <f>HYPERLINK("Melting_Curves/meltCurve_Q9UGV2_NDRG3.pdf", "Melting_Curves/meltCurve_Q9UGV2_NDRG3.pdf")</f>
        <v>Melting_Curves/meltCurve_Q9UGV2_NDRG3.pdf</v>
      </c>
    </row>
    <row r="6561" spans="1:28" x14ac:dyDescent="0.25">
      <c r="A6561" t="s">
        <v>6565</v>
      </c>
      <c r="B6561">
        <v>0.99999676499088797</v>
      </c>
      <c r="C6561">
        <v>0.93295411872453304</v>
      </c>
      <c r="D6561">
        <v>0.97190778118216803</v>
      </c>
      <c r="E6561">
        <v>1.0996609976232601</v>
      </c>
      <c r="F6561">
        <v>0.80287986435006098</v>
      </c>
      <c r="G6561">
        <v>0.233814383763953</v>
      </c>
      <c r="H6561">
        <v>0.101121034805097</v>
      </c>
      <c r="I6561">
        <v>8.5655198331137605E-2</v>
      </c>
      <c r="J6561">
        <v>8.7262881403763898E-2</v>
      </c>
      <c r="K6561">
        <v>6.5039805429561504E-2</v>
      </c>
      <c r="L6561">
        <v>2548.0930997339001</v>
      </c>
      <c r="M6561">
        <v>46.532984383854298</v>
      </c>
      <c r="N6561">
        <v>54.973530915513599</v>
      </c>
      <c r="O6561">
        <v>54.658019793208801</v>
      </c>
      <c r="P6561">
        <v>-0.195155168825981</v>
      </c>
      <c r="Q6561">
        <v>8.30778028556904E-2</v>
      </c>
      <c r="R6561">
        <v>0.99070952473392104</v>
      </c>
      <c r="S6561" t="s">
        <v>13564</v>
      </c>
      <c r="T6561" t="s">
        <v>14004</v>
      </c>
      <c r="U6561" t="s">
        <v>14004</v>
      </c>
      <c r="V6561" t="s">
        <v>14004</v>
      </c>
      <c r="W6561" t="s">
        <v>20504</v>
      </c>
      <c r="X6561">
        <v>12</v>
      </c>
      <c r="Y6561" t="s">
        <v>27290</v>
      </c>
      <c r="Z6561" t="s">
        <v>34271</v>
      </c>
      <c r="AA6561">
        <v>0.53672547695569994</v>
      </c>
      <c r="AB6561" t="str">
        <f>HYPERLINK("Melting_Curves/meltCurve_Q9UH03_2_SEPT3.pdf", "Melting_Curves/meltCurve_Q9UH03_2_SEPT3.pdf")</f>
        <v>Melting_Curves/meltCurve_Q9UH03_2_SEPT3.pdf</v>
      </c>
    </row>
    <row r="6562" spans="1:28" x14ac:dyDescent="0.25">
      <c r="A6562" t="s">
        <v>6566</v>
      </c>
      <c r="B6562">
        <v>0.99999676499088797</v>
      </c>
      <c r="C6562">
        <v>0.93504742035140398</v>
      </c>
      <c r="D6562">
        <v>0.76957499066374602</v>
      </c>
      <c r="E6562">
        <v>0.244603776292113</v>
      </c>
      <c r="F6562">
        <v>0.131974994112532</v>
      </c>
      <c r="G6562">
        <v>9.0393870167642498E-2</v>
      </c>
      <c r="H6562">
        <v>5.24291994514198E-2</v>
      </c>
      <c r="I6562">
        <v>3.0741728006411E-2</v>
      </c>
      <c r="J6562">
        <v>2.6648745829654999E-2</v>
      </c>
      <c r="K6562">
        <v>1.9191573600469199E-2</v>
      </c>
      <c r="L6562">
        <v>1387.7439965178401</v>
      </c>
      <c r="M6562">
        <v>29.141833310649599</v>
      </c>
      <c r="N6562">
        <v>47.779656854457301</v>
      </c>
      <c r="O6562">
        <v>47.397809543573999</v>
      </c>
      <c r="P6562">
        <v>-0.14659323227289001</v>
      </c>
      <c r="Q6562">
        <v>4.6299613634120503E-2</v>
      </c>
      <c r="R6562">
        <v>0.99551984767797097</v>
      </c>
      <c r="S6562" t="s">
        <v>13565</v>
      </c>
      <c r="T6562" t="s">
        <v>14004</v>
      </c>
      <c r="U6562" t="s">
        <v>14004</v>
      </c>
      <c r="V6562" t="s">
        <v>14004</v>
      </c>
      <c r="W6562" t="s">
        <v>20505</v>
      </c>
      <c r="X6562">
        <v>5</v>
      </c>
      <c r="Y6562" t="s">
        <v>27291</v>
      </c>
      <c r="Z6562" t="s">
        <v>34272</v>
      </c>
      <c r="AA6562">
        <v>0.29463705045873811</v>
      </c>
      <c r="AB6562" t="str">
        <f>HYPERLINK("Melting_Curves/meltCurve_Q9UH62_ARMCX3.pdf", "Melting_Curves/meltCurve_Q9UH62_ARMCX3.pdf")</f>
        <v>Melting_Curves/meltCurve_Q9UH62_ARMCX3.pdf</v>
      </c>
    </row>
    <row r="6563" spans="1:28" x14ac:dyDescent="0.25">
      <c r="A6563" t="s">
        <v>6567</v>
      </c>
      <c r="B6563">
        <v>0.99999676499088797</v>
      </c>
      <c r="C6563">
        <v>0.94336045793305001</v>
      </c>
      <c r="D6563">
        <v>0.94456902097948003</v>
      </c>
      <c r="E6563">
        <v>0.937612280688084</v>
      </c>
      <c r="F6563">
        <v>0.54108929125845295</v>
      </c>
      <c r="G6563">
        <v>0.22976151416359</v>
      </c>
      <c r="H6563">
        <v>0.12654490969024201</v>
      </c>
      <c r="I6563">
        <v>0.124346696431203</v>
      </c>
      <c r="J6563">
        <v>0.100577358727327</v>
      </c>
      <c r="K6563">
        <v>0.10130826192789499</v>
      </c>
      <c r="L6563">
        <v>1641.4133250739901</v>
      </c>
      <c r="M6563">
        <v>30.859566642336901</v>
      </c>
      <c r="N6563">
        <v>53.614267460132702</v>
      </c>
      <c r="O6563">
        <v>52.96790518065</v>
      </c>
      <c r="P6563">
        <v>-0.12986624230515501</v>
      </c>
      <c r="Q6563">
        <v>0.10838624851206</v>
      </c>
      <c r="R6563">
        <v>0.99563306429521803</v>
      </c>
      <c r="S6563" t="s">
        <v>13566</v>
      </c>
      <c r="T6563" t="s">
        <v>14004</v>
      </c>
      <c r="U6563" t="s">
        <v>14004</v>
      </c>
      <c r="V6563" t="s">
        <v>14004</v>
      </c>
      <c r="W6563" t="s">
        <v>20506</v>
      </c>
      <c r="X6563">
        <v>20</v>
      </c>
      <c r="Y6563" t="s">
        <v>27292</v>
      </c>
      <c r="Z6563" t="s">
        <v>34273</v>
      </c>
      <c r="AA6563">
        <v>0.50587759607669869</v>
      </c>
      <c r="AB6563" t="str">
        <f>HYPERLINK("Melting_Curves/meltCurve_Q9UH65_SWAP70.pdf", "Melting_Curves/meltCurve_Q9UH65_SWAP70.pdf")</f>
        <v>Melting_Curves/meltCurve_Q9UH65_SWAP70.pdf</v>
      </c>
    </row>
    <row r="6564" spans="1:28" x14ac:dyDescent="0.25">
      <c r="A6564" t="s">
        <v>6568</v>
      </c>
      <c r="B6564">
        <v>0.99999676499088797</v>
      </c>
      <c r="C6564">
        <v>0.95671734466081404</v>
      </c>
      <c r="D6564">
        <v>0.85025356937223295</v>
      </c>
      <c r="E6564">
        <v>0.64200433348109398</v>
      </c>
      <c r="F6564">
        <v>0.29308954638587897</v>
      </c>
      <c r="G6564">
        <v>0.22605803810133199</v>
      </c>
      <c r="H6564">
        <v>0.10668980860115999</v>
      </c>
      <c r="I6564">
        <v>0.104655807937738</v>
      </c>
      <c r="J6564">
        <v>9.6042639453284506E-2</v>
      </c>
      <c r="K6564">
        <v>8.6153790845238096E-2</v>
      </c>
      <c r="L6564">
        <v>930.58378518245399</v>
      </c>
      <c r="M6564">
        <v>18.460466194666601</v>
      </c>
      <c r="N6564">
        <v>50.921314373923899</v>
      </c>
      <c r="O6564">
        <v>49.829188779743703</v>
      </c>
      <c r="P6564">
        <v>-8.4780697620432097E-2</v>
      </c>
      <c r="Q6564">
        <v>8.4667815302024399E-2</v>
      </c>
      <c r="R6564">
        <v>0.99615903940633499</v>
      </c>
      <c r="S6564" t="s">
        <v>13567</v>
      </c>
      <c r="T6564" t="s">
        <v>14004</v>
      </c>
      <c r="U6564" t="s">
        <v>14004</v>
      </c>
      <c r="V6564" t="s">
        <v>14004</v>
      </c>
      <c r="W6564" t="s">
        <v>20507</v>
      </c>
      <c r="X6564">
        <v>16</v>
      </c>
      <c r="Y6564" t="s">
        <v>27293</v>
      </c>
      <c r="Z6564" t="s">
        <v>34274</v>
      </c>
      <c r="AA6564">
        <v>0.41708869582362568</v>
      </c>
      <c r="AB6564" t="str">
        <f>HYPERLINK("Melting_Curves/meltCurve_Q9UH99_SUN2.pdf", "Melting_Curves/meltCurve_Q9UH99_SUN2.pdf")</f>
        <v>Melting_Curves/meltCurve_Q9UH99_SUN2.pdf</v>
      </c>
    </row>
    <row r="6565" spans="1:28" x14ac:dyDescent="0.25">
      <c r="A6565" t="s">
        <v>6569</v>
      </c>
      <c r="B6565">
        <v>0.99999676499088797</v>
      </c>
      <c r="C6565">
        <v>0.94339604037757196</v>
      </c>
      <c r="D6565">
        <v>0.72182113071001497</v>
      </c>
      <c r="E6565">
        <v>0.41388658319786298</v>
      </c>
      <c r="F6565">
        <v>0.25132961321957398</v>
      </c>
      <c r="G6565">
        <v>0.164028681712968</v>
      </c>
      <c r="H6565">
        <v>0.113502332913095</v>
      </c>
      <c r="I6565">
        <v>9.7228399695899095E-2</v>
      </c>
      <c r="J6565">
        <v>0.124186708740071</v>
      </c>
      <c r="K6565">
        <v>0.121625890709686</v>
      </c>
      <c r="L6565">
        <v>933.41876739782504</v>
      </c>
      <c r="M6565">
        <v>19.438701412655799</v>
      </c>
      <c r="N6565">
        <v>48.658061456057602</v>
      </c>
      <c r="O6565">
        <v>47.519049113041</v>
      </c>
      <c r="P6565">
        <v>-9.0743044524651401E-2</v>
      </c>
      <c r="Q6565">
        <v>0.11272548014952299</v>
      </c>
      <c r="R6565">
        <v>0.99786276112563999</v>
      </c>
      <c r="S6565" t="s">
        <v>13568</v>
      </c>
      <c r="T6565" t="s">
        <v>14004</v>
      </c>
      <c r="U6565" t="s">
        <v>14004</v>
      </c>
      <c r="V6565" t="s">
        <v>14004</v>
      </c>
      <c r="W6565" t="s">
        <v>20508</v>
      </c>
      <c r="X6565">
        <v>5</v>
      </c>
      <c r="Y6565" t="s">
        <v>27294</v>
      </c>
      <c r="Z6565" t="s">
        <v>34275</v>
      </c>
      <c r="AA6565">
        <v>0.36326844146103737</v>
      </c>
      <c r="AB6565" t="str">
        <f>HYPERLINK("Melting_Curves/meltCurve_Q9UHA2_SS18L2.pdf", "Melting_Curves/meltCurve_Q9UHA2_SS18L2.pdf")</f>
        <v>Melting_Curves/meltCurve_Q9UHA2_SS18L2.pdf</v>
      </c>
    </row>
    <row r="6566" spans="1:28" x14ac:dyDescent="0.25">
      <c r="A6566" t="s">
        <v>6570</v>
      </c>
      <c r="B6566">
        <v>0.99999676499088797</v>
      </c>
      <c r="C6566">
        <v>1.00499200643854</v>
      </c>
      <c r="D6566">
        <v>0.97215609543177195</v>
      </c>
      <c r="E6566">
        <v>1.2218723976071</v>
      </c>
      <c r="F6566">
        <v>1.30266576761002</v>
      </c>
      <c r="G6566">
        <v>1.2984997872728199</v>
      </c>
      <c r="H6566">
        <v>1.1503353386036801</v>
      </c>
      <c r="I6566">
        <v>0.95542204254057395</v>
      </c>
      <c r="J6566">
        <v>0.64550086120482897</v>
      </c>
      <c r="K6566">
        <v>0.50696129740014095</v>
      </c>
      <c r="L6566">
        <v>4745.3044153485298</v>
      </c>
      <c r="M6566">
        <v>71.602989445682198</v>
      </c>
      <c r="O6566">
        <v>66.220803151953902</v>
      </c>
      <c r="P6566">
        <v>-0.13601891313275999</v>
      </c>
      <c r="Q6566">
        <v>0.496821066406265</v>
      </c>
      <c r="R6566">
        <v>0.59334918692492999</v>
      </c>
      <c r="S6566" t="s">
        <v>13569</v>
      </c>
      <c r="T6566" t="s">
        <v>14004</v>
      </c>
      <c r="U6566" t="s">
        <v>14004</v>
      </c>
      <c r="V6566" t="s">
        <v>14004</v>
      </c>
      <c r="W6566" t="s">
        <v>20509</v>
      </c>
      <c r="X6566">
        <v>3</v>
      </c>
      <c r="Y6566" t="s">
        <v>27295</v>
      </c>
      <c r="Z6566" t="s">
        <v>34276</v>
      </c>
      <c r="AA6566">
        <v>0.93780405128742161</v>
      </c>
      <c r="AB6566" t="str">
        <f>HYPERLINK("Melting_Curves/meltCurve_Q9UHA4_LAMTOR3.pdf", "Melting_Curves/meltCurve_Q9UHA4_LAMTOR3.pdf")</f>
        <v>Melting_Curves/meltCurve_Q9UHA4_LAMTOR3.pdf</v>
      </c>
    </row>
    <row r="6567" spans="1:28" x14ac:dyDescent="0.25">
      <c r="A6567" t="s">
        <v>6571</v>
      </c>
      <c r="B6567">
        <v>0.99999676499088797</v>
      </c>
      <c r="C6567">
        <v>1.0142470587719099</v>
      </c>
      <c r="D6567">
        <v>1.0037505840219201</v>
      </c>
      <c r="E6567">
        <v>0.93395827657971797</v>
      </c>
      <c r="F6567">
        <v>0.80442943678010104</v>
      </c>
      <c r="G6567">
        <v>0.64125040163723401</v>
      </c>
      <c r="H6567">
        <v>0.395767348084544</v>
      </c>
      <c r="I6567">
        <v>0.45458414438275102</v>
      </c>
      <c r="J6567">
        <v>0.48518508240534503</v>
      </c>
      <c r="K6567">
        <v>0.57485377485371303</v>
      </c>
      <c r="L6567">
        <v>1503.2825581376701</v>
      </c>
      <c r="M6567">
        <v>27.7082119856221</v>
      </c>
      <c r="N6567">
        <v>61.140747978375998</v>
      </c>
      <c r="O6567">
        <v>53.9738101581721</v>
      </c>
      <c r="P6567">
        <v>-6.7001953542831394E-2</v>
      </c>
      <c r="Q6567">
        <v>0.477942752307355</v>
      </c>
      <c r="R6567">
        <v>0.95493306029830904</v>
      </c>
      <c r="S6567" t="s">
        <v>13570</v>
      </c>
      <c r="T6567" t="s">
        <v>14004</v>
      </c>
      <c r="U6567" t="s">
        <v>14004</v>
      </c>
      <c r="V6567" t="s">
        <v>14004</v>
      </c>
      <c r="W6567" t="s">
        <v>20510</v>
      </c>
      <c r="X6567">
        <v>25</v>
      </c>
      <c r="Y6567" t="s">
        <v>27296</v>
      </c>
      <c r="Z6567" t="s">
        <v>34277</v>
      </c>
      <c r="AA6567">
        <v>0.72998944683751255</v>
      </c>
      <c r="AB6567" t="str">
        <f>HYPERLINK("Melting_Curves/meltCurve_Q9UHB6_LIMA1.pdf", "Melting_Curves/meltCurve_Q9UHB6_LIMA1.pdf")</f>
        <v>Melting_Curves/meltCurve_Q9UHB6_LIMA1.pdf</v>
      </c>
    </row>
    <row r="6568" spans="1:28" x14ac:dyDescent="0.25">
      <c r="A6568" t="s">
        <v>6572</v>
      </c>
      <c r="B6568">
        <v>0.99999676499088797</v>
      </c>
      <c r="C6568">
        <v>0.80903891183759302</v>
      </c>
      <c r="D6568">
        <v>0.87955551522608699</v>
      </c>
      <c r="E6568">
        <v>1.4067442695364201</v>
      </c>
      <c r="F6568">
        <v>1.29849378475777</v>
      </c>
      <c r="G6568">
        <v>1.34393454249301</v>
      </c>
      <c r="H6568">
        <v>0.79631932846903397</v>
      </c>
      <c r="I6568">
        <v>0.54771685579978702</v>
      </c>
      <c r="J6568">
        <v>0.595995614594374</v>
      </c>
      <c r="K6568">
        <v>1.09429449286393</v>
      </c>
      <c r="L6568">
        <v>15000</v>
      </c>
      <c r="M6568">
        <v>248.10876974279</v>
      </c>
      <c r="O6568">
        <v>60.453427046112502</v>
      </c>
      <c r="P6568">
        <v>-0.26060962561252698</v>
      </c>
      <c r="Q6568">
        <v>0.74600261027350301</v>
      </c>
      <c r="R6568">
        <v>0.27467160619112202</v>
      </c>
      <c r="S6568" t="s">
        <v>13571</v>
      </c>
      <c r="T6568" t="s">
        <v>14004</v>
      </c>
      <c r="U6568" t="s">
        <v>14004</v>
      </c>
      <c r="V6568" t="s">
        <v>14004</v>
      </c>
      <c r="W6568" t="s">
        <v>20511</v>
      </c>
      <c r="X6568">
        <v>26</v>
      </c>
      <c r="Y6568" t="s">
        <v>27296</v>
      </c>
      <c r="Z6568" t="s">
        <v>34278</v>
      </c>
      <c r="AA6568">
        <v>0.91923379902337488</v>
      </c>
      <c r="AB6568" t="str">
        <f>HYPERLINK("Melting_Curves/meltCurve_Q9UHB6_4_LIMA1.pdf", "Melting_Curves/meltCurve_Q9UHB6_4_LIMA1.pdf")</f>
        <v>Melting_Curves/meltCurve_Q9UHB6_4_LIMA1.pdf</v>
      </c>
    </row>
    <row r="6569" spans="1:28" x14ac:dyDescent="0.25">
      <c r="A6569" t="s">
        <v>6573</v>
      </c>
      <c r="B6569">
        <v>0.99999676499088797</v>
      </c>
      <c r="C6569">
        <v>1.0174907055284701</v>
      </c>
      <c r="D6569">
        <v>0.89176153086158105</v>
      </c>
      <c r="E6569">
        <v>0.63033937055607203</v>
      </c>
      <c r="F6569">
        <v>0.39833465536151302</v>
      </c>
      <c r="G6569">
        <v>0.23874336681054001</v>
      </c>
      <c r="H6569">
        <v>0.113400001547152</v>
      </c>
      <c r="I6569">
        <v>9.8811905912051398E-2</v>
      </c>
      <c r="J6569">
        <v>0.110855596475066</v>
      </c>
      <c r="K6569">
        <v>9.9572371932904594E-2</v>
      </c>
      <c r="L6569">
        <v>909.37591004224601</v>
      </c>
      <c r="M6569">
        <v>17.822095362793402</v>
      </c>
      <c r="N6569">
        <v>51.585032020013699</v>
      </c>
      <c r="O6569">
        <v>50.395787796667399</v>
      </c>
      <c r="P6569">
        <v>-8.0640739714610402E-2</v>
      </c>
      <c r="Q6569">
        <v>8.7931062921353401E-2</v>
      </c>
      <c r="R6569">
        <v>0.99658763189205302</v>
      </c>
      <c r="S6569" t="s">
        <v>13572</v>
      </c>
      <c r="T6569" t="s">
        <v>14004</v>
      </c>
      <c r="U6569" t="s">
        <v>14004</v>
      </c>
      <c r="V6569" t="s">
        <v>14004</v>
      </c>
      <c r="W6569" t="s">
        <v>20512</v>
      </c>
      <c r="X6569">
        <v>5</v>
      </c>
      <c r="Y6569" t="s">
        <v>27297</v>
      </c>
      <c r="Z6569" t="s">
        <v>34279</v>
      </c>
      <c r="AA6569">
        <v>0.43876240001571692</v>
      </c>
      <c r="AB6569" t="str">
        <f>HYPERLINK("Melting_Curves/meltCurve_Q9UHB7_AFF4.pdf", "Melting_Curves/meltCurve_Q9UHB7_AFF4.pdf")</f>
        <v>Melting_Curves/meltCurve_Q9UHB7_AFF4.pdf</v>
      </c>
    </row>
    <row r="6570" spans="1:28" x14ac:dyDescent="0.25">
      <c r="A6570" t="s">
        <v>6574</v>
      </c>
      <c r="B6570">
        <v>0.99999676499088797</v>
      </c>
      <c r="C6570">
        <v>1.0446036627656701</v>
      </c>
      <c r="D6570">
        <v>1.0511751516301699</v>
      </c>
      <c r="E6570">
        <v>0.40188037487471401</v>
      </c>
      <c r="F6570">
        <v>0.19709413719772001</v>
      </c>
      <c r="G6570">
        <v>0.13088260012393399</v>
      </c>
      <c r="H6570">
        <v>6.0910512808287597E-2</v>
      </c>
      <c r="I6570">
        <v>7.1185299662990295E-2</v>
      </c>
      <c r="J6570">
        <v>6.1838401812143097E-2</v>
      </c>
      <c r="K6570">
        <v>5.6453683944134497E-2</v>
      </c>
      <c r="L6570">
        <v>4021.3981479642598</v>
      </c>
      <c r="M6570">
        <v>81.738064442180104</v>
      </c>
      <c r="N6570">
        <v>49.327073676762602</v>
      </c>
      <c r="O6570">
        <v>49.169168293563402</v>
      </c>
      <c r="P6570">
        <v>-0.37575229340327398</v>
      </c>
      <c r="Q6570">
        <v>9.5871576882722895E-2</v>
      </c>
      <c r="R6570">
        <v>0.98836979410218295</v>
      </c>
      <c r="S6570" t="s">
        <v>13573</v>
      </c>
      <c r="T6570" t="s">
        <v>14004</v>
      </c>
      <c r="U6570" t="s">
        <v>14004</v>
      </c>
      <c r="V6570" t="s">
        <v>14004</v>
      </c>
      <c r="W6570" t="s">
        <v>20513</v>
      </c>
      <c r="X6570">
        <v>26</v>
      </c>
      <c r="Y6570" t="s">
        <v>27298</v>
      </c>
      <c r="Z6570" t="s">
        <v>34280</v>
      </c>
      <c r="AA6570">
        <v>0.37382699654511531</v>
      </c>
      <c r="AB6570" t="str">
        <f>HYPERLINK("Melting_Curves/meltCurve_Q9UHB9_SRP68.pdf", "Melting_Curves/meltCurve_Q9UHB9_SRP68.pdf")</f>
        <v>Melting_Curves/meltCurve_Q9UHB9_SRP68.pdf</v>
      </c>
    </row>
    <row r="6571" spans="1:28" x14ac:dyDescent="0.25">
      <c r="A6571" t="s">
        <v>6575</v>
      </c>
      <c r="B6571">
        <v>0.99999676499088797</v>
      </c>
      <c r="C6571">
        <v>0.98678822539087696</v>
      </c>
      <c r="D6571">
        <v>0.85118193451576896</v>
      </c>
      <c r="E6571">
        <v>0.64721295722851602</v>
      </c>
      <c r="F6571">
        <v>0.43569930296012099</v>
      </c>
      <c r="G6571">
        <v>0.34587574722608699</v>
      </c>
      <c r="H6571">
        <v>0.18778749210467499</v>
      </c>
      <c r="I6571">
        <v>0.20791614037184</v>
      </c>
      <c r="J6571">
        <v>0.230731504866825</v>
      </c>
      <c r="K6571">
        <v>0.23665330798634901</v>
      </c>
      <c r="L6571">
        <v>849.27096737115903</v>
      </c>
      <c r="M6571">
        <v>16.867728675903798</v>
      </c>
      <c r="N6571">
        <v>51.967624349019097</v>
      </c>
      <c r="O6571">
        <v>49.657173471874998</v>
      </c>
      <c r="P6571">
        <v>-6.7571927622913502E-2</v>
      </c>
      <c r="Q6571">
        <v>0.20434646433594</v>
      </c>
      <c r="R6571">
        <v>0.99269162790797805</v>
      </c>
      <c r="S6571" t="s">
        <v>13574</v>
      </c>
      <c r="T6571" t="s">
        <v>14004</v>
      </c>
      <c r="U6571" t="s">
        <v>14004</v>
      </c>
      <c r="V6571" t="s">
        <v>14004</v>
      </c>
      <c r="W6571" t="s">
        <v>20514</v>
      </c>
      <c r="X6571">
        <v>3</v>
      </c>
      <c r="Y6571" t="s">
        <v>27299</v>
      </c>
      <c r="Z6571" t="s">
        <v>34281</v>
      </c>
      <c r="AA6571">
        <v>0.49404626260339218</v>
      </c>
      <c r="AB6571" t="str">
        <f>HYPERLINK("Melting_Curves/meltCurve_Q9UHC7_4_MKRN1.pdf", "Melting_Curves/meltCurve_Q9UHC7_4_MKRN1.pdf")</f>
        <v>Melting_Curves/meltCurve_Q9UHC7_4_MKRN1.pdf</v>
      </c>
    </row>
    <row r="6572" spans="1:28" x14ac:dyDescent="0.25">
      <c r="A6572" t="s">
        <v>6576</v>
      </c>
      <c r="B6572">
        <v>0.99999676499088797</v>
      </c>
      <c r="C6572">
        <v>0.91202409780490701</v>
      </c>
      <c r="D6572">
        <v>0.94186730956945497</v>
      </c>
      <c r="E6572">
        <v>0.96734736732714999</v>
      </c>
      <c r="F6572">
        <v>0.47340051360329699</v>
      </c>
      <c r="G6572">
        <v>0.198981424811536</v>
      </c>
      <c r="H6572">
        <v>8.9053918058716999E-2</v>
      </c>
      <c r="I6572">
        <v>8.6521727314713998E-2</v>
      </c>
      <c r="J6572">
        <v>7.8496367945002907E-2</v>
      </c>
      <c r="K6572">
        <v>6.2636040925190595E-2</v>
      </c>
      <c r="L6572">
        <v>1907.9304787266501</v>
      </c>
      <c r="M6572">
        <v>36.056234732868496</v>
      </c>
      <c r="N6572">
        <v>53.186453527420902</v>
      </c>
      <c r="O6572">
        <v>52.753431728290899</v>
      </c>
      <c r="P6572">
        <v>-0.15653139270062399</v>
      </c>
      <c r="Q6572">
        <v>8.3926295486332694E-2</v>
      </c>
      <c r="R6572">
        <v>0.99052034569703995</v>
      </c>
      <c r="S6572" t="s">
        <v>13575</v>
      </c>
      <c r="T6572" t="s">
        <v>14004</v>
      </c>
      <c r="U6572" t="s">
        <v>14004</v>
      </c>
      <c r="V6572" t="s">
        <v>14004</v>
      </c>
      <c r="W6572" t="s">
        <v>20515</v>
      </c>
      <c r="X6572">
        <v>20</v>
      </c>
      <c r="Y6572" t="s">
        <v>27300</v>
      </c>
      <c r="Z6572" t="s">
        <v>34282</v>
      </c>
      <c r="AA6572">
        <v>0.48242946710806262</v>
      </c>
      <c r="AB6572" t="str">
        <f>HYPERLINK("Melting_Curves/meltCurve_Q9UHD1_CHORDC1.pdf", "Melting_Curves/meltCurve_Q9UHD1_CHORDC1.pdf")</f>
        <v>Melting_Curves/meltCurve_Q9UHD1_CHORDC1.pdf</v>
      </c>
    </row>
    <row r="6573" spans="1:28" x14ac:dyDescent="0.25">
      <c r="A6573" t="s">
        <v>6577</v>
      </c>
      <c r="B6573">
        <v>0.99999676499088797</v>
      </c>
      <c r="C6573">
        <v>0.91410862651484004</v>
      </c>
      <c r="D6573">
        <v>0.87353647835757597</v>
      </c>
      <c r="E6573">
        <v>0.29975116364019999</v>
      </c>
      <c r="F6573">
        <v>0.15393908657408101</v>
      </c>
      <c r="G6573">
        <v>6.8351645520501103E-2</v>
      </c>
      <c r="H6573">
        <v>2.8444243846934399E-2</v>
      </c>
      <c r="I6573">
        <v>9.9789503015590905E-3</v>
      </c>
      <c r="J6573">
        <v>4.88608280848567E-2</v>
      </c>
      <c r="K6573">
        <v>1.7423832787426999E-2</v>
      </c>
      <c r="L6573">
        <v>1516.05598800602</v>
      </c>
      <c r="M6573">
        <v>31.381748747925901</v>
      </c>
      <c r="N6573">
        <v>48.440445088864699</v>
      </c>
      <c r="O6573">
        <v>48.115228291930698</v>
      </c>
      <c r="P6573">
        <v>-0.156455171491092</v>
      </c>
      <c r="Q6573">
        <v>4.0482617226758499E-2</v>
      </c>
      <c r="R6573">
        <v>0.99143892753372698</v>
      </c>
      <c r="S6573" t="s">
        <v>13576</v>
      </c>
      <c r="T6573" t="s">
        <v>14004</v>
      </c>
      <c r="U6573" t="s">
        <v>14004</v>
      </c>
      <c r="V6573" t="s">
        <v>14004</v>
      </c>
      <c r="W6573" t="s">
        <v>20516</v>
      </c>
      <c r="X6573">
        <v>3</v>
      </c>
      <c r="Y6573" t="s">
        <v>27301</v>
      </c>
      <c r="Z6573" t="s">
        <v>34283</v>
      </c>
      <c r="AA6573">
        <v>0.31154971839953388</v>
      </c>
      <c r="AB6573" t="str">
        <f>HYPERLINK("Melting_Curves/meltCurve_Q9UHD2_TBK1.pdf", "Melting_Curves/meltCurve_Q9UHD2_TBK1.pdf")</f>
        <v>Melting_Curves/meltCurve_Q9UHD2_TBK1.pdf</v>
      </c>
    </row>
    <row r="6574" spans="1:28" x14ac:dyDescent="0.25">
      <c r="A6574" t="s">
        <v>6578</v>
      </c>
      <c r="B6574">
        <v>0.99999676499088797</v>
      </c>
      <c r="C6574">
        <v>0.99334885022984198</v>
      </c>
      <c r="D6574">
        <v>0.96448248584317697</v>
      </c>
      <c r="E6574">
        <v>0.96162831355812295</v>
      </c>
      <c r="F6574">
        <v>0.66614645125479499</v>
      </c>
      <c r="G6574">
        <v>0.22236680932084299</v>
      </c>
      <c r="H6574">
        <v>0.10382303571030101</v>
      </c>
      <c r="I6574">
        <v>9.8367922810193603E-2</v>
      </c>
      <c r="J6574">
        <v>0.10597784514861699</v>
      </c>
      <c r="K6574">
        <v>8.3973092551182099E-2</v>
      </c>
      <c r="L6574">
        <v>1943.32141034694</v>
      </c>
      <c r="M6574">
        <v>35.995421822127703</v>
      </c>
      <c r="N6574">
        <v>54.298014244831101</v>
      </c>
      <c r="O6574">
        <v>53.822201240370497</v>
      </c>
      <c r="P6574">
        <v>-0.151666523621098</v>
      </c>
      <c r="Q6574">
        <v>9.2884674737567799E-2</v>
      </c>
      <c r="R6574">
        <v>0.99912764369733997</v>
      </c>
      <c r="S6574" t="s">
        <v>13577</v>
      </c>
      <c r="T6574" t="s">
        <v>14004</v>
      </c>
      <c r="U6574" t="s">
        <v>14004</v>
      </c>
      <c r="V6574" t="s">
        <v>14004</v>
      </c>
      <c r="W6574" t="s">
        <v>20517</v>
      </c>
      <c r="X6574">
        <v>44</v>
      </c>
      <c r="Y6574" t="s">
        <v>27302</v>
      </c>
      <c r="Z6574" t="s">
        <v>34284</v>
      </c>
      <c r="AA6574">
        <v>0.52001129229781295</v>
      </c>
      <c r="AB6574" t="str">
        <f>HYPERLINK("Melting_Curves/meltCurve_Q9UHD8_SEPT9.pdf", "Melting_Curves/meltCurve_Q9UHD8_SEPT9.pdf")</f>
        <v>Melting_Curves/meltCurve_Q9UHD8_SEPT9.pdf</v>
      </c>
    </row>
    <row r="6575" spans="1:28" x14ac:dyDescent="0.25">
      <c r="A6575" t="s">
        <v>6579</v>
      </c>
      <c r="B6575">
        <v>0.99999676499088797</v>
      </c>
      <c r="C6575">
        <v>0.97668505009978501</v>
      </c>
      <c r="D6575">
        <v>1.0488880180200399</v>
      </c>
      <c r="E6575">
        <v>1.11782735782448</v>
      </c>
      <c r="F6575">
        <v>1.21107363428739</v>
      </c>
      <c r="G6575">
        <v>0.79390082804075701</v>
      </c>
      <c r="H6575">
        <v>0.4464805631928</v>
      </c>
      <c r="I6575">
        <v>0.39630686929932901</v>
      </c>
      <c r="J6575">
        <v>0.42529909772788699</v>
      </c>
      <c r="K6575">
        <v>0.67023249887164005</v>
      </c>
      <c r="L6575">
        <v>14223.062076009701</v>
      </c>
      <c r="M6575">
        <v>250</v>
      </c>
      <c r="N6575">
        <v>57.695116500335402</v>
      </c>
      <c r="O6575">
        <v>56.888607593641503</v>
      </c>
      <c r="P6575">
        <v>-0.56626040492805296</v>
      </c>
      <c r="Q6575">
        <v>0.484579745202041</v>
      </c>
      <c r="R6575">
        <v>0.87188500907123401</v>
      </c>
      <c r="S6575" t="s">
        <v>13578</v>
      </c>
      <c r="T6575" t="s">
        <v>14004</v>
      </c>
      <c r="U6575" t="s">
        <v>14004</v>
      </c>
      <c r="V6575" t="s">
        <v>14004</v>
      </c>
      <c r="W6575" t="s">
        <v>20518</v>
      </c>
      <c r="X6575">
        <v>9</v>
      </c>
      <c r="Y6575" t="s">
        <v>27303</v>
      </c>
      <c r="Z6575" t="s">
        <v>34285</v>
      </c>
      <c r="AA6575">
        <v>0.77485143817531033</v>
      </c>
      <c r="AB6575" t="str">
        <f>HYPERLINK("Melting_Curves/meltCurve_Q9UHD9_UBQLN2.pdf", "Melting_Curves/meltCurve_Q9UHD9_UBQLN2.pdf")</f>
        <v>Melting_Curves/meltCurve_Q9UHD9_UBQLN2.pdf</v>
      </c>
    </row>
    <row r="6576" spans="1:28" x14ac:dyDescent="0.25">
      <c r="A6576" t="s">
        <v>6580</v>
      </c>
      <c r="B6576">
        <v>0.99999676499088797</v>
      </c>
      <c r="C6576">
        <v>0.99910405650013001</v>
      </c>
      <c r="D6576">
        <v>1.082419712576</v>
      </c>
      <c r="E6576">
        <v>1.29791324954541</v>
      </c>
      <c r="F6576">
        <v>1.29309105106504</v>
      </c>
      <c r="G6576">
        <v>1.0969627321376301</v>
      </c>
      <c r="H6576">
        <v>0.61348770008530695</v>
      </c>
      <c r="I6576">
        <v>0.23588966242985501</v>
      </c>
      <c r="J6576">
        <v>0.185367225598152</v>
      </c>
      <c r="K6576">
        <v>0.17367141147999701</v>
      </c>
      <c r="L6576">
        <v>4660.31242143496</v>
      </c>
      <c r="M6576">
        <v>76.5411172833861</v>
      </c>
      <c r="N6576">
        <v>61.2717028237658</v>
      </c>
      <c r="O6576">
        <v>60.8448680485144</v>
      </c>
      <c r="P6576">
        <v>-0.25441826634005799</v>
      </c>
      <c r="Q6576">
        <v>0.19102078081176299</v>
      </c>
      <c r="R6576">
        <v>0.896583621754659</v>
      </c>
      <c r="S6576" t="s">
        <v>13579</v>
      </c>
      <c r="T6576" t="s">
        <v>14004</v>
      </c>
      <c r="U6576" t="s">
        <v>14004</v>
      </c>
      <c r="V6576" t="s">
        <v>14004</v>
      </c>
      <c r="W6576" t="s">
        <v>20519</v>
      </c>
      <c r="X6576">
        <v>14</v>
      </c>
      <c r="Y6576" t="s">
        <v>27304</v>
      </c>
      <c r="Z6576" t="s">
        <v>34286</v>
      </c>
      <c r="AA6576">
        <v>0.75516546586729405</v>
      </c>
      <c r="AB6576" t="str">
        <f>HYPERLINK("Melting_Curves/meltCurve_Q9UHG3_PCYOX1.pdf", "Melting_Curves/meltCurve_Q9UHG3_PCYOX1.pdf")</f>
        <v>Melting_Curves/meltCurve_Q9UHG3_PCYOX1.pdf</v>
      </c>
    </row>
    <row r="6577" spans="1:28" x14ac:dyDescent="0.25">
      <c r="A6577" t="s">
        <v>6581</v>
      </c>
      <c r="B6577">
        <v>0.99999676499088797</v>
      </c>
      <c r="C6577">
        <v>0.79438694105628005</v>
      </c>
      <c r="D6577">
        <v>0.55918307654891997</v>
      </c>
      <c r="E6577">
        <v>0.305807858061661</v>
      </c>
      <c r="F6577">
        <v>0.16772299905695501</v>
      </c>
      <c r="G6577">
        <v>0.106230618659062</v>
      </c>
      <c r="H6577">
        <v>3.33991686635828E-2</v>
      </c>
      <c r="I6577">
        <v>2.5301342377262101E-2</v>
      </c>
      <c r="J6577">
        <v>5.3215766685475098E-2</v>
      </c>
      <c r="K6577">
        <v>2.4492904692752299E-2</v>
      </c>
      <c r="L6577">
        <v>749.17402021196301</v>
      </c>
      <c r="M6577">
        <v>16.039675621469598</v>
      </c>
      <c r="N6577">
        <v>46.890869288635201</v>
      </c>
      <c r="O6577">
        <v>45.999629252259702</v>
      </c>
      <c r="P6577">
        <v>-8.4530240166758003E-2</v>
      </c>
      <c r="Q6577">
        <v>3.0389958237805801E-2</v>
      </c>
      <c r="R6577">
        <v>0.99453088808326995</v>
      </c>
      <c r="S6577" t="s">
        <v>13580</v>
      </c>
      <c r="T6577" t="s">
        <v>14004</v>
      </c>
      <c r="U6577" t="s">
        <v>14004</v>
      </c>
      <c r="V6577" t="s">
        <v>14004</v>
      </c>
      <c r="W6577" t="s">
        <v>20520</v>
      </c>
      <c r="X6577">
        <v>1</v>
      </c>
      <c r="Y6577" t="s">
        <v>27305</v>
      </c>
      <c r="Z6577" t="s">
        <v>34287</v>
      </c>
      <c r="AA6577">
        <v>0.27050134958815081</v>
      </c>
      <c r="AB6577" t="str">
        <f>HYPERLINK("Melting_Curves/meltCurve_Q9UHI6_DDX20.pdf", "Melting_Curves/meltCurve_Q9UHI6_DDX20.pdf")</f>
        <v>Melting_Curves/meltCurve_Q9UHI6_DDX20.pdf</v>
      </c>
    </row>
    <row r="6578" spans="1:28" x14ac:dyDescent="0.25">
      <c r="A6578" t="s">
        <v>6582</v>
      </c>
      <c r="B6578">
        <v>0.99999676499088797</v>
      </c>
      <c r="C6578">
        <v>1.0046746877781201</v>
      </c>
      <c r="D6578">
        <v>1.0023429014587799</v>
      </c>
      <c r="E6578">
        <v>0.94054761301199497</v>
      </c>
      <c r="F6578">
        <v>0.44348433305473101</v>
      </c>
      <c r="G6578">
        <v>0.29006792869669701</v>
      </c>
      <c r="H6578">
        <v>0.108188772672431</v>
      </c>
      <c r="I6578">
        <v>8.86714483836374E-2</v>
      </c>
      <c r="J6578">
        <v>9.2455350850080206E-2</v>
      </c>
      <c r="K6578">
        <v>9.0399281958218405E-2</v>
      </c>
      <c r="L6578">
        <v>1545.35220812281</v>
      </c>
      <c r="M6578">
        <v>29.254471445143199</v>
      </c>
      <c r="N6578">
        <v>53.234949315389102</v>
      </c>
      <c r="O6578">
        <v>52.579507145976201</v>
      </c>
      <c r="P6578">
        <v>-0.12505297546332</v>
      </c>
      <c r="Q6578">
        <v>0.100968280739772</v>
      </c>
      <c r="R6578">
        <v>0.99072719898330996</v>
      </c>
      <c r="S6578" t="s">
        <v>13581</v>
      </c>
      <c r="T6578" t="s">
        <v>14004</v>
      </c>
      <c r="U6578" t="s">
        <v>14004</v>
      </c>
      <c r="V6578" t="s">
        <v>14004</v>
      </c>
      <c r="W6578" t="s">
        <v>20521</v>
      </c>
      <c r="X6578">
        <v>7</v>
      </c>
      <c r="Y6578" t="s">
        <v>27306</v>
      </c>
      <c r="Z6578" t="s">
        <v>34288</v>
      </c>
      <c r="AA6578">
        <v>0.49139846433705647</v>
      </c>
      <c r="AB6578" t="str">
        <f>HYPERLINK("Melting_Curves/meltCurve_Q9UHJ6_SHPK.pdf", "Melting_Curves/meltCurve_Q9UHJ6_SHPK.pdf")</f>
        <v>Melting_Curves/meltCurve_Q9UHJ6_SHPK.pdf</v>
      </c>
    </row>
    <row r="6579" spans="1:28" x14ac:dyDescent="0.25">
      <c r="A6579" t="s">
        <v>6583</v>
      </c>
      <c r="B6579">
        <v>0.99999676499088797</v>
      </c>
      <c r="C6579">
        <v>1.01369936634395</v>
      </c>
      <c r="D6579">
        <v>1.0218870401107301</v>
      </c>
      <c r="E6579">
        <v>0.96737016137974696</v>
      </c>
      <c r="F6579">
        <v>0.92447669917118902</v>
      </c>
      <c r="G6579">
        <v>0.79935115029204296</v>
      </c>
      <c r="H6579">
        <v>0.516319809435</v>
      </c>
      <c r="I6579">
        <v>0.36125161486362201</v>
      </c>
      <c r="J6579">
        <v>0.29108989438632998</v>
      </c>
      <c r="K6579">
        <v>0.27965921001142302</v>
      </c>
      <c r="L6579">
        <v>1296.2716736299001</v>
      </c>
      <c r="M6579">
        <v>21.890594323109799</v>
      </c>
      <c r="N6579">
        <v>61.087040989102803</v>
      </c>
      <c r="O6579">
        <v>58.728390056128802</v>
      </c>
      <c r="P6579">
        <v>-7.0424090393064395E-2</v>
      </c>
      <c r="Q6579">
        <v>0.244278222847367</v>
      </c>
      <c r="R6579">
        <v>0.99796085871623597</v>
      </c>
      <c r="S6579" t="s">
        <v>13582</v>
      </c>
      <c r="T6579" t="s">
        <v>14004</v>
      </c>
      <c r="U6579" t="s">
        <v>14004</v>
      </c>
      <c r="V6579" t="s">
        <v>14004</v>
      </c>
      <c r="W6579" t="s">
        <v>20522</v>
      </c>
      <c r="X6579">
        <v>8</v>
      </c>
      <c r="Y6579" t="s">
        <v>27307</v>
      </c>
      <c r="Z6579" t="s">
        <v>34289</v>
      </c>
      <c r="AA6579">
        <v>0.73526419745422933</v>
      </c>
      <c r="AB6579" t="str">
        <f>HYPERLINK("Melting_Curves/meltCurve_Q9UHL4_DPP7.pdf", "Melting_Curves/meltCurve_Q9UHL4_DPP7.pdf")</f>
        <v>Melting_Curves/meltCurve_Q9UHL4_DPP7.pdf</v>
      </c>
    </row>
    <row r="6580" spans="1:28" x14ac:dyDescent="0.25">
      <c r="A6580" t="s">
        <v>6584</v>
      </c>
      <c r="B6580">
        <v>0.99999676499088797</v>
      </c>
      <c r="C6580">
        <v>0.85498546368066097</v>
      </c>
      <c r="D6580">
        <v>0.80280414883843898</v>
      </c>
      <c r="E6580">
        <v>0.88109262674716404</v>
      </c>
      <c r="F6580">
        <v>0.69989307013669499</v>
      </c>
      <c r="G6580">
        <v>0.52091105652661496</v>
      </c>
      <c r="H6580">
        <v>0.456174354170852</v>
      </c>
      <c r="I6580">
        <v>0.41788840394796001</v>
      </c>
      <c r="J6580">
        <v>0.35201915366116798</v>
      </c>
      <c r="K6580">
        <v>0.47899029084003603</v>
      </c>
      <c r="L6580">
        <v>496.021810419769</v>
      </c>
      <c r="M6580">
        <v>9.3108703371650492</v>
      </c>
      <c r="N6580">
        <v>59.9062302611948</v>
      </c>
      <c r="O6580">
        <v>50.989096597784297</v>
      </c>
      <c r="P6580">
        <v>-3.0986981840775901E-2</v>
      </c>
      <c r="Q6580">
        <v>0.32165750214600702</v>
      </c>
      <c r="R6580">
        <v>0.91476535759714395</v>
      </c>
      <c r="S6580" t="s">
        <v>13583</v>
      </c>
      <c r="T6580" t="s">
        <v>14004</v>
      </c>
      <c r="U6580" t="s">
        <v>14004</v>
      </c>
      <c r="V6580" t="s">
        <v>14004</v>
      </c>
      <c r="W6580" t="s">
        <v>20523</v>
      </c>
      <c r="X6580">
        <v>6</v>
      </c>
      <c r="Y6580" t="s">
        <v>27308</v>
      </c>
      <c r="Z6580" t="s">
        <v>34290</v>
      </c>
      <c r="AA6580">
        <v>0.64559895811299284</v>
      </c>
      <c r="AB6580" t="str">
        <f>HYPERLINK("Melting_Curves/meltCurve_Q9UHN1_POLG2.pdf", "Melting_Curves/meltCurve_Q9UHN1_POLG2.pdf")</f>
        <v>Melting_Curves/meltCurve_Q9UHN1_POLG2.pdf</v>
      </c>
    </row>
    <row r="6581" spans="1:28" x14ac:dyDescent="0.25">
      <c r="A6581" t="s">
        <v>6585</v>
      </c>
      <c r="B6581">
        <v>0.99999676499088797</v>
      </c>
      <c r="C6581">
        <v>0.96683918094723298</v>
      </c>
      <c r="D6581">
        <v>0.96992809468443697</v>
      </c>
      <c r="E6581">
        <v>1.01557861146946</v>
      </c>
      <c r="F6581">
        <v>1.1663788786629501</v>
      </c>
      <c r="G6581">
        <v>0.62364134021137996</v>
      </c>
      <c r="H6581">
        <v>0.42887590327092601</v>
      </c>
      <c r="I6581">
        <v>0.29280630629631899</v>
      </c>
      <c r="J6581">
        <v>0.265143209705066</v>
      </c>
      <c r="K6581">
        <v>0.24954053892105599</v>
      </c>
      <c r="L6581">
        <v>14189.810104615601</v>
      </c>
      <c r="M6581">
        <v>250</v>
      </c>
      <c r="N6581">
        <v>56.978685361409603</v>
      </c>
      <c r="O6581">
        <v>56.755608224442398</v>
      </c>
      <c r="P6581">
        <v>-0.76083728983947296</v>
      </c>
      <c r="Q6581">
        <v>0.30909147074934501</v>
      </c>
      <c r="R6581">
        <v>0.957905516243582</v>
      </c>
      <c r="S6581" t="s">
        <v>13584</v>
      </c>
      <c r="T6581" t="s">
        <v>14004</v>
      </c>
      <c r="U6581" t="s">
        <v>14004</v>
      </c>
      <c r="V6581" t="s">
        <v>14004</v>
      </c>
      <c r="W6581" t="s">
        <v>20524</v>
      </c>
      <c r="X6581">
        <v>2</v>
      </c>
      <c r="Y6581" t="s">
        <v>27309</v>
      </c>
      <c r="Z6581" t="s">
        <v>34291</v>
      </c>
      <c r="AA6581">
        <v>0.69513036487130897</v>
      </c>
      <c r="AB6581" t="str">
        <f>HYPERLINK("Melting_Curves/meltCurve_Q9UHN6_2_TMEM2.pdf", "Melting_Curves/meltCurve_Q9UHN6_2_TMEM2.pdf")</f>
        <v>Melting_Curves/meltCurve_Q9UHN6_2_TMEM2.pdf</v>
      </c>
    </row>
    <row r="6582" spans="1:28" x14ac:dyDescent="0.25">
      <c r="A6582" t="s">
        <v>6586</v>
      </c>
      <c r="B6582">
        <v>0.99999676499088797</v>
      </c>
      <c r="C6582">
        <v>0.89130777083930701</v>
      </c>
      <c r="D6582">
        <v>0.81906200933192097</v>
      </c>
      <c r="E6582">
        <v>0.686329675547107</v>
      </c>
      <c r="F6582">
        <v>0.33420471426758003</v>
      </c>
      <c r="G6582">
        <v>0.180157776643942</v>
      </c>
      <c r="H6582">
        <v>8.1482360714323604E-2</v>
      </c>
      <c r="I6582">
        <v>7.4801024383405704E-2</v>
      </c>
      <c r="J6582">
        <v>7.04395882634547E-2</v>
      </c>
      <c r="K6582">
        <v>7.5313180632939E-2</v>
      </c>
      <c r="L6582">
        <v>818.02042778552504</v>
      </c>
      <c r="M6582">
        <v>16.0686239515355</v>
      </c>
      <c r="N6582">
        <v>51.176395460354101</v>
      </c>
      <c r="O6582">
        <v>50.139051921184702</v>
      </c>
      <c r="P6582">
        <v>-7.6887581229337101E-2</v>
      </c>
      <c r="Q6582">
        <v>4.0422346679071401E-2</v>
      </c>
      <c r="R6582">
        <v>0.99114623793168499</v>
      </c>
      <c r="S6582" t="s">
        <v>13585</v>
      </c>
      <c r="T6582" t="s">
        <v>14004</v>
      </c>
      <c r="U6582" t="s">
        <v>14004</v>
      </c>
      <c r="V6582" t="s">
        <v>14004</v>
      </c>
      <c r="W6582" t="s">
        <v>20525</v>
      </c>
      <c r="X6582">
        <v>12</v>
      </c>
      <c r="Y6582" t="s">
        <v>27310</v>
      </c>
      <c r="Z6582" t="s">
        <v>34292</v>
      </c>
      <c r="AA6582">
        <v>0.40910951516379063</v>
      </c>
      <c r="AB6582" t="str">
        <f>HYPERLINK("Melting_Curves/meltCurve_Q9UHQ1_NARF.pdf", "Melting_Curves/meltCurve_Q9UHQ1_NARF.pdf")</f>
        <v>Melting_Curves/meltCurve_Q9UHQ1_NARF.pdf</v>
      </c>
    </row>
    <row r="6583" spans="1:28" x14ac:dyDescent="0.25">
      <c r="A6583" t="s">
        <v>6587</v>
      </c>
      <c r="B6583">
        <v>0.99999676499088797</v>
      </c>
      <c r="C6583">
        <v>1.0177108239797801</v>
      </c>
      <c r="D6583">
        <v>1.0568602148114801</v>
      </c>
      <c r="E6583">
        <v>0.94187537174045799</v>
      </c>
      <c r="F6583">
        <v>0.77263070915990395</v>
      </c>
      <c r="G6583">
        <v>0.63216732942257103</v>
      </c>
      <c r="H6583">
        <v>0.340601686458124</v>
      </c>
      <c r="I6583">
        <v>0.35015477482773999</v>
      </c>
      <c r="J6583">
        <v>0.27261372345067297</v>
      </c>
      <c r="K6583">
        <v>0.23009089181290501</v>
      </c>
      <c r="L6583">
        <v>1024.39408889174</v>
      </c>
      <c r="M6583">
        <v>18.1473682075965</v>
      </c>
      <c r="N6583">
        <v>58.3816878128019</v>
      </c>
      <c r="O6583">
        <v>55.776570169419003</v>
      </c>
      <c r="P6583">
        <v>-6.2973397582805901E-2</v>
      </c>
      <c r="Q6583">
        <v>0.225833239205984</v>
      </c>
      <c r="R6583">
        <v>0.98739911959954596</v>
      </c>
      <c r="S6583" t="s">
        <v>13586</v>
      </c>
      <c r="T6583" t="s">
        <v>14004</v>
      </c>
      <c r="U6583" t="s">
        <v>14004</v>
      </c>
      <c r="V6583" t="s">
        <v>14004</v>
      </c>
      <c r="W6583" t="s">
        <v>20526</v>
      </c>
      <c r="X6583">
        <v>12</v>
      </c>
      <c r="Y6583" t="s">
        <v>27311</v>
      </c>
      <c r="Z6583" t="s">
        <v>34293</v>
      </c>
      <c r="AA6583">
        <v>0.66128276115035522</v>
      </c>
      <c r="AB6583" t="str">
        <f>HYPERLINK("Melting_Curves/meltCurve_Q9UHQ4_BCAP29.pdf", "Melting_Curves/meltCurve_Q9UHQ4_BCAP29.pdf")</f>
        <v>Melting_Curves/meltCurve_Q9UHQ4_BCAP29.pdf</v>
      </c>
    </row>
    <row r="6584" spans="1:28" x14ac:dyDescent="0.25">
      <c r="A6584" t="s">
        <v>6588</v>
      </c>
      <c r="B6584">
        <v>0.99999676499088797</v>
      </c>
      <c r="C6584">
        <v>0.93794094603026101</v>
      </c>
      <c r="D6584">
        <v>0.96537369132279505</v>
      </c>
      <c r="E6584">
        <v>1.14598084431404</v>
      </c>
      <c r="F6584">
        <v>0.95260714415002701</v>
      </c>
      <c r="G6584">
        <v>0.61522032717730701</v>
      </c>
      <c r="H6584">
        <v>0.13683775971534101</v>
      </c>
      <c r="I6584">
        <v>7.74232362838356E-2</v>
      </c>
      <c r="J6584">
        <v>7.2894473363611004E-2</v>
      </c>
      <c r="K6584">
        <v>5.4258139613452099E-2</v>
      </c>
      <c r="L6584">
        <v>2422.9066263220798</v>
      </c>
      <c r="M6584">
        <v>42.301212680784801</v>
      </c>
      <c r="N6584">
        <v>57.462040382493797</v>
      </c>
      <c r="O6584">
        <v>57.1499095626762</v>
      </c>
      <c r="P6584">
        <v>-0.17329111740653799</v>
      </c>
      <c r="Q6584">
        <v>6.3520405013033202E-2</v>
      </c>
      <c r="R6584">
        <v>0.98570830794380104</v>
      </c>
      <c r="S6584" t="s">
        <v>13587</v>
      </c>
      <c r="T6584" t="s">
        <v>14004</v>
      </c>
      <c r="U6584" t="s">
        <v>14004</v>
      </c>
      <c r="V6584" t="s">
        <v>14004</v>
      </c>
      <c r="W6584" t="s">
        <v>20527</v>
      </c>
      <c r="X6584">
        <v>10</v>
      </c>
      <c r="Y6584" t="s">
        <v>27312</v>
      </c>
      <c r="Z6584" t="s">
        <v>34294</v>
      </c>
      <c r="AA6584">
        <v>0.60613615849186242</v>
      </c>
      <c r="AB6584" t="str">
        <f>HYPERLINK("Melting_Curves/meltCurve_Q9UHQ9_CYB5R1.pdf", "Melting_Curves/meltCurve_Q9UHQ9_CYB5R1.pdf")</f>
        <v>Melting_Curves/meltCurve_Q9UHQ9_CYB5R1.pdf</v>
      </c>
    </row>
    <row r="6585" spans="1:28" x14ac:dyDescent="0.25">
      <c r="A6585" t="s">
        <v>6589</v>
      </c>
      <c r="B6585">
        <v>0.99999676499088797</v>
      </c>
      <c r="C6585">
        <v>0.91524221888095503</v>
      </c>
      <c r="D6585">
        <v>0.412660930905626</v>
      </c>
      <c r="E6585">
        <v>0.229073562769252</v>
      </c>
      <c r="F6585">
        <v>0.13559985333282601</v>
      </c>
      <c r="G6585">
        <v>9.0532665909910395E-2</v>
      </c>
      <c r="H6585">
        <v>5.65010415921939E-2</v>
      </c>
      <c r="I6585">
        <v>9.5886223393286202E-2</v>
      </c>
      <c r="J6585">
        <v>6.4461007418436703E-2</v>
      </c>
      <c r="K6585">
        <v>7.0931758305285905E-2</v>
      </c>
      <c r="L6585">
        <v>1420.61844793206</v>
      </c>
      <c r="M6585">
        <v>31.290096528701898</v>
      </c>
      <c r="N6585">
        <v>45.699936927020801</v>
      </c>
      <c r="O6585">
        <v>45.217304297467102</v>
      </c>
      <c r="P6585">
        <v>-0.15701559304184001</v>
      </c>
      <c r="Q6585">
        <v>9.2392419108652396E-2</v>
      </c>
      <c r="R6585">
        <v>0.98858922240107905</v>
      </c>
      <c r="S6585" t="s">
        <v>13588</v>
      </c>
      <c r="T6585" t="s">
        <v>14004</v>
      </c>
      <c r="U6585" t="s">
        <v>14004</v>
      </c>
      <c r="V6585" t="s">
        <v>14004</v>
      </c>
      <c r="W6585" t="s">
        <v>20528</v>
      </c>
      <c r="X6585">
        <v>2</v>
      </c>
      <c r="Y6585" t="s">
        <v>27313</v>
      </c>
      <c r="Z6585" t="s">
        <v>34295</v>
      </c>
      <c r="AA6585">
        <v>0.26095780858507839</v>
      </c>
      <c r="AB6585" t="str">
        <f>HYPERLINK("Melting_Curves/meltCurve_Q9UHR6_ZNHIT2.pdf", "Melting_Curves/meltCurve_Q9UHR6_ZNHIT2.pdf")</f>
        <v>Melting_Curves/meltCurve_Q9UHR6_ZNHIT2.pdf</v>
      </c>
    </row>
    <row r="6586" spans="1:28" x14ac:dyDescent="0.25">
      <c r="A6586" t="s">
        <v>6590</v>
      </c>
      <c r="B6586">
        <v>0.99999676499088797</v>
      </c>
      <c r="C6586">
        <v>1.0343773209067799</v>
      </c>
      <c r="D6586">
        <v>0.99088486304970602</v>
      </c>
      <c r="E6586">
        <v>0.89282895111146299</v>
      </c>
      <c r="F6586">
        <v>0.80168881078975995</v>
      </c>
      <c r="G6586">
        <v>0.73363339532247795</v>
      </c>
      <c r="H6586">
        <v>0.36113318689811302</v>
      </c>
      <c r="I6586">
        <v>0.29784628272089703</v>
      </c>
      <c r="J6586">
        <v>0.26659857574913798</v>
      </c>
      <c r="K6586">
        <v>0.25017096462805199</v>
      </c>
      <c r="L6586">
        <v>967.88055112529503</v>
      </c>
      <c r="M6586">
        <v>16.806051374318699</v>
      </c>
      <c r="N6586">
        <v>59.258459382149397</v>
      </c>
      <c r="O6586">
        <v>56.794321812320199</v>
      </c>
      <c r="P6586">
        <v>-6.0045123988271401E-2</v>
      </c>
      <c r="Q6586">
        <v>0.18838719438198701</v>
      </c>
      <c r="R6586">
        <v>0.980401958582101</v>
      </c>
      <c r="S6586" t="s">
        <v>13589</v>
      </c>
      <c r="T6586" t="s">
        <v>14004</v>
      </c>
      <c r="U6586" t="s">
        <v>14004</v>
      </c>
      <c r="V6586" t="s">
        <v>14004</v>
      </c>
      <c r="W6586" t="s">
        <v>20529</v>
      </c>
      <c r="X6586">
        <v>16</v>
      </c>
      <c r="Y6586" t="s">
        <v>27314</v>
      </c>
      <c r="Z6586" t="s">
        <v>34296</v>
      </c>
      <c r="AA6586">
        <v>0.67537398227599144</v>
      </c>
      <c r="AB6586" t="str">
        <f>HYPERLINK("Melting_Curves/meltCurve_Q9UHV9_PFDN2.pdf", "Melting_Curves/meltCurve_Q9UHV9_PFDN2.pdf")</f>
        <v>Melting_Curves/meltCurve_Q9UHV9_PFDN2.pdf</v>
      </c>
    </row>
    <row r="6587" spans="1:28" x14ac:dyDescent="0.25">
      <c r="A6587" t="s">
        <v>6591</v>
      </c>
      <c r="B6587">
        <v>0.99999676499088797</v>
      </c>
      <c r="C6587">
        <v>0.98008334427615695</v>
      </c>
      <c r="D6587">
        <v>1.0112038109566299</v>
      </c>
      <c r="E6587">
        <v>1.1380065763970399</v>
      </c>
      <c r="F6587">
        <v>1.1093141874002901</v>
      </c>
      <c r="G6587">
        <v>0.965815196913275</v>
      </c>
      <c r="H6587">
        <v>0.62399815996587205</v>
      </c>
      <c r="I6587">
        <v>0.53602823196914495</v>
      </c>
      <c r="J6587">
        <v>0.39795394277704799</v>
      </c>
      <c r="K6587">
        <v>0.26875611590188903</v>
      </c>
      <c r="L6587">
        <v>1599.8952638457999</v>
      </c>
      <c r="M6587">
        <v>26.005970203834401</v>
      </c>
      <c r="N6587">
        <v>63.635389528325902</v>
      </c>
      <c r="O6587">
        <v>61.1600034435019</v>
      </c>
      <c r="P6587">
        <v>-7.5545923039919805E-2</v>
      </c>
      <c r="Q6587">
        <v>0.28934239226852299</v>
      </c>
      <c r="R6587">
        <v>0.94576714208129897</v>
      </c>
      <c r="S6587" t="s">
        <v>13590</v>
      </c>
      <c r="T6587" t="s">
        <v>14004</v>
      </c>
      <c r="U6587" t="s">
        <v>14004</v>
      </c>
      <c r="V6587" t="s">
        <v>14004</v>
      </c>
      <c r="W6587" t="s">
        <v>20530</v>
      </c>
      <c r="X6587">
        <v>4</v>
      </c>
      <c r="Y6587" t="s">
        <v>27315</v>
      </c>
      <c r="Z6587" t="s">
        <v>34297</v>
      </c>
      <c r="AA6587">
        <v>0.80301334595413632</v>
      </c>
      <c r="AB6587" t="str">
        <f>HYPERLINK("Melting_Curves/meltCurve_Q9UHW5_GPN3.pdf", "Melting_Curves/meltCurve_Q9UHW5_GPN3.pdf")</f>
        <v>Melting_Curves/meltCurve_Q9UHW5_GPN3.pdf</v>
      </c>
    </row>
    <row r="6588" spans="1:28" x14ac:dyDescent="0.25">
      <c r="A6588" t="s">
        <v>6592</v>
      </c>
      <c r="B6588">
        <v>0.99999676499088797</v>
      </c>
      <c r="C6588">
        <v>0.92093013396897005</v>
      </c>
      <c r="D6588">
        <v>0.86464857161707498</v>
      </c>
      <c r="E6588">
        <v>0.57625893627092095</v>
      </c>
      <c r="F6588">
        <v>0.23693146387488001</v>
      </c>
      <c r="G6588">
        <v>0.157467308776644</v>
      </c>
      <c r="H6588">
        <v>6.9645112336328904E-2</v>
      </c>
      <c r="I6588">
        <v>6.2523843637505697E-2</v>
      </c>
      <c r="J6588">
        <v>5.7751599539755998E-2</v>
      </c>
      <c r="K6588">
        <v>5.47336525794683E-2</v>
      </c>
      <c r="L6588">
        <v>999.65069623727004</v>
      </c>
      <c r="M6588">
        <v>20.0099280265548</v>
      </c>
      <c r="N6588">
        <v>50.232130863881203</v>
      </c>
      <c r="O6588">
        <v>49.466832507545199</v>
      </c>
      <c r="P6588">
        <v>-9.5895615567279199E-2</v>
      </c>
      <c r="Q6588">
        <v>5.1771530067768898E-2</v>
      </c>
      <c r="R6588">
        <v>0.997048129686951</v>
      </c>
      <c r="S6588" t="s">
        <v>13591</v>
      </c>
      <c r="T6588" t="s">
        <v>14004</v>
      </c>
      <c r="U6588" t="s">
        <v>14004</v>
      </c>
      <c r="V6588" t="s">
        <v>14004</v>
      </c>
      <c r="W6588" t="s">
        <v>20531</v>
      </c>
      <c r="X6588">
        <v>27</v>
      </c>
      <c r="Y6588" t="s">
        <v>27316</v>
      </c>
      <c r="Z6588" t="s">
        <v>34298</v>
      </c>
      <c r="AA6588">
        <v>0.37970178592902509</v>
      </c>
      <c r="AB6588" t="str">
        <f>HYPERLINK("Melting_Curves/meltCurve_Q9UHX1_PUF60.pdf", "Melting_Curves/meltCurve_Q9UHX1_PUF60.pdf")</f>
        <v>Melting_Curves/meltCurve_Q9UHX1_PUF60.pdf</v>
      </c>
    </row>
    <row r="6589" spans="1:28" x14ac:dyDescent="0.25">
      <c r="A6589" t="s">
        <v>6593</v>
      </c>
      <c r="B6589">
        <v>0.99999676499088797</v>
      </c>
      <c r="C6589">
        <v>1.27117528162773</v>
      </c>
      <c r="D6589">
        <v>0.77565063475856499</v>
      </c>
      <c r="E6589">
        <v>0.43299257598331498</v>
      </c>
      <c r="F6589">
        <v>0.51753276046407504</v>
      </c>
      <c r="G6589">
        <v>0</v>
      </c>
      <c r="H6589">
        <v>0</v>
      </c>
      <c r="I6589">
        <v>0</v>
      </c>
      <c r="J6589">
        <v>0</v>
      </c>
      <c r="K6589">
        <v>8.9527590700529805E-2</v>
      </c>
      <c r="L6589">
        <v>901.45855147759403</v>
      </c>
      <c r="M6589">
        <v>17.865240663224998</v>
      </c>
      <c r="N6589">
        <v>50.466311141097698</v>
      </c>
      <c r="O6589">
        <v>49.839315146623498</v>
      </c>
      <c r="P6589">
        <v>-8.9499517902732598E-2</v>
      </c>
      <c r="Q6589">
        <v>1.33045610697433E-3</v>
      </c>
      <c r="R6589">
        <v>0.899614504338344</v>
      </c>
      <c r="S6589" t="s">
        <v>13592</v>
      </c>
      <c r="T6589" t="s">
        <v>14004</v>
      </c>
      <c r="U6589" t="s">
        <v>14004</v>
      </c>
      <c r="V6589" t="s">
        <v>14004</v>
      </c>
      <c r="W6589" t="s">
        <v>20532</v>
      </c>
      <c r="X6589">
        <v>27</v>
      </c>
      <c r="Y6589" t="s">
        <v>27316</v>
      </c>
      <c r="Z6589" t="s">
        <v>34299</v>
      </c>
      <c r="AA6589">
        <v>0.36666459123663669</v>
      </c>
      <c r="AB6589" t="str">
        <f>HYPERLINK("Melting_Curves/meltCurve_Q9UHX1_2_PUF60.pdf", "Melting_Curves/meltCurve_Q9UHX1_2_PUF60.pdf")</f>
        <v>Melting_Curves/meltCurve_Q9UHX1_2_PUF60.pdf</v>
      </c>
    </row>
    <row r="6590" spans="1:28" x14ac:dyDescent="0.25">
      <c r="A6590" t="s">
        <v>6594</v>
      </c>
      <c r="B6590">
        <v>0.99999676499088797</v>
      </c>
      <c r="C6590">
        <v>0.93960486232677498</v>
      </c>
      <c r="D6590">
        <v>0.89387385648526596</v>
      </c>
      <c r="E6590">
        <v>0.67338120155557701</v>
      </c>
      <c r="F6590">
        <v>0.42468271019310799</v>
      </c>
      <c r="G6590">
        <v>0.240874043854855</v>
      </c>
      <c r="H6590">
        <v>0.101387230510639</v>
      </c>
      <c r="I6590">
        <v>0.103381831794311</v>
      </c>
      <c r="J6590">
        <v>6.9124681612250494E-2</v>
      </c>
      <c r="K6590">
        <v>6.5079730815082504E-2</v>
      </c>
      <c r="L6590">
        <v>814.59839675713999</v>
      </c>
      <c r="M6590">
        <v>15.744872397557</v>
      </c>
      <c r="N6590">
        <v>52.047886979917699</v>
      </c>
      <c r="O6590">
        <v>50.9243539675346</v>
      </c>
      <c r="P6590">
        <v>-7.38366187832393E-2</v>
      </c>
      <c r="Q6590">
        <v>4.4827453239740502E-2</v>
      </c>
      <c r="R6590">
        <v>0.99864212711100198</v>
      </c>
      <c r="S6590" t="s">
        <v>13593</v>
      </c>
      <c r="T6590" t="s">
        <v>14004</v>
      </c>
      <c r="U6590" t="s">
        <v>14004</v>
      </c>
      <c r="V6590" t="s">
        <v>14004</v>
      </c>
      <c r="W6590" t="s">
        <v>20533</v>
      </c>
      <c r="X6590">
        <v>8</v>
      </c>
      <c r="Y6590" t="s">
        <v>27317</v>
      </c>
      <c r="Z6590" t="s">
        <v>34300</v>
      </c>
      <c r="AA6590">
        <v>0.43848779413448069</v>
      </c>
      <c r="AB6590" t="str">
        <f>HYPERLINK("Melting_Curves/meltCurve_Q9UHY1_NRBP1.pdf", "Melting_Curves/meltCurve_Q9UHY1_NRBP1.pdf")</f>
        <v>Melting_Curves/meltCurve_Q9UHY1_NRBP1.pdf</v>
      </c>
    </row>
    <row r="6591" spans="1:28" x14ac:dyDescent="0.25">
      <c r="A6591" t="s">
        <v>6595</v>
      </c>
      <c r="B6591">
        <v>0.99999676499088797</v>
      </c>
      <c r="C6591">
        <v>0.918511288040047</v>
      </c>
      <c r="D6591">
        <v>0.86900051571669901</v>
      </c>
      <c r="E6591">
        <v>0.53554389160683302</v>
      </c>
      <c r="F6591">
        <v>0.225220840161516</v>
      </c>
      <c r="G6591">
        <v>0.143597567080884</v>
      </c>
      <c r="H6591">
        <v>7.3893439014615897E-2</v>
      </c>
      <c r="I6591">
        <v>7.0913556809542894E-2</v>
      </c>
      <c r="J6591">
        <v>6.6644830409908998E-2</v>
      </c>
      <c r="K6591">
        <v>5.4307611789627598E-2</v>
      </c>
      <c r="L6591">
        <v>1044.89448055854</v>
      </c>
      <c r="M6591">
        <v>21.055622093403599</v>
      </c>
      <c r="N6591">
        <v>49.929643196493899</v>
      </c>
      <c r="O6591">
        <v>49.184311035339398</v>
      </c>
      <c r="P6591">
        <v>-0.10058405112954399</v>
      </c>
      <c r="Q6591">
        <v>6.0198516103614999E-2</v>
      </c>
      <c r="R6591">
        <v>0.99740067945134003</v>
      </c>
      <c r="S6591" t="s">
        <v>13594</v>
      </c>
      <c r="T6591" t="s">
        <v>14004</v>
      </c>
      <c r="U6591" t="s">
        <v>14004</v>
      </c>
      <c r="V6591" t="s">
        <v>14004</v>
      </c>
      <c r="W6591" t="s">
        <v>20534</v>
      </c>
      <c r="X6591">
        <v>11</v>
      </c>
      <c r="Y6591" t="s">
        <v>27318</v>
      </c>
      <c r="Z6591" t="s">
        <v>34301</v>
      </c>
      <c r="AA6591">
        <v>0.37356265451745602</v>
      </c>
      <c r="AB6591" t="str">
        <f>HYPERLINK("Melting_Curves/meltCurve_Q9UHY7_ENOPH1.pdf", "Melting_Curves/meltCurve_Q9UHY7_ENOPH1.pdf")</f>
        <v>Melting_Curves/meltCurve_Q9UHY7_ENOPH1.pdf</v>
      </c>
    </row>
    <row r="6592" spans="1:28" x14ac:dyDescent="0.25">
      <c r="A6592" t="s">
        <v>6596</v>
      </c>
      <c r="B6592">
        <v>0.99999676499088797</v>
      </c>
      <c r="C6592">
        <v>0.94347877951234205</v>
      </c>
      <c r="D6592">
        <v>0.96685680254548101</v>
      </c>
      <c r="E6592">
        <v>0.84998276642039405</v>
      </c>
      <c r="F6592">
        <v>0.48925677501117099</v>
      </c>
      <c r="G6592">
        <v>0.23560885245694799</v>
      </c>
      <c r="H6592">
        <v>0.106546598552894</v>
      </c>
      <c r="I6592">
        <v>9.47582546898776E-2</v>
      </c>
      <c r="J6592">
        <v>0.124165451425201</v>
      </c>
      <c r="K6592">
        <v>9.0985351341720297E-2</v>
      </c>
      <c r="L6592">
        <v>1303.87933872849</v>
      </c>
      <c r="M6592">
        <v>24.736450542477201</v>
      </c>
      <c r="N6592">
        <v>53.155850466978599</v>
      </c>
      <c r="O6592">
        <v>52.3699976275932</v>
      </c>
      <c r="P6592">
        <v>-0.107042761611991</v>
      </c>
      <c r="Q6592">
        <v>9.3524134584642996E-2</v>
      </c>
      <c r="R6592">
        <v>0.99706019964181702</v>
      </c>
      <c r="S6592" t="s">
        <v>13595</v>
      </c>
      <c r="T6592" t="s">
        <v>14004</v>
      </c>
      <c r="U6592" t="s">
        <v>14004</v>
      </c>
      <c r="V6592" t="s">
        <v>14004</v>
      </c>
      <c r="W6592" t="s">
        <v>20535</v>
      </c>
      <c r="X6592">
        <v>22</v>
      </c>
      <c r="Y6592" t="s">
        <v>27319</v>
      </c>
      <c r="Z6592" t="s">
        <v>34302</v>
      </c>
      <c r="AA6592">
        <v>0.48608977941679632</v>
      </c>
      <c r="AB6592" t="str">
        <f>HYPERLINK("Melting_Curves/meltCurve_Q9UI08_2_EVL.pdf", "Melting_Curves/meltCurve_Q9UI08_2_EVL.pdf")</f>
        <v>Melting_Curves/meltCurve_Q9UI08_2_EVL.pdf</v>
      </c>
    </row>
    <row r="6593" spans="1:28" x14ac:dyDescent="0.25">
      <c r="A6593" t="s">
        <v>6597</v>
      </c>
      <c r="B6593">
        <v>0.99999676499088797</v>
      </c>
      <c r="C6593">
        <v>0.91701533542108005</v>
      </c>
      <c r="D6593">
        <v>0.94256862847545098</v>
      </c>
      <c r="E6593">
        <v>0.60792777461770398</v>
      </c>
      <c r="F6593">
        <v>0.34417359783892199</v>
      </c>
      <c r="G6593">
        <v>0.24093566975295599</v>
      </c>
      <c r="H6593">
        <v>0.13997888259472699</v>
      </c>
      <c r="I6593">
        <v>0.117780007071281</v>
      </c>
      <c r="J6593">
        <v>0.112743136559058</v>
      </c>
      <c r="K6593">
        <v>9.7083281022770501E-2</v>
      </c>
      <c r="L6593">
        <v>970.19163673807304</v>
      </c>
      <c r="M6593">
        <v>19.193967730469002</v>
      </c>
      <c r="N6593">
        <v>51.188336128216498</v>
      </c>
      <c r="O6593">
        <v>50.007612273512898</v>
      </c>
      <c r="P6593">
        <v>-8.5699032535356795E-2</v>
      </c>
      <c r="Q6593">
        <v>0.106919435377235</v>
      </c>
      <c r="R6593">
        <v>0.99303390842961103</v>
      </c>
      <c r="S6593" t="s">
        <v>13596</v>
      </c>
      <c r="T6593" t="s">
        <v>14004</v>
      </c>
      <c r="U6593" t="s">
        <v>14004</v>
      </c>
      <c r="V6593" t="s">
        <v>14004</v>
      </c>
      <c r="W6593" t="s">
        <v>20536</v>
      </c>
      <c r="X6593">
        <v>2</v>
      </c>
      <c r="Y6593" t="s">
        <v>27320</v>
      </c>
      <c r="Z6593" t="s">
        <v>34303</v>
      </c>
      <c r="AA6593">
        <v>0.43430630075653132</v>
      </c>
      <c r="AB6593" t="str">
        <f>HYPERLINK("Melting_Curves/meltCurve_Q9UI09_NDUFA12.pdf", "Melting_Curves/meltCurve_Q9UI09_NDUFA12.pdf")</f>
        <v>Melting_Curves/meltCurve_Q9UI09_NDUFA12.pdf</v>
      </c>
    </row>
    <row r="6594" spans="1:28" x14ac:dyDescent="0.25">
      <c r="A6594" t="s">
        <v>6598</v>
      </c>
      <c r="B6594">
        <v>0.99999676499088797</v>
      </c>
      <c r="C6594">
        <v>1.01026993224071</v>
      </c>
      <c r="D6594">
        <v>1.39925904652403</v>
      </c>
      <c r="E6594">
        <v>1.59325981487077</v>
      </c>
      <c r="F6594">
        <v>0.31616261835759701</v>
      </c>
      <c r="G6594">
        <v>0</v>
      </c>
      <c r="H6594">
        <v>0</v>
      </c>
      <c r="I6594">
        <v>0</v>
      </c>
      <c r="J6594">
        <v>0</v>
      </c>
      <c r="K6594">
        <v>0</v>
      </c>
      <c r="S6594" t="s">
        <v>13597</v>
      </c>
      <c r="T6594" t="s">
        <v>14004</v>
      </c>
      <c r="U6594" t="s">
        <v>14005</v>
      </c>
      <c r="V6594" t="s">
        <v>14004</v>
      </c>
      <c r="W6594" t="s">
        <v>20537</v>
      </c>
      <c r="X6594">
        <v>11</v>
      </c>
      <c r="Y6594" t="s">
        <v>27321</v>
      </c>
      <c r="Z6594" t="s">
        <v>34304</v>
      </c>
      <c r="AB6594" t="str">
        <f>HYPERLINK("Melting_Curves/meltCurve_Q9UI10_EIF2B4.pdf", "Melting_Curves/meltCurve_Q9UI10_EIF2B4.pdf")</f>
        <v>Melting_Curves/meltCurve_Q9UI10_EIF2B4.pdf</v>
      </c>
    </row>
    <row r="6595" spans="1:28" x14ac:dyDescent="0.25">
      <c r="A6595" t="s">
        <v>6599</v>
      </c>
      <c r="B6595">
        <v>0.99999676499088797</v>
      </c>
      <c r="C6595">
        <v>1.00618927838079</v>
      </c>
      <c r="D6595">
        <v>1.0049783054296999</v>
      </c>
      <c r="E6595">
        <v>0.99924264262895302</v>
      </c>
      <c r="F6595">
        <v>0.44750759780819299</v>
      </c>
      <c r="G6595">
        <v>0.22653854558120301</v>
      </c>
      <c r="H6595">
        <v>0.102458424052233</v>
      </c>
      <c r="I6595">
        <v>0.101920138630454</v>
      </c>
      <c r="J6595">
        <v>9.3064304171478707E-2</v>
      </c>
      <c r="K6595">
        <v>7.8468059575240001E-2</v>
      </c>
      <c r="L6595">
        <v>2339.9048193703702</v>
      </c>
      <c r="M6595">
        <v>44.362823829810303</v>
      </c>
      <c r="N6595">
        <v>53.0411319763042</v>
      </c>
      <c r="O6595">
        <v>52.637906182414703</v>
      </c>
      <c r="P6595">
        <v>-0.187566268366713</v>
      </c>
      <c r="Q6595">
        <v>0.10978816823137</v>
      </c>
      <c r="R6595">
        <v>0.99366581663410802</v>
      </c>
      <c r="S6595" t="s">
        <v>13598</v>
      </c>
      <c r="T6595" t="s">
        <v>14004</v>
      </c>
      <c r="U6595" t="s">
        <v>14004</v>
      </c>
      <c r="V6595" t="s">
        <v>14004</v>
      </c>
      <c r="W6595" t="s">
        <v>20538</v>
      </c>
      <c r="X6595">
        <v>10</v>
      </c>
      <c r="Y6595" t="s">
        <v>27321</v>
      </c>
      <c r="Z6595" t="s">
        <v>34305</v>
      </c>
      <c r="AA6595">
        <v>0.49060541071881419</v>
      </c>
      <c r="AB6595" t="str">
        <f>HYPERLINK("Melting_Curves/meltCurve_Q9UI10_3_EIF2B4.pdf", "Melting_Curves/meltCurve_Q9UI10_3_EIF2B4.pdf")</f>
        <v>Melting_Curves/meltCurve_Q9UI10_3_EIF2B4.pdf</v>
      </c>
    </row>
    <row r="6596" spans="1:28" x14ac:dyDescent="0.25">
      <c r="A6596" t="s">
        <v>6600</v>
      </c>
      <c r="B6596">
        <v>0.99999676499088797</v>
      </c>
      <c r="C6596">
        <v>0.99324907801029505</v>
      </c>
      <c r="D6596">
        <v>0.98200001518002999</v>
      </c>
      <c r="E6596">
        <v>0.90614394245052499</v>
      </c>
      <c r="F6596">
        <v>0.50900221012142799</v>
      </c>
      <c r="G6596">
        <v>0.207246940452842</v>
      </c>
      <c r="H6596">
        <v>6.5119828060856894E-2</v>
      </c>
      <c r="I6596">
        <v>6.2600961561035395E-2</v>
      </c>
      <c r="J6596">
        <v>4.9525067805662903E-2</v>
      </c>
      <c r="K6596">
        <v>4.6426128181004001E-2</v>
      </c>
      <c r="L6596">
        <v>1480.4993057893</v>
      </c>
      <c r="M6596">
        <v>27.827860607321298</v>
      </c>
      <c r="N6596">
        <v>53.3973775149774</v>
      </c>
      <c r="O6596">
        <v>52.9295915351126</v>
      </c>
      <c r="P6596">
        <v>-0.125078689335128</v>
      </c>
      <c r="Q6596">
        <v>4.8391770102709203E-2</v>
      </c>
      <c r="R6596">
        <v>0.99933327584799003</v>
      </c>
      <c r="S6596" t="s">
        <v>13599</v>
      </c>
      <c r="T6596" t="s">
        <v>14004</v>
      </c>
      <c r="U6596" t="s">
        <v>14004</v>
      </c>
      <c r="V6596" t="s">
        <v>14004</v>
      </c>
      <c r="W6596" t="s">
        <v>20539</v>
      </c>
      <c r="X6596">
        <v>12</v>
      </c>
      <c r="Y6596" t="s">
        <v>27322</v>
      </c>
      <c r="Z6596" t="s">
        <v>34306</v>
      </c>
      <c r="AA6596">
        <v>0.47432403271714008</v>
      </c>
      <c r="AB6596" t="str">
        <f>HYPERLINK("Melting_Curves/meltCurve_Q9UI12_2_ATP6V1H.pdf", "Melting_Curves/meltCurve_Q9UI12_2_ATP6V1H.pdf")</f>
        <v>Melting_Curves/meltCurve_Q9UI12_2_ATP6V1H.pdf</v>
      </c>
    </row>
    <row r="6597" spans="1:28" x14ac:dyDescent="0.25">
      <c r="A6597" t="s">
        <v>6601</v>
      </c>
      <c r="B6597">
        <v>0.99999676499088797</v>
      </c>
      <c r="C6597">
        <v>0.92898777092844698</v>
      </c>
      <c r="D6597">
        <v>0.88707354300710295</v>
      </c>
      <c r="E6597">
        <v>0.91090155657318195</v>
      </c>
      <c r="F6597">
        <v>0.36208867755944002</v>
      </c>
      <c r="G6597">
        <v>0.23586739309539601</v>
      </c>
      <c r="H6597">
        <v>0.115028211721957</v>
      </c>
      <c r="I6597">
        <v>9.7963484480762295E-2</v>
      </c>
      <c r="J6597">
        <v>0.15162448516982699</v>
      </c>
      <c r="K6597">
        <v>9.8638110981510901E-2</v>
      </c>
      <c r="L6597">
        <v>1940.3732245168101</v>
      </c>
      <c r="M6597">
        <v>37.314151531357801</v>
      </c>
      <c r="N6597">
        <v>52.416052356591599</v>
      </c>
      <c r="O6597">
        <v>51.852314771834202</v>
      </c>
      <c r="P6597">
        <v>-0.15689596026546301</v>
      </c>
      <c r="Q6597">
        <v>0.12790218635109701</v>
      </c>
      <c r="R6597">
        <v>0.98172681007197904</v>
      </c>
      <c r="S6597" t="s">
        <v>13600</v>
      </c>
      <c r="T6597" t="s">
        <v>14004</v>
      </c>
      <c r="U6597" t="s">
        <v>14004</v>
      </c>
      <c r="V6597" t="s">
        <v>14004</v>
      </c>
      <c r="W6597" t="s">
        <v>20540</v>
      </c>
      <c r="X6597">
        <v>9</v>
      </c>
      <c r="Y6597" t="s">
        <v>27323</v>
      </c>
      <c r="Z6597" t="s">
        <v>34307</v>
      </c>
      <c r="AA6597">
        <v>0.4803733908458015</v>
      </c>
      <c r="AB6597" t="str">
        <f>HYPERLINK("Melting_Curves/meltCurve_Q9UI26_IPO11.pdf", "Melting_Curves/meltCurve_Q9UI26_IPO11.pdf")</f>
        <v>Melting_Curves/meltCurve_Q9UI26_IPO11.pdf</v>
      </c>
    </row>
    <row r="6598" spans="1:28" x14ac:dyDescent="0.25">
      <c r="A6598" t="s">
        <v>6602</v>
      </c>
      <c r="B6598">
        <v>0.99999676499088797</v>
      </c>
      <c r="C6598">
        <v>1.25197740475317</v>
      </c>
      <c r="D6598">
        <v>0.85016672634052903</v>
      </c>
      <c r="E6598">
        <v>0.57637127810921895</v>
      </c>
      <c r="F6598">
        <v>0.49921051404613098</v>
      </c>
      <c r="G6598">
        <v>0.40117655010167003</v>
      </c>
      <c r="H6598">
        <v>0.18614836713597299</v>
      </c>
      <c r="I6598">
        <v>0.25028457527009002</v>
      </c>
      <c r="J6598">
        <v>0.27530870621272502</v>
      </c>
      <c r="K6598">
        <v>0.132707499323789</v>
      </c>
      <c r="L6598">
        <v>878.58787426658398</v>
      </c>
      <c r="M6598">
        <v>17.339189793627401</v>
      </c>
      <c r="N6598">
        <v>52.315450803121301</v>
      </c>
      <c r="O6598">
        <v>50.011066118982797</v>
      </c>
      <c r="P6598">
        <v>-6.8467988217306E-2</v>
      </c>
      <c r="Q6598">
        <v>0.21012196892009999</v>
      </c>
      <c r="R6598">
        <v>0.90877611418709903</v>
      </c>
      <c r="S6598" t="s">
        <v>13601</v>
      </c>
      <c r="T6598" t="s">
        <v>14004</v>
      </c>
      <c r="U6598" t="s">
        <v>14004</v>
      </c>
      <c r="V6598" t="s">
        <v>14004</v>
      </c>
      <c r="W6598" t="s">
        <v>20541</v>
      </c>
      <c r="X6598">
        <v>7</v>
      </c>
      <c r="Y6598" t="s">
        <v>27324</v>
      </c>
      <c r="Z6598" t="s">
        <v>34308</v>
      </c>
      <c r="AA6598">
        <v>0.50537465960222527</v>
      </c>
      <c r="AB6598" t="str">
        <f>HYPERLINK("Melting_Curves/meltCurve_Q9UI30_TRMT112.pdf", "Melting_Curves/meltCurve_Q9UI30_TRMT112.pdf")</f>
        <v>Melting_Curves/meltCurve_Q9UI30_TRMT112.pdf</v>
      </c>
    </row>
    <row r="6599" spans="1:28" x14ac:dyDescent="0.25">
      <c r="A6599" t="s">
        <v>6603</v>
      </c>
      <c r="B6599">
        <v>0.99999676499088797</v>
      </c>
      <c r="C6599">
        <v>0.96319179440567404</v>
      </c>
      <c r="D6599">
        <v>0.84011046640862497</v>
      </c>
      <c r="E6599">
        <v>0.511506191641941</v>
      </c>
      <c r="F6599">
        <v>0.194501567374429</v>
      </c>
      <c r="G6599">
        <v>0.132506574866875</v>
      </c>
      <c r="H6599">
        <v>7.2342315414820599E-2</v>
      </c>
      <c r="I6599">
        <v>5.98043941183845E-2</v>
      </c>
      <c r="J6599">
        <v>7.4669432889683807E-2</v>
      </c>
      <c r="K6599">
        <v>5.8853088023579497E-2</v>
      </c>
      <c r="L6599">
        <v>1107.36926738634</v>
      </c>
      <c r="M6599">
        <v>22.4567708984669</v>
      </c>
      <c r="N6599">
        <v>49.609716452208801</v>
      </c>
      <c r="O6599">
        <v>48.925105290897498</v>
      </c>
      <c r="P6599">
        <v>-0.10749980925523001</v>
      </c>
      <c r="Q6599">
        <v>6.3207536043282497E-2</v>
      </c>
      <c r="R6599">
        <v>0.99905846879301297</v>
      </c>
      <c r="S6599" t="s">
        <v>13602</v>
      </c>
      <c r="T6599" t="s">
        <v>14004</v>
      </c>
      <c r="U6599" t="s">
        <v>14004</v>
      </c>
      <c r="V6599" t="s">
        <v>14004</v>
      </c>
      <c r="W6599" t="s">
        <v>20542</v>
      </c>
      <c r="X6599">
        <v>2</v>
      </c>
      <c r="Y6599" t="s">
        <v>27325</v>
      </c>
      <c r="Z6599" t="s">
        <v>34309</v>
      </c>
      <c r="AA6599">
        <v>0.36431694065606762</v>
      </c>
      <c r="AB6599" t="str">
        <f>HYPERLINK("Melting_Curves/meltCurve_Q9UI43_FTSJ2.pdf", "Melting_Curves/meltCurve_Q9UI43_FTSJ2.pdf")</f>
        <v>Melting_Curves/meltCurve_Q9UI43_FTSJ2.pdf</v>
      </c>
    </row>
    <row r="6600" spans="1:28" x14ac:dyDescent="0.25">
      <c r="A6600" t="s">
        <v>6604</v>
      </c>
      <c r="B6600">
        <v>0.99999676499088797</v>
      </c>
      <c r="C6600">
        <v>0.97652727554893803</v>
      </c>
      <c r="D6600">
        <v>0.977458976144428</v>
      </c>
      <c r="E6600">
        <v>0.97915568850211598</v>
      </c>
      <c r="F6600">
        <v>0.77619166637091497</v>
      </c>
      <c r="G6600">
        <v>0.63550401653118704</v>
      </c>
      <c r="H6600">
        <v>0.35677410612833199</v>
      </c>
      <c r="I6600">
        <v>0.33374151247746597</v>
      </c>
      <c r="J6600">
        <v>0.26509708908213803</v>
      </c>
      <c r="K6600">
        <v>0.327441712599913</v>
      </c>
      <c r="L6600">
        <v>1148.94866938224</v>
      </c>
      <c r="M6600">
        <v>20.504527005089901</v>
      </c>
      <c r="N6600">
        <v>58.2998149690278</v>
      </c>
      <c r="O6600">
        <v>55.509100878121501</v>
      </c>
      <c r="P6600">
        <v>-6.6986576329978897E-2</v>
      </c>
      <c r="Q6600">
        <v>0.27464701690531301</v>
      </c>
      <c r="R6600">
        <v>0.98909403852620303</v>
      </c>
      <c r="S6600" t="s">
        <v>13603</v>
      </c>
      <c r="T6600" t="s">
        <v>14004</v>
      </c>
      <c r="U6600" t="s">
        <v>14004</v>
      </c>
      <c r="V6600" t="s">
        <v>14004</v>
      </c>
      <c r="W6600" t="s">
        <v>20543</v>
      </c>
      <c r="X6600">
        <v>7</v>
      </c>
      <c r="Y6600" t="s">
        <v>27326</v>
      </c>
      <c r="Z6600" t="s">
        <v>34310</v>
      </c>
      <c r="AA6600">
        <v>0.67133842649769793</v>
      </c>
      <c r="AB6600" t="str">
        <f>HYPERLINK("Melting_Curves/meltCurve_Q9UIB8_3_CD84.pdf", "Melting_Curves/meltCurve_Q9UIB8_3_CD84.pdf")</f>
        <v>Melting_Curves/meltCurve_Q9UIB8_3_CD84.pdf</v>
      </c>
    </row>
    <row r="6601" spans="1:28" x14ac:dyDescent="0.25">
      <c r="A6601" t="s">
        <v>6605</v>
      </c>
      <c r="B6601">
        <v>0.99999676499088797</v>
      </c>
      <c r="C6601">
        <v>0.98586871006616195</v>
      </c>
      <c r="D6601">
        <v>1.00951265882671</v>
      </c>
      <c r="E6601">
        <v>0.99012420840397097</v>
      </c>
      <c r="F6601">
        <v>0.30500998825717701</v>
      </c>
      <c r="G6601">
        <v>0.20705596459668801</v>
      </c>
      <c r="H6601">
        <v>7.4372724062478204E-2</v>
      </c>
      <c r="I6601">
        <v>8.2347248370615606E-2</v>
      </c>
      <c r="J6601">
        <v>6.7701851931761398E-2</v>
      </c>
      <c r="K6601">
        <v>4.7147490675843902E-2</v>
      </c>
      <c r="L6601">
        <v>3387.1762078268798</v>
      </c>
      <c r="M6601">
        <v>64.8223318832583</v>
      </c>
      <c r="N6601">
        <v>52.421163592882202</v>
      </c>
      <c r="O6601">
        <v>52.203586704049997</v>
      </c>
      <c r="P6601">
        <v>-0.28132509868072803</v>
      </c>
      <c r="Q6601">
        <v>9.3758668333803502E-2</v>
      </c>
      <c r="R6601">
        <v>0.99151075367267705</v>
      </c>
      <c r="S6601" t="s">
        <v>13604</v>
      </c>
      <c r="T6601" t="s">
        <v>14004</v>
      </c>
      <c r="U6601" t="s">
        <v>14004</v>
      </c>
      <c r="V6601" t="s">
        <v>14004</v>
      </c>
      <c r="W6601" t="s">
        <v>20544</v>
      </c>
      <c r="X6601">
        <v>14</v>
      </c>
      <c r="Y6601" t="s">
        <v>27327</v>
      </c>
      <c r="Z6601" t="s">
        <v>34311</v>
      </c>
      <c r="AA6601">
        <v>0.46514471867706608</v>
      </c>
      <c r="AB6601" t="str">
        <f>HYPERLINK("Melting_Curves/meltCurve_Q9UIC8_LCMT1.pdf", "Melting_Curves/meltCurve_Q9UIC8_LCMT1.pdf")</f>
        <v>Melting_Curves/meltCurve_Q9UIC8_LCMT1.pdf</v>
      </c>
    </row>
    <row r="6602" spans="1:28" x14ac:dyDescent="0.25">
      <c r="A6602" t="s">
        <v>6606</v>
      </c>
      <c r="B6602">
        <v>0.99999676499088797</v>
      </c>
      <c r="C6602">
        <v>1.0038897118669301</v>
      </c>
      <c r="D6602">
        <v>0.93770202514357104</v>
      </c>
      <c r="E6602">
        <v>0.44243912151235398</v>
      </c>
      <c r="F6602">
        <v>0.21925616044348301</v>
      </c>
      <c r="G6602">
        <v>0.112639067430234</v>
      </c>
      <c r="H6602">
        <v>5.9529395122473301E-2</v>
      </c>
      <c r="I6602">
        <v>7.93343349203742E-2</v>
      </c>
      <c r="J6602">
        <v>6.9884102762922701E-2</v>
      </c>
      <c r="K6602">
        <v>4.9564583089201197E-2</v>
      </c>
      <c r="L6602">
        <v>1472.3057611013301</v>
      </c>
      <c r="M6602">
        <v>29.936969934695199</v>
      </c>
      <c r="N6602">
        <v>49.455476760141998</v>
      </c>
      <c r="O6602">
        <v>48.962305348410098</v>
      </c>
      <c r="P6602">
        <v>-0.141126956117821</v>
      </c>
      <c r="Q6602">
        <v>7.6746145714960995E-2</v>
      </c>
      <c r="R6602">
        <v>0.994928110287151</v>
      </c>
      <c r="S6602" t="s">
        <v>13605</v>
      </c>
      <c r="T6602" t="s">
        <v>14004</v>
      </c>
      <c r="U6602" t="s">
        <v>14004</v>
      </c>
      <c r="V6602" t="s">
        <v>14004</v>
      </c>
      <c r="W6602" t="s">
        <v>20545</v>
      </c>
      <c r="X6602">
        <v>12</v>
      </c>
      <c r="Y6602" t="s">
        <v>27328</v>
      </c>
      <c r="Z6602" t="s">
        <v>34312</v>
      </c>
      <c r="AA6602">
        <v>0.36492976450187598</v>
      </c>
      <c r="AB6602" t="str">
        <f>HYPERLINK("Melting_Curves/meltCurve_Q9UID3_VPS51.pdf", "Melting_Curves/meltCurve_Q9UID3_VPS51.pdf")</f>
        <v>Melting_Curves/meltCurve_Q9UID3_VPS51.pdf</v>
      </c>
    </row>
    <row r="6603" spans="1:28" x14ac:dyDescent="0.25">
      <c r="A6603" t="s">
        <v>6607</v>
      </c>
      <c r="B6603">
        <v>0.99999676499088797</v>
      </c>
      <c r="C6603">
        <v>0.84341189363990898</v>
      </c>
      <c r="D6603">
        <v>0.86622834537735705</v>
      </c>
      <c r="E6603">
        <v>2.0666699794261598</v>
      </c>
      <c r="F6603">
        <v>0.510681213996378</v>
      </c>
      <c r="G6603">
        <v>0.26768436197828199</v>
      </c>
      <c r="H6603">
        <v>0.147689713404597</v>
      </c>
      <c r="I6603">
        <v>0.127108764295433</v>
      </c>
      <c r="J6603">
        <v>8.5173600425852203E-2</v>
      </c>
      <c r="K6603">
        <v>6.7984179682851906E-2</v>
      </c>
      <c r="L6603">
        <v>13285.3528850898</v>
      </c>
      <c r="M6603">
        <v>250</v>
      </c>
      <c r="N6603">
        <v>53.210809835416697</v>
      </c>
      <c r="O6603">
        <v>53.138014494562597</v>
      </c>
      <c r="P6603">
        <v>-1.0125425032481601</v>
      </c>
      <c r="Q6603">
        <v>0.139128088688383</v>
      </c>
      <c r="R6603">
        <v>0.65923575130297096</v>
      </c>
      <c r="S6603" t="s">
        <v>13606</v>
      </c>
      <c r="T6603" t="s">
        <v>14004</v>
      </c>
      <c r="U6603" t="s">
        <v>14004</v>
      </c>
      <c r="V6603" t="s">
        <v>14004</v>
      </c>
      <c r="W6603" t="s">
        <v>20546</v>
      </c>
      <c r="X6603">
        <v>1</v>
      </c>
      <c r="Y6603" t="s">
        <v>27329</v>
      </c>
      <c r="Z6603" t="s">
        <v>34313</v>
      </c>
      <c r="AA6603">
        <v>0.5163107779620969</v>
      </c>
      <c r="AB6603" t="str">
        <f>HYPERLINK("Melting_Curves/meltCurve_Q9UIG0_2_BAZ1B.pdf", "Melting_Curves/meltCurve_Q9UIG0_2_BAZ1B.pdf")</f>
        <v>Melting_Curves/meltCurve_Q9UIG0_2_BAZ1B.pdf</v>
      </c>
    </row>
    <row r="6604" spans="1:28" x14ac:dyDescent="0.25">
      <c r="A6604" t="s">
        <v>6608</v>
      </c>
      <c r="B6604">
        <v>0.99999676499088797</v>
      </c>
      <c r="C6604">
        <v>1.07386626590635</v>
      </c>
      <c r="D6604">
        <v>0.99876987630175795</v>
      </c>
      <c r="E6604">
        <v>0.70942852622220198</v>
      </c>
      <c r="F6604">
        <v>0.533917820755337</v>
      </c>
      <c r="G6604">
        <v>0.70502769764846895</v>
      </c>
      <c r="H6604">
        <v>0.43303912843733799</v>
      </c>
      <c r="I6604">
        <v>0.59855456555252895</v>
      </c>
      <c r="J6604">
        <v>0.64467909244938204</v>
      </c>
      <c r="K6604">
        <v>0.43135930364360398</v>
      </c>
      <c r="L6604">
        <v>12367.7514907612</v>
      </c>
      <c r="M6604">
        <v>250</v>
      </c>
      <c r="O6604">
        <v>49.467840198135399</v>
      </c>
      <c r="P6604">
        <v>-0.55874314743064302</v>
      </c>
      <c r="Q6604">
        <v>0.55776293331487903</v>
      </c>
      <c r="R6604">
        <v>0.86357853657294104</v>
      </c>
      <c r="S6604" t="s">
        <v>13607</v>
      </c>
      <c r="T6604" t="s">
        <v>14004</v>
      </c>
      <c r="U6604" t="s">
        <v>14004</v>
      </c>
      <c r="V6604" t="s">
        <v>14004</v>
      </c>
      <c r="W6604" t="s">
        <v>20547</v>
      </c>
      <c r="X6604">
        <v>12</v>
      </c>
      <c r="Y6604" t="s">
        <v>27330</v>
      </c>
      <c r="Z6604" t="s">
        <v>34314</v>
      </c>
      <c r="AA6604">
        <v>0.6974156585660729</v>
      </c>
      <c r="AB6604" t="str">
        <f>HYPERLINK("Melting_Curves/meltCurve_Q9UII2_ATPIF1.pdf", "Melting_Curves/meltCurve_Q9UII2_ATPIF1.pdf")</f>
        <v>Melting_Curves/meltCurve_Q9UII2_ATPIF1.pdf</v>
      </c>
    </row>
    <row r="6605" spans="1:28" x14ac:dyDescent="0.25">
      <c r="A6605" t="s">
        <v>6609</v>
      </c>
      <c r="B6605">
        <v>0.99999676499088797</v>
      </c>
      <c r="C6605">
        <v>0.95307494054472397</v>
      </c>
      <c r="D6605">
        <v>1.0702332735269</v>
      </c>
      <c r="E6605">
        <v>0.79667393734914105</v>
      </c>
      <c r="F6605">
        <v>0.94562337852202405</v>
      </c>
      <c r="G6605">
        <v>0.64862685886312799</v>
      </c>
      <c r="H6605">
        <v>0.34585961668584803</v>
      </c>
      <c r="I6605">
        <v>0.34045393083988801</v>
      </c>
      <c r="J6605">
        <v>0.243801518976832</v>
      </c>
      <c r="K6605">
        <v>0.185340415121765</v>
      </c>
      <c r="L6605">
        <v>1106.92769048029</v>
      </c>
      <c r="M6605">
        <v>19.204355645955701</v>
      </c>
      <c r="N6605">
        <v>59.028802155230998</v>
      </c>
      <c r="O6605">
        <v>57.025334663079398</v>
      </c>
      <c r="P6605">
        <v>-6.8886149197165805E-2</v>
      </c>
      <c r="Q6605">
        <v>0.18183028060347001</v>
      </c>
      <c r="R6605">
        <v>0.95339630406836495</v>
      </c>
      <c r="S6605" t="s">
        <v>13608</v>
      </c>
      <c r="T6605" t="s">
        <v>14004</v>
      </c>
      <c r="U6605" t="s">
        <v>14004</v>
      </c>
      <c r="V6605" t="s">
        <v>14004</v>
      </c>
      <c r="W6605" t="s">
        <v>20548</v>
      </c>
      <c r="X6605">
        <v>2</v>
      </c>
      <c r="Y6605" t="s">
        <v>27331</v>
      </c>
      <c r="Z6605" t="s">
        <v>34315</v>
      </c>
      <c r="AA6605">
        <v>0.67286396829194206</v>
      </c>
      <c r="AB6605" t="str">
        <f>HYPERLINK("Melting_Curves/meltCurve_Q9UIJ5_ZDHHC2.pdf", "Melting_Curves/meltCurve_Q9UIJ5_ZDHHC2.pdf")</f>
        <v>Melting_Curves/meltCurve_Q9UIJ5_ZDHHC2.pdf</v>
      </c>
    </row>
    <row r="6606" spans="1:28" x14ac:dyDescent="0.25">
      <c r="A6606" t="s">
        <v>6610</v>
      </c>
      <c r="B6606">
        <v>0.99999676499088797</v>
      </c>
      <c r="C6606">
        <v>0.96762168105272806</v>
      </c>
      <c r="D6606">
        <v>1.0116851105868601</v>
      </c>
      <c r="E6606">
        <v>1.1557850943821</v>
      </c>
      <c r="F6606">
        <v>1.0177880306121101</v>
      </c>
      <c r="G6606">
        <v>0.73635858471670301</v>
      </c>
      <c r="H6606">
        <v>0.180364637130903</v>
      </c>
      <c r="I6606">
        <v>0.116040240691146</v>
      </c>
      <c r="J6606">
        <v>0.102115399694267</v>
      </c>
      <c r="K6606">
        <v>9.1004531899834998E-2</v>
      </c>
      <c r="L6606">
        <v>2864.9560377272301</v>
      </c>
      <c r="M6606">
        <v>49.537436721088397</v>
      </c>
      <c r="N6606">
        <v>58.100255503251702</v>
      </c>
      <c r="O6606">
        <v>57.740152473311802</v>
      </c>
      <c r="P6606">
        <v>-0.19271648682575601</v>
      </c>
      <c r="Q6606">
        <v>0.1014902104681</v>
      </c>
      <c r="R6606">
        <v>0.98576364020699503</v>
      </c>
      <c r="S6606" t="s">
        <v>13609</v>
      </c>
      <c r="T6606" t="s">
        <v>14004</v>
      </c>
      <c r="U6606" t="s">
        <v>14004</v>
      </c>
      <c r="V6606" t="s">
        <v>14004</v>
      </c>
      <c r="W6606" t="s">
        <v>20549</v>
      </c>
      <c r="X6606">
        <v>17</v>
      </c>
      <c r="Y6606" t="s">
        <v>27332</v>
      </c>
      <c r="Z6606" t="s">
        <v>34316</v>
      </c>
      <c r="AA6606">
        <v>0.63795471948281568</v>
      </c>
      <c r="AB6606" t="str">
        <f>HYPERLINK("Melting_Curves/meltCurve_Q9UIJ7_AK3.pdf", "Melting_Curves/meltCurve_Q9UIJ7_AK3.pdf")</f>
        <v>Melting_Curves/meltCurve_Q9UIJ7_AK3.pdf</v>
      </c>
    </row>
    <row r="6607" spans="1:28" x14ac:dyDescent="0.25">
      <c r="A6607" t="s">
        <v>6611</v>
      </c>
      <c r="B6607">
        <v>0.99999676499088797</v>
      </c>
      <c r="C6607">
        <v>0.55600471425125297</v>
      </c>
      <c r="D6607">
        <v>0.58890149197879904</v>
      </c>
      <c r="E6607">
        <v>0.42525056853008902</v>
      </c>
      <c r="F6607">
        <v>0.30054332294993302</v>
      </c>
      <c r="G6607">
        <v>0.259394245645301</v>
      </c>
      <c r="H6607">
        <v>0.18012073185548899</v>
      </c>
      <c r="I6607">
        <v>0.35372866569486699</v>
      </c>
      <c r="J6607">
        <v>0.35205308630736398</v>
      </c>
      <c r="K6607">
        <v>0.21688639139233601</v>
      </c>
      <c r="L6607">
        <v>684.14226577240402</v>
      </c>
      <c r="M6607">
        <v>15.5303903224717</v>
      </c>
      <c r="N6607">
        <v>46.3709570334888</v>
      </c>
      <c r="O6607">
        <v>43.340845277059501</v>
      </c>
      <c r="P6607">
        <v>-6.5397540519329805E-2</v>
      </c>
      <c r="Q6607">
        <v>0.27004157282118901</v>
      </c>
      <c r="R6607">
        <v>0.86248719587774403</v>
      </c>
      <c r="S6607" t="s">
        <v>13610</v>
      </c>
      <c r="T6607" t="s">
        <v>14004</v>
      </c>
      <c r="U6607" t="s">
        <v>14004</v>
      </c>
      <c r="V6607" t="s">
        <v>14004</v>
      </c>
      <c r="W6607" t="s">
        <v>20550</v>
      </c>
      <c r="X6607">
        <v>1</v>
      </c>
      <c r="Y6607" t="s">
        <v>27333</v>
      </c>
      <c r="Z6607" t="s">
        <v>34317</v>
      </c>
      <c r="AA6607">
        <v>0.39311301648065872</v>
      </c>
      <c r="AB6607" t="str">
        <f>HYPERLINK("Melting_Curves/meltCurve_Q9UIL1_3_SCOC.pdf", "Melting_Curves/meltCurve_Q9UIL1_3_SCOC.pdf")</f>
        <v>Melting_Curves/meltCurve_Q9UIL1_3_SCOC.pdf</v>
      </c>
    </row>
    <row r="6608" spans="1:28" x14ac:dyDescent="0.25">
      <c r="A6608" t="s">
        <v>6612</v>
      </c>
      <c r="B6608">
        <v>0.99999676499088797</v>
      </c>
      <c r="C6608">
        <v>0.97396930059597897</v>
      </c>
      <c r="D6608">
        <v>0.91155596899425895</v>
      </c>
      <c r="E6608">
        <v>0.75353346940763799</v>
      </c>
      <c r="F6608">
        <v>0.54450494080345502</v>
      </c>
      <c r="G6608">
        <v>0.273802432121039</v>
      </c>
      <c r="H6608">
        <v>6.3880044956492701E-2</v>
      </c>
      <c r="I6608">
        <v>9.3801766225858202E-2</v>
      </c>
      <c r="J6608">
        <v>7.8259089340312699E-2</v>
      </c>
      <c r="K6608">
        <v>7.55669106541179E-2</v>
      </c>
      <c r="L6608">
        <v>905.96934757457404</v>
      </c>
      <c r="M6608">
        <v>17.0844046671466</v>
      </c>
      <c r="N6608">
        <v>53.26505476653</v>
      </c>
      <c r="O6608">
        <v>52.318469274890298</v>
      </c>
      <c r="P6608">
        <v>-7.8665523257481607E-2</v>
      </c>
      <c r="Q6608">
        <v>3.6452151393156801E-2</v>
      </c>
      <c r="R6608">
        <v>0.99428750748889405</v>
      </c>
      <c r="S6608" t="s">
        <v>13611</v>
      </c>
      <c r="T6608" t="s">
        <v>14004</v>
      </c>
      <c r="U6608" t="s">
        <v>14004</v>
      </c>
      <c r="V6608" t="s">
        <v>14004</v>
      </c>
      <c r="W6608" t="s">
        <v>20551</v>
      </c>
      <c r="X6608">
        <v>8</v>
      </c>
      <c r="Y6608" t="s">
        <v>27334</v>
      </c>
      <c r="Z6608" t="s">
        <v>34318</v>
      </c>
      <c r="AA6608">
        <v>0.47203643558370229</v>
      </c>
      <c r="AB6608" t="str">
        <f>HYPERLINK("Melting_Curves/meltCurve_Q9UIM3_FKBPL.pdf", "Melting_Curves/meltCurve_Q9UIM3_FKBPL.pdf")</f>
        <v>Melting_Curves/meltCurve_Q9UIM3_FKBPL.pdf</v>
      </c>
    </row>
    <row r="6609" spans="1:28" x14ac:dyDescent="0.25">
      <c r="A6609" t="s">
        <v>6613</v>
      </c>
      <c r="B6609">
        <v>0.99999676499088797</v>
      </c>
      <c r="C6609">
        <v>0.95133819809803899</v>
      </c>
      <c r="D6609">
        <v>0.97550102002310501</v>
      </c>
      <c r="E6609">
        <v>1.1076463377879</v>
      </c>
      <c r="F6609">
        <v>1.2847291515174499</v>
      </c>
      <c r="G6609">
        <v>1.0194111072584799</v>
      </c>
      <c r="H6609">
        <v>0.87478424413002098</v>
      </c>
      <c r="I6609">
        <v>0.54170302177969998</v>
      </c>
      <c r="J6609">
        <v>0.35307242257385102</v>
      </c>
      <c r="K6609">
        <v>0.41792170041939197</v>
      </c>
      <c r="L6609">
        <v>3187.4428303781401</v>
      </c>
      <c r="M6609">
        <v>50.956051339292699</v>
      </c>
      <c r="N6609">
        <v>64.349699703758304</v>
      </c>
      <c r="O6609">
        <v>62.456665702342903</v>
      </c>
      <c r="P6609">
        <v>-0.12656198075469199</v>
      </c>
      <c r="Q6609">
        <v>0.37949406233684702</v>
      </c>
      <c r="R6609">
        <v>0.88419995449232003</v>
      </c>
      <c r="S6609" t="s">
        <v>13612</v>
      </c>
      <c r="T6609" t="s">
        <v>14004</v>
      </c>
      <c r="U6609" t="s">
        <v>14004</v>
      </c>
      <c r="V6609" t="s">
        <v>14004</v>
      </c>
      <c r="W6609" t="s">
        <v>20552</v>
      </c>
      <c r="X6609">
        <v>20</v>
      </c>
      <c r="Y6609" t="s">
        <v>27335</v>
      </c>
      <c r="Z6609" t="s">
        <v>34319</v>
      </c>
      <c r="AA6609">
        <v>0.84746647708413769</v>
      </c>
      <c r="AB6609" t="str">
        <f>HYPERLINK("Melting_Curves/meltCurve_Q9UIQ6_3_LNPEP.pdf", "Melting_Curves/meltCurve_Q9UIQ6_3_LNPEP.pdf")</f>
        <v>Melting_Curves/meltCurve_Q9UIQ6_3_LNPEP.pdf</v>
      </c>
    </row>
    <row r="6610" spans="1:28" x14ac:dyDescent="0.25">
      <c r="A6610" t="s">
        <v>6614</v>
      </c>
      <c r="B6610">
        <v>0.99999676499088797</v>
      </c>
      <c r="C6610">
        <v>0.97620408751437404</v>
      </c>
      <c r="D6610">
        <v>0.90182618332656295</v>
      </c>
      <c r="E6610">
        <v>0.72707405072540898</v>
      </c>
      <c r="F6610">
        <v>0.33856079654187798</v>
      </c>
      <c r="G6610">
        <v>0.239573438582973</v>
      </c>
      <c r="H6610">
        <v>0.12317810872664001</v>
      </c>
      <c r="I6610">
        <v>8.2884008758371402E-2</v>
      </c>
      <c r="J6610">
        <v>5.8412740313909799E-2</v>
      </c>
      <c r="K6610">
        <v>4.7777785427925601E-2</v>
      </c>
      <c r="L6610">
        <v>973.639006442138</v>
      </c>
      <c r="M6610">
        <v>18.898897275433399</v>
      </c>
      <c r="N6610">
        <v>51.857410485527801</v>
      </c>
      <c r="O6610">
        <v>50.951875663015301</v>
      </c>
      <c r="P6610">
        <v>-8.7342644701375996E-2</v>
      </c>
      <c r="Q6610">
        <v>5.8126960523190101E-2</v>
      </c>
      <c r="R6610">
        <v>0.99551893261994795</v>
      </c>
      <c r="S6610" t="s">
        <v>13613</v>
      </c>
      <c r="T6610" t="s">
        <v>14004</v>
      </c>
      <c r="U6610" t="s">
        <v>14004</v>
      </c>
      <c r="V6610" t="s">
        <v>14004</v>
      </c>
      <c r="W6610" t="s">
        <v>20553</v>
      </c>
      <c r="X6610">
        <v>3</v>
      </c>
      <c r="Y6610" t="s">
        <v>27336</v>
      </c>
      <c r="Z6610" t="s">
        <v>34320</v>
      </c>
      <c r="AA6610">
        <v>0.43421968698671232</v>
      </c>
      <c r="AB6610" t="str">
        <f>HYPERLINK("Melting_Curves/meltCurve_Q9UIV1_CNOT7.pdf", "Melting_Curves/meltCurve_Q9UIV1_CNOT7.pdf")</f>
        <v>Melting_Curves/meltCurve_Q9UIV1_CNOT7.pdf</v>
      </c>
    </row>
    <row r="6611" spans="1:28" x14ac:dyDescent="0.25">
      <c r="A6611" t="s">
        <v>6615</v>
      </c>
      <c r="B6611">
        <v>0.99999676499088797</v>
      </c>
      <c r="C6611">
        <v>1.0064524773832899</v>
      </c>
      <c r="D6611">
        <v>0.85709272421297</v>
      </c>
      <c r="E6611">
        <v>0.56665462580530901</v>
      </c>
      <c r="F6611">
        <v>0.570049616995424</v>
      </c>
      <c r="G6611">
        <v>0.36971867349957499</v>
      </c>
      <c r="H6611">
        <v>0.29537271531716902</v>
      </c>
      <c r="I6611">
        <v>0.28364211230166603</v>
      </c>
      <c r="J6611">
        <v>0.24705297307683899</v>
      </c>
      <c r="K6611">
        <v>0.29139158119567599</v>
      </c>
      <c r="L6611">
        <v>738.29885091315896</v>
      </c>
      <c r="M6611">
        <v>14.7115127153124</v>
      </c>
      <c r="N6611">
        <v>52.786805624205599</v>
      </c>
      <c r="O6611">
        <v>49.285187655584899</v>
      </c>
      <c r="P6611">
        <v>-5.5387929398342299E-2</v>
      </c>
      <c r="Q6611">
        <v>0.25785824821356901</v>
      </c>
      <c r="R6611">
        <v>0.97300155737188299</v>
      </c>
      <c r="S6611" t="s">
        <v>13614</v>
      </c>
      <c r="T6611" t="s">
        <v>14004</v>
      </c>
      <c r="U6611" t="s">
        <v>14004</v>
      </c>
      <c r="V6611" t="s">
        <v>14004</v>
      </c>
      <c r="W6611" t="s">
        <v>20554</v>
      </c>
      <c r="X6611">
        <v>1</v>
      </c>
      <c r="Y6611" t="s">
        <v>27337</v>
      </c>
      <c r="Z6611" t="s">
        <v>34321</v>
      </c>
      <c r="AA6611">
        <v>0.52801599476746319</v>
      </c>
      <c r="AB6611" t="str">
        <f>HYPERLINK("Melting_Curves/meltCurve_Q9UJ04_TSPYL4.pdf", "Melting_Curves/meltCurve_Q9UJ04_TSPYL4.pdf")</f>
        <v>Melting_Curves/meltCurve_Q9UJ04_TSPYL4.pdf</v>
      </c>
    </row>
    <row r="6612" spans="1:28" x14ac:dyDescent="0.25">
      <c r="A6612" t="s">
        <v>6616</v>
      </c>
      <c r="B6612">
        <v>0.99999676499088797</v>
      </c>
      <c r="C6612">
        <v>1.0683294214548</v>
      </c>
      <c r="D6612">
        <v>1.0055359724917201</v>
      </c>
      <c r="E6612">
        <v>0.72851072448462195</v>
      </c>
      <c r="F6612">
        <v>0.59941353507536199</v>
      </c>
      <c r="G6612">
        <v>0.47132681033933399</v>
      </c>
      <c r="H6612">
        <v>0.29465433568306598</v>
      </c>
      <c r="I6612">
        <v>0.28070638430901002</v>
      </c>
      <c r="J6612">
        <v>0.23444097156225399</v>
      </c>
      <c r="K6612">
        <v>0.238223390479879</v>
      </c>
      <c r="L6612">
        <v>833.32390300063605</v>
      </c>
      <c r="M6612">
        <v>15.7160701487827</v>
      </c>
      <c r="N6612">
        <v>55.0794356352378</v>
      </c>
      <c r="O6612">
        <v>52.187459069627899</v>
      </c>
      <c r="P6612">
        <v>-5.8586486939571997E-2</v>
      </c>
      <c r="Q6612">
        <v>0.22188620877978299</v>
      </c>
      <c r="R6612">
        <v>0.97969562398007104</v>
      </c>
      <c r="S6612" t="s">
        <v>13615</v>
      </c>
      <c r="T6612" t="s">
        <v>14004</v>
      </c>
      <c r="U6612" t="s">
        <v>14004</v>
      </c>
      <c r="V6612" t="s">
        <v>14004</v>
      </c>
      <c r="W6612" t="s">
        <v>20555</v>
      </c>
      <c r="X6612">
        <v>4</v>
      </c>
      <c r="Y6612" t="s">
        <v>27338</v>
      </c>
      <c r="Z6612" t="s">
        <v>34322</v>
      </c>
      <c r="AA6612">
        <v>0.57534105401675506</v>
      </c>
      <c r="AB6612" t="str">
        <f>HYPERLINK("Melting_Curves/meltCurve_Q9UJ14_GGT7.pdf", "Melting_Curves/meltCurve_Q9UJ14_GGT7.pdf")</f>
        <v>Melting_Curves/meltCurve_Q9UJ14_GGT7.pdf</v>
      </c>
    </row>
    <row r="6613" spans="1:28" x14ac:dyDescent="0.25">
      <c r="A6613" t="s">
        <v>6617</v>
      </c>
      <c r="B6613">
        <v>0.99999676499088797</v>
      </c>
      <c r="C6613">
        <v>1.03032147717978</v>
      </c>
      <c r="D6613">
        <v>1.0420564763472</v>
      </c>
      <c r="E6613">
        <v>1.14424949931702</v>
      </c>
      <c r="F6613">
        <v>1.1682398618465799</v>
      </c>
      <c r="G6613">
        <v>0.72772663328567</v>
      </c>
      <c r="H6613">
        <v>0.25402460839795399</v>
      </c>
      <c r="I6613">
        <v>0.215227786906876</v>
      </c>
      <c r="J6613">
        <v>0.181436510886614</v>
      </c>
      <c r="K6613">
        <v>0.16651345184602001</v>
      </c>
      <c r="L6613">
        <v>3990.0924627068698</v>
      </c>
      <c r="M6613">
        <v>69.548371267269303</v>
      </c>
      <c r="N6613">
        <v>57.795132463665396</v>
      </c>
      <c r="O6613">
        <v>57.324099784160502</v>
      </c>
      <c r="P6613">
        <v>-0.24274190749265101</v>
      </c>
      <c r="Q6613">
        <v>0.19969618796719901</v>
      </c>
      <c r="R6613">
        <v>0.96734919253020402</v>
      </c>
      <c r="S6613" t="s">
        <v>13616</v>
      </c>
      <c r="T6613" t="s">
        <v>14004</v>
      </c>
      <c r="U6613" t="s">
        <v>14004</v>
      </c>
      <c r="V6613" t="s">
        <v>14004</v>
      </c>
      <c r="W6613" t="s">
        <v>20556</v>
      </c>
      <c r="X6613">
        <v>13</v>
      </c>
      <c r="Y6613" t="s">
        <v>27339</v>
      </c>
      <c r="Z6613" t="s">
        <v>34323</v>
      </c>
      <c r="AA6613">
        <v>0.66415520669855754</v>
      </c>
      <c r="AB6613" t="str">
        <f>HYPERLINK("Melting_Curves/meltCurve_Q9UJ70_NAGK.pdf", "Melting_Curves/meltCurve_Q9UJ70_NAGK.pdf")</f>
        <v>Melting_Curves/meltCurve_Q9UJ70_NAGK.pdf</v>
      </c>
    </row>
    <row r="6614" spans="1:28" x14ac:dyDescent="0.25">
      <c r="A6614" t="s">
        <v>6618</v>
      </c>
      <c r="B6614">
        <v>0.99999676499088797</v>
      </c>
      <c r="C6614">
        <v>0.98603976432152296</v>
      </c>
      <c r="D6614">
        <v>1.0103806370995501</v>
      </c>
      <c r="E6614">
        <v>1.0733779203316101</v>
      </c>
      <c r="F6614">
        <v>0.88816723819167398</v>
      </c>
      <c r="G6614">
        <v>0.75164929400978397</v>
      </c>
      <c r="H6614">
        <v>0.21753629495003601</v>
      </c>
      <c r="I6614">
        <v>9.8015603940333706E-2</v>
      </c>
      <c r="J6614">
        <v>7.2432867810883095E-2</v>
      </c>
      <c r="K6614">
        <v>7.1927116888358997E-2</v>
      </c>
      <c r="L6614">
        <v>2066.3853448055402</v>
      </c>
      <c r="M6614">
        <v>35.4834464330091</v>
      </c>
      <c r="N6614">
        <v>58.452969311404601</v>
      </c>
      <c r="O6614">
        <v>58.0511587821982</v>
      </c>
      <c r="P6614">
        <v>-0.14335000283677701</v>
      </c>
      <c r="Q6614">
        <v>6.1916856760002498E-2</v>
      </c>
      <c r="R6614">
        <v>0.99244858165755401</v>
      </c>
      <c r="S6614" t="s">
        <v>13617</v>
      </c>
      <c r="T6614" t="s">
        <v>14004</v>
      </c>
      <c r="U6614" t="s">
        <v>14004</v>
      </c>
      <c r="V6614" t="s">
        <v>14004</v>
      </c>
      <c r="W6614" t="s">
        <v>20557</v>
      </c>
      <c r="X6614">
        <v>19</v>
      </c>
      <c r="Y6614" t="s">
        <v>27340</v>
      </c>
      <c r="Z6614" t="s">
        <v>34324</v>
      </c>
      <c r="AA6614">
        <v>0.63672796654897412</v>
      </c>
      <c r="AB6614" t="str">
        <f>HYPERLINK("Melting_Curves/meltCurve_Q9UJA5_TRMT6.pdf", "Melting_Curves/meltCurve_Q9UJA5_TRMT6.pdf")</f>
        <v>Melting_Curves/meltCurve_Q9UJA5_TRMT6.pdf</v>
      </c>
    </row>
    <row r="6615" spans="1:28" x14ac:dyDescent="0.25">
      <c r="A6615" t="s">
        <v>6619</v>
      </c>
      <c r="B6615">
        <v>0.99999676499088797</v>
      </c>
      <c r="C6615">
        <v>0.86856505009863305</v>
      </c>
      <c r="D6615">
        <v>0.92756739016688805</v>
      </c>
      <c r="E6615">
        <v>0.70981768375438703</v>
      </c>
      <c r="F6615">
        <v>0.62283481599964796</v>
      </c>
      <c r="G6615">
        <v>0.34775411582799298</v>
      </c>
      <c r="H6615">
        <v>0.12012758229682</v>
      </c>
      <c r="I6615">
        <v>0.12655188949792401</v>
      </c>
      <c r="J6615">
        <v>0.117424531163092</v>
      </c>
      <c r="K6615">
        <v>7.66519194401553E-2</v>
      </c>
      <c r="L6615">
        <v>685.52132927064201</v>
      </c>
      <c r="M6615">
        <v>12.7189656984725</v>
      </c>
      <c r="N6615">
        <v>53.991444860452702</v>
      </c>
      <c r="O6615">
        <v>52.617328212605003</v>
      </c>
      <c r="P6615">
        <v>-5.9782063903782101E-2</v>
      </c>
      <c r="Q6615">
        <v>1.0936063101127E-2</v>
      </c>
      <c r="R6615">
        <v>0.97998873037542</v>
      </c>
      <c r="S6615" t="s">
        <v>13618</v>
      </c>
      <c r="T6615" t="s">
        <v>14004</v>
      </c>
      <c r="U6615" t="s">
        <v>14004</v>
      </c>
      <c r="V6615" t="s">
        <v>14004</v>
      </c>
      <c r="W6615" t="s">
        <v>20558</v>
      </c>
      <c r="X6615">
        <v>3</v>
      </c>
      <c r="Y6615" t="s">
        <v>27341</v>
      </c>
      <c r="Z6615" t="s">
        <v>34325</v>
      </c>
      <c r="AA6615">
        <v>0.49375222035005151</v>
      </c>
      <c r="AB6615" t="str">
        <f>HYPERLINK("Melting_Curves/meltCurve_Q9UJG1_2_MOSPD1.pdf", "Melting_Curves/meltCurve_Q9UJG1_2_MOSPD1.pdf")</f>
        <v>Melting_Curves/meltCurve_Q9UJG1_2_MOSPD1.pdf</v>
      </c>
    </row>
    <row r="6616" spans="1:28" x14ac:dyDescent="0.25">
      <c r="A6616" t="s">
        <v>6620</v>
      </c>
      <c r="B6616">
        <v>0.99999676499088797</v>
      </c>
      <c r="C6616">
        <v>1.0770009742955</v>
      </c>
      <c r="D6616">
        <v>1.08500652878212</v>
      </c>
      <c r="E6616">
        <v>1.0557029023779601</v>
      </c>
      <c r="F6616">
        <v>0.78878814914096895</v>
      </c>
      <c r="G6616">
        <v>0.57623203384265698</v>
      </c>
      <c r="H6616">
        <v>0.24206911090278599</v>
      </c>
      <c r="I6616">
        <v>0.17312963617486299</v>
      </c>
      <c r="J6616">
        <v>0.11409171386841301</v>
      </c>
      <c r="K6616">
        <v>0.13101519285072399</v>
      </c>
      <c r="L6616">
        <v>1359.5274079594701</v>
      </c>
      <c r="M6616">
        <v>23.971292103777898</v>
      </c>
      <c r="N6616">
        <v>57.304110045930202</v>
      </c>
      <c r="O6616">
        <v>56.324543248030601</v>
      </c>
      <c r="P6616">
        <v>-9.4776767503683704E-2</v>
      </c>
      <c r="Q6616">
        <v>0.109239021949652</v>
      </c>
      <c r="R6616">
        <v>0.98406586462170098</v>
      </c>
      <c r="S6616" t="s">
        <v>13619</v>
      </c>
      <c r="T6616" t="s">
        <v>14004</v>
      </c>
      <c r="U6616" t="s">
        <v>14004</v>
      </c>
      <c r="V6616" t="s">
        <v>14004</v>
      </c>
      <c r="W6616" t="s">
        <v>20559</v>
      </c>
      <c r="X6616">
        <v>2</v>
      </c>
      <c r="Y6616" t="s">
        <v>27342</v>
      </c>
      <c r="Z6616" t="s">
        <v>34326</v>
      </c>
      <c r="AA6616">
        <v>0.6141596529087866</v>
      </c>
      <c r="AB6616" t="str">
        <f>HYPERLINK("Melting_Curves/meltCurve_Q9UJJ9_GNPTG.pdf", "Melting_Curves/meltCurve_Q9UJJ9_GNPTG.pdf")</f>
        <v>Melting_Curves/meltCurve_Q9UJJ9_GNPTG.pdf</v>
      </c>
    </row>
    <row r="6617" spans="1:28" x14ac:dyDescent="0.25">
      <c r="A6617" t="s">
        <v>6621</v>
      </c>
      <c r="B6617">
        <v>0.99999676499088797</v>
      </c>
      <c r="C6617">
        <v>1.1099019315086001</v>
      </c>
      <c r="D6617">
        <v>1.1800136432291699</v>
      </c>
      <c r="E6617">
        <v>1.26785142335641</v>
      </c>
      <c r="F6617">
        <v>1.10205536355042</v>
      </c>
      <c r="G6617">
        <v>1.12143923462686</v>
      </c>
      <c r="H6617">
        <v>0.68218440511539702</v>
      </c>
      <c r="I6617">
        <v>0.47288267966016301</v>
      </c>
      <c r="J6617">
        <v>0.249430567225566</v>
      </c>
      <c r="K6617">
        <v>0.232203839308631</v>
      </c>
      <c r="L6617">
        <v>2244.6622728907601</v>
      </c>
      <c r="M6617">
        <v>36.190973310024603</v>
      </c>
      <c r="N6617">
        <v>63.066301873711701</v>
      </c>
      <c r="O6617">
        <v>61.834258223263099</v>
      </c>
      <c r="P6617">
        <v>-0.11335835066084</v>
      </c>
      <c r="Q6617">
        <v>0.22528663738070301</v>
      </c>
      <c r="R6617">
        <v>0.88956174956663703</v>
      </c>
      <c r="S6617" t="s">
        <v>13620</v>
      </c>
      <c r="T6617" t="s">
        <v>14004</v>
      </c>
      <c r="U6617" t="s">
        <v>14004</v>
      </c>
      <c r="V6617" t="s">
        <v>14004</v>
      </c>
      <c r="W6617" t="s">
        <v>20560</v>
      </c>
      <c r="X6617">
        <v>3</v>
      </c>
      <c r="Y6617" t="s">
        <v>27343</v>
      </c>
      <c r="Z6617" t="s">
        <v>34327</v>
      </c>
      <c r="AA6617">
        <v>0.79709554445203468</v>
      </c>
      <c r="AB6617" t="str">
        <f>HYPERLINK("Melting_Curves/meltCurve_Q9UJK0_TSR3.pdf", "Melting_Curves/meltCurve_Q9UJK0_TSR3.pdf")</f>
        <v>Melting_Curves/meltCurve_Q9UJK0_TSR3.pdf</v>
      </c>
    </row>
    <row r="6618" spans="1:28" x14ac:dyDescent="0.25">
      <c r="A6618" t="s">
        <v>6622</v>
      </c>
      <c r="B6618">
        <v>0.99999676499088797</v>
      </c>
      <c r="C6618">
        <v>1.1212976900458</v>
      </c>
      <c r="D6618">
        <v>1.14156876150122</v>
      </c>
      <c r="E6618">
        <v>1.09772708451895</v>
      </c>
      <c r="F6618">
        <v>1.1020056092725099</v>
      </c>
      <c r="G6618">
        <v>1.07124802538565</v>
      </c>
      <c r="H6618">
        <v>0.66484504327012695</v>
      </c>
      <c r="I6618">
        <v>0.37271309514562601</v>
      </c>
      <c r="J6618">
        <v>0.19609966279893801</v>
      </c>
      <c r="K6618">
        <v>0.14003046156499099</v>
      </c>
      <c r="L6618">
        <v>2300.3767605456101</v>
      </c>
      <c r="M6618">
        <v>37.189246044227303</v>
      </c>
      <c r="N6618">
        <v>62.446996408812097</v>
      </c>
      <c r="O6618">
        <v>61.677926804711497</v>
      </c>
      <c r="P6618">
        <v>-0.12837749728161699</v>
      </c>
      <c r="Q6618">
        <v>0.148352102367833</v>
      </c>
      <c r="R6618">
        <v>0.954591543935847</v>
      </c>
      <c r="S6618" t="s">
        <v>13621</v>
      </c>
      <c r="T6618" t="s">
        <v>14004</v>
      </c>
      <c r="U6618" t="s">
        <v>14004</v>
      </c>
      <c r="V6618" t="s">
        <v>14004</v>
      </c>
      <c r="W6618" t="s">
        <v>20561</v>
      </c>
      <c r="X6618">
        <v>13</v>
      </c>
      <c r="Y6618" t="s">
        <v>27344</v>
      </c>
      <c r="Z6618" t="s">
        <v>34328</v>
      </c>
      <c r="AA6618">
        <v>0.7721775977076738</v>
      </c>
      <c r="AB6618" t="str">
        <f>HYPERLINK("Melting_Curves/meltCurve_Q9UJS0_SLC25A13.pdf", "Melting_Curves/meltCurve_Q9UJS0_SLC25A13.pdf")</f>
        <v>Melting_Curves/meltCurve_Q9UJS0_SLC25A13.pdf</v>
      </c>
    </row>
    <row r="6619" spans="1:28" x14ac:dyDescent="0.25">
      <c r="A6619" t="s">
        <v>6623</v>
      </c>
      <c r="B6619">
        <v>0.99999676499088797</v>
      </c>
      <c r="C6619">
        <v>0.95890675990229302</v>
      </c>
      <c r="D6619">
        <v>0.94666033730940602</v>
      </c>
      <c r="E6619">
        <v>0.96104738007396695</v>
      </c>
      <c r="F6619">
        <v>0.75059916193844201</v>
      </c>
      <c r="G6619">
        <v>0.63790972382246502</v>
      </c>
      <c r="H6619">
        <v>0.245100325925007</v>
      </c>
      <c r="I6619">
        <v>0.120878009096932</v>
      </c>
      <c r="J6619">
        <v>0.10448355423187999</v>
      </c>
      <c r="K6619">
        <v>7.8566896423234403E-2</v>
      </c>
      <c r="L6619">
        <v>1032.63813847393</v>
      </c>
      <c r="M6619">
        <v>17.976716373576</v>
      </c>
      <c r="N6619">
        <v>57.575845025565101</v>
      </c>
      <c r="O6619">
        <v>56.746405240600197</v>
      </c>
      <c r="P6619">
        <v>-7.7593654344942295E-2</v>
      </c>
      <c r="Q6619">
        <v>2.03010280967875E-2</v>
      </c>
      <c r="R6619">
        <v>0.98832474704804596</v>
      </c>
      <c r="S6619" t="s">
        <v>13622</v>
      </c>
      <c r="T6619" t="s">
        <v>14004</v>
      </c>
      <c r="U6619" t="s">
        <v>14004</v>
      </c>
      <c r="V6619" t="s">
        <v>14004</v>
      </c>
      <c r="W6619" t="s">
        <v>20562</v>
      </c>
      <c r="X6619">
        <v>7</v>
      </c>
      <c r="Y6619" t="s">
        <v>27345</v>
      </c>
      <c r="Z6619" t="s">
        <v>34329</v>
      </c>
      <c r="AA6619">
        <v>0.60285076252111502</v>
      </c>
      <c r="AB6619" t="str">
        <f>HYPERLINK("Melting_Curves/meltCurve_Q9UJT0_TUBE1.pdf", "Melting_Curves/meltCurve_Q9UJT0_TUBE1.pdf")</f>
        <v>Melting_Curves/meltCurve_Q9UJT0_TUBE1.pdf</v>
      </c>
    </row>
    <row r="6620" spans="1:28" x14ac:dyDescent="0.25">
      <c r="A6620" t="s">
        <v>6624</v>
      </c>
      <c r="B6620">
        <v>0.99999676499088797</v>
      </c>
      <c r="C6620">
        <v>0.80809791406573395</v>
      </c>
      <c r="D6620">
        <v>0.52975462598439205</v>
      </c>
      <c r="E6620">
        <v>0.31763443110899198</v>
      </c>
      <c r="F6620">
        <v>0.26229249830595502</v>
      </c>
      <c r="G6620">
        <v>0.212666901548967</v>
      </c>
      <c r="H6620">
        <v>0.19720527894079201</v>
      </c>
      <c r="I6620">
        <v>0.24961493497871501</v>
      </c>
      <c r="J6620">
        <v>0.26368721751769297</v>
      </c>
      <c r="K6620">
        <v>0.33865083870240897</v>
      </c>
      <c r="L6620">
        <v>1136.0563286863101</v>
      </c>
      <c r="M6620">
        <v>25.279113528776701</v>
      </c>
      <c r="N6620">
        <v>46.219949275623001</v>
      </c>
      <c r="O6620">
        <v>44.662109996512299</v>
      </c>
      <c r="P6620">
        <v>-0.10589502467373201</v>
      </c>
      <c r="Q6620">
        <v>0.25164553541427198</v>
      </c>
      <c r="R6620">
        <v>0.97950321810747798</v>
      </c>
      <c r="S6620" t="s">
        <v>13623</v>
      </c>
      <c r="T6620" t="s">
        <v>14004</v>
      </c>
      <c r="U6620" t="s">
        <v>14004</v>
      </c>
      <c r="V6620" t="s">
        <v>14004</v>
      </c>
      <c r="W6620" t="s">
        <v>20563</v>
      </c>
      <c r="X6620">
        <v>12</v>
      </c>
      <c r="Y6620" t="s">
        <v>27346</v>
      </c>
      <c r="Z6620" t="s">
        <v>34330</v>
      </c>
      <c r="AA6620">
        <v>0.38219259169260977</v>
      </c>
      <c r="AB6620" t="str">
        <f>HYPERLINK("Melting_Curves/meltCurve_Q9UJU2_LEF1.pdf", "Melting_Curves/meltCurve_Q9UJU2_LEF1.pdf")</f>
        <v>Melting_Curves/meltCurve_Q9UJU2_LEF1.pdf</v>
      </c>
    </row>
    <row r="6621" spans="1:28" x14ac:dyDescent="0.25">
      <c r="A6621" t="s">
        <v>6625</v>
      </c>
      <c r="B6621">
        <v>0.99999676499088797</v>
      </c>
      <c r="C6621">
        <v>0.89113636682375896</v>
      </c>
      <c r="D6621">
        <v>0.83689657081751301</v>
      </c>
      <c r="E6621">
        <v>0.37936775793313898</v>
      </c>
      <c r="F6621">
        <v>0.194083898101545</v>
      </c>
      <c r="G6621">
        <v>0.11808729098092099</v>
      </c>
      <c r="H6621">
        <v>6.43874475525366E-2</v>
      </c>
      <c r="I6621">
        <v>7.4909525863783799E-2</v>
      </c>
      <c r="J6621">
        <v>8.4202242584075104E-2</v>
      </c>
      <c r="K6621">
        <v>0.109917636400387</v>
      </c>
      <c r="L6621">
        <v>1182.5056207596799</v>
      </c>
      <c r="M6621">
        <v>24.457025170743702</v>
      </c>
      <c r="N6621">
        <v>48.721802816864802</v>
      </c>
      <c r="O6621">
        <v>48.030559312598498</v>
      </c>
      <c r="P6621">
        <v>-0.116473572619598</v>
      </c>
      <c r="Q6621">
        <v>8.5054725874759707E-2</v>
      </c>
      <c r="R6621">
        <v>0.99296835838217401</v>
      </c>
      <c r="S6621" t="s">
        <v>13624</v>
      </c>
      <c r="T6621" t="s">
        <v>14004</v>
      </c>
      <c r="U6621" t="s">
        <v>14004</v>
      </c>
      <c r="V6621" t="s">
        <v>14004</v>
      </c>
      <c r="W6621" t="s">
        <v>20564</v>
      </c>
      <c r="X6621">
        <v>21</v>
      </c>
      <c r="Y6621" t="s">
        <v>27347</v>
      </c>
      <c r="Z6621" t="s">
        <v>34331</v>
      </c>
      <c r="AA6621">
        <v>0.34819259997812729</v>
      </c>
      <c r="AB6621" t="str">
        <f>HYPERLINK("Melting_Curves/meltCurve_Q9UJU6_DBNL.pdf", "Melting_Curves/meltCurve_Q9UJU6_DBNL.pdf")</f>
        <v>Melting_Curves/meltCurve_Q9UJU6_DBNL.pdf</v>
      </c>
    </row>
    <row r="6622" spans="1:28" x14ac:dyDescent="0.25">
      <c r="A6622" t="s">
        <v>6626</v>
      </c>
      <c r="B6622">
        <v>0.99999676499088797</v>
      </c>
      <c r="C6622">
        <v>1.42032288882128</v>
      </c>
      <c r="D6622">
        <v>0.98883286908088497</v>
      </c>
      <c r="E6622">
        <v>0.26697996003584701</v>
      </c>
      <c r="F6622">
        <v>9.8574327847421206E-2</v>
      </c>
      <c r="G6622">
        <v>0.16653313918734999</v>
      </c>
      <c r="H6622">
        <v>0.114453664158642</v>
      </c>
      <c r="I6622">
        <v>0.102051748880893</v>
      </c>
      <c r="J6622">
        <v>0.22771820531008299</v>
      </c>
      <c r="K6622">
        <v>0.15478658248666299</v>
      </c>
      <c r="L6622">
        <v>4156.59881710232</v>
      </c>
      <c r="M6622">
        <v>85.591744116361397</v>
      </c>
      <c r="N6622">
        <v>48.756553602516597</v>
      </c>
      <c r="O6622">
        <v>48.536569535215797</v>
      </c>
      <c r="P6622">
        <v>-0.377377999994712</v>
      </c>
      <c r="Q6622">
        <v>0.14399971670544401</v>
      </c>
      <c r="R6622">
        <v>0.91172262582178298</v>
      </c>
      <c r="S6622" t="s">
        <v>13625</v>
      </c>
      <c r="T6622" t="s">
        <v>14004</v>
      </c>
      <c r="U6622" t="s">
        <v>14004</v>
      </c>
      <c r="V6622" t="s">
        <v>14004</v>
      </c>
      <c r="W6622" t="s">
        <v>20565</v>
      </c>
      <c r="X6622">
        <v>19</v>
      </c>
      <c r="Y6622" t="s">
        <v>27347</v>
      </c>
      <c r="Z6622" t="s">
        <v>34332</v>
      </c>
      <c r="AA6622">
        <v>0.38895648828571522</v>
      </c>
      <c r="AB6622" t="str">
        <f>HYPERLINK("Melting_Curves/meltCurve_Q9UJU6_2_DBNL.pdf", "Melting_Curves/meltCurve_Q9UJU6_2_DBNL.pdf")</f>
        <v>Melting_Curves/meltCurve_Q9UJU6_2_DBNL.pdf</v>
      </c>
    </row>
    <row r="6623" spans="1:28" x14ac:dyDescent="0.25">
      <c r="A6623" t="s">
        <v>6627</v>
      </c>
      <c r="B6623">
        <v>0.99999676499088797</v>
      </c>
      <c r="C6623">
        <v>1.0885049073662301</v>
      </c>
      <c r="D6623">
        <v>1.11143053884149</v>
      </c>
      <c r="E6623">
        <v>1.05063697920988</v>
      </c>
      <c r="F6623">
        <v>0.88142975460486594</v>
      </c>
      <c r="G6623">
        <v>0.87236113762245004</v>
      </c>
      <c r="H6623">
        <v>0.56184895029327597</v>
      </c>
      <c r="I6623">
        <v>0.359912306742245</v>
      </c>
      <c r="J6623">
        <v>0.15928674054361999</v>
      </c>
      <c r="K6623">
        <v>9.8785015877956198E-2</v>
      </c>
      <c r="L6623">
        <v>1185.6355339224201</v>
      </c>
      <c r="M6623">
        <v>19.192688734269801</v>
      </c>
      <c r="N6623">
        <v>61.775378173251802</v>
      </c>
      <c r="O6623">
        <v>61.116451024413102</v>
      </c>
      <c r="P6623">
        <v>-7.8511692087026699E-2</v>
      </c>
      <c r="Q6623">
        <v>0</v>
      </c>
      <c r="R6623">
        <v>0.97704134509570695</v>
      </c>
      <c r="S6623" t="s">
        <v>13626</v>
      </c>
      <c r="T6623" t="s">
        <v>14004</v>
      </c>
      <c r="U6623" t="s">
        <v>14004</v>
      </c>
      <c r="V6623" t="s">
        <v>14004</v>
      </c>
      <c r="W6623" t="s">
        <v>20566</v>
      </c>
      <c r="X6623">
        <v>19</v>
      </c>
      <c r="Y6623" t="s">
        <v>27348</v>
      </c>
      <c r="Z6623" t="s">
        <v>34333</v>
      </c>
      <c r="AA6623">
        <v>0.72919296847883552</v>
      </c>
      <c r="AB6623" t="str">
        <f>HYPERLINK("Melting_Curves/meltCurve_Q9UJW0_DCTN4.pdf", "Melting_Curves/meltCurve_Q9UJW0_DCTN4.pdf")</f>
        <v>Melting_Curves/meltCurve_Q9UJW0_DCTN4.pdf</v>
      </c>
    </row>
    <row r="6624" spans="1:28" x14ac:dyDescent="0.25">
      <c r="A6624" t="s">
        <v>6628</v>
      </c>
      <c r="B6624">
        <v>0.99999676499088797</v>
      </c>
      <c r="C6624">
        <v>0.99591692058150105</v>
      </c>
      <c r="D6624">
        <v>0.95664199108553505</v>
      </c>
      <c r="E6624">
        <v>0.83419082943059997</v>
      </c>
      <c r="F6624">
        <v>0.46552368577025299</v>
      </c>
      <c r="G6624">
        <v>0.23787064471570701</v>
      </c>
      <c r="H6624">
        <v>0.111547503705989</v>
      </c>
      <c r="I6624">
        <v>9.1290712819626002E-2</v>
      </c>
      <c r="J6624">
        <v>9.8799329487308005E-2</v>
      </c>
      <c r="K6624">
        <v>8.8907774779932197E-2</v>
      </c>
      <c r="L6624">
        <v>1241.32205070076</v>
      </c>
      <c r="M6624">
        <v>23.612652254110898</v>
      </c>
      <c r="N6624">
        <v>52.992560608547798</v>
      </c>
      <c r="O6624">
        <v>52.197510496145902</v>
      </c>
      <c r="P6624">
        <v>-0.10339428508961999</v>
      </c>
      <c r="Q6624">
        <v>8.5772632470192803E-2</v>
      </c>
      <c r="R6624">
        <v>0.99930337874069197</v>
      </c>
      <c r="S6624" t="s">
        <v>13627</v>
      </c>
      <c r="T6624" t="s">
        <v>14004</v>
      </c>
      <c r="U6624" t="s">
        <v>14004</v>
      </c>
      <c r="V6624" t="s">
        <v>14004</v>
      </c>
      <c r="W6624" t="s">
        <v>20567</v>
      </c>
      <c r="X6624">
        <v>11</v>
      </c>
      <c r="Y6624" t="s">
        <v>27349</v>
      </c>
      <c r="Z6624" t="s">
        <v>34334</v>
      </c>
      <c r="AA6624">
        <v>0.47818188291409103</v>
      </c>
      <c r="AB6624" t="str">
        <f>HYPERLINK("Melting_Curves/meltCurve_Q9UJX2_CDC23.pdf", "Melting_Curves/meltCurve_Q9UJX2_CDC23.pdf")</f>
        <v>Melting_Curves/meltCurve_Q9UJX2_CDC23.pdf</v>
      </c>
    </row>
    <row r="6625" spans="1:28" x14ac:dyDescent="0.25">
      <c r="A6625" t="s">
        <v>6629</v>
      </c>
      <c r="B6625">
        <v>0.99999676499088797</v>
      </c>
      <c r="C6625">
        <v>0.92601208787786804</v>
      </c>
      <c r="D6625">
        <v>0.88170558839182001</v>
      </c>
      <c r="E6625">
        <v>0.78889021090954503</v>
      </c>
      <c r="F6625">
        <v>0.50064362416457597</v>
      </c>
      <c r="G6625">
        <v>0.21140506761620001</v>
      </c>
      <c r="H6625">
        <v>8.2067801122119297E-2</v>
      </c>
      <c r="I6625">
        <v>8.3403523782499503E-2</v>
      </c>
      <c r="J6625">
        <v>7.2446434082814995E-2</v>
      </c>
      <c r="K6625">
        <v>6.4570192551751698E-2</v>
      </c>
      <c r="L6625">
        <v>969.04211952872595</v>
      </c>
      <c r="M6625">
        <v>18.401632920171998</v>
      </c>
      <c r="N6625">
        <v>52.898338994620502</v>
      </c>
      <c r="O6625">
        <v>52.050567621529403</v>
      </c>
      <c r="P6625">
        <v>-8.4880459692936505E-2</v>
      </c>
      <c r="Q6625">
        <v>3.9677232823554197E-2</v>
      </c>
      <c r="R6625">
        <v>0.99298440246201403</v>
      </c>
      <c r="S6625" t="s">
        <v>13628</v>
      </c>
      <c r="T6625" t="s">
        <v>14004</v>
      </c>
      <c r="U6625" t="s">
        <v>14004</v>
      </c>
      <c r="V6625" t="s">
        <v>14004</v>
      </c>
      <c r="W6625" t="s">
        <v>20568</v>
      </c>
      <c r="X6625">
        <v>13</v>
      </c>
      <c r="Y6625" t="s">
        <v>27350</v>
      </c>
      <c r="Z6625" t="s">
        <v>34335</v>
      </c>
      <c r="AA6625">
        <v>0.46020980090555058</v>
      </c>
      <c r="AB6625" t="str">
        <f>HYPERLINK("Melting_Curves/meltCurve_Q9UJX3_ANAPC7.pdf", "Melting_Curves/meltCurve_Q9UJX3_ANAPC7.pdf")</f>
        <v>Melting_Curves/meltCurve_Q9UJX3_ANAPC7.pdf</v>
      </c>
    </row>
    <row r="6626" spans="1:28" x14ac:dyDescent="0.25">
      <c r="A6626" t="s">
        <v>6630</v>
      </c>
      <c r="B6626">
        <v>0.99999676499088797</v>
      </c>
      <c r="C6626">
        <v>0.94607968011117005</v>
      </c>
      <c r="D6626">
        <v>0.95588304661171097</v>
      </c>
      <c r="E6626">
        <v>0.83474634744200704</v>
      </c>
      <c r="F6626">
        <v>0.44382820018721503</v>
      </c>
      <c r="G6626">
        <v>0.26761555347629201</v>
      </c>
      <c r="H6626">
        <v>0.10042698740950499</v>
      </c>
      <c r="I6626">
        <v>9.4925900567553595E-2</v>
      </c>
      <c r="J6626">
        <v>0.10021544530271199</v>
      </c>
      <c r="K6626">
        <v>5.9842850292864402E-2</v>
      </c>
      <c r="L6626">
        <v>1147.8305757862299</v>
      </c>
      <c r="M6626">
        <v>21.821469902948099</v>
      </c>
      <c r="N6626">
        <v>52.991542690412302</v>
      </c>
      <c r="O6626">
        <v>52.165201162530401</v>
      </c>
      <c r="P6626">
        <v>-9.6812511618045494E-2</v>
      </c>
      <c r="Q6626">
        <v>7.4282760952756904E-2</v>
      </c>
      <c r="R6626">
        <v>0.99523784793974501</v>
      </c>
      <c r="S6626" t="s">
        <v>13629</v>
      </c>
      <c r="T6626" t="s">
        <v>14004</v>
      </c>
      <c r="U6626" t="s">
        <v>14004</v>
      </c>
      <c r="V6626" t="s">
        <v>14004</v>
      </c>
      <c r="W6626" t="s">
        <v>20569</v>
      </c>
      <c r="X6626">
        <v>5</v>
      </c>
      <c r="Y6626" t="s">
        <v>27351</v>
      </c>
      <c r="Z6626" t="s">
        <v>34336</v>
      </c>
      <c r="AA6626">
        <v>0.47405153164916458</v>
      </c>
      <c r="AB6626" t="str">
        <f>HYPERLINK("Melting_Curves/meltCurve_Q9UJX5_ANAPC4.pdf", "Melting_Curves/meltCurve_Q9UJX5_ANAPC4.pdf")</f>
        <v>Melting_Curves/meltCurve_Q9UJX5_ANAPC4.pdf</v>
      </c>
    </row>
    <row r="6627" spans="1:28" x14ac:dyDescent="0.25">
      <c r="A6627" t="s">
        <v>6631</v>
      </c>
      <c r="B6627">
        <v>0.99999676499088797</v>
      </c>
      <c r="C6627">
        <v>0.99400181278833999</v>
      </c>
      <c r="D6627">
        <v>0.89957028681370799</v>
      </c>
      <c r="E6627">
        <v>0.74903926601901705</v>
      </c>
      <c r="F6627">
        <v>0.38318812478115299</v>
      </c>
      <c r="G6627">
        <v>0.24809824247630699</v>
      </c>
      <c r="H6627">
        <v>0.118535395241489</v>
      </c>
      <c r="I6627">
        <v>9.35389804382072E-2</v>
      </c>
      <c r="J6627">
        <v>8.0162887590604096E-2</v>
      </c>
      <c r="K6627">
        <v>7.8473282603446007E-2</v>
      </c>
      <c r="L6627">
        <v>994.36849509373997</v>
      </c>
      <c r="M6627">
        <v>19.209899441942699</v>
      </c>
      <c r="N6627">
        <v>52.192294075275598</v>
      </c>
      <c r="O6627">
        <v>51.2121775317935</v>
      </c>
      <c r="P6627">
        <v>-8.6931430327092399E-2</v>
      </c>
      <c r="Q6627">
        <v>7.3024211219720095E-2</v>
      </c>
      <c r="R6627">
        <v>0.99729332476288302</v>
      </c>
      <c r="S6627" t="s">
        <v>13630</v>
      </c>
      <c r="T6627" t="s">
        <v>14004</v>
      </c>
      <c r="U6627" t="s">
        <v>14004</v>
      </c>
      <c r="V6627" t="s">
        <v>14004</v>
      </c>
      <c r="W6627" t="s">
        <v>20570</v>
      </c>
      <c r="X6627">
        <v>10</v>
      </c>
      <c r="Y6627" t="s">
        <v>27352</v>
      </c>
      <c r="Z6627" t="s">
        <v>34337</v>
      </c>
      <c r="AA6627">
        <v>0.45030597759647939</v>
      </c>
      <c r="AB6627" t="str">
        <f>HYPERLINK("Melting_Curves/meltCurve_Q9UJX6_2_ANAPC2.pdf", "Melting_Curves/meltCurve_Q9UJX6_2_ANAPC2.pdf")</f>
        <v>Melting_Curves/meltCurve_Q9UJX6_2_ANAPC2.pdf</v>
      </c>
    </row>
    <row r="6628" spans="1:28" x14ac:dyDescent="0.25">
      <c r="A6628" t="s">
        <v>6632</v>
      </c>
      <c r="B6628">
        <v>0.99999676499088797</v>
      </c>
      <c r="C6628">
        <v>0.80571411045518504</v>
      </c>
      <c r="D6628">
        <v>0.67444045532414998</v>
      </c>
      <c r="E6628">
        <v>0.63446938238440598</v>
      </c>
      <c r="F6628">
        <v>0.487900583150637</v>
      </c>
      <c r="G6628">
        <v>0.31450144580516198</v>
      </c>
      <c r="H6628">
        <v>0.20969557247673201</v>
      </c>
      <c r="I6628">
        <v>0.178620463041919</v>
      </c>
      <c r="J6628">
        <v>0.119678811641451</v>
      </c>
      <c r="K6628">
        <v>0.18076159849366399</v>
      </c>
      <c r="L6628">
        <v>443.99396569926301</v>
      </c>
      <c r="M6628">
        <v>8.6709073317008105</v>
      </c>
      <c r="N6628">
        <v>51.767063766288899</v>
      </c>
      <c r="O6628">
        <v>48.7000949613928</v>
      </c>
      <c r="P6628">
        <v>-4.2547768389286103E-2</v>
      </c>
      <c r="Q6628">
        <v>4.4921357373975401E-2</v>
      </c>
      <c r="R6628">
        <v>0.97520634589983302</v>
      </c>
      <c r="S6628" t="s">
        <v>13631</v>
      </c>
      <c r="T6628" t="s">
        <v>14004</v>
      </c>
      <c r="U6628" t="s">
        <v>14004</v>
      </c>
      <c r="V6628" t="s">
        <v>14004</v>
      </c>
      <c r="W6628" t="s">
        <v>20571</v>
      </c>
      <c r="X6628">
        <v>4</v>
      </c>
      <c r="Y6628" t="s">
        <v>27353</v>
      </c>
      <c r="Z6628" t="s">
        <v>34338</v>
      </c>
      <c r="AA6628">
        <v>0.44749288589366443</v>
      </c>
      <c r="AB6628" t="str">
        <f>HYPERLINK("Melting_Curves/meltCurve_Q9UJY4_GGA2.pdf", "Melting_Curves/meltCurve_Q9UJY4_GGA2.pdf")</f>
        <v>Melting_Curves/meltCurve_Q9UJY4_GGA2.pdf</v>
      </c>
    </row>
    <row r="6629" spans="1:28" x14ac:dyDescent="0.25">
      <c r="A6629" t="s">
        <v>6633</v>
      </c>
      <c r="B6629">
        <v>0.99999676499088797</v>
      </c>
      <c r="C6629">
        <v>0.90428043348503695</v>
      </c>
      <c r="D6629">
        <v>0.86133469020835396</v>
      </c>
      <c r="E6629">
        <v>0.56659744417351299</v>
      </c>
      <c r="F6629">
        <v>0.231951107097224</v>
      </c>
      <c r="G6629">
        <v>0.14160712472646</v>
      </c>
      <c r="H6629">
        <v>6.9410437713819606E-2</v>
      </c>
      <c r="I6629">
        <v>6.65011374089131E-2</v>
      </c>
      <c r="J6629">
        <v>5.68377999943828E-2</v>
      </c>
      <c r="K6629">
        <v>5.8997459464094203E-2</v>
      </c>
      <c r="L6629">
        <v>999.40184483957398</v>
      </c>
      <c r="M6629">
        <v>20.0538219823143</v>
      </c>
      <c r="N6629">
        <v>50.1098871316171</v>
      </c>
      <c r="O6629">
        <v>49.348369622625</v>
      </c>
      <c r="P6629">
        <v>-9.6322419285557001E-2</v>
      </c>
      <c r="Q6629">
        <v>5.1911452804852397E-2</v>
      </c>
      <c r="R6629">
        <v>0.99629246187470999</v>
      </c>
      <c r="S6629" t="s">
        <v>13632</v>
      </c>
      <c r="T6629" t="s">
        <v>14004</v>
      </c>
      <c r="U6629" t="s">
        <v>14004</v>
      </c>
      <c r="V6629" t="s">
        <v>14004</v>
      </c>
      <c r="W6629" t="s">
        <v>20572</v>
      </c>
      <c r="X6629">
        <v>14</v>
      </c>
      <c r="Y6629" t="s">
        <v>27354</v>
      </c>
      <c r="Z6629" t="s">
        <v>34339</v>
      </c>
      <c r="AA6629">
        <v>0.37589543824119442</v>
      </c>
      <c r="AB6629" t="str">
        <f>HYPERLINK("Melting_Curves/meltCurve_Q9UJY5_4_GGA1.pdf", "Melting_Curves/meltCurve_Q9UJY5_4_GGA1.pdf")</f>
        <v>Melting_Curves/meltCurve_Q9UJY5_4_GGA1.pdf</v>
      </c>
    </row>
    <row r="6630" spans="1:28" x14ac:dyDescent="0.25">
      <c r="A6630" t="s">
        <v>6634</v>
      </c>
      <c r="B6630">
        <v>0.99999676499088797</v>
      </c>
      <c r="C6630">
        <v>0.93401390923948702</v>
      </c>
      <c r="D6630">
        <v>0.99709460497012603</v>
      </c>
      <c r="E6630">
        <v>0.80472239962776804</v>
      </c>
      <c r="F6630">
        <v>0.79548792265826895</v>
      </c>
      <c r="G6630">
        <v>0.80765971525945501</v>
      </c>
      <c r="H6630">
        <v>0.60599704722720404</v>
      </c>
      <c r="I6630">
        <v>0.61294998837441494</v>
      </c>
      <c r="J6630">
        <v>0.17417123992628</v>
      </c>
      <c r="K6630">
        <v>9.4775636143140204E-2</v>
      </c>
      <c r="L6630">
        <v>787.69147945543898</v>
      </c>
      <c r="M6630">
        <v>12.619670294801001</v>
      </c>
      <c r="N6630">
        <v>62.417754297441398</v>
      </c>
      <c r="O6630">
        <v>60.912626503204898</v>
      </c>
      <c r="P6630">
        <v>-5.1804407644621797E-2</v>
      </c>
      <c r="Q6630">
        <v>0</v>
      </c>
      <c r="R6630">
        <v>0.88776319980336504</v>
      </c>
      <c r="S6630" t="s">
        <v>13633</v>
      </c>
      <c r="T6630" t="s">
        <v>14004</v>
      </c>
      <c r="U6630" t="s">
        <v>14004</v>
      </c>
      <c r="V6630" t="s">
        <v>14004</v>
      </c>
      <c r="W6630" t="s">
        <v>20573</v>
      </c>
      <c r="X6630">
        <v>22</v>
      </c>
      <c r="Y6630" t="s">
        <v>27355</v>
      </c>
      <c r="Z6630" t="s">
        <v>34340</v>
      </c>
      <c r="AA6630">
        <v>0.7350033372108119</v>
      </c>
      <c r="AB6630" t="str">
        <f>HYPERLINK("Melting_Curves/meltCurve_Q9UJZ1_STOML2.pdf", "Melting_Curves/meltCurve_Q9UJZ1_STOML2.pdf")</f>
        <v>Melting_Curves/meltCurve_Q9UJZ1_STOML2.pdf</v>
      </c>
    </row>
    <row r="6631" spans="1:28" x14ac:dyDescent="0.25">
      <c r="A6631" t="s">
        <v>6635</v>
      </c>
      <c r="B6631">
        <v>0.99999676499088797</v>
      </c>
      <c r="C6631">
        <v>0.96833437500738295</v>
      </c>
      <c r="D6631">
        <v>0.99610622288064099</v>
      </c>
      <c r="E6631">
        <v>0.83905974922385596</v>
      </c>
      <c r="F6631">
        <v>0.86569493865095004</v>
      </c>
      <c r="G6631">
        <v>0.642120424919287</v>
      </c>
      <c r="H6631">
        <v>0.482665018698749</v>
      </c>
      <c r="I6631">
        <v>0.406193237562672</v>
      </c>
      <c r="J6631">
        <v>0.29714366900093803</v>
      </c>
      <c r="K6631">
        <v>0.26369165473145401</v>
      </c>
      <c r="L6631">
        <v>655.12301444591105</v>
      </c>
      <c r="M6631">
        <v>11.077190944487301</v>
      </c>
      <c r="N6631">
        <v>60.712450470180897</v>
      </c>
      <c r="O6631">
        <v>57.312279470421203</v>
      </c>
      <c r="P6631">
        <v>-4.2312959609428297E-2</v>
      </c>
      <c r="Q6631">
        <v>0.124595391070023</v>
      </c>
      <c r="R6631">
        <v>0.98594686094520301</v>
      </c>
      <c r="S6631" t="s">
        <v>13634</v>
      </c>
      <c r="T6631" t="s">
        <v>14004</v>
      </c>
      <c r="U6631" t="s">
        <v>14004</v>
      </c>
      <c r="V6631" t="s">
        <v>14004</v>
      </c>
      <c r="W6631" t="s">
        <v>20574</v>
      </c>
      <c r="X6631">
        <v>6</v>
      </c>
      <c r="Y6631" t="s">
        <v>27356</v>
      </c>
      <c r="Z6631" t="s">
        <v>34341</v>
      </c>
      <c r="AA6631">
        <v>0.68783455146724237</v>
      </c>
      <c r="AB6631" t="str">
        <f>HYPERLINK("Melting_Curves/meltCurve_Q9UK23_2_NAGPA.pdf", "Melting_Curves/meltCurve_Q9UK23_2_NAGPA.pdf")</f>
        <v>Melting_Curves/meltCurve_Q9UK23_2_NAGPA.pdf</v>
      </c>
    </row>
    <row r="6632" spans="1:28" x14ac:dyDescent="0.25">
      <c r="A6632" t="s">
        <v>6636</v>
      </c>
      <c r="B6632">
        <v>0.99999676499088797</v>
      </c>
      <c r="C6632">
        <v>0.95929684001127802</v>
      </c>
      <c r="D6632">
        <v>0.91592678999515298</v>
      </c>
      <c r="E6632">
        <v>0.61600189419493501</v>
      </c>
      <c r="F6632">
        <v>0.23107973917284699</v>
      </c>
      <c r="G6632">
        <v>0.14040924820784201</v>
      </c>
      <c r="H6632">
        <v>7.4897571976734995E-2</v>
      </c>
      <c r="I6632">
        <v>6.1767179709638603E-2</v>
      </c>
      <c r="J6632">
        <v>4.7506642812655701E-2</v>
      </c>
      <c r="K6632">
        <v>4.61022006139091E-2</v>
      </c>
      <c r="L6632">
        <v>1224.75825094936</v>
      </c>
      <c r="M6632">
        <v>24.351069782205801</v>
      </c>
      <c r="N6632">
        <v>50.540533466276798</v>
      </c>
      <c r="O6632">
        <v>49.960358956795403</v>
      </c>
      <c r="P6632">
        <v>-0.115078777724495</v>
      </c>
      <c r="Q6632">
        <v>5.5599423143938599E-2</v>
      </c>
      <c r="R6632">
        <v>0.998423761445839</v>
      </c>
      <c r="S6632" t="s">
        <v>13635</v>
      </c>
      <c r="T6632" t="s">
        <v>14004</v>
      </c>
      <c r="U6632" t="s">
        <v>14004</v>
      </c>
      <c r="V6632" t="s">
        <v>14004</v>
      </c>
      <c r="W6632" t="s">
        <v>20575</v>
      </c>
      <c r="X6632">
        <v>10</v>
      </c>
      <c r="Y6632" t="s">
        <v>27357</v>
      </c>
      <c r="Z6632" t="s">
        <v>34342</v>
      </c>
      <c r="AA6632">
        <v>0.38863652765103313</v>
      </c>
      <c r="AB6632" t="str">
        <f>HYPERLINK("Melting_Curves/meltCurve_Q9UK41_VPS28.pdf", "Melting_Curves/meltCurve_Q9UK41_VPS28.pdf")</f>
        <v>Melting_Curves/meltCurve_Q9UK41_VPS28.pdf</v>
      </c>
    </row>
    <row r="6633" spans="1:28" x14ac:dyDescent="0.25">
      <c r="A6633" t="s">
        <v>6637</v>
      </c>
      <c r="B6633">
        <v>0.99999676499088797</v>
      </c>
      <c r="C6633">
        <v>1.06192100436809</v>
      </c>
      <c r="D6633">
        <v>0.83728163898826502</v>
      </c>
      <c r="E6633">
        <v>0.52047212288703604</v>
      </c>
      <c r="F6633">
        <v>0.40837726456372497</v>
      </c>
      <c r="G6633">
        <v>0.42729181116481302</v>
      </c>
      <c r="H6633">
        <v>0.23227117915221601</v>
      </c>
      <c r="I6633">
        <v>0.46738878471483503</v>
      </c>
      <c r="J6633">
        <v>0.49923176923043</v>
      </c>
      <c r="K6633">
        <v>0.15712574096208901</v>
      </c>
      <c r="L6633">
        <v>1459.37123936641</v>
      </c>
      <c r="M6633">
        <v>30.492751869098601</v>
      </c>
      <c r="N6633">
        <v>49.928009899278898</v>
      </c>
      <c r="O6633">
        <v>47.655184809827396</v>
      </c>
      <c r="P6633">
        <v>-0.102597407956067</v>
      </c>
      <c r="Q6633">
        <v>0.35863203235905999</v>
      </c>
      <c r="R6633">
        <v>0.88237298339183401</v>
      </c>
      <c r="S6633" t="s">
        <v>13636</v>
      </c>
      <c r="T6633" t="s">
        <v>14004</v>
      </c>
      <c r="U6633" t="s">
        <v>14004</v>
      </c>
      <c r="V6633" t="s">
        <v>14004</v>
      </c>
      <c r="W6633" t="s">
        <v>20576</v>
      </c>
      <c r="X6633">
        <v>7</v>
      </c>
      <c r="Y6633" t="s">
        <v>27358</v>
      </c>
      <c r="Z6633" t="s">
        <v>34343</v>
      </c>
      <c r="AA6633">
        <v>0.53038848758493107</v>
      </c>
      <c r="AB6633" t="str">
        <f>HYPERLINK("Melting_Curves/meltCurve_Q9UK45_LSM7.pdf", "Melting_Curves/meltCurve_Q9UK45_LSM7.pdf")</f>
        <v>Melting_Curves/meltCurve_Q9UK45_LSM7.pdf</v>
      </c>
    </row>
    <row r="6634" spans="1:28" x14ac:dyDescent="0.25">
      <c r="A6634" t="s">
        <v>6638</v>
      </c>
      <c r="B6634">
        <v>0.99999676499088797</v>
      </c>
      <c r="C6634">
        <v>0.92604993740701802</v>
      </c>
      <c r="D6634">
        <v>0.87334650516734003</v>
      </c>
      <c r="E6634">
        <v>0.67359101987284298</v>
      </c>
      <c r="F6634">
        <v>0.49098042667908298</v>
      </c>
      <c r="G6634">
        <v>0.45356370893271802</v>
      </c>
      <c r="H6634">
        <v>0.24981702308786499</v>
      </c>
      <c r="I6634">
        <v>0.22987062837466399</v>
      </c>
      <c r="J6634">
        <v>0.205576659474829</v>
      </c>
      <c r="K6634">
        <v>0.24644886452657599</v>
      </c>
      <c r="L6634">
        <v>641.525354610421</v>
      </c>
      <c r="M6634">
        <v>12.428115886748699</v>
      </c>
      <c r="N6634">
        <v>53.557372955741997</v>
      </c>
      <c r="O6634">
        <v>50.337066409235</v>
      </c>
      <c r="P6634">
        <v>-5.05546802730912E-2</v>
      </c>
      <c r="Q6634">
        <v>0.18113435092841601</v>
      </c>
      <c r="R6634">
        <v>0.98753406408495903</v>
      </c>
      <c r="S6634" t="s">
        <v>13637</v>
      </c>
      <c r="T6634" t="s">
        <v>14004</v>
      </c>
      <c r="U6634" t="s">
        <v>14004</v>
      </c>
      <c r="V6634" t="s">
        <v>14004</v>
      </c>
      <c r="W6634" t="s">
        <v>20577</v>
      </c>
      <c r="X6634">
        <v>1</v>
      </c>
      <c r="Y6634" t="s">
        <v>27359</v>
      </c>
      <c r="Z6634" t="s">
        <v>34344</v>
      </c>
      <c r="AA6634">
        <v>0.52277534789414504</v>
      </c>
      <c r="AB6634" t="str">
        <f>HYPERLINK("Melting_Curves/meltCurve_Q9UK53_3_ING1.pdf", "Melting_Curves/meltCurve_Q9UK53_3_ING1.pdf")</f>
        <v>Melting_Curves/meltCurve_Q9UK53_3_ING1.pdf</v>
      </c>
    </row>
    <row r="6635" spans="1:28" x14ac:dyDescent="0.25">
      <c r="A6635" t="s">
        <v>6639</v>
      </c>
      <c r="B6635">
        <v>0.99999676499088797</v>
      </c>
      <c r="C6635">
        <v>0.970905906996546</v>
      </c>
      <c r="D6635">
        <v>0.93642805329007905</v>
      </c>
      <c r="E6635">
        <v>0.90423508656683005</v>
      </c>
      <c r="F6635">
        <v>0.82790299303705694</v>
      </c>
      <c r="G6635">
        <v>0.60821822466447295</v>
      </c>
      <c r="H6635">
        <v>0.206522518370475</v>
      </c>
      <c r="I6635">
        <v>0.12355126222498999</v>
      </c>
      <c r="J6635">
        <v>0.100646171157781</v>
      </c>
      <c r="K6635">
        <v>9.0460553446902306E-2</v>
      </c>
      <c r="L6635">
        <v>1240.76299483766</v>
      </c>
      <c r="M6635">
        <v>21.715161349000201</v>
      </c>
      <c r="N6635">
        <v>57.434038236387401</v>
      </c>
      <c r="O6635">
        <v>56.6601580145417</v>
      </c>
      <c r="P6635">
        <v>-9.0743950877809607E-2</v>
      </c>
      <c r="Q6635">
        <v>5.2929822318139801E-2</v>
      </c>
      <c r="R6635">
        <v>0.99031931183756206</v>
      </c>
      <c r="S6635" t="s">
        <v>13638</v>
      </c>
      <c r="T6635" t="s">
        <v>14004</v>
      </c>
      <c r="U6635" t="s">
        <v>14004</v>
      </c>
      <c r="V6635" t="s">
        <v>14004</v>
      </c>
      <c r="W6635" t="s">
        <v>20578</v>
      </c>
      <c r="X6635">
        <v>22</v>
      </c>
      <c r="Y6635" t="s">
        <v>27360</v>
      </c>
      <c r="Z6635" t="s">
        <v>34345</v>
      </c>
      <c r="AA6635">
        <v>0.60434470540740404</v>
      </c>
      <c r="AB6635" t="str">
        <f>HYPERLINK("Melting_Curves/meltCurve_Q9UK59_DBR1.pdf", "Melting_Curves/meltCurve_Q9UK59_DBR1.pdf")</f>
        <v>Melting_Curves/meltCurve_Q9UK59_DBR1.pdf</v>
      </c>
    </row>
    <row r="6636" spans="1:28" x14ac:dyDescent="0.25">
      <c r="A6636" t="s">
        <v>6640</v>
      </c>
      <c r="B6636">
        <v>0.99999676499088797</v>
      </c>
      <c r="C6636">
        <v>1.0415246373612701</v>
      </c>
      <c r="D6636">
        <v>0.99335553717097202</v>
      </c>
      <c r="E6636">
        <v>0.86506446468375697</v>
      </c>
      <c r="F6636">
        <v>0.80212499261022596</v>
      </c>
      <c r="G6636">
        <v>0.77059562856139696</v>
      </c>
      <c r="H6636">
        <v>0.54210729592969198</v>
      </c>
      <c r="I6636">
        <v>0.68022022421327599</v>
      </c>
      <c r="J6636">
        <v>0.71118588637685398</v>
      </c>
      <c r="K6636">
        <v>0.62572096008205103</v>
      </c>
      <c r="L6636">
        <v>958.51962909939198</v>
      </c>
      <c r="M6636">
        <v>18.33529422642</v>
      </c>
      <c r="O6636">
        <v>51.6673469815237</v>
      </c>
      <c r="P6636">
        <v>-3.1790351338706703E-2</v>
      </c>
      <c r="Q6636">
        <v>0.641686084726386</v>
      </c>
      <c r="R6636">
        <v>0.88940225840730802</v>
      </c>
      <c r="S6636" t="s">
        <v>13639</v>
      </c>
      <c r="T6636" t="s">
        <v>14004</v>
      </c>
      <c r="U6636" t="s">
        <v>14004</v>
      </c>
      <c r="V6636" t="s">
        <v>14004</v>
      </c>
      <c r="W6636" t="s">
        <v>20579</v>
      </c>
      <c r="X6636">
        <v>10</v>
      </c>
      <c r="Y6636" t="s">
        <v>27361</v>
      </c>
      <c r="Z6636" t="s">
        <v>34346</v>
      </c>
      <c r="AA6636">
        <v>0.79408065414213214</v>
      </c>
      <c r="AB6636" t="str">
        <f>HYPERLINK("Melting_Curves/meltCurve_Q9UK76_HN1.pdf", "Melting_Curves/meltCurve_Q9UK76_HN1.pdf")</f>
        <v>Melting_Curves/meltCurve_Q9UK76_HN1.pdf</v>
      </c>
    </row>
    <row r="6637" spans="1:28" x14ac:dyDescent="0.25">
      <c r="A6637" t="s">
        <v>6641</v>
      </c>
      <c r="B6637">
        <v>0.99999676499088797</v>
      </c>
      <c r="C6637">
        <v>1.13181136411207</v>
      </c>
      <c r="D6637">
        <v>1.09556347668001</v>
      </c>
      <c r="E6637">
        <v>0.82954874638397202</v>
      </c>
      <c r="F6637">
        <v>0.47604208934978098</v>
      </c>
      <c r="G6637">
        <v>0.135130513373383</v>
      </c>
      <c r="H6637">
        <v>0</v>
      </c>
      <c r="I6637">
        <v>0</v>
      </c>
      <c r="J6637">
        <v>0</v>
      </c>
      <c r="K6637">
        <v>0.108507835271878</v>
      </c>
      <c r="L6637">
        <v>1552.69478285998</v>
      </c>
      <c r="M6637">
        <v>29.399083660192002</v>
      </c>
      <c r="N6637">
        <v>52.895974386872503</v>
      </c>
      <c r="O6637">
        <v>52.571815238284501</v>
      </c>
      <c r="P6637">
        <v>-0.136706583767222</v>
      </c>
      <c r="Q6637">
        <v>2.2164673704886499E-2</v>
      </c>
      <c r="R6637">
        <v>0.98041170370352304</v>
      </c>
      <c r="S6637" t="s">
        <v>13640</v>
      </c>
      <c r="T6637" t="s">
        <v>14004</v>
      </c>
      <c r="U6637" t="s">
        <v>14004</v>
      </c>
      <c r="V6637" t="s">
        <v>14004</v>
      </c>
      <c r="W6637" t="s">
        <v>20580</v>
      </c>
      <c r="X6637">
        <v>1</v>
      </c>
      <c r="Y6637" t="s">
        <v>27362</v>
      </c>
      <c r="Z6637" t="s">
        <v>34347</v>
      </c>
      <c r="AA6637">
        <v>0.44642413802758019</v>
      </c>
      <c r="AB6637" t="str">
        <f>HYPERLINK("Melting_Curves/meltCurve_Q9UK97_3_FBXO9.pdf", "Melting_Curves/meltCurve_Q9UK97_3_FBXO9.pdf")</f>
        <v>Melting_Curves/meltCurve_Q9UK97_3_FBXO9.pdf</v>
      </c>
    </row>
    <row r="6638" spans="1:28" x14ac:dyDescent="0.25">
      <c r="A6638" t="s">
        <v>6642</v>
      </c>
      <c r="B6638">
        <v>0.99999676499088797</v>
      </c>
      <c r="C6638">
        <v>1.2252808936971</v>
      </c>
      <c r="D6638">
        <v>1.08565929071645</v>
      </c>
      <c r="E6638">
        <v>1.04560428823205</v>
      </c>
      <c r="F6638">
        <v>0.53042429152126203</v>
      </c>
      <c r="G6638">
        <v>0.30006855634025298</v>
      </c>
      <c r="H6638">
        <v>0.20032919501436999</v>
      </c>
      <c r="I6638">
        <v>0.10452050940256299</v>
      </c>
      <c r="J6638">
        <v>0.109408697255529</v>
      </c>
      <c r="K6638">
        <v>8.2948804918159202E-2</v>
      </c>
      <c r="L6638">
        <v>1856.1006671709699</v>
      </c>
      <c r="M6638">
        <v>34.781128498773398</v>
      </c>
      <c r="N6638">
        <v>53.837769965210001</v>
      </c>
      <c r="O6638">
        <v>53.189680537754498</v>
      </c>
      <c r="P6638">
        <v>-0.14197108970456501</v>
      </c>
      <c r="Q6638">
        <v>0.13155558207797699</v>
      </c>
      <c r="R6638">
        <v>0.95695716028023503</v>
      </c>
      <c r="S6638" t="s">
        <v>13641</v>
      </c>
      <c r="T6638" t="s">
        <v>14004</v>
      </c>
      <c r="U6638" t="s">
        <v>14004</v>
      </c>
      <c r="V6638" t="s">
        <v>14004</v>
      </c>
      <c r="W6638" t="s">
        <v>20581</v>
      </c>
      <c r="X6638">
        <v>1</v>
      </c>
      <c r="Y6638" t="s">
        <v>27363</v>
      </c>
      <c r="Z6638" t="s">
        <v>34348</v>
      </c>
      <c r="AA6638">
        <v>0.52268167843990332</v>
      </c>
      <c r="AB6638" t="str">
        <f>HYPERLINK("Melting_Curves/meltCurve_Q9UKA4_AKAP11.pdf", "Melting_Curves/meltCurve_Q9UKA4_AKAP11.pdf")</f>
        <v>Melting_Curves/meltCurve_Q9UKA4_AKAP11.pdf</v>
      </c>
    </row>
    <row r="6639" spans="1:28" x14ac:dyDescent="0.25">
      <c r="A6639" t="s">
        <v>6643</v>
      </c>
      <c r="B6639">
        <v>0.99999676499088797</v>
      </c>
      <c r="C6639">
        <v>1.0267307960163099</v>
      </c>
      <c r="D6639">
        <v>1.0016459579857599</v>
      </c>
      <c r="E6639">
        <v>0.88480283068987597</v>
      </c>
      <c r="F6639">
        <v>0.64950656513604299</v>
      </c>
      <c r="G6639">
        <v>0.45865178398366901</v>
      </c>
      <c r="H6639">
        <v>0.16378387372807399</v>
      </c>
      <c r="I6639">
        <v>0.107986270728821</v>
      </c>
      <c r="J6639">
        <v>9.5611975270631006E-2</v>
      </c>
      <c r="K6639">
        <v>6.8181808438099595E-2</v>
      </c>
      <c r="L6639">
        <v>981.04847945407596</v>
      </c>
      <c r="M6639">
        <v>17.742228072495699</v>
      </c>
      <c r="N6639">
        <v>55.555306713184201</v>
      </c>
      <c r="O6639">
        <v>54.6064474333281</v>
      </c>
      <c r="P6639">
        <v>-7.7986444259358301E-2</v>
      </c>
      <c r="Q6639">
        <v>3.9953693384130899E-2</v>
      </c>
      <c r="R6639">
        <v>0.99547785798168598</v>
      </c>
      <c r="S6639" t="s">
        <v>13642</v>
      </c>
      <c r="T6639" t="s">
        <v>14004</v>
      </c>
      <c r="U6639" t="s">
        <v>14004</v>
      </c>
      <c r="V6639" t="s">
        <v>14004</v>
      </c>
      <c r="W6639" t="s">
        <v>20582</v>
      </c>
      <c r="X6639">
        <v>7</v>
      </c>
      <c r="Y6639" t="s">
        <v>27364</v>
      </c>
      <c r="Z6639" t="s">
        <v>34349</v>
      </c>
      <c r="AA6639">
        <v>0.54434526552777784</v>
      </c>
      <c r="AB6639" t="str">
        <f>HYPERLINK("Melting_Curves/meltCurve_Q9UKD2_MRTO4.pdf", "Melting_Curves/meltCurve_Q9UKD2_MRTO4.pdf")</f>
        <v>Melting_Curves/meltCurve_Q9UKD2_MRTO4.pdf</v>
      </c>
    </row>
    <row r="6640" spans="1:28" x14ac:dyDescent="0.25">
      <c r="A6640" t="s">
        <v>6644</v>
      </c>
      <c r="B6640">
        <v>0.99999676499088797</v>
      </c>
      <c r="C6640">
        <v>0.93580961719295297</v>
      </c>
      <c r="D6640">
        <v>0.78977952869688794</v>
      </c>
      <c r="E6640">
        <v>0.45592706740578598</v>
      </c>
      <c r="F6640">
        <v>0.274653515298311</v>
      </c>
      <c r="G6640">
        <v>0.19700741201483399</v>
      </c>
      <c r="H6640">
        <v>0.100686943767644</v>
      </c>
      <c r="I6640">
        <v>0.100893897109903</v>
      </c>
      <c r="J6640">
        <v>7.8422912169599707E-2</v>
      </c>
      <c r="K6640">
        <v>5.9595327290387801E-2</v>
      </c>
      <c r="L6640">
        <v>845.25385289804399</v>
      </c>
      <c r="M6640">
        <v>17.253116553188399</v>
      </c>
      <c r="N6640">
        <v>49.474407618071901</v>
      </c>
      <c r="O6640">
        <v>48.347413323769899</v>
      </c>
      <c r="P6640">
        <v>-8.2303853927398501E-2</v>
      </c>
      <c r="Q6640">
        <v>7.7512390830606695E-2</v>
      </c>
      <c r="R6640">
        <v>0.99655130585859297</v>
      </c>
      <c r="S6640" t="s">
        <v>13643</v>
      </c>
      <c r="T6640" t="s">
        <v>14004</v>
      </c>
      <c r="U6640" t="s">
        <v>14004</v>
      </c>
      <c r="V6640" t="s">
        <v>14004</v>
      </c>
      <c r="W6640" t="s">
        <v>20583</v>
      </c>
      <c r="X6640">
        <v>16</v>
      </c>
      <c r="Y6640" t="s">
        <v>27365</v>
      </c>
      <c r="Z6640" t="s">
        <v>34350</v>
      </c>
      <c r="AA6640">
        <v>0.37137631953547762</v>
      </c>
      <c r="AB6640" t="str">
        <f>HYPERLINK("Melting_Curves/meltCurve_Q9UKF6_CPSF3.pdf", "Melting_Curves/meltCurve_Q9UKF6_CPSF3.pdf")</f>
        <v>Melting_Curves/meltCurve_Q9UKF6_CPSF3.pdf</v>
      </c>
    </row>
    <row r="6641" spans="1:28" x14ac:dyDescent="0.25">
      <c r="A6641" t="s">
        <v>6645</v>
      </c>
      <c r="B6641">
        <v>0.99999676499088797</v>
      </c>
      <c r="C6641">
        <v>0.94245746466056002</v>
      </c>
      <c r="D6641">
        <v>0.92007771049634401</v>
      </c>
      <c r="E6641">
        <v>0.45156692345605298</v>
      </c>
      <c r="F6641">
        <v>0.23768813588003701</v>
      </c>
      <c r="G6641">
        <v>0.169548140574975</v>
      </c>
      <c r="H6641">
        <v>8.6098497263602594E-2</v>
      </c>
      <c r="I6641">
        <v>8.95252047618358E-2</v>
      </c>
      <c r="J6641">
        <v>8.9425083520952395E-2</v>
      </c>
      <c r="K6641">
        <v>6.4269325904326796E-2</v>
      </c>
      <c r="L6641">
        <v>1269.6830673678501</v>
      </c>
      <c r="M6641">
        <v>25.8352047442635</v>
      </c>
      <c r="N6641">
        <v>49.5468981916583</v>
      </c>
      <c r="O6641">
        <v>48.853846846707498</v>
      </c>
      <c r="P6641">
        <v>-0.11972357322624699</v>
      </c>
      <c r="Q6641">
        <v>9.4431317399339507E-2</v>
      </c>
      <c r="R6641">
        <v>0.99256614655839803</v>
      </c>
      <c r="S6641" t="s">
        <v>13644</v>
      </c>
      <c r="T6641" t="s">
        <v>14004</v>
      </c>
      <c r="U6641" t="s">
        <v>14004</v>
      </c>
      <c r="V6641" t="s">
        <v>14004</v>
      </c>
      <c r="W6641" t="s">
        <v>20584</v>
      </c>
      <c r="X6641">
        <v>24</v>
      </c>
      <c r="Y6641" t="s">
        <v>27366</v>
      </c>
      <c r="Z6641" t="s">
        <v>34351</v>
      </c>
      <c r="AA6641">
        <v>0.37800134120171069</v>
      </c>
      <c r="AB6641" t="str">
        <f>HYPERLINK("Melting_Curves/meltCurve_Q9UKG1_APPL1.pdf", "Melting_Curves/meltCurve_Q9UKG1_APPL1.pdf")</f>
        <v>Melting_Curves/meltCurve_Q9UKG1_APPL1.pdf</v>
      </c>
    </row>
    <row r="6642" spans="1:28" x14ac:dyDescent="0.25">
      <c r="A6642" t="s">
        <v>6646</v>
      </c>
      <c r="B6642">
        <v>0.99999676499088797</v>
      </c>
      <c r="C6642">
        <v>1.0337832408866401</v>
      </c>
      <c r="D6642">
        <v>0.99909660298120395</v>
      </c>
      <c r="E6642">
        <v>0.93006819858131395</v>
      </c>
      <c r="F6642">
        <v>0.55870249803207594</v>
      </c>
      <c r="G6642">
        <v>0.26883042876056601</v>
      </c>
      <c r="H6642">
        <v>0.12590795831948701</v>
      </c>
      <c r="I6642">
        <v>8.6959749199165604E-2</v>
      </c>
      <c r="J6642">
        <v>6.8707423515683999E-2</v>
      </c>
      <c r="K6642">
        <v>5.62620070558153E-2</v>
      </c>
      <c r="L6642">
        <v>1384.4892077898201</v>
      </c>
      <c r="M6642">
        <v>25.804330644386798</v>
      </c>
      <c r="N6642">
        <v>53.968602444390598</v>
      </c>
      <c r="O6642">
        <v>53.334261833429998</v>
      </c>
      <c r="P6642">
        <v>-0.112495210674528</v>
      </c>
      <c r="Q6642">
        <v>6.9958230114468806E-2</v>
      </c>
      <c r="R6642">
        <v>0.99772404263432302</v>
      </c>
      <c r="S6642" t="s">
        <v>13645</v>
      </c>
      <c r="T6642" t="s">
        <v>14004</v>
      </c>
      <c r="U6642" t="s">
        <v>14004</v>
      </c>
      <c r="V6642" t="s">
        <v>14004</v>
      </c>
      <c r="W6642" t="s">
        <v>20585</v>
      </c>
      <c r="X6642">
        <v>8</v>
      </c>
      <c r="Y6642" t="s">
        <v>27367</v>
      </c>
      <c r="Z6642" t="s">
        <v>34352</v>
      </c>
      <c r="AA6642">
        <v>0.50133742997889097</v>
      </c>
      <c r="AB6642" t="str">
        <f>HYPERLINK("Melting_Curves/meltCurve_Q9UKI8_5_TLK1.pdf", "Melting_Curves/meltCurve_Q9UKI8_5_TLK1.pdf")</f>
        <v>Melting_Curves/meltCurve_Q9UKI8_5_TLK1.pdf</v>
      </c>
    </row>
    <row r="6643" spans="1:28" x14ac:dyDescent="0.25">
      <c r="A6643" t="s">
        <v>6647</v>
      </c>
      <c r="B6643">
        <v>0.99999676499088797</v>
      </c>
      <c r="C6643">
        <v>0.97120242049027805</v>
      </c>
      <c r="D6643">
        <v>0.94245883482272397</v>
      </c>
      <c r="E6643">
        <v>0.93456665086082003</v>
      </c>
      <c r="F6643">
        <v>0.71066118983295901</v>
      </c>
      <c r="G6643">
        <v>0.51430322605578604</v>
      </c>
      <c r="H6643">
        <v>0.30406016847276301</v>
      </c>
      <c r="I6643">
        <v>0.34024318367609602</v>
      </c>
      <c r="J6643">
        <v>0.33987719566276697</v>
      </c>
      <c r="K6643">
        <v>0.51433252816915298</v>
      </c>
      <c r="L6643">
        <v>1497.51844088952</v>
      </c>
      <c r="M6643">
        <v>27.980648152979299</v>
      </c>
      <c r="N6643">
        <v>56.305841380445401</v>
      </c>
      <c r="O6643">
        <v>53.248647945662398</v>
      </c>
      <c r="P6643">
        <v>-8.2135094121094002E-2</v>
      </c>
      <c r="Q6643">
        <v>0.374775597392634</v>
      </c>
      <c r="R6643">
        <v>0.95235338856240004</v>
      </c>
      <c r="S6643" t="s">
        <v>13646</v>
      </c>
      <c r="T6643" t="s">
        <v>14004</v>
      </c>
      <c r="U6643" t="s">
        <v>14004</v>
      </c>
      <c r="V6643" t="s">
        <v>14004</v>
      </c>
      <c r="W6643" t="s">
        <v>20586</v>
      </c>
      <c r="X6643">
        <v>20</v>
      </c>
      <c r="Y6643" t="s">
        <v>27368</v>
      </c>
      <c r="Z6643" t="s">
        <v>34353</v>
      </c>
      <c r="AA6643">
        <v>0.66120976590006098</v>
      </c>
      <c r="AB6643" t="str">
        <f>HYPERLINK("Melting_Curves/meltCurve_Q9UKJ3_GPATCH8.pdf", "Melting_Curves/meltCurve_Q9UKJ3_GPATCH8.pdf")</f>
        <v>Melting_Curves/meltCurve_Q9UKJ3_GPATCH8.pdf</v>
      </c>
    </row>
    <row r="6644" spans="1:28" x14ac:dyDescent="0.25">
      <c r="A6644" t="s">
        <v>6648</v>
      </c>
      <c r="B6644">
        <v>0.99999676499088797</v>
      </c>
      <c r="C6644">
        <v>0.90255354041577995</v>
      </c>
      <c r="D6644">
        <v>0.58838708912931803</v>
      </c>
      <c r="E6644">
        <v>0.26232368960695601</v>
      </c>
      <c r="F6644">
        <v>0.20943852842619901</v>
      </c>
      <c r="G6644">
        <v>0.16695875319600201</v>
      </c>
      <c r="H6644">
        <v>6.4234974685323201E-2</v>
      </c>
      <c r="I6644">
        <v>8.73388726732688E-2</v>
      </c>
      <c r="J6644">
        <v>8.0421474828144393E-2</v>
      </c>
      <c r="K6644">
        <v>5.2126784482028503E-2</v>
      </c>
      <c r="L6644">
        <v>993.63981330348599</v>
      </c>
      <c r="M6644">
        <v>21.3279082211643</v>
      </c>
      <c r="N6644">
        <v>47.029355530750102</v>
      </c>
      <c r="O6644">
        <v>46.184944439621702</v>
      </c>
      <c r="P6644">
        <v>-0.104995410083996</v>
      </c>
      <c r="Q6644">
        <v>9.0565438791380098E-2</v>
      </c>
      <c r="R6644">
        <v>0.98973840146951397</v>
      </c>
      <c r="S6644" t="s">
        <v>13647</v>
      </c>
      <c r="T6644" t="s">
        <v>14004</v>
      </c>
      <c r="U6644" t="s">
        <v>14004</v>
      </c>
      <c r="V6644" t="s">
        <v>14004</v>
      </c>
      <c r="W6644" t="s">
        <v>20587</v>
      </c>
      <c r="X6644">
        <v>3</v>
      </c>
      <c r="Y6644" t="s">
        <v>27369</v>
      </c>
      <c r="Z6644" t="s">
        <v>34354</v>
      </c>
      <c r="AA6644">
        <v>0.30203652046997292</v>
      </c>
      <c r="AB6644" t="str">
        <f>HYPERLINK("Melting_Curves/meltCurve_Q9UKK6_NXT1.pdf", "Melting_Curves/meltCurve_Q9UKK6_NXT1.pdf")</f>
        <v>Melting_Curves/meltCurve_Q9UKK6_NXT1.pdf</v>
      </c>
    </row>
    <row r="6645" spans="1:28" x14ac:dyDescent="0.25">
      <c r="A6645" t="s">
        <v>6649</v>
      </c>
      <c r="B6645">
        <v>0.99999676499088797</v>
      </c>
      <c r="C6645">
        <v>0.92444936071941097</v>
      </c>
      <c r="D6645">
        <v>0.82740968697115502</v>
      </c>
      <c r="E6645">
        <v>0.72975296043553695</v>
      </c>
      <c r="F6645">
        <v>0.40531440975036798</v>
      </c>
      <c r="G6645">
        <v>0.301547985875038</v>
      </c>
      <c r="H6645">
        <v>0.11522777343115601</v>
      </c>
      <c r="I6645">
        <v>0.104014133917742</v>
      </c>
      <c r="J6645">
        <v>0.118676430227588</v>
      </c>
      <c r="K6645">
        <v>9.8555494992870904E-2</v>
      </c>
      <c r="L6645">
        <v>740.687278664887</v>
      </c>
      <c r="M6645">
        <v>14.3071675466608</v>
      </c>
      <c r="N6645">
        <v>52.247858320119803</v>
      </c>
      <c r="O6645">
        <v>50.790464592085499</v>
      </c>
      <c r="P6645">
        <v>-6.6114848901358506E-2</v>
      </c>
      <c r="Q6645">
        <v>6.1282874023237101E-2</v>
      </c>
      <c r="R6645">
        <v>0.99081870818429296</v>
      </c>
      <c r="S6645" t="s">
        <v>13648</v>
      </c>
      <c r="T6645" t="s">
        <v>14004</v>
      </c>
      <c r="U6645" t="s">
        <v>14004</v>
      </c>
      <c r="V6645" t="s">
        <v>14004</v>
      </c>
      <c r="W6645" t="s">
        <v>20588</v>
      </c>
      <c r="X6645">
        <v>3</v>
      </c>
      <c r="Y6645" t="s">
        <v>27370</v>
      </c>
      <c r="Z6645" t="s">
        <v>34355</v>
      </c>
      <c r="AA6645">
        <v>0.45232781021634849</v>
      </c>
      <c r="AB6645" t="str">
        <f>HYPERLINK("Melting_Curves/meltCurve_Q9UKL6_PCTP.pdf", "Melting_Curves/meltCurve_Q9UKL6_PCTP.pdf")</f>
        <v>Melting_Curves/meltCurve_Q9UKL6_PCTP.pdf</v>
      </c>
    </row>
    <row r="6646" spans="1:28" x14ac:dyDescent="0.25">
      <c r="A6646" t="s">
        <v>6650</v>
      </c>
      <c r="B6646">
        <v>0.99999676499088797</v>
      </c>
      <c r="C6646">
        <v>0.88546506342529796</v>
      </c>
      <c r="D6646">
        <v>0.75905976552950605</v>
      </c>
      <c r="E6646">
        <v>0.61980346449914703</v>
      </c>
      <c r="F6646">
        <v>0.35297039865490398</v>
      </c>
      <c r="G6646">
        <v>0.25293120860774698</v>
      </c>
      <c r="H6646">
        <v>0.13300723270711301</v>
      </c>
      <c r="I6646">
        <v>0.19593856513243599</v>
      </c>
      <c r="J6646">
        <v>0.249326646982339</v>
      </c>
      <c r="K6646">
        <v>0.34616049033055002</v>
      </c>
      <c r="L6646">
        <v>827.42099384621702</v>
      </c>
      <c r="M6646">
        <v>16.9793850269991</v>
      </c>
      <c r="N6646">
        <v>50.416098608326699</v>
      </c>
      <c r="O6646">
        <v>48.0700309307366</v>
      </c>
      <c r="P6646">
        <v>-6.9187933511338298E-2</v>
      </c>
      <c r="Q6646">
        <v>0.21654180243761001</v>
      </c>
      <c r="R6646">
        <v>0.95580001260644099</v>
      </c>
      <c r="S6646" t="s">
        <v>13649</v>
      </c>
      <c r="T6646" t="s">
        <v>14004</v>
      </c>
      <c r="U6646" t="s">
        <v>14004</v>
      </c>
      <c r="V6646" t="s">
        <v>14004</v>
      </c>
      <c r="W6646" t="s">
        <v>20589</v>
      </c>
      <c r="X6646">
        <v>4</v>
      </c>
      <c r="Y6646" t="s">
        <v>27371</v>
      </c>
      <c r="Z6646" t="s">
        <v>34356</v>
      </c>
      <c r="AA6646">
        <v>0.45989015242328291</v>
      </c>
      <c r="AB6646" t="str">
        <f>HYPERLINK("Melting_Curves/meltCurve_Q9UKM9_RALY.pdf", "Melting_Curves/meltCurve_Q9UKM9_RALY.pdf")</f>
        <v>Melting_Curves/meltCurve_Q9UKM9_RALY.pdf</v>
      </c>
    </row>
    <row r="6647" spans="1:28" x14ac:dyDescent="0.25">
      <c r="A6647" t="s">
        <v>6651</v>
      </c>
      <c r="B6647">
        <v>0.99999676499088797</v>
      </c>
      <c r="C6647">
        <v>0.93852690220139801</v>
      </c>
      <c r="D6647">
        <v>0.89277335589642004</v>
      </c>
      <c r="E6647">
        <v>0.740405554231375</v>
      </c>
      <c r="F6647">
        <v>0.27664182215447197</v>
      </c>
      <c r="G6647">
        <v>0.17967501927920901</v>
      </c>
      <c r="H6647">
        <v>8.3079086597943594E-2</v>
      </c>
      <c r="I6647">
        <v>9.0724545130534101E-2</v>
      </c>
      <c r="J6647">
        <v>8.4775077862117701E-2</v>
      </c>
      <c r="K6647">
        <v>7.0759367223908798E-2</v>
      </c>
      <c r="L6647">
        <v>1283.87002120647</v>
      </c>
      <c r="M6647">
        <v>25.171521997672901</v>
      </c>
      <c r="N6647">
        <v>51.356210126981303</v>
      </c>
      <c r="O6647">
        <v>50.686213070009899</v>
      </c>
      <c r="P6647">
        <v>-0.114334901841126</v>
      </c>
      <c r="Q6647">
        <v>7.9097832835120896E-2</v>
      </c>
      <c r="R6647">
        <v>0.99265541836802296</v>
      </c>
      <c r="S6647" t="s">
        <v>13650</v>
      </c>
      <c r="T6647" t="s">
        <v>14004</v>
      </c>
      <c r="U6647" t="s">
        <v>14004</v>
      </c>
      <c r="V6647" t="s">
        <v>14004</v>
      </c>
      <c r="W6647" t="s">
        <v>20590</v>
      </c>
      <c r="X6647">
        <v>19</v>
      </c>
      <c r="Y6647" t="s">
        <v>27372</v>
      </c>
      <c r="Z6647" t="s">
        <v>34357</v>
      </c>
      <c r="AA6647">
        <v>0.42511983923003621</v>
      </c>
      <c r="AB6647" t="str">
        <f>HYPERLINK("Melting_Curves/meltCurve_Q9UKN8_GTF3C4.pdf", "Melting_Curves/meltCurve_Q9UKN8_GTF3C4.pdf")</f>
        <v>Melting_Curves/meltCurve_Q9UKN8_GTF3C4.pdf</v>
      </c>
    </row>
    <row r="6648" spans="1:28" x14ac:dyDescent="0.25">
      <c r="A6648" t="s">
        <v>6652</v>
      </c>
      <c r="B6648">
        <v>0.99999676499088797</v>
      </c>
      <c r="C6648">
        <v>1.09014233827136</v>
      </c>
      <c r="D6648">
        <v>1.19847277994122</v>
      </c>
      <c r="E6648">
        <v>1.1598140036389299</v>
      </c>
      <c r="F6648">
        <v>1.0917623401088901</v>
      </c>
      <c r="G6648">
        <v>1.02586070658532</v>
      </c>
      <c r="H6648">
        <v>1.01365606742097</v>
      </c>
      <c r="I6648">
        <v>0.94659009648727999</v>
      </c>
      <c r="J6648">
        <v>0.82662988578131402</v>
      </c>
      <c r="K6648">
        <v>0.72919103307340305</v>
      </c>
      <c r="L6648">
        <v>2795.6355697028298</v>
      </c>
      <c r="M6648">
        <v>41.969732492796503</v>
      </c>
      <c r="O6648">
        <v>66.460037541349394</v>
      </c>
      <c r="P6648">
        <v>-4.8204741641069103E-2</v>
      </c>
      <c r="Q6648">
        <v>0.694667135997032</v>
      </c>
      <c r="R6648">
        <v>0.56054719850942902</v>
      </c>
      <c r="S6648" t="s">
        <v>13651</v>
      </c>
      <c r="T6648" t="s">
        <v>14004</v>
      </c>
      <c r="U6648" t="s">
        <v>14004</v>
      </c>
      <c r="V6648" t="s">
        <v>14004</v>
      </c>
      <c r="W6648" t="s">
        <v>20591</v>
      </c>
      <c r="X6648">
        <v>2</v>
      </c>
      <c r="Y6648" t="s">
        <v>27373</v>
      </c>
      <c r="Z6648" t="s">
        <v>34358</v>
      </c>
      <c r="AA6648">
        <v>0.96446128056730418</v>
      </c>
      <c r="AB6648" t="str">
        <f>HYPERLINK("Melting_Curves/meltCurve_Q9UKR5_C14orf1.pdf", "Melting_Curves/meltCurve_Q9UKR5_C14orf1.pdf")</f>
        <v>Melting_Curves/meltCurve_Q9UKR5_C14orf1.pdf</v>
      </c>
    </row>
    <row r="6649" spans="1:28" x14ac:dyDescent="0.25">
      <c r="A6649" t="s">
        <v>6653</v>
      </c>
      <c r="B6649">
        <v>0.99999676499088797</v>
      </c>
      <c r="C6649">
        <v>0.92819186309073698</v>
      </c>
      <c r="D6649">
        <v>0.767799653234843</v>
      </c>
      <c r="E6649">
        <v>0.405056713462423</v>
      </c>
      <c r="F6649">
        <v>0.31865076129814301</v>
      </c>
      <c r="G6649">
        <v>0.18228240672575399</v>
      </c>
      <c r="H6649">
        <v>0.12450753971442401</v>
      </c>
      <c r="I6649">
        <v>0.12510375323077899</v>
      </c>
      <c r="J6649">
        <v>0.13152259504942501</v>
      </c>
      <c r="K6649">
        <v>0.141078270142415</v>
      </c>
      <c r="L6649">
        <v>905.74641687490396</v>
      </c>
      <c r="M6649">
        <v>18.780087204347701</v>
      </c>
      <c r="N6649">
        <v>49.014875428632699</v>
      </c>
      <c r="O6649">
        <v>47.6922209773238</v>
      </c>
      <c r="P6649">
        <v>-8.5651260739581098E-2</v>
      </c>
      <c r="Q6649">
        <v>0.12998734880884799</v>
      </c>
      <c r="R6649">
        <v>0.99323926419991404</v>
      </c>
      <c r="S6649" t="s">
        <v>13652</v>
      </c>
      <c r="T6649" t="s">
        <v>14004</v>
      </c>
      <c r="U6649" t="s">
        <v>14004</v>
      </c>
      <c r="V6649" t="s">
        <v>14004</v>
      </c>
      <c r="W6649" t="s">
        <v>20592</v>
      </c>
      <c r="X6649">
        <v>9</v>
      </c>
      <c r="Y6649" t="s">
        <v>27374</v>
      </c>
      <c r="Z6649" t="s">
        <v>34359</v>
      </c>
      <c r="AA6649">
        <v>0.38267691875676252</v>
      </c>
      <c r="AB6649" t="str">
        <f>HYPERLINK("Melting_Curves/meltCurve_Q9UKS6_PACSIN3.pdf", "Melting_Curves/meltCurve_Q9UKS6_PACSIN3.pdf")</f>
        <v>Melting_Curves/meltCurve_Q9UKS6_PACSIN3.pdf</v>
      </c>
    </row>
    <row r="6650" spans="1:28" x14ac:dyDescent="0.25">
      <c r="A6650" t="s">
        <v>6654</v>
      </c>
      <c r="B6650">
        <v>0.99999676499088797</v>
      </c>
      <c r="C6650">
        <v>0.99007144665394697</v>
      </c>
      <c r="D6650">
        <v>0.89896894593171395</v>
      </c>
      <c r="E6650">
        <v>0.53261333078449002</v>
      </c>
      <c r="F6650">
        <v>0.49507202532892702</v>
      </c>
      <c r="G6650">
        <v>0.29997964127205901</v>
      </c>
      <c r="H6650">
        <v>0.168216282289508</v>
      </c>
      <c r="I6650">
        <v>0.21189879139121501</v>
      </c>
      <c r="J6650">
        <v>0.34307778430326302</v>
      </c>
      <c r="K6650">
        <v>0.26627740529275201</v>
      </c>
      <c r="L6650">
        <v>988.01290055161405</v>
      </c>
      <c r="M6650">
        <v>19.994316584912401</v>
      </c>
      <c r="N6650">
        <v>51.201278043731101</v>
      </c>
      <c r="O6650">
        <v>48.928329259098803</v>
      </c>
      <c r="P6650">
        <v>-7.6508111018377706E-2</v>
      </c>
      <c r="Q6650">
        <v>0.25112847298985702</v>
      </c>
      <c r="R6650">
        <v>0.96018207117872101</v>
      </c>
      <c r="S6650" t="s">
        <v>13653</v>
      </c>
      <c r="T6650" t="s">
        <v>14004</v>
      </c>
      <c r="U6650" t="s">
        <v>14004</v>
      </c>
      <c r="V6650" t="s">
        <v>14004</v>
      </c>
      <c r="W6650" t="s">
        <v>20593</v>
      </c>
      <c r="X6650">
        <v>4</v>
      </c>
      <c r="Y6650" t="s">
        <v>27375</v>
      </c>
      <c r="Z6650" t="s">
        <v>34360</v>
      </c>
      <c r="AA6650">
        <v>0.49660344132126949</v>
      </c>
      <c r="AB6650" t="str">
        <f>HYPERLINK("Melting_Curves/meltCurve_Q9UKT4_2_FBXO5.pdf", "Melting_Curves/meltCurve_Q9UKT4_2_FBXO5.pdf")</f>
        <v>Melting_Curves/meltCurve_Q9UKT4_2_FBXO5.pdf</v>
      </c>
    </row>
    <row r="6651" spans="1:28" x14ac:dyDescent="0.25">
      <c r="A6651" t="s">
        <v>6655</v>
      </c>
      <c r="B6651">
        <v>0.99999676499088797</v>
      </c>
      <c r="C6651">
        <v>0.96086549008756905</v>
      </c>
      <c r="D6651">
        <v>0.93388899003725301</v>
      </c>
      <c r="E6651">
        <v>0.86080988042649498</v>
      </c>
      <c r="F6651">
        <v>0.31542792049700902</v>
      </c>
      <c r="G6651">
        <v>0.23097103517032699</v>
      </c>
      <c r="H6651">
        <v>0.11308324217697099</v>
      </c>
      <c r="I6651">
        <v>0.107380740109077</v>
      </c>
      <c r="J6651">
        <v>8.9780087556866395E-2</v>
      </c>
      <c r="K6651">
        <v>8.9227276538024994E-2</v>
      </c>
      <c r="L6651">
        <v>1808.04990529671</v>
      </c>
      <c r="M6651">
        <v>34.994898141467402</v>
      </c>
      <c r="N6651">
        <v>52.046698372951298</v>
      </c>
      <c r="O6651">
        <v>51.498270487004497</v>
      </c>
      <c r="P6651">
        <v>-0.15070576437781799</v>
      </c>
      <c r="Q6651">
        <v>0.112892750231935</v>
      </c>
      <c r="R6651">
        <v>0.99056513785582101</v>
      </c>
      <c r="S6651" t="s">
        <v>13654</v>
      </c>
      <c r="T6651" t="s">
        <v>14004</v>
      </c>
      <c r="U6651" t="s">
        <v>14004</v>
      </c>
      <c r="V6651" t="s">
        <v>14004</v>
      </c>
      <c r="W6651" t="s">
        <v>20594</v>
      </c>
      <c r="X6651">
        <v>7</v>
      </c>
      <c r="Y6651" t="s">
        <v>27376</v>
      </c>
      <c r="Z6651" t="s">
        <v>34361</v>
      </c>
      <c r="AA6651">
        <v>0.46200570934285051</v>
      </c>
      <c r="AB6651" t="str">
        <f>HYPERLINK("Melting_Curves/meltCurve_Q9UKT5_FBXO4.pdf", "Melting_Curves/meltCurve_Q9UKT5_FBXO4.pdf")</f>
        <v>Melting_Curves/meltCurve_Q9UKT5_FBXO4.pdf</v>
      </c>
    </row>
    <row r="6652" spans="1:28" x14ac:dyDescent="0.25">
      <c r="A6652" t="s">
        <v>6656</v>
      </c>
      <c r="B6652">
        <v>0.99999676499088797</v>
      </c>
      <c r="C6652">
        <v>1.04592395882334</v>
      </c>
      <c r="D6652">
        <v>1.0489985262069299</v>
      </c>
      <c r="E6652">
        <v>1.1579961133510901</v>
      </c>
      <c r="F6652">
        <v>1.0770190385971301</v>
      </c>
      <c r="G6652">
        <v>0.74762579034861198</v>
      </c>
      <c r="H6652">
        <v>0.36780048067544102</v>
      </c>
      <c r="I6652">
        <v>0.24616076938661099</v>
      </c>
      <c r="J6652">
        <v>0.15233130949809201</v>
      </c>
      <c r="K6652">
        <v>0.12786347575609999</v>
      </c>
      <c r="L6652">
        <v>1890.4720212411801</v>
      </c>
      <c r="M6652">
        <v>32.191813377035203</v>
      </c>
      <c r="N6652">
        <v>59.378094533400997</v>
      </c>
      <c r="O6652">
        <v>58.500016347033799</v>
      </c>
      <c r="P6652">
        <v>-0.117068297696202</v>
      </c>
      <c r="Q6652">
        <v>0.14904278458754999</v>
      </c>
      <c r="R6652">
        <v>0.97209030223767001</v>
      </c>
      <c r="S6652" t="s">
        <v>13655</v>
      </c>
      <c r="T6652" t="s">
        <v>14004</v>
      </c>
      <c r="U6652" t="s">
        <v>14004</v>
      </c>
      <c r="V6652" t="s">
        <v>14004</v>
      </c>
      <c r="W6652" t="s">
        <v>20595</v>
      </c>
      <c r="X6652">
        <v>18</v>
      </c>
      <c r="Y6652" t="s">
        <v>27377</v>
      </c>
      <c r="Z6652" t="s">
        <v>34362</v>
      </c>
      <c r="AA6652">
        <v>0.68510463712452985</v>
      </c>
      <c r="AB6652" t="str">
        <f>HYPERLINK("Melting_Curves/meltCurve_Q9UKU7_ACAD8.pdf", "Melting_Curves/meltCurve_Q9UKU7_ACAD8.pdf")</f>
        <v>Melting_Curves/meltCurve_Q9UKU7_ACAD8.pdf</v>
      </c>
    </row>
    <row r="6653" spans="1:28" x14ac:dyDescent="0.25">
      <c r="A6653" t="s">
        <v>6657</v>
      </c>
      <c r="B6653">
        <v>0.99999676499088797</v>
      </c>
      <c r="C6653">
        <v>1.01454786672009</v>
      </c>
      <c r="D6653">
        <v>0.79091471611867303</v>
      </c>
      <c r="E6653">
        <v>0.51938359674043799</v>
      </c>
      <c r="F6653">
        <v>0.35940020374482701</v>
      </c>
      <c r="G6653">
        <v>0.174239281090733</v>
      </c>
      <c r="H6653">
        <v>7.9184076476991494E-2</v>
      </c>
      <c r="I6653">
        <v>9.7375148993459407E-2</v>
      </c>
      <c r="J6653">
        <v>8.2462515666126099E-2</v>
      </c>
      <c r="K6653">
        <v>9.3582365528117703E-2</v>
      </c>
      <c r="L6653">
        <v>841.37331004066903</v>
      </c>
      <c r="M6653">
        <v>16.891724124514401</v>
      </c>
      <c r="N6653">
        <v>50.2791570344109</v>
      </c>
      <c r="O6653">
        <v>49.127419437807703</v>
      </c>
      <c r="P6653">
        <v>-7.9693879526955197E-2</v>
      </c>
      <c r="Q6653">
        <v>7.29411505460697E-2</v>
      </c>
      <c r="R6653">
        <v>0.99165614076442399</v>
      </c>
      <c r="S6653" t="s">
        <v>13656</v>
      </c>
      <c r="T6653" t="s">
        <v>14004</v>
      </c>
      <c r="U6653" t="s">
        <v>14004</v>
      </c>
      <c r="V6653" t="s">
        <v>14004</v>
      </c>
      <c r="W6653" t="s">
        <v>20596</v>
      </c>
      <c r="X6653">
        <v>4</v>
      </c>
      <c r="Y6653" t="s">
        <v>27378</v>
      </c>
      <c r="Z6653" t="s">
        <v>34363</v>
      </c>
      <c r="AA6653">
        <v>0.39396551757687293</v>
      </c>
      <c r="AB6653" t="str">
        <f>HYPERLINK("Melting_Curves/meltCurve_Q9UKV5_AMFR.pdf", "Melting_Curves/meltCurve_Q9UKV5_AMFR.pdf")</f>
        <v>Melting_Curves/meltCurve_Q9UKV5_AMFR.pdf</v>
      </c>
    </row>
    <row r="6654" spans="1:28" x14ac:dyDescent="0.25">
      <c r="A6654" t="s">
        <v>6658</v>
      </c>
      <c r="B6654">
        <v>0.99999676499088797</v>
      </c>
      <c r="C6654">
        <v>1.0663548800262099</v>
      </c>
      <c r="D6654">
        <v>1.04211393506378</v>
      </c>
      <c r="E6654">
        <v>1.0350889147605</v>
      </c>
      <c r="F6654">
        <v>0.758678726843103</v>
      </c>
      <c r="G6654">
        <v>0.84770923053993397</v>
      </c>
      <c r="H6654">
        <v>0.55449049601462597</v>
      </c>
      <c r="I6654">
        <v>0.38909676638787899</v>
      </c>
      <c r="J6654">
        <v>0.21707715863761201</v>
      </c>
      <c r="K6654">
        <v>0.160686724757619</v>
      </c>
      <c r="L6654">
        <v>877.02551671943502</v>
      </c>
      <c r="M6654">
        <v>14.2004522052633</v>
      </c>
      <c r="N6654">
        <v>61.760393557665097</v>
      </c>
      <c r="O6654">
        <v>60.574321484890497</v>
      </c>
      <c r="P6654">
        <v>-5.8614886953536602E-2</v>
      </c>
      <c r="Q6654">
        <v>0</v>
      </c>
      <c r="R6654">
        <v>0.96464703714193201</v>
      </c>
      <c r="S6654" t="s">
        <v>13657</v>
      </c>
      <c r="T6654" t="s">
        <v>14004</v>
      </c>
      <c r="U6654" t="s">
        <v>14004</v>
      </c>
      <c r="V6654" t="s">
        <v>14004</v>
      </c>
      <c r="W6654" t="s">
        <v>20597</v>
      </c>
      <c r="X6654">
        <v>26</v>
      </c>
      <c r="Y6654" t="s">
        <v>27379</v>
      </c>
      <c r="Z6654" t="s">
        <v>34364</v>
      </c>
      <c r="AA6654">
        <v>0.72226076284868712</v>
      </c>
      <c r="AB6654" t="str">
        <f>HYPERLINK("Melting_Curves/meltCurve_Q9UKV8_AGO2.pdf", "Melting_Curves/meltCurve_Q9UKV8_AGO2.pdf")</f>
        <v>Melting_Curves/meltCurve_Q9UKV8_AGO2.pdf</v>
      </c>
    </row>
    <row r="6655" spans="1:28" x14ac:dyDescent="0.25">
      <c r="A6655" t="s">
        <v>6659</v>
      </c>
      <c r="B6655">
        <v>0.99999676499088797</v>
      </c>
      <c r="C6655">
        <v>0.68250786530818497</v>
      </c>
      <c r="D6655">
        <v>0.30052362250326198</v>
      </c>
      <c r="E6655">
        <v>0.16261808774338801</v>
      </c>
      <c r="F6655">
        <v>0.10831455996872801</v>
      </c>
      <c r="G6655">
        <v>8.6992033118762496E-2</v>
      </c>
      <c r="H6655">
        <v>3.4120501350339102E-2</v>
      </c>
      <c r="I6655">
        <v>2.9974106145541499E-2</v>
      </c>
      <c r="J6655">
        <v>2.1757498438968001E-2</v>
      </c>
      <c r="K6655">
        <v>1.7698111933170599E-2</v>
      </c>
      <c r="L6655">
        <v>1088.7853765453699</v>
      </c>
      <c r="M6655">
        <v>24.6019549593818</v>
      </c>
      <c r="N6655">
        <v>44.451596187788198</v>
      </c>
      <c r="O6655">
        <v>43.966754133408301</v>
      </c>
      <c r="P6655">
        <v>-0.13271754667586699</v>
      </c>
      <c r="Q6655">
        <v>5.1282528033212801E-2</v>
      </c>
      <c r="R6655">
        <v>0.98724726581027</v>
      </c>
      <c r="S6655" t="s">
        <v>13658</v>
      </c>
      <c r="T6655" t="s">
        <v>14004</v>
      </c>
      <c r="U6655" t="s">
        <v>14004</v>
      </c>
      <c r="V6655" t="s">
        <v>14004</v>
      </c>
      <c r="W6655" t="s">
        <v>20598</v>
      </c>
      <c r="X6655">
        <v>13</v>
      </c>
      <c r="Y6655" t="s">
        <v>27380</v>
      </c>
      <c r="Z6655" t="s">
        <v>34365</v>
      </c>
      <c r="AA6655">
        <v>0.19669911886604219</v>
      </c>
      <c r="AB6655" t="str">
        <f>HYPERLINK("Melting_Curves/meltCurve_Q9UKW4_VAV3.pdf", "Melting_Curves/meltCurve_Q9UKW4_VAV3.pdf")</f>
        <v>Melting_Curves/meltCurve_Q9UKW4_VAV3.pdf</v>
      </c>
    </row>
    <row r="6656" spans="1:28" x14ac:dyDescent="0.25">
      <c r="A6656" t="s">
        <v>6660</v>
      </c>
      <c r="B6656">
        <v>0.99999676499088797</v>
      </c>
      <c r="C6656">
        <v>1.00455826093851</v>
      </c>
      <c r="D6656">
        <v>1.0589104409036401</v>
      </c>
      <c r="E6656">
        <v>0.998164431354986</v>
      </c>
      <c r="F6656">
        <v>0.58579029322554499</v>
      </c>
      <c r="G6656">
        <v>0.24311472129348299</v>
      </c>
      <c r="H6656">
        <v>0.12395463995648399</v>
      </c>
      <c r="I6656">
        <v>0.13484125269851399</v>
      </c>
      <c r="J6656">
        <v>0.16018933831825999</v>
      </c>
      <c r="K6656">
        <v>0.18485148069362201</v>
      </c>
      <c r="L6656">
        <v>2278.74804921032</v>
      </c>
      <c r="M6656">
        <v>42.739919144873198</v>
      </c>
      <c r="N6656">
        <v>53.786016082679801</v>
      </c>
      <c r="O6656">
        <v>53.200297322981001</v>
      </c>
      <c r="P6656">
        <v>-0.16958007371962799</v>
      </c>
      <c r="Q6656">
        <v>0.155665632779872</v>
      </c>
      <c r="R6656">
        <v>0.99485009003073699</v>
      </c>
      <c r="S6656" t="s">
        <v>13659</v>
      </c>
      <c r="T6656" t="s">
        <v>14004</v>
      </c>
      <c r="U6656" t="s">
        <v>14004</v>
      </c>
      <c r="V6656" t="s">
        <v>14004</v>
      </c>
      <c r="W6656" t="s">
        <v>20599</v>
      </c>
      <c r="X6656">
        <v>22</v>
      </c>
      <c r="Y6656" t="s">
        <v>27381</v>
      </c>
      <c r="Z6656" t="s">
        <v>34366</v>
      </c>
      <c r="AA6656">
        <v>0.53317586550795315</v>
      </c>
      <c r="AB6656" t="str">
        <f>HYPERLINK("Melting_Curves/meltCurve_Q9UKX7_NUP50.pdf", "Melting_Curves/meltCurve_Q9UKX7_NUP50.pdf")</f>
        <v>Melting_Curves/meltCurve_Q9UKX7_NUP50.pdf</v>
      </c>
    </row>
    <row r="6657" spans="1:28" x14ac:dyDescent="0.25">
      <c r="A6657" t="s">
        <v>6661</v>
      </c>
      <c r="B6657">
        <v>0.99999676499088797</v>
      </c>
      <c r="C6657">
        <v>0.89250760956497799</v>
      </c>
      <c r="D6657">
        <v>0.47793648256897298</v>
      </c>
      <c r="E6657">
        <v>0.31541272865967002</v>
      </c>
      <c r="F6657">
        <v>0.27803677443235703</v>
      </c>
      <c r="G6657">
        <v>0.18687749094262401</v>
      </c>
      <c r="H6657">
        <v>6.5482023565121505E-2</v>
      </c>
      <c r="I6657">
        <v>5.6531227718627897E-2</v>
      </c>
      <c r="J6657">
        <v>5.6543756989881497E-2</v>
      </c>
      <c r="K6657">
        <v>1.39965807250428E-2</v>
      </c>
      <c r="L6657">
        <v>724.99814709121699</v>
      </c>
      <c r="M6657">
        <v>15.5201640032688</v>
      </c>
      <c r="N6657">
        <v>47.114543170370801</v>
      </c>
      <c r="O6657">
        <v>45.958391275970897</v>
      </c>
      <c r="P6657">
        <v>-7.9205926748612501E-2</v>
      </c>
      <c r="Q6657">
        <v>6.1902982264165303E-2</v>
      </c>
      <c r="R6657">
        <v>0.96435499811187597</v>
      </c>
      <c r="S6657" t="s">
        <v>13660</v>
      </c>
      <c r="T6657" t="s">
        <v>14004</v>
      </c>
      <c r="U6657" t="s">
        <v>14004</v>
      </c>
      <c r="V6657" t="s">
        <v>14004</v>
      </c>
      <c r="W6657" t="s">
        <v>20600</v>
      </c>
      <c r="X6657">
        <v>1</v>
      </c>
      <c r="Y6657" t="s">
        <v>27382</v>
      </c>
      <c r="Z6657" t="s">
        <v>34367</v>
      </c>
      <c r="AA6657">
        <v>0.29600954955369752</v>
      </c>
      <c r="AB6657" t="str">
        <f>HYPERLINK("Melting_Curves/meltCurve_Q9UKY1_ZHX1.pdf", "Melting_Curves/meltCurve_Q9UKY1_ZHX1.pdf")</f>
        <v>Melting_Curves/meltCurve_Q9UKY1_ZHX1.pdf</v>
      </c>
    </row>
    <row r="6658" spans="1:28" x14ac:dyDescent="0.25">
      <c r="A6658" t="s">
        <v>6662</v>
      </c>
      <c r="B6658">
        <v>0.99999676499088797</v>
      </c>
      <c r="C6658">
        <v>0.95738441883567604</v>
      </c>
      <c r="D6658">
        <v>1.0248598074211901</v>
      </c>
      <c r="E6658">
        <v>0.98666647242599903</v>
      </c>
      <c r="F6658">
        <v>0.89224207427736202</v>
      </c>
      <c r="G6658">
        <v>0.81740391412214997</v>
      </c>
      <c r="H6658">
        <v>0.59584938158580603</v>
      </c>
      <c r="I6658">
        <v>0.62615984336062003</v>
      </c>
      <c r="J6658">
        <v>0.59737106097392401</v>
      </c>
      <c r="K6658">
        <v>0.72597982692303997</v>
      </c>
      <c r="L6658">
        <v>1611.42720936249</v>
      </c>
      <c r="M6658">
        <v>28.892957215133801</v>
      </c>
      <c r="O6658">
        <v>55.507199278405103</v>
      </c>
      <c r="P6658">
        <v>-4.7785338231485203E-2</v>
      </c>
      <c r="Q6658">
        <v>0.63279492550493799</v>
      </c>
      <c r="R6658">
        <v>0.92370594790109095</v>
      </c>
      <c r="S6658" t="s">
        <v>13661</v>
      </c>
      <c r="T6658" t="s">
        <v>14004</v>
      </c>
      <c r="U6658" t="s">
        <v>14004</v>
      </c>
      <c r="V6658" t="s">
        <v>14004</v>
      </c>
      <c r="W6658" t="s">
        <v>20601</v>
      </c>
      <c r="X6658">
        <v>18</v>
      </c>
      <c r="Y6658" t="s">
        <v>27383</v>
      </c>
      <c r="Z6658" t="s">
        <v>34368</v>
      </c>
      <c r="AA6658">
        <v>0.82847232051436448</v>
      </c>
      <c r="AB6658" t="str">
        <f>HYPERLINK("Melting_Curves/meltCurve_Q9UKY7_CDV3.pdf", "Melting_Curves/meltCurve_Q9UKY7_CDV3.pdf")</f>
        <v>Melting_Curves/meltCurve_Q9UKY7_CDV3.pdf</v>
      </c>
    </row>
    <row r="6659" spans="1:28" x14ac:dyDescent="0.25">
      <c r="A6659" t="s">
        <v>6663</v>
      </c>
      <c r="B6659">
        <v>0.99999676499088797</v>
      </c>
      <c r="C6659">
        <v>0.92847422925597101</v>
      </c>
      <c r="D6659">
        <v>0.90393247365380003</v>
      </c>
      <c r="E6659">
        <v>0.485029070893847</v>
      </c>
      <c r="F6659">
        <v>0.10918145232363601</v>
      </c>
      <c r="G6659">
        <v>7.5352080090541701E-2</v>
      </c>
      <c r="H6659">
        <v>2.8492710216153499E-2</v>
      </c>
      <c r="I6659">
        <v>0</v>
      </c>
      <c r="J6659">
        <v>0</v>
      </c>
      <c r="K6659">
        <v>0</v>
      </c>
      <c r="L6659">
        <v>1383.1813573680599</v>
      </c>
      <c r="M6659">
        <v>27.980977509886898</v>
      </c>
      <c r="N6659">
        <v>49.470719053045002</v>
      </c>
      <c r="O6659">
        <v>49.182495413545901</v>
      </c>
      <c r="P6659">
        <v>-0.14072722399052701</v>
      </c>
      <c r="Q6659">
        <v>1.05768730774935E-2</v>
      </c>
      <c r="R6659">
        <v>0.99640639053051006</v>
      </c>
      <c r="S6659" t="s">
        <v>13662</v>
      </c>
      <c r="T6659" t="s">
        <v>14004</v>
      </c>
      <c r="U6659" t="s">
        <v>14004</v>
      </c>
      <c r="V6659" t="s">
        <v>14004</v>
      </c>
      <c r="W6659" t="s">
        <v>20602</v>
      </c>
      <c r="X6659">
        <v>2</v>
      </c>
      <c r="Y6659" t="s">
        <v>27384</v>
      </c>
      <c r="Z6659" t="s">
        <v>34369</v>
      </c>
      <c r="AA6659">
        <v>0.32867246825704938</v>
      </c>
      <c r="AB6659" t="str">
        <f>HYPERLINK("Melting_Curves/meltCurve_Q9UKZ1_CNOT11.pdf", "Melting_Curves/meltCurve_Q9UKZ1_CNOT11.pdf")</f>
        <v>Melting_Curves/meltCurve_Q9UKZ1_CNOT11.pdf</v>
      </c>
    </row>
    <row r="6660" spans="1:28" x14ac:dyDescent="0.25">
      <c r="A6660" t="s">
        <v>6664</v>
      </c>
      <c r="B6660">
        <v>0.99999676499088797</v>
      </c>
      <c r="C6660">
        <v>1.0607457607045301</v>
      </c>
      <c r="D6660">
        <v>0.87154638837130405</v>
      </c>
      <c r="E6660">
        <v>0.35357675525812798</v>
      </c>
      <c r="F6660">
        <v>0.16711701535576301</v>
      </c>
      <c r="G6660">
        <v>0.12202805102726801</v>
      </c>
      <c r="H6660">
        <v>7.9711036002211799E-2</v>
      </c>
      <c r="I6660">
        <v>9.48546030851634E-2</v>
      </c>
      <c r="J6660">
        <v>0.128465851857648</v>
      </c>
      <c r="K6660">
        <v>0.12603336544964799</v>
      </c>
      <c r="L6660">
        <v>1773.1574224699</v>
      </c>
      <c r="M6660">
        <v>36.718121947948298</v>
      </c>
      <c r="N6660">
        <v>48.632283826423901</v>
      </c>
      <c r="O6660">
        <v>48.148509623279402</v>
      </c>
      <c r="P6660">
        <v>-0.16900138159592501</v>
      </c>
      <c r="Q6660">
        <v>0.113556014556733</v>
      </c>
      <c r="R6660">
        <v>0.99505209036118603</v>
      </c>
      <c r="S6660" t="s">
        <v>13663</v>
      </c>
      <c r="T6660" t="s">
        <v>14004</v>
      </c>
      <c r="U6660" t="s">
        <v>14004</v>
      </c>
      <c r="V6660" t="s">
        <v>14004</v>
      </c>
      <c r="W6660" t="s">
        <v>20603</v>
      </c>
      <c r="X6660">
        <v>4</v>
      </c>
      <c r="Y6660" t="s">
        <v>27385</v>
      </c>
      <c r="Z6660" t="s">
        <v>34370</v>
      </c>
      <c r="AA6660">
        <v>0.36207173492202832</v>
      </c>
      <c r="AB6660" t="str">
        <f>HYPERLINK("Melting_Curves/meltCurve_Q9UL03_3_INTS6.pdf", "Melting_Curves/meltCurve_Q9UL03_3_INTS6.pdf")</f>
        <v>Melting_Curves/meltCurve_Q9UL03_3_INTS6.pdf</v>
      </c>
    </row>
    <row r="6661" spans="1:28" x14ac:dyDescent="0.25">
      <c r="A6661" t="s">
        <v>6665</v>
      </c>
      <c r="B6661">
        <v>0.99999676499088797</v>
      </c>
      <c r="C6661">
        <v>0.97373098775641098</v>
      </c>
      <c r="D6661">
        <v>0.83973596505196901</v>
      </c>
      <c r="E6661">
        <v>0.43670210885323502</v>
      </c>
      <c r="F6661">
        <v>0.24336694132196299</v>
      </c>
      <c r="G6661">
        <v>0.17393970876853601</v>
      </c>
      <c r="H6661">
        <v>9.8705814109754195E-2</v>
      </c>
      <c r="I6661">
        <v>9.7223472955364404E-2</v>
      </c>
      <c r="J6661">
        <v>7.9428062504990807E-2</v>
      </c>
      <c r="K6661">
        <v>8.5426156471796105E-2</v>
      </c>
      <c r="L6661">
        <v>1098.842177689</v>
      </c>
      <c r="M6661">
        <v>22.504898137110199</v>
      </c>
      <c r="N6661">
        <v>49.298502331606201</v>
      </c>
      <c r="O6661">
        <v>48.446195589643402</v>
      </c>
      <c r="P6661">
        <v>-0.104886564589304</v>
      </c>
      <c r="Q6661">
        <v>9.68633847872684E-2</v>
      </c>
      <c r="R6661">
        <v>0.99661483373127902</v>
      </c>
      <c r="S6661" t="s">
        <v>13664</v>
      </c>
      <c r="T6661" t="s">
        <v>14004</v>
      </c>
      <c r="U6661" t="s">
        <v>14004</v>
      </c>
      <c r="V6661" t="s">
        <v>14004</v>
      </c>
      <c r="W6661" t="s">
        <v>20604</v>
      </c>
      <c r="X6661">
        <v>13</v>
      </c>
      <c r="Y6661" t="s">
        <v>27386</v>
      </c>
      <c r="Z6661" t="s">
        <v>34371</v>
      </c>
      <c r="AA6661">
        <v>0.37252918810148072</v>
      </c>
      <c r="AB6661" t="str">
        <f>HYPERLINK("Melting_Curves/meltCurve_Q9UL15_BAG5.pdf", "Melting_Curves/meltCurve_Q9UL15_BAG5.pdf")</f>
        <v>Melting_Curves/meltCurve_Q9UL15_BAG5.pdf</v>
      </c>
    </row>
    <row r="6662" spans="1:28" x14ac:dyDescent="0.25">
      <c r="A6662" t="s">
        <v>6666</v>
      </c>
      <c r="B6662">
        <v>0.99999676499088797</v>
      </c>
      <c r="C6662">
        <v>1.0444361146199099</v>
      </c>
      <c r="D6662">
        <v>1.03430125606329</v>
      </c>
      <c r="E6662">
        <v>0.98124687494569596</v>
      </c>
      <c r="F6662">
        <v>0.75552107179777095</v>
      </c>
      <c r="G6662">
        <v>0.792341899939348</v>
      </c>
      <c r="H6662">
        <v>0.54499575917813903</v>
      </c>
      <c r="I6662">
        <v>0.40189123625318401</v>
      </c>
      <c r="J6662">
        <v>0.25071838240716499</v>
      </c>
      <c r="K6662">
        <v>0.23381446137061901</v>
      </c>
      <c r="L6662">
        <v>731.12429786303596</v>
      </c>
      <c r="M6662">
        <v>11.910716080191101</v>
      </c>
      <c r="N6662">
        <v>61.691818901826501</v>
      </c>
      <c r="O6662">
        <v>59.7301530975489</v>
      </c>
      <c r="P6662">
        <v>-4.8424831614238099E-2</v>
      </c>
      <c r="Q6662">
        <v>2.8872897267030202E-2</v>
      </c>
      <c r="R6662">
        <v>0.97425166372027505</v>
      </c>
      <c r="S6662" t="s">
        <v>13665</v>
      </c>
      <c r="T6662" t="s">
        <v>14004</v>
      </c>
      <c r="U6662" t="s">
        <v>14004</v>
      </c>
      <c r="V6662" t="s">
        <v>14004</v>
      </c>
      <c r="W6662" t="s">
        <v>20605</v>
      </c>
      <c r="X6662">
        <v>19</v>
      </c>
      <c r="Y6662" t="s">
        <v>27387</v>
      </c>
      <c r="Z6662" t="s">
        <v>34372</v>
      </c>
      <c r="AA6662">
        <v>0.71426358521980382</v>
      </c>
      <c r="AB6662" t="str">
        <f>HYPERLINK("Melting_Curves/meltCurve_Q9UL18_AGO1.pdf", "Melting_Curves/meltCurve_Q9UL18_AGO1.pdf")</f>
        <v>Melting_Curves/meltCurve_Q9UL18_AGO1.pdf</v>
      </c>
    </row>
    <row r="6663" spans="1:28" x14ac:dyDescent="0.25">
      <c r="A6663" t="s">
        <v>6667</v>
      </c>
      <c r="B6663">
        <v>0.99999676499088797</v>
      </c>
      <c r="C6663">
        <v>0.946145798140275</v>
      </c>
      <c r="D6663">
        <v>0.95668904345847605</v>
      </c>
      <c r="E6663">
        <v>1.0189902296987801</v>
      </c>
      <c r="F6663">
        <v>0.87324970158529602</v>
      </c>
      <c r="G6663">
        <v>0.78819285493841595</v>
      </c>
      <c r="H6663">
        <v>0.47624345425786202</v>
      </c>
      <c r="I6663">
        <v>0.401352362931305</v>
      </c>
      <c r="J6663">
        <v>0.189922792897151</v>
      </c>
      <c r="K6663">
        <v>0.121085182872862</v>
      </c>
      <c r="L6663">
        <v>914.68416671111402</v>
      </c>
      <c r="M6663">
        <v>14.947758019128999</v>
      </c>
      <c r="N6663">
        <v>61.192064100001801</v>
      </c>
      <c r="O6663">
        <v>60.128190186360001</v>
      </c>
      <c r="P6663">
        <v>-6.2155907947094198E-2</v>
      </c>
      <c r="Q6663">
        <v>0</v>
      </c>
      <c r="R6663">
        <v>0.98660038601671696</v>
      </c>
      <c r="S6663" t="s">
        <v>13666</v>
      </c>
      <c r="T6663" t="s">
        <v>14004</v>
      </c>
      <c r="U6663" t="s">
        <v>14004</v>
      </c>
      <c r="V6663" t="s">
        <v>14004</v>
      </c>
      <c r="W6663" t="s">
        <v>20606</v>
      </c>
      <c r="X6663">
        <v>17</v>
      </c>
      <c r="Y6663" t="s">
        <v>27388</v>
      </c>
      <c r="Z6663" t="s">
        <v>34373</v>
      </c>
      <c r="AA6663">
        <v>0.7078601290052563</v>
      </c>
      <c r="AB6663" t="str">
        <f>HYPERLINK("Melting_Curves/meltCurve_Q9UL25_RAB21.pdf", "Melting_Curves/meltCurve_Q9UL25_RAB21.pdf")</f>
        <v>Melting_Curves/meltCurve_Q9UL25_RAB21.pdf</v>
      </c>
    </row>
    <row r="6664" spans="1:28" x14ac:dyDescent="0.25">
      <c r="A6664" t="s">
        <v>6668</v>
      </c>
      <c r="B6664">
        <v>0.99999676499088797</v>
      </c>
      <c r="C6664">
        <v>0.97979559738608302</v>
      </c>
      <c r="D6664">
        <v>1.02036940112914</v>
      </c>
      <c r="E6664">
        <v>1.08445558114559</v>
      </c>
      <c r="F6664">
        <v>0.97884724562029501</v>
      </c>
      <c r="G6664">
        <v>0.68528314670983503</v>
      </c>
      <c r="H6664">
        <v>0.35209834057143802</v>
      </c>
      <c r="I6664">
        <v>0.27160628360262501</v>
      </c>
      <c r="J6664">
        <v>0.22435056856083899</v>
      </c>
      <c r="K6664">
        <v>0.25202634991191403</v>
      </c>
      <c r="L6664">
        <v>2057.5599165618901</v>
      </c>
      <c r="M6664">
        <v>35.817846873801003</v>
      </c>
      <c r="N6664">
        <v>58.542564877312103</v>
      </c>
      <c r="O6664">
        <v>57.266921662924197</v>
      </c>
      <c r="P6664">
        <v>-0.11813009307966001</v>
      </c>
      <c r="Q6664">
        <v>0.244519083602104</v>
      </c>
      <c r="R6664">
        <v>0.99191014621386597</v>
      </c>
      <c r="S6664" t="s">
        <v>13667</v>
      </c>
      <c r="T6664" t="s">
        <v>14004</v>
      </c>
      <c r="U6664" t="s">
        <v>14004</v>
      </c>
      <c r="V6664" t="s">
        <v>14004</v>
      </c>
      <c r="W6664" t="s">
        <v>20607</v>
      </c>
      <c r="X6664">
        <v>8</v>
      </c>
      <c r="Y6664" t="s">
        <v>27389</v>
      </c>
      <c r="Z6664" t="s">
        <v>34374</v>
      </c>
      <c r="AA6664">
        <v>0.68747988744650967</v>
      </c>
      <c r="AB6664" t="str">
        <f>HYPERLINK("Melting_Curves/meltCurve_Q9UL26_RAB22A.pdf", "Melting_Curves/meltCurve_Q9UL26_RAB22A.pdf")</f>
        <v>Melting_Curves/meltCurve_Q9UL26_RAB22A.pdf</v>
      </c>
    </row>
    <row r="6665" spans="1:28" x14ac:dyDescent="0.25">
      <c r="A6665" t="s">
        <v>6669</v>
      </c>
      <c r="B6665">
        <v>0.99999676499088797</v>
      </c>
      <c r="C6665">
        <v>0.925161277118424</v>
      </c>
      <c r="D6665">
        <v>0.762534946175776</v>
      </c>
      <c r="E6665">
        <v>0.43029014620391998</v>
      </c>
      <c r="F6665">
        <v>0.290907435020893</v>
      </c>
      <c r="G6665">
        <v>0.19693531484954099</v>
      </c>
      <c r="H6665">
        <v>0.10656318125673001</v>
      </c>
      <c r="I6665">
        <v>0.119449479511808</v>
      </c>
      <c r="J6665">
        <v>0.22406923255713301</v>
      </c>
      <c r="K6665">
        <v>0.16700310847837599</v>
      </c>
      <c r="L6665">
        <v>969.44699620045196</v>
      </c>
      <c r="M6665">
        <v>20.177405460031199</v>
      </c>
      <c r="N6665">
        <v>48.945289504786302</v>
      </c>
      <c r="O6665">
        <v>47.581694696666503</v>
      </c>
      <c r="P6665">
        <v>-8.9600171629522496E-2</v>
      </c>
      <c r="Q6665">
        <v>0.15485767764887901</v>
      </c>
      <c r="R6665">
        <v>0.98924056938281602</v>
      </c>
      <c r="S6665" t="s">
        <v>13668</v>
      </c>
      <c r="T6665" t="s">
        <v>14004</v>
      </c>
      <c r="U6665" t="s">
        <v>14004</v>
      </c>
      <c r="V6665" t="s">
        <v>14004</v>
      </c>
      <c r="W6665" t="s">
        <v>20608</v>
      </c>
      <c r="X6665">
        <v>2</v>
      </c>
      <c r="Y6665" t="s">
        <v>27390</v>
      </c>
      <c r="Z6665" t="s">
        <v>34375</v>
      </c>
      <c r="AA6665">
        <v>0.39330663573538849</v>
      </c>
      <c r="AB6665" t="str">
        <f>HYPERLINK("Melting_Curves/meltCurve_Q9UL42_PNMA2.pdf", "Melting_Curves/meltCurve_Q9UL42_PNMA2.pdf")</f>
        <v>Melting_Curves/meltCurve_Q9UL42_PNMA2.pdf</v>
      </c>
    </row>
    <row r="6666" spans="1:28" x14ac:dyDescent="0.25">
      <c r="A6666" t="s">
        <v>6670</v>
      </c>
      <c r="B6666">
        <v>0.99999676499088797</v>
      </c>
      <c r="C6666">
        <v>0.94354517426528794</v>
      </c>
      <c r="D6666">
        <v>1.0317238569532099</v>
      </c>
      <c r="E6666">
        <v>1.19346768098892</v>
      </c>
      <c r="F6666">
        <v>1.07567718835921</v>
      </c>
      <c r="G6666">
        <v>0.40702372765947598</v>
      </c>
      <c r="H6666">
        <v>0.14512646890144201</v>
      </c>
      <c r="I6666">
        <v>0.11986793663755201</v>
      </c>
      <c r="J6666">
        <v>0.10969593024502899</v>
      </c>
      <c r="K6666">
        <v>8.0760322006800597E-2</v>
      </c>
      <c r="L6666">
        <v>14159.9882639062</v>
      </c>
      <c r="M6666">
        <v>250</v>
      </c>
      <c r="N6666">
        <v>56.698560147504303</v>
      </c>
      <c r="O6666">
        <v>56.636329239946001</v>
      </c>
      <c r="P6666">
        <v>-0.97788090963202201</v>
      </c>
      <c r="Q6666">
        <v>0.113862650529338</v>
      </c>
      <c r="R6666">
        <v>0.97558406708284395</v>
      </c>
      <c r="S6666" t="s">
        <v>13669</v>
      </c>
      <c r="T6666" t="s">
        <v>14004</v>
      </c>
      <c r="U6666" t="s">
        <v>14004</v>
      </c>
      <c r="V6666" t="s">
        <v>14004</v>
      </c>
      <c r="W6666" t="s">
        <v>20609</v>
      </c>
      <c r="X6666">
        <v>17</v>
      </c>
      <c r="Y6666" t="s">
        <v>27391</v>
      </c>
      <c r="Z6666" t="s">
        <v>34376</v>
      </c>
      <c r="AA6666">
        <v>0.60546019776428717</v>
      </c>
      <c r="AB6666" t="str">
        <f>HYPERLINK("Melting_Curves/meltCurve_Q9UL46_PSME2.pdf", "Melting_Curves/meltCurve_Q9UL46_PSME2.pdf")</f>
        <v>Melting_Curves/meltCurve_Q9UL46_PSME2.pdf</v>
      </c>
    </row>
    <row r="6667" spans="1:28" x14ac:dyDescent="0.25">
      <c r="A6667" t="s">
        <v>6671</v>
      </c>
      <c r="B6667">
        <v>0.99999676499088797</v>
      </c>
      <c r="C6667">
        <v>1.01992086130874</v>
      </c>
      <c r="D6667">
        <v>1.0745350290394999</v>
      </c>
      <c r="E6667">
        <v>1.09219780710476</v>
      </c>
      <c r="F6667">
        <v>1.03197483989408</v>
      </c>
      <c r="G6667">
        <v>0.50330743308123604</v>
      </c>
      <c r="H6667">
        <v>0.204538950316839</v>
      </c>
      <c r="I6667">
        <v>0.19004114546721801</v>
      </c>
      <c r="J6667">
        <v>0.19084970957824099</v>
      </c>
      <c r="K6667">
        <v>0.15396725319337101</v>
      </c>
      <c r="L6667">
        <v>14174.75353482</v>
      </c>
      <c r="M6667">
        <v>250</v>
      </c>
      <c r="N6667">
        <v>56.803886912899898</v>
      </c>
      <c r="O6667">
        <v>56.695361096568703</v>
      </c>
      <c r="P6667">
        <v>-0.89860790085725495</v>
      </c>
      <c r="Q6667">
        <v>0.18484925289645501</v>
      </c>
      <c r="R6667">
        <v>0.98988796688093805</v>
      </c>
      <c r="S6667" t="s">
        <v>13670</v>
      </c>
      <c r="T6667" t="s">
        <v>14004</v>
      </c>
      <c r="U6667" t="s">
        <v>14004</v>
      </c>
      <c r="V6667" t="s">
        <v>14004</v>
      </c>
      <c r="W6667" t="s">
        <v>20610</v>
      </c>
      <c r="X6667">
        <v>5</v>
      </c>
      <c r="Y6667" t="s">
        <v>27392</v>
      </c>
      <c r="Z6667" t="s">
        <v>34377</v>
      </c>
      <c r="AA6667">
        <v>0.63867082691245514</v>
      </c>
      <c r="AB6667" t="str">
        <f>HYPERLINK("Melting_Curves/meltCurve_Q9UL63_MKLN1.pdf", "Melting_Curves/meltCurve_Q9UL63_MKLN1.pdf")</f>
        <v>Melting_Curves/meltCurve_Q9UL63_MKLN1.pdf</v>
      </c>
    </row>
    <row r="6668" spans="1:28" x14ac:dyDescent="0.25">
      <c r="A6668" t="s">
        <v>6672</v>
      </c>
      <c r="B6668">
        <v>0.99999676499088797</v>
      </c>
      <c r="C6668">
        <v>1.0001518386113799</v>
      </c>
      <c r="D6668">
        <v>0.77745837620827096</v>
      </c>
      <c r="E6668">
        <v>0.77635663598666704</v>
      </c>
      <c r="F6668">
        <v>0.60912446711697399</v>
      </c>
      <c r="G6668">
        <v>0.33235328606006098</v>
      </c>
      <c r="H6668">
        <v>0.10116117151875299</v>
      </c>
      <c r="I6668">
        <v>9.5138168627973002E-2</v>
      </c>
      <c r="J6668">
        <v>7.23702865979476E-2</v>
      </c>
      <c r="K6668">
        <v>7.9330301856318702E-2</v>
      </c>
      <c r="L6668">
        <v>718.33477619428004</v>
      </c>
      <c r="M6668">
        <v>13.342168441777</v>
      </c>
      <c r="N6668">
        <v>53.839433231532801</v>
      </c>
      <c r="O6668">
        <v>52.673086649947201</v>
      </c>
      <c r="P6668">
        <v>-6.33354690470391E-2</v>
      </c>
      <c r="Q6668">
        <v>0</v>
      </c>
      <c r="R6668">
        <v>0.97790128201599802</v>
      </c>
      <c r="S6668" t="s">
        <v>13671</v>
      </c>
      <c r="T6668" t="s">
        <v>14004</v>
      </c>
      <c r="U6668" t="s">
        <v>14004</v>
      </c>
      <c r="V6668" t="s">
        <v>14004</v>
      </c>
      <c r="W6668" t="s">
        <v>20611</v>
      </c>
      <c r="X6668">
        <v>8</v>
      </c>
      <c r="Y6668" t="s">
        <v>27393</v>
      </c>
      <c r="Z6668" t="s">
        <v>34378</v>
      </c>
      <c r="AA6668">
        <v>0.48508614572444242</v>
      </c>
      <c r="AB6668" t="str">
        <f>HYPERLINK("Melting_Curves/meltCurve_Q9ULC3_RAB23.pdf", "Melting_Curves/meltCurve_Q9ULC3_RAB23.pdf")</f>
        <v>Melting_Curves/meltCurve_Q9ULC3_RAB23.pdf</v>
      </c>
    </row>
    <row r="6669" spans="1:28" x14ac:dyDescent="0.25">
      <c r="A6669" t="s">
        <v>6673</v>
      </c>
      <c r="B6669">
        <v>0.99999676499088797</v>
      </c>
      <c r="C6669">
        <v>0.98175874264247298</v>
      </c>
      <c r="D6669">
        <v>1.02337237022997</v>
      </c>
      <c r="E6669">
        <v>1.2050209673680099</v>
      </c>
      <c r="F6669">
        <v>1.1922503491930601</v>
      </c>
      <c r="G6669">
        <v>0.80900173940925701</v>
      </c>
      <c r="H6669">
        <v>0.23012292182823499</v>
      </c>
      <c r="I6669">
        <v>8.1688899468544907E-2</v>
      </c>
      <c r="J6669">
        <v>6.2701696006439794E-2</v>
      </c>
      <c r="K6669">
        <v>6.8211566078872896E-2</v>
      </c>
      <c r="L6669">
        <v>2748.1642988250701</v>
      </c>
      <c r="M6669">
        <v>46.861685795768899</v>
      </c>
      <c r="N6669">
        <v>58.824739532145102</v>
      </c>
      <c r="O6669">
        <v>58.537667476359204</v>
      </c>
      <c r="P6669">
        <v>-0.18672736445971899</v>
      </c>
      <c r="Q6669">
        <v>6.6992840615687499E-2</v>
      </c>
      <c r="R6669">
        <v>0.96156481480501299</v>
      </c>
      <c r="S6669" t="s">
        <v>13672</v>
      </c>
      <c r="T6669" t="s">
        <v>14004</v>
      </c>
      <c r="U6669" t="s">
        <v>14004</v>
      </c>
      <c r="V6669" t="s">
        <v>14004</v>
      </c>
      <c r="W6669" t="s">
        <v>20612</v>
      </c>
      <c r="X6669">
        <v>10</v>
      </c>
      <c r="Y6669" t="s">
        <v>27394</v>
      </c>
      <c r="Z6669" t="s">
        <v>34379</v>
      </c>
      <c r="AA6669">
        <v>0.64955127813521807</v>
      </c>
      <c r="AB6669" t="str">
        <f>HYPERLINK("Melting_Curves/meltCurve_Q9ULC4_MCTS1.pdf", "Melting_Curves/meltCurve_Q9ULC4_MCTS1.pdf")</f>
        <v>Melting_Curves/meltCurve_Q9ULC4_MCTS1.pdf</v>
      </c>
    </row>
    <row r="6670" spans="1:28" x14ac:dyDescent="0.25">
      <c r="A6670" t="s">
        <v>6674</v>
      </c>
      <c r="B6670">
        <v>0.99999676499088797</v>
      </c>
      <c r="C6670">
        <v>0.99168266976594199</v>
      </c>
      <c r="D6670">
        <v>0.96110871399780995</v>
      </c>
      <c r="E6670">
        <v>0.69129656218349</v>
      </c>
      <c r="F6670">
        <v>0.58665859585305702</v>
      </c>
      <c r="G6670">
        <v>0.50623222227275699</v>
      </c>
      <c r="H6670">
        <v>0.36305972640338602</v>
      </c>
      <c r="I6670">
        <v>0.314792002140865</v>
      </c>
      <c r="J6670">
        <v>0.30921837840649102</v>
      </c>
      <c r="K6670">
        <v>0.28345326988917202</v>
      </c>
      <c r="L6670">
        <v>708.29419589112001</v>
      </c>
      <c r="M6670">
        <v>13.556676123341701</v>
      </c>
      <c r="N6670">
        <v>55.4535175230126</v>
      </c>
      <c r="O6670">
        <v>51.149351117865002</v>
      </c>
      <c r="P6670">
        <v>-4.8264984204628998E-2</v>
      </c>
      <c r="Q6670">
        <v>0.271693961229867</v>
      </c>
      <c r="R6670">
        <v>0.98401439179536798</v>
      </c>
      <c r="S6670" t="s">
        <v>13673</v>
      </c>
      <c r="T6670" t="s">
        <v>14004</v>
      </c>
      <c r="U6670" t="s">
        <v>14004</v>
      </c>
      <c r="V6670" t="s">
        <v>14004</v>
      </c>
      <c r="W6670" t="s">
        <v>20613</v>
      </c>
      <c r="X6670">
        <v>3</v>
      </c>
      <c r="Y6670" t="s">
        <v>27395</v>
      </c>
      <c r="Z6670" t="s">
        <v>34380</v>
      </c>
      <c r="AA6670">
        <v>0.58768106583709168</v>
      </c>
      <c r="AB6670" t="str">
        <f>HYPERLINK("Melting_Curves/meltCurve_Q9ULC8_2_ZDHHC8.pdf", "Melting_Curves/meltCurve_Q9ULC8_2_ZDHHC8.pdf")</f>
        <v>Melting_Curves/meltCurve_Q9ULC8_2_ZDHHC8.pdf</v>
      </c>
    </row>
    <row r="6671" spans="1:28" x14ac:dyDescent="0.25">
      <c r="A6671" t="s">
        <v>6675</v>
      </c>
      <c r="B6671">
        <v>0.99999676499088797</v>
      </c>
      <c r="C6671">
        <v>1.09299372920203</v>
      </c>
      <c r="D6671">
        <v>0.756161399983587</v>
      </c>
      <c r="E6671">
        <v>0.47254181282068197</v>
      </c>
      <c r="F6671">
        <v>0.154511744615422</v>
      </c>
      <c r="G6671">
        <v>0.13186082950308001</v>
      </c>
      <c r="H6671">
        <v>7.5128824740612901E-2</v>
      </c>
      <c r="I6671">
        <v>0.127284591196235</v>
      </c>
      <c r="J6671">
        <v>0.113998386371642</v>
      </c>
      <c r="K6671">
        <v>7.2294003144710503E-2</v>
      </c>
      <c r="L6671">
        <v>1220.2442282929901</v>
      </c>
      <c r="M6671">
        <v>25.113814694384001</v>
      </c>
      <c r="N6671">
        <v>48.998655641613098</v>
      </c>
      <c r="O6671">
        <v>48.283621453865599</v>
      </c>
      <c r="P6671">
        <v>-0.117709296734544</v>
      </c>
      <c r="Q6671">
        <v>9.4783964257112205E-2</v>
      </c>
      <c r="R6671">
        <v>0.982990757576921</v>
      </c>
      <c r="S6671" t="s">
        <v>13674</v>
      </c>
      <c r="T6671" t="s">
        <v>14004</v>
      </c>
      <c r="U6671" t="s">
        <v>14004</v>
      </c>
      <c r="V6671" t="s">
        <v>14004</v>
      </c>
      <c r="W6671" t="s">
        <v>20614</v>
      </c>
      <c r="X6671">
        <v>10</v>
      </c>
      <c r="Y6671" t="s">
        <v>27396</v>
      </c>
      <c r="Z6671" t="s">
        <v>34381</v>
      </c>
      <c r="AA6671">
        <v>0.36186355481217197</v>
      </c>
      <c r="AB6671" t="str">
        <f>HYPERLINK("Melting_Curves/meltCurve_Q9ULD0_OGDHL.pdf", "Melting_Curves/meltCurve_Q9ULD0_OGDHL.pdf")</f>
        <v>Melting_Curves/meltCurve_Q9ULD0_OGDHL.pdf</v>
      </c>
    </row>
    <row r="6672" spans="1:28" x14ac:dyDescent="0.25">
      <c r="A6672" t="s">
        <v>6676</v>
      </c>
      <c r="B6672">
        <v>0.99999676499088797</v>
      </c>
      <c r="C6672">
        <v>0.96989104776721302</v>
      </c>
      <c r="D6672">
        <v>0.94178206550287002</v>
      </c>
      <c r="E6672">
        <v>0.975682894971588</v>
      </c>
      <c r="F6672">
        <v>0.71387226526800596</v>
      </c>
      <c r="G6672">
        <v>0.36526669788704202</v>
      </c>
      <c r="H6672">
        <v>0.23607688769407001</v>
      </c>
      <c r="I6672">
        <v>0.28571727628201998</v>
      </c>
      <c r="J6672">
        <v>0.299846137576111</v>
      </c>
      <c r="K6672">
        <v>0.26140424092765802</v>
      </c>
      <c r="L6672">
        <v>2045.9789220043201</v>
      </c>
      <c r="M6672">
        <v>38.009436322844103</v>
      </c>
      <c r="N6672">
        <v>54.948136842949502</v>
      </c>
      <c r="O6672">
        <v>53.6798421421054</v>
      </c>
      <c r="P6672">
        <v>-0.12929889579554299</v>
      </c>
      <c r="Q6672">
        <v>0.26957869137623403</v>
      </c>
      <c r="R6672">
        <v>0.99317013023824396</v>
      </c>
      <c r="S6672" t="s">
        <v>13675</v>
      </c>
      <c r="T6672" t="s">
        <v>14004</v>
      </c>
      <c r="U6672" t="s">
        <v>14004</v>
      </c>
      <c r="V6672" t="s">
        <v>14004</v>
      </c>
      <c r="W6672" t="s">
        <v>20615</v>
      </c>
      <c r="X6672">
        <v>1</v>
      </c>
      <c r="Y6672" t="s">
        <v>27397</v>
      </c>
      <c r="Z6672" t="s">
        <v>34382</v>
      </c>
      <c r="AA6672">
        <v>0.60926267671407308</v>
      </c>
      <c r="AB6672" t="str">
        <f>HYPERLINK("Melting_Curves/meltCurve_Q9ULD2_4_MTUS1.pdf", "Melting_Curves/meltCurve_Q9ULD2_4_MTUS1.pdf")</f>
        <v>Melting_Curves/meltCurve_Q9ULD2_4_MTUS1.pdf</v>
      </c>
    </row>
    <row r="6673" spans="1:28" x14ac:dyDescent="0.25">
      <c r="A6673" t="s">
        <v>6677</v>
      </c>
      <c r="B6673">
        <v>0.99999676499088797</v>
      </c>
      <c r="C6673">
        <v>0.920751665680274</v>
      </c>
      <c r="D6673">
        <v>0.94627500834811795</v>
      </c>
      <c r="E6673">
        <v>0.97472356809410998</v>
      </c>
      <c r="F6673">
        <v>0.98194620981314595</v>
      </c>
      <c r="G6673">
        <v>0.60003041435566795</v>
      </c>
      <c r="H6673">
        <v>0.18115880883149901</v>
      </c>
      <c r="I6673">
        <v>0.12751396223078401</v>
      </c>
      <c r="J6673">
        <v>0.108045467698193</v>
      </c>
      <c r="K6673">
        <v>0.108253271212275</v>
      </c>
      <c r="L6673">
        <v>2478.3901641245998</v>
      </c>
      <c r="M6673">
        <v>43.415049375197199</v>
      </c>
      <c r="N6673">
        <v>57.427104471035101</v>
      </c>
      <c r="O6673">
        <v>56.965249624296298</v>
      </c>
      <c r="P6673">
        <v>-0.16887627041836001</v>
      </c>
      <c r="Q6673">
        <v>0.113665449123431</v>
      </c>
      <c r="R6673">
        <v>0.99337683759284501</v>
      </c>
      <c r="S6673" t="s">
        <v>13676</v>
      </c>
      <c r="T6673" t="s">
        <v>14004</v>
      </c>
      <c r="U6673" t="s">
        <v>14004</v>
      </c>
      <c r="V6673" t="s">
        <v>14004</v>
      </c>
      <c r="W6673" t="s">
        <v>20616</v>
      </c>
      <c r="X6673">
        <v>10</v>
      </c>
      <c r="Y6673" t="s">
        <v>27398</v>
      </c>
      <c r="Z6673" t="s">
        <v>34383</v>
      </c>
      <c r="AA6673">
        <v>0.62140671440601669</v>
      </c>
      <c r="AB6673" t="str">
        <f>HYPERLINK("Melting_Curves/meltCurve_Q9ULE6_PALD1.pdf", "Melting_Curves/meltCurve_Q9ULE6_PALD1.pdf")</f>
        <v>Melting_Curves/meltCurve_Q9ULE6_PALD1.pdf</v>
      </c>
    </row>
    <row r="6674" spans="1:28" x14ac:dyDescent="0.25">
      <c r="A6674" t="s">
        <v>6678</v>
      </c>
      <c r="B6674">
        <v>0.99999676499088797</v>
      </c>
      <c r="C6674">
        <v>0.98802067064917998</v>
      </c>
      <c r="D6674">
        <v>1.0418083731346199</v>
      </c>
      <c r="E6674">
        <v>1.0046121836356501</v>
      </c>
      <c r="F6674">
        <v>0.96819800083179397</v>
      </c>
      <c r="G6674">
        <v>0.94994891582707297</v>
      </c>
      <c r="H6674">
        <v>0.73939720186157398</v>
      </c>
      <c r="I6674">
        <v>0.71894524787848502</v>
      </c>
      <c r="J6674">
        <v>0.65437282078275405</v>
      </c>
      <c r="K6674">
        <v>0.71385875879726701</v>
      </c>
      <c r="L6674">
        <v>2676.9138876152902</v>
      </c>
      <c r="M6674">
        <v>45.595806675863699</v>
      </c>
      <c r="O6674">
        <v>58.597053096021902</v>
      </c>
      <c r="P6674">
        <v>-5.9996283458560798E-2</v>
      </c>
      <c r="Q6674">
        <v>0.69158557867199799</v>
      </c>
      <c r="R6674">
        <v>0.97470180546625895</v>
      </c>
      <c r="S6674" t="s">
        <v>13677</v>
      </c>
      <c r="T6674" t="s">
        <v>14004</v>
      </c>
      <c r="U6674" t="s">
        <v>14004</v>
      </c>
      <c r="V6674" t="s">
        <v>14004</v>
      </c>
      <c r="W6674" t="s">
        <v>20617</v>
      </c>
      <c r="X6674">
        <v>6</v>
      </c>
      <c r="Y6674" t="s">
        <v>27399</v>
      </c>
      <c r="Z6674" t="s">
        <v>34384</v>
      </c>
      <c r="AA6674">
        <v>0.88487861165846227</v>
      </c>
      <c r="AB6674" t="str">
        <f>HYPERLINK("Melting_Curves/meltCurve_Q9ULF5_SLC39A10.pdf", "Melting_Curves/meltCurve_Q9ULF5_SLC39A10.pdf")</f>
        <v>Melting_Curves/meltCurve_Q9ULF5_SLC39A10.pdf</v>
      </c>
    </row>
    <row r="6675" spans="1:28" x14ac:dyDescent="0.25">
      <c r="A6675" t="s">
        <v>6679</v>
      </c>
      <c r="B6675">
        <v>0.99999676499088797</v>
      </c>
      <c r="C6675">
        <v>0.97237712570472501</v>
      </c>
      <c r="D6675">
        <v>0.78091353771511895</v>
      </c>
      <c r="E6675">
        <v>0.20534570084357501</v>
      </c>
      <c r="F6675">
        <v>0.120596848913141</v>
      </c>
      <c r="G6675">
        <v>3.2551827154061699E-2</v>
      </c>
      <c r="H6675">
        <v>1.83225902336192E-2</v>
      </c>
      <c r="I6675">
        <v>2.69610850065451E-2</v>
      </c>
      <c r="J6675">
        <v>5.7164742446388001E-2</v>
      </c>
      <c r="K6675">
        <v>8.5989935576941498E-2</v>
      </c>
      <c r="L6675">
        <v>1722.7978264109599</v>
      </c>
      <c r="M6675">
        <v>36.283636365071999</v>
      </c>
      <c r="N6675">
        <v>47.624548948714903</v>
      </c>
      <c r="O6675">
        <v>47.337852905210397</v>
      </c>
      <c r="P6675">
        <v>-0.18172271237704299</v>
      </c>
      <c r="Q6675">
        <v>5.1656453778178998E-2</v>
      </c>
      <c r="R6675">
        <v>0.99596851595179103</v>
      </c>
      <c r="S6675" t="s">
        <v>13678</v>
      </c>
      <c r="T6675" t="s">
        <v>14004</v>
      </c>
      <c r="U6675" t="s">
        <v>14004</v>
      </c>
      <c r="V6675" t="s">
        <v>14004</v>
      </c>
      <c r="W6675" t="s">
        <v>20618</v>
      </c>
      <c r="X6675">
        <v>3</v>
      </c>
      <c r="Y6675" t="s">
        <v>27400</v>
      </c>
      <c r="Z6675" t="s">
        <v>34385</v>
      </c>
      <c r="AA6675">
        <v>0.29197634865510841</v>
      </c>
      <c r="AB6675" t="str">
        <f>HYPERLINK("Melting_Curves/meltCurve_Q9ULH1_ASAP1.pdf", "Melting_Curves/meltCurve_Q9ULH1_ASAP1.pdf")</f>
        <v>Melting_Curves/meltCurve_Q9ULH1_ASAP1.pdf</v>
      </c>
    </row>
    <row r="6676" spans="1:28" x14ac:dyDescent="0.25">
      <c r="A6676" t="s">
        <v>6680</v>
      </c>
      <c r="B6676">
        <v>0.99999676499088797</v>
      </c>
      <c r="C6676">
        <v>0.85773852878288104</v>
      </c>
      <c r="D6676">
        <v>0.74529865137218199</v>
      </c>
      <c r="E6676">
        <v>0.57422424824039597</v>
      </c>
      <c r="F6676">
        <v>0.42324863725074002</v>
      </c>
      <c r="G6676">
        <v>0.28307708186616698</v>
      </c>
      <c r="H6676">
        <v>0.18320794051902101</v>
      </c>
      <c r="I6676">
        <v>0.21429274668145801</v>
      </c>
      <c r="J6676">
        <v>0.18859411367774101</v>
      </c>
      <c r="K6676">
        <v>0.224140534084737</v>
      </c>
      <c r="L6676">
        <v>629.98999569244199</v>
      </c>
      <c r="M6676">
        <v>12.810502235449</v>
      </c>
      <c r="N6676">
        <v>50.803497441927497</v>
      </c>
      <c r="O6676">
        <v>48.025461069218103</v>
      </c>
      <c r="P6676">
        <v>-5.5481927040294102E-2</v>
      </c>
      <c r="Q6676">
        <v>0.168167476819443</v>
      </c>
      <c r="R6676">
        <v>0.99052290083085304</v>
      </c>
      <c r="S6676" t="s">
        <v>13679</v>
      </c>
      <c r="T6676" t="s">
        <v>14004</v>
      </c>
      <c r="U6676" t="s">
        <v>14004</v>
      </c>
      <c r="V6676" t="s">
        <v>14004</v>
      </c>
      <c r="W6676" t="s">
        <v>20619</v>
      </c>
      <c r="X6676">
        <v>6</v>
      </c>
      <c r="Y6676" t="s">
        <v>27401</v>
      </c>
      <c r="Z6676" t="s">
        <v>34386</v>
      </c>
      <c r="AA6676">
        <v>0.44971604873508231</v>
      </c>
      <c r="AB6676" t="str">
        <f>HYPERLINK("Melting_Curves/meltCurve_Q9ULH7_4_MKL2.pdf", "Melting_Curves/meltCurve_Q9ULH7_4_MKL2.pdf")</f>
        <v>Melting_Curves/meltCurve_Q9ULH7_4_MKL2.pdf</v>
      </c>
    </row>
    <row r="6677" spans="1:28" x14ac:dyDescent="0.25">
      <c r="A6677" t="s">
        <v>6681</v>
      </c>
      <c r="B6677">
        <v>0.99999676499088797</v>
      </c>
      <c r="C6677">
        <v>0.95695034224049302</v>
      </c>
      <c r="D6677">
        <v>0.91131182059649896</v>
      </c>
      <c r="E6677">
        <v>0.68701132257568198</v>
      </c>
      <c r="F6677">
        <v>0.39506387814695898</v>
      </c>
      <c r="G6677">
        <v>0.274764346346212</v>
      </c>
      <c r="H6677">
        <v>0.20370117526196399</v>
      </c>
      <c r="I6677">
        <v>0.225311259308041</v>
      </c>
      <c r="J6677">
        <v>0.252377000076077</v>
      </c>
      <c r="K6677">
        <v>0.292419696079178</v>
      </c>
      <c r="L6677">
        <v>1210.1850684292201</v>
      </c>
      <c r="M6677">
        <v>24.098402408641501</v>
      </c>
      <c r="N6677">
        <v>51.603336052881701</v>
      </c>
      <c r="O6677">
        <v>49.876498033951002</v>
      </c>
      <c r="P6677">
        <v>-9.2029296385774007E-2</v>
      </c>
      <c r="Q6677">
        <v>0.23811917212657899</v>
      </c>
      <c r="R6677">
        <v>0.993219018133635</v>
      </c>
      <c r="S6677" t="s">
        <v>13680</v>
      </c>
      <c r="T6677" t="s">
        <v>14004</v>
      </c>
      <c r="U6677" t="s">
        <v>14004</v>
      </c>
      <c r="V6677" t="s">
        <v>14004</v>
      </c>
      <c r="W6677" t="s">
        <v>20620</v>
      </c>
      <c r="X6677">
        <v>4</v>
      </c>
      <c r="Y6677" t="s">
        <v>27402</v>
      </c>
      <c r="Z6677" t="s">
        <v>34387</v>
      </c>
      <c r="AA6677">
        <v>0.50497236284839253</v>
      </c>
      <c r="AB6677" t="str">
        <f>HYPERLINK("Melting_Curves/meltCurve_Q9ULJ3_2_ZBTB21.pdf", "Melting_Curves/meltCurve_Q9ULJ3_2_ZBTB21.pdf")</f>
        <v>Melting_Curves/meltCurve_Q9ULJ3_2_ZBTB21.pdf</v>
      </c>
    </row>
    <row r="6678" spans="1:28" x14ac:dyDescent="0.25">
      <c r="A6678" t="s">
        <v>6682</v>
      </c>
      <c r="B6678">
        <v>0.99999676499088797</v>
      </c>
      <c r="C6678">
        <v>0.930808809867259</v>
      </c>
      <c r="D6678">
        <v>0.86620312763058205</v>
      </c>
      <c r="E6678">
        <v>0.90467442649277496</v>
      </c>
      <c r="F6678">
        <v>0.78647437277584797</v>
      </c>
      <c r="G6678">
        <v>0.39878901838637598</v>
      </c>
      <c r="H6678">
        <v>0.131910807723882</v>
      </c>
      <c r="I6678">
        <v>8.8676126036754996E-2</v>
      </c>
      <c r="J6678">
        <v>0.10148596828515601</v>
      </c>
      <c r="K6678">
        <v>6.2333925264797002E-2</v>
      </c>
      <c r="L6678">
        <v>1346.0071418596599</v>
      </c>
      <c r="M6678">
        <v>24.2568195098128</v>
      </c>
      <c r="N6678">
        <v>55.775532651237299</v>
      </c>
      <c r="O6678">
        <v>55.1168339524598</v>
      </c>
      <c r="P6678">
        <v>-0.103598422619224</v>
      </c>
      <c r="Q6678">
        <v>5.8420580477919502E-2</v>
      </c>
      <c r="R6678">
        <v>0.98259509676609902</v>
      </c>
      <c r="S6678" t="s">
        <v>13681</v>
      </c>
      <c r="T6678" t="s">
        <v>14004</v>
      </c>
      <c r="U6678" t="s">
        <v>14004</v>
      </c>
      <c r="V6678" t="s">
        <v>14004</v>
      </c>
      <c r="W6678" t="s">
        <v>20621</v>
      </c>
      <c r="X6678">
        <v>8</v>
      </c>
      <c r="Y6678" t="s">
        <v>27403</v>
      </c>
      <c r="Z6678" t="s">
        <v>34388</v>
      </c>
      <c r="AA6678">
        <v>0.55372803320458297</v>
      </c>
      <c r="AB6678" t="str">
        <f>HYPERLINK("Melting_Curves/meltCurve_Q9ULJ6_ZMIZ1.pdf", "Melting_Curves/meltCurve_Q9ULJ6_ZMIZ1.pdf")</f>
        <v>Melting_Curves/meltCurve_Q9ULJ6_ZMIZ1.pdf</v>
      </c>
    </row>
    <row r="6679" spans="1:28" x14ac:dyDescent="0.25">
      <c r="A6679" t="s">
        <v>6683</v>
      </c>
      <c r="B6679">
        <v>0.99999676499088797</v>
      </c>
      <c r="C6679">
        <v>1.1589799704838599</v>
      </c>
      <c r="D6679">
        <v>1.21421219058309</v>
      </c>
      <c r="E6679">
        <v>0.99849546404397305</v>
      </c>
      <c r="F6679">
        <v>0.60145257931940799</v>
      </c>
      <c r="G6679">
        <v>0.13785852128849399</v>
      </c>
      <c r="H6679">
        <v>4.1505212478720702E-2</v>
      </c>
      <c r="I6679">
        <v>1.8434638982910499E-2</v>
      </c>
      <c r="J6679">
        <v>3.23374934882329E-2</v>
      </c>
      <c r="K6679">
        <v>2.9816107010670799E-2</v>
      </c>
      <c r="L6679">
        <v>2252.5417191224301</v>
      </c>
      <c r="M6679">
        <v>41.940128093225702</v>
      </c>
      <c r="N6679">
        <v>53.791751360563197</v>
      </c>
      <c r="O6679">
        <v>53.586836669482402</v>
      </c>
      <c r="P6679">
        <v>-0.189517179478632</v>
      </c>
      <c r="Q6679">
        <v>3.1418496112775203E-2</v>
      </c>
      <c r="R6679">
        <v>0.97037754637395501</v>
      </c>
      <c r="S6679" t="s">
        <v>13682</v>
      </c>
      <c r="T6679" t="s">
        <v>14004</v>
      </c>
      <c r="U6679" t="s">
        <v>14004</v>
      </c>
      <c r="V6679" t="s">
        <v>14004</v>
      </c>
      <c r="W6679" t="s">
        <v>20622</v>
      </c>
      <c r="X6679">
        <v>3</v>
      </c>
      <c r="Y6679" t="s">
        <v>27404</v>
      </c>
      <c r="Z6679" t="s">
        <v>34389</v>
      </c>
      <c r="AA6679">
        <v>0.47727693666316351</v>
      </c>
      <c r="AB6679" t="str">
        <f>HYPERLINK("Melting_Curves/meltCurve_Q9ULJ7_ANKRD50.pdf", "Melting_Curves/meltCurve_Q9ULJ7_ANKRD50.pdf")</f>
        <v>Melting_Curves/meltCurve_Q9ULJ7_ANKRD50.pdf</v>
      </c>
    </row>
    <row r="6680" spans="1:28" x14ac:dyDescent="0.25">
      <c r="A6680" t="s">
        <v>6684</v>
      </c>
      <c r="B6680">
        <v>0.99999676499088797</v>
      </c>
      <c r="C6680">
        <v>0.86262013722584996</v>
      </c>
      <c r="D6680">
        <v>0.75051297302436903</v>
      </c>
      <c r="E6680">
        <v>0.60020605679575301</v>
      </c>
      <c r="F6680">
        <v>0.42722074813323502</v>
      </c>
      <c r="G6680">
        <v>0.35563149599730098</v>
      </c>
      <c r="H6680">
        <v>0.304396395257585</v>
      </c>
      <c r="I6680">
        <v>0.39369241301485702</v>
      </c>
      <c r="J6680">
        <v>0.40115810250814199</v>
      </c>
      <c r="K6680">
        <v>0.49315499996824302</v>
      </c>
      <c r="L6680">
        <v>844.91778924413995</v>
      </c>
      <c r="M6680">
        <v>17.994341994387799</v>
      </c>
      <c r="N6680">
        <v>51.075945051833997</v>
      </c>
      <c r="O6680">
        <v>46.386251580295799</v>
      </c>
      <c r="P6680">
        <v>-5.9845621059375499E-2</v>
      </c>
      <c r="Q6680">
        <v>0.38294450518806</v>
      </c>
      <c r="R6680">
        <v>0.94484140461974797</v>
      </c>
      <c r="S6680" t="s">
        <v>13683</v>
      </c>
      <c r="T6680" t="s">
        <v>14004</v>
      </c>
      <c r="U6680" t="s">
        <v>14004</v>
      </c>
      <c r="V6680" t="s">
        <v>14004</v>
      </c>
      <c r="W6680" t="s">
        <v>20623</v>
      </c>
      <c r="X6680">
        <v>9</v>
      </c>
      <c r="Y6680" t="s">
        <v>27405</v>
      </c>
      <c r="Z6680" t="s">
        <v>34390</v>
      </c>
      <c r="AA6680">
        <v>0.53740893197981665</v>
      </c>
      <c r="AB6680" t="str">
        <f>HYPERLINK("Melting_Curves/meltCurve_Q9ULL5_3_PRR12.pdf", "Melting_Curves/meltCurve_Q9ULL5_3_PRR12.pdf")</f>
        <v>Melting_Curves/meltCurve_Q9ULL5_3_PRR12.pdf</v>
      </c>
    </row>
    <row r="6681" spans="1:28" x14ac:dyDescent="0.25">
      <c r="A6681" t="s">
        <v>6685</v>
      </c>
      <c r="B6681">
        <v>0.99999676499088797</v>
      </c>
      <c r="C6681">
        <v>1.0183654674875999</v>
      </c>
      <c r="D6681">
        <v>0.96883375424761797</v>
      </c>
      <c r="E6681">
        <v>0.66672218619194801</v>
      </c>
      <c r="F6681">
        <v>0.193666979158366</v>
      </c>
      <c r="G6681">
        <v>0.13540892516252301</v>
      </c>
      <c r="H6681">
        <v>6.0932076471566801E-2</v>
      </c>
      <c r="I6681">
        <v>6.4139186272761203E-2</v>
      </c>
      <c r="J6681">
        <v>5.3105532598475301E-2</v>
      </c>
      <c r="K6681">
        <v>5.5031961996484399E-2</v>
      </c>
      <c r="L6681">
        <v>1697.05959897764</v>
      </c>
      <c r="M6681">
        <v>33.634890498757201</v>
      </c>
      <c r="N6681">
        <v>50.670110848267001</v>
      </c>
      <c r="O6681">
        <v>50.277981876564397</v>
      </c>
      <c r="P6681">
        <v>-0.156134326215597</v>
      </c>
      <c r="Q6681">
        <v>6.6435355365813603E-2</v>
      </c>
      <c r="R6681">
        <v>0.99808294626765603</v>
      </c>
      <c r="S6681" t="s">
        <v>13684</v>
      </c>
      <c r="T6681" t="s">
        <v>14004</v>
      </c>
      <c r="U6681" t="s">
        <v>14004</v>
      </c>
      <c r="V6681" t="s">
        <v>14004</v>
      </c>
      <c r="W6681" t="s">
        <v>20624</v>
      </c>
      <c r="X6681">
        <v>7</v>
      </c>
      <c r="Y6681" t="s">
        <v>27406</v>
      </c>
      <c r="Z6681" t="s">
        <v>34391</v>
      </c>
      <c r="AA6681">
        <v>0.39641236202733893</v>
      </c>
      <c r="AB6681" t="str">
        <f>HYPERLINK("Melting_Curves/meltCurve_Q9ULP9_2_TBC1D24.pdf", "Melting_Curves/meltCurve_Q9ULP9_2_TBC1D24.pdf")</f>
        <v>Melting_Curves/meltCurve_Q9ULP9_2_TBC1D24.pdf</v>
      </c>
    </row>
    <row r="6682" spans="1:28" x14ac:dyDescent="0.25">
      <c r="A6682" t="s">
        <v>6686</v>
      </c>
      <c r="B6682">
        <v>0.99999676499088797</v>
      </c>
      <c r="C6682">
        <v>0.94938238793126195</v>
      </c>
      <c r="D6682">
        <v>0.78400075298249405</v>
      </c>
      <c r="E6682">
        <v>0.67715156054845205</v>
      </c>
      <c r="F6682">
        <v>0.71644265752723102</v>
      </c>
      <c r="G6682">
        <v>0.66299483857900299</v>
      </c>
      <c r="H6682">
        <v>0.390421896025061</v>
      </c>
      <c r="I6682">
        <v>0.41140436163990801</v>
      </c>
      <c r="J6682">
        <v>0.39464447207019898</v>
      </c>
      <c r="K6682">
        <v>0.43036736495235201</v>
      </c>
      <c r="L6682">
        <v>422.18958317925802</v>
      </c>
      <c r="M6682">
        <v>7.9060452270319699</v>
      </c>
      <c r="N6682">
        <v>59.981460519376199</v>
      </c>
      <c r="O6682">
        <v>50.3083905487441</v>
      </c>
      <c r="P6682">
        <v>-2.7928416887535799E-2</v>
      </c>
      <c r="Q6682">
        <v>0.289973808597982</v>
      </c>
      <c r="R6682">
        <v>0.91658033290852403</v>
      </c>
      <c r="S6682" t="s">
        <v>13685</v>
      </c>
      <c r="T6682" t="s">
        <v>14004</v>
      </c>
      <c r="U6682" t="s">
        <v>14004</v>
      </c>
      <c r="V6682" t="s">
        <v>14004</v>
      </c>
      <c r="W6682" t="s">
        <v>20625</v>
      </c>
      <c r="X6682">
        <v>17</v>
      </c>
      <c r="Y6682" t="s">
        <v>27407</v>
      </c>
      <c r="Z6682" t="s">
        <v>34392</v>
      </c>
      <c r="AA6682">
        <v>0.63437491973757687</v>
      </c>
      <c r="AB6682" t="str">
        <f>HYPERLINK("Melting_Curves/meltCurve_Q9ULR0_ISY1.pdf", "Melting_Curves/meltCurve_Q9ULR0_ISY1.pdf")</f>
        <v>Melting_Curves/meltCurve_Q9ULR0_ISY1.pdf</v>
      </c>
    </row>
    <row r="6683" spans="1:28" x14ac:dyDescent="0.25">
      <c r="A6683" t="s">
        <v>6687</v>
      </c>
      <c r="B6683">
        <v>0.99999676499088797</v>
      </c>
      <c r="C6683">
        <v>1.0274258783613099</v>
      </c>
      <c r="D6683">
        <v>1.0762828396005899</v>
      </c>
      <c r="E6683">
        <v>1.2274036143478699</v>
      </c>
      <c r="F6683">
        <v>1.2466912997583699</v>
      </c>
      <c r="G6683">
        <v>1.02463033259789</v>
      </c>
      <c r="H6683">
        <v>0.53503525067152702</v>
      </c>
      <c r="I6683">
        <v>0.188132957974805</v>
      </c>
      <c r="J6683">
        <v>0.13410554784930601</v>
      </c>
      <c r="K6683">
        <v>0.105339977729708</v>
      </c>
      <c r="L6683">
        <v>3687.0642515038098</v>
      </c>
      <c r="M6683">
        <v>60.7473102773574</v>
      </c>
      <c r="N6683">
        <v>60.992672252844798</v>
      </c>
      <c r="O6683">
        <v>60.629431879137996</v>
      </c>
      <c r="P6683">
        <v>-0.21836186366353</v>
      </c>
      <c r="Q6683">
        <v>0.12824778919270699</v>
      </c>
      <c r="R6683">
        <v>0.93760971063431897</v>
      </c>
      <c r="S6683" t="s">
        <v>13686</v>
      </c>
      <c r="T6683" t="s">
        <v>14004</v>
      </c>
      <c r="U6683" t="s">
        <v>14004</v>
      </c>
      <c r="V6683" t="s">
        <v>14004</v>
      </c>
      <c r="W6683" t="s">
        <v>20626</v>
      </c>
      <c r="X6683">
        <v>16</v>
      </c>
      <c r="Y6683" t="s">
        <v>27408</v>
      </c>
      <c r="Z6683" t="s">
        <v>34393</v>
      </c>
      <c r="AA6683">
        <v>0.73118030269749312</v>
      </c>
      <c r="AB6683" t="str">
        <f>HYPERLINK("Melting_Curves/meltCurve_Q9ULR3_PPM1H.pdf", "Melting_Curves/meltCurve_Q9ULR3_PPM1H.pdf")</f>
        <v>Melting_Curves/meltCurve_Q9ULR3_PPM1H.pdf</v>
      </c>
    </row>
    <row r="6684" spans="1:28" x14ac:dyDescent="0.25">
      <c r="A6684" t="s">
        <v>6688</v>
      </c>
      <c r="B6684">
        <v>0.99999676499088797</v>
      </c>
      <c r="C6684">
        <v>0.97756714559218905</v>
      </c>
      <c r="D6684">
        <v>0.89099955350187299</v>
      </c>
      <c r="E6684">
        <v>0.48777407899358199</v>
      </c>
      <c r="F6684">
        <v>0.30782115879020699</v>
      </c>
      <c r="G6684">
        <v>0.218060062682917</v>
      </c>
      <c r="H6684">
        <v>0.106948143511511</v>
      </c>
      <c r="I6684">
        <v>9.2395844404459707E-2</v>
      </c>
      <c r="J6684">
        <v>9.0353623942154404E-2</v>
      </c>
      <c r="K6684">
        <v>8.6083239266244699E-2</v>
      </c>
      <c r="L6684">
        <v>992.73423061385404</v>
      </c>
      <c r="M6684">
        <v>20.018896300373498</v>
      </c>
      <c r="N6684">
        <v>50.1298752507846</v>
      </c>
      <c r="O6684">
        <v>49.1029623952818</v>
      </c>
      <c r="P6684">
        <v>-9.2040376417442907E-2</v>
      </c>
      <c r="Q6684">
        <v>9.6991234568993695E-2</v>
      </c>
      <c r="R6684">
        <v>0.99221595200386004</v>
      </c>
      <c r="S6684" t="s">
        <v>13687</v>
      </c>
      <c r="T6684" t="s">
        <v>14004</v>
      </c>
      <c r="U6684" t="s">
        <v>14004</v>
      </c>
      <c r="V6684" t="s">
        <v>14004</v>
      </c>
      <c r="W6684" t="s">
        <v>20627</v>
      </c>
      <c r="X6684">
        <v>26</v>
      </c>
      <c r="Y6684" t="s">
        <v>27409</v>
      </c>
      <c r="Z6684" t="s">
        <v>34394</v>
      </c>
      <c r="AA6684">
        <v>0.39822009900699551</v>
      </c>
      <c r="AB6684" t="str">
        <f>HYPERLINK("Melting_Curves/meltCurve_Q9ULT8_HECTD1.pdf", "Melting_Curves/meltCurve_Q9ULT8_HECTD1.pdf")</f>
        <v>Melting_Curves/meltCurve_Q9ULT8_HECTD1.pdf</v>
      </c>
    </row>
    <row r="6685" spans="1:28" x14ac:dyDescent="0.25">
      <c r="A6685" t="s">
        <v>6689</v>
      </c>
      <c r="B6685">
        <v>0.99999676499088797</v>
      </c>
      <c r="C6685">
        <v>0.86622614498124695</v>
      </c>
      <c r="D6685">
        <v>0.98513939893541902</v>
      </c>
      <c r="E6685">
        <v>0.911503798047818</v>
      </c>
      <c r="F6685">
        <v>0.30640580221362401</v>
      </c>
      <c r="G6685">
        <v>0.17355479226100401</v>
      </c>
      <c r="H6685">
        <v>7.15755333473415E-2</v>
      </c>
      <c r="I6685">
        <v>5.1778271288364298E-2</v>
      </c>
      <c r="J6685">
        <v>5.1452279429724801E-2</v>
      </c>
      <c r="K6685">
        <v>6.4483492028893794E-2</v>
      </c>
      <c r="L6685">
        <v>2234.18226614278</v>
      </c>
      <c r="M6685">
        <v>42.993676508356799</v>
      </c>
      <c r="N6685">
        <v>52.162288784293899</v>
      </c>
      <c r="O6685">
        <v>51.853341563148703</v>
      </c>
      <c r="P6685">
        <v>-0.191757655810883</v>
      </c>
      <c r="Q6685">
        <v>7.4909916804655099E-2</v>
      </c>
      <c r="R6685">
        <v>0.984819401786452</v>
      </c>
      <c r="S6685" t="s">
        <v>13688</v>
      </c>
      <c r="T6685" t="s">
        <v>14004</v>
      </c>
      <c r="U6685" t="s">
        <v>14004</v>
      </c>
      <c r="V6685" t="s">
        <v>14004</v>
      </c>
      <c r="W6685" t="s">
        <v>20628</v>
      </c>
      <c r="X6685">
        <v>3</v>
      </c>
      <c r="Y6685" t="s">
        <v>27410</v>
      </c>
      <c r="Z6685" t="s">
        <v>34395</v>
      </c>
      <c r="AA6685">
        <v>0.4467506630665613</v>
      </c>
      <c r="AB6685" t="str">
        <f>HYPERLINK("Melting_Curves/meltCurve_Q9ULV0_MYO5B.pdf", "Melting_Curves/meltCurve_Q9ULV0_MYO5B.pdf")</f>
        <v>Melting_Curves/meltCurve_Q9ULV0_MYO5B.pdf</v>
      </c>
    </row>
    <row r="6686" spans="1:28" x14ac:dyDescent="0.25">
      <c r="A6686" t="s">
        <v>6690</v>
      </c>
      <c r="B6686">
        <v>0.99999676499088797</v>
      </c>
      <c r="C6686">
        <v>0.98089338861678699</v>
      </c>
      <c r="D6686">
        <v>0.99101095796403704</v>
      </c>
      <c r="E6686">
        <v>0.90573964719954903</v>
      </c>
      <c r="F6686">
        <v>0.48709880227390301</v>
      </c>
      <c r="G6686">
        <v>0.172250834172537</v>
      </c>
      <c r="H6686">
        <v>7.7623825300767002E-2</v>
      </c>
      <c r="I6686">
        <v>6.2855551334552201E-2</v>
      </c>
      <c r="J6686">
        <v>6.4023580735495397E-2</v>
      </c>
      <c r="K6686">
        <v>5.4644371087810201E-2</v>
      </c>
      <c r="L6686">
        <v>1643.92008700063</v>
      </c>
      <c r="M6686">
        <v>31.053236179510801</v>
      </c>
      <c r="N6686">
        <v>53.159906771628101</v>
      </c>
      <c r="O6686">
        <v>52.7206814499269</v>
      </c>
      <c r="P6686">
        <v>-0.13833211806142801</v>
      </c>
      <c r="Q6686">
        <v>6.0591042395910899E-2</v>
      </c>
      <c r="R6686">
        <v>0.999637932990593</v>
      </c>
      <c r="S6686" t="s">
        <v>13689</v>
      </c>
      <c r="T6686" t="s">
        <v>14004</v>
      </c>
      <c r="U6686" t="s">
        <v>14004</v>
      </c>
      <c r="V6686" t="s">
        <v>14004</v>
      </c>
      <c r="W6686" t="s">
        <v>20629</v>
      </c>
      <c r="X6686">
        <v>22</v>
      </c>
      <c r="Y6686" t="s">
        <v>27411</v>
      </c>
      <c r="Z6686" t="s">
        <v>34396</v>
      </c>
      <c r="AA6686">
        <v>0.47143856255338712</v>
      </c>
      <c r="AB6686" t="str">
        <f>HYPERLINK("Melting_Curves/meltCurve_Q9ULV4_CORO1C.pdf", "Melting_Curves/meltCurve_Q9ULV4_CORO1C.pdf")</f>
        <v>Melting_Curves/meltCurve_Q9ULV4_CORO1C.pdf</v>
      </c>
    </row>
    <row r="6687" spans="1:28" x14ac:dyDescent="0.25">
      <c r="A6687" t="s">
        <v>6691</v>
      </c>
      <c r="B6687">
        <v>0.99999676499088797</v>
      </c>
      <c r="C6687">
        <v>0.94705238611905296</v>
      </c>
      <c r="D6687">
        <v>0.919320200686217</v>
      </c>
      <c r="E6687">
        <v>0.84155521993160798</v>
      </c>
      <c r="F6687">
        <v>0.59941052878168199</v>
      </c>
      <c r="G6687">
        <v>0.495246652436728</v>
      </c>
      <c r="H6687">
        <v>0.34611422592139501</v>
      </c>
      <c r="I6687">
        <v>0.454755427376619</v>
      </c>
      <c r="J6687">
        <v>0.46369959805415001</v>
      </c>
      <c r="K6687">
        <v>0.50311756991702306</v>
      </c>
      <c r="L6687">
        <v>1223.55578011443</v>
      </c>
      <c r="M6687">
        <v>23.919287420684501</v>
      </c>
      <c r="N6687">
        <v>56.133302806693301</v>
      </c>
      <c r="O6687">
        <v>50.799997203125699</v>
      </c>
      <c r="P6687">
        <v>-6.5908357001467299E-2</v>
      </c>
      <c r="Q6687">
        <v>0.44010190953439998</v>
      </c>
      <c r="R6687">
        <v>0.96153631215299395</v>
      </c>
      <c r="S6687" t="s">
        <v>13690</v>
      </c>
      <c r="T6687" t="s">
        <v>14004</v>
      </c>
      <c r="U6687" t="s">
        <v>14004</v>
      </c>
      <c r="V6687" t="s">
        <v>14004</v>
      </c>
      <c r="W6687" t="s">
        <v>20630</v>
      </c>
      <c r="X6687">
        <v>47</v>
      </c>
      <c r="Y6687" t="s">
        <v>27412</v>
      </c>
      <c r="Z6687" t="s">
        <v>34397</v>
      </c>
      <c r="AA6687">
        <v>0.65378652016406413</v>
      </c>
      <c r="AB6687" t="str">
        <f>HYPERLINK("Melting_Curves/meltCurve_Q9ULW0_TPX2.pdf", "Melting_Curves/meltCurve_Q9ULW0_TPX2.pdf")</f>
        <v>Melting_Curves/meltCurve_Q9ULW0_TPX2.pdf</v>
      </c>
    </row>
    <row r="6688" spans="1:28" x14ac:dyDescent="0.25">
      <c r="A6688" t="s">
        <v>6692</v>
      </c>
      <c r="B6688">
        <v>0.99999676499088797</v>
      </c>
      <c r="C6688">
        <v>1.01179853260203</v>
      </c>
      <c r="D6688">
        <v>0.77989780719928303</v>
      </c>
      <c r="E6688">
        <v>0.21937780307150001</v>
      </c>
      <c r="F6688">
        <v>0.151022859700848</v>
      </c>
      <c r="G6688">
        <v>0.10762436354419</v>
      </c>
      <c r="H6688">
        <v>4.0595018681090098E-2</v>
      </c>
      <c r="I6688">
        <v>3.8468766328804603E-2</v>
      </c>
      <c r="J6688">
        <v>3.3533648030287799E-2</v>
      </c>
      <c r="K6688">
        <v>3.1124711071860298E-2</v>
      </c>
      <c r="L6688">
        <v>1680.3720086748899</v>
      </c>
      <c r="M6688">
        <v>35.351070373969897</v>
      </c>
      <c r="N6688">
        <v>47.7081344279257</v>
      </c>
      <c r="O6688">
        <v>47.382517664783599</v>
      </c>
      <c r="P6688">
        <v>-0.17522207689237301</v>
      </c>
      <c r="Q6688">
        <v>6.0573661853674701E-2</v>
      </c>
      <c r="R6688">
        <v>0.99322086051594305</v>
      </c>
      <c r="S6688" t="s">
        <v>13691</v>
      </c>
      <c r="T6688" t="s">
        <v>14004</v>
      </c>
      <c r="U6688" t="s">
        <v>14004</v>
      </c>
      <c r="V6688" t="s">
        <v>14004</v>
      </c>
      <c r="W6688" t="s">
        <v>20631</v>
      </c>
      <c r="X6688">
        <v>10</v>
      </c>
      <c r="Y6688" t="s">
        <v>27413</v>
      </c>
      <c r="Z6688" t="s">
        <v>34398</v>
      </c>
      <c r="AA6688">
        <v>0.30048811649687318</v>
      </c>
      <c r="AB6688" t="str">
        <f>HYPERLINK("Melting_Curves/meltCurve_Q9ULX3_NOB1.pdf", "Melting_Curves/meltCurve_Q9ULX3_NOB1.pdf")</f>
        <v>Melting_Curves/meltCurve_Q9ULX3_NOB1.pdf</v>
      </c>
    </row>
    <row r="6689" spans="1:28" x14ac:dyDescent="0.25">
      <c r="A6689" t="s">
        <v>6693</v>
      </c>
      <c r="B6689">
        <v>0.99999676499088797</v>
      </c>
      <c r="C6689">
        <v>0.91888666607823499</v>
      </c>
      <c r="D6689">
        <v>0.72984849398711804</v>
      </c>
      <c r="E6689">
        <v>0.39920076767417301</v>
      </c>
      <c r="F6689">
        <v>0.23548315688634899</v>
      </c>
      <c r="G6689">
        <v>0.19277215009418</v>
      </c>
      <c r="H6689">
        <v>0.17492023853071101</v>
      </c>
      <c r="I6689">
        <v>0.27138864373010602</v>
      </c>
      <c r="J6689">
        <v>0.31585452755309401</v>
      </c>
      <c r="K6689">
        <v>0.29827668484727698</v>
      </c>
      <c r="L6689">
        <v>1291.5243114506</v>
      </c>
      <c r="M6689">
        <v>27.524654345022501</v>
      </c>
      <c r="N6689">
        <v>48.095299706623997</v>
      </c>
      <c r="O6689">
        <v>46.676871079326602</v>
      </c>
      <c r="P6689">
        <v>-0.111384726788101</v>
      </c>
      <c r="Q6689">
        <v>0.24445295235852399</v>
      </c>
      <c r="R6689">
        <v>0.97739999224668295</v>
      </c>
      <c r="S6689" t="s">
        <v>13692</v>
      </c>
      <c r="T6689" t="s">
        <v>14004</v>
      </c>
      <c r="U6689" t="s">
        <v>14004</v>
      </c>
      <c r="V6689" t="s">
        <v>14004</v>
      </c>
      <c r="W6689" t="s">
        <v>20632</v>
      </c>
      <c r="X6689">
        <v>7</v>
      </c>
      <c r="Y6689" t="s">
        <v>27414</v>
      </c>
      <c r="Z6689" t="s">
        <v>34399</v>
      </c>
      <c r="AA6689">
        <v>0.42426139047530981</v>
      </c>
      <c r="AB6689" t="str">
        <f>HYPERLINK("Melting_Curves/meltCurve_Q9ULX6_AKAP8L.pdf", "Melting_Curves/meltCurve_Q9ULX6_AKAP8L.pdf")</f>
        <v>Melting_Curves/meltCurve_Q9ULX6_AKAP8L.pdf</v>
      </c>
    </row>
    <row r="6690" spans="1:28" x14ac:dyDescent="0.25">
      <c r="A6690" t="s">
        <v>6694</v>
      </c>
      <c r="B6690">
        <v>0.99999676499088797</v>
      </c>
      <c r="C6690">
        <v>1.02098851643904</v>
      </c>
      <c r="D6690">
        <v>0.90928322812315598</v>
      </c>
      <c r="E6690">
        <v>0.77679304986958098</v>
      </c>
      <c r="F6690">
        <v>0.43097664631924099</v>
      </c>
      <c r="G6690">
        <v>0.42523664862794402</v>
      </c>
      <c r="H6690">
        <v>0.37477508954886302</v>
      </c>
      <c r="I6690">
        <v>0.454017873295606</v>
      </c>
      <c r="J6690">
        <v>0.54130151560053097</v>
      </c>
      <c r="K6690">
        <v>0.48459768959875199</v>
      </c>
      <c r="L6690">
        <v>12418.632255446801</v>
      </c>
      <c r="M6690">
        <v>250</v>
      </c>
      <c r="N6690">
        <v>50.1438063374504</v>
      </c>
      <c r="O6690">
        <v>49.671348217701599</v>
      </c>
      <c r="P6690">
        <v>-0.68976183725487505</v>
      </c>
      <c r="Q6690">
        <v>0.451817572468032</v>
      </c>
      <c r="R6690">
        <v>0.95823414801859497</v>
      </c>
      <c r="S6690" t="s">
        <v>13693</v>
      </c>
      <c r="T6690" t="s">
        <v>14004</v>
      </c>
      <c r="U6690" t="s">
        <v>14004</v>
      </c>
      <c r="V6690" t="s">
        <v>14004</v>
      </c>
      <c r="W6690" t="s">
        <v>20633</v>
      </c>
      <c r="X6690">
        <v>2</v>
      </c>
      <c r="Y6690" t="s">
        <v>27415</v>
      </c>
      <c r="Z6690" t="s">
        <v>34400</v>
      </c>
      <c r="AA6690">
        <v>0.62864558874264265</v>
      </c>
      <c r="AB6690" t="str">
        <f>HYPERLINK("Melting_Curves/meltCurve_Q9ULX9_2_MAFF.pdf", "Melting_Curves/meltCurve_Q9ULX9_2_MAFF.pdf")</f>
        <v>Melting_Curves/meltCurve_Q9ULX9_2_MAFF.pdf</v>
      </c>
    </row>
    <row r="6691" spans="1:28" x14ac:dyDescent="0.25">
      <c r="A6691" t="s">
        <v>6695</v>
      </c>
      <c r="B6691">
        <v>0.99999676499088797</v>
      </c>
      <c r="C6691">
        <v>1.04990383440752</v>
      </c>
      <c r="D6691">
        <v>0.95478459761551904</v>
      </c>
      <c r="E6691">
        <v>0.713044230689728</v>
      </c>
      <c r="F6691">
        <v>0.41608488952928602</v>
      </c>
      <c r="G6691">
        <v>0.29415546473668702</v>
      </c>
      <c r="H6691">
        <v>0.105234538449499</v>
      </c>
      <c r="I6691">
        <v>0.118647208328013</v>
      </c>
      <c r="J6691">
        <v>9.7569018232070995E-2</v>
      </c>
      <c r="K6691">
        <v>6.8315149941622202E-2</v>
      </c>
      <c r="L6691">
        <v>975.07950889017104</v>
      </c>
      <c r="M6691">
        <v>18.764311715800101</v>
      </c>
      <c r="N6691">
        <v>52.4520090705239</v>
      </c>
      <c r="O6691">
        <v>51.385191341896302</v>
      </c>
      <c r="P6691">
        <v>-8.3991754758435899E-2</v>
      </c>
      <c r="Q6691">
        <v>8.0008812606630897E-2</v>
      </c>
      <c r="R6691">
        <v>0.99239619080258001</v>
      </c>
      <c r="S6691" t="s">
        <v>13694</v>
      </c>
      <c r="T6691" t="s">
        <v>14004</v>
      </c>
      <c r="U6691" t="s">
        <v>14004</v>
      </c>
      <c r="V6691" t="s">
        <v>14004</v>
      </c>
      <c r="W6691" t="s">
        <v>20634</v>
      </c>
      <c r="X6691">
        <v>4</v>
      </c>
      <c r="Y6691" t="s">
        <v>27416</v>
      </c>
      <c r="Z6691" t="s">
        <v>34401</v>
      </c>
      <c r="AA6691">
        <v>0.46117430057189351</v>
      </c>
      <c r="AB6691" t="str">
        <f>HYPERLINK("Melting_Curves/meltCurve_Q9UM13_ANAPC10.pdf", "Melting_Curves/meltCurve_Q9UM13_ANAPC10.pdf")</f>
        <v>Melting_Curves/meltCurve_Q9UM13_ANAPC10.pdf</v>
      </c>
    </row>
    <row r="6692" spans="1:28" x14ac:dyDescent="0.25">
      <c r="A6692" t="s">
        <v>6696</v>
      </c>
      <c r="B6692">
        <v>0.99999676499088797</v>
      </c>
      <c r="C6692">
        <v>0.88031698720824902</v>
      </c>
      <c r="D6692">
        <v>0.84944529667797797</v>
      </c>
      <c r="E6692">
        <v>0.63669041990840602</v>
      </c>
      <c r="F6692">
        <v>0.31406800523937201</v>
      </c>
      <c r="G6692">
        <v>0.20279913947265699</v>
      </c>
      <c r="H6692">
        <v>0.12784737286241199</v>
      </c>
      <c r="I6692">
        <v>0.143328038256686</v>
      </c>
      <c r="J6692">
        <v>9.9651107034931699E-2</v>
      </c>
      <c r="K6692">
        <v>5.6462390527099997E-2</v>
      </c>
      <c r="L6692">
        <v>816.83566111946902</v>
      </c>
      <c r="M6692">
        <v>16.2033556950601</v>
      </c>
      <c r="N6692">
        <v>50.928655273568602</v>
      </c>
      <c r="O6692">
        <v>49.662427378792302</v>
      </c>
      <c r="P6692">
        <v>-7.5385788055112701E-2</v>
      </c>
      <c r="Q6692">
        <v>7.5855165300815E-2</v>
      </c>
      <c r="R6692">
        <v>0.99161523075887004</v>
      </c>
      <c r="S6692" t="s">
        <v>13695</v>
      </c>
      <c r="T6692" t="s">
        <v>14004</v>
      </c>
      <c r="U6692" t="s">
        <v>14004</v>
      </c>
      <c r="V6692" t="s">
        <v>14004</v>
      </c>
      <c r="W6692" t="s">
        <v>20635</v>
      </c>
      <c r="X6692">
        <v>4</v>
      </c>
      <c r="Y6692" t="s">
        <v>27417</v>
      </c>
      <c r="Z6692" t="s">
        <v>34402</v>
      </c>
      <c r="AA6692">
        <v>0.41557482394253309</v>
      </c>
      <c r="AB6692" t="str">
        <f>HYPERLINK("Melting_Curves/meltCurve_Q9UM21_MGAT4A.pdf", "Melting_Curves/meltCurve_Q9UM21_MGAT4A.pdf")</f>
        <v>Melting_Curves/meltCurve_Q9UM21_MGAT4A.pdf</v>
      </c>
    </row>
    <row r="6693" spans="1:28" x14ac:dyDescent="0.25">
      <c r="A6693" t="s">
        <v>6697</v>
      </c>
      <c r="B6693">
        <v>0.99999676499088797</v>
      </c>
      <c r="C6693">
        <v>0.94876052710839098</v>
      </c>
      <c r="D6693">
        <v>0.70178695863794205</v>
      </c>
      <c r="E6693">
        <v>0.533922008000006</v>
      </c>
      <c r="F6693">
        <v>0.44683677698200902</v>
      </c>
      <c r="G6693">
        <v>0.52102910763464105</v>
      </c>
      <c r="H6693">
        <v>0.271093972857268</v>
      </c>
      <c r="I6693">
        <v>0.276941583319047</v>
      </c>
      <c r="J6693">
        <v>0.28808879168083001</v>
      </c>
      <c r="K6693">
        <v>0.25290468546760803</v>
      </c>
      <c r="L6693">
        <v>598.80341547309297</v>
      </c>
      <c r="M6693">
        <v>12.318627026433701</v>
      </c>
      <c r="N6693">
        <v>51.748228890168903</v>
      </c>
      <c r="O6693">
        <v>47.381859647926099</v>
      </c>
      <c r="P6693">
        <v>-4.7903627855360897E-2</v>
      </c>
      <c r="Q6693">
        <v>0.26314230653500498</v>
      </c>
      <c r="R6693">
        <v>0.94381829608336798</v>
      </c>
      <c r="S6693" t="s">
        <v>13696</v>
      </c>
      <c r="T6693" t="s">
        <v>14004</v>
      </c>
      <c r="U6693" t="s">
        <v>14004</v>
      </c>
      <c r="V6693" t="s">
        <v>14004</v>
      </c>
      <c r="W6693" t="s">
        <v>20636</v>
      </c>
      <c r="X6693">
        <v>4</v>
      </c>
      <c r="Y6693" t="s">
        <v>27418</v>
      </c>
      <c r="Z6693" t="s">
        <v>34403</v>
      </c>
      <c r="AA6693">
        <v>0.50111250094806781</v>
      </c>
      <c r="AB6693" t="str">
        <f>HYPERLINK("Melting_Curves/meltCurve_Q9UM47_NOTCH3.pdf", "Melting_Curves/meltCurve_Q9UM47_NOTCH3.pdf")</f>
        <v>Melting_Curves/meltCurve_Q9UM47_NOTCH3.pdf</v>
      </c>
    </row>
    <row r="6694" spans="1:28" x14ac:dyDescent="0.25">
      <c r="A6694" t="s">
        <v>6698</v>
      </c>
      <c r="B6694">
        <v>0.99999676499088797</v>
      </c>
      <c r="C6694">
        <v>0.97536462964563098</v>
      </c>
      <c r="D6694">
        <v>1.08226272674027</v>
      </c>
      <c r="E6694">
        <v>1.15100033813808</v>
      </c>
      <c r="F6694">
        <v>1.1500887866735301</v>
      </c>
      <c r="G6694">
        <v>0.62037821885704103</v>
      </c>
      <c r="H6694">
        <v>0.34683079430768698</v>
      </c>
      <c r="I6694">
        <v>0.216344468163957</v>
      </c>
      <c r="J6694">
        <v>0.14574169016949001</v>
      </c>
      <c r="K6694">
        <v>0.20049829143248499</v>
      </c>
      <c r="L6694">
        <v>5588.4147723010301</v>
      </c>
      <c r="M6694">
        <v>98.343805230811796</v>
      </c>
      <c r="N6694">
        <v>57.176791266219297</v>
      </c>
      <c r="O6694">
        <v>56.801798878097003</v>
      </c>
      <c r="P6694">
        <v>-0.33464694960559899</v>
      </c>
      <c r="Q6694">
        <v>0.22685327484989701</v>
      </c>
      <c r="R6694">
        <v>0.954545619270874</v>
      </c>
      <c r="S6694" t="s">
        <v>13697</v>
      </c>
      <c r="T6694" t="s">
        <v>14004</v>
      </c>
      <c r="U6694" t="s">
        <v>14004</v>
      </c>
      <c r="V6694" t="s">
        <v>14004</v>
      </c>
      <c r="W6694" t="s">
        <v>20637</v>
      </c>
      <c r="X6694">
        <v>6</v>
      </c>
      <c r="Y6694" t="s">
        <v>27419</v>
      </c>
      <c r="Z6694" t="s">
        <v>34404</v>
      </c>
      <c r="AA6694">
        <v>0.66096594933772734</v>
      </c>
      <c r="AB6694" t="str">
        <f>HYPERLINK("Melting_Curves/meltCurve_Q9UMS0_3_NFU1.pdf", "Melting_Curves/meltCurve_Q9UMS0_3_NFU1.pdf")</f>
        <v>Melting_Curves/meltCurve_Q9UMS0_3_NFU1.pdf</v>
      </c>
    </row>
    <row r="6695" spans="1:28" x14ac:dyDescent="0.25">
      <c r="A6695" t="s">
        <v>6699</v>
      </c>
      <c r="B6695">
        <v>0.99999676499088797</v>
      </c>
      <c r="C6695">
        <v>1.15791262669805</v>
      </c>
      <c r="D6695">
        <v>1.1385279839042699</v>
      </c>
      <c r="E6695">
        <v>1.51946479802831</v>
      </c>
      <c r="F6695">
        <v>1.3836843738031399</v>
      </c>
      <c r="G6695">
        <v>1.28771450027187</v>
      </c>
      <c r="H6695">
        <v>0.35912792753719702</v>
      </c>
      <c r="I6695">
        <v>0.249108512617741</v>
      </c>
      <c r="J6695">
        <v>0.16168661720319399</v>
      </c>
      <c r="K6695">
        <v>0.14072195971367399</v>
      </c>
      <c r="L6695">
        <v>13154.832013212201</v>
      </c>
      <c r="M6695">
        <v>217.65872258511101</v>
      </c>
      <c r="N6695">
        <v>60.565423729992801</v>
      </c>
      <c r="O6695">
        <v>60.432782286164297</v>
      </c>
      <c r="P6695">
        <v>-0.73488715927854398</v>
      </c>
      <c r="Q6695">
        <v>0.18383655563172099</v>
      </c>
      <c r="R6695">
        <v>0.79630949753332703</v>
      </c>
      <c r="S6695" t="s">
        <v>13698</v>
      </c>
      <c r="T6695" t="s">
        <v>14004</v>
      </c>
      <c r="U6695" t="s">
        <v>14004</v>
      </c>
      <c r="V6695" t="s">
        <v>14004</v>
      </c>
      <c r="W6695" t="s">
        <v>20638</v>
      </c>
      <c r="X6695">
        <v>17</v>
      </c>
      <c r="Y6695" t="s">
        <v>27420</v>
      </c>
      <c r="Z6695" t="s">
        <v>34405</v>
      </c>
      <c r="AA6695">
        <v>0.7399724859538469</v>
      </c>
      <c r="AB6695" t="str">
        <f>HYPERLINK("Melting_Curves/meltCurve_Q9UMS4_PRPF19.pdf", "Melting_Curves/meltCurve_Q9UMS4_PRPF19.pdf")</f>
        <v>Melting_Curves/meltCurve_Q9UMS4_PRPF19.pdf</v>
      </c>
    </row>
    <row r="6696" spans="1:28" x14ac:dyDescent="0.25">
      <c r="A6696" t="s">
        <v>6700</v>
      </c>
      <c r="B6696">
        <v>0.99999676499088797</v>
      </c>
      <c r="C6696">
        <v>0.95514789529567401</v>
      </c>
      <c r="D6696">
        <v>0.88943087854976099</v>
      </c>
      <c r="E6696">
        <v>0.80772755620662195</v>
      </c>
      <c r="F6696">
        <v>0.80946117389146099</v>
      </c>
      <c r="G6696">
        <v>0.63867942356858598</v>
      </c>
      <c r="H6696">
        <v>0.26395258402334598</v>
      </c>
      <c r="I6696">
        <v>0.26886118355731597</v>
      </c>
      <c r="J6696">
        <v>0.26478615643258302</v>
      </c>
      <c r="K6696">
        <v>0.39020581445040903</v>
      </c>
      <c r="L6696">
        <v>896.09235076096002</v>
      </c>
      <c r="M6696">
        <v>16.1762605383819</v>
      </c>
      <c r="N6696">
        <v>57.826182500695403</v>
      </c>
      <c r="O6696">
        <v>54.569677870531002</v>
      </c>
      <c r="P6696">
        <v>-5.5831557235281597E-2</v>
      </c>
      <c r="Q6696">
        <v>0.24667841387933301</v>
      </c>
      <c r="R6696">
        <v>0.92364068418928402</v>
      </c>
      <c r="S6696" t="s">
        <v>13699</v>
      </c>
      <c r="T6696" t="s">
        <v>14004</v>
      </c>
      <c r="U6696" t="s">
        <v>14004</v>
      </c>
      <c r="V6696" t="s">
        <v>14004</v>
      </c>
      <c r="W6696" t="s">
        <v>20639</v>
      </c>
      <c r="X6696">
        <v>14</v>
      </c>
      <c r="Y6696" t="s">
        <v>21891</v>
      </c>
      <c r="Z6696" t="s">
        <v>34406</v>
      </c>
      <c r="AA6696">
        <v>0.64629529308877642</v>
      </c>
      <c r="AB6696" t="str">
        <f>HYPERLINK("Melting_Curves/meltCurve_Q9UMX0_UBQLN1.pdf", "Melting_Curves/meltCurve_Q9UMX0_UBQLN1.pdf")</f>
        <v>Melting_Curves/meltCurve_Q9UMX0_UBQLN1.pdf</v>
      </c>
    </row>
    <row r="6697" spans="1:28" x14ac:dyDescent="0.25">
      <c r="A6697" t="s">
        <v>6701</v>
      </c>
      <c r="B6697">
        <v>0.99999676499088797</v>
      </c>
      <c r="C6697">
        <v>1.0535481415201999</v>
      </c>
      <c r="D6697">
        <v>0.99276408297184204</v>
      </c>
      <c r="E6697">
        <v>0.880894157360394</v>
      </c>
      <c r="F6697">
        <v>0.51433358672249097</v>
      </c>
      <c r="G6697">
        <v>0.22591256612002</v>
      </c>
      <c r="H6697">
        <v>7.3380286888196505E-2</v>
      </c>
      <c r="I6697">
        <v>4.8502905141615503E-2</v>
      </c>
      <c r="J6697">
        <v>8.4125945751198694E-2</v>
      </c>
      <c r="K6697">
        <v>4.6285320561919301E-2</v>
      </c>
      <c r="L6697">
        <v>1383.0744511471801</v>
      </c>
      <c r="M6697">
        <v>25.998251846015901</v>
      </c>
      <c r="N6697">
        <v>53.428717463656902</v>
      </c>
      <c r="O6697">
        <v>52.886991036264902</v>
      </c>
      <c r="P6697">
        <v>-0.116391274611878</v>
      </c>
      <c r="Q6697">
        <v>5.2934261016875997E-2</v>
      </c>
      <c r="R6697">
        <v>0.99719680871345595</v>
      </c>
      <c r="S6697" t="s">
        <v>13700</v>
      </c>
      <c r="T6697" t="s">
        <v>14004</v>
      </c>
      <c r="U6697" t="s">
        <v>14004</v>
      </c>
      <c r="V6697" t="s">
        <v>14004</v>
      </c>
      <c r="W6697" t="s">
        <v>20640</v>
      </c>
      <c r="X6697">
        <v>4</v>
      </c>
      <c r="Y6697" t="s">
        <v>27421</v>
      </c>
      <c r="Z6697" t="s">
        <v>34407</v>
      </c>
      <c r="AA6697">
        <v>0.47771584108533099</v>
      </c>
      <c r="AB6697" t="str">
        <f>HYPERLINK("Melting_Curves/meltCurve_Q9UMX1_2_SUFU.pdf", "Melting_Curves/meltCurve_Q9UMX1_2_SUFU.pdf")</f>
        <v>Melting_Curves/meltCurve_Q9UMX1_2_SUFU.pdf</v>
      </c>
    </row>
    <row r="6698" spans="1:28" x14ac:dyDescent="0.25">
      <c r="A6698" t="s">
        <v>6702</v>
      </c>
      <c r="B6698">
        <v>0.99999676499088797</v>
      </c>
      <c r="C6698">
        <v>0.956174031676151</v>
      </c>
      <c r="D6698">
        <v>0.99842890319635103</v>
      </c>
      <c r="E6698">
        <v>0.97271761374925103</v>
      </c>
      <c r="F6698">
        <v>0.72143860465250997</v>
      </c>
      <c r="G6698">
        <v>0.64228239266463405</v>
      </c>
      <c r="H6698">
        <v>0.40033084931013901</v>
      </c>
      <c r="I6698">
        <v>0.44360494349520901</v>
      </c>
      <c r="J6698">
        <v>0.462570312763317</v>
      </c>
      <c r="K6698">
        <v>0.50528555792854801</v>
      </c>
      <c r="L6698">
        <v>1333.5843713745801</v>
      </c>
      <c r="M6698">
        <v>24.779194696970801</v>
      </c>
      <c r="N6698">
        <v>59.4901653011676</v>
      </c>
      <c r="O6698">
        <v>53.471877111278197</v>
      </c>
      <c r="P6698">
        <v>-6.3383420328259499E-2</v>
      </c>
      <c r="Q6698">
        <v>0.45289866407271301</v>
      </c>
      <c r="R6698">
        <v>0.96522115700480704</v>
      </c>
      <c r="S6698" t="s">
        <v>13701</v>
      </c>
      <c r="T6698" t="s">
        <v>14004</v>
      </c>
      <c r="U6698" t="s">
        <v>14004</v>
      </c>
      <c r="V6698" t="s">
        <v>14004</v>
      </c>
      <c r="W6698" t="s">
        <v>20641</v>
      </c>
      <c r="X6698">
        <v>9</v>
      </c>
      <c r="Y6698" t="s">
        <v>27422</v>
      </c>
      <c r="Z6698" t="s">
        <v>34408</v>
      </c>
      <c r="AA6698">
        <v>0.71004909870309885</v>
      </c>
      <c r="AB6698" t="str">
        <f>HYPERLINK("Melting_Curves/meltCurve_Q9UMX5_NENF.pdf", "Melting_Curves/meltCurve_Q9UMX5_NENF.pdf")</f>
        <v>Melting_Curves/meltCurve_Q9UMX5_NENF.pdf</v>
      </c>
    </row>
    <row r="6699" spans="1:28" x14ac:dyDescent="0.25">
      <c r="A6699" t="s">
        <v>6703</v>
      </c>
      <c r="B6699">
        <v>0.99999676499088797</v>
      </c>
      <c r="C6699">
        <v>0.900566142048009</v>
      </c>
      <c r="D6699">
        <v>0.88871895486489005</v>
      </c>
      <c r="E6699">
        <v>0.93144171716439506</v>
      </c>
      <c r="F6699">
        <v>0.75909781718445701</v>
      </c>
      <c r="G6699">
        <v>0.92100261965097696</v>
      </c>
      <c r="H6699">
        <v>0.830008187224059</v>
      </c>
      <c r="I6699">
        <v>1.42257276881178</v>
      </c>
      <c r="J6699">
        <v>1.4333665644307001</v>
      </c>
      <c r="K6699">
        <v>1.44419020024782</v>
      </c>
      <c r="L6699">
        <v>15000</v>
      </c>
      <c r="M6699">
        <v>237.59052153088999</v>
      </c>
      <c r="O6699">
        <v>63.129343174626499</v>
      </c>
      <c r="P6699">
        <v>0.41305952679478197</v>
      </c>
      <c r="Q6699">
        <v>1.4390104922287701</v>
      </c>
      <c r="R6699">
        <v>0.81663775100906699</v>
      </c>
      <c r="S6699" t="s">
        <v>13702</v>
      </c>
      <c r="T6699" t="s">
        <v>14004</v>
      </c>
      <c r="U6699" t="s">
        <v>14004</v>
      </c>
      <c r="V6699" t="s">
        <v>14004</v>
      </c>
      <c r="W6699" t="s">
        <v>20642</v>
      </c>
      <c r="X6699">
        <v>8</v>
      </c>
      <c r="Y6699" t="s">
        <v>27423</v>
      </c>
      <c r="Z6699" t="s">
        <v>34409</v>
      </c>
      <c r="AA6699">
        <v>1.1004234737962379</v>
      </c>
      <c r="AB6699" t="str">
        <f>HYPERLINK("Melting_Curves/meltCurve_Q9UMY1_NOL7.pdf", "Melting_Curves/meltCurve_Q9UMY1_NOL7.pdf")</f>
        <v>Melting_Curves/meltCurve_Q9UMY1_NOL7.pdf</v>
      </c>
    </row>
    <row r="6700" spans="1:28" x14ac:dyDescent="0.25">
      <c r="A6700" t="s">
        <v>6704</v>
      </c>
      <c r="B6700">
        <v>0.99999676499088797</v>
      </c>
      <c r="C6700">
        <v>1.0978839965220299</v>
      </c>
      <c r="D6700">
        <v>0.98687485564191002</v>
      </c>
      <c r="E6700">
        <v>0.68631949827009597</v>
      </c>
      <c r="F6700">
        <v>0.266969834652313</v>
      </c>
      <c r="G6700">
        <v>0.193771129662828</v>
      </c>
      <c r="H6700">
        <v>9.8189798143441295E-2</v>
      </c>
      <c r="I6700">
        <v>0.127880048824592</v>
      </c>
      <c r="J6700">
        <v>0.15191753548702699</v>
      </c>
      <c r="K6700">
        <v>0.14734249758954501</v>
      </c>
      <c r="L6700">
        <v>1723.84491042225</v>
      </c>
      <c r="M6700">
        <v>34.162926956182098</v>
      </c>
      <c r="N6700">
        <v>50.946059091936696</v>
      </c>
      <c r="O6700">
        <v>50.287565326029799</v>
      </c>
      <c r="P6700">
        <v>-0.14619862478515</v>
      </c>
      <c r="Q6700">
        <v>0.139190387872694</v>
      </c>
      <c r="R6700">
        <v>0.99112903983626099</v>
      </c>
      <c r="S6700" t="s">
        <v>13703</v>
      </c>
      <c r="T6700" t="s">
        <v>14004</v>
      </c>
      <c r="U6700" t="s">
        <v>14004</v>
      </c>
      <c r="V6700" t="s">
        <v>14004</v>
      </c>
      <c r="W6700" t="s">
        <v>20643</v>
      </c>
      <c r="X6700">
        <v>10</v>
      </c>
      <c r="Y6700" t="s">
        <v>27424</v>
      </c>
      <c r="Z6700" t="s">
        <v>34410</v>
      </c>
      <c r="AA6700">
        <v>0.44344014024197947</v>
      </c>
      <c r="AB6700" t="str">
        <f>HYPERLINK("Melting_Curves/meltCurve_Q9UMY4_2_SNX12.pdf", "Melting_Curves/meltCurve_Q9UMY4_2_SNX12.pdf")</f>
        <v>Melting_Curves/meltCurve_Q9UMY4_2_SNX12.pdf</v>
      </c>
    </row>
    <row r="6701" spans="1:28" x14ac:dyDescent="0.25">
      <c r="A6701" t="s">
        <v>6705</v>
      </c>
      <c r="B6701">
        <v>0.99999676499088797</v>
      </c>
      <c r="C6701">
        <v>0.79678269578939698</v>
      </c>
      <c r="D6701">
        <v>1.2908945903634801</v>
      </c>
      <c r="E6701">
        <v>0.98938589209147798</v>
      </c>
      <c r="F6701">
        <v>0.369499434301514</v>
      </c>
      <c r="G6701">
        <v>0.530477671414602</v>
      </c>
      <c r="H6701">
        <v>0.20369735947790499</v>
      </c>
      <c r="I6701">
        <v>0.44226978198605699</v>
      </c>
      <c r="J6701">
        <v>0.78730743858847596</v>
      </c>
      <c r="K6701">
        <v>0.90014038503564797</v>
      </c>
      <c r="L6701">
        <v>12585.858395330801</v>
      </c>
      <c r="M6701">
        <v>250</v>
      </c>
      <c r="O6701">
        <v>50.340212209377498</v>
      </c>
      <c r="P6701">
        <v>-0.57248139263406495</v>
      </c>
      <c r="Q6701">
        <v>0.53889864639106</v>
      </c>
      <c r="R6701">
        <v>0.54106127488211797</v>
      </c>
      <c r="S6701" t="s">
        <v>13704</v>
      </c>
      <c r="T6701" t="s">
        <v>14004</v>
      </c>
      <c r="U6701" t="s">
        <v>14004</v>
      </c>
      <c r="V6701" t="s">
        <v>14004</v>
      </c>
      <c r="W6701" t="s">
        <v>20644</v>
      </c>
      <c r="X6701">
        <v>17</v>
      </c>
      <c r="Y6701" t="s">
        <v>27425</v>
      </c>
      <c r="Z6701" t="s">
        <v>34411</v>
      </c>
      <c r="AA6701">
        <v>0.69791842643504631</v>
      </c>
      <c r="AB6701" t="str">
        <f>HYPERLINK("Melting_Curves/meltCurve_Q9UMZ2_4_SYNRG.pdf", "Melting_Curves/meltCurve_Q9UMZ2_4_SYNRG.pdf")</f>
        <v>Melting_Curves/meltCurve_Q9UMZ2_4_SYNRG.pdf</v>
      </c>
    </row>
    <row r="6702" spans="1:28" x14ac:dyDescent="0.25">
      <c r="A6702" t="s">
        <v>6706</v>
      </c>
      <c r="B6702">
        <v>0.99999676499088797</v>
      </c>
      <c r="C6702">
        <v>0.88861432227482196</v>
      </c>
      <c r="D6702">
        <v>0.84633938997831204</v>
      </c>
      <c r="E6702">
        <v>0.670081777961817</v>
      </c>
      <c r="F6702">
        <v>0.45975386444502098</v>
      </c>
      <c r="G6702">
        <v>0.319069436851113</v>
      </c>
      <c r="H6702">
        <v>0.20504938313969201</v>
      </c>
      <c r="I6702">
        <v>0.219762462988811</v>
      </c>
      <c r="J6702">
        <v>0.23230654434697101</v>
      </c>
      <c r="K6702">
        <v>0.224907203849814</v>
      </c>
      <c r="L6702">
        <v>733.56955489040899</v>
      </c>
      <c r="M6702">
        <v>14.5128317021504</v>
      </c>
      <c r="N6702">
        <v>52.2467002732783</v>
      </c>
      <c r="O6702">
        <v>49.615649423351599</v>
      </c>
      <c r="P6702">
        <v>-5.93688133506843E-2</v>
      </c>
      <c r="Q6702">
        <v>0.18822634451525699</v>
      </c>
      <c r="R6702">
        <v>0.992114139598131</v>
      </c>
      <c r="S6702" t="s">
        <v>13705</v>
      </c>
      <c r="T6702" t="s">
        <v>14004</v>
      </c>
      <c r="U6702" t="s">
        <v>14004</v>
      </c>
      <c r="V6702" t="s">
        <v>14004</v>
      </c>
      <c r="W6702" t="s">
        <v>20645</v>
      </c>
      <c r="X6702">
        <v>16</v>
      </c>
      <c r="Y6702" t="s">
        <v>27425</v>
      </c>
      <c r="Z6702" t="s">
        <v>34412</v>
      </c>
      <c r="AA6702">
        <v>0.49371843491511902</v>
      </c>
      <c r="AB6702" t="str">
        <f>HYPERLINK("Melting_Curves/meltCurve_Q9UMZ2_5_SYNRG.pdf", "Melting_Curves/meltCurve_Q9UMZ2_5_SYNRG.pdf")</f>
        <v>Melting_Curves/meltCurve_Q9UMZ2_5_SYNRG.pdf</v>
      </c>
    </row>
    <row r="6703" spans="1:28" x14ac:dyDescent="0.25">
      <c r="A6703" t="s">
        <v>6707</v>
      </c>
      <c r="B6703">
        <v>0.99999676499088797</v>
      </c>
      <c r="C6703">
        <v>0.88186359816882898</v>
      </c>
      <c r="D6703">
        <v>0.94996710621686598</v>
      </c>
      <c r="E6703">
        <v>0.91007282260530398</v>
      </c>
      <c r="F6703">
        <v>0.684870534761024</v>
      </c>
      <c r="G6703">
        <v>0.30009513316977099</v>
      </c>
      <c r="H6703">
        <v>0.10747033281147</v>
      </c>
      <c r="I6703">
        <v>9.7708478729319204E-2</v>
      </c>
      <c r="J6703">
        <v>9.50401035684178E-2</v>
      </c>
      <c r="K6703">
        <v>8.5190148894466702E-2</v>
      </c>
      <c r="L6703">
        <v>1420.0632603117101</v>
      </c>
      <c r="M6703">
        <v>26.115419708147499</v>
      </c>
      <c r="N6703">
        <v>54.723526823887703</v>
      </c>
      <c r="O6703">
        <v>54.060616537288098</v>
      </c>
      <c r="P6703">
        <v>-0.111552437344525</v>
      </c>
      <c r="Q6703">
        <v>7.6327618424039095E-2</v>
      </c>
      <c r="R6703">
        <v>0.98857199535366702</v>
      </c>
      <c r="S6703" t="s">
        <v>13706</v>
      </c>
      <c r="T6703" t="s">
        <v>14004</v>
      </c>
      <c r="U6703" t="s">
        <v>14004</v>
      </c>
      <c r="V6703" t="s">
        <v>14004</v>
      </c>
      <c r="W6703" t="s">
        <v>20646</v>
      </c>
      <c r="X6703">
        <v>11</v>
      </c>
      <c r="Y6703" t="s">
        <v>27426</v>
      </c>
      <c r="Z6703" t="s">
        <v>34413</v>
      </c>
      <c r="AA6703">
        <v>0.52686651219819158</v>
      </c>
      <c r="AB6703" t="str">
        <f>HYPERLINK("Melting_Curves/meltCurve_Q9UN36_2_NDRG2.pdf", "Melting_Curves/meltCurve_Q9UN36_2_NDRG2.pdf")</f>
        <v>Melting_Curves/meltCurve_Q9UN36_2_NDRG2.pdf</v>
      </c>
    </row>
    <row r="6704" spans="1:28" x14ac:dyDescent="0.25">
      <c r="A6704" t="s">
        <v>6708</v>
      </c>
      <c r="B6704">
        <v>0.99999676499088797</v>
      </c>
      <c r="C6704">
        <v>0.96333296823673897</v>
      </c>
      <c r="D6704">
        <v>0.90870561313574205</v>
      </c>
      <c r="E6704">
        <v>0.60561902008165802</v>
      </c>
      <c r="F6704">
        <v>0.192155942939124</v>
      </c>
      <c r="G6704">
        <v>0.144001579596054</v>
      </c>
      <c r="H6704">
        <v>6.6469673998424406E-2</v>
      </c>
      <c r="I6704">
        <v>6.7016703996593999E-2</v>
      </c>
      <c r="J6704">
        <v>5.9944239947819798E-2</v>
      </c>
      <c r="K6704">
        <v>4.7870406339988097E-2</v>
      </c>
      <c r="L6704">
        <v>1330.2758775085799</v>
      </c>
      <c r="M6704">
        <v>26.570535799287001</v>
      </c>
      <c r="N6704">
        <v>50.317747124429999</v>
      </c>
      <c r="O6704">
        <v>49.784815154591399</v>
      </c>
      <c r="P6704">
        <v>-0.12511850072939101</v>
      </c>
      <c r="Q6704">
        <v>6.22792336245271E-2</v>
      </c>
      <c r="R6704">
        <v>0.99730087085627706</v>
      </c>
      <c r="S6704" t="s">
        <v>13707</v>
      </c>
      <c r="T6704" t="s">
        <v>14004</v>
      </c>
      <c r="U6704" t="s">
        <v>14004</v>
      </c>
      <c r="V6704" t="s">
        <v>14004</v>
      </c>
      <c r="W6704" t="s">
        <v>20647</v>
      </c>
      <c r="X6704">
        <v>23</v>
      </c>
      <c r="Y6704" t="s">
        <v>27427</v>
      </c>
      <c r="Z6704" t="s">
        <v>34414</v>
      </c>
      <c r="AA6704">
        <v>0.38432965373267353</v>
      </c>
      <c r="AB6704" t="str">
        <f>HYPERLINK("Melting_Curves/meltCurve_Q9UN37_VPS4A.pdf", "Melting_Curves/meltCurve_Q9UN37_VPS4A.pdf")</f>
        <v>Melting_Curves/meltCurve_Q9UN37_VPS4A.pdf</v>
      </c>
    </row>
    <row r="6705" spans="1:28" x14ac:dyDescent="0.25">
      <c r="A6705" t="s">
        <v>6709</v>
      </c>
      <c r="B6705">
        <v>0.99999676499088797</v>
      </c>
      <c r="C6705">
        <v>0.88820961450319003</v>
      </c>
      <c r="D6705">
        <v>0.86805404262289898</v>
      </c>
      <c r="E6705">
        <v>0.83083693597980901</v>
      </c>
      <c r="F6705">
        <v>0.35849203309396299</v>
      </c>
      <c r="G6705">
        <v>0.22163252488445501</v>
      </c>
      <c r="H6705">
        <v>0.119316933128589</v>
      </c>
      <c r="I6705">
        <v>0.104764266184437</v>
      </c>
      <c r="J6705">
        <v>9.3605448287495799E-2</v>
      </c>
      <c r="K6705">
        <v>9.6837901224712905E-2</v>
      </c>
      <c r="L6705">
        <v>1208.6682047327499</v>
      </c>
      <c r="M6705">
        <v>23.348129397392</v>
      </c>
      <c r="N6705">
        <v>52.2311644654867</v>
      </c>
      <c r="O6705">
        <v>51.391971430310797</v>
      </c>
      <c r="P6705">
        <v>-0.102944084417293</v>
      </c>
      <c r="Q6705">
        <v>9.3647965933277996E-2</v>
      </c>
      <c r="R6705">
        <v>0.98035351787693903</v>
      </c>
      <c r="S6705" t="s">
        <v>13708</v>
      </c>
      <c r="T6705" t="s">
        <v>14004</v>
      </c>
      <c r="U6705" t="s">
        <v>14004</v>
      </c>
      <c r="V6705" t="s">
        <v>14004</v>
      </c>
      <c r="W6705" t="s">
        <v>20648</v>
      </c>
      <c r="X6705">
        <v>16</v>
      </c>
      <c r="Y6705" t="s">
        <v>27428</v>
      </c>
      <c r="Z6705" t="s">
        <v>34415</v>
      </c>
      <c r="AA6705">
        <v>0.45856948587630958</v>
      </c>
      <c r="AB6705" t="str">
        <f>HYPERLINK("Melting_Curves/meltCurve_Q9UN86_2_G3BP2.pdf", "Melting_Curves/meltCurve_Q9UN86_2_G3BP2.pdf")</f>
        <v>Melting_Curves/meltCurve_Q9UN86_2_G3BP2.pdf</v>
      </c>
    </row>
    <row r="6706" spans="1:28" x14ac:dyDescent="0.25">
      <c r="A6706" t="s">
        <v>6710</v>
      </c>
      <c r="B6706">
        <v>0.99999676499088797</v>
      </c>
      <c r="C6706">
        <v>0.946695004695708</v>
      </c>
      <c r="D6706">
        <v>0.54528022227821304</v>
      </c>
      <c r="E6706">
        <v>0.250897441804176</v>
      </c>
      <c r="F6706">
        <v>0.15777997658755999</v>
      </c>
      <c r="G6706">
        <v>0.11181802042649901</v>
      </c>
      <c r="H6706">
        <v>5.8033018905264903E-2</v>
      </c>
      <c r="I6706">
        <v>5.4120829030165699E-2</v>
      </c>
      <c r="J6706">
        <v>5.3664841216991298E-2</v>
      </c>
      <c r="K6706">
        <v>5.4509401401663299E-2</v>
      </c>
      <c r="L6706">
        <v>1134.89129187099</v>
      </c>
      <c r="M6706">
        <v>24.442804900053101</v>
      </c>
      <c r="N6706">
        <v>46.729952325044501</v>
      </c>
      <c r="O6706">
        <v>46.123052646120797</v>
      </c>
      <c r="P6706">
        <v>-0.12288438303768701</v>
      </c>
      <c r="Q6706">
        <v>7.2492777645596598E-2</v>
      </c>
      <c r="R6706">
        <v>0.99207104508049204</v>
      </c>
      <c r="S6706" t="s">
        <v>13709</v>
      </c>
      <c r="T6706" t="s">
        <v>14004</v>
      </c>
      <c r="U6706" t="s">
        <v>14004</v>
      </c>
      <c r="V6706" t="s">
        <v>14004</v>
      </c>
      <c r="W6706" t="s">
        <v>20649</v>
      </c>
      <c r="X6706">
        <v>4</v>
      </c>
      <c r="Y6706" t="s">
        <v>27429</v>
      </c>
      <c r="Z6706" t="s">
        <v>34416</v>
      </c>
      <c r="AA6706">
        <v>0.28015425465131683</v>
      </c>
      <c r="AB6706" t="str">
        <f>HYPERLINK("Melting_Curves/meltCurve_Q9UNA1_2_ARHGAP26.pdf", "Melting_Curves/meltCurve_Q9UNA1_2_ARHGAP26.pdf")</f>
        <v>Melting_Curves/meltCurve_Q9UNA1_2_ARHGAP26.pdf</v>
      </c>
    </row>
    <row r="6707" spans="1:28" x14ac:dyDescent="0.25">
      <c r="A6707" t="s">
        <v>6711</v>
      </c>
      <c r="B6707">
        <v>0.99999676499088797</v>
      </c>
      <c r="C6707">
        <v>0.95370881931571405</v>
      </c>
      <c r="D6707">
        <v>0.62829972550631097</v>
      </c>
      <c r="E6707">
        <v>0.40707255930508501</v>
      </c>
      <c r="F6707">
        <v>0.23128798396502301</v>
      </c>
      <c r="G6707">
        <v>0.12096814556024001</v>
      </c>
      <c r="H6707">
        <v>5.5686208326561001E-2</v>
      </c>
      <c r="I6707">
        <v>4.7242393145406798E-2</v>
      </c>
      <c r="J6707">
        <v>4.5776940998745699E-2</v>
      </c>
      <c r="K6707">
        <v>4.7614087256558899E-2</v>
      </c>
      <c r="L6707">
        <v>801.92240642182298</v>
      </c>
      <c r="M6707">
        <v>16.684748299484301</v>
      </c>
      <c r="N6707">
        <v>48.317444067662002</v>
      </c>
      <c r="O6707">
        <v>47.388688519850199</v>
      </c>
      <c r="P6707">
        <v>-8.4327023266858397E-2</v>
      </c>
      <c r="Q6707">
        <v>4.2027870081430801E-2</v>
      </c>
      <c r="R6707">
        <v>0.99151116723926502</v>
      </c>
      <c r="S6707" t="s">
        <v>13710</v>
      </c>
      <c r="T6707" t="s">
        <v>14004</v>
      </c>
      <c r="U6707" t="s">
        <v>14004</v>
      </c>
      <c r="V6707" t="s">
        <v>14004</v>
      </c>
      <c r="W6707" t="s">
        <v>20650</v>
      </c>
      <c r="X6707">
        <v>10</v>
      </c>
      <c r="Y6707" t="s">
        <v>27430</v>
      </c>
      <c r="Z6707" t="s">
        <v>34417</v>
      </c>
      <c r="AA6707">
        <v>0.31934761900000858</v>
      </c>
      <c r="AB6707" t="str">
        <f>HYPERLINK("Melting_Curves/meltCurve_Q9UNE7_STUB1.pdf", "Melting_Curves/meltCurve_Q9UNE7_STUB1.pdf")</f>
        <v>Melting_Curves/meltCurve_Q9UNE7_STUB1.pdf</v>
      </c>
    </row>
    <row r="6708" spans="1:28" x14ac:dyDescent="0.25">
      <c r="A6708" t="s">
        <v>6712</v>
      </c>
      <c r="B6708">
        <v>0.99999676499088797</v>
      </c>
      <c r="C6708">
        <v>1.16420066918084</v>
      </c>
      <c r="D6708">
        <v>1.04453246673412</v>
      </c>
      <c r="E6708">
        <v>0.234396554224758</v>
      </c>
      <c r="F6708">
        <v>0.10833501546638</v>
      </c>
      <c r="G6708">
        <v>0.11087322306908599</v>
      </c>
      <c r="H6708">
        <v>6.3872685278754296E-2</v>
      </c>
      <c r="I6708">
        <v>7.3313505477910906E-2</v>
      </c>
      <c r="J6708">
        <v>8.5116020997227301E-2</v>
      </c>
      <c r="K6708">
        <v>5.1426713857654099E-2</v>
      </c>
      <c r="L6708">
        <v>12319.8858979215</v>
      </c>
      <c r="M6708">
        <v>250</v>
      </c>
      <c r="N6708">
        <v>49.314955616207499</v>
      </c>
      <c r="O6708">
        <v>49.276390040528703</v>
      </c>
      <c r="P6708">
        <v>-1.1641526108932101</v>
      </c>
      <c r="Q6708">
        <v>8.2156191376494006E-2</v>
      </c>
      <c r="R6708">
        <v>0.98405353289529696</v>
      </c>
      <c r="S6708" t="s">
        <v>13711</v>
      </c>
      <c r="T6708" t="s">
        <v>14004</v>
      </c>
      <c r="U6708" t="s">
        <v>14004</v>
      </c>
      <c r="V6708" t="s">
        <v>14004</v>
      </c>
      <c r="W6708" t="s">
        <v>20651</v>
      </c>
      <c r="X6708">
        <v>26</v>
      </c>
      <c r="Y6708" t="s">
        <v>27431</v>
      </c>
      <c r="Z6708" t="s">
        <v>34418</v>
      </c>
      <c r="AA6708">
        <v>0.36614129202682172</v>
      </c>
      <c r="AB6708" t="str">
        <f>HYPERLINK("Melting_Curves/meltCurve_Q9UNF0_PACSIN2.pdf", "Melting_Curves/meltCurve_Q9UNF0_PACSIN2.pdf")</f>
        <v>Melting_Curves/meltCurve_Q9UNF0_PACSIN2.pdf</v>
      </c>
    </row>
    <row r="6709" spans="1:28" x14ac:dyDescent="0.25">
      <c r="A6709" t="s">
        <v>6713</v>
      </c>
      <c r="B6709">
        <v>0.99999676499088797</v>
      </c>
      <c r="C6709">
        <v>0.965522357376141</v>
      </c>
      <c r="D6709">
        <v>0.97532365822502898</v>
      </c>
      <c r="E6709">
        <v>0.455101820866957</v>
      </c>
      <c r="F6709">
        <v>0.270720875720663</v>
      </c>
      <c r="G6709">
        <v>0.189996491069578</v>
      </c>
      <c r="H6709">
        <v>0.103923528003286</v>
      </c>
      <c r="I6709">
        <v>0.10364067353931899</v>
      </c>
      <c r="J6709">
        <v>0.103988715418584</v>
      </c>
      <c r="K6709">
        <v>9.5483329571639505E-2</v>
      </c>
      <c r="L6709">
        <v>1515.60144035295</v>
      </c>
      <c r="M6709">
        <v>30.814287963576199</v>
      </c>
      <c r="N6709">
        <v>49.644138171141698</v>
      </c>
      <c r="O6709">
        <v>48.9792660087369</v>
      </c>
      <c r="P6709">
        <v>-0.13778222954230299</v>
      </c>
      <c r="Q6709">
        <v>0.123986515517712</v>
      </c>
      <c r="R6709">
        <v>0.98773803432268004</v>
      </c>
      <c r="S6709" t="s">
        <v>13712</v>
      </c>
      <c r="T6709" t="s">
        <v>14004</v>
      </c>
      <c r="U6709" t="s">
        <v>14004</v>
      </c>
      <c r="V6709" t="s">
        <v>14004</v>
      </c>
      <c r="W6709" t="s">
        <v>20652</v>
      </c>
      <c r="X6709">
        <v>25</v>
      </c>
      <c r="Y6709" t="s">
        <v>27431</v>
      </c>
      <c r="Z6709" t="s">
        <v>34419</v>
      </c>
      <c r="AA6709">
        <v>0.39725823383214132</v>
      </c>
      <c r="AB6709" t="str">
        <f>HYPERLINK("Melting_Curves/meltCurve_Q9UNF0_2_PACSIN2.pdf", "Melting_Curves/meltCurve_Q9UNF0_2_PACSIN2.pdf")</f>
        <v>Melting_Curves/meltCurve_Q9UNF0_2_PACSIN2.pdf</v>
      </c>
    </row>
    <row r="6710" spans="1:28" x14ac:dyDescent="0.25">
      <c r="A6710" t="s">
        <v>6714</v>
      </c>
      <c r="B6710">
        <v>0.99999676499088797</v>
      </c>
      <c r="C6710">
        <v>0.63378548333896401</v>
      </c>
      <c r="D6710">
        <v>0.38458176506610298</v>
      </c>
      <c r="E6710">
        <v>0.241993871353896</v>
      </c>
      <c r="F6710">
        <v>0.16957632189164201</v>
      </c>
      <c r="G6710">
        <v>0.138683202203748</v>
      </c>
      <c r="H6710">
        <v>4.2175809289092703E-2</v>
      </c>
      <c r="I6710">
        <v>7.7268809329387997E-2</v>
      </c>
      <c r="J6710">
        <v>6.7036059072568502E-2</v>
      </c>
      <c r="K6710">
        <v>6.9084231964690795E-2</v>
      </c>
      <c r="L6710">
        <v>829.78369801297197</v>
      </c>
      <c r="M6710">
        <v>18.670819188091201</v>
      </c>
      <c r="N6710">
        <v>44.8918880149782</v>
      </c>
      <c r="O6710">
        <v>43.942409214079802</v>
      </c>
      <c r="P6710">
        <v>-9.7178571879174794E-2</v>
      </c>
      <c r="Q6710">
        <v>8.5187031017647505E-2</v>
      </c>
      <c r="R6710">
        <v>0.97448439133511999</v>
      </c>
      <c r="S6710" t="s">
        <v>13713</v>
      </c>
      <c r="T6710" t="s">
        <v>14004</v>
      </c>
      <c r="U6710" t="s">
        <v>14004</v>
      </c>
      <c r="V6710" t="s">
        <v>14004</v>
      </c>
      <c r="W6710" t="s">
        <v>20653</v>
      </c>
      <c r="X6710">
        <v>6</v>
      </c>
      <c r="Y6710" t="s">
        <v>27432</v>
      </c>
      <c r="Z6710" t="s">
        <v>34420</v>
      </c>
      <c r="AA6710">
        <v>0.2401302223448164</v>
      </c>
      <c r="AB6710" t="str">
        <f>HYPERLINK("Melting_Curves/meltCurve_Q9UNF1_MAGED2.pdf", "Melting_Curves/meltCurve_Q9UNF1_MAGED2.pdf")</f>
        <v>Melting_Curves/meltCurve_Q9UNF1_MAGED2.pdf</v>
      </c>
    </row>
    <row r="6711" spans="1:28" x14ac:dyDescent="0.25">
      <c r="A6711" t="s">
        <v>6715</v>
      </c>
      <c r="B6711">
        <v>0.99999676499088797</v>
      </c>
      <c r="C6711">
        <v>0.92966598964515101</v>
      </c>
      <c r="D6711">
        <v>0.85541688422912798</v>
      </c>
      <c r="E6711">
        <v>0.553746573010788</v>
      </c>
      <c r="F6711">
        <v>0.17819485042019501</v>
      </c>
      <c r="G6711">
        <v>0.12522737978667101</v>
      </c>
      <c r="H6711">
        <v>6.1548998101855802E-2</v>
      </c>
      <c r="I6711">
        <v>5.69286931253725E-2</v>
      </c>
      <c r="J6711">
        <v>5.3483006519135699E-2</v>
      </c>
      <c r="K6711">
        <v>5.6571216773545499E-2</v>
      </c>
      <c r="L6711">
        <v>1129.55669895043</v>
      </c>
      <c r="M6711">
        <v>22.772230695948199</v>
      </c>
      <c r="N6711">
        <v>49.839776240095503</v>
      </c>
      <c r="O6711">
        <v>49.224615195952801</v>
      </c>
      <c r="P6711">
        <v>-0.109712456778745</v>
      </c>
      <c r="Q6711">
        <v>5.1397575950527401E-2</v>
      </c>
      <c r="R6711">
        <v>0.996559716205492</v>
      </c>
      <c r="S6711" t="s">
        <v>13714</v>
      </c>
      <c r="T6711" t="s">
        <v>14004</v>
      </c>
      <c r="U6711" t="s">
        <v>14004</v>
      </c>
      <c r="V6711" t="s">
        <v>14004</v>
      </c>
      <c r="W6711" t="s">
        <v>20654</v>
      </c>
      <c r="X6711">
        <v>28</v>
      </c>
      <c r="Y6711" t="s">
        <v>27433</v>
      </c>
      <c r="Z6711" t="s">
        <v>34421</v>
      </c>
      <c r="AA6711">
        <v>0.36522762737148268</v>
      </c>
      <c r="AB6711" t="str">
        <f>HYPERLINK("Melting_Curves/meltCurve_Q9UNH7_SNX6.pdf", "Melting_Curves/meltCurve_Q9UNH7_SNX6.pdf")</f>
        <v>Melting_Curves/meltCurve_Q9UNH7_SNX6.pdf</v>
      </c>
    </row>
    <row r="6712" spans="1:28" x14ac:dyDescent="0.25">
      <c r="A6712" t="s">
        <v>6716</v>
      </c>
      <c r="B6712">
        <v>0.99999676499088797</v>
      </c>
      <c r="C6712">
        <v>0.928293292927173</v>
      </c>
      <c r="D6712">
        <v>0.85276842216698301</v>
      </c>
      <c r="E6712">
        <v>0.78432230222684596</v>
      </c>
      <c r="F6712">
        <v>0.47779999231994802</v>
      </c>
      <c r="G6712">
        <v>0.26197891710701798</v>
      </c>
      <c r="H6712">
        <v>0.100068071823513</v>
      </c>
      <c r="I6712">
        <v>8.4332963017955898E-2</v>
      </c>
      <c r="J6712">
        <v>8.8312356804678804E-2</v>
      </c>
      <c r="K6712">
        <v>5.9463414137077203E-2</v>
      </c>
      <c r="L6712">
        <v>828.63082954404899</v>
      </c>
      <c r="M6712">
        <v>15.7288145588488</v>
      </c>
      <c r="N6712">
        <v>52.8999752439045</v>
      </c>
      <c r="O6712">
        <v>51.8528177225473</v>
      </c>
      <c r="P6712">
        <v>-7.3464126603795796E-2</v>
      </c>
      <c r="Q6712">
        <v>3.13313343155497E-2</v>
      </c>
      <c r="R6712">
        <v>0.99276819869086397</v>
      </c>
      <c r="S6712" t="s">
        <v>13715</v>
      </c>
      <c r="T6712" t="s">
        <v>14004</v>
      </c>
      <c r="U6712" t="s">
        <v>14004</v>
      </c>
      <c r="V6712" t="s">
        <v>14004</v>
      </c>
      <c r="W6712" t="s">
        <v>20655</v>
      </c>
      <c r="X6712">
        <v>5</v>
      </c>
      <c r="Y6712" t="s">
        <v>27434</v>
      </c>
      <c r="Z6712" t="s">
        <v>34422</v>
      </c>
      <c r="AA6712">
        <v>0.46053048307825772</v>
      </c>
      <c r="AB6712" t="str">
        <f>HYPERLINK("Melting_Curves/meltCurve_Q9UNI6_DUSP12.pdf", "Melting_Curves/meltCurve_Q9UNI6_DUSP12.pdf")</f>
        <v>Melting_Curves/meltCurve_Q9UNI6_DUSP12.pdf</v>
      </c>
    </row>
    <row r="6713" spans="1:28" x14ac:dyDescent="0.25">
      <c r="A6713" t="s">
        <v>6717</v>
      </c>
      <c r="B6713">
        <v>0.99999676499088797</v>
      </c>
      <c r="C6713">
        <v>1.0622328853327101</v>
      </c>
      <c r="D6713">
        <v>1.13886927602961</v>
      </c>
      <c r="E6713">
        <v>0.96653966921580303</v>
      </c>
      <c r="F6713">
        <v>1.02075866109459</v>
      </c>
      <c r="G6713">
        <v>0.77395480250473503</v>
      </c>
      <c r="H6713">
        <v>0.54459403888926305</v>
      </c>
      <c r="I6713">
        <v>0.45523167906982198</v>
      </c>
      <c r="J6713">
        <v>0.39426387882047398</v>
      </c>
      <c r="K6713">
        <v>0.453926206549502</v>
      </c>
      <c r="L6713">
        <v>1911.7159255086301</v>
      </c>
      <c r="M6713">
        <v>33.060736326140997</v>
      </c>
      <c r="N6713">
        <v>61.440555476763002</v>
      </c>
      <c r="O6713">
        <v>57.614031565795599</v>
      </c>
      <c r="P6713">
        <v>-8.1976894909772599E-2</v>
      </c>
      <c r="Q6713">
        <v>0.428567094492107</v>
      </c>
      <c r="R6713">
        <v>0.96085975287285996</v>
      </c>
      <c r="S6713" t="s">
        <v>13716</v>
      </c>
      <c r="T6713" t="s">
        <v>14004</v>
      </c>
      <c r="U6713" t="s">
        <v>14004</v>
      </c>
      <c r="V6713" t="s">
        <v>14004</v>
      </c>
      <c r="W6713" t="s">
        <v>20656</v>
      </c>
      <c r="X6713">
        <v>11</v>
      </c>
      <c r="Y6713" t="s">
        <v>27435</v>
      </c>
      <c r="Z6713" t="s">
        <v>34423</v>
      </c>
      <c r="AA6713">
        <v>0.77127175668457759</v>
      </c>
      <c r="AB6713" t="str">
        <f>HYPERLINK("Melting_Curves/meltCurve_Q9UNK0_STX8.pdf", "Melting_Curves/meltCurve_Q9UNK0_STX8.pdf")</f>
        <v>Melting_Curves/meltCurve_Q9UNK0_STX8.pdf</v>
      </c>
    </row>
    <row r="6714" spans="1:28" x14ac:dyDescent="0.25">
      <c r="A6714" t="s">
        <v>6718</v>
      </c>
      <c r="B6714">
        <v>0.99999676499088797</v>
      </c>
      <c r="C6714">
        <v>1.0372388461716699</v>
      </c>
      <c r="D6714">
        <v>0.99206678148801497</v>
      </c>
      <c r="E6714">
        <v>0.610766966551755</v>
      </c>
      <c r="F6714">
        <v>0.447115260853022</v>
      </c>
      <c r="G6714">
        <v>0.306704403291155</v>
      </c>
      <c r="H6714">
        <v>0.150550586235005</v>
      </c>
      <c r="I6714">
        <v>0.17755117947084001</v>
      </c>
      <c r="J6714">
        <v>0.228267835722956</v>
      </c>
      <c r="K6714">
        <v>0.19959094442972999</v>
      </c>
      <c r="L6714">
        <v>1095.9059208860999</v>
      </c>
      <c r="M6714">
        <v>21.643303807398102</v>
      </c>
      <c r="N6714">
        <v>51.804232004518802</v>
      </c>
      <c r="O6714">
        <v>50.208549581091198</v>
      </c>
      <c r="P6714">
        <v>-8.6944040556066998E-2</v>
      </c>
      <c r="Q6714">
        <v>0.193241431731102</v>
      </c>
      <c r="R6714">
        <v>0.98082519271986002</v>
      </c>
      <c r="S6714" t="s">
        <v>13717</v>
      </c>
      <c r="T6714" t="s">
        <v>14004</v>
      </c>
      <c r="U6714" t="s">
        <v>14004</v>
      </c>
      <c r="V6714" t="s">
        <v>14004</v>
      </c>
      <c r="W6714" t="s">
        <v>20657</v>
      </c>
      <c r="X6714">
        <v>2</v>
      </c>
      <c r="Y6714" t="s">
        <v>27436</v>
      </c>
      <c r="Z6714" t="s">
        <v>34424</v>
      </c>
      <c r="AA6714">
        <v>0.48886665430309179</v>
      </c>
      <c r="AB6714" t="str">
        <f>HYPERLINK("Melting_Curves/meltCurve_Q9UNL4_3_ING4.pdf", "Melting_Curves/meltCurve_Q9UNL4_3_ING4.pdf")</f>
        <v>Melting_Curves/meltCurve_Q9UNL4_3_ING4.pdf</v>
      </c>
    </row>
    <row r="6715" spans="1:28" x14ac:dyDescent="0.25">
      <c r="A6715" t="s">
        <v>6719</v>
      </c>
      <c r="B6715">
        <v>0.99999676499088797</v>
      </c>
      <c r="C6715">
        <v>0.99488586718985705</v>
      </c>
      <c r="D6715">
        <v>1.0270344755524501</v>
      </c>
      <c r="E6715">
        <v>0.98573275116654002</v>
      </c>
      <c r="F6715">
        <v>0.97425286655496102</v>
      </c>
      <c r="G6715">
        <v>0.36038827074053598</v>
      </c>
      <c r="H6715">
        <v>0.103790015598934</v>
      </c>
      <c r="I6715">
        <v>8.2160736213758995E-2</v>
      </c>
      <c r="J6715">
        <v>7.3942933966667596E-2</v>
      </c>
      <c r="K6715">
        <v>6.5578954830008696E-2</v>
      </c>
      <c r="L6715">
        <v>3530.8691491721002</v>
      </c>
      <c r="M6715">
        <v>62.979347835139301</v>
      </c>
      <c r="N6715">
        <v>56.218203041037398</v>
      </c>
      <c r="O6715">
        <v>56.007454897960599</v>
      </c>
      <c r="P6715">
        <v>-0.25880946992665899</v>
      </c>
      <c r="Q6715">
        <v>7.9364211128283804E-2</v>
      </c>
      <c r="R6715">
        <v>0.99920911195701101</v>
      </c>
      <c r="S6715" t="s">
        <v>13718</v>
      </c>
      <c r="T6715" t="s">
        <v>14004</v>
      </c>
      <c r="U6715" t="s">
        <v>14004</v>
      </c>
      <c r="V6715" t="s">
        <v>14004</v>
      </c>
      <c r="W6715" t="s">
        <v>20658</v>
      </c>
      <c r="X6715">
        <v>23</v>
      </c>
      <c r="Y6715" t="s">
        <v>27437</v>
      </c>
      <c r="Z6715" t="s">
        <v>34425</v>
      </c>
      <c r="AA6715">
        <v>0.57376342693278803</v>
      </c>
      <c r="AB6715" t="str">
        <f>HYPERLINK("Melting_Curves/meltCurve_Q9UNM6_PSMD13.pdf", "Melting_Curves/meltCurve_Q9UNM6_PSMD13.pdf")</f>
        <v>Melting_Curves/meltCurve_Q9UNM6_PSMD13.pdf</v>
      </c>
    </row>
    <row r="6716" spans="1:28" x14ac:dyDescent="0.25">
      <c r="A6716" t="s">
        <v>6720</v>
      </c>
      <c r="B6716">
        <v>0.99999676499088797</v>
      </c>
      <c r="C6716">
        <v>0.99155420869099797</v>
      </c>
      <c r="D6716">
        <v>0.99124356011778503</v>
      </c>
      <c r="E6716">
        <v>0.94700397608499398</v>
      </c>
      <c r="F6716">
        <v>0.50525814507773903</v>
      </c>
      <c r="G6716">
        <v>0.21781398348068901</v>
      </c>
      <c r="H6716">
        <v>0.100015244883615</v>
      </c>
      <c r="I6716">
        <v>8.7698050662597102E-2</v>
      </c>
      <c r="J6716">
        <v>7.6502644647854806E-2</v>
      </c>
      <c r="K6716">
        <v>7.8454576956256503E-2</v>
      </c>
      <c r="L6716">
        <v>1712.1689252339099</v>
      </c>
      <c r="M6716">
        <v>32.245464491573102</v>
      </c>
      <c r="N6716">
        <v>53.408939034157903</v>
      </c>
      <c r="O6716">
        <v>52.895004709921501</v>
      </c>
      <c r="P6716">
        <v>-0.139360266295188</v>
      </c>
      <c r="Q6716">
        <v>8.5585946807804403E-2</v>
      </c>
      <c r="R6716">
        <v>0.99829996668072296</v>
      </c>
      <c r="S6716" t="s">
        <v>13719</v>
      </c>
      <c r="T6716" t="s">
        <v>14004</v>
      </c>
      <c r="U6716" t="s">
        <v>14004</v>
      </c>
      <c r="V6716" t="s">
        <v>14004</v>
      </c>
      <c r="W6716" t="s">
        <v>20659</v>
      </c>
      <c r="X6716">
        <v>36</v>
      </c>
      <c r="Y6716" t="s">
        <v>27438</v>
      </c>
      <c r="Z6716" t="s">
        <v>34426</v>
      </c>
      <c r="AA6716">
        <v>0.48997052960909337</v>
      </c>
      <c r="AB6716" t="str">
        <f>HYPERLINK("Melting_Curves/meltCurve_Q9UNN5_FAF1.pdf", "Melting_Curves/meltCurve_Q9UNN5_FAF1.pdf")</f>
        <v>Melting_Curves/meltCurve_Q9UNN5_FAF1.pdf</v>
      </c>
    </row>
    <row r="6717" spans="1:28" x14ac:dyDescent="0.25">
      <c r="A6717" t="s">
        <v>6721</v>
      </c>
      <c r="B6717">
        <v>0.99999676499088797</v>
      </c>
      <c r="C6717">
        <v>1.15246236668834</v>
      </c>
      <c r="D6717">
        <v>0.76547055330032199</v>
      </c>
      <c r="E6717">
        <v>0.80218005918191404</v>
      </c>
      <c r="F6717">
        <v>0.63386028897707603</v>
      </c>
      <c r="G6717">
        <v>0</v>
      </c>
      <c r="H6717">
        <v>0</v>
      </c>
      <c r="I6717">
        <v>0.248212655258295</v>
      </c>
      <c r="J6717">
        <v>0</v>
      </c>
      <c r="K6717">
        <v>0</v>
      </c>
      <c r="L6717">
        <v>13324.858160124501</v>
      </c>
      <c r="M6717">
        <v>250</v>
      </c>
      <c r="N6717">
        <v>53.321735449536</v>
      </c>
      <c r="O6717">
        <v>53.296021831938901</v>
      </c>
      <c r="P6717">
        <v>-1.1144798786461101</v>
      </c>
      <c r="Q6717">
        <v>4.96424980452526E-2</v>
      </c>
      <c r="R6717">
        <v>0.912416778091373</v>
      </c>
      <c r="S6717" t="s">
        <v>13720</v>
      </c>
      <c r="T6717" t="s">
        <v>14004</v>
      </c>
      <c r="U6717" t="s">
        <v>14004</v>
      </c>
      <c r="V6717" t="s">
        <v>14004</v>
      </c>
      <c r="W6717" t="s">
        <v>20660</v>
      </c>
      <c r="X6717">
        <v>1</v>
      </c>
      <c r="Y6717" t="s">
        <v>27439</v>
      </c>
      <c r="Z6717" t="s">
        <v>34427</v>
      </c>
      <c r="AA6717">
        <v>0.47103858023152972</v>
      </c>
      <c r="AB6717" t="str">
        <f>HYPERLINK("Melting_Curves/meltCurve_Q9UNN8_PROCR.pdf", "Melting_Curves/meltCurve_Q9UNN8_PROCR.pdf")</f>
        <v>Melting_Curves/meltCurve_Q9UNN8_PROCR.pdf</v>
      </c>
    </row>
    <row r="6718" spans="1:28" x14ac:dyDescent="0.25">
      <c r="A6718" t="s">
        <v>6722</v>
      </c>
      <c r="B6718">
        <v>0.99999676499088797</v>
      </c>
      <c r="C6718">
        <v>0.901370926332978</v>
      </c>
      <c r="D6718">
        <v>0.71981740371931702</v>
      </c>
      <c r="E6718">
        <v>0.54455898451991303</v>
      </c>
      <c r="F6718">
        <v>0.57761414493358298</v>
      </c>
      <c r="G6718">
        <v>0.37258078897881902</v>
      </c>
      <c r="H6718">
        <v>0.167403072937479</v>
      </c>
      <c r="I6718">
        <v>0.183770095807409</v>
      </c>
      <c r="J6718">
        <v>0.19915218239480301</v>
      </c>
      <c r="K6718">
        <v>0.231874463988232</v>
      </c>
      <c r="L6718">
        <v>515.80704804433901</v>
      </c>
      <c r="M6718">
        <v>10.186248758232001</v>
      </c>
      <c r="N6718">
        <v>52.153532971060798</v>
      </c>
      <c r="O6718">
        <v>48.802296226989803</v>
      </c>
      <c r="P6718">
        <v>-4.5515454857159E-2</v>
      </c>
      <c r="Q6718">
        <v>0.12813736761738101</v>
      </c>
      <c r="R6718">
        <v>0.955030078311499</v>
      </c>
      <c r="S6718" t="s">
        <v>13721</v>
      </c>
      <c r="T6718" t="s">
        <v>14004</v>
      </c>
      <c r="U6718" t="s">
        <v>14004</v>
      </c>
      <c r="V6718" t="s">
        <v>14004</v>
      </c>
      <c r="W6718" t="s">
        <v>20661</v>
      </c>
      <c r="X6718">
        <v>9</v>
      </c>
      <c r="Y6718" t="s">
        <v>27440</v>
      </c>
      <c r="Z6718" t="s">
        <v>34428</v>
      </c>
      <c r="AA6718">
        <v>0.47380379828268959</v>
      </c>
      <c r="AB6718" t="str">
        <f>HYPERLINK("Melting_Curves/meltCurve_Q9UNP9_PPIE.pdf", "Melting_Curves/meltCurve_Q9UNP9_PPIE.pdf")</f>
        <v>Melting_Curves/meltCurve_Q9UNP9_PPIE.pdf</v>
      </c>
    </row>
    <row r="6719" spans="1:28" x14ac:dyDescent="0.25">
      <c r="A6719" t="s">
        <v>6723</v>
      </c>
      <c r="B6719">
        <v>0.99999676499088797</v>
      </c>
      <c r="C6719">
        <v>0.97216577255092895</v>
      </c>
      <c r="D6719">
        <v>0.949750810355804</v>
      </c>
      <c r="E6719">
        <v>0.76272559708662202</v>
      </c>
      <c r="F6719">
        <v>0.43927307495034701</v>
      </c>
      <c r="G6719">
        <v>0.22845949485384701</v>
      </c>
      <c r="H6719">
        <v>5.8567001159984297E-2</v>
      </c>
      <c r="I6719">
        <v>6.8884724647112802E-2</v>
      </c>
      <c r="J6719">
        <v>3.6949742739229102E-2</v>
      </c>
      <c r="K6719">
        <v>3.5851378830073402E-2</v>
      </c>
      <c r="L6719">
        <v>1019.4485265309399</v>
      </c>
      <c r="M6719">
        <v>19.4249049712135</v>
      </c>
      <c r="N6719">
        <v>52.62168036648</v>
      </c>
      <c r="O6719">
        <v>51.934820299974703</v>
      </c>
      <c r="P6719">
        <v>-9.1152082606612797E-2</v>
      </c>
      <c r="Q6719">
        <v>2.5211705356037801E-2</v>
      </c>
      <c r="R6719">
        <v>0.99871456384099699</v>
      </c>
      <c r="S6719" t="s">
        <v>13722</v>
      </c>
      <c r="T6719" t="s">
        <v>14004</v>
      </c>
      <c r="U6719" t="s">
        <v>14004</v>
      </c>
      <c r="V6719" t="s">
        <v>14004</v>
      </c>
      <c r="W6719" t="s">
        <v>20662</v>
      </c>
      <c r="X6719">
        <v>4</v>
      </c>
      <c r="Y6719" t="s">
        <v>27441</v>
      </c>
      <c r="Z6719" t="s">
        <v>34429</v>
      </c>
      <c r="AA6719">
        <v>0.44493090663331458</v>
      </c>
      <c r="AB6719" t="str">
        <f>HYPERLINK("Melting_Curves/meltCurve_Q9UNQ2_DIMT1.pdf", "Melting_Curves/meltCurve_Q9UNQ2_DIMT1.pdf")</f>
        <v>Melting_Curves/meltCurve_Q9UNQ2_DIMT1.pdf</v>
      </c>
    </row>
    <row r="6720" spans="1:28" x14ac:dyDescent="0.25">
      <c r="A6720" t="s">
        <v>6724</v>
      </c>
      <c r="B6720">
        <v>0.99999676499088797</v>
      </c>
      <c r="C6720">
        <v>0.71775694188847206</v>
      </c>
      <c r="D6720">
        <v>0.350570520111538</v>
      </c>
      <c r="E6720">
        <v>0.22986265500251399</v>
      </c>
      <c r="F6720">
        <v>0.13510125958889699</v>
      </c>
      <c r="G6720">
        <v>9.7908601729636405E-2</v>
      </c>
      <c r="H6720">
        <v>4.9219981714611102E-2</v>
      </c>
      <c r="I6720">
        <v>5.0134280064172303E-2</v>
      </c>
      <c r="J6720">
        <v>4.3850269547907703E-2</v>
      </c>
      <c r="K6720">
        <v>3.3561515304941399E-2</v>
      </c>
      <c r="L6720">
        <v>945.52814536200299</v>
      </c>
      <c r="M6720">
        <v>21.152546134540501</v>
      </c>
      <c r="N6720">
        <v>44.996011001481598</v>
      </c>
      <c r="O6720">
        <v>44.306698149149398</v>
      </c>
      <c r="P6720">
        <v>-0.11161396608049901</v>
      </c>
      <c r="Q6720">
        <v>6.4866270218150196E-2</v>
      </c>
      <c r="R6720">
        <v>0.98447108712770903</v>
      </c>
      <c r="S6720" t="s">
        <v>13723</v>
      </c>
      <c r="T6720" t="s">
        <v>14004</v>
      </c>
      <c r="U6720" t="s">
        <v>14004</v>
      </c>
      <c r="V6720" t="s">
        <v>14004</v>
      </c>
      <c r="W6720" t="s">
        <v>20663</v>
      </c>
      <c r="X6720">
        <v>9</v>
      </c>
      <c r="Y6720" t="s">
        <v>27442</v>
      </c>
      <c r="Z6720" t="s">
        <v>34430</v>
      </c>
      <c r="AA6720">
        <v>0.2257738890845688</v>
      </c>
      <c r="AB6720" t="str">
        <f>HYPERLINK("Melting_Curves/meltCurve_Q9UNS1_2_TIMELESS.pdf", "Melting_Curves/meltCurve_Q9UNS1_2_TIMELESS.pdf")</f>
        <v>Melting_Curves/meltCurve_Q9UNS1_2_TIMELESS.pdf</v>
      </c>
    </row>
    <row r="6721" spans="1:28" x14ac:dyDescent="0.25">
      <c r="A6721" t="s">
        <v>6725</v>
      </c>
      <c r="B6721">
        <v>0.99999676499088797</v>
      </c>
      <c r="C6721">
        <v>1.0225687181749401</v>
      </c>
      <c r="D6721">
        <v>1.0351977191509301</v>
      </c>
      <c r="E6721">
        <v>1.11088687767678</v>
      </c>
      <c r="F6721">
        <v>0.64572387094769501</v>
      </c>
      <c r="G6721">
        <v>0.30841742081217899</v>
      </c>
      <c r="H6721">
        <v>0.33265878575625601</v>
      </c>
      <c r="I6721">
        <v>0.17832617206550899</v>
      </c>
      <c r="J6721">
        <v>9.18172015894958E-2</v>
      </c>
      <c r="K6721">
        <v>6.7557156458483897E-2</v>
      </c>
      <c r="L6721">
        <v>1795.8934578746901</v>
      </c>
      <c r="M6721">
        <v>33.193119038150698</v>
      </c>
      <c r="N6721">
        <v>54.731624000726903</v>
      </c>
      <c r="O6721">
        <v>53.909147255749403</v>
      </c>
      <c r="P6721">
        <v>-0.12957867380638499</v>
      </c>
      <c r="Q6721">
        <v>0.158205633540665</v>
      </c>
      <c r="R6721">
        <v>0.96177894513277895</v>
      </c>
      <c r="S6721" t="s">
        <v>13724</v>
      </c>
      <c r="T6721" t="s">
        <v>14004</v>
      </c>
      <c r="U6721" t="s">
        <v>14004</v>
      </c>
      <c r="V6721" t="s">
        <v>14004</v>
      </c>
      <c r="W6721" t="s">
        <v>20664</v>
      </c>
      <c r="X6721">
        <v>20</v>
      </c>
      <c r="Y6721" t="s">
        <v>27443</v>
      </c>
      <c r="Z6721" t="s">
        <v>34431</v>
      </c>
      <c r="AA6721">
        <v>0.5585196645400029</v>
      </c>
      <c r="AB6721" t="str">
        <f>HYPERLINK("Melting_Curves/meltCurve_Q9UNS2_COPS3.pdf", "Melting_Curves/meltCurve_Q9UNS2_COPS3.pdf")</f>
        <v>Melting_Curves/meltCurve_Q9UNS2_COPS3.pdf</v>
      </c>
    </row>
    <row r="6722" spans="1:28" x14ac:dyDescent="0.25">
      <c r="A6722" t="s">
        <v>6726</v>
      </c>
      <c r="B6722">
        <v>0.99999676499088797</v>
      </c>
      <c r="C6722">
        <v>0.89855038299858603</v>
      </c>
      <c r="D6722">
        <v>1.0009051698804401</v>
      </c>
      <c r="E6722">
        <v>1.04308223739772</v>
      </c>
      <c r="F6722">
        <v>0.38146542811150402</v>
      </c>
      <c r="G6722">
        <v>0.29057385649558598</v>
      </c>
      <c r="H6722">
        <v>0.15041463881161701</v>
      </c>
      <c r="I6722">
        <v>6.5024070084829494E-2</v>
      </c>
      <c r="J6722">
        <v>6.1164578612689501E-2</v>
      </c>
      <c r="K6722">
        <v>4.3040497980056602E-2</v>
      </c>
      <c r="L6722">
        <v>3759.72571085666</v>
      </c>
      <c r="M6722">
        <v>71.493868991056701</v>
      </c>
      <c r="N6722">
        <v>52.7909767795881</v>
      </c>
      <c r="O6722">
        <v>52.546969035590003</v>
      </c>
      <c r="P6722">
        <v>-0.29928111344847103</v>
      </c>
      <c r="Q6722">
        <v>0.120130586970944</v>
      </c>
      <c r="R6722">
        <v>0.96852136517874299</v>
      </c>
      <c r="S6722" t="s">
        <v>13725</v>
      </c>
      <c r="T6722" t="s">
        <v>14004</v>
      </c>
      <c r="U6722" t="s">
        <v>14004</v>
      </c>
      <c r="V6722" t="s">
        <v>14004</v>
      </c>
      <c r="W6722" t="s">
        <v>20665</v>
      </c>
      <c r="X6722">
        <v>3</v>
      </c>
      <c r="Y6722" t="s">
        <v>27444</v>
      </c>
      <c r="Z6722" t="s">
        <v>34432</v>
      </c>
      <c r="AA6722">
        <v>0.49032172257900902</v>
      </c>
      <c r="AB6722" t="str">
        <f>HYPERLINK("Melting_Curves/meltCurve_Q9UNT1_2_RABL2B.pdf", "Melting_Curves/meltCurve_Q9UNT1_2_RABL2B.pdf")</f>
        <v>Melting_Curves/meltCurve_Q9UNT1_2_RABL2B.pdf</v>
      </c>
    </row>
    <row r="6723" spans="1:28" x14ac:dyDescent="0.25">
      <c r="A6723" t="s">
        <v>6727</v>
      </c>
      <c r="B6723">
        <v>0.99999676499088797</v>
      </c>
      <c r="C6723">
        <v>0.96315439139902903</v>
      </c>
      <c r="D6723">
        <v>0.98737873732873205</v>
      </c>
      <c r="E6723">
        <v>1.11944824945994</v>
      </c>
      <c r="F6723">
        <v>0.96593603863143795</v>
      </c>
      <c r="G6723">
        <v>0.69566471856436896</v>
      </c>
      <c r="H6723">
        <v>0.337936413154448</v>
      </c>
      <c r="I6723">
        <v>0.216791479462179</v>
      </c>
      <c r="J6723">
        <v>0.12899199542553599</v>
      </c>
      <c r="K6723">
        <v>0.13146888840208301</v>
      </c>
      <c r="L6723">
        <v>1666.53734053477</v>
      </c>
      <c r="M6723">
        <v>28.613934806035001</v>
      </c>
      <c r="N6723">
        <v>58.859426024511201</v>
      </c>
      <c r="O6723">
        <v>57.959915016289202</v>
      </c>
      <c r="P6723">
        <v>-0.10742422292376901</v>
      </c>
      <c r="Q6723">
        <v>0.129619898702136</v>
      </c>
      <c r="R6723">
        <v>0.98705119710523603</v>
      </c>
      <c r="S6723" t="s">
        <v>13726</v>
      </c>
      <c r="T6723" t="s">
        <v>14004</v>
      </c>
      <c r="U6723" t="s">
        <v>14004</v>
      </c>
      <c r="V6723" t="s">
        <v>14004</v>
      </c>
      <c r="W6723" t="s">
        <v>20666</v>
      </c>
      <c r="X6723">
        <v>9</v>
      </c>
      <c r="Y6723" t="s">
        <v>27445</v>
      </c>
      <c r="Z6723" t="s">
        <v>34433</v>
      </c>
      <c r="AA6723">
        <v>0.66502038413538578</v>
      </c>
      <c r="AB6723" t="str">
        <f>HYPERLINK("Melting_Curves/meltCurve_Q9UNW1_MINPP1.pdf", "Melting_Curves/meltCurve_Q9UNW1_MINPP1.pdf")</f>
        <v>Melting_Curves/meltCurve_Q9UNW1_MINPP1.pdf</v>
      </c>
    </row>
    <row r="6724" spans="1:28" x14ac:dyDescent="0.25">
      <c r="A6724" t="s">
        <v>6728</v>
      </c>
      <c r="B6724">
        <v>0.99999676499088797</v>
      </c>
      <c r="C6724">
        <v>0.86726879694167103</v>
      </c>
      <c r="D6724">
        <v>0.99098154530895699</v>
      </c>
      <c r="E6724">
        <v>1.060469836122</v>
      </c>
      <c r="F6724">
        <v>0.824811668415948</v>
      </c>
      <c r="G6724">
        <v>0.64499250508598405</v>
      </c>
      <c r="H6724">
        <v>0.156997340762417</v>
      </c>
      <c r="I6724">
        <v>0.12170255085483001</v>
      </c>
      <c r="J6724">
        <v>8.5328745228387196E-2</v>
      </c>
      <c r="K6724">
        <v>6.46788211098243E-2</v>
      </c>
      <c r="L6724">
        <v>1634.03460949957</v>
      </c>
      <c r="M6724">
        <v>28.5014868545078</v>
      </c>
      <c r="N6724">
        <v>57.580506403198299</v>
      </c>
      <c r="O6724">
        <v>57.051546668747498</v>
      </c>
      <c r="P6724">
        <v>-0.117654467890131</v>
      </c>
      <c r="Q6724">
        <v>5.7969741218254399E-2</v>
      </c>
      <c r="R6724">
        <v>0.97779618209221197</v>
      </c>
      <c r="S6724" t="s">
        <v>13727</v>
      </c>
      <c r="T6724" t="s">
        <v>14004</v>
      </c>
      <c r="U6724" t="s">
        <v>14004</v>
      </c>
      <c r="V6724" t="s">
        <v>14004</v>
      </c>
      <c r="W6724" t="s">
        <v>20667</v>
      </c>
      <c r="X6724">
        <v>11</v>
      </c>
      <c r="Y6724" t="s">
        <v>27446</v>
      </c>
      <c r="Z6724" t="s">
        <v>34434</v>
      </c>
      <c r="AA6724">
        <v>0.60902454604957268</v>
      </c>
      <c r="AB6724" t="str">
        <f>HYPERLINK("Melting_Curves/meltCurve_Q9UNX3_RPL26L1.pdf", "Melting_Curves/meltCurve_Q9UNX3_RPL26L1.pdf")</f>
        <v>Melting_Curves/meltCurve_Q9UNX3_RPL26L1.pdf</v>
      </c>
    </row>
    <row r="6725" spans="1:28" x14ac:dyDescent="0.25">
      <c r="A6725" t="s">
        <v>6729</v>
      </c>
      <c r="B6725">
        <v>0.99999676499088797</v>
      </c>
      <c r="C6725">
        <v>0.89694757600258601</v>
      </c>
      <c r="D6725">
        <v>0.88116817009756598</v>
      </c>
      <c r="E6725">
        <v>0.55287210401369702</v>
      </c>
      <c r="F6725">
        <v>0.25526644061117498</v>
      </c>
      <c r="G6725">
        <v>0.155715776708615</v>
      </c>
      <c r="H6725">
        <v>7.3532885339823106E-2</v>
      </c>
      <c r="I6725">
        <v>7.4147244074537294E-2</v>
      </c>
      <c r="J6725">
        <v>7.0984604203459895E-2</v>
      </c>
      <c r="K6725">
        <v>5.4846723433091799E-2</v>
      </c>
      <c r="L6725">
        <v>982.77180571049098</v>
      </c>
      <c r="M6725">
        <v>19.707021207073499</v>
      </c>
      <c r="N6725">
        <v>50.185581878262802</v>
      </c>
      <c r="O6725">
        <v>49.364148653860099</v>
      </c>
      <c r="P6725">
        <v>-9.39761282871725E-2</v>
      </c>
      <c r="Q6725">
        <v>5.8428902379630603E-2</v>
      </c>
      <c r="R6725">
        <v>0.99544020733635497</v>
      </c>
      <c r="S6725" t="s">
        <v>13728</v>
      </c>
      <c r="T6725" t="s">
        <v>14004</v>
      </c>
      <c r="U6725" t="s">
        <v>14004</v>
      </c>
      <c r="V6725" t="s">
        <v>14004</v>
      </c>
      <c r="W6725" t="s">
        <v>20668</v>
      </c>
      <c r="X6725">
        <v>25</v>
      </c>
      <c r="Y6725" t="s">
        <v>27447</v>
      </c>
      <c r="Z6725" t="s">
        <v>34435</v>
      </c>
      <c r="AA6725">
        <v>0.38167757883264042</v>
      </c>
      <c r="AB6725" t="str">
        <f>HYPERLINK("Melting_Curves/meltCurve_Q9UNX4_WDR3.pdf", "Melting_Curves/meltCurve_Q9UNX4_WDR3.pdf")</f>
        <v>Melting_Curves/meltCurve_Q9UNX4_WDR3.pdf</v>
      </c>
    </row>
    <row r="6726" spans="1:28" x14ac:dyDescent="0.25">
      <c r="A6726" t="s">
        <v>6730</v>
      </c>
      <c r="B6726">
        <v>0.99999676499088797</v>
      </c>
      <c r="C6726">
        <v>0.90171811467432395</v>
      </c>
      <c r="D6726">
        <v>0.617202852859013</v>
      </c>
      <c r="E6726">
        <v>0.34649301975220298</v>
      </c>
      <c r="F6726">
        <v>0.24086710154128399</v>
      </c>
      <c r="G6726">
        <v>0.17833963452538401</v>
      </c>
      <c r="H6726">
        <v>9.79092843129174E-2</v>
      </c>
      <c r="I6726">
        <v>9.0828189422043404E-2</v>
      </c>
      <c r="J6726">
        <v>8.4341370286800998E-2</v>
      </c>
      <c r="K6726">
        <v>5.4990724986237201E-2</v>
      </c>
      <c r="L6726">
        <v>815.96664705955197</v>
      </c>
      <c r="M6726">
        <v>17.263447040227799</v>
      </c>
      <c r="N6726">
        <v>47.791073408208703</v>
      </c>
      <c r="O6726">
        <v>46.645014919881</v>
      </c>
      <c r="P6726">
        <v>-8.4531883393464194E-2</v>
      </c>
      <c r="Q6726">
        <v>8.6448422689394594E-2</v>
      </c>
      <c r="R6726">
        <v>0.99200228722466999</v>
      </c>
      <c r="S6726" t="s">
        <v>13729</v>
      </c>
      <c r="T6726" t="s">
        <v>14004</v>
      </c>
      <c r="U6726" t="s">
        <v>14004</v>
      </c>
      <c r="V6726" t="s">
        <v>14004</v>
      </c>
      <c r="W6726" t="s">
        <v>20669</v>
      </c>
      <c r="X6726">
        <v>13</v>
      </c>
      <c r="Y6726" t="s">
        <v>27448</v>
      </c>
      <c r="Z6726" t="s">
        <v>34436</v>
      </c>
      <c r="AA6726">
        <v>0.32590716893577359</v>
      </c>
      <c r="AB6726" t="str">
        <f>HYPERLINK("Melting_Curves/meltCurve_Q9UNY4_TTF2.pdf", "Melting_Curves/meltCurve_Q9UNY4_TTF2.pdf")</f>
        <v>Melting_Curves/meltCurve_Q9UNY4_TTF2.pdf</v>
      </c>
    </row>
    <row r="6727" spans="1:28" x14ac:dyDescent="0.25">
      <c r="A6727" t="s">
        <v>6731</v>
      </c>
      <c r="B6727">
        <v>0.99999676499088797</v>
      </c>
      <c r="C6727">
        <v>1.00732603265498</v>
      </c>
      <c r="D6727">
        <v>0.97111767007730398</v>
      </c>
      <c r="E6727">
        <v>0.72623890685253301</v>
      </c>
      <c r="F6727">
        <v>0.328731160637659</v>
      </c>
      <c r="G6727">
        <v>0.204485483545433</v>
      </c>
      <c r="H6727">
        <v>0.117245790674704</v>
      </c>
      <c r="I6727">
        <v>0.110352387859785</v>
      </c>
      <c r="J6727">
        <v>0.119263295173503</v>
      </c>
      <c r="K6727">
        <v>0.122441670959858</v>
      </c>
      <c r="L6727">
        <v>1392.56895128728</v>
      </c>
      <c r="M6727">
        <v>27.2730506116018</v>
      </c>
      <c r="N6727">
        <v>51.574458716645097</v>
      </c>
      <c r="O6727">
        <v>50.788108105548602</v>
      </c>
      <c r="P6727">
        <v>-0.118269390218382</v>
      </c>
      <c r="Q6727">
        <v>0.119039307812262</v>
      </c>
      <c r="R6727">
        <v>0.99875646170682697</v>
      </c>
      <c r="S6727" t="s">
        <v>13730</v>
      </c>
      <c r="T6727" t="s">
        <v>14004</v>
      </c>
      <c r="U6727" t="s">
        <v>14004</v>
      </c>
      <c r="V6727" t="s">
        <v>14004</v>
      </c>
      <c r="W6727" t="s">
        <v>20670</v>
      </c>
      <c r="X6727">
        <v>30</v>
      </c>
      <c r="Y6727" t="s">
        <v>27449</v>
      </c>
      <c r="Z6727" t="s">
        <v>34437</v>
      </c>
      <c r="AA6727">
        <v>0.45053301713082988</v>
      </c>
      <c r="AB6727" t="str">
        <f>HYPERLINK("Melting_Curves/meltCurve_Q9UNZ2_NSFL1C.pdf", "Melting_Curves/meltCurve_Q9UNZ2_NSFL1C.pdf")</f>
        <v>Melting_Curves/meltCurve_Q9UNZ2_NSFL1C.pdf</v>
      </c>
    </row>
    <row r="6728" spans="1:28" x14ac:dyDescent="0.25">
      <c r="A6728" t="s">
        <v>6732</v>
      </c>
      <c r="B6728">
        <v>0.99999676499088797</v>
      </c>
      <c r="C6728">
        <v>1.0510609601193099</v>
      </c>
      <c r="D6728">
        <v>0.97753772178119203</v>
      </c>
      <c r="E6728">
        <v>0.709939033701524</v>
      </c>
      <c r="F6728">
        <v>0.457140364454236</v>
      </c>
      <c r="G6728">
        <v>0.48707311126387798</v>
      </c>
      <c r="H6728">
        <v>0.34203852641863403</v>
      </c>
      <c r="I6728">
        <v>0.37666335386984301</v>
      </c>
      <c r="J6728">
        <v>0.34870134969536198</v>
      </c>
      <c r="K6728">
        <v>0.38166949442685999</v>
      </c>
      <c r="L6728">
        <v>1490.3318993821399</v>
      </c>
      <c r="M6728">
        <v>29.842763958204898</v>
      </c>
      <c r="N6728">
        <v>52.454409333090503</v>
      </c>
      <c r="O6728">
        <v>49.716840714992102</v>
      </c>
      <c r="P6728">
        <v>-9.29734604002041E-2</v>
      </c>
      <c r="Q6728">
        <v>0.380444004148561</v>
      </c>
      <c r="R6728">
        <v>0.98105798312619696</v>
      </c>
      <c r="S6728" t="s">
        <v>13731</v>
      </c>
      <c r="T6728" t="s">
        <v>14004</v>
      </c>
      <c r="U6728" t="s">
        <v>14004</v>
      </c>
      <c r="V6728" t="s">
        <v>14004</v>
      </c>
      <c r="W6728" t="s">
        <v>20671</v>
      </c>
      <c r="X6728">
        <v>2</v>
      </c>
      <c r="Y6728" t="s">
        <v>27450</v>
      </c>
      <c r="Z6728" t="s">
        <v>34438</v>
      </c>
      <c r="AA6728">
        <v>0.58958192832868761</v>
      </c>
      <c r="AB6728" t="str">
        <f>HYPERLINK("Melting_Curves/meltCurve_Q9UNZ5_C19orf53.pdf", "Melting_Curves/meltCurve_Q9UNZ5_C19orf53.pdf")</f>
        <v>Melting_Curves/meltCurve_Q9UNZ5_C19orf53.pdf</v>
      </c>
    </row>
    <row r="6729" spans="1:28" x14ac:dyDescent="0.25">
      <c r="A6729" t="s">
        <v>6733</v>
      </c>
      <c r="B6729">
        <v>0.99999676499088797</v>
      </c>
      <c r="C6729">
        <v>0.82314644947644999</v>
      </c>
      <c r="D6729">
        <v>0.46868274673291899</v>
      </c>
      <c r="E6729">
        <v>0.228064042038607</v>
      </c>
      <c r="F6729">
        <v>0.18020970300912401</v>
      </c>
      <c r="G6729">
        <v>0.123096195348843</v>
      </c>
      <c r="H6729">
        <v>6.6911971898517206E-2</v>
      </c>
      <c r="I6729">
        <v>6.1493648959005803E-2</v>
      </c>
      <c r="J6729">
        <v>5.7259529866017601E-2</v>
      </c>
      <c r="K6729">
        <v>5.01338039397684E-2</v>
      </c>
      <c r="L6729">
        <v>960.75283521090705</v>
      </c>
      <c r="M6729">
        <v>21.046897922149999</v>
      </c>
      <c r="N6729">
        <v>46.012569325321302</v>
      </c>
      <c r="O6729">
        <v>45.242090592801198</v>
      </c>
      <c r="P6729">
        <v>-0.107376655926118</v>
      </c>
      <c r="Q6729">
        <v>7.6763680033920006E-2</v>
      </c>
      <c r="R6729">
        <v>0.99116733437344295</v>
      </c>
      <c r="S6729" t="s">
        <v>13732</v>
      </c>
      <c r="T6729" t="s">
        <v>14004</v>
      </c>
      <c r="U6729" t="s">
        <v>14004</v>
      </c>
      <c r="V6729" t="s">
        <v>14004</v>
      </c>
      <c r="W6729" t="s">
        <v>20672</v>
      </c>
      <c r="X6729">
        <v>9</v>
      </c>
      <c r="Y6729" t="s">
        <v>27451</v>
      </c>
      <c r="Z6729" t="s">
        <v>34439</v>
      </c>
      <c r="AA6729">
        <v>0.26361271306318251</v>
      </c>
      <c r="AB6729" t="str">
        <f>HYPERLINK("Melting_Curves/meltCurve_Q9UP83_COG5.pdf", "Melting_Curves/meltCurve_Q9UP83_COG5.pdf")</f>
        <v>Melting_Curves/meltCurve_Q9UP83_COG5.pdf</v>
      </c>
    </row>
    <row r="6730" spans="1:28" x14ac:dyDescent="0.25">
      <c r="A6730" t="s">
        <v>6734</v>
      </c>
      <c r="B6730">
        <v>0.99999676499088797</v>
      </c>
      <c r="C6730">
        <v>0.86230688248232401</v>
      </c>
      <c r="D6730">
        <v>0.90226742070997801</v>
      </c>
      <c r="E6730">
        <v>0.84953179894512898</v>
      </c>
      <c r="F6730">
        <v>0.65460446857858401</v>
      </c>
      <c r="G6730">
        <v>0.38302028057663901</v>
      </c>
      <c r="H6730">
        <v>0.119170785787305</v>
      </c>
      <c r="I6730">
        <v>7.6174631047581307E-2</v>
      </c>
      <c r="J6730">
        <v>5.7143125088471802E-2</v>
      </c>
      <c r="K6730">
        <v>8.0090160487570602E-2</v>
      </c>
      <c r="L6730">
        <v>892.16549298513405</v>
      </c>
      <c r="M6730">
        <v>16.279184017145901</v>
      </c>
      <c r="N6730">
        <v>54.859108157254802</v>
      </c>
      <c r="O6730">
        <v>53.997086512538203</v>
      </c>
      <c r="P6730">
        <v>-7.4765645395587804E-2</v>
      </c>
      <c r="Q6730">
        <v>8.0996748917177893E-3</v>
      </c>
      <c r="R6730">
        <v>0.98157988131168195</v>
      </c>
      <c r="S6730" t="s">
        <v>13733</v>
      </c>
      <c r="T6730" t="s">
        <v>14004</v>
      </c>
      <c r="U6730" t="s">
        <v>14004</v>
      </c>
      <c r="V6730" t="s">
        <v>14004</v>
      </c>
      <c r="W6730" t="s">
        <v>20673</v>
      </c>
      <c r="X6730">
        <v>9</v>
      </c>
      <c r="Y6730" t="s">
        <v>27452</v>
      </c>
      <c r="Z6730" t="s">
        <v>34440</v>
      </c>
      <c r="AA6730">
        <v>0.51519757608719963</v>
      </c>
      <c r="AB6730" t="str">
        <f>HYPERLINK("Melting_Curves/meltCurve_Q9UP95_5_SLC12A4.pdf", "Melting_Curves/meltCurve_Q9UP95_5_SLC12A4.pdf")</f>
        <v>Melting_Curves/meltCurve_Q9UP95_5_SLC12A4.pdf</v>
      </c>
    </row>
    <row r="6731" spans="1:28" x14ac:dyDescent="0.25">
      <c r="A6731" t="s">
        <v>6735</v>
      </c>
      <c r="B6731">
        <v>0.99999676499088797</v>
      </c>
      <c r="C6731">
        <v>0.98830898227998798</v>
      </c>
      <c r="D6731">
        <v>0.660702485106475</v>
      </c>
      <c r="E6731">
        <v>0.39117083755350601</v>
      </c>
      <c r="F6731">
        <v>0.28748634953761798</v>
      </c>
      <c r="G6731">
        <v>0.21297583306019299</v>
      </c>
      <c r="H6731">
        <v>0.163474753611869</v>
      </c>
      <c r="I6731">
        <v>0.232806435979656</v>
      </c>
      <c r="J6731">
        <v>0.24633061542795101</v>
      </c>
      <c r="K6731">
        <v>0.241360198792088</v>
      </c>
      <c r="L6731">
        <v>1215.5738379501299</v>
      </c>
      <c r="M6731">
        <v>25.980448651862702</v>
      </c>
      <c r="N6731">
        <v>47.888342428777896</v>
      </c>
      <c r="O6731">
        <v>46.513449248343001</v>
      </c>
      <c r="P6731">
        <v>-0.108256120620602</v>
      </c>
      <c r="Q6731">
        <v>0.22475413613673301</v>
      </c>
      <c r="R6731">
        <v>0.98818903628233701</v>
      </c>
      <c r="S6731" t="s">
        <v>13734</v>
      </c>
      <c r="T6731" t="s">
        <v>14004</v>
      </c>
      <c r="U6731" t="s">
        <v>14004</v>
      </c>
      <c r="V6731" t="s">
        <v>14004</v>
      </c>
      <c r="W6731" t="s">
        <v>20674</v>
      </c>
      <c r="X6731">
        <v>12</v>
      </c>
      <c r="Y6731" t="s">
        <v>27453</v>
      </c>
      <c r="Z6731" t="s">
        <v>34441</v>
      </c>
      <c r="AA6731">
        <v>0.40655188097074679</v>
      </c>
      <c r="AB6731" t="str">
        <f>HYPERLINK("Melting_Curves/meltCurve_Q9UPN6_SCAF8.pdf", "Melting_Curves/meltCurve_Q9UPN6_SCAF8.pdf")</f>
        <v>Melting_Curves/meltCurve_Q9UPN6_SCAF8.pdf</v>
      </c>
    </row>
    <row r="6732" spans="1:28" x14ac:dyDescent="0.25">
      <c r="A6732" t="s">
        <v>6736</v>
      </c>
      <c r="B6732">
        <v>0.99999676499088797</v>
      </c>
      <c r="C6732">
        <v>1.0806821438957901</v>
      </c>
      <c r="D6732">
        <v>1.0493645882085001</v>
      </c>
      <c r="E6732">
        <v>0.88380975436579001</v>
      </c>
      <c r="F6732">
        <v>0.39838355223796501</v>
      </c>
      <c r="G6732">
        <v>0.25753069396305101</v>
      </c>
      <c r="H6732">
        <v>0.11857074538379</v>
      </c>
      <c r="I6732">
        <v>0.110815859938247</v>
      </c>
      <c r="J6732">
        <v>0.12528305983244201</v>
      </c>
      <c r="K6732">
        <v>0.110975420858458</v>
      </c>
      <c r="L6732">
        <v>1739.7332254788901</v>
      </c>
      <c r="M6732">
        <v>33.341951387831401</v>
      </c>
      <c r="N6732">
        <v>52.643105920150497</v>
      </c>
      <c r="O6732">
        <v>51.991887781210103</v>
      </c>
      <c r="P6732">
        <v>-0.139889044992524</v>
      </c>
      <c r="Q6732">
        <v>0.12745800507837199</v>
      </c>
      <c r="R6732">
        <v>0.98942639918028497</v>
      </c>
      <c r="S6732" t="s">
        <v>13735</v>
      </c>
      <c r="T6732" t="s">
        <v>14004</v>
      </c>
      <c r="U6732" t="s">
        <v>14004</v>
      </c>
      <c r="V6732" t="s">
        <v>14004</v>
      </c>
      <c r="W6732" t="s">
        <v>20675</v>
      </c>
      <c r="X6732">
        <v>13</v>
      </c>
      <c r="Y6732" t="s">
        <v>27454</v>
      </c>
      <c r="Z6732" t="s">
        <v>34442</v>
      </c>
      <c r="AA6732">
        <v>0.48619778461779911</v>
      </c>
      <c r="AB6732" t="str">
        <f>HYPERLINK("Melting_Curves/meltCurve_Q9UPN7_PPP6R1.pdf", "Melting_Curves/meltCurve_Q9UPN7_PPP6R1.pdf")</f>
        <v>Melting_Curves/meltCurve_Q9UPN7_PPP6R1.pdf</v>
      </c>
    </row>
    <row r="6733" spans="1:28" x14ac:dyDescent="0.25">
      <c r="A6733" t="s">
        <v>6737</v>
      </c>
      <c r="B6733">
        <v>0.99999676499088797</v>
      </c>
      <c r="C6733">
        <v>0.98562875362198898</v>
      </c>
      <c r="D6733">
        <v>0.81253176769141999</v>
      </c>
      <c r="E6733">
        <v>0.18726447182586201</v>
      </c>
      <c r="F6733">
        <v>0.12640969393232199</v>
      </c>
      <c r="G6733">
        <v>8.0705405826673904E-2</v>
      </c>
      <c r="H6733">
        <v>3.9956658172164698E-2</v>
      </c>
      <c r="I6733">
        <v>3.90837302256547E-2</v>
      </c>
      <c r="J6733">
        <v>3.8950707791878897E-2</v>
      </c>
      <c r="K6733">
        <v>3.6455007256041498E-2</v>
      </c>
      <c r="L6733">
        <v>1964.64422436679</v>
      </c>
      <c r="M6733">
        <v>41.3444233078067</v>
      </c>
      <c r="N6733">
        <v>47.657588022804298</v>
      </c>
      <c r="O6733">
        <v>47.408175918436399</v>
      </c>
      <c r="P6733">
        <v>-0.20567188621513599</v>
      </c>
      <c r="Q6733">
        <v>5.6654756789025401E-2</v>
      </c>
      <c r="R6733">
        <v>0.99656430007418795</v>
      </c>
      <c r="S6733" t="s">
        <v>13736</v>
      </c>
      <c r="T6733" t="s">
        <v>14004</v>
      </c>
      <c r="U6733" t="s">
        <v>14004</v>
      </c>
      <c r="V6733" t="s">
        <v>14004</v>
      </c>
      <c r="W6733" t="s">
        <v>20676</v>
      </c>
      <c r="X6733">
        <v>18</v>
      </c>
      <c r="Y6733" t="s">
        <v>27455</v>
      </c>
      <c r="Z6733" t="s">
        <v>34443</v>
      </c>
      <c r="AA6733">
        <v>0.29599716778546459</v>
      </c>
      <c r="AB6733" t="str">
        <f>HYPERLINK("Melting_Curves/meltCurve_Q9UPN9_TRIM33.pdf", "Melting_Curves/meltCurve_Q9UPN9_TRIM33.pdf")</f>
        <v>Melting_Curves/meltCurve_Q9UPN9_TRIM33.pdf</v>
      </c>
    </row>
    <row r="6734" spans="1:28" x14ac:dyDescent="0.25">
      <c r="A6734" t="s">
        <v>6738</v>
      </c>
      <c r="B6734">
        <v>0.99999676499088797</v>
      </c>
      <c r="C6734">
        <v>0.96190136965752204</v>
      </c>
      <c r="D6734">
        <v>0.85944329755520699</v>
      </c>
      <c r="E6734">
        <v>0.339623789835373</v>
      </c>
      <c r="F6734">
        <v>0.31429644920076399</v>
      </c>
      <c r="G6734">
        <v>0.13687570388842499</v>
      </c>
      <c r="H6734">
        <v>5.7836321875718001E-2</v>
      </c>
      <c r="I6734">
        <v>4.8760442969715399E-2</v>
      </c>
      <c r="J6734">
        <v>5.0175190990420497E-2</v>
      </c>
      <c r="K6734">
        <v>4.9636968935924203E-2</v>
      </c>
      <c r="L6734">
        <v>1020.05699785466</v>
      </c>
      <c r="M6734">
        <v>20.912888153449</v>
      </c>
      <c r="N6734">
        <v>49.0924934875895</v>
      </c>
      <c r="O6734">
        <v>48.337049968863901</v>
      </c>
      <c r="P6734">
        <v>-0.10135297158286299</v>
      </c>
      <c r="Q6734">
        <v>6.2975928603968098E-2</v>
      </c>
      <c r="R6734">
        <v>0.97830070725554397</v>
      </c>
      <c r="S6734" t="s">
        <v>13737</v>
      </c>
      <c r="T6734" t="s">
        <v>14004</v>
      </c>
      <c r="U6734" t="s">
        <v>14004</v>
      </c>
      <c r="V6734" t="s">
        <v>14004</v>
      </c>
      <c r="W6734" t="s">
        <v>20677</v>
      </c>
      <c r="X6734">
        <v>18</v>
      </c>
      <c r="Y6734" t="s">
        <v>27455</v>
      </c>
      <c r="Z6734" t="s">
        <v>34444</v>
      </c>
      <c r="AA6734">
        <v>0.34910323829800999</v>
      </c>
      <c r="AB6734" t="str">
        <f>HYPERLINK("Melting_Curves/meltCurve_Q9UPN9_2_TRIM33.pdf", "Melting_Curves/meltCurve_Q9UPN9_2_TRIM33.pdf")</f>
        <v>Melting_Curves/meltCurve_Q9UPN9_2_TRIM33.pdf</v>
      </c>
    </row>
    <row r="6735" spans="1:28" x14ac:dyDescent="0.25">
      <c r="A6735" t="s">
        <v>6739</v>
      </c>
      <c r="B6735">
        <v>0.99999676499088797</v>
      </c>
      <c r="C6735">
        <v>0.97513940353302497</v>
      </c>
      <c r="D6735">
        <v>0.970818785369987</v>
      </c>
      <c r="E6735">
        <v>0.87050405146964605</v>
      </c>
      <c r="F6735">
        <v>0.562758768368951</v>
      </c>
      <c r="G6735">
        <v>0.38444622679189699</v>
      </c>
      <c r="H6735">
        <v>0.32454735399656998</v>
      </c>
      <c r="I6735">
        <v>0.36457188501722099</v>
      </c>
      <c r="J6735">
        <v>0.42259170988850597</v>
      </c>
      <c r="K6735">
        <v>0.52399583594697696</v>
      </c>
      <c r="L6735">
        <v>1828.3020133126199</v>
      </c>
      <c r="M6735">
        <v>35.509581298438299</v>
      </c>
      <c r="N6735">
        <v>53.9590631241336</v>
      </c>
      <c r="O6735">
        <v>51.325095257187002</v>
      </c>
      <c r="P6735">
        <v>-0.103487093875806</v>
      </c>
      <c r="Q6735">
        <v>0.40168629754371599</v>
      </c>
      <c r="R6735">
        <v>0.96356326236871104</v>
      </c>
      <c r="S6735" t="s">
        <v>13738</v>
      </c>
      <c r="T6735" t="s">
        <v>14004</v>
      </c>
      <c r="U6735" t="s">
        <v>14004</v>
      </c>
      <c r="V6735" t="s">
        <v>14004</v>
      </c>
      <c r="W6735" t="s">
        <v>20678</v>
      </c>
      <c r="X6735">
        <v>6</v>
      </c>
      <c r="Y6735" t="s">
        <v>27456</v>
      </c>
      <c r="Z6735" t="s">
        <v>34445</v>
      </c>
      <c r="AA6735">
        <v>0.63349700675596876</v>
      </c>
      <c r="AB6735" t="str">
        <f>HYPERLINK("Melting_Curves/meltCurve_Q9UPQ9_1_TNRC6B.pdf", "Melting_Curves/meltCurve_Q9UPQ9_1_TNRC6B.pdf")</f>
        <v>Melting_Curves/meltCurve_Q9UPQ9_1_TNRC6B.pdf</v>
      </c>
    </row>
    <row r="6736" spans="1:28" x14ac:dyDescent="0.25">
      <c r="A6736" t="s">
        <v>6740</v>
      </c>
      <c r="B6736">
        <v>0.99999676499088797</v>
      </c>
      <c r="C6736">
        <v>0.94675193293934001</v>
      </c>
      <c r="D6736">
        <v>0.88993899064793902</v>
      </c>
      <c r="E6736">
        <v>0.48560999365268298</v>
      </c>
      <c r="F6736">
        <v>0.24463582680947199</v>
      </c>
      <c r="G6736">
        <v>0.163968870323524</v>
      </c>
      <c r="H6736">
        <v>9.5464996624939902E-2</v>
      </c>
      <c r="I6736">
        <v>7.7125776498721002E-2</v>
      </c>
      <c r="J6736">
        <v>7.5546607256767706E-2</v>
      </c>
      <c r="K6736">
        <v>5.2391615105947101E-2</v>
      </c>
      <c r="L6736">
        <v>1094.2545076742899</v>
      </c>
      <c r="M6736">
        <v>22.151445918978801</v>
      </c>
      <c r="N6736">
        <v>49.776600350031103</v>
      </c>
      <c r="O6736">
        <v>49.001504232164699</v>
      </c>
      <c r="P6736">
        <v>-0.104271439156071</v>
      </c>
      <c r="Q6736">
        <v>7.7379616160884596E-2</v>
      </c>
      <c r="R6736">
        <v>0.99610920056275598</v>
      </c>
      <c r="S6736" t="s">
        <v>13739</v>
      </c>
      <c r="T6736" t="s">
        <v>14004</v>
      </c>
      <c r="U6736" t="s">
        <v>14004</v>
      </c>
      <c r="V6736" t="s">
        <v>14004</v>
      </c>
      <c r="W6736" t="s">
        <v>20679</v>
      </c>
      <c r="X6736">
        <v>13</v>
      </c>
      <c r="Y6736" t="s">
        <v>27457</v>
      </c>
      <c r="Z6736" t="s">
        <v>34446</v>
      </c>
      <c r="AA6736">
        <v>0.37691741180489508</v>
      </c>
      <c r="AB6736" t="str">
        <f>HYPERLINK("Melting_Curves/meltCurve_Q9UPR0_PLCL2.pdf", "Melting_Curves/meltCurve_Q9UPR0_PLCL2.pdf")</f>
        <v>Melting_Curves/meltCurve_Q9UPR0_PLCL2.pdf</v>
      </c>
    </row>
    <row r="6737" spans="1:28" x14ac:dyDescent="0.25">
      <c r="A6737" t="s">
        <v>6741</v>
      </c>
      <c r="B6737">
        <v>0.99999676499088797</v>
      </c>
      <c r="C6737">
        <v>1.0516131509922</v>
      </c>
      <c r="D6737">
        <v>0.82662014821681895</v>
      </c>
      <c r="E6737">
        <v>0.467560341637762</v>
      </c>
      <c r="F6737">
        <v>0.265812117037172</v>
      </c>
      <c r="G6737">
        <v>0.229854031910532</v>
      </c>
      <c r="H6737">
        <v>9.2628922677610706E-2</v>
      </c>
      <c r="I6737">
        <v>4.9666307267911103E-2</v>
      </c>
      <c r="J6737">
        <v>0</v>
      </c>
      <c r="K6737">
        <v>0</v>
      </c>
      <c r="L6737">
        <v>875.30020587825197</v>
      </c>
      <c r="M6737">
        <v>17.5836625585844</v>
      </c>
      <c r="N6737">
        <v>49.972549160896399</v>
      </c>
      <c r="O6737">
        <v>49.148719843571499</v>
      </c>
      <c r="P6737">
        <v>-8.6504116780814405E-2</v>
      </c>
      <c r="Q6737">
        <v>3.2889409077543598E-2</v>
      </c>
      <c r="R6737">
        <v>0.98126324029512302</v>
      </c>
      <c r="S6737" t="s">
        <v>13740</v>
      </c>
      <c r="T6737" t="s">
        <v>14004</v>
      </c>
      <c r="U6737" t="s">
        <v>14004</v>
      </c>
      <c r="V6737" t="s">
        <v>14004</v>
      </c>
      <c r="W6737" t="s">
        <v>20680</v>
      </c>
      <c r="X6737">
        <v>2</v>
      </c>
      <c r="Y6737" t="s">
        <v>27458</v>
      </c>
      <c r="Z6737" t="s">
        <v>34447</v>
      </c>
      <c r="AA6737">
        <v>0.36544018268418199</v>
      </c>
      <c r="AB6737" t="str">
        <f>HYPERLINK("Melting_Curves/meltCurve_Q9UPR3_SMG5.pdf", "Melting_Curves/meltCurve_Q9UPR3_SMG5.pdf")</f>
        <v>Melting_Curves/meltCurve_Q9UPR3_SMG5.pdf</v>
      </c>
    </row>
    <row r="6738" spans="1:28" x14ac:dyDescent="0.25">
      <c r="A6738" t="s">
        <v>6742</v>
      </c>
      <c r="B6738">
        <v>0.99999676499088797</v>
      </c>
      <c r="C6738">
        <v>0.97060836374886705</v>
      </c>
      <c r="D6738">
        <v>0.841239827619358</v>
      </c>
      <c r="E6738">
        <v>0.32023373915379499</v>
      </c>
      <c r="F6738">
        <v>0.211164891957447</v>
      </c>
      <c r="G6738">
        <v>0.13458971507950299</v>
      </c>
      <c r="H6738">
        <v>6.7483289391001497E-2</v>
      </c>
      <c r="I6738">
        <v>7.0152952768335705E-2</v>
      </c>
      <c r="J6738">
        <v>6.2794851772515495E-2</v>
      </c>
      <c r="K6738">
        <v>5.5176467617065898E-2</v>
      </c>
      <c r="L6738">
        <v>1395.86106899279</v>
      </c>
      <c r="M6738">
        <v>28.9746296903656</v>
      </c>
      <c r="N6738">
        <v>48.482332266859601</v>
      </c>
      <c r="O6738">
        <v>47.947556596801697</v>
      </c>
      <c r="P6738">
        <v>-0.13841187578026001</v>
      </c>
      <c r="Q6738">
        <v>8.3824467259634799E-2</v>
      </c>
      <c r="R6738">
        <v>0.99236034802760997</v>
      </c>
      <c r="S6738" t="s">
        <v>13741</v>
      </c>
      <c r="T6738" t="s">
        <v>14004</v>
      </c>
      <c r="U6738" t="s">
        <v>14004</v>
      </c>
      <c r="V6738" t="s">
        <v>14004</v>
      </c>
      <c r="W6738" t="s">
        <v>20681</v>
      </c>
      <c r="X6738">
        <v>20</v>
      </c>
      <c r="Y6738" t="s">
        <v>27459</v>
      </c>
      <c r="Z6738" t="s">
        <v>34448</v>
      </c>
      <c r="AA6738">
        <v>0.33942946710389271</v>
      </c>
      <c r="AB6738" t="str">
        <f>HYPERLINK("Melting_Curves/meltCurve_Q9UPT5_1_EXOC7.pdf", "Melting_Curves/meltCurve_Q9UPT5_1_EXOC7.pdf")</f>
        <v>Melting_Curves/meltCurve_Q9UPT5_1_EXOC7.pdf</v>
      </c>
    </row>
    <row r="6739" spans="1:28" x14ac:dyDescent="0.25">
      <c r="A6739" t="s">
        <v>6743</v>
      </c>
      <c r="B6739">
        <v>0.99999676499088797</v>
      </c>
      <c r="C6739">
        <v>0.84384987209876605</v>
      </c>
      <c r="D6739">
        <v>0.66038688643189003</v>
      </c>
      <c r="E6739">
        <v>0.34155927927032798</v>
      </c>
      <c r="F6739">
        <v>0.15318759792218001</v>
      </c>
      <c r="G6739">
        <v>8.9006574234344896E-2</v>
      </c>
      <c r="H6739">
        <v>3.2031056399691601E-2</v>
      </c>
      <c r="I6739">
        <v>2.2391340555216799E-2</v>
      </c>
      <c r="J6739">
        <v>2.2930999968526398E-2</v>
      </c>
      <c r="K6739">
        <v>2.22938289123806E-2</v>
      </c>
      <c r="L6739">
        <v>813.16150277735403</v>
      </c>
      <c r="M6739">
        <v>17.080099448489101</v>
      </c>
      <c r="N6739">
        <v>47.698604031453101</v>
      </c>
      <c r="O6739">
        <v>46.970477542015701</v>
      </c>
      <c r="P6739">
        <v>-8.9474366612271594E-2</v>
      </c>
      <c r="Q6739">
        <v>1.5837610523631401E-2</v>
      </c>
      <c r="R6739">
        <v>0.998113229993982</v>
      </c>
      <c r="S6739" t="s">
        <v>13742</v>
      </c>
      <c r="T6739" t="s">
        <v>14004</v>
      </c>
      <c r="U6739" t="s">
        <v>14004</v>
      </c>
      <c r="V6739" t="s">
        <v>14004</v>
      </c>
      <c r="W6739" t="s">
        <v>20682</v>
      </c>
      <c r="X6739">
        <v>7</v>
      </c>
      <c r="Y6739" t="s">
        <v>27460</v>
      </c>
      <c r="Z6739" t="s">
        <v>34449</v>
      </c>
      <c r="AA6739">
        <v>0.28520911209761141</v>
      </c>
      <c r="AB6739" t="str">
        <f>HYPERLINK("Melting_Curves/meltCurve_Q9UPT9_USP22.pdf", "Melting_Curves/meltCurve_Q9UPT9_USP22.pdf")</f>
        <v>Melting_Curves/meltCurve_Q9UPT9_USP22.pdf</v>
      </c>
    </row>
    <row r="6740" spans="1:28" x14ac:dyDescent="0.25">
      <c r="A6740" t="s">
        <v>6744</v>
      </c>
      <c r="B6740">
        <v>0.99999676499088797</v>
      </c>
      <c r="C6740">
        <v>1.0196232159399701</v>
      </c>
      <c r="D6740">
        <v>0.964049488043623</v>
      </c>
      <c r="E6740">
        <v>0.65484478179201899</v>
      </c>
      <c r="F6740">
        <v>0.37013845958206798</v>
      </c>
      <c r="G6740">
        <v>0.178028433309877</v>
      </c>
      <c r="H6740">
        <v>8.3541685948597094E-2</v>
      </c>
      <c r="I6740">
        <v>8.5708644425002506E-2</v>
      </c>
      <c r="J6740">
        <v>8.4902078150788499E-2</v>
      </c>
      <c r="K6740">
        <v>7.5863513753289799E-2</v>
      </c>
      <c r="L6740">
        <v>1122.54986646614</v>
      </c>
      <c r="M6740">
        <v>21.952775070488201</v>
      </c>
      <c r="N6740">
        <v>51.514673090470303</v>
      </c>
      <c r="O6740">
        <v>50.716105508386399</v>
      </c>
      <c r="P6740">
        <v>-0.10012834036016199</v>
      </c>
      <c r="Q6740">
        <v>7.4739978045059205E-2</v>
      </c>
      <c r="R6740">
        <v>0.997113450120099</v>
      </c>
      <c r="S6740" t="s">
        <v>13743</v>
      </c>
      <c r="T6740" t="s">
        <v>14004</v>
      </c>
      <c r="U6740" t="s">
        <v>14004</v>
      </c>
      <c r="V6740" t="s">
        <v>14004</v>
      </c>
      <c r="W6740" t="s">
        <v>20683</v>
      </c>
      <c r="X6740">
        <v>31</v>
      </c>
      <c r="Y6740" t="s">
        <v>27461</v>
      </c>
      <c r="Z6740" t="s">
        <v>34450</v>
      </c>
      <c r="AA6740">
        <v>0.42892784253495991</v>
      </c>
      <c r="AB6740" t="str">
        <f>HYPERLINK("Melting_Curves/meltCurve_Q9UPU5_USP24.pdf", "Melting_Curves/meltCurve_Q9UPU5_USP24.pdf")</f>
        <v>Melting_Curves/meltCurve_Q9UPU5_USP24.pdf</v>
      </c>
    </row>
    <row r="6741" spans="1:28" x14ac:dyDescent="0.25">
      <c r="A6741" t="s">
        <v>6745</v>
      </c>
      <c r="B6741">
        <v>0.99999676499088797</v>
      </c>
      <c r="C6741">
        <v>0.98576248475055706</v>
      </c>
      <c r="D6741">
        <v>0.93575893357364304</v>
      </c>
      <c r="E6741">
        <v>0.68961207351439302</v>
      </c>
      <c r="F6741">
        <v>0.28653208598707802</v>
      </c>
      <c r="G6741">
        <v>0.17946756589757401</v>
      </c>
      <c r="H6741">
        <v>8.7537870175837904E-2</v>
      </c>
      <c r="I6741">
        <v>0.103270371777375</v>
      </c>
      <c r="J6741">
        <v>0.124421855897057</v>
      </c>
      <c r="K6741">
        <v>9.33270663908769E-2</v>
      </c>
      <c r="L6741">
        <v>1351.9272823589399</v>
      </c>
      <c r="M6741">
        <v>26.664226061801401</v>
      </c>
      <c r="N6741">
        <v>51.1422656647091</v>
      </c>
      <c r="O6741">
        <v>50.419311994699001</v>
      </c>
      <c r="P6741">
        <v>-0.11865275960098499</v>
      </c>
      <c r="Q6741">
        <v>0.102568681160361</v>
      </c>
      <c r="R6741">
        <v>0.99832992619314298</v>
      </c>
      <c r="S6741" t="s">
        <v>13744</v>
      </c>
      <c r="T6741" t="s">
        <v>14004</v>
      </c>
      <c r="U6741" t="s">
        <v>14004</v>
      </c>
      <c r="V6741" t="s">
        <v>14004</v>
      </c>
      <c r="W6741" t="s">
        <v>20684</v>
      </c>
      <c r="X6741">
        <v>7</v>
      </c>
      <c r="Y6741" t="s">
        <v>27462</v>
      </c>
      <c r="Z6741" t="s">
        <v>34451</v>
      </c>
      <c r="AA6741">
        <v>0.42981933673517853</v>
      </c>
      <c r="AB6741" t="str">
        <f>HYPERLINK("Melting_Curves/meltCurve_Q9UPW5_AGTPBP1.pdf", "Melting_Curves/meltCurve_Q9UPW5_AGTPBP1.pdf")</f>
        <v>Melting_Curves/meltCurve_Q9UPW5_AGTPBP1.pdf</v>
      </c>
    </row>
    <row r="6742" spans="1:28" x14ac:dyDescent="0.25">
      <c r="A6742" t="s">
        <v>6746</v>
      </c>
      <c r="B6742">
        <v>0.99999676499088797</v>
      </c>
      <c r="C6742">
        <v>4.0114694150566903</v>
      </c>
      <c r="D6742">
        <v>5.2193165329833002</v>
      </c>
      <c r="E6742">
        <v>10.270200545046</v>
      </c>
      <c r="F6742">
        <v>0.40831407427671501</v>
      </c>
      <c r="G6742">
        <v>1.5512405888701499</v>
      </c>
      <c r="H6742">
        <v>0.355123111278699</v>
      </c>
      <c r="I6742">
        <v>0.40733026870859801</v>
      </c>
      <c r="J6742">
        <v>0.33003505876258699</v>
      </c>
      <c r="K6742">
        <v>0.26494869100687002</v>
      </c>
      <c r="L6742">
        <v>14991.908917831401</v>
      </c>
      <c r="M6742">
        <v>250</v>
      </c>
      <c r="N6742">
        <v>60.2334325960326</v>
      </c>
      <c r="O6742">
        <v>59.963798127635798</v>
      </c>
      <c r="P6742">
        <v>-0.69406542110547298</v>
      </c>
      <c r="Q6742">
        <v>0.33409921986212798</v>
      </c>
      <c r="R6742">
        <v>-0.180468826849638</v>
      </c>
      <c r="S6742" t="s">
        <v>13745</v>
      </c>
      <c r="T6742" t="s">
        <v>14004</v>
      </c>
      <c r="U6742" t="s">
        <v>14004</v>
      </c>
      <c r="V6742" t="s">
        <v>14004</v>
      </c>
      <c r="W6742" t="s">
        <v>20685</v>
      </c>
      <c r="X6742">
        <v>1</v>
      </c>
      <c r="Y6742" t="s">
        <v>27463</v>
      </c>
      <c r="Z6742" t="s">
        <v>34452</v>
      </c>
      <c r="AA6742">
        <v>0.77738477313817755</v>
      </c>
      <c r="AB6742" t="str">
        <f>HYPERLINK("Melting_Curves/meltCurve_Q9UPZ3_2_HPS5.pdf", "Melting_Curves/meltCurve_Q9UPZ3_2_HPS5.pdf")</f>
        <v>Melting_Curves/meltCurve_Q9UPZ3_2_HPS5.pdf</v>
      </c>
    </row>
    <row r="6743" spans="1:28" x14ac:dyDescent="0.25">
      <c r="A6743" t="s">
        <v>6747</v>
      </c>
      <c r="B6743">
        <v>0.99999676499088797</v>
      </c>
      <c r="C6743">
        <v>1.0155872354563</v>
      </c>
      <c r="D6743">
        <v>1.00111062615052</v>
      </c>
      <c r="E6743">
        <v>1.2733830882124</v>
      </c>
      <c r="F6743">
        <v>0.71944632760855998</v>
      </c>
      <c r="G6743">
        <v>0.44166842022483899</v>
      </c>
      <c r="H6743">
        <v>0.20238570158109001</v>
      </c>
      <c r="I6743">
        <v>0.13583000961982999</v>
      </c>
      <c r="J6743">
        <v>8.3297128828276903E-2</v>
      </c>
      <c r="K6743">
        <v>7.6253939700548098E-2</v>
      </c>
      <c r="L6743">
        <v>1613.34843097459</v>
      </c>
      <c r="M6743">
        <v>28.989984583614099</v>
      </c>
      <c r="N6743">
        <v>56.080215084522798</v>
      </c>
      <c r="O6743">
        <v>55.3891303179471</v>
      </c>
      <c r="P6743">
        <v>-0.117854461595227</v>
      </c>
      <c r="Q6743">
        <v>9.9301720402911603E-2</v>
      </c>
      <c r="R6743">
        <v>0.94683034608741201</v>
      </c>
      <c r="S6743" t="s">
        <v>13746</v>
      </c>
      <c r="T6743" t="s">
        <v>14004</v>
      </c>
      <c r="U6743" t="s">
        <v>14004</v>
      </c>
      <c r="V6743" t="s">
        <v>14004</v>
      </c>
      <c r="W6743" t="s">
        <v>20686</v>
      </c>
      <c r="X6743">
        <v>9</v>
      </c>
      <c r="Y6743" t="s">
        <v>27464</v>
      </c>
      <c r="Z6743" t="s">
        <v>34453</v>
      </c>
      <c r="AA6743">
        <v>0.57561332919363373</v>
      </c>
      <c r="AB6743" t="str">
        <f>HYPERLINK("Melting_Curves/meltCurve_Q9UQ13_2_SHOC2.pdf", "Melting_Curves/meltCurve_Q9UQ13_2_SHOC2.pdf")</f>
        <v>Melting_Curves/meltCurve_Q9UQ13_2_SHOC2.pdf</v>
      </c>
    </row>
    <row r="6744" spans="1:28" x14ac:dyDescent="0.25">
      <c r="A6744" t="s">
        <v>6748</v>
      </c>
      <c r="B6744">
        <v>0.99999676499088797</v>
      </c>
      <c r="C6744">
        <v>0.82573040158771205</v>
      </c>
      <c r="D6744">
        <v>0.65115647492170503</v>
      </c>
      <c r="E6744">
        <v>0.49321162431611698</v>
      </c>
      <c r="F6744">
        <v>0.324815290690049</v>
      </c>
      <c r="G6744">
        <v>0.28032674096875998</v>
      </c>
      <c r="H6744">
        <v>0.15503023173875599</v>
      </c>
      <c r="I6744">
        <v>0.16157190920640899</v>
      </c>
      <c r="J6744">
        <v>0.21244784218430299</v>
      </c>
      <c r="K6744">
        <v>0.35616347183802499</v>
      </c>
      <c r="L6744">
        <v>732.531793443835</v>
      </c>
      <c r="M6744">
        <v>15.6043026571288</v>
      </c>
      <c r="N6744">
        <v>48.730502142460402</v>
      </c>
      <c r="O6744">
        <v>46.193517105262899</v>
      </c>
      <c r="P6744">
        <v>-6.6062951175324194E-2</v>
      </c>
      <c r="Q6744">
        <v>0.21780145341073701</v>
      </c>
      <c r="R6744">
        <v>0.95413228720965104</v>
      </c>
      <c r="S6744" t="s">
        <v>13747</v>
      </c>
      <c r="T6744" t="s">
        <v>14004</v>
      </c>
      <c r="U6744" t="s">
        <v>14004</v>
      </c>
      <c r="V6744" t="s">
        <v>14004</v>
      </c>
      <c r="W6744" t="s">
        <v>20687</v>
      </c>
      <c r="X6744">
        <v>33</v>
      </c>
      <c r="Y6744" t="s">
        <v>27465</v>
      </c>
      <c r="Z6744" t="s">
        <v>34454</v>
      </c>
      <c r="AA6744">
        <v>0.41850667661661461</v>
      </c>
      <c r="AB6744" t="str">
        <f>HYPERLINK("Melting_Curves/meltCurve_Q9UQ35_SRRM2.pdf", "Melting_Curves/meltCurve_Q9UQ35_SRRM2.pdf")</f>
        <v>Melting_Curves/meltCurve_Q9UQ35_SRRM2.pdf</v>
      </c>
    </row>
    <row r="6745" spans="1:28" x14ac:dyDescent="0.25">
      <c r="A6745" t="s">
        <v>6749</v>
      </c>
      <c r="B6745">
        <v>0.99999676499088797</v>
      </c>
      <c r="C6745">
        <v>0.92133692953196999</v>
      </c>
      <c r="D6745">
        <v>0.95868607009493301</v>
      </c>
      <c r="E6745">
        <v>0.98253692637470602</v>
      </c>
      <c r="F6745">
        <v>0.50105753405555198</v>
      </c>
      <c r="G6745">
        <v>0.215306188668243</v>
      </c>
      <c r="H6745">
        <v>8.7433093558647396E-2</v>
      </c>
      <c r="I6745">
        <v>7.9002995678245994E-2</v>
      </c>
      <c r="J6745">
        <v>7.2192387538094302E-2</v>
      </c>
      <c r="K6745">
        <v>7.0193480976201705E-2</v>
      </c>
      <c r="L6745">
        <v>1853.90630251997</v>
      </c>
      <c r="M6745">
        <v>34.889508408784103</v>
      </c>
      <c r="N6745">
        <v>53.407990635827403</v>
      </c>
      <c r="O6745">
        <v>52.962843854124799</v>
      </c>
      <c r="P6745">
        <v>-0.15130662212096299</v>
      </c>
      <c r="Q6745">
        <v>8.1259633359427402E-2</v>
      </c>
      <c r="R6745">
        <v>0.99178736355548502</v>
      </c>
      <c r="S6745" t="s">
        <v>13748</v>
      </c>
      <c r="T6745" t="s">
        <v>14004</v>
      </c>
      <c r="U6745" t="s">
        <v>14004</v>
      </c>
      <c r="V6745" t="s">
        <v>14004</v>
      </c>
      <c r="W6745" t="s">
        <v>20688</v>
      </c>
      <c r="X6745">
        <v>40</v>
      </c>
      <c r="Y6745" t="s">
        <v>27466</v>
      </c>
      <c r="Z6745" t="s">
        <v>34455</v>
      </c>
      <c r="AA6745">
        <v>0.48799053107797569</v>
      </c>
      <c r="AB6745" t="str">
        <f>HYPERLINK("Melting_Curves/meltCurve_Q9UQ80_PA2G4.pdf", "Melting_Curves/meltCurve_Q9UQ80_PA2G4.pdf")</f>
        <v>Melting_Curves/meltCurve_Q9UQ80_PA2G4.pdf</v>
      </c>
    </row>
    <row r="6746" spans="1:28" x14ac:dyDescent="0.25">
      <c r="A6746" t="s">
        <v>6750</v>
      </c>
      <c r="B6746">
        <v>0.99999676499088797</v>
      </c>
      <c r="C6746">
        <v>1.05170705215194</v>
      </c>
      <c r="D6746">
        <v>1.0326475111756701</v>
      </c>
      <c r="E6746">
        <v>1.0092897798857801</v>
      </c>
      <c r="F6746">
        <v>0.85227890900607195</v>
      </c>
      <c r="G6746">
        <v>0.58067706091392302</v>
      </c>
      <c r="H6746">
        <v>0.15178488663209899</v>
      </c>
      <c r="I6746">
        <v>0.14820529029940699</v>
      </c>
      <c r="J6746">
        <v>0.17915762299011101</v>
      </c>
      <c r="K6746">
        <v>0.133013444337689</v>
      </c>
      <c r="L6746">
        <v>1849.7305710104699</v>
      </c>
      <c r="M6746">
        <v>32.681093636969102</v>
      </c>
      <c r="N6746">
        <v>57.131656523900901</v>
      </c>
      <c r="O6746">
        <v>56.388751668963401</v>
      </c>
      <c r="P6746">
        <v>-0.12587649478413601</v>
      </c>
      <c r="Q6746">
        <v>0.13124262008437401</v>
      </c>
      <c r="R6746">
        <v>0.99112241370629195</v>
      </c>
      <c r="S6746" t="s">
        <v>13749</v>
      </c>
      <c r="T6746" t="s">
        <v>14004</v>
      </c>
      <c r="U6746" t="s">
        <v>14004</v>
      </c>
      <c r="V6746" t="s">
        <v>14004</v>
      </c>
      <c r="W6746" t="s">
        <v>20689</v>
      </c>
      <c r="X6746">
        <v>11</v>
      </c>
      <c r="Y6746" t="s">
        <v>27467</v>
      </c>
      <c r="Z6746" t="s">
        <v>34456</v>
      </c>
      <c r="AA6746">
        <v>0.61689427309718392</v>
      </c>
      <c r="AB6746" t="str">
        <f>HYPERLINK("Melting_Curves/meltCurve_Q9UQ90_SPG7.pdf", "Melting_Curves/meltCurve_Q9UQ90_SPG7.pdf")</f>
        <v>Melting_Curves/meltCurve_Q9UQ90_SPG7.pdf</v>
      </c>
    </row>
    <row r="6747" spans="1:28" x14ac:dyDescent="0.25">
      <c r="A6747" t="s">
        <v>6751</v>
      </c>
      <c r="B6747">
        <v>0.99999676499088797</v>
      </c>
      <c r="C6747">
        <v>0.96348956138280495</v>
      </c>
      <c r="D6747">
        <v>0.93248232342393</v>
      </c>
      <c r="E6747">
        <v>0.89879997613393703</v>
      </c>
      <c r="F6747">
        <v>0.63758162495585402</v>
      </c>
      <c r="G6747">
        <v>0.388657155876659</v>
      </c>
      <c r="H6747">
        <v>0.191967578028369</v>
      </c>
      <c r="I6747">
        <v>0.17104918029642999</v>
      </c>
      <c r="J6747">
        <v>0.17699914929542099</v>
      </c>
      <c r="K6747">
        <v>0.15386723465006599</v>
      </c>
      <c r="L6747">
        <v>1112.7478126389999</v>
      </c>
      <c r="M6747">
        <v>20.584189199901999</v>
      </c>
      <c r="N6747">
        <v>54.953489178358701</v>
      </c>
      <c r="O6747">
        <v>53.555927579686397</v>
      </c>
      <c r="P6747">
        <v>-8.2403673199883606E-2</v>
      </c>
      <c r="Q6747">
        <v>0.142433675295562</v>
      </c>
      <c r="R6747">
        <v>0.99611812695769697</v>
      </c>
      <c r="S6747" t="s">
        <v>13750</v>
      </c>
      <c r="T6747" t="s">
        <v>14004</v>
      </c>
      <c r="U6747" t="s">
        <v>14004</v>
      </c>
      <c r="V6747" t="s">
        <v>14004</v>
      </c>
      <c r="W6747" t="s">
        <v>20690</v>
      </c>
      <c r="X6747">
        <v>4</v>
      </c>
      <c r="Y6747" t="s">
        <v>27468</v>
      </c>
      <c r="Z6747" t="s">
        <v>34457</v>
      </c>
      <c r="AA6747">
        <v>0.55541387009417442</v>
      </c>
      <c r="AB6747" t="str">
        <f>HYPERLINK("Melting_Curves/meltCurve_Q9UQB8_3_BAIAP2.pdf", "Melting_Curves/meltCurve_Q9UQB8_3_BAIAP2.pdf")</f>
        <v>Melting_Curves/meltCurve_Q9UQB8_3_BAIAP2.pdf</v>
      </c>
    </row>
    <row r="6748" spans="1:28" x14ac:dyDescent="0.25">
      <c r="A6748" t="s">
        <v>6752</v>
      </c>
      <c r="B6748">
        <v>0.99999676499088797</v>
      </c>
      <c r="C6748">
        <v>1.0015261592529501</v>
      </c>
      <c r="D6748">
        <v>1.01698775218907</v>
      </c>
      <c r="E6748">
        <v>1.01699472630571</v>
      </c>
      <c r="F6748">
        <v>0.71513018776078596</v>
      </c>
      <c r="G6748">
        <v>0.35033224649143602</v>
      </c>
      <c r="H6748">
        <v>0.13623422860517301</v>
      </c>
      <c r="I6748">
        <v>0.114024488159674</v>
      </c>
      <c r="J6748">
        <v>0.10065938932370599</v>
      </c>
      <c r="K6748">
        <v>8.8877367814414701E-2</v>
      </c>
      <c r="L6748">
        <v>1624.2419877324501</v>
      </c>
      <c r="M6748">
        <v>29.620771638955301</v>
      </c>
      <c r="N6748">
        <v>55.229488957691601</v>
      </c>
      <c r="O6748">
        <v>54.5864614395418</v>
      </c>
      <c r="P6748">
        <v>-0.12271331820027299</v>
      </c>
      <c r="Q6748">
        <v>9.5440313183759604E-2</v>
      </c>
      <c r="R6748">
        <v>0.99735052586500095</v>
      </c>
      <c r="S6748" t="s">
        <v>13751</v>
      </c>
      <c r="T6748" t="s">
        <v>14004</v>
      </c>
      <c r="U6748" t="s">
        <v>14004</v>
      </c>
      <c r="V6748" t="s">
        <v>14004</v>
      </c>
      <c r="W6748" t="s">
        <v>20691</v>
      </c>
      <c r="X6748">
        <v>68</v>
      </c>
      <c r="Y6748" t="s">
        <v>27469</v>
      </c>
      <c r="Z6748" t="s">
        <v>34458</v>
      </c>
      <c r="AA6748">
        <v>0.54886990191021423</v>
      </c>
      <c r="AB6748" t="str">
        <f>HYPERLINK("Melting_Curves/meltCurve_Q9UQE7_SMC3.pdf", "Melting_Curves/meltCurve_Q9UQE7_SMC3.pdf")</f>
        <v>Melting_Curves/meltCurve_Q9UQE7_SMC3.pdf</v>
      </c>
    </row>
    <row r="6749" spans="1:28" x14ac:dyDescent="0.25">
      <c r="A6749" t="s">
        <v>6753</v>
      </c>
      <c r="B6749">
        <v>0.99999676499088797</v>
      </c>
      <c r="C6749">
        <v>1.0560336460514901</v>
      </c>
      <c r="D6749">
        <v>0.91873930118040004</v>
      </c>
      <c r="E6749">
        <v>0.63110920548446103</v>
      </c>
      <c r="F6749">
        <v>0.46278689748805302</v>
      </c>
      <c r="G6749">
        <v>0.44669532574996401</v>
      </c>
      <c r="H6749">
        <v>0.23907567274590799</v>
      </c>
      <c r="I6749">
        <v>0.29332857885229202</v>
      </c>
      <c r="J6749">
        <v>0.31990028749181099</v>
      </c>
      <c r="K6749">
        <v>0.22161393855702499</v>
      </c>
      <c r="L6749">
        <v>944.94343970512705</v>
      </c>
      <c r="M6749">
        <v>18.791535550002699</v>
      </c>
      <c r="N6749">
        <v>52.503577204544698</v>
      </c>
      <c r="O6749">
        <v>49.726507292495903</v>
      </c>
      <c r="P6749">
        <v>-6.8596309938684805E-2</v>
      </c>
      <c r="Q6749">
        <v>0.27394702449879099</v>
      </c>
      <c r="R6749">
        <v>0.96970641483877895</v>
      </c>
      <c r="S6749" t="s">
        <v>13752</v>
      </c>
      <c r="T6749" t="s">
        <v>14004</v>
      </c>
      <c r="U6749" t="s">
        <v>14004</v>
      </c>
      <c r="V6749" t="s">
        <v>14004</v>
      </c>
      <c r="W6749" t="s">
        <v>20692</v>
      </c>
      <c r="X6749">
        <v>10</v>
      </c>
      <c r="Y6749" t="s">
        <v>27470</v>
      </c>
      <c r="Z6749" t="s">
        <v>34459</v>
      </c>
      <c r="AA6749">
        <v>0.53425262905182114</v>
      </c>
      <c r="AB6749" t="str">
        <f>HYPERLINK("Melting_Curves/meltCurve_Q9UQN3_CHMP2B.pdf", "Melting_Curves/meltCurve_Q9UQN3_CHMP2B.pdf")</f>
        <v>Melting_Curves/meltCurve_Q9UQN3_CHMP2B.pdf</v>
      </c>
    </row>
    <row r="6750" spans="1:28" x14ac:dyDescent="0.25">
      <c r="A6750" t="s">
        <v>6754</v>
      </c>
      <c r="B6750">
        <v>0.99999676499088797</v>
      </c>
      <c r="C6750">
        <v>0.92823212552840595</v>
      </c>
      <c r="D6750">
        <v>0.87607045876096701</v>
      </c>
      <c r="E6750">
        <v>0.71289345014608196</v>
      </c>
      <c r="F6750">
        <v>0.54247069912406598</v>
      </c>
      <c r="G6750">
        <v>0.69183734528644103</v>
      </c>
      <c r="H6750">
        <v>0.30051308277135003</v>
      </c>
      <c r="I6750">
        <v>4.5136608821252602E-2</v>
      </c>
      <c r="J6750">
        <v>0</v>
      </c>
      <c r="K6750">
        <v>3.0148686669256099E-2</v>
      </c>
      <c r="L6750">
        <v>643.00572170901</v>
      </c>
      <c r="M6750">
        <v>11.597432156159</v>
      </c>
      <c r="N6750">
        <v>55.443801096583996</v>
      </c>
      <c r="O6750">
        <v>53.872246324498903</v>
      </c>
      <c r="P6750">
        <v>-5.3833943355530503E-2</v>
      </c>
      <c r="Q6750">
        <v>0</v>
      </c>
      <c r="R6750">
        <v>0.91351105091245499</v>
      </c>
      <c r="S6750" t="s">
        <v>13753</v>
      </c>
      <c r="T6750" t="s">
        <v>14004</v>
      </c>
      <c r="U6750" t="s">
        <v>14004</v>
      </c>
      <c r="V6750" t="s">
        <v>14004</v>
      </c>
      <c r="W6750" t="s">
        <v>20693</v>
      </c>
      <c r="X6750">
        <v>1</v>
      </c>
      <c r="Y6750" t="s">
        <v>27471</v>
      </c>
      <c r="Z6750" t="s">
        <v>34460</v>
      </c>
      <c r="AA6750">
        <v>0.5373465356450281</v>
      </c>
      <c r="AB6750" t="str">
        <f>HYPERLINK("Melting_Curves/meltCurve_Q9UQP3_TNN.pdf", "Melting_Curves/meltCurve_Q9UQP3_TNN.pdf")</f>
        <v>Melting_Curves/meltCurve_Q9UQP3_TNN.pdf</v>
      </c>
    </row>
    <row r="6751" spans="1:28" x14ac:dyDescent="0.25">
      <c r="A6751" t="s">
        <v>6755</v>
      </c>
      <c r="B6751">
        <v>0.99999676499088797</v>
      </c>
      <c r="C6751">
        <v>0.30560687178245799</v>
      </c>
      <c r="D6751">
        <v>0.19153397794972901</v>
      </c>
      <c r="E6751">
        <v>0.111225924607308</v>
      </c>
      <c r="F6751">
        <v>8.9327305136454302E-2</v>
      </c>
      <c r="G6751">
        <v>5.3773463163697903E-2</v>
      </c>
      <c r="H6751">
        <v>3.3869544956283901E-2</v>
      </c>
      <c r="I6751">
        <v>3.50357559828735E-2</v>
      </c>
      <c r="J6751">
        <v>3.74536721312567E-2</v>
      </c>
      <c r="K6751">
        <v>3.5695676873376499E-2</v>
      </c>
      <c r="L6751">
        <v>2930.9622750202602</v>
      </c>
      <c r="M6751">
        <v>69.390317768206501</v>
      </c>
      <c r="N6751">
        <v>42.334666031506998</v>
      </c>
      <c r="O6751">
        <v>42.203738439064402</v>
      </c>
      <c r="P6751">
        <v>-0.38115603832272099</v>
      </c>
      <c r="Q6751">
        <v>7.2711790636706797E-2</v>
      </c>
      <c r="R6751">
        <v>0.97324782240876295</v>
      </c>
      <c r="S6751" t="s">
        <v>13754</v>
      </c>
      <c r="T6751" t="s">
        <v>14004</v>
      </c>
      <c r="U6751" t="s">
        <v>14004</v>
      </c>
      <c r="V6751" t="s">
        <v>14004</v>
      </c>
      <c r="W6751" t="s">
        <v>20694</v>
      </c>
      <c r="X6751">
        <v>6</v>
      </c>
      <c r="Y6751" t="s">
        <v>27472</v>
      </c>
      <c r="Z6751" t="s">
        <v>34461</v>
      </c>
      <c r="AA6751">
        <v>0.14314074596749399</v>
      </c>
      <c r="AB6751" t="str">
        <f>HYPERLINK("Melting_Curves/meltCurve_Q9UQR0_SCML2.pdf", "Melting_Curves/meltCurve_Q9UQR0_SCML2.pdf")</f>
        <v>Melting_Curves/meltCurve_Q9UQR0_SCML2.pdf</v>
      </c>
    </row>
    <row r="6752" spans="1:28" x14ac:dyDescent="0.25">
      <c r="A6752" t="s">
        <v>6756</v>
      </c>
      <c r="B6752">
        <v>0.99999676499088797</v>
      </c>
      <c r="C6752">
        <v>0.86514902848564301</v>
      </c>
      <c r="D6752">
        <v>0.68529881734609099</v>
      </c>
      <c r="E6752">
        <v>0.57280221977092904</v>
      </c>
      <c r="F6752">
        <v>0.38282805079040999</v>
      </c>
      <c r="G6752">
        <v>0.31203340764947801</v>
      </c>
      <c r="H6752">
        <v>0.24071597154024699</v>
      </c>
      <c r="I6752">
        <v>0.29396573108118301</v>
      </c>
      <c r="J6752">
        <v>0.29736652460523499</v>
      </c>
      <c r="K6752">
        <v>0.44676538942830002</v>
      </c>
      <c r="L6752">
        <v>786.44268856868905</v>
      </c>
      <c r="M6752">
        <v>16.740403315395199</v>
      </c>
      <c r="N6752">
        <v>49.850990912508301</v>
      </c>
      <c r="O6752">
        <v>46.323672949471401</v>
      </c>
      <c r="P6752">
        <v>-6.23944253546896E-2</v>
      </c>
      <c r="Q6752">
        <v>0.30941908626454201</v>
      </c>
      <c r="R6752">
        <v>0.946382697008047</v>
      </c>
      <c r="S6752" t="s">
        <v>13755</v>
      </c>
      <c r="T6752" t="s">
        <v>14004</v>
      </c>
      <c r="U6752" t="s">
        <v>14004</v>
      </c>
      <c r="V6752" t="s">
        <v>14004</v>
      </c>
      <c r="W6752" t="s">
        <v>20695</v>
      </c>
      <c r="X6752">
        <v>5</v>
      </c>
      <c r="Y6752" t="s">
        <v>27473</v>
      </c>
      <c r="Z6752" t="s">
        <v>34462</v>
      </c>
      <c r="AA6752">
        <v>0.48498229535690163</v>
      </c>
      <c r="AB6752" t="str">
        <f>HYPERLINK("Melting_Curves/meltCurve_Q9UQR1_ZNF148.pdf", "Melting_Curves/meltCurve_Q9UQR1_ZNF148.pdf")</f>
        <v>Melting_Curves/meltCurve_Q9UQR1_ZNF148.pdf</v>
      </c>
    </row>
    <row r="6753" spans="1:28" x14ac:dyDescent="0.25">
      <c r="A6753" t="s">
        <v>6757</v>
      </c>
      <c r="B6753">
        <v>0.99999676499088797</v>
      </c>
      <c r="C6753">
        <v>0.97927925420828399</v>
      </c>
      <c r="D6753">
        <v>0.82095788248700996</v>
      </c>
      <c r="E6753">
        <v>0.606131335871538</v>
      </c>
      <c r="F6753">
        <v>0.27589620966073802</v>
      </c>
      <c r="G6753">
        <v>0.16402273752823801</v>
      </c>
      <c r="H6753">
        <v>7.9791906818066E-2</v>
      </c>
      <c r="I6753">
        <v>8.9953278307643006E-2</v>
      </c>
      <c r="J6753">
        <v>8.0705592431206605E-2</v>
      </c>
      <c r="K6753">
        <v>7.0709081273708799E-2</v>
      </c>
      <c r="L6753">
        <v>952.54292957654604</v>
      </c>
      <c r="M6753">
        <v>19.017412532943901</v>
      </c>
      <c r="N6753">
        <v>50.464064015134198</v>
      </c>
      <c r="O6753">
        <v>49.5439734058493</v>
      </c>
      <c r="P6753">
        <v>-8.9624841397263705E-2</v>
      </c>
      <c r="Q6753">
        <v>6.6078379361306394E-2</v>
      </c>
      <c r="R6753">
        <v>0.99762472382441103</v>
      </c>
      <c r="S6753" t="s">
        <v>13756</v>
      </c>
      <c r="T6753" t="s">
        <v>14004</v>
      </c>
      <c r="U6753" t="s">
        <v>14004</v>
      </c>
      <c r="V6753" t="s">
        <v>14004</v>
      </c>
      <c r="W6753" t="s">
        <v>20696</v>
      </c>
      <c r="X6753">
        <v>7</v>
      </c>
      <c r="Y6753" t="s">
        <v>27474</v>
      </c>
      <c r="Z6753" t="s">
        <v>34463</v>
      </c>
      <c r="AA6753">
        <v>0.39444906541349728</v>
      </c>
      <c r="AB6753" t="str">
        <f>HYPERLINK("Melting_Curves/meltCurve_Q9Y217_MTMR6.pdf", "Melting_Curves/meltCurve_Q9Y217_MTMR6.pdf")</f>
        <v>Melting_Curves/meltCurve_Q9Y217_MTMR6.pdf</v>
      </c>
    </row>
    <row r="6754" spans="1:28" x14ac:dyDescent="0.25">
      <c r="A6754" t="s">
        <v>6758</v>
      </c>
      <c r="B6754">
        <v>0.99999676499088797</v>
      </c>
      <c r="C6754">
        <v>0.94974219229694301</v>
      </c>
      <c r="D6754">
        <v>0.988777014859198</v>
      </c>
      <c r="E6754">
        <v>1.1843734305498901</v>
      </c>
      <c r="F6754">
        <v>1.09612029905148</v>
      </c>
      <c r="G6754">
        <v>0.39508513337158102</v>
      </c>
      <c r="H6754">
        <v>0.13241339624859699</v>
      </c>
      <c r="I6754">
        <v>9.7823474130606297E-2</v>
      </c>
      <c r="J6754">
        <v>9.4855482580568404E-2</v>
      </c>
      <c r="K6754">
        <v>7.7191526580190795E-2</v>
      </c>
      <c r="L6754">
        <v>14159.117613159</v>
      </c>
      <c r="M6754">
        <v>250</v>
      </c>
      <c r="N6754">
        <v>56.687398003799302</v>
      </c>
      <c r="O6754">
        <v>56.632848378498998</v>
      </c>
      <c r="P6754">
        <v>-0.99260975341997104</v>
      </c>
      <c r="Q6754">
        <v>0.100570954679228</v>
      </c>
      <c r="R6754">
        <v>0.976975440837759</v>
      </c>
      <c r="S6754" t="s">
        <v>13757</v>
      </c>
      <c r="T6754" t="s">
        <v>14004</v>
      </c>
      <c r="U6754" t="s">
        <v>14004</v>
      </c>
      <c r="V6754" t="s">
        <v>14004</v>
      </c>
      <c r="W6754" t="s">
        <v>20697</v>
      </c>
      <c r="X6754">
        <v>6</v>
      </c>
      <c r="Y6754" t="s">
        <v>27475</v>
      </c>
      <c r="Z6754" t="s">
        <v>34464</v>
      </c>
      <c r="AA6754">
        <v>0.59943784566436731</v>
      </c>
      <c r="AB6754" t="str">
        <f>HYPERLINK("Melting_Curves/meltCurve_Q9Y221_NIP7.pdf", "Melting_Curves/meltCurve_Q9Y221_NIP7.pdf")</f>
        <v>Melting_Curves/meltCurve_Q9Y221_NIP7.pdf</v>
      </c>
    </row>
    <row r="6755" spans="1:28" x14ac:dyDescent="0.25">
      <c r="A6755" t="s">
        <v>6759</v>
      </c>
      <c r="B6755">
        <v>0.99999676499088797</v>
      </c>
      <c r="C6755">
        <v>1.1850421744722901</v>
      </c>
      <c r="D6755">
        <v>1.1913287546512701</v>
      </c>
      <c r="E6755">
        <v>1.48076354316745</v>
      </c>
      <c r="F6755">
        <v>1.4643493709147199</v>
      </c>
      <c r="G6755">
        <v>0.99168177492094101</v>
      </c>
      <c r="H6755">
        <v>0.16345336069404301</v>
      </c>
      <c r="I6755">
        <v>0.14624654591233699</v>
      </c>
      <c r="J6755">
        <v>0.13925901538363999</v>
      </c>
      <c r="K6755">
        <v>0.111082681979391</v>
      </c>
      <c r="L6755">
        <v>6852.6905696794001</v>
      </c>
      <c r="M6755">
        <v>115.992099740016</v>
      </c>
      <c r="N6755">
        <v>59.235649590565501</v>
      </c>
      <c r="O6755">
        <v>59.061385726511404</v>
      </c>
      <c r="P6755">
        <v>-0.42610348096071898</v>
      </c>
      <c r="Q6755">
        <v>0.13213876813488501</v>
      </c>
      <c r="R6755">
        <v>0.82866897492172797</v>
      </c>
      <c r="S6755" t="s">
        <v>13758</v>
      </c>
      <c r="T6755" t="s">
        <v>14004</v>
      </c>
      <c r="U6755" t="s">
        <v>14004</v>
      </c>
      <c r="V6755" t="s">
        <v>14004</v>
      </c>
      <c r="W6755" t="s">
        <v>20698</v>
      </c>
      <c r="X6755">
        <v>15</v>
      </c>
      <c r="Y6755" t="s">
        <v>27476</v>
      </c>
      <c r="Z6755" t="s">
        <v>34465</v>
      </c>
      <c r="AA6755">
        <v>0.68448625470689184</v>
      </c>
      <c r="AB6755" t="str">
        <f>HYPERLINK("Melting_Curves/meltCurve_Q9Y223_3_GNE.pdf", "Melting_Curves/meltCurve_Q9Y223_3_GNE.pdf")</f>
        <v>Melting_Curves/meltCurve_Q9Y223_3_GNE.pdf</v>
      </c>
    </row>
    <row r="6756" spans="1:28" x14ac:dyDescent="0.25">
      <c r="A6756" t="s">
        <v>6760</v>
      </c>
      <c r="B6756">
        <v>0.99999676499088797</v>
      </c>
      <c r="C6756">
        <v>0.98668415291786105</v>
      </c>
      <c r="D6756">
        <v>0.99908428121414405</v>
      </c>
      <c r="E6756">
        <v>0.84658184439483097</v>
      </c>
      <c r="F6756">
        <v>0.45990132951291302</v>
      </c>
      <c r="G6756">
        <v>0.31302582373244497</v>
      </c>
      <c r="H6756">
        <v>0.15523055931374899</v>
      </c>
      <c r="I6756">
        <v>0.125713199177413</v>
      </c>
      <c r="J6756">
        <v>0.107076439786902</v>
      </c>
      <c r="K6756">
        <v>0.12508641526728201</v>
      </c>
      <c r="L6756">
        <v>1202.2329942767301</v>
      </c>
      <c r="M6756">
        <v>22.842327775986401</v>
      </c>
      <c r="N6756">
        <v>53.265553880562102</v>
      </c>
      <c r="O6756">
        <v>52.233403294296501</v>
      </c>
      <c r="P6756">
        <v>-9.6321634438382001E-2</v>
      </c>
      <c r="Q6756">
        <v>0.118984719933575</v>
      </c>
      <c r="R6756">
        <v>0.99511469859255097</v>
      </c>
      <c r="S6756" t="s">
        <v>13759</v>
      </c>
      <c r="T6756" t="s">
        <v>14004</v>
      </c>
      <c r="U6756" t="s">
        <v>14004</v>
      </c>
      <c r="V6756" t="s">
        <v>14004</v>
      </c>
      <c r="W6756" t="s">
        <v>20699</v>
      </c>
      <c r="X6756">
        <v>19</v>
      </c>
      <c r="Y6756" t="s">
        <v>21901</v>
      </c>
      <c r="Z6756" t="s">
        <v>34466</v>
      </c>
      <c r="AA6756">
        <v>0.49952104064431008</v>
      </c>
      <c r="AB6756" t="str">
        <f>HYPERLINK("Melting_Curves/meltCurve_Q9Y224_C14orf166.pdf", "Melting_Curves/meltCurve_Q9Y224_C14orf166.pdf")</f>
        <v>Melting_Curves/meltCurve_Q9Y224_C14orf166.pdf</v>
      </c>
    </row>
    <row r="6757" spans="1:28" x14ac:dyDescent="0.25">
      <c r="A6757" t="s">
        <v>6761</v>
      </c>
      <c r="B6757">
        <v>0.99999676499088797</v>
      </c>
      <c r="C6757">
        <v>0.99008829000051302</v>
      </c>
      <c r="D6757">
        <v>0.98289891595811396</v>
      </c>
      <c r="E6757">
        <v>0.70728948378535506</v>
      </c>
      <c r="F6757">
        <v>0.50658294733342502</v>
      </c>
      <c r="G6757">
        <v>0.41182730500242398</v>
      </c>
      <c r="H6757">
        <v>0.29086856360032498</v>
      </c>
      <c r="I6757">
        <v>0.34969494181262301</v>
      </c>
      <c r="J6757">
        <v>0.365849795605799</v>
      </c>
      <c r="K6757">
        <v>0.35385152621424798</v>
      </c>
      <c r="L6757">
        <v>1226.03413116821</v>
      </c>
      <c r="M6757">
        <v>24.317299474422398</v>
      </c>
      <c r="N6757">
        <v>52.958615037757802</v>
      </c>
      <c r="O6757">
        <v>50.080936712779398</v>
      </c>
      <c r="P6757">
        <v>-7.9599907840411599E-2</v>
      </c>
      <c r="Q6757">
        <v>0.34427293928762198</v>
      </c>
      <c r="R6757">
        <v>0.98962532169932704</v>
      </c>
      <c r="S6757" t="s">
        <v>13760</v>
      </c>
      <c r="T6757" t="s">
        <v>14004</v>
      </c>
      <c r="U6757" t="s">
        <v>14004</v>
      </c>
      <c r="V6757" t="s">
        <v>14004</v>
      </c>
      <c r="W6757" t="s">
        <v>14107</v>
      </c>
      <c r="X6757">
        <v>17</v>
      </c>
      <c r="Y6757" t="s">
        <v>21043</v>
      </c>
      <c r="Z6757" t="s">
        <v>34467</v>
      </c>
      <c r="AA6757">
        <v>0.57820891861322821</v>
      </c>
      <c r="AB6757" t="str">
        <f>HYPERLINK("Melting_Curves/meltCurve_Q9Y228_TRAF3IP3.pdf", "Melting_Curves/meltCurve_Q9Y228_TRAF3IP3.pdf")</f>
        <v>Melting_Curves/meltCurve_Q9Y228_TRAF3IP3.pdf</v>
      </c>
    </row>
    <row r="6758" spans="1:28" x14ac:dyDescent="0.25">
      <c r="A6758" t="s">
        <v>6762</v>
      </c>
      <c r="B6758">
        <v>0.99999676499088797</v>
      </c>
      <c r="C6758">
        <v>1.0165811381513801</v>
      </c>
      <c r="D6758">
        <v>0.95724219729679505</v>
      </c>
      <c r="E6758">
        <v>1.00571039252188</v>
      </c>
      <c r="F6758">
        <v>1.17512477961193</v>
      </c>
      <c r="G6758">
        <v>1.13279108527809</v>
      </c>
      <c r="H6758">
        <v>0.72285878408099002</v>
      </c>
      <c r="I6758">
        <v>0.55529315710817695</v>
      </c>
      <c r="J6758">
        <v>0.18202577226615699</v>
      </c>
      <c r="K6758">
        <v>0.134022219223145</v>
      </c>
      <c r="L6758">
        <v>1933.8802349236901</v>
      </c>
      <c r="M6758">
        <v>30.385964619006799</v>
      </c>
      <c r="N6758">
        <v>63.924580651025302</v>
      </c>
      <c r="O6758">
        <v>63.370123609695902</v>
      </c>
      <c r="P6758">
        <v>-0.112388746633539</v>
      </c>
      <c r="Q6758">
        <v>6.2456085077715003E-2</v>
      </c>
      <c r="R6758">
        <v>0.94350908944137502</v>
      </c>
      <c r="S6758" t="s">
        <v>13761</v>
      </c>
      <c r="T6758" t="s">
        <v>14004</v>
      </c>
      <c r="U6758" t="s">
        <v>14004</v>
      </c>
      <c r="V6758" t="s">
        <v>14004</v>
      </c>
      <c r="W6758" t="s">
        <v>20700</v>
      </c>
      <c r="X6758">
        <v>35</v>
      </c>
      <c r="Y6758" t="s">
        <v>27477</v>
      </c>
      <c r="Z6758" t="s">
        <v>34468</v>
      </c>
      <c r="AA6758">
        <v>0.80329092280151726</v>
      </c>
      <c r="AB6758" t="str">
        <f>HYPERLINK("Melting_Curves/meltCurve_Q9Y230_RUVBL2.pdf", "Melting_Curves/meltCurve_Q9Y230_RUVBL2.pdf")</f>
        <v>Melting_Curves/meltCurve_Q9Y230_RUVBL2.pdf</v>
      </c>
    </row>
    <row r="6759" spans="1:28" x14ac:dyDescent="0.25">
      <c r="A6759" t="s">
        <v>6763</v>
      </c>
      <c r="B6759">
        <v>0.99999676499088797</v>
      </c>
      <c r="C6759">
        <v>1.0025557206282401</v>
      </c>
      <c r="D6759">
        <v>0.86238901814708002</v>
      </c>
      <c r="E6759">
        <v>0.72336921915816599</v>
      </c>
      <c r="F6759">
        <v>0.6295069203193</v>
      </c>
      <c r="G6759">
        <v>0.51746984830853804</v>
      </c>
      <c r="H6759">
        <v>0.416946963018202</v>
      </c>
      <c r="I6759">
        <v>0.51852465754774302</v>
      </c>
      <c r="J6759">
        <v>0.48680963262738097</v>
      </c>
      <c r="K6759">
        <v>0.60684753796305202</v>
      </c>
      <c r="L6759">
        <v>959.06452048723804</v>
      </c>
      <c r="M6759">
        <v>19.591183602332201</v>
      </c>
      <c r="O6759">
        <v>48.452388784254303</v>
      </c>
      <c r="P6759">
        <v>-4.9980243307898402E-2</v>
      </c>
      <c r="Q6759">
        <v>0.50557828443216801</v>
      </c>
      <c r="R6759">
        <v>0.94114558093672696</v>
      </c>
      <c r="S6759" t="s">
        <v>13762</v>
      </c>
      <c r="T6759" t="s">
        <v>14004</v>
      </c>
      <c r="U6759" t="s">
        <v>14004</v>
      </c>
      <c r="V6759" t="s">
        <v>14004</v>
      </c>
      <c r="W6759" t="s">
        <v>20701</v>
      </c>
      <c r="X6759">
        <v>7</v>
      </c>
      <c r="Y6759" t="s">
        <v>27478</v>
      </c>
      <c r="Z6759" t="s">
        <v>34469</v>
      </c>
      <c r="AA6759">
        <v>0.66037076270667006</v>
      </c>
      <c r="AB6759" t="str">
        <f>HYPERLINK("Melting_Curves/meltCurve_Q9Y232_2_CDYL.pdf", "Melting_Curves/meltCurve_Q9Y232_2_CDYL.pdf")</f>
        <v>Melting_Curves/meltCurve_Q9Y232_2_CDYL.pdf</v>
      </c>
    </row>
    <row r="6760" spans="1:28" x14ac:dyDescent="0.25">
      <c r="A6760" t="s">
        <v>6764</v>
      </c>
      <c r="B6760">
        <v>0.99999676499088797</v>
      </c>
      <c r="C6760">
        <v>0.85787462250264501</v>
      </c>
      <c r="D6760">
        <v>0.78507921647110401</v>
      </c>
      <c r="E6760">
        <v>0.751221057607797</v>
      </c>
      <c r="F6760">
        <v>0.66766123215131401</v>
      </c>
      <c r="G6760">
        <v>0.49781838669504103</v>
      </c>
      <c r="H6760">
        <v>0.19169313502729199</v>
      </c>
      <c r="I6760">
        <v>0.19351322112355901</v>
      </c>
      <c r="J6760">
        <v>0.177204149706923</v>
      </c>
      <c r="K6760">
        <v>0.176227460730667</v>
      </c>
      <c r="L6760">
        <v>490.99765457042099</v>
      </c>
      <c r="M6760">
        <v>8.8860717859435105</v>
      </c>
      <c r="N6760">
        <v>55.254747687040698</v>
      </c>
      <c r="O6760">
        <v>52.671194000082899</v>
      </c>
      <c r="P6760">
        <v>-4.2209237183862297E-2</v>
      </c>
      <c r="Q6760">
        <v>0</v>
      </c>
      <c r="R6760">
        <v>0.95930787264189199</v>
      </c>
      <c r="S6760" t="s">
        <v>13763</v>
      </c>
      <c r="T6760" t="s">
        <v>14004</v>
      </c>
      <c r="U6760" t="s">
        <v>14004</v>
      </c>
      <c r="V6760" t="s">
        <v>14004</v>
      </c>
      <c r="W6760" t="s">
        <v>20702</v>
      </c>
      <c r="X6760">
        <v>7</v>
      </c>
      <c r="Y6760" t="s">
        <v>27479</v>
      </c>
      <c r="Z6760" t="s">
        <v>34470</v>
      </c>
      <c r="AA6760">
        <v>0.53378350624382376</v>
      </c>
      <c r="AB6760" t="str">
        <f>HYPERLINK("Melting_Curves/meltCurve_Q9Y237_PIN4.pdf", "Melting_Curves/meltCurve_Q9Y237_PIN4.pdf")</f>
        <v>Melting_Curves/meltCurve_Q9Y237_PIN4.pdf</v>
      </c>
    </row>
    <row r="6761" spans="1:28" x14ac:dyDescent="0.25">
      <c r="A6761" t="s">
        <v>6765</v>
      </c>
      <c r="B6761">
        <v>0.99999676499088797</v>
      </c>
      <c r="C6761">
        <v>1.1029546635612799</v>
      </c>
      <c r="D6761">
        <v>1.1402155349239</v>
      </c>
      <c r="E6761">
        <v>1.3497937623123899</v>
      </c>
      <c r="F6761">
        <v>1.3212640031681899</v>
      </c>
      <c r="G6761">
        <v>0.76271435042739</v>
      </c>
      <c r="H6761">
        <v>0.34270840371087102</v>
      </c>
      <c r="I6761">
        <v>0.24131041451254001</v>
      </c>
      <c r="J6761">
        <v>0.183260930192128</v>
      </c>
      <c r="K6761">
        <v>0.26103168768560697</v>
      </c>
      <c r="L6761">
        <v>3135.5185178665001</v>
      </c>
      <c r="M6761">
        <v>54.221334941235398</v>
      </c>
      <c r="N6761">
        <v>58.539381998037797</v>
      </c>
      <c r="O6761">
        <v>57.7496214232862</v>
      </c>
      <c r="P6761">
        <v>-0.17809615491473399</v>
      </c>
      <c r="Q6761">
        <v>0.24125948427896399</v>
      </c>
      <c r="R6761">
        <v>0.86659945085423395</v>
      </c>
      <c r="S6761" t="s">
        <v>13764</v>
      </c>
      <c r="T6761" t="s">
        <v>14004</v>
      </c>
      <c r="U6761" t="s">
        <v>14004</v>
      </c>
      <c r="V6761" t="s">
        <v>14004</v>
      </c>
      <c r="W6761" t="s">
        <v>20703</v>
      </c>
      <c r="X6761">
        <v>5</v>
      </c>
      <c r="Y6761" t="s">
        <v>27480</v>
      </c>
      <c r="Z6761" t="s">
        <v>34471</v>
      </c>
      <c r="AA6761">
        <v>0.69379809129285641</v>
      </c>
      <c r="AB6761" t="str">
        <f>HYPERLINK("Melting_Curves/meltCurve_Q9Y244_POMP.pdf", "Melting_Curves/meltCurve_Q9Y244_POMP.pdf")</f>
        <v>Melting_Curves/meltCurve_Q9Y244_POMP.pdf</v>
      </c>
    </row>
    <row r="6762" spans="1:28" x14ac:dyDescent="0.25">
      <c r="A6762" t="s">
        <v>6766</v>
      </c>
      <c r="B6762">
        <v>0.99999676499088797</v>
      </c>
      <c r="C6762">
        <v>0.98350660512292798</v>
      </c>
      <c r="D6762">
        <v>0.90323906828605305</v>
      </c>
      <c r="E6762">
        <v>0.89797386170264604</v>
      </c>
      <c r="F6762">
        <v>0.35296868096214901</v>
      </c>
      <c r="G6762">
        <v>0.184867570852947</v>
      </c>
      <c r="H6762">
        <v>6.9363670898630894E-2</v>
      </c>
      <c r="I6762">
        <v>5.21293706093632E-2</v>
      </c>
      <c r="J6762">
        <v>5.51499489236408E-2</v>
      </c>
      <c r="K6762">
        <v>5.2394887323768499E-2</v>
      </c>
      <c r="L6762">
        <v>1731.0197962019799</v>
      </c>
      <c r="M6762">
        <v>33.1798675171095</v>
      </c>
      <c r="N6762">
        <v>52.389203047180999</v>
      </c>
      <c r="O6762">
        <v>51.982385032905</v>
      </c>
      <c r="P6762">
        <v>-0.149265870474936</v>
      </c>
      <c r="Q6762">
        <v>6.4594222698776196E-2</v>
      </c>
      <c r="R6762">
        <v>0.99131015763170105</v>
      </c>
      <c r="S6762" t="s">
        <v>13765</v>
      </c>
      <c r="T6762" t="s">
        <v>14004</v>
      </c>
      <c r="U6762" t="s">
        <v>14004</v>
      </c>
      <c r="V6762" t="s">
        <v>14004</v>
      </c>
      <c r="W6762" t="s">
        <v>20704</v>
      </c>
      <c r="X6762">
        <v>8</v>
      </c>
      <c r="Y6762" t="s">
        <v>27481</v>
      </c>
      <c r="Z6762" t="s">
        <v>34472</v>
      </c>
      <c r="AA6762">
        <v>0.44898618036916049</v>
      </c>
      <c r="AB6762" t="str">
        <f>HYPERLINK("Melting_Curves/meltCurve_Q9Y248_GINS2.pdf", "Melting_Curves/meltCurve_Q9Y248_GINS2.pdf")</f>
        <v>Melting_Curves/meltCurve_Q9Y248_GINS2.pdf</v>
      </c>
    </row>
    <row r="6763" spans="1:28" x14ac:dyDescent="0.25">
      <c r="A6763" t="s">
        <v>6767</v>
      </c>
      <c r="B6763">
        <v>0.99999676499088797</v>
      </c>
      <c r="C6763">
        <v>1.09783749752587</v>
      </c>
      <c r="D6763">
        <v>0.99152892480917199</v>
      </c>
      <c r="E6763">
        <v>0.94666695432619896</v>
      </c>
      <c r="F6763">
        <v>0.87018280065601294</v>
      </c>
      <c r="G6763">
        <v>0.69474706326083602</v>
      </c>
      <c r="H6763">
        <v>0.431408929682641</v>
      </c>
      <c r="I6763">
        <v>0.38173893453720997</v>
      </c>
      <c r="J6763">
        <v>0.25488060638528498</v>
      </c>
      <c r="K6763">
        <v>0.17961758694850999</v>
      </c>
      <c r="L6763">
        <v>893.86513501475395</v>
      </c>
      <c r="M6763">
        <v>15.129139364895799</v>
      </c>
      <c r="N6763">
        <v>60.2365875487138</v>
      </c>
      <c r="O6763">
        <v>58.078974641448603</v>
      </c>
      <c r="P6763">
        <v>-5.69342219169056E-2</v>
      </c>
      <c r="Q6763">
        <v>0.125830793609673</v>
      </c>
      <c r="R6763">
        <v>0.98624252793235601</v>
      </c>
      <c r="S6763" t="s">
        <v>13766</v>
      </c>
      <c r="T6763" t="s">
        <v>14004</v>
      </c>
      <c r="U6763" t="s">
        <v>14004</v>
      </c>
      <c r="V6763" t="s">
        <v>14004</v>
      </c>
      <c r="W6763" t="s">
        <v>20705</v>
      </c>
      <c r="X6763">
        <v>7</v>
      </c>
      <c r="Y6763" t="s">
        <v>27482</v>
      </c>
      <c r="Z6763" t="s">
        <v>34473</v>
      </c>
      <c r="AA6763">
        <v>0.69083834122430454</v>
      </c>
      <c r="AB6763" t="str">
        <f>HYPERLINK("Melting_Curves/meltCurve_Q9Y259_CHKB.pdf", "Melting_Curves/meltCurve_Q9Y259_CHKB.pdf")</f>
        <v>Melting_Curves/meltCurve_Q9Y259_CHKB.pdf</v>
      </c>
    </row>
    <row r="6764" spans="1:28" x14ac:dyDescent="0.25">
      <c r="A6764" t="s">
        <v>6768</v>
      </c>
      <c r="B6764">
        <v>0.99999676499088797</v>
      </c>
      <c r="C6764">
        <v>0.94374464291987203</v>
      </c>
      <c r="D6764">
        <v>0.80376032049647705</v>
      </c>
      <c r="E6764">
        <v>0.353550014741706</v>
      </c>
      <c r="F6764">
        <v>0.21165214481400399</v>
      </c>
      <c r="G6764">
        <v>0.13679860793672699</v>
      </c>
      <c r="H6764">
        <v>6.6483282845753097E-2</v>
      </c>
      <c r="I6764">
        <v>6.1995562885649197E-2</v>
      </c>
      <c r="J6764">
        <v>5.6613286416158801E-2</v>
      </c>
      <c r="K6764">
        <v>5.1817036742235499E-2</v>
      </c>
      <c r="L6764">
        <v>1104.97058012145</v>
      </c>
      <c r="M6764">
        <v>22.881184254513101</v>
      </c>
      <c r="N6764">
        <v>48.6070813214412</v>
      </c>
      <c r="O6764">
        <v>47.927336887862701</v>
      </c>
      <c r="P6764">
        <v>-0.111121446653969</v>
      </c>
      <c r="Q6764">
        <v>6.8989810129613999E-2</v>
      </c>
      <c r="R6764">
        <v>0.99496187093530197</v>
      </c>
      <c r="S6764" t="s">
        <v>13767</v>
      </c>
      <c r="T6764" t="s">
        <v>14004</v>
      </c>
      <c r="U6764" t="s">
        <v>14004</v>
      </c>
      <c r="V6764" t="s">
        <v>14004</v>
      </c>
      <c r="W6764" t="s">
        <v>20706</v>
      </c>
      <c r="X6764">
        <v>32</v>
      </c>
      <c r="Y6764" t="s">
        <v>27483</v>
      </c>
      <c r="Z6764" t="s">
        <v>34474</v>
      </c>
      <c r="AA6764">
        <v>0.33622537993147578</v>
      </c>
      <c r="AB6764" t="str">
        <f>HYPERLINK("Melting_Curves/meltCurve_Q9Y263_PLAA.pdf", "Melting_Curves/meltCurve_Q9Y263_PLAA.pdf")</f>
        <v>Melting_Curves/meltCurve_Q9Y263_PLAA.pdf</v>
      </c>
    </row>
    <row r="6765" spans="1:28" x14ac:dyDescent="0.25">
      <c r="A6765" t="s">
        <v>6769</v>
      </c>
      <c r="B6765">
        <v>0.99999676499088797</v>
      </c>
      <c r="C6765">
        <v>1.01170227063171</v>
      </c>
      <c r="D6765">
        <v>0.99943281583583299</v>
      </c>
      <c r="E6765">
        <v>1.0016383505203901</v>
      </c>
      <c r="F6765">
        <v>1.14947833446381</v>
      </c>
      <c r="G6765">
        <v>1.12390434942224</v>
      </c>
      <c r="H6765">
        <v>0.757990134890139</v>
      </c>
      <c r="I6765">
        <v>0.59872150321338302</v>
      </c>
      <c r="J6765">
        <v>0.17403204687264601</v>
      </c>
      <c r="K6765">
        <v>0.12148389334394501</v>
      </c>
      <c r="L6765">
        <v>1985.2103690173401</v>
      </c>
      <c r="M6765">
        <v>30.9449398273361</v>
      </c>
      <c r="N6765">
        <v>64.278626671074406</v>
      </c>
      <c r="O6765">
        <v>63.886862264635802</v>
      </c>
      <c r="P6765">
        <v>-0.11753978274171201</v>
      </c>
      <c r="Q6765">
        <v>2.9346353833439202E-2</v>
      </c>
      <c r="R6765">
        <v>0.95382356628387099</v>
      </c>
      <c r="S6765" t="s">
        <v>13768</v>
      </c>
      <c r="T6765" t="s">
        <v>14004</v>
      </c>
      <c r="U6765" t="s">
        <v>14004</v>
      </c>
      <c r="V6765" t="s">
        <v>14004</v>
      </c>
      <c r="W6765" t="s">
        <v>20707</v>
      </c>
      <c r="X6765">
        <v>34</v>
      </c>
      <c r="Y6765" t="s">
        <v>27484</v>
      </c>
      <c r="Z6765" t="s">
        <v>34475</v>
      </c>
      <c r="AA6765">
        <v>0.81178147698371406</v>
      </c>
      <c r="AB6765" t="str">
        <f>HYPERLINK("Melting_Curves/meltCurve_Q9Y265_RUVBL1.pdf", "Melting_Curves/meltCurve_Q9Y265_RUVBL1.pdf")</f>
        <v>Melting_Curves/meltCurve_Q9Y265_RUVBL1.pdf</v>
      </c>
    </row>
    <row r="6766" spans="1:28" x14ac:dyDescent="0.25">
      <c r="A6766" t="s">
        <v>6770</v>
      </c>
      <c r="B6766">
        <v>0.99999676499088797</v>
      </c>
      <c r="C6766">
        <v>0.912118456413055</v>
      </c>
      <c r="D6766">
        <v>0.94262284679149699</v>
      </c>
      <c r="E6766">
        <v>0.90309499815201</v>
      </c>
      <c r="F6766">
        <v>0.406967974295392</v>
      </c>
      <c r="G6766">
        <v>0.16397986490157401</v>
      </c>
      <c r="H6766">
        <v>8.0783764602338701E-2</v>
      </c>
      <c r="I6766">
        <v>7.9751364473023806E-2</v>
      </c>
      <c r="J6766">
        <v>7.7653734998254495E-2</v>
      </c>
      <c r="K6766">
        <v>6.9287668905515104E-2</v>
      </c>
      <c r="L6766">
        <v>1792.5264531222999</v>
      </c>
      <c r="M6766">
        <v>34.2178535807126</v>
      </c>
      <c r="N6766">
        <v>52.648298127429101</v>
      </c>
      <c r="O6766">
        <v>52.207754376649802</v>
      </c>
      <c r="P6766">
        <v>-0.151000778355387</v>
      </c>
      <c r="Q6766">
        <v>7.8448195138110993E-2</v>
      </c>
      <c r="R6766">
        <v>0.99283769615115103</v>
      </c>
      <c r="S6766" t="s">
        <v>13769</v>
      </c>
      <c r="T6766" t="s">
        <v>14004</v>
      </c>
      <c r="U6766" t="s">
        <v>14004</v>
      </c>
      <c r="V6766" t="s">
        <v>14004</v>
      </c>
      <c r="W6766" t="s">
        <v>20708</v>
      </c>
      <c r="X6766">
        <v>35</v>
      </c>
      <c r="Y6766" t="s">
        <v>27485</v>
      </c>
      <c r="Z6766" t="s">
        <v>34476</v>
      </c>
      <c r="AA6766">
        <v>0.46347758806153128</v>
      </c>
      <c r="AB6766" t="str">
        <f>HYPERLINK("Melting_Curves/meltCurve_Q9Y266_NUDC.pdf", "Melting_Curves/meltCurve_Q9Y266_NUDC.pdf")</f>
        <v>Melting_Curves/meltCurve_Q9Y266_NUDC.pdf</v>
      </c>
    </row>
    <row r="6767" spans="1:28" x14ac:dyDescent="0.25">
      <c r="A6767" t="s">
        <v>6771</v>
      </c>
      <c r="B6767">
        <v>0.99999676499088797</v>
      </c>
      <c r="C6767">
        <v>0.98707033545628997</v>
      </c>
      <c r="D6767">
        <v>1.0944676219242799</v>
      </c>
      <c r="E6767">
        <v>1.3007644471370701</v>
      </c>
      <c r="F6767">
        <v>1.22780104742343</v>
      </c>
      <c r="G6767">
        <v>0.65742757979038302</v>
      </c>
      <c r="H6767">
        <v>0.149701447083711</v>
      </c>
      <c r="I6767">
        <v>0.131051239875345</v>
      </c>
      <c r="J6767">
        <v>0.116751393844959</v>
      </c>
      <c r="K6767">
        <v>0.11075757770783901</v>
      </c>
      <c r="L6767">
        <v>14224.825987987801</v>
      </c>
      <c r="M6767">
        <v>250</v>
      </c>
      <c r="N6767">
        <v>56.966117228119501</v>
      </c>
      <c r="O6767">
        <v>56.895662537095603</v>
      </c>
      <c r="P6767">
        <v>-0.958920426072008</v>
      </c>
      <c r="Q6767">
        <v>0.12706539000213299</v>
      </c>
      <c r="R6767">
        <v>0.93312963067175603</v>
      </c>
      <c r="S6767" t="s">
        <v>13770</v>
      </c>
      <c r="T6767" t="s">
        <v>14004</v>
      </c>
      <c r="U6767" t="s">
        <v>14004</v>
      </c>
      <c r="V6767" t="s">
        <v>14004</v>
      </c>
      <c r="W6767" t="s">
        <v>20709</v>
      </c>
      <c r="X6767">
        <v>6</v>
      </c>
      <c r="Y6767" t="s">
        <v>27486</v>
      </c>
      <c r="Z6767" t="s">
        <v>34477</v>
      </c>
      <c r="AA6767">
        <v>0.61888546912751263</v>
      </c>
      <c r="AB6767" t="str">
        <f>HYPERLINK("Melting_Curves/meltCurve_Q9Y276_BCS1L.pdf", "Melting_Curves/meltCurve_Q9Y276_BCS1L.pdf")</f>
        <v>Melting_Curves/meltCurve_Q9Y276_BCS1L.pdf</v>
      </c>
    </row>
    <row r="6768" spans="1:28" x14ac:dyDescent="0.25">
      <c r="A6768" t="s">
        <v>6772</v>
      </c>
      <c r="B6768">
        <v>0.99999676499088797</v>
      </c>
      <c r="C6768">
        <v>0.89484462424988997</v>
      </c>
      <c r="D6768">
        <v>0.96087620429165899</v>
      </c>
      <c r="E6768">
        <v>1.0412823628432399</v>
      </c>
      <c r="F6768">
        <v>1.09465255883057</v>
      </c>
      <c r="G6768">
        <v>0.99020901007728201</v>
      </c>
      <c r="H6768">
        <v>0.95631407996447904</v>
      </c>
      <c r="I6768">
        <v>0.818805211714001</v>
      </c>
      <c r="J6768">
        <v>0.61135512457197705</v>
      </c>
      <c r="K6768">
        <v>0.67095694239345904</v>
      </c>
      <c r="L6768">
        <v>15000</v>
      </c>
      <c r="M6768">
        <v>234.39478235270201</v>
      </c>
      <c r="O6768">
        <v>63.989962502220997</v>
      </c>
      <c r="P6768">
        <v>-0.32861314963340699</v>
      </c>
      <c r="Q6768">
        <v>0.64115351880368199</v>
      </c>
      <c r="R6768">
        <v>0.87991228933705501</v>
      </c>
      <c r="S6768" t="s">
        <v>13771</v>
      </c>
      <c r="T6768" t="s">
        <v>14004</v>
      </c>
      <c r="U6768" t="s">
        <v>14004</v>
      </c>
      <c r="V6768" t="s">
        <v>14004</v>
      </c>
      <c r="W6768" t="s">
        <v>20710</v>
      </c>
      <c r="X6768">
        <v>19</v>
      </c>
      <c r="Y6768" t="s">
        <v>27487</v>
      </c>
      <c r="Z6768" t="s">
        <v>34478</v>
      </c>
      <c r="AA6768">
        <v>0.92821194233678384</v>
      </c>
      <c r="AB6768" t="str">
        <f>HYPERLINK("Melting_Curves/meltCurve_Q9Y277_VDAC3.pdf", "Melting_Curves/meltCurve_Q9Y277_VDAC3.pdf")</f>
        <v>Melting_Curves/meltCurve_Q9Y277_VDAC3.pdf</v>
      </c>
    </row>
    <row r="6769" spans="1:28" x14ac:dyDescent="0.25">
      <c r="A6769" t="s">
        <v>6773</v>
      </c>
      <c r="B6769">
        <v>0.99999676499088797</v>
      </c>
      <c r="C6769">
        <v>0.96081981791661297</v>
      </c>
      <c r="D6769">
        <v>0.93813408524117703</v>
      </c>
      <c r="E6769">
        <v>0.87514554735192795</v>
      </c>
      <c r="F6769">
        <v>0.77459986867618202</v>
      </c>
      <c r="G6769">
        <v>0.30774949938859603</v>
      </c>
      <c r="H6769">
        <v>0.14163468441013399</v>
      </c>
      <c r="I6769">
        <v>0.113235690463472</v>
      </c>
      <c r="J6769">
        <v>9.0579942703292601E-2</v>
      </c>
      <c r="K6769">
        <v>9.3721063881936198E-2</v>
      </c>
      <c r="L6769">
        <v>1562.8366846533099</v>
      </c>
      <c r="M6769">
        <v>28.5070060838903</v>
      </c>
      <c r="N6769">
        <v>55.200013637872502</v>
      </c>
      <c r="O6769">
        <v>54.555243850753399</v>
      </c>
      <c r="P6769">
        <v>-0.11907660184691</v>
      </c>
      <c r="Q6769">
        <v>8.8476551226201003E-2</v>
      </c>
      <c r="R6769">
        <v>0.99050696394111604</v>
      </c>
      <c r="S6769" t="s">
        <v>13772</v>
      </c>
      <c r="T6769" t="s">
        <v>14004</v>
      </c>
      <c r="U6769" t="s">
        <v>14004</v>
      </c>
      <c r="V6769" t="s">
        <v>14004</v>
      </c>
      <c r="W6769" t="s">
        <v>20711</v>
      </c>
      <c r="X6769">
        <v>12</v>
      </c>
      <c r="Y6769" t="s">
        <v>27488</v>
      </c>
      <c r="Z6769" t="s">
        <v>34479</v>
      </c>
      <c r="AA6769">
        <v>0.54550338091818651</v>
      </c>
      <c r="AB6769" t="str">
        <f>HYPERLINK("Melting_Curves/meltCurve_Q9Y281_CFL2.pdf", "Melting_Curves/meltCurve_Q9Y281_CFL2.pdf")</f>
        <v>Melting_Curves/meltCurve_Q9Y281_CFL2.pdf</v>
      </c>
    </row>
    <row r="6770" spans="1:28" x14ac:dyDescent="0.25">
      <c r="A6770" t="s">
        <v>6774</v>
      </c>
      <c r="B6770">
        <v>0.99999676499088797</v>
      </c>
      <c r="C6770">
        <v>0.93808314650298497</v>
      </c>
      <c r="D6770">
        <v>0.91781514265311104</v>
      </c>
      <c r="E6770">
        <v>1.2583815554231399</v>
      </c>
      <c r="F6770">
        <v>0.95624993555333004</v>
      </c>
      <c r="G6770">
        <v>0.90954721179221198</v>
      </c>
      <c r="H6770">
        <v>0.527074413546882</v>
      </c>
      <c r="I6770">
        <v>0.55114823049191997</v>
      </c>
      <c r="J6770">
        <v>0.44565758703524599</v>
      </c>
      <c r="K6770">
        <v>0.36625035898228803</v>
      </c>
      <c r="L6770">
        <v>2289.1658675854001</v>
      </c>
      <c r="M6770">
        <v>38.877313847830301</v>
      </c>
      <c r="N6770">
        <v>62.139792749781499</v>
      </c>
      <c r="O6770">
        <v>58.726646122294099</v>
      </c>
      <c r="P6770">
        <v>-9.3528601572803599E-2</v>
      </c>
      <c r="Q6770">
        <v>0.43487779721733499</v>
      </c>
      <c r="R6770">
        <v>0.87781302116340998</v>
      </c>
      <c r="S6770" t="s">
        <v>13773</v>
      </c>
      <c r="T6770" t="s">
        <v>14004</v>
      </c>
      <c r="U6770" t="s">
        <v>14004</v>
      </c>
      <c r="V6770" t="s">
        <v>14004</v>
      </c>
      <c r="W6770" t="s">
        <v>20712</v>
      </c>
      <c r="X6770">
        <v>4</v>
      </c>
      <c r="Y6770" t="s">
        <v>27489</v>
      </c>
      <c r="Z6770" t="s">
        <v>34480</v>
      </c>
      <c r="AA6770">
        <v>0.79290911481585125</v>
      </c>
      <c r="AB6770" t="str">
        <f>HYPERLINK("Melting_Curves/meltCurve_Q9Y287_ITM2B.pdf", "Melting_Curves/meltCurve_Q9Y287_ITM2B.pdf")</f>
        <v>Melting_Curves/meltCurve_Q9Y287_ITM2B.pdf</v>
      </c>
    </row>
    <row r="6771" spans="1:28" x14ac:dyDescent="0.25">
      <c r="A6771" t="s">
        <v>6775</v>
      </c>
      <c r="B6771">
        <v>0.99999676499088797</v>
      </c>
      <c r="C6771">
        <v>1.18571706882446</v>
      </c>
      <c r="D6771">
        <v>1.20087350295159</v>
      </c>
      <c r="E6771">
        <v>1.45262076048595</v>
      </c>
      <c r="F6771">
        <v>1.13779750832085</v>
      </c>
      <c r="G6771">
        <v>1.23619931706452</v>
      </c>
      <c r="H6771">
        <v>0.87601466761547298</v>
      </c>
      <c r="I6771">
        <v>0.58949884976085098</v>
      </c>
      <c r="J6771">
        <v>0.34398985620158201</v>
      </c>
      <c r="K6771">
        <v>0.13478705540654701</v>
      </c>
      <c r="L6771">
        <v>2158.0917015999798</v>
      </c>
      <c r="M6771">
        <v>33.420577487325502</v>
      </c>
      <c r="N6771">
        <v>64.999670112422095</v>
      </c>
      <c r="O6771">
        <v>64.343858231891105</v>
      </c>
      <c r="P6771">
        <v>-0.11708259054621201</v>
      </c>
      <c r="Q6771">
        <v>9.8338301848273704E-2</v>
      </c>
      <c r="R6771">
        <v>0.77936657884605598</v>
      </c>
      <c r="S6771" t="s">
        <v>13774</v>
      </c>
      <c r="T6771" t="s">
        <v>14004</v>
      </c>
      <c r="U6771" t="s">
        <v>14004</v>
      </c>
      <c r="V6771" t="s">
        <v>14004</v>
      </c>
      <c r="W6771" t="s">
        <v>20713</v>
      </c>
      <c r="X6771">
        <v>1</v>
      </c>
      <c r="Y6771" t="s">
        <v>27490</v>
      </c>
      <c r="Z6771" t="s">
        <v>34481</v>
      </c>
      <c r="AA6771">
        <v>0.8374048360818942</v>
      </c>
      <c r="AB6771" t="str">
        <f>HYPERLINK("Melting_Curves/meltCurve_Q9Y289_SLC5A6.pdf", "Melting_Curves/meltCurve_Q9Y289_SLC5A6.pdf")</f>
        <v>Melting_Curves/meltCurve_Q9Y289_SLC5A6.pdf</v>
      </c>
    </row>
    <row r="6772" spans="1:28" x14ac:dyDescent="0.25">
      <c r="A6772" t="s">
        <v>6776</v>
      </c>
      <c r="B6772">
        <v>0.99999676499088797</v>
      </c>
      <c r="C6772">
        <v>0.85221569491620497</v>
      </c>
      <c r="D6772">
        <v>0.92101569716565401</v>
      </c>
      <c r="E6772">
        <v>0.92839769215198897</v>
      </c>
      <c r="F6772">
        <v>0.25038323497908799</v>
      </c>
      <c r="G6772">
        <v>0.1015594724865</v>
      </c>
      <c r="H6772">
        <v>4.23843165533416E-2</v>
      </c>
      <c r="I6772">
        <v>4.8949816024182503E-2</v>
      </c>
      <c r="J6772">
        <v>4.6848709134790098E-2</v>
      </c>
      <c r="K6772">
        <v>4.6459529480858699E-2</v>
      </c>
      <c r="L6772">
        <v>2718.7410554369599</v>
      </c>
      <c r="M6772">
        <v>52.414339680747098</v>
      </c>
      <c r="N6772">
        <v>51.9844367296784</v>
      </c>
      <c r="O6772">
        <v>51.794838929590803</v>
      </c>
      <c r="P6772">
        <v>-0.239224877310349</v>
      </c>
      <c r="Q6772">
        <v>5.4411079471597901E-2</v>
      </c>
      <c r="R6772">
        <v>0.98277455118425106</v>
      </c>
      <c r="S6772" t="s">
        <v>13775</v>
      </c>
      <c r="T6772" t="s">
        <v>14004</v>
      </c>
      <c r="U6772" t="s">
        <v>14004</v>
      </c>
      <c r="V6772" t="s">
        <v>14004</v>
      </c>
      <c r="W6772" t="s">
        <v>20714</v>
      </c>
      <c r="X6772">
        <v>4</v>
      </c>
      <c r="Y6772" t="s">
        <v>27491</v>
      </c>
      <c r="Z6772" t="s">
        <v>34482</v>
      </c>
      <c r="AA6772">
        <v>0.43052238970529438</v>
      </c>
      <c r="AB6772" t="str">
        <f>HYPERLINK("Melting_Curves/meltCurve_Q9Y294_ASF1A.pdf", "Melting_Curves/meltCurve_Q9Y294_ASF1A.pdf")</f>
        <v>Melting_Curves/meltCurve_Q9Y294_ASF1A.pdf</v>
      </c>
    </row>
    <row r="6773" spans="1:28" x14ac:dyDescent="0.25">
      <c r="A6773" t="s">
        <v>6777</v>
      </c>
      <c r="B6773">
        <v>0.99999676499088797</v>
      </c>
      <c r="C6773">
        <v>1.04872306337892</v>
      </c>
      <c r="D6773">
        <v>1.0774257635056901</v>
      </c>
      <c r="E6773">
        <v>1.06773537900515</v>
      </c>
      <c r="F6773">
        <v>0.71054620663832102</v>
      </c>
      <c r="G6773">
        <v>0.37159249508668502</v>
      </c>
      <c r="H6773">
        <v>9.8819795056274806E-2</v>
      </c>
      <c r="I6773">
        <v>9.6804329025960006E-2</v>
      </c>
      <c r="J6773">
        <v>9.2344787859850203E-2</v>
      </c>
      <c r="K6773">
        <v>7.2469149110205702E-2</v>
      </c>
      <c r="L6773">
        <v>1659.5858251785801</v>
      </c>
      <c r="M6773">
        <v>30.1557348342028</v>
      </c>
      <c r="N6773">
        <v>55.341960575487597</v>
      </c>
      <c r="O6773">
        <v>54.793522674321999</v>
      </c>
      <c r="P6773">
        <v>-0.12695627057356099</v>
      </c>
      <c r="Q6773">
        <v>7.7278408414370697E-2</v>
      </c>
      <c r="R6773">
        <v>0.98767313128664502</v>
      </c>
      <c r="S6773" t="s">
        <v>13776</v>
      </c>
      <c r="T6773" t="s">
        <v>14004</v>
      </c>
      <c r="U6773" t="s">
        <v>14004</v>
      </c>
      <c r="V6773" t="s">
        <v>14004</v>
      </c>
      <c r="W6773" t="s">
        <v>20715</v>
      </c>
      <c r="X6773">
        <v>21</v>
      </c>
      <c r="Y6773" t="s">
        <v>27492</v>
      </c>
      <c r="Z6773" t="s">
        <v>34483</v>
      </c>
      <c r="AA6773">
        <v>0.54574273050208177</v>
      </c>
      <c r="AB6773" t="str">
        <f>HYPERLINK("Melting_Curves/meltCurve_Q9Y295_DRG1.pdf", "Melting_Curves/meltCurve_Q9Y295_DRG1.pdf")</f>
        <v>Melting_Curves/meltCurve_Q9Y295_DRG1.pdf</v>
      </c>
    </row>
    <row r="6774" spans="1:28" x14ac:dyDescent="0.25">
      <c r="A6774" t="s">
        <v>6778</v>
      </c>
      <c r="B6774">
        <v>0.99999676499088797</v>
      </c>
      <c r="C6774">
        <v>1.0896938941135501</v>
      </c>
      <c r="D6774">
        <v>0.95182397743125302</v>
      </c>
      <c r="E6774">
        <v>0.78197207970413496</v>
      </c>
      <c r="F6774">
        <v>0.47622548550043797</v>
      </c>
      <c r="G6774">
        <v>0.30141611042208499</v>
      </c>
      <c r="H6774">
        <v>0.10758204463210801</v>
      </c>
      <c r="I6774">
        <v>0.10574142115912399</v>
      </c>
      <c r="J6774">
        <v>7.4663806351319098E-2</v>
      </c>
      <c r="K6774">
        <v>8.3302668914979103E-2</v>
      </c>
      <c r="L6774">
        <v>1015.9195277341</v>
      </c>
      <c r="M6774">
        <v>19.253651406799001</v>
      </c>
      <c r="N6774">
        <v>53.173121850453597</v>
      </c>
      <c r="O6774">
        <v>52.205712518740398</v>
      </c>
      <c r="P6774">
        <v>-8.5871417531358199E-2</v>
      </c>
      <c r="Q6774">
        <v>6.8683886093872104E-2</v>
      </c>
      <c r="R6774">
        <v>0.991434230177898</v>
      </c>
      <c r="S6774" t="s">
        <v>13777</v>
      </c>
      <c r="T6774" t="s">
        <v>14004</v>
      </c>
      <c r="U6774" t="s">
        <v>14004</v>
      </c>
      <c r="V6774" t="s">
        <v>14004</v>
      </c>
      <c r="W6774" t="s">
        <v>20716</v>
      </c>
      <c r="X6774">
        <v>7</v>
      </c>
      <c r="Y6774" t="s">
        <v>27493</v>
      </c>
      <c r="Z6774" t="s">
        <v>34484</v>
      </c>
      <c r="AA6774">
        <v>0.47865535732681669</v>
      </c>
      <c r="AB6774" t="str">
        <f>HYPERLINK("Melting_Curves/meltCurve_Q9Y296_TRAPPC4.pdf", "Melting_Curves/meltCurve_Q9Y296_TRAPPC4.pdf")</f>
        <v>Melting_Curves/meltCurve_Q9Y296_TRAPPC4.pdf</v>
      </c>
    </row>
    <row r="6775" spans="1:28" x14ac:dyDescent="0.25">
      <c r="A6775" t="s">
        <v>6779</v>
      </c>
      <c r="B6775">
        <v>0.99999676499088797</v>
      </c>
      <c r="C6775">
        <v>0.95391618083015295</v>
      </c>
      <c r="D6775">
        <v>0.93282901580364597</v>
      </c>
      <c r="E6775">
        <v>0.72376381018119296</v>
      </c>
      <c r="F6775">
        <v>0.499480875158403</v>
      </c>
      <c r="G6775">
        <v>0.35646100275512099</v>
      </c>
      <c r="H6775">
        <v>0.18964727209832299</v>
      </c>
      <c r="I6775">
        <v>0.23261598214962001</v>
      </c>
      <c r="J6775">
        <v>0.22082914668377901</v>
      </c>
      <c r="K6775">
        <v>0.18701810081959999</v>
      </c>
      <c r="L6775">
        <v>883.80687011899101</v>
      </c>
      <c r="M6775">
        <v>17.082757612111799</v>
      </c>
      <c r="N6775">
        <v>53.170546120474199</v>
      </c>
      <c r="O6775">
        <v>51.043407248867297</v>
      </c>
      <c r="P6775">
        <v>-6.8230094119361401E-2</v>
      </c>
      <c r="Q6775">
        <v>0.18456131745297599</v>
      </c>
      <c r="R6775">
        <v>0.99479206609526405</v>
      </c>
      <c r="S6775" t="s">
        <v>13778</v>
      </c>
      <c r="T6775" t="s">
        <v>14004</v>
      </c>
      <c r="U6775" t="s">
        <v>14004</v>
      </c>
      <c r="V6775" t="s">
        <v>14004</v>
      </c>
      <c r="W6775" t="s">
        <v>20717</v>
      </c>
      <c r="X6775">
        <v>14</v>
      </c>
      <c r="Y6775" t="s">
        <v>27494</v>
      </c>
      <c r="Z6775" t="s">
        <v>34485</v>
      </c>
      <c r="AA6775">
        <v>0.51847307919840746</v>
      </c>
      <c r="AB6775" t="str">
        <f>HYPERLINK("Melting_Curves/meltCurve_Q9Y2B0_CNPY2.pdf", "Melting_Curves/meltCurve_Q9Y2B0_CNPY2.pdf")</f>
        <v>Melting_Curves/meltCurve_Q9Y2B0_CNPY2.pdf</v>
      </c>
    </row>
    <row r="6776" spans="1:28" x14ac:dyDescent="0.25">
      <c r="A6776" t="s">
        <v>6780</v>
      </c>
      <c r="B6776">
        <v>0.99999676499088797</v>
      </c>
      <c r="C6776">
        <v>0.98201655151234701</v>
      </c>
      <c r="D6776">
        <v>0.90582140737053896</v>
      </c>
      <c r="E6776">
        <v>0.90869274871608996</v>
      </c>
      <c r="F6776">
        <v>0.75641695631602601</v>
      </c>
      <c r="G6776">
        <v>0.67742513485643197</v>
      </c>
      <c r="H6776">
        <v>0.433587946224956</v>
      </c>
      <c r="I6776">
        <v>0.35721203662561701</v>
      </c>
      <c r="J6776">
        <v>0.29909676368666799</v>
      </c>
      <c r="K6776">
        <v>0.27050932899922298</v>
      </c>
      <c r="L6776">
        <v>645.85236059588306</v>
      </c>
      <c r="M6776">
        <v>11.1102462621601</v>
      </c>
      <c r="N6776">
        <v>59.926689739804303</v>
      </c>
      <c r="O6776">
        <v>56.343293900231899</v>
      </c>
      <c r="P6776">
        <v>-4.23319065649655E-2</v>
      </c>
      <c r="Q6776">
        <v>0.14156900557072999</v>
      </c>
      <c r="R6776">
        <v>0.99035818219554295</v>
      </c>
      <c r="S6776" t="s">
        <v>13779</v>
      </c>
      <c r="T6776" t="s">
        <v>14004</v>
      </c>
      <c r="U6776" t="s">
        <v>14004</v>
      </c>
      <c r="V6776" t="s">
        <v>14004</v>
      </c>
      <c r="W6776" t="s">
        <v>20718</v>
      </c>
      <c r="X6776">
        <v>5</v>
      </c>
      <c r="Y6776" t="s">
        <v>27495</v>
      </c>
      <c r="Z6776" t="s">
        <v>34486</v>
      </c>
      <c r="AA6776">
        <v>0.66991224927849247</v>
      </c>
      <c r="AB6776" t="str">
        <f>HYPERLINK("Melting_Curves/meltCurve_Q9Y2C2_UST.pdf", "Melting_Curves/meltCurve_Q9Y2C2_UST.pdf")</f>
        <v>Melting_Curves/meltCurve_Q9Y2C2_UST.pdf</v>
      </c>
    </row>
    <row r="6777" spans="1:28" x14ac:dyDescent="0.25">
      <c r="A6777" t="s">
        <v>6781</v>
      </c>
      <c r="B6777">
        <v>0.99999676499088797</v>
      </c>
      <c r="C6777">
        <v>1.10180678310029</v>
      </c>
      <c r="D6777">
        <v>1.0326381005794201</v>
      </c>
      <c r="E6777">
        <v>0.87343896101558405</v>
      </c>
      <c r="F6777">
        <v>0.84776975058355297</v>
      </c>
      <c r="G6777">
        <v>0.62374689760176405</v>
      </c>
      <c r="H6777">
        <v>0.38388006180832202</v>
      </c>
      <c r="I6777">
        <v>0.36877771628598799</v>
      </c>
      <c r="J6777">
        <v>0.220527814777115</v>
      </c>
      <c r="K6777">
        <v>0.13739648907148</v>
      </c>
      <c r="L6777">
        <v>796.49654312812095</v>
      </c>
      <c r="M6777">
        <v>13.5840322498177</v>
      </c>
      <c r="N6777">
        <v>59.350607645356803</v>
      </c>
      <c r="O6777">
        <v>57.407820301607103</v>
      </c>
      <c r="P6777">
        <v>-5.4694096419617401E-2</v>
      </c>
      <c r="Q6777">
        <v>7.5561230479420802E-2</v>
      </c>
      <c r="R6777">
        <v>0.97713296888443901</v>
      </c>
      <c r="S6777" t="s">
        <v>13780</v>
      </c>
      <c r="T6777" t="s">
        <v>14004</v>
      </c>
      <c r="U6777" t="s">
        <v>14004</v>
      </c>
      <c r="V6777" t="s">
        <v>14004</v>
      </c>
      <c r="W6777" t="s">
        <v>20719</v>
      </c>
      <c r="X6777">
        <v>5</v>
      </c>
      <c r="Y6777" t="s">
        <v>27496</v>
      </c>
      <c r="Z6777" t="s">
        <v>34487</v>
      </c>
      <c r="AA6777">
        <v>0.66009654325713241</v>
      </c>
      <c r="AB6777" t="str">
        <f>HYPERLINK("Melting_Curves/meltCurve_Q9Y2C4_EXOG.pdf", "Melting_Curves/meltCurve_Q9Y2C4_EXOG.pdf")</f>
        <v>Melting_Curves/meltCurve_Q9Y2C4_EXOG.pdf</v>
      </c>
    </row>
    <row r="6778" spans="1:28" x14ac:dyDescent="0.25">
      <c r="A6778" t="s">
        <v>6782</v>
      </c>
      <c r="B6778">
        <v>0.99999676499088797</v>
      </c>
      <c r="C6778">
        <v>0.94834549155168402</v>
      </c>
      <c r="D6778">
        <v>0.89721517448676802</v>
      </c>
      <c r="E6778">
        <v>0.30604829793875699</v>
      </c>
      <c r="F6778">
        <v>0.336494055762598</v>
      </c>
      <c r="G6778">
        <v>0.16602598846292699</v>
      </c>
      <c r="H6778">
        <v>9.5180122718984003E-2</v>
      </c>
      <c r="I6778">
        <v>0.19060716720458401</v>
      </c>
      <c r="J6778">
        <v>0.21272300660780499</v>
      </c>
      <c r="K6778">
        <v>8.5155960303629E-2</v>
      </c>
      <c r="L6778">
        <v>2010.8149947690999</v>
      </c>
      <c r="M6778">
        <v>41.970205712324599</v>
      </c>
      <c r="N6778">
        <v>48.407364863164702</v>
      </c>
      <c r="O6778">
        <v>47.802155546800897</v>
      </c>
      <c r="P6778">
        <v>-0.18108930522059899</v>
      </c>
      <c r="Q6778">
        <v>0.174991580716852</v>
      </c>
      <c r="R6778">
        <v>0.96638950461001905</v>
      </c>
      <c r="S6778" t="s">
        <v>13781</v>
      </c>
      <c r="T6778" t="s">
        <v>14004</v>
      </c>
      <c r="U6778" t="s">
        <v>14004</v>
      </c>
      <c r="V6778" t="s">
        <v>14004</v>
      </c>
      <c r="W6778" t="s">
        <v>20720</v>
      </c>
      <c r="X6778">
        <v>12</v>
      </c>
      <c r="Y6778" t="s">
        <v>27497</v>
      </c>
      <c r="Z6778" t="s">
        <v>34488</v>
      </c>
      <c r="AA6778">
        <v>0.39501899636820093</v>
      </c>
      <c r="AB6778" t="str">
        <f>HYPERLINK("Melting_Curves/meltCurve_Q9Y2D4_EXOC6B.pdf", "Melting_Curves/meltCurve_Q9Y2D4_EXOC6B.pdf")</f>
        <v>Melting_Curves/meltCurve_Q9Y2D4_EXOC6B.pdf</v>
      </c>
    </row>
    <row r="6779" spans="1:28" x14ac:dyDescent="0.25">
      <c r="A6779" t="s">
        <v>6783</v>
      </c>
      <c r="B6779">
        <v>0.99999676499088797</v>
      </c>
      <c r="C6779">
        <v>0.91926227511838698</v>
      </c>
      <c r="D6779">
        <v>0.87379867477675999</v>
      </c>
      <c r="E6779">
        <v>0.72096032965034496</v>
      </c>
      <c r="F6779">
        <v>0.55479124819982895</v>
      </c>
      <c r="G6779">
        <v>0.480273184590781</v>
      </c>
      <c r="H6779">
        <v>0.32850396574948998</v>
      </c>
      <c r="I6779">
        <v>0.36737507795375002</v>
      </c>
      <c r="J6779">
        <v>0.37175514305049101</v>
      </c>
      <c r="K6779">
        <v>0.47841173561478301</v>
      </c>
      <c r="L6779">
        <v>799.81397199757305</v>
      </c>
      <c r="M6779">
        <v>15.9999055727657</v>
      </c>
      <c r="N6779">
        <v>54.801151863363302</v>
      </c>
      <c r="O6779">
        <v>49.227354978330403</v>
      </c>
      <c r="P6779">
        <v>-5.0599568635018598E-2</v>
      </c>
      <c r="Q6779">
        <v>0.377324675758895</v>
      </c>
      <c r="R6779">
        <v>0.965580461519018</v>
      </c>
      <c r="S6779" t="s">
        <v>13782</v>
      </c>
      <c r="T6779" t="s">
        <v>14004</v>
      </c>
      <c r="U6779" t="s">
        <v>14004</v>
      </c>
      <c r="V6779" t="s">
        <v>14004</v>
      </c>
      <c r="W6779" t="s">
        <v>20721</v>
      </c>
      <c r="X6779">
        <v>39</v>
      </c>
      <c r="Y6779" t="s">
        <v>27498</v>
      </c>
      <c r="Z6779" t="s">
        <v>34489</v>
      </c>
      <c r="AA6779">
        <v>0.59787444075194718</v>
      </c>
      <c r="AB6779" t="str">
        <f>HYPERLINK("Melting_Curves/meltCurve_Q9Y2D5_6_AKAP2.pdf", "Melting_Curves/meltCurve_Q9Y2D5_6_AKAP2.pdf")</f>
        <v>Melting_Curves/meltCurve_Q9Y2D5_6_AKAP2.pdf</v>
      </c>
    </row>
    <row r="6780" spans="1:28" x14ac:dyDescent="0.25">
      <c r="A6780" t="s">
        <v>6784</v>
      </c>
      <c r="B6780">
        <v>0.99999676499088797</v>
      </c>
      <c r="C6780">
        <v>0.98953501389699805</v>
      </c>
      <c r="D6780">
        <v>0.86786540454364103</v>
      </c>
      <c r="E6780">
        <v>0.679715226323229</v>
      </c>
      <c r="F6780">
        <v>0.60655010501782902</v>
      </c>
      <c r="G6780">
        <v>0.42536227143648397</v>
      </c>
      <c r="H6780">
        <v>0.22423234978085599</v>
      </c>
      <c r="I6780">
        <v>0.16475258516944399</v>
      </c>
      <c r="J6780">
        <v>0.14313480036842</v>
      </c>
      <c r="K6780">
        <v>0.110329842136056</v>
      </c>
      <c r="L6780">
        <v>581.25673808359795</v>
      </c>
      <c r="M6780">
        <v>10.6964250075986</v>
      </c>
      <c r="N6780">
        <v>54.5360309999134</v>
      </c>
      <c r="O6780">
        <v>52.545162126747798</v>
      </c>
      <c r="P6780">
        <v>-4.9956396188306197E-2</v>
      </c>
      <c r="Q6780">
        <v>1.87446776273664E-2</v>
      </c>
      <c r="R6780">
        <v>0.99113991664272405</v>
      </c>
      <c r="S6780" t="s">
        <v>13783</v>
      </c>
      <c r="T6780" t="s">
        <v>14004</v>
      </c>
      <c r="U6780" t="s">
        <v>14004</v>
      </c>
      <c r="V6780" t="s">
        <v>14004</v>
      </c>
      <c r="W6780" t="s">
        <v>20722</v>
      </c>
      <c r="X6780">
        <v>6</v>
      </c>
      <c r="Y6780" t="s">
        <v>27499</v>
      </c>
      <c r="Z6780" t="s">
        <v>34490</v>
      </c>
      <c r="AA6780">
        <v>0.51487695755623775</v>
      </c>
      <c r="AB6780" t="str">
        <f>HYPERLINK("Melting_Curves/meltCurve_Q9Y2G2_4_CARD8.pdf", "Melting_Curves/meltCurve_Q9Y2G2_4_CARD8.pdf")</f>
        <v>Melting_Curves/meltCurve_Q9Y2G2_4_CARD8.pdf</v>
      </c>
    </row>
    <row r="6781" spans="1:28" x14ac:dyDescent="0.25">
      <c r="A6781" t="s">
        <v>6785</v>
      </c>
      <c r="B6781">
        <v>0.99999676499088797</v>
      </c>
      <c r="C6781">
        <v>1.0154034264406999</v>
      </c>
      <c r="D6781">
        <v>1.02218295780685</v>
      </c>
      <c r="E6781">
        <v>1.05874026747908</v>
      </c>
      <c r="F6781">
        <v>1.09003420279015</v>
      </c>
      <c r="G6781">
        <v>0.86222635746816501</v>
      </c>
      <c r="H6781">
        <v>0.27088423375522502</v>
      </c>
      <c r="I6781">
        <v>0.111286775050274</v>
      </c>
      <c r="J6781">
        <v>0.104038336468162</v>
      </c>
      <c r="K6781">
        <v>8.0702766277610805E-2</v>
      </c>
      <c r="L6781">
        <v>2790.3531331960799</v>
      </c>
      <c r="M6781">
        <v>47.320389821476503</v>
      </c>
      <c r="N6781">
        <v>59.219023515108098</v>
      </c>
      <c r="O6781">
        <v>58.862224567183098</v>
      </c>
      <c r="P6781">
        <v>-0.18266626502015601</v>
      </c>
      <c r="Q6781">
        <v>9.1120646862085999E-2</v>
      </c>
      <c r="R6781">
        <v>0.99265992743471498</v>
      </c>
      <c r="S6781" t="s">
        <v>13784</v>
      </c>
      <c r="T6781" t="s">
        <v>14004</v>
      </c>
      <c r="U6781" t="s">
        <v>14004</v>
      </c>
      <c r="V6781" t="s">
        <v>14004</v>
      </c>
      <c r="W6781" t="s">
        <v>20723</v>
      </c>
      <c r="X6781">
        <v>6</v>
      </c>
      <c r="Y6781" t="s">
        <v>27500</v>
      </c>
      <c r="Z6781" t="s">
        <v>34491</v>
      </c>
      <c r="AA6781">
        <v>0.66836074051564986</v>
      </c>
      <c r="AB6781" t="str">
        <f>HYPERLINK("Melting_Curves/meltCurve_Q9Y2G3_ATP11B.pdf", "Melting_Curves/meltCurve_Q9Y2G3_ATP11B.pdf")</f>
        <v>Melting_Curves/meltCurve_Q9Y2G3_ATP11B.pdf</v>
      </c>
    </row>
    <row r="6782" spans="1:28" x14ac:dyDescent="0.25">
      <c r="A6782" t="s">
        <v>6786</v>
      </c>
      <c r="B6782">
        <v>0.99999676499088797</v>
      </c>
      <c r="C6782">
        <v>0.91356624985192703</v>
      </c>
      <c r="D6782">
        <v>0.82885861399423799</v>
      </c>
      <c r="E6782">
        <v>0.78813035017238098</v>
      </c>
      <c r="F6782">
        <v>0.33469060514641902</v>
      </c>
      <c r="G6782">
        <v>0.24694365454644199</v>
      </c>
      <c r="H6782">
        <v>7.3567971770915203E-2</v>
      </c>
      <c r="I6782">
        <v>0.101670278447225</v>
      </c>
      <c r="J6782">
        <v>9.0616278181197593E-2</v>
      </c>
      <c r="K6782">
        <v>0.10483612889294699</v>
      </c>
      <c r="L6782">
        <v>962.55787989433497</v>
      </c>
      <c r="M6782">
        <v>18.701256961977698</v>
      </c>
      <c r="N6782">
        <v>51.909945281606298</v>
      </c>
      <c r="O6782">
        <v>50.892530258362001</v>
      </c>
      <c r="P6782">
        <v>-8.5140658161771507E-2</v>
      </c>
      <c r="Q6782">
        <v>7.3251663277148493E-2</v>
      </c>
      <c r="R6782">
        <v>0.97879673350221097</v>
      </c>
      <c r="S6782" t="s">
        <v>13785</v>
      </c>
      <c r="T6782" t="s">
        <v>14004</v>
      </c>
      <c r="U6782" t="s">
        <v>14004</v>
      </c>
      <c r="V6782" t="s">
        <v>14004</v>
      </c>
      <c r="W6782" t="s">
        <v>20724</v>
      </c>
      <c r="X6782">
        <v>5</v>
      </c>
      <c r="Y6782" t="s">
        <v>27501</v>
      </c>
      <c r="Z6782" t="s">
        <v>34492</v>
      </c>
      <c r="AA6782">
        <v>0.44209601212942778</v>
      </c>
      <c r="AB6782" t="str">
        <f>HYPERLINK("Melting_Curves/meltCurve_Q9Y2G5_POFUT2.pdf", "Melting_Curves/meltCurve_Q9Y2G5_POFUT2.pdf")</f>
        <v>Melting_Curves/meltCurve_Q9Y2G5_POFUT2.pdf</v>
      </c>
    </row>
    <row r="6783" spans="1:28" x14ac:dyDescent="0.25">
      <c r="A6783" t="s">
        <v>6787</v>
      </c>
      <c r="B6783">
        <v>0.99999676499088797</v>
      </c>
      <c r="C6783">
        <v>0.91359523772388196</v>
      </c>
      <c r="D6783">
        <v>0.951373344747102</v>
      </c>
      <c r="E6783">
        <v>0.96696614227106203</v>
      </c>
      <c r="F6783">
        <v>0.79174778050223005</v>
      </c>
      <c r="G6783">
        <v>0.36105914329953598</v>
      </c>
      <c r="H6783">
        <v>0.13350303550920201</v>
      </c>
      <c r="I6783">
        <v>0.106248120521441</v>
      </c>
      <c r="J6783">
        <v>9.5745259070074903E-2</v>
      </c>
      <c r="K6783">
        <v>0.109809373847971</v>
      </c>
      <c r="L6783">
        <v>1749.9542898089101</v>
      </c>
      <c r="M6783">
        <v>31.700815483702101</v>
      </c>
      <c r="N6783">
        <v>55.577339831975699</v>
      </c>
      <c r="O6783">
        <v>54.983908966881103</v>
      </c>
      <c r="P6783">
        <v>-0.13025487423413401</v>
      </c>
      <c r="Q6783">
        <v>9.6315401760810507E-2</v>
      </c>
      <c r="R6783">
        <v>0.99348341494691605</v>
      </c>
      <c r="S6783" t="s">
        <v>13786</v>
      </c>
      <c r="T6783" t="s">
        <v>14004</v>
      </c>
      <c r="U6783" t="s">
        <v>14004</v>
      </c>
      <c r="V6783" t="s">
        <v>14004</v>
      </c>
      <c r="W6783" t="s">
        <v>20725</v>
      </c>
      <c r="X6783">
        <v>9</v>
      </c>
      <c r="Y6783" t="s">
        <v>27502</v>
      </c>
      <c r="Z6783" t="s">
        <v>34493</v>
      </c>
      <c r="AA6783">
        <v>0.55965610976649327</v>
      </c>
      <c r="AB6783" t="str">
        <f>HYPERLINK("Melting_Curves/meltCurve_Q9Y2H0_3_DLGAP4.pdf", "Melting_Curves/meltCurve_Q9Y2H0_3_DLGAP4.pdf")</f>
        <v>Melting_Curves/meltCurve_Q9Y2H0_3_DLGAP4.pdf</v>
      </c>
    </row>
    <row r="6784" spans="1:28" x14ac:dyDescent="0.25">
      <c r="A6784" t="s">
        <v>6788</v>
      </c>
      <c r="B6784">
        <v>0.99999676499088797</v>
      </c>
      <c r="C6784">
        <v>0.96551381177977003</v>
      </c>
      <c r="D6784">
        <v>0.720146103368693</v>
      </c>
      <c r="E6784">
        <v>0.403957381247873</v>
      </c>
      <c r="F6784">
        <v>0.25376454126481401</v>
      </c>
      <c r="G6784">
        <v>0.17760802224532399</v>
      </c>
      <c r="H6784">
        <v>0.10728710943320199</v>
      </c>
      <c r="I6784">
        <v>0.11858536226899601</v>
      </c>
      <c r="J6784">
        <v>0.10863352494994</v>
      </c>
      <c r="K6784">
        <v>8.7670120426209003E-2</v>
      </c>
      <c r="L6784">
        <v>941.18180256699998</v>
      </c>
      <c r="M6784">
        <v>19.584642051369499</v>
      </c>
      <c r="N6784">
        <v>48.664665240240303</v>
      </c>
      <c r="O6784">
        <v>47.564504223523599</v>
      </c>
      <c r="P6784">
        <v>-9.1776825204893497E-2</v>
      </c>
      <c r="Q6784">
        <v>0.108451449500601</v>
      </c>
      <c r="R6784">
        <v>0.99572291681560898</v>
      </c>
      <c r="S6784" t="s">
        <v>13787</v>
      </c>
      <c r="T6784" t="s">
        <v>14004</v>
      </c>
      <c r="U6784" t="s">
        <v>14004</v>
      </c>
      <c r="V6784" t="s">
        <v>14004</v>
      </c>
      <c r="W6784" t="s">
        <v>20726</v>
      </c>
      <c r="X6784">
        <v>9</v>
      </c>
      <c r="Y6784" t="s">
        <v>27503</v>
      </c>
      <c r="Z6784" t="s">
        <v>34494</v>
      </c>
      <c r="AA6784">
        <v>0.36112501982358342</v>
      </c>
      <c r="AB6784" t="str">
        <f>HYPERLINK("Melting_Curves/meltCurve_Q9Y2H1_STK38L.pdf", "Melting_Curves/meltCurve_Q9Y2H1_STK38L.pdf")</f>
        <v>Melting_Curves/meltCurve_Q9Y2H1_STK38L.pdf</v>
      </c>
    </row>
    <row r="6785" spans="1:28" x14ac:dyDescent="0.25">
      <c r="A6785" t="s">
        <v>6789</v>
      </c>
      <c r="B6785">
        <v>0.99999676499088797</v>
      </c>
      <c r="C6785">
        <v>0.75193178057534604</v>
      </c>
      <c r="D6785">
        <v>0.35298316355001702</v>
      </c>
      <c r="E6785">
        <v>0.17420728188787701</v>
      </c>
      <c r="F6785">
        <v>8.22666814809941E-2</v>
      </c>
      <c r="G6785">
        <v>5.5753846208923097E-2</v>
      </c>
      <c r="H6785">
        <v>3.2525103053154397E-2</v>
      </c>
      <c r="I6785">
        <v>3.2334287009851997E-2</v>
      </c>
      <c r="J6785">
        <v>0</v>
      </c>
      <c r="K6785">
        <v>3.3172661166212897E-2</v>
      </c>
      <c r="L6785">
        <v>1059.10669829018</v>
      </c>
      <c r="M6785">
        <v>23.6132976500949</v>
      </c>
      <c r="N6785">
        <v>45.002346169801399</v>
      </c>
      <c r="O6785">
        <v>44.534166799569498</v>
      </c>
      <c r="P6785">
        <v>-0.127535828471107</v>
      </c>
      <c r="Q6785">
        <v>3.7897012640463197E-2</v>
      </c>
      <c r="R6785">
        <v>0.99298282732618703</v>
      </c>
      <c r="S6785" t="s">
        <v>13788</v>
      </c>
      <c r="T6785" t="s">
        <v>14004</v>
      </c>
      <c r="U6785" t="s">
        <v>14004</v>
      </c>
      <c r="V6785" t="s">
        <v>14004</v>
      </c>
      <c r="W6785" t="s">
        <v>20727</v>
      </c>
      <c r="X6785">
        <v>2</v>
      </c>
      <c r="Y6785" t="s">
        <v>27504</v>
      </c>
      <c r="Z6785" t="s">
        <v>34495</v>
      </c>
      <c r="AA6785">
        <v>0.2046811545982786</v>
      </c>
      <c r="AB6785" t="str">
        <f>HYPERLINK("Melting_Curves/meltCurve_Q9Y2H6_2_FNDC3A.pdf", "Melting_Curves/meltCurve_Q9Y2H6_2_FNDC3A.pdf")</f>
        <v>Melting_Curves/meltCurve_Q9Y2H6_2_FNDC3A.pdf</v>
      </c>
    </row>
    <row r="6786" spans="1:28" x14ac:dyDescent="0.25">
      <c r="A6786" t="s">
        <v>6790</v>
      </c>
      <c r="B6786">
        <v>0.99999676499088797</v>
      </c>
      <c r="C6786">
        <v>0.92795629702875304</v>
      </c>
      <c r="D6786">
        <v>0.73317606512179501</v>
      </c>
      <c r="E6786">
        <v>0.35992385070785299</v>
      </c>
      <c r="F6786">
        <v>0.23391687508270301</v>
      </c>
      <c r="G6786">
        <v>0.165116183914086</v>
      </c>
      <c r="H6786">
        <v>7.4485644000747697E-2</v>
      </c>
      <c r="I6786">
        <v>5.5605449216873999E-2</v>
      </c>
      <c r="J6786">
        <v>4.9754980715086501E-2</v>
      </c>
      <c r="K6786">
        <v>4.43298036240765E-2</v>
      </c>
      <c r="L6786">
        <v>883.84670018901295</v>
      </c>
      <c r="M6786">
        <v>18.350388804651601</v>
      </c>
      <c r="N6786">
        <v>48.500301836563203</v>
      </c>
      <c r="O6786">
        <v>47.603948692029803</v>
      </c>
      <c r="P6786">
        <v>-9.0633691878293704E-2</v>
      </c>
      <c r="Q6786">
        <v>5.9567756978325503E-2</v>
      </c>
      <c r="R6786">
        <v>0.99402631728092705</v>
      </c>
      <c r="S6786" t="s">
        <v>13789</v>
      </c>
      <c r="T6786" t="s">
        <v>14004</v>
      </c>
      <c r="U6786" t="s">
        <v>14004</v>
      </c>
      <c r="V6786" t="s">
        <v>14004</v>
      </c>
      <c r="W6786" t="s">
        <v>20728</v>
      </c>
      <c r="X6786">
        <v>10</v>
      </c>
      <c r="Y6786" t="s">
        <v>27505</v>
      </c>
      <c r="Z6786" t="s">
        <v>34496</v>
      </c>
      <c r="AA6786">
        <v>0.33147628100706311</v>
      </c>
      <c r="AB6786" t="str">
        <f>HYPERLINK("Melting_Curves/meltCurve_Q9Y2I1_NISCH.pdf", "Melting_Curves/meltCurve_Q9Y2I1_NISCH.pdf")</f>
        <v>Melting_Curves/meltCurve_Q9Y2I1_NISCH.pdf</v>
      </c>
    </row>
    <row r="6787" spans="1:28" x14ac:dyDescent="0.25">
      <c r="A6787" t="s">
        <v>6791</v>
      </c>
      <c r="B6787">
        <v>0.99999676499088797</v>
      </c>
      <c r="C6787">
        <v>1.0173385706757301</v>
      </c>
      <c r="D6787">
        <v>0.80917927692209601</v>
      </c>
      <c r="E6787">
        <v>0.43972358862190902</v>
      </c>
      <c r="F6787">
        <v>0.25129227251606201</v>
      </c>
      <c r="G6787">
        <v>0.16590151234719999</v>
      </c>
      <c r="H6787">
        <v>8.5379828375034494E-2</v>
      </c>
      <c r="I6787">
        <v>7.9173636399653399E-2</v>
      </c>
      <c r="J6787">
        <v>7.6539350287068098E-2</v>
      </c>
      <c r="K6787">
        <v>6.1593079578288697E-2</v>
      </c>
      <c r="L6787">
        <v>1041.54917761404</v>
      </c>
      <c r="M6787">
        <v>21.295180828485201</v>
      </c>
      <c r="N6787">
        <v>49.320910597954096</v>
      </c>
      <c r="O6787">
        <v>48.484920212635899</v>
      </c>
      <c r="P6787">
        <v>-0.100882103064923</v>
      </c>
      <c r="Q6787">
        <v>8.1269048572016098E-2</v>
      </c>
      <c r="R6787">
        <v>0.99424943533583998</v>
      </c>
      <c r="S6787" t="s">
        <v>13790</v>
      </c>
      <c r="T6787" t="s">
        <v>14004</v>
      </c>
      <c r="U6787" t="s">
        <v>14004</v>
      </c>
      <c r="V6787" t="s">
        <v>14004</v>
      </c>
      <c r="W6787" t="s">
        <v>20729</v>
      </c>
      <c r="X6787">
        <v>7</v>
      </c>
      <c r="Y6787" t="s">
        <v>27506</v>
      </c>
      <c r="Z6787" t="s">
        <v>34497</v>
      </c>
      <c r="AA6787">
        <v>0.36546211112641541</v>
      </c>
      <c r="AB6787" t="str">
        <f>HYPERLINK("Melting_Curves/meltCurve_Q9Y2I7_PIKFYVE.pdf", "Melting_Curves/meltCurve_Q9Y2I7_PIKFYVE.pdf")</f>
        <v>Melting_Curves/meltCurve_Q9Y2I7_PIKFYVE.pdf</v>
      </c>
    </row>
    <row r="6788" spans="1:28" x14ac:dyDescent="0.25">
      <c r="A6788" t="s">
        <v>6792</v>
      </c>
      <c r="B6788">
        <v>0.99999676499088797</v>
      </c>
      <c r="C6788">
        <v>0.998157523644564</v>
      </c>
      <c r="D6788">
        <v>0.84046534663440597</v>
      </c>
      <c r="E6788">
        <v>0.37410265471571302</v>
      </c>
      <c r="F6788">
        <v>0.27298690240374202</v>
      </c>
      <c r="G6788">
        <v>0.183841806384163</v>
      </c>
      <c r="H6788">
        <v>0.11362208341100399</v>
      </c>
      <c r="I6788">
        <v>0.121398421418587</v>
      </c>
      <c r="J6788">
        <v>0.106824999824482</v>
      </c>
      <c r="K6788">
        <v>0.12136613260803999</v>
      </c>
      <c r="L6788">
        <v>1299.6869308677301</v>
      </c>
      <c r="M6788">
        <v>26.915790048762499</v>
      </c>
      <c r="N6788">
        <v>48.851948335289002</v>
      </c>
      <c r="O6788">
        <v>48.022994672197299</v>
      </c>
      <c r="P6788">
        <v>-0.12138523624976599</v>
      </c>
      <c r="Q6788">
        <v>0.13370978591993701</v>
      </c>
      <c r="R6788">
        <v>0.99129595021880301</v>
      </c>
      <c r="S6788" t="s">
        <v>13791</v>
      </c>
      <c r="T6788" t="s">
        <v>14004</v>
      </c>
      <c r="U6788" t="s">
        <v>14004</v>
      </c>
      <c r="V6788" t="s">
        <v>14004</v>
      </c>
      <c r="W6788" t="s">
        <v>20730</v>
      </c>
      <c r="X6788">
        <v>4</v>
      </c>
      <c r="Y6788" t="s">
        <v>27507</v>
      </c>
      <c r="Z6788" t="s">
        <v>34498</v>
      </c>
      <c r="AA6788">
        <v>0.37956852395933072</v>
      </c>
      <c r="AB6788" t="str">
        <f>HYPERLINK("Melting_Curves/meltCurve_Q9Y2K6_USP20.pdf", "Melting_Curves/meltCurve_Q9Y2K6_USP20.pdf")</f>
        <v>Melting_Curves/meltCurve_Q9Y2K6_USP20.pdf</v>
      </c>
    </row>
    <row r="6789" spans="1:28" x14ac:dyDescent="0.25">
      <c r="A6789" t="s">
        <v>6793</v>
      </c>
      <c r="B6789">
        <v>0.99999676499088797</v>
      </c>
      <c r="C6789">
        <v>1.0178491314062701</v>
      </c>
      <c r="D6789">
        <v>0.964032982994104</v>
      </c>
      <c r="E6789">
        <v>0.64599669128528503</v>
      </c>
      <c r="F6789">
        <v>0.20322097848458501</v>
      </c>
      <c r="G6789">
        <v>0.15830599061033401</v>
      </c>
      <c r="H6789">
        <v>7.5253900108705696E-2</v>
      </c>
      <c r="I6789">
        <v>9.3526832931717194E-2</v>
      </c>
      <c r="J6789">
        <v>8.9502326040028501E-2</v>
      </c>
      <c r="K6789">
        <v>7.4755762402506504E-2</v>
      </c>
      <c r="L6789">
        <v>1684.0219957428601</v>
      </c>
      <c r="M6789">
        <v>33.508440103730202</v>
      </c>
      <c r="N6789">
        <v>50.5625179855166</v>
      </c>
      <c r="O6789">
        <v>50.078669536330999</v>
      </c>
      <c r="P6789">
        <v>-0.15193463996325199</v>
      </c>
      <c r="Q6789">
        <v>9.1732989565241493E-2</v>
      </c>
      <c r="R6789">
        <v>0.99780690913247805</v>
      </c>
      <c r="S6789" t="s">
        <v>13792</v>
      </c>
      <c r="T6789" t="s">
        <v>14004</v>
      </c>
      <c r="U6789" t="s">
        <v>14004</v>
      </c>
      <c r="V6789" t="s">
        <v>14004</v>
      </c>
      <c r="W6789" t="s">
        <v>20731</v>
      </c>
      <c r="X6789">
        <v>21</v>
      </c>
      <c r="Y6789" t="s">
        <v>27508</v>
      </c>
      <c r="Z6789" t="s">
        <v>34499</v>
      </c>
      <c r="AA6789">
        <v>0.40677107561340953</v>
      </c>
      <c r="AB6789" t="str">
        <f>HYPERLINK("Melting_Curves/meltCurve_Q9Y2K7_KDM2A.pdf", "Melting_Curves/meltCurve_Q9Y2K7_KDM2A.pdf")</f>
        <v>Melting_Curves/meltCurve_Q9Y2K7_KDM2A.pdf</v>
      </c>
    </row>
    <row r="6790" spans="1:28" x14ac:dyDescent="0.25">
      <c r="A6790" t="s">
        <v>6794</v>
      </c>
      <c r="B6790">
        <v>0.99999676499088797</v>
      </c>
      <c r="C6790">
        <v>0.94977369626776798</v>
      </c>
      <c r="D6790">
        <v>0.56442904161419305</v>
      </c>
      <c r="E6790">
        <v>0.27361576872094201</v>
      </c>
      <c r="F6790">
        <v>0.15096006897831299</v>
      </c>
      <c r="G6790">
        <v>0.116800565941152</v>
      </c>
      <c r="H6790">
        <v>5.7570508158598897E-2</v>
      </c>
      <c r="I6790">
        <v>5.7532246854984502E-2</v>
      </c>
      <c r="J6790">
        <v>5.4628862577970498E-2</v>
      </c>
      <c r="K6790">
        <v>4.5452396640391302E-2</v>
      </c>
      <c r="L6790">
        <v>1080.01872042741</v>
      </c>
      <c r="M6790">
        <v>23.148071695605299</v>
      </c>
      <c r="N6790">
        <v>46.954561523658803</v>
      </c>
      <c r="O6790">
        <v>46.312952656659597</v>
      </c>
      <c r="P6790">
        <v>-0.11643128471085699</v>
      </c>
      <c r="Q6790">
        <v>6.8228780714156806E-2</v>
      </c>
      <c r="R6790">
        <v>0.992586278982026</v>
      </c>
      <c r="S6790" t="s">
        <v>13793</v>
      </c>
      <c r="T6790" t="s">
        <v>14004</v>
      </c>
      <c r="U6790" t="s">
        <v>14004</v>
      </c>
      <c r="V6790" t="s">
        <v>14004</v>
      </c>
      <c r="W6790" t="s">
        <v>20732</v>
      </c>
      <c r="X6790">
        <v>31</v>
      </c>
      <c r="Y6790" t="s">
        <v>27509</v>
      </c>
      <c r="Z6790" t="s">
        <v>34500</v>
      </c>
      <c r="AA6790">
        <v>0.28495809048735499</v>
      </c>
      <c r="AB6790" t="str">
        <f>HYPERLINK("Melting_Curves/meltCurve_Q9Y2L1_DIS3.pdf", "Melting_Curves/meltCurve_Q9Y2L1_DIS3.pdf")</f>
        <v>Melting_Curves/meltCurve_Q9Y2L1_DIS3.pdf</v>
      </c>
    </row>
    <row r="6791" spans="1:28" x14ac:dyDescent="0.25">
      <c r="A6791" t="s">
        <v>6795</v>
      </c>
      <c r="B6791">
        <v>0.99999676499088797</v>
      </c>
      <c r="C6791">
        <v>0.87903815950564701</v>
      </c>
      <c r="D6791">
        <v>0.576632666860457</v>
      </c>
      <c r="E6791">
        <v>0.24846239730615699</v>
      </c>
      <c r="F6791">
        <v>0.18430752450995599</v>
      </c>
      <c r="G6791">
        <v>0.12632080548767699</v>
      </c>
      <c r="H6791">
        <v>0.112408517355488</v>
      </c>
      <c r="I6791">
        <v>0.127845753726196</v>
      </c>
      <c r="J6791">
        <v>9.4632307818366998E-2</v>
      </c>
      <c r="K6791">
        <v>0.1197218651269</v>
      </c>
      <c r="L6791">
        <v>1116.7545532397501</v>
      </c>
      <c r="M6791">
        <v>24.189381443710101</v>
      </c>
      <c r="N6791">
        <v>46.686582013046198</v>
      </c>
      <c r="O6791">
        <v>45.855083008761298</v>
      </c>
      <c r="P6791">
        <v>-0.11632214984148399</v>
      </c>
      <c r="Q6791">
        <v>0.117979885317607</v>
      </c>
      <c r="R6791">
        <v>0.99790906104978405</v>
      </c>
      <c r="S6791" t="s">
        <v>13794</v>
      </c>
      <c r="T6791" t="s">
        <v>14004</v>
      </c>
      <c r="U6791" t="s">
        <v>14004</v>
      </c>
      <c r="V6791" t="s">
        <v>14004</v>
      </c>
      <c r="W6791" t="s">
        <v>20733</v>
      </c>
      <c r="X6791">
        <v>2</v>
      </c>
      <c r="Y6791" t="s">
        <v>27510</v>
      </c>
      <c r="Z6791" t="s">
        <v>34501</v>
      </c>
      <c r="AA6791">
        <v>0.30801499610272348</v>
      </c>
      <c r="AB6791" t="str">
        <f>HYPERLINK("Melting_Curves/meltCurve_Q9Y2L9_2_LRCH1.pdf", "Melting_Curves/meltCurve_Q9Y2L9_2_LRCH1.pdf")</f>
        <v>Melting_Curves/meltCurve_Q9Y2L9_2_LRCH1.pdf</v>
      </c>
    </row>
    <row r="6792" spans="1:28" x14ac:dyDescent="0.25">
      <c r="A6792" t="s">
        <v>6796</v>
      </c>
      <c r="B6792">
        <v>0.99999676499088797</v>
      </c>
      <c r="C6792">
        <v>0.90732419833934896</v>
      </c>
      <c r="D6792">
        <v>1.09414558596446</v>
      </c>
      <c r="E6792">
        <v>0.63287437207175901</v>
      </c>
      <c r="F6792">
        <v>0.172637262136068</v>
      </c>
      <c r="G6792">
        <v>0.12582448384769301</v>
      </c>
      <c r="H6792">
        <v>5.6649038361340803E-2</v>
      </c>
      <c r="I6792">
        <v>6.40635130039615E-2</v>
      </c>
      <c r="J6792">
        <v>4.6902793967233E-2</v>
      </c>
      <c r="K6792">
        <v>2.3939978406128899E-2</v>
      </c>
      <c r="L6792">
        <v>2069.2741288413899</v>
      </c>
      <c r="M6792">
        <v>41.1913821722367</v>
      </c>
      <c r="N6792">
        <v>50.4051228858429</v>
      </c>
      <c r="O6792">
        <v>50.1176433682731</v>
      </c>
      <c r="P6792">
        <v>-0.19218381251055999</v>
      </c>
      <c r="Q6792">
        <v>6.4679914483743994E-2</v>
      </c>
      <c r="R6792">
        <v>0.98457043668828303</v>
      </c>
      <c r="S6792" t="s">
        <v>13795</v>
      </c>
      <c r="T6792" t="s">
        <v>14004</v>
      </c>
      <c r="U6792" t="s">
        <v>14004</v>
      </c>
      <c r="V6792" t="s">
        <v>14004</v>
      </c>
      <c r="W6792" t="s">
        <v>20734</v>
      </c>
      <c r="X6792">
        <v>2</v>
      </c>
      <c r="Y6792" t="s">
        <v>27511</v>
      </c>
      <c r="Z6792" t="s">
        <v>34502</v>
      </c>
      <c r="AA6792">
        <v>0.38686081814931589</v>
      </c>
      <c r="AB6792" t="str">
        <f>HYPERLINK("Melting_Curves/meltCurve_Q9Y2P8_RCL1.pdf", "Melting_Curves/meltCurve_Q9Y2P8_RCL1.pdf")</f>
        <v>Melting_Curves/meltCurve_Q9Y2P8_RCL1.pdf</v>
      </c>
    </row>
    <row r="6793" spans="1:28" x14ac:dyDescent="0.25">
      <c r="A6793" t="s">
        <v>6797</v>
      </c>
      <c r="B6793">
        <v>0.99999676499088797</v>
      </c>
      <c r="C6793">
        <v>1.0843376689993101</v>
      </c>
      <c r="D6793">
        <v>1.0890356896697699</v>
      </c>
      <c r="E6793">
        <v>0.99114763626400804</v>
      </c>
      <c r="F6793">
        <v>0.84921088099169295</v>
      </c>
      <c r="G6793">
        <v>0.82816098018505002</v>
      </c>
      <c r="H6793">
        <v>0.396390738455143</v>
      </c>
      <c r="I6793">
        <v>0.19647667799037399</v>
      </c>
      <c r="J6793">
        <v>0.13829640260919701</v>
      </c>
      <c r="K6793">
        <v>9.2826027665176794E-2</v>
      </c>
      <c r="L6793">
        <v>1440.8719342028301</v>
      </c>
      <c r="M6793">
        <v>24.229024250917799</v>
      </c>
      <c r="N6793">
        <v>59.8306582233892</v>
      </c>
      <c r="O6793">
        <v>59.068158395035198</v>
      </c>
      <c r="P6793">
        <v>-9.5560077130423304E-2</v>
      </c>
      <c r="Q6793">
        <v>6.8146831598997107E-2</v>
      </c>
      <c r="R6793">
        <v>0.98116854891926197</v>
      </c>
      <c r="S6793" t="s">
        <v>13796</v>
      </c>
      <c r="T6793" t="s">
        <v>14004</v>
      </c>
      <c r="U6793" t="s">
        <v>14004</v>
      </c>
      <c r="V6793" t="s">
        <v>14004</v>
      </c>
      <c r="W6793" t="s">
        <v>20735</v>
      </c>
      <c r="X6793">
        <v>8</v>
      </c>
      <c r="Y6793" t="s">
        <v>27512</v>
      </c>
      <c r="Z6793" t="s">
        <v>34503</v>
      </c>
      <c r="AA6793">
        <v>0.68045476558461704</v>
      </c>
      <c r="AB6793" t="str">
        <f>HYPERLINK("Melting_Curves/meltCurve_Q9Y2Q0_3_ATP8A1.pdf", "Melting_Curves/meltCurve_Q9Y2Q0_3_ATP8A1.pdf")</f>
        <v>Melting_Curves/meltCurve_Q9Y2Q0_3_ATP8A1.pdf</v>
      </c>
    </row>
    <row r="6794" spans="1:28" x14ac:dyDescent="0.25">
      <c r="A6794" t="s">
        <v>6798</v>
      </c>
      <c r="B6794">
        <v>0.99999676499088797</v>
      </c>
      <c r="C6794">
        <v>0.91214133899251304</v>
      </c>
      <c r="D6794">
        <v>0.98064579287195996</v>
      </c>
      <c r="E6794">
        <v>0.95734424536690499</v>
      </c>
      <c r="F6794">
        <v>0.28451144294008002</v>
      </c>
      <c r="G6794">
        <v>0.15212455677886599</v>
      </c>
      <c r="H6794">
        <v>7.7685127168675705E-2</v>
      </c>
      <c r="I6794">
        <v>5.7638277893781502E-2</v>
      </c>
      <c r="J6794">
        <v>6.5110644154389802E-2</v>
      </c>
      <c r="K6794">
        <v>4.8271912344018703E-2</v>
      </c>
      <c r="L6794">
        <v>2934.9533877884501</v>
      </c>
      <c r="M6794">
        <v>56.369319796130597</v>
      </c>
      <c r="N6794">
        <v>52.2224402448917</v>
      </c>
      <c r="O6794">
        <v>52.001102754211097</v>
      </c>
      <c r="P6794">
        <v>-0.25000959153559699</v>
      </c>
      <c r="Q6794">
        <v>7.7458010654930701E-2</v>
      </c>
      <c r="R6794">
        <v>0.99209787716137698</v>
      </c>
      <c r="S6794" t="s">
        <v>13797</v>
      </c>
      <c r="T6794" t="s">
        <v>14004</v>
      </c>
      <c r="U6794" t="s">
        <v>14004</v>
      </c>
      <c r="V6794" t="s">
        <v>14004</v>
      </c>
      <c r="W6794" t="s">
        <v>20736</v>
      </c>
      <c r="X6794">
        <v>13</v>
      </c>
      <c r="Y6794" t="s">
        <v>27513</v>
      </c>
      <c r="Z6794" t="s">
        <v>34504</v>
      </c>
      <c r="AA6794">
        <v>0.45018487466649132</v>
      </c>
      <c r="AB6794" t="str">
        <f>HYPERLINK("Melting_Curves/meltCurve_Q9Y2Q3_GSTK1.pdf", "Melting_Curves/meltCurve_Q9Y2Q3_GSTK1.pdf")</f>
        <v>Melting_Curves/meltCurve_Q9Y2Q3_GSTK1.pdf</v>
      </c>
    </row>
    <row r="6795" spans="1:28" x14ac:dyDescent="0.25">
      <c r="A6795" t="s">
        <v>6799</v>
      </c>
      <c r="B6795">
        <v>0.99999676499088797</v>
      </c>
      <c r="C6795">
        <v>0.89875265589992703</v>
      </c>
      <c r="D6795">
        <v>0.95396880239097404</v>
      </c>
      <c r="E6795">
        <v>1.13576503903397</v>
      </c>
      <c r="F6795">
        <v>1.4437110474808501</v>
      </c>
      <c r="G6795">
        <v>1.0239565982060701</v>
      </c>
      <c r="H6795">
        <v>0.83512973494856502</v>
      </c>
      <c r="I6795">
        <v>0.68913425561234898</v>
      </c>
      <c r="J6795">
        <v>0.45761609428065397</v>
      </c>
      <c r="K6795">
        <v>0.34146210153381001</v>
      </c>
      <c r="L6795">
        <v>1826.5860159394799</v>
      </c>
      <c r="M6795">
        <v>28.369716865198701</v>
      </c>
      <c r="N6795">
        <v>66.307271937895806</v>
      </c>
      <c r="O6795">
        <v>64.067701081156002</v>
      </c>
      <c r="P6795">
        <v>-7.9670921060062905E-2</v>
      </c>
      <c r="Q6795">
        <v>0.28031835593154703</v>
      </c>
      <c r="R6795">
        <v>0.74869853396533104</v>
      </c>
      <c r="S6795" t="s">
        <v>13798</v>
      </c>
      <c r="T6795" t="s">
        <v>14004</v>
      </c>
      <c r="U6795" t="s">
        <v>14004</v>
      </c>
      <c r="V6795" t="s">
        <v>14004</v>
      </c>
      <c r="W6795" t="s">
        <v>20737</v>
      </c>
      <c r="X6795">
        <v>5</v>
      </c>
      <c r="Y6795" t="s">
        <v>27514</v>
      </c>
      <c r="Z6795" t="s">
        <v>34505</v>
      </c>
      <c r="AA6795">
        <v>0.86487142091170355</v>
      </c>
      <c r="AB6795" t="str">
        <f>HYPERLINK("Melting_Curves/meltCurve_Q9Y2Q5_LAMTOR2.pdf", "Melting_Curves/meltCurve_Q9Y2Q5_LAMTOR2.pdf")</f>
        <v>Melting_Curves/meltCurve_Q9Y2Q5_LAMTOR2.pdf</v>
      </c>
    </row>
    <row r="6796" spans="1:28" x14ac:dyDescent="0.25">
      <c r="A6796" t="s">
        <v>6800</v>
      </c>
      <c r="B6796">
        <v>0.99999676499088797</v>
      </c>
      <c r="C6796">
        <v>0.91268264000925903</v>
      </c>
      <c r="D6796">
        <v>0.71624801697850504</v>
      </c>
      <c r="E6796">
        <v>0.69174679531921701</v>
      </c>
      <c r="F6796">
        <v>0.286808832660987</v>
      </c>
      <c r="G6796">
        <v>0.14666690701493601</v>
      </c>
      <c r="H6796">
        <v>9.8852921055556597E-2</v>
      </c>
      <c r="I6796">
        <v>9.8071842504106402E-2</v>
      </c>
      <c r="J6796">
        <v>0.107957511126673</v>
      </c>
      <c r="K6796">
        <v>9.3191951589371602E-2</v>
      </c>
      <c r="L6796">
        <v>769.84898089839101</v>
      </c>
      <c r="M6796">
        <v>15.3686825658712</v>
      </c>
      <c r="N6796">
        <v>50.5182277340243</v>
      </c>
      <c r="O6796">
        <v>49.2669378282135</v>
      </c>
      <c r="P6796">
        <v>-7.3252078232297999E-2</v>
      </c>
      <c r="Q6796">
        <v>6.0798019858130499E-2</v>
      </c>
      <c r="R6796">
        <v>0.97498579360878701</v>
      </c>
      <c r="S6796" t="s">
        <v>13799</v>
      </c>
      <c r="T6796" t="s">
        <v>14004</v>
      </c>
      <c r="U6796" t="s">
        <v>14004</v>
      </c>
      <c r="V6796" t="s">
        <v>14004</v>
      </c>
      <c r="W6796" t="s">
        <v>20738</v>
      </c>
      <c r="X6796">
        <v>4</v>
      </c>
      <c r="Y6796" t="s">
        <v>27515</v>
      </c>
      <c r="Z6796" t="s">
        <v>34506</v>
      </c>
      <c r="AA6796">
        <v>0.39813802490919742</v>
      </c>
      <c r="AB6796" t="str">
        <f>HYPERLINK("Melting_Curves/meltCurve_Q9Y2Q9_MRPS28.pdf", "Melting_Curves/meltCurve_Q9Y2Q9_MRPS28.pdf")</f>
        <v>Melting_Curves/meltCurve_Q9Y2Q9_MRPS28.pdf</v>
      </c>
    </row>
    <row r="6797" spans="1:28" x14ac:dyDescent="0.25">
      <c r="A6797" t="s">
        <v>6801</v>
      </c>
      <c r="B6797">
        <v>0.99999676499088797</v>
      </c>
      <c r="C6797">
        <v>1.2406771531573999</v>
      </c>
      <c r="D6797">
        <v>1.24972634061229</v>
      </c>
      <c r="E6797">
        <v>1.0562052354009299</v>
      </c>
      <c r="F6797">
        <v>1.0709440650025099</v>
      </c>
      <c r="G6797">
        <v>1.2645152315791499</v>
      </c>
      <c r="H6797">
        <v>0.98746691238224205</v>
      </c>
      <c r="I6797">
        <v>1.14123752236613</v>
      </c>
      <c r="J6797">
        <v>1.0896286320986199</v>
      </c>
      <c r="K6797">
        <v>1.2289408176915999</v>
      </c>
      <c r="L6797">
        <v>10237.7979255057</v>
      </c>
      <c r="M6797">
        <v>250</v>
      </c>
      <c r="O6797">
        <v>40.948571125246403</v>
      </c>
      <c r="P6797">
        <v>0.22544226079639901</v>
      </c>
      <c r="Q6797">
        <v>1.14770461494007</v>
      </c>
      <c r="R6797">
        <v>0.19196307955870001</v>
      </c>
      <c r="S6797" t="s">
        <v>13800</v>
      </c>
      <c r="T6797" t="s">
        <v>14004</v>
      </c>
      <c r="U6797" t="s">
        <v>14004</v>
      </c>
      <c r="V6797" t="s">
        <v>14004</v>
      </c>
      <c r="W6797" t="s">
        <v>20739</v>
      </c>
      <c r="X6797">
        <v>6</v>
      </c>
      <c r="Y6797" t="s">
        <v>27516</v>
      </c>
      <c r="Z6797" t="s">
        <v>34507</v>
      </c>
      <c r="AA6797">
        <v>1.143008822408665</v>
      </c>
      <c r="AB6797" t="str">
        <f>HYPERLINK("Melting_Curves/meltCurve_Q9Y2R0_COA3.pdf", "Melting_Curves/meltCurve_Q9Y2R0_COA3.pdf")</f>
        <v>Melting_Curves/meltCurve_Q9Y2R0_COA3.pdf</v>
      </c>
    </row>
    <row r="6798" spans="1:28" x14ac:dyDescent="0.25">
      <c r="A6798" t="s">
        <v>6802</v>
      </c>
      <c r="B6798">
        <v>0.99999676499088797</v>
      </c>
      <c r="C6798">
        <v>0.909937564869015</v>
      </c>
      <c r="D6798">
        <v>0.70535293813493605</v>
      </c>
      <c r="E6798">
        <v>0.37426552508234301</v>
      </c>
      <c r="F6798">
        <v>8.1950006377055504E-2</v>
      </c>
      <c r="G6798">
        <v>4.6745681904158898E-2</v>
      </c>
      <c r="H6798">
        <v>2.5957261746989101E-2</v>
      </c>
      <c r="I6798">
        <v>1.4029091357543801E-2</v>
      </c>
      <c r="J6798">
        <v>1.7450927003257798E-2</v>
      </c>
      <c r="K6798">
        <v>8.4618175825781107E-3</v>
      </c>
      <c r="L6798">
        <v>997.63026322567703</v>
      </c>
      <c r="M6798">
        <v>20.776114182279901</v>
      </c>
      <c r="N6798">
        <v>48.048144693421001</v>
      </c>
      <c r="O6798">
        <v>47.579911883325501</v>
      </c>
      <c r="P6798">
        <v>-0.108463664904077</v>
      </c>
      <c r="Q6798">
        <v>6.4461393219312699E-3</v>
      </c>
      <c r="R6798">
        <v>0.99783936356783498</v>
      </c>
      <c r="S6798" t="s">
        <v>13801</v>
      </c>
      <c r="T6798" t="s">
        <v>14004</v>
      </c>
      <c r="U6798" t="s">
        <v>14004</v>
      </c>
      <c r="V6798" t="s">
        <v>14004</v>
      </c>
      <c r="W6798" t="s">
        <v>20740</v>
      </c>
      <c r="X6798">
        <v>4</v>
      </c>
      <c r="Y6798" t="s">
        <v>27517</v>
      </c>
      <c r="Z6798" t="s">
        <v>34508</v>
      </c>
      <c r="AA6798">
        <v>0.28501341058449492</v>
      </c>
      <c r="AB6798" t="str">
        <f>HYPERLINK("Melting_Curves/meltCurve_Q9Y2R4_DDX52.pdf", "Melting_Curves/meltCurve_Q9Y2R4_DDX52.pdf")</f>
        <v>Melting_Curves/meltCurve_Q9Y2R4_DDX52.pdf</v>
      </c>
    </row>
    <row r="6799" spans="1:28" x14ac:dyDescent="0.25">
      <c r="A6799" t="s">
        <v>6803</v>
      </c>
      <c r="B6799">
        <v>0.99999676499088797</v>
      </c>
      <c r="C6799">
        <v>1.72121848568214</v>
      </c>
      <c r="D6799">
        <v>1.4367513279878801</v>
      </c>
      <c r="E6799">
        <v>1.1678601637811401</v>
      </c>
      <c r="F6799">
        <v>0.67498693958056299</v>
      </c>
      <c r="G6799">
        <v>0.68693911014128495</v>
      </c>
      <c r="H6799">
        <v>0.38401079945751498</v>
      </c>
      <c r="I6799">
        <v>0.75087306333614601</v>
      </c>
      <c r="J6799">
        <v>0.83869431883385703</v>
      </c>
      <c r="K6799">
        <v>1.598834180044</v>
      </c>
      <c r="S6799" t="s">
        <v>13802</v>
      </c>
      <c r="T6799" t="s">
        <v>14004</v>
      </c>
      <c r="U6799" t="s">
        <v>14005</v>
      </c>
      <c r="V6799" t="s">
        <v>14004</v>
      </c>
      <c r="W6799" t="s">
        <v>20741</v>
      </c>
      <c r="X6799">
        <v>4</v>
      </c>
      <c r="Y6799" t="s">
        <v>27518</v>
      </c>
      <c r="Z6799" t="s">
        <v>34509</v>
      </c>
      <c r="AB6799" t="str">
        <f>HYPERLINK("Melting_Curves/meltCurve_Q9Y2S0_POLR1D.pdf", "Melting_Curves/meltCurve_Q9Y2S0_POLR1D.pdf")</f>
        <v>Melting_Curves/meltCurve_Q9Y2S0_POLR1D.pdf</v>
      </c>
    </row>
    <row r="6800" spans="1:28" x14ac:dyDescent="0.25">
      <c r="A6800" t="s">
        <v>6804</v>
      </c>
      <c r="B6800">
        <v>0.99999676499088797</v>
      </c>
      <c r="C6800">
        <v>0.99791893767509599</v>
      </c>
      <c r="D6800">
        <v>0.99918170457278199</v>
      </c>
      <c r="E6800">
        <v>1.0004102077225301</v>
      </c>
      <c r="F6800">
        <v>0.91442498073631195</v>
      </c>
      <c r="G6800">
        <v>0.69673048903082102</v>
      </c>
      <c r="H6800">
        <v>0.51901485846173101</v>
      </c>
      <c r="I6800">
        <v>0.50923982493316999</v>
      </c>
      <c r="J6800">
        <v>0.51940608818485501</v>
      </c>
      <c r="K6800">
        <v>0.56089441582839505</v>
      </c>
      <c r="L6800">
        <v>1989.2467959841999</v>
      </c>
      <c r="M6800">
        <v>35.6882188782753</v>
      </c>
      <c r="O6800">
        <v>55.565449210475499</v>
      </c>
      <c r="P6800">
        <v>-7.6789358058133403E-2</v>
      </c>
      <c r="Q6800">
        <v>0.52176697284071905</v>
      </c>
      <c r="R6800">
        <v>0.99400946485177499</v>
      </c>
      <c r="S6800" t="s">
        <v>13803</v>
      </c>
      <c r="T6800" t="s">
        <v>14004</v>
      </c>
      <c r="U6800" t="s">
        <v>14004</v>
      </c>
      <c r="V6800" t="s">
        <v>14004</v>
      </c>
      <c r="W6800" t="s">
        <v>20742</v>
      </c>
      <c r="X6800">
        <v>4</v>
      </c>
      <c r="Y6800" t="s">
        <v>27518</v>
      </c>
      <c r="Z6800" t="s">
        <v>34510</v>
      </c>
      <c r="AA6800">
        <v>0.77496463698542994</v>
      </c>
      <c r="AB6800" t="str">
        <f>HYPERLINK("Melting_Curves/meltCurve_Q9Y2S0_2_POLR1D.pdf", "Melting_Curves/meltCurve_Q9Y2S0_2_POLR1D.pdf")</f>
        <v>Melting_Curves/meltCurve_Q9Y2S0_2_POLR1D.pdf</v>
      </c>
    </row>
    <row r="6801" spans="1:28" x14ac:dyDescent="0.25">
      <c r="A6801" t="s">
        <v>6805</v>
      </c>
      <c r="B6801">
        <v>0.99999676499088797</v>
      </c>
      <c r="C6801">
        <v>0.94928533203432897</v>
      </c>
      <c r="D6801">
        <v>0.88360691158698002</v>
      </c>
      <c r="E6801">
        <v>0.88532429515592903</v>
      </c>
      <c r="F6801">
        <v>0.66885674134603001</v>
      </c>
      <c r="G6801">
        <v>0.257193548476917</v>
      </c>
      <c r="H6801">
        <v>0.12052600226778599</v>
      </c>
      <c r="I6801">
        <v>0.11636440576779</v>
      </c>
      <c r="J6801">
        <v>9.72654080915384E-2</v>
      </c>
      <c r="K6801">
        <v>9.3825784062007506E-2</v>
      </c>
      <c r="L6801">
        <v>1371.43984312063</v>
      </c>
      <c r="M6801">
        <v>25.395571142274299</v>
      </c>
      <c r="N6801">
        <v>54.4016249594493</v>
      </c>
      <c r="O6801">
        <v>53.671582372830201</v>
      </c>
      <c r="P6801">
        <v>-0.108252638296207</v>
      </c>
      <c r="Q6801">
        <v>8.4876904130574596E-2</v>
      </c>
      <c r="R6801">
        <v>0.98801050094089204</v>
      </c>
      <c r="S6801" t="s">
        <v>13804</v>
      </c>
      <c r="T6801" t="s">
        <v>14004</v>
      </c>
      <c r="U6801" t="s">
        <v>14004</v>
      </c>
      <c r="V6801" t="s">
        <v>14004</v>
      </c>
      <c r="W6801" t="s">
        <v>20743</v>
      </c>
      <c r="X6801">
        <v>8</v>
      </c>
      <c r="Y6801" t="s">
        <v>27519</v>
      </c>
      <c r="Z6801" t="s">
        <v>34511</v>
      </c>
      <c r="AA6801">
        <v>0.52025820870716233</v>
      </c>
      <c r="AB6801" t="str">
        <f>HYPERLINK("Melting_Curves/meltCurve_Q9Y2S2_2_CRYL1.pdf", "Melting_Curves/meltCurve_Q9Y2S2_2_CRYL1.pdf")</f>
        <v>Melting_Curves/meltCurve_Q9Y2S2_2_CRYL1.pdf</v>
      </c>
    </row>
    <row r="6802" spans="1:28" x14ac:dyDescent="0.25">
      <c r="A6802" t="s">
        <v>6806</v>
      </c>
      <c r="B6802">
        <v>0.99999676499088797</v>
      </c>
      <c r="C6802">
        <v>0.85687354856665598</v>
      </c>
      <c r="D6802">
        <v>1.0584414750675299</v>
      </c>
      <c r="E6802">
        <v>1.2649523666575799</v>
      </c>
      <c r="F6802">
        <v>1.21872159814989</v>
      </c>
      <c r="G6802">
        <v>1.33510289806937</v>
      </c>
      <c r="H6802">
        <v>1.01154907163139</v>
      </c>
      <c r="I6802">
        <v>1.0231828107086101</v>
      </c>
      <c r="J6802">
        <v>0.852494054669513</v>
      </c>
      <c r="K6802">
        <v>1.2217760429098199</v>
      </c>
      <c r="L6802">
        <v>11510.918906164999</v>
      </c>
      <c r="M6802">
        <v>250</v>
      </c>
      <c r="O6802">
        <v>46.040728927346699</v>
      </c>
      <c r="P6802">
        <v>0.17992199076055401</v>
      </c>
      <c r="Q6802">
        <v>1.1325398341167601</v>
      </c>
      <c r="R6802">
        <v>0.21707263813025299</v>
      </c>
      <c r="S6802" t="s">
        <v>13805</v>
      </c>
      <c r="T6802" t="s">
        <v>14004</v>
      </c>
      <c r="U6802" t="s">
        <v>14004</v>
      </c>
      <c r="V6802" t="s">
        <v>14004</v>
      </c>
      <c r="W6802" t="s">
        <v>20744</v>
      </c>
      <c r="X6802">
        <v>7</v>
      </c>
      <c r="Y6802" t="s">
        <v>27520</v>
      </c>
      <c r="Z6802" t="s">
        <v>34512</v>
      </c>
      <c r="AA6802">
        <v>1.105828198620058</v>
      </c>
      <c r="AB6802" t="str">
        <f>HYPERLINK("Melting_Curves/meltCurve_Q9Y2S6_TMA7.pdf", "Melting_Curves/meltCurve_Q9Y2S6_TMA7.pdf")</f>
        <v>Melting_Curves/meltCurve_Q9Y2S6_TMA7.pdf</v>
      </c>
    </row>
    <row r="6803" spans="1:28" x14ac:dyDescent="0.25">
      <c r="A6803" t="s">
        <v>6807</v>
      </c>
      <c r="B6803">
        <v>0.99999676499088797</v>
      </c>
      <c r="C6803">
        <v>0.922019763476981</v>
      </c>
      <c r="D6803">
        <v>0.89218804417800901</v>
      </c>
      <c r="E6803">
        <v>0.89577231308920402</v>
      </c>
      <c r="F6803">
        <v>0.59479114426489099</v>
      </c>
      <c r="G6803">
        <v>0.26529063178504803</v>
      </c>
      <c r="H6803">
        <v>0.117264990704153</v>
      </c>
      <c r="I6803">
        <v>0.102309700290259</v>
      </c>
      <c r="J6803">
        <v>9.9046350374127401E-2</v>
      </c>
      <c r="K6803">
        <v>8.3686688895929701E-2</v>
      </c>
      <c r="L6803">
        <v>1244.7710823370601</v>
      </c>
      <c r="M6803">
        <v>23.202912440117899</v>
      </c>
      <c r="N6803">
        <v>54.037917628130401</v>
      </c>
      <c r="O6803">
        <v>53.253471778684698</v>
      </c>
      <c r="P6803">
        <v>-0.10051657369145101</v>
      </c>
      <c r="Q6803">
        <v>7.7226230602918597E-2</v>
      </c>
      <c r="R6803">
        <v>0.98991979207943204</v>
      </c>
      <c r="S6803" t="s">
        <v>13806</v>
      </c>
      <c r="T6803" t="s">
        <v>14004</v>
      </c>
      <c r="U6803" t="s">
        <v>14004</v>
      </c>
      <c r="V6803" t="s">
        <v>14004</v>
      </c>
      <c r="W6803" t="s">
        <v>20745</v>
      </c>
      <c r="X6803">
        <v>20</v>
      </c>
      <c r="Y6803" t="s">
        <v>27521</v>
      </c>
      <c r="Z6803" t="s">
        <v>34513</v>
      </c>
      <c r="AA6803">
        <v>0.50676650595350059</v>
      </c>
      <c r="AB6803" t="str">
        <f>HYPERLINK("Melting_Curves/meltCurve_Q9Y2S7_POLDIP2.pdf", "Melting_Curves/meltCurve_Q9Y2S7_POLDIP2.pdf")</f>
        <v>Melting_Curves/meltCurve_Q9Y2S7_POLDIP2.pdf</v>
      </c>
    </row>
    <row r="6804" spans="1:28" x14ac:dyDescent="0.25">
      <c r="A6804" t="s">
        <v>6808</v>
      </c>
      <c r="B6804">
        <v>0.99999676499088797</v>
      </c>
      <c r="C6804">
        <v>0.88436658726964301</v>
      </c>
      <c r="D6804">
        <v>0.87900113654437895</v>
      </c>
      <c r="E6804">
        <v>0.45312289507854497</v>
      </c>
      <c r="F6804">
        <v>8.9540727633945993E-2</v>
      </c>
      <c r="G6804">
        <v>7.2896808422479198E-2</v>
      </c>
      <c r="H6804">
        <v>3.9033638004704697E-2</v>
      </c>
      <c r="I6804">
        <v>3.5458111157652697E-2</v>
      </c>
      <c r="J6804">
        <v>3.1644830764722701E-2</v>
      </c>
      <c r="K6804">
        <v>4.2128180707375701E-2</v>
      </c>
      <c r="L6804">
        <v>1388.2778272114599</v>
      </c>
      <c r="M6804">
        <v>28.318151985247201</v>
      </c>
      <c r="N6804">
        <v>49.145457435115098</v>
      </c>
      <c r="O6804">
        <v>48.781792198214703</v>
      </c>
      <c r="P6804">
        <v>-0.14023515701386899</v>
      </c>
      <c r="Q6804">
        <v>3.3713003380208197E-2</v>
      </c>
      <c r="R6804">
        <v>0.99214875258772794</v>
      </c>
      <c r="S6804" t="s">
        <v>13807</v>
      </c>
      <c r="T6804" t="s">
        <v>14004</v>
      </c>
      <c r="U6804" t="s">
        <v>14004</v>
      </c>
      <c r="V6804" t="s">
        <v>14004</v>
      </c>
      <c r="W6804" t="s">
        <v>20746</v>
      </c>
      <c r="X6804">
        <v>3</v>
      </c>
      <c r="Y6804" t="s">
        <v>27522</v>
      </c>
      <c r="Z6804" t="s">
        <v>34514</v>
      </c>
      <c r="AA6804">
        <v>0.33100917473375202</v>
      </c>
      <c r="AB6804" t="str">
        <f>HYPERLINK("Melting_Curves/meltCurve_Q9Y2T2_AP3M1.pdf", "Melting_Curves/meltCurve_Q9Y2T2_AP3M1.pdf")</f>
        <v>Melting_Curves/meltCurve_Q9Y2T2_AP3M1.pdf</v>
      </c>
    </row>
    <row r="6805" spans="1:28" x14ac:dyDescent="0.25">
      <c r="A6805" t="s">
        <v>6809</v>
      </c>
      <c r="B6805">
        <v>0.99999676499088797</v>
      </c>
      <c r="C6805">
        <v>1.58640733496261</v>
      </c>
      <c r="D6805">
        <v>1.2394103306998301</v>
      </c>
      <c r="E6805">
        <v>1.1144650785463599</v>
      </c>
      <c r="F6805">
        <v>0.84055220399079</v>
      </c>
      <c r="G6805">
        <v>0.45182351909117902</v>
      </c>
      <c r="H6805">
        <v>0.16776415055381899</v>
      </c>
      <c r="I6805">
        <v>0.475699848568227</v>
      </c>
      <c r="J6805">
        <v>0.177369765846244</v>
      </c>
      <c r="K6805">
        <v>0.256712028105955</v>
      </c>
      <c r="L6805">
        <v>2334.8367185550101</v>
      </c>
      <c r="M6805">
        <v>42.397768665510497</v>
      </c>
      <c r="N6805">
        <v>56.096298270350502</v>
      </c>
      <c r="O6805">
        <v>54.947711709633602</v>
      </c>
      <c r="P6805">
        <v>-0.140849257415773</v>
      </c>
      <c r="Q6805">
        <v>0.26983594456174997</v>
      </c>
      <c r="R6805">
        <v>0.782753060306556</v>
      </c>
      <c r="S6805" t="s">
        <v>13808</v>
      </c>
      <c r="T6805" t="s">
        <v>14004</v>
      </c>
      <c r="U6805" t="s">
        <v>14004</v>
      </c>
      <c r="V6805" t="s">
        <v>14004</v>
      </c>
      <c r="W6805" t="s">
        <v>20747</v>
      </c>
      <c r="X6805">
        <v>5</v>
      </c>
      <c r="Y6805" t="s">
        <v>27523</v>
      </c>
      <c r="Z6805" t="s">
        <v>34515</v>
      </c>
      <c r="AA6805">
        <v>0.63908266713272599</v>
      </c>
      <c r="AB6805" t="str">
        <f>HYPERLINK("Melting_Curves/meltCurve_Q9Y2T7_YBX2.pdf", "Melting_Curves/meltCurve_Q9Y2T7_YBX2.pdf")</f>
        <v>Melting_Curves/meltCurve_Q9Y2T7_YBX2.pdf</v>
      </c>
    </row>
    <row r="6806" spans="1:28" x14ac:dyDescent="0.25">
      <c r="A6806" t="s">
        <v>6810</v>
      </c>
      <c r="B6806">
        <v>0.99999676499088797</v>
      </c>
      <c r="C6806">
        <v>0.96002887990542696</v>
      </c>
      <c r="D6806">
        <v>0.97039240120051795</v>
      </c>
      <c r="E6806">
        <v>0.904935603763519</v>
      </c>
      <c r="F6806">
        <v>0.38065492395936901</v>
      </c>
      <c r="G6806">
        <v>0.19707097275556201</v>
      </c>
      <c r="H6806">
        <v>9.4891104956915495E-2</v>
      </c>
      <c r="I6806">
        <v>0.109963846837558</v>
      </c>
      <c r="J6806">
        <v>0.13067977156774499</v>
      </c>
      <c r="K6806">
        <v>0.115223349391919</v>
      </c>
      <c r="L6806">
        <v>2013.87529622394</v>
      </c>
      <c r="M6806">
        <v>38.647968884951098</v>
      </c>
      <c r="N6806">
        <v>52.480528874320399</v>
      </c>
      <c r="O6806">
        <v>51.969255954081298</v>
      </c>
      <c r="P6806">
        <v>-0.16362387620048599</v>
      </c>
      <c r="Q6806">
        <v>0.11991331711909201</v>
      </c>
      <c r="R6806">
        <v>0.99650800585312005</v>
      </c>
      <c r="S6806" t="s">
        <v>13809</v>
      </c>
      <c r="T6806" t="s">
        <v>14004</v>
      </c>
      <c r="U6806" t="s">
        <v>14004</v>
      </c>
      <c r="V6806" t="s">
        <v>14004</v>
      </c>
      <c r="W6806" t="s">
        <v>20748</v>
      </c>
      <c r="X6806">
        <v>12</v>
      </c>
      <c r="Y6806" t="s">
        <v>27524</v>
      </c>
      <c r="Z6806" t="s">
        <v>34516</v>
      </c>
      <c r="AA6806">
        <v>0.47851656910353779</v>
      </c>
      <c r="AB6806" t="str">
        <f>HYPERLINK("Melting_Curves/meltCurve_Q9Y2U5_MAP3K2.pdf", "Melting_Curves/meltCurve_Q9Y2U5_MAP3K2.pdf")</f>
        <v>Melting_Curves/meltCurve_Q9Y2U5_MAP3K2.pdf</v>
      </c>
    </row>
    <row r="6807" spans="1:28" x14ac:dyDescent="0.25">
      <c r="A6807" t="s">
        <v>6811</v>
      </c>
      <c r="B6807">
        <v>0.99999676499088797</v>
      </c>
      <c r="C6807">
        <v>1.00202270325332</v>
      </c>
      <c r="D6807">
        <v>0.74296300656927605</v>
      </c>
      <c r="E6807">
        <v>0.32815209561214798</v>
      </c>
      <c r="F6807">
        <v>0.228214554579631</v>
      </c>
      <c r="G6807">
        <v>0.174400128741034</v>
      </c>
      <c r="H6807">
        <v>8.5259319844377707E-2</v>
      </c>
      <c r="I6807">
        <v>7.9301037991701406E-2</v>
      </c>
      <c r="J6807">
        <v>9.35808320760627E-2</v>
      </c>
      <c r="K6807">
        <v>9.5900291180561106E-2</v>
      </c>
      <c r="L6807">
        <v>1197.9629680226201</v>
      </c>
      <c r="M6807">
        <v>25.099183790720801</v>
      </c>
      <c r="N6807">
        <v>48.195421462336803</v>
      </c>
      <c r="O6807">
        <v>47.429272052079803</v>
      </c>
      <c r="P6807">
        <v>-0.11803864712420201</v>
      </c>
      <c r="Q6807">
        <v>0.10779362306286699</v>
      </c>
      <c r="R6807">
        <v>0.99122181470687298</v>
      </c>
      <c r="S6807" t="s">
        <v>13810</v>
      </c>
      <c r="T6807" t="s">
        <v>14004</v>
      </c>
      <c r="U6807" t="s">
        <v>14004</v>
      </c>
      <c r="V6807" t="s">
        <v>14004</v>
      </c>
      <c r="W6807" t="s">
        <v>20749</v>
      </c>
      <c r="X6807">
        <v>14</v>
      </c>
      <c r="Y6807" t="s">
        <v>27525</v>
      </c>
      <c r="Z6807" t="s">
        <v>34517</v>
      </c>
      <c r="AA6807">
        <v>0.34548839328991809</v>
      </c>
      <c r="AB6807" t="str">
        <f>HYPERLINK("Melting_Curves/meltCurve_Q9Y2U8_LEMD3.pdf", "Melting_Curves/meltCurve_Q9Y2U8_LEMD3.pdf")</f>
        <v>Melting_Curves/meltCurve_Q9Y2U8_LEMD3.pdf</v>
      </c>
    </row>
    <row r="6808" spans="1:28" x14ac:dyDescent="0.25">
      <c r="A6808" t="s">
        <v>6812</v>
      </c>
      <c r="B6808">
        <v>0.99999676499088797</v>
      </c>
      <c r="C6808">
        <v>1.0566325075901799</v>
      </c>
      <c r="D6808">
        <v>0.97394386715877701</v>
      </c>
      <c r="E6808">
        <v>0.97115020461427704</v>
      </c>
      <c r="F6808">
        <v>0.55972893155791004</v>
      </c>
      <c r="G6808">
        <v>0.358782187375349</v>
      </c>
      <c r="H6808">
        <v>0.165536414388881</v>
      </c>
      <c r="I6808">
        <v>0.220778100600343</v>
      </c>
      <c r="J6808">
        <v>0.20851581316033899</v>
      </c>
      <c r="K6808">
        <v>0.19658311535036899</v>
      </c>
      <c r="L6808">
        <v>1650.1311747177899</v>
      </c>
      <c r="M6808">
        <v>31.0336718326372</v>
      </c>
      <c r="N6808">
        <v>54.074945524705299</v>
      </c>
      <c r="O6808">
        <v>52.952955624200499</v>
      </c>
      <c r="P6808">
        <v>-0.116896971425156</v>
      </c>
      <c r="Q6808">
        <v>0.202156251295631</v>
      </c>
      <c r="R6808">
        <v>0.98954898457461204</v>
      </c>
      <c r="S6808" t="s">
        <v>13811</v>
      </c>
      <c r="T6808" t="s">
        <v>14004</v>
      </c>
      <c r="U6808" t="s">
        <v>14004</v>
      </c>
      <c r="V6808" t="s">
        <v>14004</v>
      </c>
      <c r="W6808" t="s">
        <v>20750</v>
      </c>
      <c r="X6808">
        <v>7</v>
      </c>
      <c r="Y6808" t="s">
        <v>21932</v>
      </c>
      <c r="Z6808" t="s">
        <v>34518</v>
      </c>
      <c r="AA6808">
        <v>0.55732359921565566</v>
      </c>
      <c r="AB6808" t="str">
        <f>HYPERLINK("Melting_Curves/meltCurve_Q9Y2V2_CARHSP1.pdf", "Melting_Curves/meltCurve_Q9Y2V2_CARHSP1.pdf")</f>
        <v>Melting_Curves/meltCurve_Q9Y2V2_CARHSP1.pdf</v>
      </c>
    </row>
    <row r="6809" spans="1:28" x14ac:dyDescent="0.25">
      <c r="A6809" t="s">
        <v>6813</v>
      </c>
      <c r="B6809">
        <v>0.99999676499088797</v>
      </c>
      <c r="C6809">
        <v>0.77946218653085597</v>
      </c>
      <c r="D6809">
        <v>0.39563144358079799</v>
      </c>
      <c r="E6809">
        <v>0.15750780667127601</v>
      </c>
      <c r="F6809">
        <v>0.11966806273997301</v>
      </c>
      <c r="G6809">
        <v>6.3863263081503599E-2</v>
      </c>
      <c r="H6809">
        <v>3.9829365254055303E-2</v>
      </c>
      <c r="I6809">
        <v>3.0780574114691199E-2</v>
      </c>
      <c r="J6809">
        <v>3.3231013508800401E-2</v>
      </c>
      <c r="K6809">
        <v>2.6140686708572801E-2</v>
      </c>
      <c r="L6809">
        <v>1076.5167047781099</v>
      </c>
      <c r="M6809">
        <v>23.877842384347399</v>
      </c>
      <c r="N6809">
        <v>45.270691761345603</v>
      </c>
      <c r="O6809">
        <v>44.771668274980399</v>
      </c>
      <c r="P6809">
        <v>-0.12709212165216099</v>
      </c>
      <c r="Q6809">
        <v>4.6808818742477401E-2</v>
      </c>
      <c r="R6809">
        <v>0.99475879950245905</v>
      </c>
      <c r="S6809" t="s">
        <v>13812</v>
      </c>
      <c r="T6809" t="s">
        <v>14004</v>
      </c>
      <c r="U6809" t="s">
        <v>14004</v>
      </c>
      <c r="V6809" t="s">
        <v>14004</v>
      </c>
      <c r="W6809" t="s">
        <v>20751</v>
      </c>
      <c r="X6809">
        <v>4</v>
      </c>
      <c r="Y6809" t="s">
        <v>27526</v>
      </c>
      <c r="Z6809" t="s">
        <v>34519</v>
      </c>
      <c r="AA6809">
        <v>0.21886434029261359</v>
      </c>
      <c r="AB6809" t="str">
        <f>HYPERLINK("Melting_Curves/meltCurve_Q9Y2V7_2_COG6.pdf", "Melting_Curves/meltCurve_Q9Y2V7_2_COG6.pdf")</f>
        <v>Melting_Curves/meltCurve_Q9Y2V7_2_COG6.pdf</v>
      </c>
    </row>
    <row r="6810" spans="1:28" x14ac:dyDescent="0.25">
      <c r="A6810" t="s">
        <v>6814</v>
      </c>
      <c r="B6810">
        <v>0.99999676499088797</v>
      </c>
      <c r="C6810">
        <v>0.71793132041703001</v>
      </c>
      <c r="D6810">
        <v>0.84900369294751599</v>
      </c>
      <c r="E6810">
        <v>0.73299214239204202</v>
      </c>
      <c r="F6810">
        <v>0.39301691193997601</v>
      </c>
      <c r="G6810">
        <v>0.63830140968976801</v>
      </c>
      <c r="H6810">
        <v>0.47296739118001802</v>
      </c>
      <c r="I6810">
        <v>0.72887567148798105</v>
      </c>
      <c r="J6810">
        <v>0.74946263708182603</v>
      </c>
      <c r="K6810">
        <v>0.70032115533774397</v>
      </c>
      <c r="L6810">
        <v>782.84489731385304</v>
      </c>
      <c r="M6810">
        <v>17.9935131589828</v>
      </c>
      <c r="O6810">
        <v>42.980363604590401</v>
      </c>
      <c r="P6810">
        <v>-3.88306934617514E-2</v>
      </c>
      <c r="Q6810">
        <v>0.62900522950325499</v>
      </c>
      <c r="R6810">
        <v>0.42425911702793601</v>
      </c>
      <c r="S6810" t="s">
        <v>13813</v>
      </c>
      <c r="T6810" t="s">
        <v>14004</v>
      </c>
      <c r="U6810" t="s">
        <v>14004</v>
      </c>
      <c r="V6810" t="s">
        <v>14004</v>
      </c>
      <c r="W6810" t="s">
        <v>20752</v>
      </c>
      <c r="X6810">
        <v>37</v>
      </c>
      <c r="Y6810" t="s">
        <v>27527</v>
      </c>
      <c r="Z6810" t="s">
        <v>34520</v>
      </c>
      <c r="AA6810">
        <v>0.68229889733580196</v>
      </c>
      <c r="AB6810" t="str">
        <f>HYPERLINK("Melting_Curves/meltCurve_Q9Y2W1_THRAP3.pdf", "Melting_Curves/meltCurve_Q9Y2W1_THRAP3.pdf")</f>
        <v>Melting_Curves/meltCurve_Q9Y2W1_THRAP3.pdf</v>
      </c>
    </row>
    <row r="6811" spans="1:28" x14ac:dyDescent="0.25">
      <c r="A6811" t="s">
        <v>6815</v>
      </c>
      <c r="B6811">
        <v>0.99999676499088797</v>
      </c>
      <c r="C6811">
        <v>1.05590489627519</v>
      </c>
      <c r="D6811">
        <v>1.0806025914812101</v>
      </c>
      <c r="E6811">
        <v>0.995338563656466</v>
      </c>
      <c r="F6811">
        <v>0.61976858848360095</v>
      </c>
      <c r="G6811">
        <v>0.248178405564731</v>
      </c>
      <c r="H6811">
        <v>7.9982768813010197E-2</v>
      </c>
      <c r="I6811">
        <v>6.4436408667424006E-2</v>
      </c>
      <c r="J6811">
        <v>5.4468097500702403E-2</v>
      </c>
      <c r="K6811">
        <v>5.1362687808161903E-2</v>
      </c>
      <c r="L6811">
        <v>1728.86704592923</v>
      </c>
      <c r="M6811">
        <v>31.9865523338336</v>
      </c>
      <c r="N6811">
        <v>54.256097909314498</v>
      </c>
      <c r="O6811">
        <v>53.8398554714895</v>
      </c>
      <c r="P6811">
        <v>-0.14002292563407101</v>
      </c>
      <c r="Q6811">
        <v>5.7256633516076898E-2</v>
      </c>
      <c r="R6811">
        <v>0.99303445768089904</v>
      </c>
      <c r="S6811" t="s">
        <v>13814</v>
      </c>
      <c r="T6811" t="s">
        <v>14004</v>
      </c>
      <c r="U6811" t="s">
        <v>14004</v>
      </c>
      <c r="V6811" t="s">
        <v>14004</v>
      </c>
      <c r="W6811" t="s">
        <v>20753</v>
      </c>
      <c r="X6811">
        <v>12</v>
      </c>
      <c r="Y6811" t="s">
        <v>27528</v>
      </c>
      <c r="Z6811" t="s">
        <v>34521</v>
      </c>
      <c r="AA6811">
        <v>0.50424026954842249</v>
      </c>
      <c r="AB6811" t="str">
        <f>HYPERLINK("Melting_Curves/meltCurve_Q9Y2X0_2_MED16.pdf", "Melting_Curves/meltCurve_Q9Y2X0_2_MED16.pdf")</f>
        <v>Melting_Curves/meltCurve_Q9Y2X0_2_MED16.pdf</v>
      </c>
    </row>
    <row r="6812" spans="1:28" x14ac:dyDescent="0.25">
      <c r="A6812" t="s">
        <v>6816</v>
      </c>
      <c r="B6812">
        <v>0.99999676499088797</v>
      </c>
      <c r="C6812">
        <v>0.99730926119110597</v>
      </c>
      <c r="D6812">
        <v>1.0662047688171501</v>
      </c>
      <c r="E6812">
        <v>1.0242709244735899</v>
      </c>
      <c r="F6812">
        <v>0.45993577880984898</v>
      </c>
      <c r="G6812">
        <v>0.24180405076741701</v>
      </c>
      <c r="H6812">
        <v>9.8177741992426695E-2</v>
      </c>
      <c r="I6812">
        <v>0.100847346133156</v>
      </c>
      <c r="J6812">
        <v>9.8767188528580394E-2</v>
      </c>
      <c r="K6812">
        <v>8.3154585634960101E-2</v>
      </c>
      <c r="L6812">
        <v>2514.0550283624402</v>
      </c>
      <c r="M6812">
        <v>47.5929961238229</v>
      </c>
      <c r="N6812">
        <v>53.116180063221201</v>
      </c>
      <c r="O6812">
        <v>52.731044612743901</v>
      </c>
      <c r="P6812">
        <v>-0.199656814268073</v>
      </c>
      <c r="Q6812">
        <v>0.115155393513515</v>
      </c>
      <c r="R6812">
        <v>0.98892739024942</v>
      </c>
      <c r="S6812" t="s">
        <v>13815</v>
      </c>
      <c r="T6812" t="s">
        <v>14004</v>
      </c>
      <c r="U6812" t="s">
        <v>14004</v>
      </c>
      <c r="V6812" t="s">
        <v>14004</v>
      </c>
      <c r="W6812" t="s">
        <v>20754</v>
      </c>
      <c r="X6812">
        <v>22</v>
      </c>
      <c r="Y6812" t="s">
        <v>27529</v>
      </c>
      <c r="Z6812" t="s">
        <v>34522</v>
      </c>
      <c r="AA6812">
        <v>0.49567499013044242</v>
      </c>
      <c r="AB6812" t="str">
        <f>HYPERLINK("Melting_Curves/meltCurve_Q9Y2X3_NOP58.pdf", "Melting_Curves/meltCurve_Q9Y2X3_NOP58.pdf")</f>
        <v>Melting_Curves/meltCurve_Q9Y2X3_NOP58.pdf</v>
      </c>
    </row>
    <row r="6813" spans="1:28" x14ac:dyDescent="0.25">
      <c r="A6813" t="s">
        <v>6817</v>
      </c>
      <c r="B6813">
        <v>0.99999676499088797</v>
      </c>
      <c r="C6813">
        <v>0.96017275367180399</v>
      </c>
      <c r="D6813">
        <v>0.68846476031137804</v>
      </c>
      <c r="E6813">
        <v>0.40671885968024801</v>
      </c>
      <c r="F6813">
        <v>0.30916498368078899</v>
      </c>
      <c r="G6813">
        <v>0.17751887935468699</v>
      </c>
      <c r="H6813">
        <v>0.115734809680081</v>
      </c>
      <c r="I6813">
        <v>9.56378573180513E-2</v>
      </c>
      <c r="J6813">
        <v>9.4595229778229303E-2</v>
      </c>
      <c r="K6813">
        <v>8.0990069588234001E-2</v>
      </c>
      <c r="L6813">
        <v>803.53605871011598</v>
      </c>
      <c r="M6813">
        <v>16.654296643438698</v>
      </c>
      <c r="N6813">
        <v>48.845827855712201</v>
      </c>
      <c r="O6813">
        <v>47.568444282948299</v>
      </c>
      <c r="P6813">
        <v>-7.9462960378733197E-2</v>
      </c>
      <c r="Q6813">
        <v>9.2203954892967302E-2</v>
      </c>
      <c r="R6813">
        <v>0.99052926397068097</v>
      </c>
      <c r="S6813" t="s">
        <v>13816</v>
      </c>
      <c r="T6813" t="s">
        <v>14004</v>
      </c>
      <c r="U6813" t="s">
        <v>14004</v>
      </c>
      <c r="V6813" t="s">
        <v>14004</v>
      </c>
      <c r="W6813" t="s">
        <v>20755</v>
      </c>
      <c r="X6813">
        <v>10</v>
      </c>
      <c r="Y6813" t="s">
        <v>27530</v>
      </c>
      <c r="Z6813" t="s">
        <v>34523</v>
      </c>
      <c r="AA6813">
        <v>0.36053677678165208</v>
      </c>
      <c r="AB6813" t="str">
        <f>HYPERLINK("Melting_Curves/meltCurve_Q9Y2X7_GIT1.pdf", "Melting_Curves/meltCurve_Q9Y2X7_GIT1.pdf")</f>
        <v>Melting_Curves/meltCurve_Q9Y2X7_GIT1.pdf</v>
      </c>
    </row>
    <row r="6814" spans="1:28" x14ac:dyDescent="0.25">
      <c r="A6814" t="s">
        <v>6818</v>
      </c>
      <c r="B6814">
        <v>0.99999676499088797</v>
      </c>
      <c r="C6814">
        <v>1.0212089519769201</v>
      </c>
      <c r="D6814">
        <v>0.93057325074523001</v>
      </c>
      <c r="E6814">
        <v>0.55337352830169095</v>
      </c>
      <c r="F6814">
        <v>0.58923356813631</v>
      </c>
      <c r="G6814">
        <v>0.36907234964939101</v>
      </c>
      <c r="H6814">
        <v>0.27957673455961801</v>
      </c>
      <c r="I6814">
        <v>0.41925198381302797</v>
      </c>
      <c r="J6814">
        <v>0.51467063702851401</v>
      </c>
      <c r="K6814">
        <v>0.54752595537070103</v>
      </c>
      <c r="L6814">
        <v>1830.4549249433301</v>
      </c>
      <c r="M6814">
        <v>38.056126337206997</v>
      </c>
      <c r="N6814">
        <v>51.115863487313597</v>
      </c>
      <c r="O6814">
        <v>47.9665877376761</v>
      </c>
      <c r="P6814">
        <v>-0.10966621889626001</v>
      </c>
      <c r="Q6814">
        <v>0.44710074475820599</v>
      </c>
      <c r="R6814">
        <v>0.89433482480186</v>
      </c>
      <c r="S6814" t="s">
        <v>13817</v>
      </c>
      <c r="T6814" t="s">
        <v>14004</v>
      </c>
      <c r="U6814" t="s">
        <v>14004</v>
      </c>
      <c r="V6814" t="s">
        <v>14004</v>
      </c>
      <c r="W6814" t="s">
        <v>20756</v>
      </c>
      <c r="X6814">
        <v>3</v>
      </c>
      <c r="Y6814" t="s">
        <v>27531</v>
      </c>
      <c r="Z6814" t="s">
        <v>34524</v>
      </c>
      <c r="AA6814">
        <v>0.59840178079685324</v>
      </c>
      <c r="AB6814" t="str">
        <f>HYPERLINK("Melting_Curves/meltCurve_Q9Y2Y1_POLR3K.pdf", "Melting_Curves/meltCurve_Q9Y2Y1_POLR3K.pdf")</f>
        <v>Melting_Curves/meltCurve_Q9Y2Y1_POLR3K.pdf</v>
      </c>
    </row>
    <row r="6815" spans="1:28" x14ac:dyDescent="0.25">
      <c r="A6815" t="s">
        <v>6819</v>
      </c>
      <c r="B6815">
        <v>0.99999676499088797</v>
      </c>
      <c r="C6815">
        <v>0.98714271397502695</v>
      </c>
      <c r="D6815">
        <v>0.91766349891683296</v>
      </c>
      <c r="E6815">
        <v>0.70279636751692298</v>
      </c>
      <c r="F6815">
        <v>0.43076905372277302</v>
      </c>
      <c r="G6815">
        <v>0.40866353530608601</v>
      </c>
      <c r="H6815">
        <v>0.186732735738597</v>
      </c>
      <c r="I6815">
        <v>9.7145860266583103E-2</v>
      </c>
      <c r="J6815">
        <v>0.12588170514729399</v>
      </c>
      <c r="K6815">
        <v>0.124136694601093</v>
      </c>
      <c r="L6815">
        <v>743.30840905338403</v>
      </c>
      <c r="M6815">
        <v>14.1833321730319</v>
      </c>
      <c r="N6815">
        <v>53.088708654530102</v>
      </c>
      <c r="O6815">
        <v>51.398380843009797</v>
      </c>
      <c r="P6815">
        <v>-6.3253222338647996E-2</v>
      </c>
      <c r="Q6815">
        <v>8.32325297773258E-2</v>
      </c>
      <c r="R6815">
        <v>0.98576327908720496</v>
      </c>
      <c r="S6815" t="s">
        <v>13818</v>
      </c>
      <c r="T6815" t="s">
        <v>14004</v>
      </c>
      <c r="U6815" t="s">
        <v>14004</v>
      </c>
      <c r="V6815" t="s">
        <v>14004</v>
      </c>
      <c r="W6815" t="s">
        <v>20757</v>
      </c>
      <c r="X6815">
        <v>23</v>
      </c>
      <c r="Y6815" t="s">
        <v>27532</v>
      </c>
      <c r="Z6815" t="s">
        <v>34525</v>
      </c>
      <c r="AA6815">
        <v>0.48427833457584862</v>
      </c>
      <c r="AB6815" t="str">
        <f>HYPERLINK("Melting_Curves/meltCurve_Q9Y2Z0_SUGT1.pdf", "Melting_Curves/meltCurve_Q9Y2Z0_SUGT1.pdf")</f>
        <v>Melting_Curves/meltCurve_Q9Y2Z0_SUGT1.pdf</v>
      </c>
    </row>
    <row r="6816" spans="1:28" x14ac:dyDescent="0.25">
      <c r="A6816" t="s">
        <v>6820</v>
      </c>
      <c r="B6816">
        <v>0.99999676499088797</v>
      </c>
      <c r="C6816">
        <v>1.006795802261</v>
      </c>
      <c r="D6816">
        <v>0.87789030494452303</v>
      </c>
      <c r="E6816">
        <v>0.64767253225263099</v>
      </c>
      <c r="F6816">
        <v>0.30269427815093802</v>
      </c>
      <c r="G6816">
        <v>0.15375189123818001</v>
      </c>
      <c r="H6816">
        <v>8.6570213690007405E-2</v>
      </c>
      <c r="I6816">
        <v>8.0653333979992206E-2</v>
      </c>
      <c r="J6816">
        <v>7.2834290894921203E-2</v>
      </c>
      <c r="K6816">
        <v>7.4746033302798803E-2</v>
      </c>
      <c r="L6816">
        <v>1084.82302686409</v>
      </c>
      <c r="M6816">
        <v>21.434883429075999</v>
      </c>
      <c r="N6816">
        <v>50.958598421172297</v>
      </c>
      <c r="O6816">
        <v>50.175844102340101</v>
      </c>
      <c r="P6816">
        <v>-9.9521460740375794E-2</v>
      </c>
      <c r="Q6816">
        <v>6.81638691240775E-2</v>
      </c>
      <c r="R6816">
        <v>0.99890648403005</v>
      </c>
      <c r="S6816" t="s">
        <v>13819</v>
      </c>
      <c r="T6816" t="s">
        <v>14004</v>
      </c>
      <c r="U6816" t="s">
        <v>14004</v>
      </c>
      <c r="V6816" t="s">
        <v>14004</v>
      </c>
      <c r="W6816" t="s">
        <v>20758</v>
      </c>
      <c r="X6816">
        <v>25</v>
      </c>
      <c r="Y6816" t="s">
        <v>27532</v>
      </c>
      <c r="Z6816" t="s">
        <v>34526</v>
      </c>
      <c r="AA6816">
        <v>0.40906420900165991</v>
      </c>
      <c r="AB6816" t="str">
        <f>HYPERLINK("Melting_Curves/meltCurve_Q9Y2Z0_2_SUGT1.pdf", "Melting_Curves/meltCurve_Q9Y2Z0_2_SUGT1.pdf")</f>
        <v>Melting_Curves/meltCurve_Q9Y2Z0_2_SUGT1.pdf</v>
      </c>
    </row>
    <row r="6817" spans="1:28" x14ac:dyDescent="0.25">
      <c r="A6817" t="s">
        <v>6821</v>
      </c>
      <c r="B6817">
        <v>0.99999676499088797</v>
      </c>
      <c r="C6817">
        <v>0.84505661394628195</v>
      </c>
      <c r="D6817">
        <v>0.62045209050063999</v>
      </c>
      <c r="E6817">
        <v>0.35534528692602702</v>
      </c>
      <c r="F6817">
        <v>0.23660651820603601</v>
      </c>
      <c r="G6817">
        <v>0.146286946114976</v>
      </c>
      <c r="H6817">
        <v>8.52824266420006E-2</v>
      </c>
      <c r="I6817">
        <v>6.3197489428681294E-2</v>
      </c>
      <c r="J6817">
        <v>5.93751091150473E-2</v>
      </c>
      <c r="K6817">
        <v>5.4347427472376503E-2</v>
      </c>
      <c r="L6817">
        <v>730.417748151414</v>
      </c>
      <c r="M6817">
        <v>15.4099812346333</v>
      </c>
      <c r="N6817">
        <v>47.775728223477799</v>
      </c>
      <c r="O6817">
        <v>46.622326193404398</v>
      </c>
      <c r="P6817">
        <v>-7.7911732777062703E-2</v>
      </c>
      <c r="Q6817">
        <v>5.7209826917245403E-2</v>
      </c>
      <c r="R6817">
        <v>0.99557395397198101</v>
      </c>
      <c r="S6817" t="s">
        <v>13820</v>
      </c>
      <c r="T6817" t="s">
        <v>14004</v>
      </c>
      <c r="U6817" t="s">
        <v>14004</v>
      </c>
      <c r="V6817" t="s">
        <v>14004</v>
      </c>
      <c r="W6817" t="s">
        <v>20759</v>
      </c>
      <c r="X6817">
        <v>11</v>
      </c>
      <c r="Y6817" t="s">
        <v>27533</v>
      </c>
      <c r="Z6817" t="s">
        <v>34527</v>
      </c>
      <c r="AA6817">
        <v>0.31341399629949213</v>
      </c>
      <c r="AB6817" t="str">
        <f>HYPERLINK("Melting_Curves/meltCurve_Q9Y2Z4_YARS2.pdf", "Melting_Curves/meltCurve_Q9Y2Z4_YARS2.pdf")</f>
        <v>Melting_Curves/meltCurve_Q9Y2Z4_YARS2.pdf</v>
      </c>
    </row>
    <row r="6818" spans="1:28" x14ac:dyDescent="0.25">
      <c r="A6818" t="s">
        <v>6822</v>
      </c>
      <c r="B6818">
        <v>0.99999676499088797</v>
      </c>
      <c r="C6818">
        <v>0.91615486674286695</v>
      </c>
      <c r="D6818">
        <v>0.86695523585776202</v>
      </c>
      <c r="E6818">
        <v>0.93466594261402702</v>
      </c>
      <c r="F6818">
        <v>0.59081366916524103</v>
      </c>
      <c r="G6818">
        <v>0.37837825180429902</v>
      </c>
      <c r="H6818">
        <v>0.212799685127223</v>
      </c>
      <c r="I6818">
        <v>0.124360480210606</v>
      </c>
      <c r="J6818">
        <v>0.165336981844702</v>
      </c>
      <c r="K6818">
        <v>0.12974889427720299</v>
      </c>
      <c r="L6818">
        <v>1016.96347828407</v>
      </c>
      <c r="M6818">
        <v>18.829717210530699</v>
      </c>
      <c r="N6818">
        <v>54.772521264550697</v>
      </c>
      <c r="O6818">
        <v>53.410343077437801</v>
      </c>
      <c r="P6818">
        <v>-7.7959982617986395E-2</v>
      </c>
      <c r="Q6818">
        <v>0.1155050879781</v>
      </c>
      <c r="R6818">
        <v>0.97991802081170598</v>
      </c>
      <c r="S6818" t="s">
        <v>13821</v>
      </c>
      <c r="T6818" t="s">
        <v>14004</v>
      </c>
      <c r="U6818" t="s">
        <v>14004</v>
      </c>
      <c r="V6818" t="s">
        <v>14004</v>
      </c>
      <c r="W6818" t="s">
        <v>20760</v>
      </c>
      <c r="X6818">
        <v>4</v>
      </c>
      <c r="Y6818" t="s">
        <v>27534</v>
      </c>
      <c r="Z6818" t="s">
        <v>34528</v>
      </c>
      <c r="AA6818">
        <v>0.5417349650839236</v>
      </c>
      <c r="AB6818" t="str">
        <f>HYPERLINK("Melting_Curves/meltCurve_Q9Y2Z9_3_COQ6.pdf", "Melting_Curves/meltCurve_Q9Y2Z9_3_COQ6.pdf")</f>
        <v>Melting_Curves/meltCurve_Q9Y2Z9_3_COQ6.pdf</v>
      </c>
    </row>
    <row r="6819" spans="1:28" x14ac:dyDescent="0.25">
      <c r="A6819" t="s">
        <v>6823</v>
      </c>
      <c r="B6819">
        <v>0.99999676499088797</v>
      </c>
      <c r="C6819">
        <v>1.0377301623086199</v>
      </c>
      <c r="D6819">
        <v>1.02536934100616</v>
      </c>
      <c r="E6819">
        <v>1.00472000631632</v>
      </c>
      <c r="F6819">
        <v>0.83274666729963498</v>
      </c>
      <c r="G6819">
        <v>0.49452451195126601</v>
      </c>
      <c r="H6819">
        <v>0.18744481658960499</v>
      </c>
      <c r="I6819">
        <v>0.12965457565380001</v>
      </c>
      <c r="J6819">
        <v>0.112367089771618</v>
      </c>
      <c r="K6819">
        <v>0.103294238731219</v>
      </c>
      <c r="L6819">
        <v>1579.62039471977</v>
      </c>
      <c r="M6819">
        <v>28.099300469709998</v>
      </c>
      <c r="N6819">
        <v>56.6643380783228</v>
      </c>
      <c r="O6819">
        <v>55.933238895613599</v>
      </c>
      <c r="P6819">
        <v>-0.113066977550925</v>
      </c>
      <c r="Q6819">
        <v>9.9742882465268398E-2</v>
      </c>
      <c r="R6819">
        <v>0.99803068295331698</v>
      </c>
      <c r="S6819" t="s">
        <v>13822</v>
      </c>
      <c r="T6819" t="s">
        <v>14004</v>
      </c>
      <c r="U6819" t="s">
        <v>14004</v>
      </c>
      <c r="V6819" t="s">
        <v>14004</v>
      </c>
      <c r="W6819" t="s">
        <v>20761</v>
      </c>
      <c r="X6819">
        <v>10</v>
      </c>
      <c r="Y6819" t="s">
        <v>27535</v>
      </c>
      <c r="Z6819" t="s">
        <v>34529</v>
      </c>
      <c r="AA6819">
        <v>0.59310368598733165</v>
      </c>
      <c r="AB6819" t="str">
        <f>HYPERLINK("Melting_Curves/meltCurve_Q9Y303_AMDHD2.pdf", "Melting_Curves/meltCurve_Q9Y303_AMDHD2.pdf")</f>
        <v>Melting_Curves/meltCurve_Q9Y303_AMDHD2.pdf</v>
      </c>
    </row>
    <row r="6820" spans="1:28" x14ac:dyDescent="0.25">
      <c r="A6820" t="s">
        <v>6824</v>
      </c>
      <c r="B6820">
        <v>0.99999676499088797</v>
      </c>
      <c r="C6820">
        <v>0.80915190626043898</v>
      </c>
      <c r="D6820">
        <v>0.48392357339882602</v>
      </c>
      <c r="E6820">
        <v>0.12859960642697599</v>
      </c>
      <c r="F6820">
        <v>0.106748405720832</v>
      </c>
      <c r="G6820">
        <v>7.6460369628991207E-2</v>
      </c>
      <c r="H6820">
        <v>4.3823664056751602E-2</v>
      </c>
      <c r="I6820">
        <v>5.3963426749456797E-2</v>
      </c>
      <c r="J6820">
        <v>6.3785244093430601E-2</v>
      </c>
      <c r="K6820">
        <v>6.4670065919679096E-2</v>
      </c>
      <c r="L6820">
        <v>1161.12803487052</v>
      </c>
      <c r="M6820">
        <v>25.529601149938301</v>
      </c>
      <c r="N6820">
        <v>45.709265103446597</v>
      </c>
      <c r="O6820">
        <v>45.205316144292503</v>
      </c>
      <c r="P6820">
        <v>-0.13276070208843099</v>
      </c>
      <c r="Q6820">
        <v>5.9692832885342197E-2</v>
      </c>
      <c r="R6820">
        <v>0.99654263166039503</v>
      </c>
      <c r="S6820" t="s">
        <v>13823</v>
      </c>
      <c r="T6820" t="s">
        <v>14004</v>
      </c>
      <c r="U6820" t="s">
        <v>14004</v>
      </c>
      <c r="V6820" t="s">
        <v>14004</v>
      </c>
      <c r="W6820" t="s">
        <v>20762</v>
      </c>
      <c r="X6820">
        <v>8</v>
      </c>
      <c r="Y6820" t="s">
        <v>27536</v>
      </c>
      <c r="Z6820" t="s">
        <v>34530</v>
      </c>
      <c r="AA6820">
        <v>0.24004890455535011</v>
      </c>
      <c r="AB6820" t="str">
        <f>HYPERLINK("Melting_Curves/meltCurve_Q9Y314_NOSIP.pdf", "Melting_Curves/meltCurve_Q9Y314_NOSIP.pdf")</f>
        <v>Melting_Curves/meltCurve_Q9Y314_NOSIP.pdf</v>
      </c>
    </row>
    <row r="6821" spans="1:28" x14ac:dyDescent="0.25">
      <c r="A6821" t="s">
        <v>6825</v>
      </c>
      <c r="B6821">
        <v>0.99999676499088797</v>
      </c>
      <c r="C6821">
        <v>1.0754733742712701</v>
      </c>
      <c r="D6821">
        <v>1.02163236537378</v>
      </c>
      <c r="E6821">
        <v>1.2014191167075701</v>
      </c>
      <c r="F6821">
        <v>1.25037513712927</v>
      </c>
      <c r="G6821">
        <v>1.31205330571065</v>
      </c>
      <c r="H6821">
        <v>0.83568938120617098</v>
      </c>
      <c r="I6821">
        <v>0.46969851251764499</v>
      </c>
      <c r="J6821">
        <v>0.19962221371868599</v>
      </c>
      <c r="K6821">
        <v>0.15657164280456401</v>
      </c>
      <c r="L6821">
        <v>2862.1117038825601</v>
      </c>
      <c r="M6821">
        <v>45.2938535665647</v>
      </c>
      <c r="N6821">
        <v>63.681288425504398</v>
      </c>
      <c r="O6821">
        <v>63.067041705217299</v>
      </c>
      <c r="P6821">
        <v>-0.15306456034504301</v>
      </c>
      <c r="Q6821">
        <v>0.147494326860827</v>
      </c>
      <c r="R6821">
        <v>0.87134961347793105</v>
      </c>
      <c r="S6821" t="s">
        <v>13824</v>
      </c>
      <c r="T6821" t="s">
        <v>14004</v>
      </c>
      <c r="U6821" t="s">
        <v>14004</v>
      </c>
      <c r="V6821" t="s">
        <v>14004</v>
      </c>
      <c r="W6821" t="s">
        <v>20763</v>
      </c>
      <c r="X6821">
        <v>13</v>
      </c>
      <c r="Y6821" t="s">
        <v>27537</v>
      </c>
      <c r="Z6821" t="s">
        <v>34531</v>
      </c>
      <c r="AA6821">
        <v>0.80875500666921063</v>
      </c>
      <c r="AB6821" t="str">
        <f>HYPERLINK("Melting_Curves/meltCurve_Q9Y315_DERA.pdf", "Melting_Curves/meltCurve_Q9Y315_DERA.pdf")</f>
        <v>Melting_Curves/meltCurve_Q9Y315_DERA.pdf</v>
      </c>
    </row>
    <row r="6822" spans="1:28" x14ac:dyDescent="0.25">
      <c r="A6822" t="s">
        <v>6826</v>
      </c>
      <c r="B6822">
        <v>0.99999676499088797</v>
      </c>
      <c r="C6822">
        <v>1.06135358442879</v>
      </c>
      <c r="D6822">
        <v>1.03164064182212</v>
      </c>
      <c r="E6822">
        <v>1.02302955772237</v>
      </c>
      <c r="F6822">
        <v>0.59517040683940303</v>
      </c>
      <c r="G6822">
        <v>0.214679266615218</v>
      </c>
      <c r="H6822">
        <v>9.6900092427551404E-2</v>
      </c>
      <c r="I6822">
        <v>8.3439226019460105E-2</v>
      </c>
      <c r="J6822">
        <v>7.8324207204266402E-2</v>
      </c>
      <c r="K6822">
        <v>5.9512240500036097E-2</v>
      </c>
      <c r="L6822">
        <v>2022.19213086747</v>
      </c>
      <c r="M6822">
        <v>37.667452150764603</v>
      </c>
      <c r="N6822">
        <v>53.938599223652503</v>
      </c>
      <c r="O6822">
        <v>53.534759612259798</v>
      </c>
      <c r="P6822">
        <v>-0.16164742737698901</v>
      </c>
      <c r="Q6822">
        <v>8.1038720736084105E-2</v>
      </c>
      <c r="R6822">
        <v>0.99437263776401696</v>
      </c>
      <c r="S6822" t="s">
        <v>13825</v>
      </c>
      <c r="T6822" t="s">
        <v>14004</v>
      </c>
      <c r="U6822" t="s">
        <v>14004</v>
      </c>
      <c r="V6822" t="s">
        <v>14004</v>
      </c>
      <c r="W6822" t="s">
        <v>20764</v>
      </c>
      <c r="X6822">
        <v>6</v>
      </c>
      <c r="Y6822" t="s">
        <v>27538</v>
      </c>
      <c r="Z6822" t="s">
        <v>34532</v>
      </c>
      <c r="AA6822">
        <v>0.50408922464218109</v>
      </c>
      <c r="AB6822" t="str">
        <f>HYPERLINK("Melting_Curves/meltCurve_Q9Y316_MEMO1.pdf", "Melting_Curves/meltCurve_Q9Y316_MEMO1.pdf")</f>
        <v>Melting_Curves/meltCurve_Q9Y316_MEMO1.pdf</v>
      </c>
    </row>
    <row r="6823" spans="1:28" x14ac:dyDescent="0.25">
      <c r="A6823" t="s">
        <v>6827</v>
      </c>
      <c r="B6823">
        <v>0.99999676499088797</v>
      </c>
      <c r="C6823">
        <v>1.0405639163916001</v>
      </c>
      <c r="D6823">
        <v>1.0690101214448899</v>
      </c>
      <c r="E6823">
        <v>1.0284792726181999</v>
      </c>
      <c r="F6823">
        <v>0.78518952444203205</v>
      </c>
      <c r="G6823">
        <v>0.38117105648142702</v>
      </c>
      <c r="H6823">
        <v>0.10652949643663299</v>
      </c>
      <c r="I6823">
        <v>0.114192872032744</v>
      </c>
      <c r="J6823">
        <v>0.117987102177363</v>
      </c>
      <c r="K6823">
        <v>9.74145043121733E-2</v>
      </c>
      <c r="L6823">
        <v>1837.00091191037</v>
      </c>
      <c r="M6823">
        <v>33.225977038115602</v>
      </c>
      <c r="N6823">
        <v>55.653859967072201</v>
      </c>
      <c r="O6823">
        <v>55.088976131635398</v>
      </c>
      <c r="P6823">
        <v>-0.135993581473452</v>
      </c>
      <c r="Q6823">
        <v>9.8089583243337206E-2</v>
      </c>
      <c r="R6823">
        <v>0.99374967892572297</v>
      </c>
      <c r="S6823" t="s">
        <v>13826</v>
      </c>
      <c r="T6823" t="s">
        <v>14004</v>
      </c>
      <c r="U6823" t="s">
        <v>14004</v>
      </c>
      <c r="V6823" t="s">
        <v>14004</v>
      </c>
      <c r="W6823" t="s">
        <v>20765</v>
      </c>
      <c r="X6823">
        <v>11</v>
      </c>
      <c r="Y6823" t="s">
        <v>27539</v>
      </c>
      <c r="Z6823" t="s">
        <v>34533</v>
      </c>
      <c r="AA6823">
        <v>0.56264240495144924</v>
      </c>
      <c r="AB6823" t="str">
        <f>HYPERLINK("Melting_Curves/meltCurve_Q9Y320_2_TMX2.pdf", "Melting_Curves/meltCurve_Q9Y320_2_TMX2.pdf")</f>
        <v>Melting_Curves/meltCurve_Q9Y320_2_TMX2.pdf</v>
      </c>
    </row>
    <row r="6824" spans="1:28" x14ac:dyDescent="0.25">
      <c r="A6824" t="s">
        <v>6828</v>
      </c>
      <c r="B6824">
        <v>0.99999676499088797</v>
      </c>
      <c r="C6824">
        <v>1.3951955350485099</v>
      </c>
      <c r="D6824">
        <v>1.05223348382557</v>
      </c>
      <c r="E6824">
        <v>0.83108252670340799</v>
      </c>
      <c r="F6824">
        <v>0.93958153378627496</v>
      </c>
      <c r="G6824">
        <v>0.62711011434707997</v>
      </c>
      <c r="H6824">
        <v>0.478435214362327</v>
      </c>
      <c r="I6824">
        <v>0.577298332336593</v>
      </c>
      <c r="J6824">
        <v>0.66361784356239994</v>
      </c>
      <c r="K6824">
        <v>0.548495036071866</v>
      </c>
      <c r="L6824">
        <v>3018.0603458344999</v>
      </c>
      <c r="M6824">
        <v>55.004145710963599</v>
      </c>
      <c r="O6824">
        <v>54.797291679513201</v>
      </c>
      <c r="P6824">
        <v>-0.10864427068441</v>
      </c>
      <c r="Q6824">
        <v>0.56705738488757695</v>
      </c>
      <c r="R6824">
        <v>0.72359975252381903</v>
      </c>
      <c r="S6824" t="s">
        <v>13827</v>
      </c>
      <c r="T6824" t="s">
        <v>14004</v>
      </c>
      <c r="U6824" t="s">
        <v>14004</v>
      </c>
      <c r="V6824" t="s">
        <v>14004</v>
      </c>
      <c r="W6824" t="s">
        <v>20766</v>
      </c>
      <c r="X6824">
        <v>7</v>
      </c>
      <c r="Y6824" t="s">
        <v>27540</v>
      </c>
      <c r="Z6824" t="s">
        <v>34534</v>
      </c>
      <c r="AA6824">
        <v>0.782512970197623</v>
      </c>
      <c r="AB6824" t="str">
        <f>HYPERLINK("Melting_Curves/meltCurve_Q9Y333_LSM2.pdf", "Melting_Curves/meltCurve_Q9Y333_LSM2.pdf")</f>
        <v>Melting_Curves/meltCurve_Q9Y333_LSM2.pdf</v>
      </c>
    </row>
    <row r="6825" spans="1:28" x14ac:dyDescent="0.25">
      <c r="A6825" t="s">
        <v>6829</v>
      </c>
      <c r="B6825">
        <v>0.99999676499088797</v>
      </c>
      <c r="C6825">
        <v>0.889799463530075</v>
      </c>
      <c r="D6825">
        <v>0.62581826808895502</v>
      </c>
      <c r="E6825">
        <v>0.274100469305042</v>
      </c>
      <c r="F6825">
        <v>0.20601547057095099</v>
      </c>
      <c r="G6825">
        <v>0.12880553855625201</v>
      </c>
      <c r="H6825">
        <v>6.8167565895558002E-2</v>
      </c>
      <c r="I6825">
        <v>7.0480999435276998E-2</v>
      </c>
      <c r="J6825">
        <v>6.1887671387883599E-2</v>
      </c>
      <c r="K6825">
        <v>6.1366554366254697E-2</v>
      </c>
      <c r="L6825">
        <v>950.09172731332603</v>
      </c>
      <c r="M6825">
        <v>20.254153269964402</v>
      </c>
      <c r="N6825">
        <v>47.286805244479801</v>
      </c>
      <c r="O6825">
        <v>46.4583991736747</v>
      </c>
      <c r="P6825">
        <v>-0.10084168880035201</v>
      </c>
      <c r="Q6825">
        <v>7.47974883714035E-2</v>
      </c>
      <c r="R6825">
        <v>0.99469067931559196</v>
      </c>
      <c r="S6825" t="s">
        <v>13828</v>
      </c>
      <c r="T6825" t="s">
        <v>14004</v>
      </c>
      <c r="U6825" t="s">
        <v>14004</v>
      </c>
      <c r="V6825" t="s">
        <v>14004</v>
      </c>
      <c r="W6825" t="s">
        <v>20767</v>
      </c>
      <c r="X6825">
        <v>12</v>
      </c>
      <c r="Y6825" t="s">
        <v>27541</v>
      </c>
      <c r="Z6825" t="s">
        <v>34535</v>
      </c>
      <c r="AA6825">
        <v>0.30107590254173638</v>
      </c>
      <c r="AB6825" t="str">
        <f>HYPERLINK("Melting_Curves/meltCurve_Q9Y371_SH3GLB1.pdf", "Melting_Curves/meltCurve_Q9Y371_SH3GLB1.pdf")</f>
        <v>Melting_Curves/meltCurve_Q9Y371_SH3GLB1.pdf</v>
      </c>
    </row>
    <row r="6826" spans="1:28" x14ac:dyDescent="0.25">
      <c r="A6826" t="s">
        <v>6830</v>
      </c>
      <c r="B6826">
        <v>0.99999676499088797</v>
      </c>
      <c r="C6826">
        <v>0.96783571145257796</v>
      </c>
      <c r="D6826">
        <v>0.91495007523170102</v>
      </c>
      <c r="E6826">
        <v>0.98817851362948805</v>
      </c>
      <c r="F6826">
        <v>0.83050063823104103</v>
      </c>
      <c r="G6826">
        <v>0.57859233821951195</v>
      </c>
      <c r="H6826">
        <v>0.31380045000818302</v>
      </c>
      <c r="I6826">
        <v>0.13658934213660601</v>
      </c>
      <c r="J6826">
        <v>9.8169018461529298E-2</v>
      </c>
      <c r="K6826">
        <v>8.5125268385434397E-2</v>
      </c>
      <c r="L6826">
        <v>1106.1150563609201</v>
      </c>
      <c r="M6826">
        <v>19.215367524372301</v>
      </c>
      <c r="N6826">
        <v>57.824614466047002</v>
      </c>
      <c r="O6826">
        <v>56.9515047683687</v>
      </c>
      <c r="P6826">
        <v>-8.0855114165345798E-2</v>
      </c>
      <c r="Q6826">
        <v>4.1466199322324003E-2</v>
      </c>
      <c r="R6826">
        <v>0.993547586845828</v>
      </c>
      <c r="S6826" t="s">
        <v>13829</v>
      </c>
      <c r="T6826" t="s">
        <v>14004</v>
      </c>
      <c r="U6826" t="s">
        <v>14004</v>
      </c>
      <c r="V6826" t="s">
        <v>14004</v>
      </c>
      <c r="W6826" t="s">
        <v>20768</v>
      </c>
      <c r="X6826">
        <v>8</v>
      </c>
      <c r="Y6826" t="s">
        <v>27542</v>
      </c>
      <c r="Z6826" t="s">
        <v>34536</v>
      </c>
      <c r="AA6826">
        <v>0.61440707137089323</v>
      </c>
      <c r="AB6826" t="str">
        <f>HYPERLINK("Melting_Curves/meltCurve_Q9Y375_NDUFAF1.pdf", "Melting_Curves/meltCurve_Q9Y375_NDUFAF1.pdf")</f>
        <v>Melting_Curves/meltCurve_Q9Y375_NDUFAF1.pdf</v>
      </c>
    </row>
    <row r="6827" spans="1:28" x14ac:dyDescent="0.25">
      <c r="A6827" t="s">
        <v>6831</v>
      </c>
      <c r="B6827">
        <v>0.99999676499088797</v>
      </c>
      <c r="C6827">
        <v>0.90071252614442798</v>
      </c>
      <c r="D6827">
        <v>0.98288399521061998</v>
      </c>
      <c r="E6827">
        <v>1.1640467093412901</v>
      </c>
      <c r="F6827">
        <v>1.19730945358829</v>
      </c>
      <c r="G6827">
        <v>0.75804030097864095</v>
      </c>
      <c r="H6827">
        <v>0.185194112871892</v>
      </c>
      <c r="I6827">
        <v>0.115153943349565</v>
      </c>
      <c r="J6827">
        <v>0.103635657990002</v>
      </c>
      <c r="K6827">
        <v>9.3650592055125798E-2</v>
      </c>
      <c r="L6827">
        <v>3352.23272496646</v>
      </c>
      <c r="M6827">
        <v>57.953673094205001</v>
      </c>
      <c r="N6827">
        <v>58.092445524976704</v>
      </c>
      <c r="O6827">
        <v>57.774566253388201</v>
      </c>
      <c r="P6827">
        <v>-0.223180552075565</v>
      </c>
      <c r="Q6827">
        <v>0.110037205472256</v>
      </c>
      <c r="R6827">
        <v>0.95993775341700305</v>
      </c>
      <c r="S6827" t="s">
        <v>13830</v>
      </c>
      <c r="T6827" t="s">
        <v>14004</v>
      </c>
      <c r="U6827" t="s">
        <v>14004</v>
      </c>
      <c r="V6827" t="s">
        <v>14004</v>
      </c>
      <c r="W6827" t="s">
        <v>20769</v>
      </c>
      <c r="X6827">
        <v>22</v>
      </c>
      <c r="Y6827" t="s">
        <v>27543</v>
      </c>
      <c r="Z6827" t="s">
        <v>34537</v>
      </c>
      <c r="AA6827">
        <v>0.64105270432116135</v>
      </c>
      <c r="AB6827" t="str">
        <f>HYPERLINK("Melting_Curves/meltCurve_Q9Y376_CAB39.pdf", "Melting_Curves/meltCurve_Q9Y376_CAB39.pdf")</f>
        <v>Melting_Curves/meltCurve_Q9Y376_CAB39.pdf</v>
      </c>
    </row>
    <row r="6828" spans="1:28" x14ac:dyDescent="0.25">
      <c r="A6828" t="s">
        <v>6832</v>
      </c>
      <c r="B6828">
        <v>0.99999676499088797</v>
      </c>
      <c r="C6828">
        <v>1.03838267470912</v>
      </c>
      <c r="D6828">
        <v>0.91589735253125004</v>
      </c>
      <c r="E6828">
        <v>0.61497684462195601</v>
      </c>
      <c r="F6828">
        <v>0.32591202383228901</v>
      </c>
      <c r="G6828">
        <v>0.21242779862092101</v>
      </c>
      <c r="H6828">
        <v>0.14969616901823299</v>
      </c>
      <c r="I6828">
        <v>0.187118812695828</v>
      </c>
      <c r="J6828">
        <v>0.16185942036637799</v>
      </c>
      <c r="K6828">
        <v>0.14542981390485299</v>
      </c>
      <c r="L6828">
        <v>1244.0925095253001</v>
      </c>
      <c r="M6828">
        <v>24.864521877541101</v>
      </c>
      <c r="N6828">
        <v>50.8265141223063</v>
      </c>
      <c r="O6828">
        <v>49.714571167088799</v>
      </c>
      <c r="P6828">
        <v>-0.104962992053713</v>
      </c>
      <c r="Q6828">
        <v>0.16055197252407299</v>
      </c>
      <c r="R6828">
        <v>0.996749586337629</v>
      </c>
      <c r="S6828" t="s">
        <v>13831</v>
      </c>
      <c r="T6828" t="s">
        <v>14004</v>
      </c>
      <c r="U6828" t="s">
        <v>14004</v>
      </c>
      <c r="V6828" t="s">
        <v>14004</v>
      </c>
      <c r="W6828" t="s">
        <v>20770</v>
      </c>
      <c r="X6828">
        <v>33</v>
      </c>
      <c r="Y6828" t="s">
        <v>27544</v>
      </c>
      <c r="Z6828" t="s">
        <v>34538</v>
      </c>
      <c r="AA6828">
        <v>0.44893081857768202</v>
      </c>
      <c r="AB6828" t="str">
        <f>HYPERLINK("Melting_Curves/meltCurve_Q9Y383_LUC7L2.pdf", "Melting_Curves/meltCurve_Q9Y383_LUC7L2.pdf")</f>
        <v>Melting_Curves/meltCurve_Q9Y383_LUC7L2.pdf</v>
      </c>
    </row>
    <row r="6829" spans="1:28" x14ac:dyDescent="0.25">
      <c r="A6829" t="s">
        <v>6833</v>
      </c>
      <c r="B6829">
        <v>0.99999676499088797</v>
      </c>
      <c r="C6829">
        <v>0.92724889644369302</v>
      </c>
      <c r="D6829">
        <v>1.03473475782882</v>
      </c>
      <c r="E6829">
        <v>0.78157171186274998</v>
      </c>
      <c r="F6829">
        <v>0.26096887454384299</v>
      </c>
      <c r="G6829">
        <v>0.230324355526695</v>
      </c>
      <c r="H6829">
        <v>0.14253677909597401</v>
      </c>
      <c r="I6829">
        <v>0.19701547932733701</v>
      </c>
      <c r="J6829">
        <v>0.123003691910993</v>
      </c>
      <c r="K6829">
        <v>0.180118341448258</v>
      </c>
      <c r="L6829">
        <v>2289.7644516285</v>
      </c>
      <c r="M6829">
        <v>45.124035408462099</v>
      </c>
      <c r="N6829">
        <v>51.2240065258475</v>
      </c>
      <c r="O6829">
        <v>50.644423423560198</v>
      </c>
      <c r="P6829">
        <v>-0.18433275548036801</v>
      </c>
      <c r="Q6829">
        <v>0.17246629825125701</v>
      </c>
      <c r="R6829">
        <v>0.99011891817819997</v>
      </c>
      <c r="S6829" t="s">
        <v>13832</v>
      </c>
      <c r="T6829" t="s">
        <v>14004</v>
      </c>
      <c r="U6829" t="s">
        <v>14004</v>
      </c>
      <c r="V6829" t="s">
        <v>14004</v>
      </c>
      <c r="W6829" t="s">
        <v>20771</v>
      </c>
      <c r="X6829">
        <v>3</v>
      </c>
      <c r="Y6829" t="s">
        <v>27545</v>
      </c>
      <c r="Z6829" t="s">
        <v>34539</v>
      </c>
      <c r="AA6829">
        <v>0.47110483609134979</v>
      </c>
      <c r="AB6829" t="str">
        <f>HYPERLINK("Melting_Curves/meltCurve_Q9Y385_UBE2J1.pdf", "Melting_Curves/meltCurve_Q9Y385_UBE2J1.pdf")</f>
        <v>Melting_Curves/meltCurve_Q9Y385_UBE2J1.pdf</v>
      </c>
    </row>
    <row r="6830" spans="1:28" x14ac:dyDescent="0.25">
      <c r="A6830" t="s">
        <v>6834</v>
      </c>
      <c r="B6830">
        <v>0.99999676499088797</v>
      </c>
      <c r="C6830">
        <v>0.98464263263219498</v>
      </c>
      <c r="D6830">
        <v>0.89749910145319001</v>
      </c>
      <c r="E6830">
        <v>0.62460483432286296</v>
      </c>
      <c r="F6830">
        <v>0.20217346561070601</v>
      </c>
      <c r="G6830">
        <v>0.120790541329884</v>
      </c>
      <c r="H6830">
        <v>8.6210296602459102E-2</v>
      </c>
      <c r="I6830">
        <v>5.7398134970235798E-2</v>
      </c>
      <c r="J6830">
        <v>5.9219699187312298E-2</v>
      </c>
      <c r="K6830">
        <v>5.5221304273932799E-2</v>
      </c>
      <c r="L6830">
        <v>1340.52698851336</v>
      </c>
      <c r="M6830">
        <v>26.7166212223424</v>
      </c>
      <c r="N6830">
        <v>50.424516312425197</v>
      </c>
      <c r="O6830">
        <v>49.897180022053803</v>
      </c>
      <c r="P6830">
        <v>-0.125595277525062</v>
      </c>
      <c r="Q6830">
        <v>6.1739783482185E-2</v>
      </c>
      <c r="R6830">
        <v>0.99827251681940798</v>
      </c>
      <c r="S6830" t="s">
        <v>13833</v>
      </c>
      <c r="T6830" t="s">
        <v>14004</v>
      </c>
      <c r="U6830" t="s">
        <v>14004</v>
      </c>
      <c r="V6830" t="s">
        <v>14004</v>
      </c>
      <c r="W6830" t="s">
        <v>20772</v>
      </c>
      <c r="X6830">
        <v>4</v>
      </c>
      <c r="Y6830" t="s">
        <v>27546</v>
      </c>
      <c r="Z6830" t="s">
        <v>34540</v>
      </c>
      <c r="AA6830">
        <v>0.38734279580491832</v>
      </c>
      <c r="AB6830" t="str">
        <f>HYPERLINK("Melting_Curves/meltCurve_Q9Y388_RBMX2.pdf", "Melting_Curves/meltCurve_Q9Y388_RBMX2.pdf")</f>
        <v>Melting_Curves/meltCurve_Q9Y388_RBMX2.pdf</v>
      </c>
    </row>
    <row r="6831" spans="1:28" x14ac:dyDescent="0.25">
      <c r="A6831" t="s">
        <v>6835</v>
      </c>
      <c r="B6831">
        <v>0.99999676499088797</v>
      </c>
      <c r="C6831">
        <v>0.99208789785347595</v>
      </c>
      <c r="D6831">
        <v>1.03540348038959</v>
      </c>
      <c r="E6831">
        <v>1.1426365007058801</v>
      </c>
      <c r="F6831">
        <v>0.966138772351256</v>
      </c>
      <c r="G6831">
        <v>0.92579296059660099</v>
      </c>
      <c r="H6831">
        <v>0.54850294799283905</v>
      </c>
      <c r="I6831">
        <v>0.27763585691378501</v>
      </c>
      <c r="J6831">
        <v>0.16959443877472699</v>
      </c>
      <c r="K6831">
        <v>0.111582630424869</v>
      </c>
      <c r="L6831">
        <v>1879.0426019261999</v>
      </c>
      <c r="M6831">
        <v>30.885670004228</v>
      </c>
      <c r="N6831">
        <v>61.334351429973097</v>
      </c>
      <c r="O6831">
        <v>60.585338086870401</v>
      </c>
      <c r="P6831">
        <v>-0.113370889518562</v>
      </c>
      <c r="Q6831">
        <v>0.11045205109252999</v>
      </c>
      <c r="R6831">
        <v>0.98379248712957701</v>
      </c>
      <c r="S6831" t="s">
        <v>13834</v>
      </c>
      <c r="T6831" t="s">
        <v>14004</v>
      </c>
      <c r="U6831" t="s">
        <v>14004</v>
      </c>
      <c r="V6831" t="s">
        <v>14004</v>
      </c>
      <c r="W6831" t="s">
        <v>20773</v>
      </c>
      <c r="X6831">
        <v>16</v>
      </c>
      <c r="Y6831" t="s">
        <v>27547</v>
      </c>
      <c r="Z6831" t="s">
        <v>34541</v>
      </c>
      <c r="AA6831">
        <v>0.73320618280166594</v>
      </c>
      <c r="AB6831" t="str">
        <f>HYPERLINK("Melting_Curves/meltCurve_Q9Y394_2_DHRS7.pdf", "Melting_Curves/meltCurve_Q9Y394_2_DHRS7.pdf")</f>
        <v>Melting_Curves/meltCurve_Q9Y394_2_DHRS7.pdf</v>
      </c>
    </row>
    <row r="6832" spans="1:28" x14ac:dyDescent="0.25">
      <c r="A6832" t="s">
        <v>6836</v>
      </c>
      <c r="B6832">
        <v>0.99999676499088797</v>
      </c>
      <c r="C6832">
        <v>0.91537974926364696</v>
      </c>
      <c r="D6832">
        <v>0.78803462594126905</v>
      </c>
      <c r="E6832">
        <v>0.50790685900506205</v>
      </c>
      <c r="F6832">
        <v>0.23725702807144999</v>
      </c>
      <c r="G6832">
        <v>0.155462551202601</v>
      </c>
      <c r="H6832">
        <v>9.2399492394034194E-2</v>
      </c>
      <c r="I6832">
        <v>9.7410486952079003E-2</v>
      </c>
      <c r="J6832">
        <v>8.6674566354627794E-2</v>
      </c>
      <c r="K6832">
        <v>2.2621662802627701E-2</v>
      </c>
      <c r="L6832">
        <v>854.833254811948</v>
      </c>
      <c r="M6832">
        <v>17.369335923120701</v>
      </c>
      <c r="N6832">
        <v>49.569576891471002</v>
      </c>
      <c r="O6832">
        <v>48.576625664852301</v>
      </c>
      <c r="P6832">
        <v>-8.4175229637622195E-2</v>
      </c>
      <c r="Q6832">
        <v>5.8405831963740898E-2</v>
      </c>
      <c r="R6832">
        <v>0.99697965917645603</v>
      </c>
      <c r="S6832" t="s">
        <v>13835</v>
      </c>
      <c r="T6832" t="s">
        <v>14004</v>
      </c>
      <c r="U6832" t="s">
        <v>14004</v>
      </c>
      <c r="V6832" t="s">
        <v>14004</v>
      </c>
      <c r="W6832" t="s">
        <v>20774</v>
      </c>
      <c r="X6832">
        <v>2</v>
      </c>
      <c r="Y6832" t="s">
        <v>27548</v>
      </c>
      <c r="Z6832" t="s">
        <v>34542</v>
      </c>
      <c r="AA6832">
        <v>0.36505996273722607</v>
      </c>
      <c r="AB6832" t="str">
        <f>HYPERLINK("Melting_Curves/meltCurve_Q9Y399_MRPS2.pdf", "Melting_Curves/meltCurve_Q9Y399_MRPS2.pdf")</f>
        <v>Melting_Curves/meltCurve_Q9Y399_MRPS2.pdf</v>
      </c>
    </row>
    <row r="6833" spans="1:28" x14ac:dyDescent="0.25">
      <c r="A6833" t="s">
        <v>6837</v>
      </c>
      <c r="B6833">
        <v>0.99999676499088797</v>
      </c>
      <c r="C6833">
        <v>1.0770967344429201</v>
      </c>
      <c r="D6833">
        <v>1.0929154571909201</v>
      </c>
      <c r="E6833">
        <v>0.94806836448218701</v>
      </c>
      <c r="F6833">
        <v>0.73731838480785705</v>
      </c>
      <c r="G6833">
        <v>0.38631163420041498</v>
      </c>
      <c r="H6833">
        <v>0.13387566847187701</v>
      </c>
      <c r="I6833">
        <v>0.110396767238243</v>
      </c>
      <c r="J6833">
        <v>0.103430375017469</v>
      </c>
      <c r="K6833">
        <v>8.50618347433761E-2</v>
      </c>
      <c r="L6833">
        <v>1474.6283527672199</v>
      </c>
      <c r="M6833">
        <v>26.749839465734599</v>
      </c>
      <c r="N6833">
        <v>55.512747424372897</v>
      </c>
      <c r="O6833">
        <v>54.821305205980899</v>
      </c>
      <c r="P6833">
        <v>-0.11163245385027799</v>
      </c>
      <c r="Q6833">
        <v>8.4888163307311804E-2</v>
      </c>
      <c r="R6833">
        <v>0.99070788683053901</v>
      </c>
      <c r="S6833" t="s">
        <v>13836</v>
      </c>
      <c r="T6833" t="s">
        <v>14004</v>
      </c>
      <c r="U6833" t="s">
        <v>14004</v>
      </c>
      <c r="V6833" t="s">
        <v>14004</v>
      </c>
      <c r="W6833" t="s">
        <v>20775</v>
      </c>
      <c r="X6833">
        <v>11</v>
      </c>
      <c r="Y6833" t="s">
        <v>27549</v>
      </c>
      <c r="Z6833" t="s">
        <v>34543</v>
      </c>
      <c r="AA6833">
        <v>0.55381285928863577</v>
      </c>
      <c r="AB6833" t="str">
        <f>HYPERLINK("Melting_Curves/meltCurve_Q9Y3A3_3_MOB4.pdf", "Melting_Curves/meltCurve_Q9Y3A3_3_MOB4.pdf")</f>
        <v>Melting_Curves/meltCurve_Q9Y3A3_3_MOB4.pdf</v>
      </c>
    </row>
    <row r="6834" spans="1:28" x14ac:dyDescent="0.25">
      <c r="A6834" t="s">
        <v>6838</v>
      </c>
      <c r="B6834">
        <v>0.99999676499088797</v>
      </c>
      <c r="C6834">
        <v>0.96354186132403297</v>
      </c>
      <c r="D6834">
        <v>0.95469703900659597</v>
      </c>
      <c r="E6834">
        <v>0.66442090416274502</v>
      </c>
      <c r="F6834">
        <v>0.28649079346013201</v>
      </c>
      <c r="G6834">
        <v>0.203116542427244</v>
      </c>
      <c r="H6834">
        <v>8.1679204820234094E-2</v>
      </c>
      <c r="I6834">
        <v>0.105575296510776</v>
      </c>
      <c r="J6834">
        <v>9.7618480602554306E-2</v>
      </c>
      <c r="K6834">
        <v>0.13002607647565601</v>
      </c>
      <c r="L6834">
        <v>1316.9153273550801</v>
      </c>
      <c r="M6834">
        <v>26.039339883913101</v>
      </c>
      <c r="N6834">
        <v>51.050616845340102</v>
      </c>
      <c r="O6834">
        <v>50.278616602273601</v>
      </c>
      <c r="P6834">
        <v>-0.115507334966565</v>
      </c>
      <c r="Q6834">
        <v>0.10789096715838201</v>
      </c>
      <c r="R6834">
        <v>0.99617269880223702</v>
      </c>
      <c r="S6834" t="s">
        <v>13837</v>
      </c>
      <c r="T6834" t="s">
        <v>14004</v>
      </c>
      <c r="U6834" t="s">
        <v>14004</v>
      </c>
      <c r="V6834" t="s">
        <v>14004</v>
      </c>
      <c r="W6834" t="s">
        <v>20776</v>
      </c>
      <c r="X6834">
        <v>2</v>
      </c>
      <c r="Y6834" t="s">
        <v>27550</v>
      </c>
      <c r="Z6834" t="s">
        <v>34544</v>
      </c>
      <c r="AA6834">
        <v>0.42972902946411851</v>
      </c>
      <c r="AB6834" t="str">
        <f>HYPERLINK("Melting_Curves/meltCurve_Q9Y3A4_RRP7A.pdf", "Melting_Curves/meltCurve_Q9Y3A4_RRP7A.pdf")</f>
        <v>Melting_Curves/meltCurve_Q9Y3A4_RRP7A.pdf</v>
      </c>
    </row>
    <row r="6835" spans="1:28" x14ac:dyDescent="0.25">
      <c r="A6835" t="s">
        <v>6839</v>
      </c>
      <c r="B6835">
        <v>0.99999676499088797</v>
      </c>
      <c r="C6835">
        <v>0.97630266364274798</v>
      </c>
      <c r="D6835">
        <v>0.97634320086383197</v>
      </c>
      <c r="E6835">
        <v>0.72620960263624901</v>
      </c>
      <c r="F6835">
        <v>0.27904316953181901</v>
      </c>
      <c r="G6835">
        <v>0.18260170440190801</v>
      </c>
      <c r="H6835">
        <v>9.5490746356352005E-2</v>
      </c>
      <c r="I6835">
        <v>8.7591018490104103E-2</v>
      </c>
      <c r="J6835">
        <v>7.1640388224118806E-2</v>
      </c>
      <c r="K6835">
        <v>6.7959441589801994E-2</v>
      </c>
      <c r="L6835">
        <v>1464.6642962987401</v>
      </c>
      <c r="M6835">
        <v>28.706440949106899</v>
      </c>
      <c r="N6835">
        <v>51.358132272059201</v>
      </c>
      <c r="O6835">
        <v>50.776472098067799</v>
      </c>
      <c r="P6835">
        <v>-0.129238753420267</v>
      </c>
      <c r="Q6835">
        <v>8.5607731469229703E-2</v>
      </c>
      <c r="R6835">
        <v>0.99734570453266702</v>
      </c>
      <c r="S6835" t="s">
        <v>13838</v>
      </c>
      <c r="T6835" t="s">
        <v>14004</v>
      </c>
      <c r="U6835" t="s">
        <v>14004</v>
      </c>
      <c r="V6835" t="s">
        <v>14004</v>
      </c>
      <c r="W6835" t="s">
        <v>20777</v>
      </c>
      <c r="X6835">
        <v>13</v>
      </c>
      <c r="Y6835" t="s">
        <v>27551</v>
      </c>
      <c r="Z6835" t="s">
        <v>34545</v>
      </c>
      <c r="AA6835">
        <v>0.42784117992997689</v>
      </c>
      <c r="AB6835" t="str">
        <f>HYPERLINK("Melting_Curves/meltCurve_Q9Y3A5_SBDS.pdf", "Melting_Curves/meltCurve_Q9Y3A5_SBDS.pdf")</f>
        <v>Melting_Curves/meltCurve_Q9Y3A5_SBDS.pdf</v>
      </c>
    </row>
    <row r="6836" spans="1:28" x14ac:dyDescent="0.25">
      <c r="A6836" t="s">
        <v>6840</v>
      </c>
      <c r="B6836">
        <v>0.99999676499088797</v>
      </c>
      <c r="C6836">
        <v>0.89919848575319306</v>
      </c>
      <c r="D6836">
        <v>1.0093090565367999</v>
      </c>
      <c r="E6836">
        <v>1.31598205383418</v>
      </c>
      <c r="F6836">
        <v>0.633911668731301</v>
      </c>
      <c r="G6836">
        <v>0.19579463446912401</v>
      </c>
      <c r="H6836">
        <v>6.8809264357560504E-2</v>
      </c>
      <c r="I6836">
        <v>4.7594514985809397E-2</v>
      </c>
      <c r="J6836">
        <v>4.1136195026347397E-2</v>
      </c>
      <c r="K6836">
        <v>5.4000066270646602E-2</v>
      </c>
      <c r="L6836">
        <v>2909.3200140594399</v>
      </c>
      <c r="M6836">
        <v>54.107975274314001</v>
      </c>
      <c r="N6836">
        <v>53.916393488873503</v>
      </c>
      <c r="O6836">
        <v>53.695487821919698</v>
      </c>
      <c r="P6836">
        <v>-0.234577833952375</v>
      </c>
      <c r="Q6836">
        <v>6.8842380064568096E-2</v>
      </c>
      <c r="R6836">
        <v>0.94421177577385296</v>
      </c>
      <c r="S6836" t="s">
        <v>13839</v>
      </c>
      <c r="T6836" t="s">
        <v>14004</v>
      </c>
      <c r="U6836" t="s">
        <v>14004</v>
      </c>
      <c r="V6836" t="s">
        <v>14004</v>
      </c>
      <c r="W6836" t="s">
        <v>20778</v>
      </c>
      <c r="X6836">
        <v>1</v>
      </c>
      <c r="Y6836" t="s">
        <v>27552</v>
      </c>
      <c r="Z6836" t="s">
        <v>34546</v>
      </c>
      <c r="AA6836">
        <v>0.49809009914440938</v>
      </c>
      <c r="AB6836" t="str">
        <f>HYPERLINK("Melting_Curves/meltCurve_Q9Y3A6_TMED5.pdf", "Melting_Curves/meltCurve_Q9Y3A6_TMED5.pdf")</f>
        <v>Melting_Curves/meltCurve_Q9Y3A6_TMED5.pdf</v>
      </c>
    </row>
    <row r="6837" spans="1:28" x14ac:dyDescent="0.25">
      <c r="A6837" t="s">
        <v>6841</v>
      </c>
      <c r="B6837">
        <v>0.99999676499088797</v>
      </c>
      <c r="C6837">
        <v>1.0295357854078599</v>
      </c>
      <c r="D6837">
        <v>1.075101940121</v>
      </c>
      <c r="E6837">
        <v>1.13123675059727</v>
      </c>
      <c r="F6837">
        <v>0.96538674237168998</v>
      </c>
      <c r="G6837">
        <v>0.56401524154758798</v>
      </c>
      <c r="H6837">
        <v>0.16672967326496299</v>
      </c>
      <c r="I6837">
        <v>9.7176746937415806E-2</v>
      </c>
      <c r="J6837">
        <v>6.8436192322815795E-2</v>
      </c>
      <c r="K6837">
        <v>7.57592050847989E-2</v>
      </c>
      <c r="L6837">
        <v>2326.02091802316</v>
      </c>
      <c r="M6837">
        <v>40.809168818668098</v>
      </c>
      <c r="N6837">
        <v>57.2455378508579</v>
      </c>
      <c r="O6837">
        <v>56.861161152379601</v>
      </c>
      <c r="P6837">
        <v>-0.16488573454159</v>
      </c>
      <c r="Q6837">
        <v>8.1032470347310107E-2</v>
      </c>
      <c r="R6837">
        <v>0.98729259502671296</v>
      </c>
      <c r="S6837" t="s">
        <v>13840</v>
      </c>
      <c r="T6837" t="s">
        <v>14004</v>
      </c>
      <c r="U6837" t="s">
        <v>14004</v>
      </c>
      <c r="V6837" t="s">
        <v>14004</v>
      </c>
      <c r="W6837" t="s">
        <v>20779</v>
      </c>
      <c r="X6837">
        <v>7</v>
      </c>
      <c r="Y6837" t="s">
        <v>27553</v>
      </c>
      <c r="Z6837" t="s">
        <v>34547</v>
      </c>
      <c r="AA6837">
        <v>0.60514748929062601</v>
      </c>
      <c r="AB6837" t="str">
        <f>HYPERLINK("Melting_Curves/meltCurve_Q9Y3B3_TMED7.pdf", "Melting_Curves/meltCurve_Q9Y3B3_TMED7.pdf")</f>
        <v>Melting_Curves/meltCurve_Q9Y3B3_TMED7.pdf</v>
      </c>
    </row>
    <row r="6838" spans="1:28" x14ac:dyDescent="0.25">
      <c r="A6838" t="s">
        <v>6842</v>
      </c>
      <c r="B6838">
        <v>0.99999676499088797</v>
      </c>
      <c r="C6838">
        <v>0.96988486778792005</v>
      </c>
      <c r="D6838">
        <v>0.81571215231598204</v>
      </c>
      <c r="E6838">
        <v>0.48176764879794798</v>
      </c>
      <c r="F6838">
        <v>0.245331752562164</v>
      </c>
      <c r="G6838">
        <v>0.16617996901469001</v>
      </c>
      <c r="H6838">
        <v>7.64791933743562E-2</v>
      </c>
      <c r="I6838">
        <v>9.4658302246466694E-2</v>
      </c>
      <c r="J6838">
        <v>0.10262975400252</v>
      </c>
      <c r="K6838">
        <v>9.1043225819825199E-2</v>
      </c>
      <c r="L6838">
        <v>1017.37931444887</v>
      </c>
      <c r="M6838">
        <v>20.749020732723601</v>
      </c>
      <c r="N6838">
        <v>49.507767593555698</v>
      </c>
      <c r="O6838">
        <v>48.584016661359698</v>
      </c>
      <c r="P6838">
        <v>-9.7132710849147694E-2</v>
      </c>
      <c r="Q6838">
        <v>9.0277327719197997E-2</v>
      </c>
      <c r="R6838">
        <v>0.998462140274188</v>
      </c>
      <c r="S6838" t="s">
        <v>13841</v>
      </c>
      <c r="T6838" t="s">
        <v>14004</v>
      </c>
      <c r="U6838" t="s">
        <v>14004</v>
      </c>
      <c r="V6838" t="s">
        <v>14004</v>
      </c>
      <c r="W6838" t="s">
        <v>20780</v>
      </c>
      <c r="X6838">
        <v>4</v>
      </c>
      <c r="Y6838" t="s">
        <v>27554</v>
      </c>
      <c r="Z6838" t="s">
        <v>34548</v>
      </c>
      <c r="AA6838">
        <v>0.37600491963803467</v>
      </c>
      <c r="AB6838" t="str">
        <f>HYPERLINK("Melting_Curves/meltCurve_Q9Y3B4_SF3B14.pdf", "Melting_Curves/meltCurve_Q9Y3B4_SF3B14.pdf")</f>
        <v>Melting_Curves/meltCurve_Q9Y3B4_SF3B14.pdf</v>
      </c>
    </row>
    <row r="6839" spans="1:28" x14ac:dyDescent="0.25">
      <c r="A6839" t="s">
        <v>6843</v>
      </c>
      <c r="B6839">
        <v>0.99999676499088797</v>
      </c>
      <c r="C6839">
        <v>0.92325683134533298</v>
      </c>
      <c r="D6839">
        <v>0.65543684031458904</v>
      </c>
      <c r="E6839">
        <v>0.53280130651441704</v>
      </c>
      <c r="F6839">
        <v>0.33932060680104098</v>
      </c>
      <c r="G6839">
        <v>0.23088742208402499</v>
      </c>
      <c r="H6839">
        <v>0.155124088756873</v>
      </c>
      <c r="I6839">
        <v>0.13340163897079299</v>
      </c>
      <c r="J6839">
        <v>0.14979375584554799</v>
      </c>
      <c r="K6839">
        <v>0.17861917100828001</v>
      </c>
      <c r="L6839">
        <v>694.503184995624</v>
      </c>
      <c r="M6839">
        <v>14.320313119025201</v>
      </c>
      <c r="N6839">
        <v>49.581142660794697</v>
      </c>
      <c r="O6839">
        <v>47.581441798083901</v>
      </c>
      <c r="P6839">
        <v>-6.5140982764920405E-2</v>
      </c>
      <c r="Q6839">
        <v>0.134341142399555</v>
      </c>
      <c r="R6839">
        <v>0.98768612966555502</v>
      </c>
      <c r="S6839" t="s">
        <v>13842</v>
      </c>
      <c r="T6839" t="s">
        <v>14004</v>
      </c>
      <c r="U6839" t="s">
        <v>14004</v>
      </c>
      <c r="V6839" t="s">
        <v>14004</v>
      </c>
      <c r="W6839" t="s">
        <v>20781</v>
      </c>
      <c r="X6839">
        <v>1</v>
      </c>
      <c r="Y6839" t="s">
        <v>27555</v>
      </c>
      <c r="Z6839" t="s">
        <v>34549</v>
      </c>
      <c r="AA6839">
        <v>0.40335972697467098</v>
      </c>
      <c r="AB6839" t="str">
        <f>HYPERLINK("Melting_Curves/meltCurve_Q9Y3B7_2_MRPL11.pdf", "Melting_Curves/meltCurve_Q9Y3B7_2_MRPL11.pdf")</f>
        <v>Melting_Curves/meltCurve_Q9Y3B7_2_MRPL11.pdf</v>
      </c>
    </row>
    <row r="6840" spans="1:28" x14ac:dyDescent="0.25">
      <c r="A6840" t="s">
        <v>6844</v>
      </c>
      <c r="B6840">
        <v>0.99999676499088797</v>
      </c>
      <c r="C6840">
        <v>0.94263706905861699</v>
      </c>
      <c r="D6840">
        <v>1.10186157776729</v>
      </c>
      <c r="E6840">
        <v>1.2544565647372401</v>
      </c>
      <c r="F6840">
        <v>1.89591705384232</v>
      </c>
      <c r="G6840">
        <v>1.76270959997134</v>
      </c>
      <c r="H6840">
        <v>1.34406768324482</v>
      </c>
      <c r="I6840">
        <v>1.3273735981806301</v>
      </c>
      <c r="J6840">
        <v>1.32288806436874</v>
      </c>
      <c r="K6840">
        <v>1.4608926746072299</v>
      </c>
      <c r="L6840">
        <v>12398.231421693999</v>
      </c>
      <c r="M6840">
        <v>250</v>
      </c>
      <c r="O6840">
        <v>49.589734946497401</v>
      </c>
      <c r="P6840">
        <v>0.63017052263533402</v>
      </c>
      <c r="Q6840">
        <v>1.5</v>
      </c>
      <c r="R6840">
        <v>0.61152290676374699</v>
      </c>
      <c r="S6840" t="s">
        <v>13843</v>
      </c>
      <c r="T6840" t="s">
        <v>14004</v>
      </c>
      <c r="U6840" t="s">
        <v>14004</v>
      </c>
      <c r="V6840" t="s">
        <v>14004</v>
      </c>
      <c r="W6840" t="s">
        <v>20782</v>
      </c>
      <c r="X6840">
        <v>10</v>
      </c>
      <c r="Y6840" t="s">
        <v>27556</v>
      </c>
      <c r="Z6840" t="s">
        <v>34550</v>
      </c>
      <c r="AA6840">
        <v>1.340074387814032</v>
      </c>
      <c r="AB6840" t="str">
        <f>HYPERLINK("Melting_Curves/meltCurve_Q9Y3B9_RRP15.pdf", "Melting_Curves/meltCurve_Q9Y3B9_RRP15.pdf")</f>
        <v>Melting_Curves/meltCurve_Q9Y3B9_RRP15.pdf</v>
      </c>
    </row>
    <row r="6841" spans="1:28" x14ac:dyDescent="0.25">
      <c r="A6841" t="s">
        <v>6845</v>
      </c>
      <c r="B6841">
        <v>0.99999676499088797</v>
      </c>
      <c r="C6841">
        <v>0.97066866250107098</v>
      </c>
      <c r="D6841">
        <v>1.0042439641713901</v>
      </c>
      <c r="E6841">
        <v>0.75920072487359203</v>
      </c>
      <c r="F6841">
        <v>0.58585839082435898</v>
      </c>
      <c r="G6841">
        <v>0.59746634859577297</v>
      </c>
      <c r="H6841">
        <v>0.54258758761546</v>
      </c>
      <c r="I6841">
        <v>1.1565891514842801</v>
      </c>
      <c r="J6841">
        <v>1.3442979341431101</v>
      </c>
      <c r="K6841">
        <v>1.2082494274780999</v>
      </c>
      <c r="L6841">
        <v>15000</v>
      </c>
      <c r="M6841">
        <v>234.643652639697</v>
      </c>
      <c r="O6841">
        <v>63.9220847687751</v>
      </c>
      <c r="P6841">
        <v>0.25353665077240101</v>
      </c>
      <c r="Q6841">
        <v>1.27627578919427</v>
      </c>
      <c r="R6841">
        <v>0.15039989779379101</v>
      </c>
      <c r="S6841" t="s">
        <v>13844</v>
      </c>
      <c r="T6841" t="s">
        <v>14004</v>
      </c>
      <c r="U6841" t="s">
        <v>14004</v>
      </c>
      <c r="V6841" t="s">
        <v>14004</v>
      </c>
      <c r="W6841" t="s">
        <v>20783</v>
      </c>
      <c r="X6841">
        <v>10</v>
      </c>
      <c r="Y6841" t="s">
        <v>27557</v>
      </c>
      <c r="Z6841" t="s">
        <v>34551</v>
      </c>
      <c r="AA6841">
        <v>1.0558947851512159</v>
      </c>
      <c r="AB6841" t="str">
        <f>HYPERLINK("Melting_Curves/meltCurve_Q9Y3C1_NOP16.pdf", "Melting_Curves/meltCurve_Q9Y3C1_NOP16.pdf")</f>
        <v>Melting_Curves/meltCurve_Q9Y3C1_NOP16.pdf</v>
      </c>
    </row>
    <row r="6842" spans="1:28" x14ac:dyDescent="0.25">
      <c r="A6842" t="s">
        <v>6846</v>
      </c>
      <c r="B6842">
        <v>0.99999676499088797</v>
      </c>
      <c r="C6842">
        <v>1.1296161233620601</v>
      </c>
      <c r="D6842">
        <v>1.05405285645641</v>
      </c>
      <c r="E6842">
        <v>1.0080649345664401</v>
      </c>
      <c r="F6842">
        <v>0.932638338091341</v>
      </c>
      <c r="G6842">
        <v>0.63121818570409705</v>
      </c>
      <c r="H6842">
        <v>0.258343482145868</v>
      </c>
      <c r="I6842">
        <v>0.15594189575800199</v>
      </c>
      <c r="J6842">
        <v>0.15998800875215</v>
      </c>
      <c r="K6842">
        <v>0.118435537719655</v>
      </c>
      <c r="L6842">
        <v>1817.3572437017001</v>
      </c>
      <c r="M6842">
        <v>31.683373942318099</v>
      </c>
      <c r="N6842">
        <v>57.916518529370698</v>
      </c>
      <c r="O6842">
        <v>57.132908524768297</v>
      </c>
      <c r="P6842">
        <v>-0.120444431805455</v>
      </c>
      <c r="Q6842">
        <v>0.13124092016455399</v>
      </c>
      <c r="R6842">
        <v>0.98742868346794199</v>
      </c>
      <c r="S6842" t="s">
        <v>13845</v>
      </c>
      <c r="T6842" t="s">
        <v>14004</v>
      </c>
      <c r="U6842" t="s">
        <v>14004</v>
      </c>
      <c r="V6842" t="s">
        <v>14004</v>
      </c>
      <c r="W6842" t="s">
        <v>20784</v>
      </c>
      <c r="X6842">
        <v>3</v>
      </c>
      <c r="Y6842" t="s">
        <v>27558</v>
      </c>
      <c r="Z6842" t="s">
        <v>34552</v>
      </c>
      <c r="AA6842">
        <v>0.63920531407023862</v>
      </c>
      <c r="AB6842" t="str">
        <f>HYPERLINK("Melting_Curves/meltCurve_Q9Y3C4_2_TPRKB.pdf", "Melting_Curves/meltCurve_Q9Y3C4_2_TPRKB.pdf")</f>
        <v>Melting_Curves/meltCurve_Q9Y3C4_2_TPRKB.pdf</v>
      </c>
    </row>
    <row r="6843" spans="1:28" x14ac:dyDescent="0.25">
      <c r="A6843" t="s">
        <v>6847</v>
      </c>
      <c r="B6843">
        <v>0.99999676499088797</v>
      </c>
      <c r="C6843">
        <v>0.983704364745283</v>
      </c>
      <c r="D6843">
        <v>0.91586397516614104</v>
      </c>
      <c r="E6843">
        <v>0.91871496887346105</v>
      </c>
      <c r="F6843">
        <v>0.69499664990710697</v>
      </c>
      <c r="G6843">
        <v>0.59614533031728401</v>
      </c>
      <c r="H6843">
        <v>0.32842400520002202</v>
      </c>
      <c r="I6843">
        <v>0.311106393264657</v>
      </c>
      <c r="J6843">
        <v>0.297356287598733</v>
      </c>
      <c r="K6843">
        <v>0.260470309042314</v>
      </c>
      <c r="L6843">
        <v>834.53469492861302</v>
      </c>
      <c r="M6843">
        <v>15.072180218218</v>
      </c>
      <c r="N6843">
        <v>57.6520386607191</v>
      </c>
      <c r="O6843">
        <v>54.421950101508401</v>
      </c>
      <c r="P6843">
        <v>-5.3684068971381199E-2</v>
      </c>
      <c r="Q6843">
        <v>0.224716782805053</v>
      </c>
      <c r="R6843">
        <v>0.98677691492533504</v>
      </c>
      <c r="S6843" t="s">
        <v>13846</v>
      </c>
      <c r="T6843" t="s">
        <v>14004</v>
      </c>
      <c r="U6843" t="s">
        <v>14004</v>
      </c>
      <c r="V6843" t="s">
        <v>14004</v>
      </c>
      <c r="W6843" t="s">
        <v>20785</v>
      </c>
      <c r="X6843">
        <v>2</v>
      </c>
      <c r="Y6843" t="s">
        <v>27559</v>
      </c>
      <c r="Z6843" t="s">
        <v>34553</v>
      </c>
      <c r="AA6843">
        <v>0.63636978062924365</v>
      </c>
      <c r="AB6843" t="str">
        <f>HYPERLINK("Melting_Curves/meltCurve_Q9Y3C5_RNF11.pdf", "Melting_Curves/meltCurve_Q9Y3C5_RNF11.pdf")</f>
        <v>Melting_Curves/meltCurve_Q9Y3C5_RNF11.pdf</v>
      </c>
    </row>
    <row r="6844" spans="1:28" x14ac:dyDescent="0.25">
      <c r="A6844" t="s">
        <v>6848</v>
      </c>
      <c r="B6844">
        <v>0.99999676499088797</v>
      </c>
      <c r="C6844">
        <v>1.02844996732697</v>
      </c>
      <c r="D6844">
        <v>0.85997085274485197</v>
      </c>
      <c r="E6844">
        <v>0.54594205808328999</v>
      </c>
      <c r="F6844">
        <v>0.36042945882966698</v>
      </c>
      <c r="G6844">
        <v>0.20204020107694601</v>
      </c>
      <c r="H6844">
        <v>7.8925815273356098E-2</v>
      </c>
      <c r="I6844">
        <v>9.6322085341848204E-2</v>
      </c>
      <c r="J6844">
        <v>9.7809448074853103E-2</v>
      </c>
      <c r="K6844">
        <v>8.7374013972836007E-2</v>
      </c>
      <c r="L6844">
        <v>917.92813205583298</v>
      </c>
      <c r="M6844">
        <v>18.280914164758698</v>
      </c>
      <c r="N6844">
        <v>50.702719436552599</v>
      </c>
      <c r="O6844">
        <v>49.623071185568797</v>
      </c>
      <c r="P6844">
        <v>-8.4640566843963705E-2</v>
      </c>
      <c r="Q6844">
        <v>8.1023644706757297E-2</v>
      </c>
      <c r="R6844">
        <v>0.99269726151103799</v>
      </c>
      <c r="S6844" t="s">
        <v>13847</v>
      </c>
      <c r="T6844" t="s">
        <v>14004</v>
      </c>
      <c r="U6844" t="s">
        <v>14004</v>
      </c>
      <c r="V6844" t="s">
        <v>14004</v>
      </c>
      <c r="W6844" t="s">
        <v>20786</v>
      </c>
      <c r="X6844">
        <v>7</v>
      </c>
      <c r="Y6844" t="s">
        <v>27560</v>
      </c>
      <c r="Z6844" t="s">
        <v>34554</v>
      </c>
      <c r="AA6844">
        <v>0.40903493734218171</v>
      </c>
      <c r="AB6844" t="str">
        <f>HYPERLINK("Melting_Curves/meltCurve_Q9Y3C6_PPIL1.pdf", "Melting_Curves/meltCurve_Q9Y3C6_PPIL1.pdf")</f>
        <v>Melting_Curves/meltCurve_Q9Y3C6_PPIL1.pdf</v>
      </c>
    </row>
    <row r="6845" spans="1:28" x14ac:dyDescent="0.25">
      <c r="A6845" t="s">
        <v>6849</v>
      </c>
      <c r="B6845">
        <v>0.99999676499088797</v>
      </c>
      <c r="C6845">
        <v>0.96325598029112003</v>
      </c>
      <c r="D6845">
        <v>1.0156323350302501</v>
      </c>
      <c r="E6845">
        <v>1.05895148673196</v>
      </c>
      <c r="F6845">
        <v>0.935859339733497</v>
      </c>
      <c r="G6845">
        <v>0.67828441454513599</v>
      </c>
      <c r="H6845">
        <v>0.29062790856753201</v>
      </c>
      <c r="I6845">
        <v>0.13358270680725101</v>
      </c>
      <c r="J6845">
        <v>0.11046428968775</v>
      </c>
      <c r="K6845">
        <v>0.103073760774419</v>
      </c>
      <c r="L6845">
        <v>1707.5058371109001</v>
      </c>
      <c r="M6845">
        <v>29.4356461773815</v>
      </c>
      <c r="N6845">
        <v>58.415648522947002</v>
      </c>
      <c r="O6845">
        <v>57.742347977031798</v>
      </c>
      <c r="P6845">
        <v>-0.115614872582002</v>
      </c>
      <c r="Q6845">
        <v>9.2824124325117302E-2</v>
      </c>
      <c r="R6845">
        <v>0.99607341215550804</v>
      </c>
      <c r="S6845" t="s">
        <v>13848</v>
      </c>
      <c r="T6845" t="s">
        <v>14004</v>
      </c>
      <c r="U6845" t="s">
        <v>14004</v>
      </c>
      <c r="V6845" t="s">
        <v>14004</v>
      </c>
      <c r="W6845" t="s">
        <v>20787</v>
      </c>
      <c r="X6845">
        <v>9</v>
      </c>
      <c r="Y6845" t="s">
        <v>27561</v>
      </c>
      <c r="Z6845" t="s">
        <v>34555</v>
      </c>
      <c r="AA6845">
        <v>0.64353398442115661</v>
      </c>
      <c r="AB6845" t="str">
        <f>HYPERLINK("Melting_Curves/meltCurve_Q9Y3C8_UFC1.pdf", "Melting_Curves/meltCurve_Q9Y3C8_UFC1.pdf")</f>
        <v>Melting_Curves/meltCurve_Q9Y3C8_UFC1.pdf</v>
      </c>
    </row>
    <row r="6846" spans="1:28" x14ac:dyDescent="0.25">
      <c r="A6846" t="s">
        <v>6850</v>
      </c>
      <c r="B6846">
        <v>0.99999676499088797</v>
      </c>
      <c r="C6846">
        <v>1.0585795734989101</v>
      </c>
      <c r="D6846">
        <v>0.77885852065686401</v>
      </c>
      <c r="E6846">
        <v>0.38629135623032701</v>
      </c>
      <c r="F6846">
        <v>0.29863855284138802</v>
      </c>
      <c r="G6846">
        <v>0.25416439214458703</v>
      </c>
      <c r="H6846">
        <v>0.150835586508792</v>
      </c>
      <c r="I6846">
        <v>0.12740183615735601</v>
      </c>
      <c r="J6846">
        <v>0.12866514887934799</v>
      </c>
      <c r="K6846">
        <v>0.1378421445155</v>
      </c>
      <c r="L6846">
        <v>1202.36251219472</v>
      </c>
      <c r="M6846">
        <v>25.024962749967401</v>
      </c>
      <c r="N6846">
        <v>48.811116468653502</v>
      </c>
      <c r="O6846">
        <v>47.7428722266365</v>
      </c>
      <c r="P6846">
        <v>-0.10979395087756399</v>
      </c>
      <c r="Q6846">
        <v>0.162147335093342</v>
      </c>
      <c r="R6846">
        <v>0.97983810898708701</v>
      </c>
      <c r="S6846" t="s">
        <v>13849</v>
      </c>
      <c r="T6846" t="s">
        <v>14004</v>
      </c>
      <c r="U6846" t="s">
        <v>14004</v>
      </c>
      <c r="V6846" t="s">
        <v>14004</v>
      </c>
      <c r="W6846" t="s">
        <v>20788</v>
      </c>
      <c r="X6846">
        <v>6</v>
      </c>
      <c r="Y6846" t="s">
        <v>27562</v>
      </c>
      <c r="Z6846" t="s">
        <v>34556</v>
      </c>
      <c r="AA6846">
        <v>0.39426318673679239</v>
      </c>
      <c r="AB6846" t="str">
        <f>HYPERLINK("Melting_Curves/meltCurve_Q9Y3D0_FAM96B.pdf", "Melting_Curves/meltCurve_Q9Y3D0_FAM96B.pdf")</f>
        <v>Melting_Curves/meltCurve_Q9Y3D0_FAM96B.pdf</v>
      </c>
    </row>
    <row r="6847" spans="1:28" x14ac:dyDescent="0.25">
      <c r="A6847" t="s">
        <v>6851</v>
      </c>
      <c r="B6847">
        <v>0.99999676499088797</v>
      </c>
      <c r="C6847">
        <v>0.92497977032422396</v>
      </c>
      <c r="D6847">
        <v>0.92082613885083497</v>
      </c>
      <c r="E6847">
        <v>0.71345390887355797</v>
      </c>
      <c r="F6847">
        <v>0.50022643159250002</v>
      </c>
      <c r="G6847">
        <v>0.28195729974585698</v>
      </c>
      <c r="H6847">
        <v>0.15605520500932399</v>
      </c>
      <c r="I6847">
        <v>0.132135100660322</v>
      </c>
      <c r="J6847">
        <v>0.14159580640935199</v>
      </c>
      <c r="K6847">
        <v>0.130554998982163</v>
      </c>
      <c r="L6847">
        <v>843.40686643395497</v>
      </c>
      <c r="M6847">
        <v>16.184762632747098</v>
      </c>
      <c r="N6847">
        <v>52.853010859725401</v>
      </c>
      <c r="O6847">
        <v>51.335106602529997</v>
      </c>
      <c r="P6847">
        <v>-7.08159596350596E-2</v>
      </c>
      <c r="Q6847">
        <v>0.10160655185957899</v>
      </c>
      <c r="R6847">
        <v>0.99621549075435001</v>
      </c>
      <c r="S6847" t="s">
        <v>13850</v>
      </c>
      <c r="T6847" t="s">
        <v>14004</v>
      </c>
      <c r="U6847" t="s">
        <v>14004</v>
      </c>
      <c r="V6847" t="s">
        <v>14004</v>
      </c>
      <c r="W6847" t="s">
        <v>20789</v>
      </c>
      <c r="X6847">
        <v>6</v>
      </c>
      <c r="Y6847" t="s">
        <v>27563</v>
      </c>
      <c r="Z6847" t="s">
        <v>34557</v>
      </c>
      <c r="AA6847">
        <v>0.48207113117164779</v>
      </c>
      <c r="AB6847" t="str">
        <f>HYPERLINK("Melting_Curves/meltCurve_Q9Y3D2_MSRB2.pdf", "Melting_Curves/meltCurve_Q9Y3D2_MSRB2.pdf")</f>
        <v>Melting_Curves/meltCurve_Q9Y3D2_MSRB2.pdf</v>
      </c>
    </row>
    <row r="6848" spans="1:28" x14ac:dyDescent="0.25">
      <c r="A6848" t="s">
        <v>6852</v>
      </c>
      <c r="B6848">
        <v>0.99999676499088797</v>
      </c>
      <c r="C6848">
        <v>1.03810669917426</v>
      </c>
      <c r="D6848">
        <v>1.15658821004201</v>
      </c>
      <c r="E6848">
        <v>1.06336530803927</v>
      </c>
      <c r="F6848">
        <v>1.010575697036</v>
      </c>
      <c r="G6848">
        <v>0.894310887324964</v>
      </c>
      <c r="H6848">
        <v>0.59933837530920897</v>
      </c>
      <c r="I6848">
        <v>0.42244129154445598</v>
      </c>
      <c r="J6848">
        <v>0.37097766795480602</v>
      </c>
      <c r="K6848">
        <v>0.38736042810360799</v>
      </c>
      <c r="L6848">
        <v>2021.7773392694201</v>
      </c>
      <c r="M6848">
        <v>33.857966802825104</v>
      </c>
      <c r="N6848">
        <v>62.171714186664701</v>
      </c>
      <c r="O6848">
        <v>59.506337575207297</v>
      </c>
      <c r="P6848">
        <v>-8.9769978253855701E-2</v>
      </c>
      <c r="Q6848">
        <v>0.36890943200847798</v>
      </c>
      <c r="R6848">
        <v>0.964824465749344</v>
      </c>
      <c r="S6848" t="s">
        <v>13851</v>
      </c>
      <c r="T6848" t="s">
        <v>14004</v>
      </c>
      <c r="U6848" t="s">
        <v>14004</v>
      </c>
      <c r="V6848" t="s">
        <v>14004</v>
      </c>
      <c r="W6848" t="s">
        <v>20790</v>
      </c>
      <c r="X6848">
        <v>7</v>
      </c>
      <c r="Y6848" t="s">
        <v>27564</v>
      </c>
      <c r="Z6848" t="s">
        <v>34558</v>
      </c>
      <c r="AA6848">
        <v>0.78688083406556941</v>
      </c>
      <c r="AB6848" t="str">
        <f>HYPERLINK("Melting_Curves/meltCurve_Q9Y3D6_FIS1.pdf", "Melting_Curves/meltCurve_Q9Y3D6_FIS1.pdf")</f>
        <v>Melting_Curves/meltCurve_Q9Y3D6_FIS1.pdf</v>
      </c>
    </row>
    <row r="6849" spans="1:28" x14ac:dyDescent="0.25">
      <c r="A6849" t="s">
        <v>6853</v>
      </c>
      <c r="B6849">
        <v>0.99999676499088797</v>
      </c>
      <c r="C6849">
        <v>0.94457329607571205</v>
      </c>
      <c r="D6849">
        <v>0.81784403998157995</v>
      </c>
      <c r="E6849">
        <v>0.29856092441353699</v>
      </c>
      <c r="F6849">
        <v>0.18759946069693201</v>
      </c>
      <c r="G6849">
        <v>0.15546305852614201</v>
      </c>
      <c r="H6849">
        <v>8.7957404863809693E-2</v>
      </c>
      <c r="I6849">
        <v>0.102288941395227</v>
      </c>
      <c r="J6849">
        <v>8.6014315900146202E-2</v>
      </c>
      <c r="K6849">
        <v>8.18372360951201E-2</v>
      </c>
      <c r="L6849">
        <v>1496.91725935819</v>
      </c>
      <c r="M6849">
        <v>31.313374545023301</v>
      </c>
      <c r="N6849">
        <v>48.173421744959697</v>
      </c>
      <c r="O6849">
        <v>47.610706280999302</v>
      </c>
      <c r="P6849">
        <v>-0.14689126370203801</v>
      </c>
      <c r="Q6849">
        <v>0.106636255694326</v>
      </c>
      <c r="R6849">
        <v>0.99445657839693702</v>
      </c>
      <c r="S6849" t="s">
        <v>13852</v>
      </c>
      <c r="T6849" t="s">
        <v>14004</v>
      </c>
      <c r="U6849" t="s">
        <v>14004</v>
      </c>
      <c r="V6849" t="s">
        <v>14004</v>
      </c>
      <c r="W6849" t="s">
        <v>20791</v>
      </c>
      <c r="X6849">
        <v>5</v>
      </c>
      <c r="Y6849" t="s">
        <v>24604</v>
      </c>
      <c r="Z6849" t="s">
        <v>34559</v>
      </c>
      <c r="AA6849">
        <v>0.34394979042756818</v>
      </c>
      <c r="AB6849" t="str">
        <f>HYPERLINK("Melting_Curves/meltCurve_Q9Y3D8_TAF9.pdf", "Melting_Curves/meltCurve_Q9Y3D8_TAF9.pdf")</f>
        <v>Melting_Curves/meltCurve_Q9Y3D8_TAF9.pdf</v>
      </c>
    </row>
    <row r="6850" spans="1:28" x14ac:dyDescent="0.25">
      <c r="A6850" t="s">
        <v>6854</v>
      </c>
      <c r="B6850">
        <v>0.99999676499088797</v>
      </c>
      <c r="C6850">
        <v>0.88227237843151096</v>
      </c>
      <c r="D6850">
        <v>0.847091060893293</v>
      </c>
      <c r="E6850">
        <v>0.55972274448476</v>
      </c>
      <c r="F6850">
        <v>0.235214928144967</v>
      </c>
      <c r="G6850">
        <v>0.18136466667887099</v>
      </c>
      <c r="H6850">
        <v>9.8375827830274806E-2</v>
      </c>
      <c r="I6850">
        <v>9.8288921864742196E-2</v>
      </c>
      <c r="J6850">
        <v>9.7812597821196501E-2</v>
      </c>
      <c r="K6850">
        <v>0.113339171144146</v>
      </c>
      <c r="L6850">
        <v>967.34088279149603</v>
      </c>
      <c r="M6850">
        <v>19.5527072494652</v>
      </c>
      <c r="N6850">
        <v>49.991481716519303</v>
      </c>
      <c r="O6850">
        <v>48.964708231453699</v>
      </c>
      <c r="P6850">
        <v>-9.0679899901491598E-2</v>
      </c>
      <c r="Q6850">
        <v>9.1694491079897203E-2</v>
      </c>
      <c r="R6850">
        <v>0.99254862361534402</v>
      </c>
      <c r="S6850" t="s">
        <v>13853</v>
      </c>
      <c r="T6850" t="s">
        <v>14004</v>
      </c>
      <c r="U6850" t="s">
        <v>14004</v>
      </c>
      <c r="V6850" t="s">
        <v>14004</v>
      </c>
      <c r="W6850" t="s">
        <v>20792</v>
      </c>
      <c r="X6850">
        <v>7</v>
      </c>
      <c r="Y6850" t="s">
        <v>27565</v>
      </c>
      <c r="Z6850" t="s">
        <v>34560</v>
      </c>
      <c r="AA6850">
        <v>0.39178309261609873</v>
      </c>
      <c r="AB6850" t="str">
        <f>HYPERLINK("Melting_Curves/meltCurve_Q9Y3D9_MRPS23.pdf", "Melting_Curves/meltCurve_Q9Y3D9_MRPS23.pdf")</f>
        <v>Melting_Curves/meltCurve_Q9Y3D9_MRPS23.pdf</v>
      </c>
    </row>
    <row r="6851" spans="1:28" x14ac:dyDescent="0.25">
      <c r="A6851" t="s">
        <v>6855</v>
      </c>
      <c r="B6851">
        <v>0.99999676499088797</v>
      </c>
      <c r="C6851">
        <v>0.97070284450048805</v>
      </c>
      <c r="D6851">
        <v>1.08127760803491</v>
      </c>
      <c r="E6851">
        <v>1.0433079983182101</v>
      </c>
      <c r="F6851">
        <v>0.882131443398391</v>
      </c>
      <c r="G6851">
        <v>0.80012296884997902</v>
      </c>
      <c r="H6851">
        <v>0.78571208877260401</v>
      </c>
      <c r="I6851">
        <v>0.83920971248607601</v>
      </c>
      <c r="J6851">
        <v>0.85817929633033896</v>
      </c>
      <c r="K6851">
        <v>1.0907685122306201</v>
      </c>
      <c r="L6851">
        <v>13152.255064818</v>
      </c>
      <c r="M6851">
        <v>250</v>
      </c>
      <c r="O6851">
        <v>52.605653642885699</v>
      </c>
      <c r="P6851">
        <v>-0.14875007763803899</v>
      </c>
      <c r="Q6851">
        <v>0.87479847915795905</v>
      </c>
      <c r="R6851">
        <v>0.41407435007736199</v>
      </c>
      <c r="S6851" t="s">
        <v>13854</v>
      </c>
      <c r="T6851" t="s">
        <v>14004</v>
      </c>
      <c r="U6851" t="s">
        <v>14004</v>
      </c>
      <c r="V6851" t="s">
        <v>14004</v>
      </c>
      <c r="W6851" t="s">
        <v>20793</v>
      </c>
      <c r="X6851">
        <v>9</v>
      </c>
      <c r="Y6851" t="s">
        <v>27566</v>
      </c>
      <c r="Z6851" t="s">
        <v>34561</v>
      </c>
      <c r="AA6851">
        <v>0.9274323225250819</v>
      </c>
      <c r="AB6851" t="str">
        <f>HYPERLINK("Melting_Curves/meltCurve_Q9Y3E1_HDGFRP3.pdf", "Melting_Curves/meltCurve_Q9Y3E1_HDGFRP3.pdf")</f>
        <v>Melting_Curves/meltCurve_Q9Y3E1_HDGFRP3.pdf</v>
      </c>
    </row>
    <row r="6852" spans="1:28" x14ac:dyDescent="0.25">
      <c r="A6852" t="s">
        <v>6856</v>
      </c>
      <c r="B6852">
        <v>0.99999676499088797</v>
      </c>
      <c r="C6852">
        <v>0.92091727739844198</v>
      </c>
      <c r="D6852">
        <v>0.91171424786544697</v>
      </c>
      <c r="E6852">
        <v>0.66346364999076701</v>
      </c>
      <c r="F6852">
        <v>0.44211911829689798</v>
      </c>
      <c r="G6852">
        <v>0.30425657591119198</v>
      </c>
      <c r="H6852">
        <v>0.172000863528811</v>
      </c>
      <c r="I6852">
        <v>0.20571548631615</v>
      </c>
      <c r="J6852">
        <v>0.227955982944826</v>
      </c>
      <c r="K6852">
        <v>0.273760614149827</v>
      </c>
      <c r="L6852">
        <v>967.92377314805196</v>
      </c>
      <c r="M6852">
        <v>19.176906378601299</v>
      </c>
      <c r="N6852">
        <v>51.963505372254097</v>
      </c>
      <c r="O6852">
        <v>49.934162930404199</v>
      </c>
      <c r="P6852">
        <v>-7.5707495776008396E-2</v>
      </c>
      <c r="Q6852">
        <v>0.21150052296521701</v>
      </c>
      <c r="R6852">
        <v>0.98759623125024598</v>
      </c>
      <c r="S6852" t="s">
        <v>13855</v>
      </c>
      <c r="T6852" t="s">
        <v>14004</v>
      </c>
      <c r="U6852" t="s">
        <v>14004</v>
      </c>
      <c r="V6852" t="s">
        <v>14004</v>
      </c>
      <c r="W6852" t="s">
        <v>20794</v>
      </c>
      <c r="X6852">
        <v>5</v>
      </c>
      <c r="Y6852" t="s">
        <v>27567</v>
      </c>
      <c r="Z6852" t="s">
        <v>34562</v>
      </c>
      <c r="AA6852">
        <v>0.49864882697897078</v>
      </c>
      <c r="AB6852" t="str">
        <f>HYPERLINK("Melting_Curves/meltCurve_Q9Y3E2_BOLA1.pdf", "Melting_Curves/meltCurve_Q9Y3E2_BOLA1.pdf")</f>
        <v>Melting_Curves/meltCurve_Q9Y3E2_BOLA1.pdf</v>
      </c>
    </row>
    <row r="6853" spans="1:28" x14ac:dyDescent="0.25">
      <c r="A6853" t="s">
        <v>6857</v>
      </c>
      <c r="B6853">
        <v>0.99999676499088797</v>
      </c>
      <c r="C6853">
        <v>1.07390633798777</v>
      </c>
      <c r="D6853">
        <v>0.99913367244004903</v>
      </c>
      <c r="E6853">
        <v>0.72090576361929304</v>
      </c>
      <c r="F6853">
        <v>0.29071767600466702</v>
      </c>
      <c r="G6853">
        <v>0.134523427860301</v>
      </c>
      <c r="H6853">
        <v>5.58363533757745E-2</v>
      </c>
      <c r="I6853">
        <v>0.106203688680543</v>
      </c>
      <c r="J6853">
        <v>9.7317928862778194E-2</v>
      </c>
      <c r="K6853">
        <v>5.3910416500948903E-2</v>
      </c>
      <c r="L6853">
        <v>1568.8032502006999</v>
      </c>
      <c r="M6853">
        <v>30.734454314805699</v>
      </c>
      <c r="N6853">
        <v>51.335483726629398</v>
      </c>
      <c r="O6853">
        <v>50.829161940498899</v>
      </c>
      <c r="P6853">
        <v>-0.13905533845043799</v>
      </c>
      <c r="Q6853">
        <v>8.0117132081755596E-2</v>
      </c>
      <c r="R6853">
        <v>0.99446057527124598</v>
      </c>
      <c r="S6853" t="s">
        <v>13856</v>
      </c>
      <c r="T6853" t="s">
        <v>14004</v>
      </c>
      <c r="U6853" t="s">
        <v>14004</v>
      </c>
      <c r="V6853" t="s">
        <v>14004</v>
      </c>
      <c r="W6853" t="s">
        <v>20795</v>
      </c>
      <c r="X6853">
        <v>4</v>
      </c>
      <c r="Y6853" t="s">
        <v>27568</v>
      </c>
      <c r="Z6853" t="s">
        <v>34563</v>
      </c>
      <c r="AA6853">
        <v>0.42426454673726322</v>
      </c>
      <c r="AB6853" t="str">
        <f>HYPERLINK("Melting_Curves/meltCurve_Q9Y3E7_4_CHMP3.pdf", "Melting_Curves/meltCurve_Q9Y3E7_4_CHMP3.pdf")</f>
        <v>Melting_Curves/meltCurve_Q9Y3E7_4_CHMP3.pdf</v>
      </c>
    </row>
    <row r="6854" spans="1:28" x14ac:dyDescent="0.25">
      <c r="A6854" t="s">
        <v>6858</v>
      </c>
      <c r="B6854">
        <v>0.99999676499088797</v>
      </c>
      <c r="C6854">
        <v>0.99108620969250105</v>
      </c>
      <c r="D6854">
        <v>0.77502194753148501</v>
      </c>
      <c r="E6854">
        <v>0.64676275324645305</v>
      </c>
      <c r="F6854">
        <v>0.73544318775222395</v>
      </c>
      <c r="G6854">
        <v>0.63809267122429902</v>
      </c>
      <c r="H6854">
        <v>0.33274481695882402</v>
      </c>
      <c r="I6854">
        <v>0.154053180087696</v>
      </c>
      <c r="J6854">
        <v>0.117001538699033</v>
      </c>
      <c r="K6854">
        <v>0.1098155053007</v>
      </c>
      <c r="L6854">
        <v>537.57553994999705</v>
      </c>
      <c r="M6854">
        <v>9.5349385621334797</v>
      </c>
      <c r="N6854">
        <v>56.379524617221001</v>
      </c>
      <c r="O6854">
        <v>54.066810756446401</v>
      </c>
      <c r="P6854">
        <v>-4.4114403193256102E-2</v>
      </c>
      <c r="Q6854">
        <v>0</v>
      </c>
      <c r="R6854">
        <v>0.92437769176761797</v>
      </c>
      <c r="S6854" t="s">
        <v>13857</v>
      </c>
      <c r="T6854" t="s">
        <v>14004</v>
      </c>
      <c r="U6854" t="s">
        <v>14004</v>
      </c>
      <c r="V6854" t="s">
        <v>14004</v>
      </c>
      <c r="W6854" t="s">
        <v>20796</v>
      </c>
      <c r="X6854">
        <v>21</v>
      </c>
      <c r="Y6854" t="s">
        <v>27569</v>
      </c>
      <c r="Z6854" t="s">
        <v>34564</v>
      </c>
      <c r="AA6854">
        <v>0.56487703429231073</v>
      </c>
      <c r="AB6854" t="str">
        <f>HYPERLINK("Melting_Curves/meltCurve_Q9Y3F4_STRAP.pdf", "Melting_Curves/meltCurve_Q9Y3F4_STRAP.pdf")</f>
        <v>Melting_Curves/meltCurve_Q9Y3F4_STRAP.pdf</v>
      </c>
    </row>
    <row r="6855" spans="1:28" x14ac:dyDescent="0.25">
      <c r="A6855" t="s">
        <v>6859</v>
      </c>
      <c r="B6855">
        <v>0.99999676499088797</v>
      </c>
      <c r="C6855">
        <v>1.05649472146947</v>
      </c>
      <c r="D6855">
        <v>1.0029468590989099</v>
      </c>
      <c r="E6855">
        <v>1.0173803183468499</v>
      </c>
      <c r="F6855">
        <v>0.80970150310420297</v>
      </c>
      <c r="G6855">
        <v>0.57021510908375606</v>
      </c>
      <c r="H6855">
        <v>0.17649105846823401</v>
      </c>
      <c r="I6855">
        <v>0.103072993800498</v>
      </c>
      <c r="J6855">
        <v>8.8804257881731699E-2</v>
      </c>
      <c r="K6855">
        <v>7.2612207959037306E-2</v>
      </c>
      <c r="L6855">
        <v>1438.9313576222</v>
      </c>
      <c r="M6855">
        <v>25.317894141255898</v>
      </c>
      <c r="N6855">
        <v>57.106967646234899</v>
      </c>
      <c r="O6855">
        <v>56.483540261939901</v>
      </c>
      <c r="P6855">
        <v>-0.105686019593891</v>
      </c>
      <c r="Q6855">
        <v>5.6881403395971399E-2</v>
      </c>
      <c r="R6855">
        <v>0.99419725535191406</v>
      </c>
      <c r="S6855" t="s">
        <v>13858</v>
      </c>
      <c r="T6855" t="s">
        <v>14004</v>
      </c>
      <c r="U6855" t="s">
        <v>14004</v>
      </c>
      <c r="V6855" t="s">
        <v>14004</v>
      </c>
      <c r="W6855" t="s">
        <v>20797</v>
      </c>
      <c r="X6855">
        <v>34</v>
      </c>
      <c r="Y6855" t="s">
        <v>27570</v>
      </c>
      <c r="Z6855" t="s">
        <v>34565</v>
      </c>
      <c r="AA6855">
        <v>0.59447681829407728</v>
      </c>
      <c r="AB6855" t="str">
        <f>HYPERLINK("Melting_Curves/meltCurve_Q9Y3I0_C22orf28.pdf", "Melting_Curves/meltCurve_Q9Y3I0_C22orf28.pdf")</f>
        <v>Melting_Curves/meltCurve_Q9Y3I0_C22orf28.pdf</v>
      </c>
    </row>
    <row r="6856" spans="1:28" x14ac:dyDescent="0.25">
      <c r="A6856" t="s">
        <v>6860</v>
      </c>
      <c r="B6856">
        <v>0.99999676499088797</v>
      </c>
      <c r="C6856">
        <v>0.76159312299366</v>
      </c>
      <c r="D6856">
        <v>0.71278135532955</v>
      </c>
      <c r="E6856">
        <v>0.65131927657573097</v>
      </c>
      <c r="F6856">
        <v>0.51204303745637603</v>
      </c>
      <c r="G6856">
        <v>0.29923631571257098</v>
      </c>
      <c r="H6856">
        <v>9.8595827868632704E-2</v>
      </c>
      <c r="I6856">
        <v>6.5519127320270806E-2</v>
      </c>
      <c r="J6856">
        <v>6.3863990603977502E-2</v>
      </c>
      <c r="K6856">
        <v>6.2466288841925399E-2</v>
      </c>
      <c r="L6856">
        <v>517.24082510178096</v>
      </c>
      <c r="M6856">
        <v>10.0443267254409</v>
      </c>
      <c r="N6856">
        <v>51.495804618823399</v>
      </c>
      <c r="O6856">
        <v>49.579542038885698</v>
      </c>
      <c r="P6856">
        <v>-5.06717590743948E-2</v>
      </c>
      <c r="Q6856">
        <v>0</v>
      </c>
      <c r="R6856">
        <v>0.96138656412928103</v>
      </c>
      <c r="S6856" t="s">
        <v>13859</v>
      </c>
      <c r="T6856" t="s">
        <v>14004</v>
      </c>
      <c r="U6856" t="s">
        <v>14004</v>
      </c>
      <c r="V6856" t="s">
        <v>14004</v>
      </c>
      <c r="W6856" t="s">
        <v>20798</v>
      </c>
      <c r="X6856">
        <v>2</v>
      </c>
      <c r="Y6856" t="s">
        <v>27571</v>
      </c>
      <c r="Z6856" t="s">
        <v>34566</v>
      </c>
      <c r="AA6856">
        <v>0.42279267416231869</v>
      </c>
      <c r="AB6856" t="str">
        <f>HYPERLINK("Melting_Curves/meltCurve_Q9Y3I1_3_FBXO7.pdf", "Melting_Curves/meltCurve_Q9Y3I1_3_FBXO7.pdf")</f>
        <v>Melting_Curves/meltCurve_Q9Y3I1_3_FBXO7.pdf</v>
      </c>
    </row>
    <row r="6857" spans="1:28" x14ac:dyDescent="0.25">
      <c r="A6857" t="s">
        <v>6861</v>
      </c>
      <c r="B6857">
        <v>0.99999676499088797</v>
      </c>
      <c r="C6857">
        <v>0.94136661716418002</v>
      </c>
      <c r="D6857">
        <v>0.83361595739146299</v>
      </c>
      <c r="E6857">
        <v>0.56912143026303696</v>
      </c>
      <c r="F6857">
        <v>0.24429803641140499</v>
      </c>
      <c r="G6857">
        <v>0.118872778587338</v>
      </c>
      <c r="H6857">
        <v>6.9033071636887697E-2</v>
      </c>
      <c r="I6857">
        <v>6.1427239842171001E-2</v>
      </c>
      <c r="J6857">
        <v>4.7713464439313603E-2</v>
      </c>
      <c r="K6857">
        <v>4.6721819449485197E-2</v>
      </c>
      <c r="L6857">
        <v>970.06267708658595</v>
      </c>
      <c r="M6857">
        <v>19.445482227270801</v>
      </c>
      <c r="N6857">
        <v>50.106957391867802</v>
      </c>
      <c r="O6857">
        <v>49.367682051651599</v>
      </c>
      <c r="P6857">
        <v>-9.4434989077406495E-2</v>
      </c>
      <c r="Q6857">
        <v>4.1038707245141998E-2</v>
      </c>
      <c r="R6857">
        <v>0.99902621048129903</v>
      </c>
      <c r="S6857" t="s">
        <v>13860</v>
      </c>
      <c r="T6857" t="s">
        <v>14004</v>
      </c>
      <c r="U6857" t="s">
        <v>14004</v>
      </c>
      <c r="V6857" t="s">
        <v>14004</v>
      </c>
      <c r="W6857" t="s">
        <v>18313</v>
      </c>
      <c r="X6857">
        <v>9</v>
      </c>
      <c r="Y6857" t="s">
        <v>25127</v>
      </c>
      <c r="Z6857" t="s">
        <v>34567</v>
      </c>
      <c r="AA6857">
        <v>0.37116768847009229</v>
      </c>
      <c r="AB6857" t="str">
        <f>HYPERLINK("Melting_Curves/meltCurve_Q9Y3L3_SH3BP1.pdf", "Melting_Curves/meltCurve_Q9Y3L3_SH3BP1.pdf")</f>
        <v>Melting_Curves/meltCurve_Q9Y3L3_SH3BP1.pdf</v>
      </c>
    </row>
    <row r="6858" spans="1:28" x14ac:dyDescent="0.25">
      <c r="A6858" t="s">
        <v>6862</v>
      </c>
      <c r="B6858">
        <v>0.99999676499088797</v>
      </c>
      <c r="C6858">
        <v>0.91885574246651502</v>
      </c>
      <c r="D6858">
        <v>0.91805289212252805</v>
      </c>
      <c r="E6858">
        <v>0.87511763053346803</v>
      </c>
      <c r="F6858">
        <v>0.88374374818743695</v>
      </c>
      <c r="G6858">
        <v>0.774359572834879</v>
      </c>
      <c r="H6858">
        <v>0.56099558288821405</v>
      </c>
      <c r="I6858">
        <v>0.44082134249863397</v>
      </c>
      <c r="J6858">
        <v>0.33559246377014201</v>
      </c>
      <c r="K6858">
        <v>0.30169879189272902</v>
      </c>
      <c r="L6858">
        <v>578.29226735273505</v>
      </c>
      <c r="M6858">
        <v>9.20166723141147</v>
      </c>
      <c r="N6858">
        <v>62.8464534615958</v>
      </c>
      <c r="O6858">
        <v>60.091908796508598</v>
      </c>
      <c r="P6858">
        <v>-3.8307198170999E-2</v>
      </c>
      <c r="Q6858">
        <v>0</v>
      </c>
      <c r="R6858">
        <v>0.97692386480157301</v>
      </c>
      <c r="S6858" t="s">
        <v>13861</v>
      </c>
      <c r="T6858" t="s">
        <v>14004</v>
      </c>
      <c r="U6858" t="s">
        <v>14004</v>
      </c>
      <c r="V6858" t="s">
        <v>14004</v>
      </c>
      <c r="W6858" t="s">
        <v>20799</v>
      </c>
      <c r="X6858">
        <v>7</v>
      </c>
      <c r="Y6858" t="s">
        <v>27572</v>
      </c>
      <c r="Z6858" t="s">
        <v>34568</v>
      </c>
      <c r="AA6858">
        <v>0.72591056112769436</v>
      </c>
      <c r="AB6858" t="str">
        <f>HYPERLINK("Melting_Curves/meltCurve_Q9Y3L5_RAP2C.pdf", "Melting_Curves/meltCurve_Q9Y3L5_RAP2C.pdf")</f>
        <v>Melting_Curves/meltCurve_Q9Y3L5_RAP2C.pdf</v>
      </c>
    </row>
    <row r="6859" spans="1:28" x14ac:dyDescent="0.25">
      <c r="A6859" t="s">
        <v>6863</v>
      </c>
      <c r="B6859">
        <v>0.99999676499088797</v>
      </c>
      <c r="C6859">
        <v>1.0310187258660399</v>
      </c>
      <c r="D6859">
        <v>1.12078678952455</v>
      </c>
      <c r="E6859">
        <v>1.0418018297702201</v>
      </c>
      <c r="F6859">
        <v>0.95288905921531897</v>
      </c>
      <c r="G6859">
        <v>0.87520381202338604</v>
      </c>
      <c r="H6859">
        <v>0.56549883472263696</v>
      </c>
      <c r="I6859">
        <v>0.58811248093566304</v>
      </c>
      <c r="J6859">
        <v>0.53902390495103802</v>
      </c>
      <c r="K6859">
        <v>0.56557662177186996</v>
      </c>
      <c r="L6859">
        <v>3765.0702902005701</v>
      </c>
      <c r="M6859">
        <v>65.3873891305455</v>
      </c>
      <c r="O6859">
        <v>57.527197242190802</v>
      </c>
      <c r="P6859">
        <v>-0.124685410092418</v>
      </c>
      <c r="Q6859">
        <v>0.56121201002913501</v>
      </c>
      <c r="R6859">
        <v>0.95865792897723501</v>
      </c>
      <c r="S6859" t="s">
        <v>13862</v>
      </c>
      <c r="T6859" t="s">
        <v>14004</v>
      </c>
      <c r="U6859" t="s">
        <v>14004</v>
      </c>
      <c r="V6859" t="s">
        <v>14004</v>
      </c>
      <c r="W6859" t="s">
        <v>20800</v>
      </c>
      <c r="X6859">
        <v>7</v>
      </c>
      <c r="Y6859" t="s">
        <v>27573</v>
      </c>
      <c r="Z6859" t="s">
        <v>34569</v>
      </c>
      <c r="AA6859">
        <v>0.81900615338957572</v>
      </c>
      <c r="AB6859" t="str">
        <f>HYPERLINK("Melting_Curves/meltCurve_Q9Y3P8_SIT1.pdf", "Melting_Curves/meltCurve_Q9Y3P8_SIT1.pdf")</f>
        <v>Melting_Curves/meltCurve_Q9Y3P8_SIT1.pdf</v>
      </c>
    </row>
    <row r="6860" spans="1:28" x14ac:dyDescent="0.25">
      <c r="A6860" t="s">
        <v>6864</v>
      </c>
      <c r="B6860">
        <v>0.99999676499088797</v>
      </c>
      <c r="C6860">
        <v>0.96414764124567998</v>
      </c>
      <c r="D6860">
        <v>0.93677921875373005</v>
      </c>
      <c r="E6860">
        <v>0.64163100466254996</v>
      </c>
      <c r="F6860">
        <v>0.28019560900872298</v>
      </c>
      <c r="G6860">
        <v>0.18104267105874799</v>
      </c>
      <c r="H6860">
        <v>0.10458256499853399</v>
      </c>
      <c r="I6860">
        <v>0.102204112014357</v>
      </c>
      <c r="J6860">
        <v>9.4910195297363595E-2</v>
      </c>
      <c r="K6860">
        <v>9.2042811148667997E-2</v>
      </c>
      <c r="L6860">
        <v>1244.9445270675301</v>
      </c>
      <c r="M6860">
        <v>24.683444676957301</v>
      </c>
      <c r="N6860">
        <v>50.885200792764103</v>
      </c>
      <c r="O6860">
        <v>50.108872549467698</v>
      </c>
      <c r="P6860">
        <v>-0.111104924317214</v>
      </c>
      <c r="Q6860">
        <v>9.7814171137801595E-2</v>
      </c>
      <c r="R6860">
        <v>0.99864632280467502</v>
      </c>
      <c r="S6860" t="s">
        <v>13863</v>
      </c>
      <c r="T6860" t="s">
        <v>14004</v>
      </c>
      <c r="U6860" t="s">
        <v>14004</v>
      </c>
      <c r="V6860" t="s">
        <v>14004</v>
      </c>
      <c r="W6860" t="s">
        <v>20801</v>
      </c>
      <c r="X6860">
        <v>29</v>
      </c>
      <c r="Y6860" t="s">
        <v>27574</v>
      </c>
      <c r="Z6860" t="s">
        <v>34570</v>
      </c>
      <c r="AA6860">
        <v>0.419975643507289</v>
      </c>
      <c r="AB6860" t="str">
        <f>HYPERLINK("Melting_Curves/meltCurve_Q9Y3P9_RABGAP1.pdf", "Melting_Curves/meltCurve_Q9Y3P9_RABGAP1.pdf")</f>
        <v>Melting_Curves/meltCurve_Q9Y3P9_RABGAP1.pdf</v>
      </c>
    </row>
    <row r="6861" spans="1:28" x14ac:dyDescent="0.25">
      <c r="A6861" t="s">
        <v>6865</v>
      </c>
      <c r="B6861">
        <v>0.99999676499088797</v>
      </c>
      <c r="C6861">
        <v>1.21282416437023</v>
      </c>
      <c r="D6861">
        <v>1.15991589996735</v>
      </c>
      <c r="E6861">
        <v>1.01766913492856</v>
      </c>
      <c r="F6861">
        <v>0.48505974729781998</v>
      </c>
      <c r="G6861">
        <v>0.29289293360128599</v>
      </c>
      <c r="H6861">
        <v>0.176060231630433</v>
      </c>
      <c r="I6861">
        <v>0.16399465643844399</v>
      </c>
      <c r="J6861">
        <v>0.14044727148292699</v>
      </c>
      <c r="K6861">
        <v>0.12247347347229701</v>
      </c>
      <c r="L6861">
        <v>2524.3679047652899</v>
      </c>
      <c r="M6861">
        <v>47.828729513958599</v>
      </c>
      <c r="N6861">
        <v>53.243867399930203</v>
      </c>
      <c r="O6861">
        <v>52.6872944700172</v>
      </c>
      <c r="P6861">
        <v>-0.18823210515517699</v>
      </c>
      <c r="Q6861">
        <v>0.17058790918399699</v>
      </c>
      <c r="R6861">
        <v>0.95506466516838195</v>
      </c>
      <c r="S6861" t="s">
        <v>13864</v>
      </c>
      <c r="T6861" t="s">
        <v>14004</v>
      </c>
      <c r="U6861" t="s">
        <v>14004</v>
      </c>
      <c r="V6861" t="s">
        <v>14004</v>
      </c>
      <c r="W6861" t="s">
        <v>20802</v>
      </c>
      <c r="X6861">
        <v>6</v>
      </c>
      <c r="Y6861" t="s">
        <v>27575</v>
      </c>
      <c r="Z6861" t="s">
        <v>34571</v>
      </c>
      <c r="AA6861">
        <v>0.52600964669063199</v>
      </c>
      <c r="AB6861" t="str">
        <f>HYPERLINK("Melting_Curves/meltCurve_Q9Y3Q3_TMED3.pdf", "Melting_Curves/meltCurve_Q9Y3Q3_TMED3.pdf")</f>
        <v>Melting_Curves/meltCurve_Q9Y3Q3_TMED3.pdf</v>
      </c>
    </row>
    <row r="6862" spans="1:28" x14ac:dyDescent="0.25">
      <c r="A6862" t="s">
        <v>6866</v>
      </c>
      <c r="B6862">
        <v>0.99999676499088797</v>
      </c>
      <c r="C6862">
        <v>0.99893071236160202</v>
      </c>
      <c r="D6862">
        <v>0.92063934859040097</v>
      </c>
      <c r="E6862">
        <v>0.66947401897997805</v>
      </c>
      <c r="F6862">
        <v>0.34142952346837602</v>
      </c>
      <c r="G6862">
        <v>0.23864611350131801</v>
      </c>
      <c r="H6862">
        <v>0.15085924634986</v>
      </c>
      <c r="I6862">
        <v>0.12946337553465501</v>
      </c>
      <c r="J6862">
        <v>0.14244576185632099</v>
      </c>
      <c r="K6862">
        <v>0.16876426363105199</v>
      </c>
      <c r="L6862">
        <v>1163.41970510239</v>
      </c>
      <c r="M6862">
        <v>23.004228230158201</v>
      </c>
      <c r="N6862">
        <v>51.3423556735899</v>
      </c>
      <c r="O6862">
        <v>50.196642428086598</v>
      </c>
      <c r="P6862">
        <v>-9.7890531018419893E-2</v>
      </c>
      <c r="Q6862">
        <v>0.14560332033440801</v>
      </c>
      <c r="R6862">
        <v>0.99816552610765896</v>
      </c>
      <c r="S6862" t="s">
        <v>13865</v>
      </c>
      <c r="T6862" t="s">
        <v>14004</v>
      </c>
      <c r="U6862" t="s">
        <v>14004</v>
      </c>
      <c r="V6862" t="s">
        <v>14004</v>
      </c>
      <c r="W6862" t="s">
        <v>20803</v>
      </c>
      <c r="X6862">
        <v>10</v>
      </c>
      <c r="Y6862" t="s">
        <v>27576</v>
      </c>
      <c r="Z6862" t="s">
        <v>34572</v>
      </c>
      <c r="AA6862">
        <v>0.45580925007206269</v>
      </c>
      <c r="AB6862" t="str">
        <f>HYPERLINK("Melting_Curves/meltCurve_Q9Y3Q8_TSC22D4.pdf", "Melting_Curves/meltCurve_Q9Y3Q8_TSC22D4.pdf")</f>
        <v>Melting_Curves/meltCurve_Q9Y3Q8_TSC22D4.pdf</v>
      </c>
    </row>
    <row r="6863" spans="1:28" x14ac:dyDescent="0.25">
      <c r="A6863" t="s">
        <v>6867</v>
      </c>
      <c r="B6863">
        <v>0.99999676499088797</v>
      </c>
      <c r="C6863">
        <v>0.91024902721018497</v>
      </c>
      <c r="D6863">
        <v>0.92794906559652601</v>
      </c>
      <c r="E6863">
        <v>1.18044952734214</v>
      </c>
      <c r="F6863">
        <v>0.51030893647613595</v>
      </c>
      <c r="G6863">
        <v>0.323375036137662</v>
      </c>
      <c r="H6863">
        <v>0.109328012611351</v>
      </c>
      <c r="I6863">
        <v>7.0331593137081497E-2</v>
      </c>
      <c r="J6863">
        <v>7.9947724708460899E-2</v>
      </c>
      <c r="K6863">
        <v>8.0857009656233506E-2</v>
      </c>
      <c r="L6863">
        <v>2069.7507364316498</v>
      </c>
      <c r="M6863">
        <v>38.716388992593401</v>
      </c>
      <c r="N6863">
        <v>53.790294742833197</v>
      </c>
      <c r="O6863">
        <v>53.317266040897003</v>
      </c>
      <c r="P6863">
        <v>-0.162295875402935</v>
      </c>
      <c r="Q6863">
        <v>0.105995971292961</v>
      </c>
      <c r="R6863">
        <v>0.94927219480431102</v>
      </c>
      <c r="S6863" t="s">
        <v>13866</v>
      </c>
      <c r="T6863" t="s">
        <v>14004</v>
      </c>
      <c r="U6863" t="s">
        <v>14004</v>
      </c>
      <c r="V6863" t="s">
        <v>14004</v>
      </c>
      <c r="W6863" t="s">
        <v>20804</v>
      </c>
      <c r="X6863">
        <v>2</v>
      </c>
      <c r="Y6863" t="s">
        <v>27577</v>
      </c>
      <c r="Z6863" t="s">
        <v>34573</v>
      </c>
      <c r="AA6863">
        <v>0.51060605327254804</v>
      </c>
      <c r="AB6863" t="str">
        <f>HYPERLINK("Melting_Curves/meltCurve_Q9Y3R5_2_DOPEY2.pdf", "Melting_Curves/meltCurve_Q9Y3R5_2_DOPEY2.pdf")</f>
        <v>Melting_Curves/meltCurve_Q9Y3R5_2_DOPEY2.pdf</v>
      </c>
    </row>
    <row r="6864" spans="1:28" x14ac:dyDescent="0.25">
      <c r="A6864" t="s">
        <v>6868</v>
      </c>
      <c r="B6864">
        <v>0.99999676499088797</v>
      </c>
      <c r="C6864">
        <v>1.0554511822474499</v>
      </c>
      <c r="D6864">
        <v>0.89320930447505598</v>
      </c>
      <c r="E6864">
        <v>0.64876579405038803</v>
      </c>
      <c r="F6864">
        <v>0.47206838619631902</v>
      </c>
      <c r="G6864">
        <v>0.47289230370258101</v>
      </c>
      <c r="H6864">
        <v>0.31037172505538801</v>
      </c>
      <c r="I6864">
        <v>0.29810139413737902</v>
      </c>
      <c r="J6864">
        <v>0.28051234324713697</v>
      </c>
      <c r="K6864">
        <v>0.269247391050915</v>
      </c>
      <c r="L6864">
        <v>854.23346033794496</v>
      </c>
      <c r="M6864">
        <v>16.9413771939508</v>
      </c>
      <c r="N6864">
        <v>53.068542117112798</v>
      </c>
      <c r="O6864">
        <v>49.736080974064201</v>
      </c>
      <c r="P6864">
        <v>-6.0879443608302698E-2</v>
      </c>
      <c r="Q6864">
        <v>0.28513140193620601</v>
      </c>
      <c r="R6864">
        <v>0.97615470100730695</v>
      </c>
      <c r="S6864" t="s">
        <v>13867</v>
      </c>
      <c r="T6864" t="s">
        <v>14004</v>
      </c>
      <c r="U6864" t="s">
        <v>14004</v>
      </c>
      <c r="V6864" t="s">
        <v>14004</v>
      </c>
      <c r="W6864" t="s">
        <v>20805</v>
      </c>
      <c r="X6864">
        <v>12</v>
      </c>
      <c r="Y6864" t="s">
        <v>27578</v>
      </c>
      <c r="Z6864" t="s">
        <v>34574</v>
      </c>
      <c r="AA6864">
        <v>0.54705503007166489</v>
      </c>
      <c r="AB6864" t="str">
        <f>HYPERLINK("Melting_Curves/meltCurve_Q9Y3S2_ZNF330.pdf", "Melting_Curves/meltCurve_Q9Y3S2_ZNF330.pdf")</f>
        <v>Melting_Curves/meltCurve_Q9Y3S2_ZNF330.pdf</v>
      </c>
    </row>
    <row r="6865" spans="1:28" x14ac:dyDescent="0.25">
      <c r="A6865" t="s">
        <v>6869</v>
      </c>
      <c r="B6865">
        <v>0.99999676499088797</v>
      </c>
      <c r="C6865">
        <v>1.0028768251406199</v>
      </c>
      <c r="D6865">
        <v>1.07264682770533</v>
      </c>
      <c r="E6865">
        <v>0.55977763163294902</v>
      </c>
      <c r="F6865">
        <v>0.25696180386816703</v>
      </c>
      <c r="G6865">
        <v>0.167671337073871</v>
      </c>
      <c r="H6865">
        <v>9.8463939294368696E-2</v>
      </c>
      <c r="I6865">
        <v>0.11276139846142499</v>
      </c>
      <c r="J6865">
        <v>0.117616479465562</v>
      </c>
      <c r="K6865">
        <v>0.100860841519153</v>
      </c>
      <c r="L6865">
        <v>1905.6181233372099</v>
      </c>
      <c r="M6865">
        <v>38.269790176237798</v>
      </c>
      <c r="N6865">
        <v>50.176603045587001</v>
      </c>
      <c r="O6865">
        <v>49.658938925208901</v>
      </c>
      <c r="P6865">
        <v>-0.16830051351668701</v>
      </c>
      <c r="Q6865">
        <v>0.126454148996826</v>
      </c>
      <c r="R6865">
        <v>0.98766114245105296</v>
      </c>
      <c r="S6865" t="s">
        <v>13868</v>
      </c>
      <c r="T6865" t="s">
        <v>14004</v>
      </c>
      <c r="U6865" t="s">
        <v>14004</v>
      </c>
      <c r="V6865" t="s">
        <v>14004</v>
      </c>
      <c r="W6865" t="s">
        <v>20806</v>
      </c>
      <c r="X6865">
        <v>12</v>
      </c>
      <c r="Y6865" t="s">
        <v>27579</v>
      </c>
      <c r="Z6865" t="s">
        <v>34575</v>
      </c>
      <c r="AA6865">
        <v>0.41493609035915779</v>
      </c>
      <c r="AB6865" t="str">
        <f>HYPERLINK("Melting_Curves/meltCurve_Q9Y3T9_NOC2L.pdf", "Melting_Curves/meltCurve_Q9Y3T9_NOC2L.pdf")</f>
        <v>Melting_Curves/meltCurve_Q9Y3T9_NOC2L.pdf</v>
      </c>
    </row>
    <row r="6866" spans="1:28" x14ac:dyDescent="0.25">
      <c r="A6866" t="s">
        <v>6870</v>
      </c>
      <c r="B6866">
        <v>0.99999676499088797</v>
      </c>
      <c r="C6866">
        <v>0.82225359548020804</v>
      </c>
      <c r="D6866">
        <v>0.81670060797800303</v>
      </c>
      <c r="E6866">
        <v>1.01877342380659</v>
      </c>
      <c r="F6866">
        <v>1.18356703209475</v>
      </c>
      <c r="G6866">
        <v>1.34380900349484</v>
      </c>
      <c r="H6866">
        <v>0.72175008495890502</v>
      </c>
      <c r="I6866">
        <v>0.622660880079691</v>
      </c>
      <c r="J6866">
        <v>0.485075126013854</v>
      </c>
      <c r="K6866">
        <v>0.51108097083897797</v>
      </c>
      <c r="L6866">
        <v>7753.2911167595903</v>
      </c>
      <c r="M6866">
        <v>127.93724082659401</v>
      </c>
      <c r="O6866">
        <v>60.5874793376898</v>
      </c>
      <c r="P6866">
        <v>-0.24320915688564501</v>
      </c>
      <c r="Q6866">
        <v>0.53929180994383197</v>
      </c>
      <c r="R6866">
        <v>0.68496862838545103</v>
      </c>
      <c r="S6866" t="s">
        <v>13869</v>
      </c>
      <c r="T6866" t="s">
        <v>14004</v>
      </c>
      <c r="U6866" t="s">
        <v>14004</v>
      </c>
      <c r="V6866" t="s">
        <v>14004</v>
      </c>
      <c r="W6866" t="s">
        <v>20807</v>
      </c>
      <c r="X6866">
        <v>4</v>
      </c>
      <c r="Y6866" t="s">
        <v>27580</v>
      </c>
      <c r="Z6866" t="s">
        <v>34576</v>
      </c>
      <c r="AA6866">
        <v>0.8558673128663411</v>
      </c>
      <c r="AB6866" t="str">
        <f>HYPERLINK("Melting_Curves/meltCurve_Q9Y3U8_RPL36.pdf", "Melting_Curves/meltCurve_Q9Y3U8_RPL36.pdf")</f>
        <v>Melting_Curves/meltCurve_Q9Y3U8_RPL36.pdf</v>
      </c>
    </row>
    <row r="6867" spans="1:28" x14ac:dyDescent="0.25">
      <c r="A6867" t="s">
        <v>6871</v>
      </c>
      <c r="B6867">
        <v>0.99999676499088797</v>
      </c>
      <c r="C6867">
        <v>1.0561872458760699</v>
      </c>
      <c r="D6867">
        <v>0.81536862436741397</v>
      </c>
      <c r="E6867">
        <v>0.59873487987289398</v>
      </c>
      <c r="F6867">
        <v>0.48000686300537299</v>
      </c>
      <c r="G6867">
        <v>0.47142170692648</v>
      </c>
      <c r="H6867">
        <v>0.256663524151863</v>
      </c>
      <c r="I6867">
        <v>0.24470530306450999</v>
      </c>
      <c r="J6867">
        <v>0.17236818783920599</v>
      </c>
      <c r="K6867">
        <v>0.17988422266610701</v>
      </c>
      <c r="L6867">
        <v>613.91196513579905</v>
      </c>
      <c r="M6867">
        <v>11.9051924340553</v>
      </c>
      <c r="N6867">
        <v>53.225622258064902</v>
      </c>
      <c r="O6867">
        <v>50.1763861904534</v>
      </c>
      <c r="P6867">
        <v>-5.0135433799799498E-2</v>
      </c>
      <c r="Q6867">
        <v>0.15499425817958601</v>
      </c>
      <c r="R6867">
        <v>0.96372870860750803</v>
      </c>
      <c r="S6867" t="s">
        <v>13870</v>
      </c>
      <c r="T6867" t="s">
        <v>14004</v>
      </c>
      <c r="U6867" t="s">
        <v>14004</v>
      </c>
      <c r="V6867" t="s">
        <v>14004</v>
      </c>
      <c r="W6867" t="s">
        <v>20808</v>
      </c>
      <c r="X6867">
        <v>1</v>
      </c>
      <c r="Y6867" t="s">
        <v>27581</v>
      </c>
      <c r="Z6867" t="s">
        <v>34577</v>
      </c>
      <c r="AA6867">
        <v>0.50768207922663455</v>
      </c>
      <c r="AB6867" t="str">
        <f>HYPERLINK("Melting_Curves/meltCurve_Q9Y3V2_2_RWDD3.pdf", "Melting_Curves/meltCurve_Q9Y3V2_2_RWDD3.pdf")</f>
        <v>Melting_Curves/meltCurve_Q9Y3V2_2_RWDD3.pdf</v>
      </c>
    </row>
    <row r="6868" spans="1:28" x14ac:dyDescent="0.25">
      <c r="A6868" t="s">
        <v>6872</v>
      </c>
      <c r="B6868">
        <v>0.99999676499088797</v>
      </c>
      <c r="C6868">
        <v>0.98817303017674696</v>
      </c>
      <c r="D6868">
        <v>0.95305196659633495</v>
      </c>
      <c r="E6868">
        <v>0.88052241966168499</v>
      </c>
      <c r="F6868">
        <v>0.78886901081974004</v>
      </c>
      <c r="G6868">
        <v>0.98907254013676804</v>
      </c>
      <c r="H6868">
        <v>0.905019723246137</v>
      </c>
      <c r="I6868">
        <v>1.17349385934099</v>
      </c>
      <c r="J6868">
        <v>1.13358432178594</v>
      </c>
      <c r="K6868">
        <v>1.3995741940252</v>
      </c>
      <c r="L6868">
        <v>2151.2016533695701</v>
      </c>
      <c r="M6868">
        <v>31.692898967510502</v>
      </c>
      <c r="O6868">
        <v>67.607931002739704</v>
      </c>
      <c r="P6868">
        <v>5.8597165847355602E-2</v>
      </c>
      <c r="Q6868">
        <v>1.5</v>
      </c>
      <c r="R6868">
        <v>0.66597843886709596</v>
      </c>
      <c r="S6868" t="s">
        <v>13871</v>
      </c>
      <c r="T6868" t="s">
        <v>14004</v>
      </c>
      <c r="U6868" t="s">
        <v>14004</v>
      </c>
      <c r="V6868" t="s">
        <v>14004</v>
      </c>
      <c r="W6868" t="s">
        <v>20809</v>
      </c>
      <c r="X6868">
        <v>12</v>
      </c>
      <c r="Y6868" t="s">
        <v>27582</v>
      </c>
      <c r="Z6868" t="s">
        <v>34578</v>
      </c>
      <c r="AA6868">
        <v>1.044895522468587</v>
      </c>
      <c r="AB6868" t="str">
        <f>HYPERLINK("Melting_Curves/meltCurve_Q9Y3X0_CCDC9.pdf", "Melting_Curves/meltCurve_Q9Y3X0_CCDC9.pdf")</f>
        <v>Melting_Curves/meltCurve_Q9Y3X0_CCDC9.pdf</v>
      </c>
    </row>
    <row r="6869" spans="1:28" x14ac:dyDescent="0.25">
      <c r="A6869" t="s">
        <v>6873</v>
      </c>
      <c r="B6869">
        <v>0.99999676499088797</v>
      </c>
      <c r="C6869">
        <v>0.99848550845722095</v>
      </c>
      <c r="D6869">
        <v>0.93796131592163801</v>
      </c>
      <c r="E6869">
        <v>0.94748159540766097</v>
      </c>
      <c r="F6869">
        <v>0.29771730559158399</v>
      </c>
      <c r="G6869">
        <v>0.26430545842735897</v>
      </c>
      <c r="H6869">
        <v>0.215386806269175</v>
      </c>
      <c r="I6869">
        <v>0.26393817537155001</v>
      </c>
      <c r="J6869">
        <v>0.364488269993956</v>
      </c>
      <c r="K6869">
        <v>0.33641517748181199</v>
      </c>
      <c r="L6869">
        <v>5057.5742830393201</v>
      </c>
      <c r="M6869">
        <v>99.439186574638597</v>
      </c>
      <c r="N6869">
        <v>51.305857188049004</v>
      </c>
      <c r="O6869">
        <v>50.840417425235799</v>
      </c>
      <c r="P6869">
        <v>-0.347714375335964</v>
      </c>
      <c r="Q6869">
        <v>0.28889430360384499</v>
      </c>
      <c r="R6869">
        <v>0.98366463569756701</v>
      </c>
      <c r="S6869" t="s">
        <v>13872</v>
      </c>
      <c r="T6869" t="s">
        <v>14004</v>
      </c>
      <c r="U6869" t="s">
        <v>14004</v>
      </c>
      <c r="V6869" t="s">
        <v>14004</v>
      </c>
      <c r="W6869" t="s">
        <v>20810</v>
      </c>
      <c r="X6869">
        <v>7</v>
      </c>
      <c r="Y6869" t="s">
        <v>27583</v>
      </c>
      <c r="Z6869" t="s">
        <v>34579</v>
      </c>
      <c r="AA6869">
        <v>0.54673941825467176</v>
      </c>
      <c r="AB6869" t="str">
        <f>HYPERLINK("Melting_Curves/meltCurve_Q9Y3Y2_4_CHTOP.pdf", "Melting_Curves/meltCurve_Q9Y3Y2_4_CHTOP.pdf")</f>
        <v>Melting_Curves/meltCurve_Q9Y3Y2_4_CHTOP.pdf</v>
      </c>
    </row>
    <row r="6870" spans="1:28" x14ac:dyDescent="0.25">
      <c r="A6870" t="s">
        <v>6874</v>
      </c>
      <c r="B6870">
        <v>0.99999676499088797</v>
      </c>
      <c r="C6870">
        <v>1.08418260286204</v>
      </c>
      <c r="D6870">
        <v>1.04315661168797</v>
      </c>
      <c r="E6870">
        <v>0.98514976104086305</v>
      </c>
      <c r="F6870">
        <v>0.54064466647182796</v>
      </c>
      <c r="G6870">
        <v>0.569724206408324</v>
      </c>
      <c r="H6870">
        <v>0.35625431853052603</v>
      </c>
      <c r="I6870">
        <v>0.42288633167781298</v>
      </c>
      <c r="J6870">
        <v>0.55042238846106595</v>
      </c>
      <c r="K6870">
        <v>0.36542957493732298</v>
      </c>
      <c r="L6870">
        <v>3460.9579456230999</v>
      </c>
      <c r="M6870">
        <v>66.633353096319794</v>
      </c>
      <c r="N6870">
        <v>53.829161007602401</v>
      </c>
      <c r="O6870">
        <v>51.893601083604104</v>
      </c>
      <c r="P6870">
        <v>-0.175994765835912</v>
      </c>
      <c r="Q6870">
        <v>0.45174605365669901</v>
      </c>
      <c r="R6870">
        <v>0.93848583707739897</v>
      </c>
      <c r="S6870" t="s">
        <v>13873</v>
      </c>
      <c r="T6870" t="s">
        <v>14004</v>
      </c>
      <c r="U6870" t="s">
        <v>14004</v>
      </c>
      <c r="V6870" t="s">
        <v>14004</v>
      </c>
      <c r="W6870" t="s">
        <v>20811</v>
      </c>
      <c r="X6870">
        <v>1</v>
      </c>
      <c r="Y6870" t="s">
        <v>27584</v>
      </c>
      <c r="Z6870" t="s">
        <v>34580</v>
      </c>
      <c r="AA6870">
        <v>0.67066257989724865</v>
      </c>
      <c r="AB6870" t="str">
        <f>HYPERLINK("Melting_Curves/meltCurve_Q9Y3Z3_4_SAMHD1.pdf", "Melting_Curves/meltCurve_Q9Y3Z3_4_SAMHD1.pdf")</f>
        <v>Melting_Curves/meltCurve_Q9Y3Z3_4_SAMHD1.pdf</v>
      </c>
    </row>
    <row r="6871" spans="1:28" x14ac:dyDescent="0.25">
      <c r="A6871" t="s">
        <v>6875</v>
      </c>
      <c r="B6871">
        <v>0.99999676499088797</v>
      </c>
      <c r="C6871">
        <v>1.0039492232293901</v>
      </c>
      <c r="D6871">
        <v>0.99786674047701496</v>
      </c>
      <c r="E6871">
        <v>0.81101626817947603</v>
      </c>
      <c r="F6871">
        <v>0.54995541196796005</v>
      </c>
      <c r="G6871">
        <v>0.65731850610371001</v>
      </c>
      <c r="H6871">
        <v>0.402718821729384</v>
      </c>
      <c r="I6871">
        <v>0.47781132502849699</v>
      </c>
      <c r="J6871">
        <v>0.47109459111636998</v>
      </c>
      <c r="K6871">
        <v>0.47645989396156901</v>
      </c>
      <c r="L6871">
        <v>1252.5019966208399</v>
      </c>
      <c r="M6871">
        <v>24.681345395045</v>
      </c>
      <c r="N6871">
        <v>58.088286706947301</v>
      </c>
      <c r="O6871">
        <v>50.4173137774225</v>
      </c>
      <c r="P6871">
        <v>-6.3897548153320605E-2</v>
      </c>
      <c r="Q6871">
        <v>0.47790599194072703</v>
      </c>
      <c r="R6871">
        <v>0.94079556120899399</v>
      </c>
      <c r="S6871" t="s">
        <v>13874</v>
      </c>
      <c r="T6871" t="s">
        <v>14004</v>
      </c>
      <c r="U6871" t="s">
        <v>14004</v>
      </c>
      <c r="V6871" t="s">
        <v>14004</v>
      </c>
      <c r="W6871" t="s">
        <v>20812</v>
      </c>
      <c r="X6871">
        <v>6</v>
      </c>
      <c r="Y6871" t="s">
        <v>27585</v>
      </c>
      <c r="Z6871" t="s">
        <v>34581</v>
      </c>
      <c r="AA6871">
        <v>0.66976023312129462</v>
      </c>
      <c r="AB6871" t="str">
        <f>HYPERLINK("Melting_Curves/meltCurve_Q9Y421_FAM32A.pdf", "Melting_Curves/meltCurve_Q9Y421_FAM32A.pdf")</f>
        <v>Melting_Curves/meltCurve_Q9Y421_FAM32A.pdf</v>
      </c>
    </row>
    <row r="6872" spans="1:28" x14ac:dyDescent="0.25">
      <c r="A6872" t="s">
        <v>6876</v>
      </c>
      <c r="B6872">
        <v>0.99999676499088797</v>
      </c>
      <c r="C6872">
        <v>0.86331556979868396</v>
      </c>
      <c r="D6872">
        <v>0.78526417802681803</v>
      </c>
      <c r="E6872">
        <v>0.629934785162096</v>
      </c>
      <c r="F6872">
        <v>0.54242048782790397</v>
      </c>
      <c r="G6872">
        <v>0.40130515892779001</v>
      </c>
      <c r="H6872">
        <v>0.2405227150548</v>
      </c>
      <c r="I6872">
        <v>0.23659352010180501</v>
      </c>
      <c r="J6872">
        <v>0.22316101570050201</v>
      </c>
      <c r="K6872">
        <v>0.26257514940288901</v>
      </c>
      <c r="L6872">
        <v>526.50923088320303</v>
      </c>
      <c r="M6872">
        <v>10.3221198273264</v>
      </c>
      <c r="N6872">
        <v>53.098288298090402</v>
      </c>
      <c r="O6872">
        <v>49.204710231831697</v>
      </c>
      <c r="P6872">
        <v>-4.3706980641550701E-2</v>
      </c>
      <c r="Q6872">
        <v>0.16696846751140701</v>
      </c>
      <c r="R6872">
        <v>0.98372196760146102</v>
      </c>
      <c r="S6872" t="s">
        <v>13875</v>
      </c>
      <c r="T6872" t="s">
        <v>14004</v>
      </c>
      <c r="U6872" t="s">
        <v>14004</v>
      </c>
      <c r="V6872" t="s">
        <v>14004</v>
      </c>
      <c r="W6872" t="s">
        <v>20813</v>
      </c>
      <c r="X6872">
        <v>6</v>
      </c>
      <c r="Y6872" t="s">
        <v>27586</v>
      </c>
      <c r="Z6872" t="s">
        <v>34582</v>
      </c>
      <c r="AA6872">
        <v>0.50590795447664116</v>
      </c>
      <c r="AB6872" t="str">
        <f>HYPERLINK("Melting_Curves/meltCurve_Q9Y448_KNSTRN.pdf", "Melting_Curves/meltCurve_Q9Y448_KNSTRN.pdf")</f>
        <v>Melting_Curves/meltCurve_Q9Y448_KNSTRN.pdf</v>
      </c>
    </row>
    <row r="6873" spans="1:28" x14ac:dyDescent="0.25">
      <c r="A6873" t="s">
        <v>6877</v>
      </c>
      <c r="B6873">
        <v>0.99999676499088797</v>
      </c>
      <c r="C6873">
        <v>0.97811459915108101</v>
      </c>
      <c r="D6873">
        <v>0.96771088899874202</v>
      </c>
      <c r="E6873">
        <v>0.894705728917357</v>
      </c>
      <c r="F6873">
        <v>0.31346072046518603</v>
      </c>
      <c r="G6873">
        <v>0.153706761169353</v>
      </c>
      <c r="H6873">
        <v>8.6370489706899894E-2</v>
      </c>
      <c r="I6873">
        <v>8.5980750696068503E-2</v>
      </c>
      <c r="J6873">
        <v>9.3992416966627801E-2</v>
      </c>
      <c r="K6873">
        <v>8.7459346626158702E-2</v>
      </c>
      <c r="L6873">
        <v>2221.7215999912901</v>
      </c>
      <c r="M6873">
        <v>42.856967921826097</v>
      </c>
      <c r="N6873">
        <v>52.098428901415403</v>
      </c>
      <c r="O6873">
        <v>51.727892596165702</v>
      </c>
      <c r="P6873">
        <v>-0.18732026635553001</v>
      </c>
      <c r="Q6873">
        <v>9.5627353138391602E-2</v>
      </c>
      <c r="R6873">
        <v>0.99814807821109197</v>
      </c>
      <c r="S6873" t="s">
        <v>13876</v>
      </c>
      <c r="T6873" t="s">
        <v>14004</v>
      </c>
      <c r="U6873" t="s">
        <v>14004</v>
      </c>
      <c r="V6873" t="s">
        <v>14004</v>
      </c>
      <c r="W6873" t="s">
        <v>20814</v>
      </c>
      <c r="X6873">
        <v>27</v>
      </c>
      <c r="Y6873" t="s">
        <v>27587</v>
      </c>
      <c r="Z6873" t="s">
        <v>34583</v>
      </c>
      <c r="AA6873">
        <v>0.455384225992297</v>
      </c>
      <c r="AB6873" t="str">
        <f>HYPERLINK("Melting_Curves/meltCurve_Q9Y450_HBS1L.pdf", "Melting_Curves/meltCurve_Q9Y450_HBS1L.pdf")</f>
        <v>Melting_Curves/meltCurve_Q9Y450_HBS1L.pdf</v>
      </c>
    </row>
    <row r="6874" spans="1:28" x14ac:dyDescent="0.25">
      <c r="A6874" t="s">
        <v>6878</v>
      </c>
      <c r="B6874">
        <v>0.99999676499088797</v>
      </c>
      <c r="C6874">
        <v>0.87161979620099095</v>
      </c>
      <c r="D6874">
        <v>0.87433584895951999</v>
      </c>
      <c r="E6874">
        <v>0.61261319429390304</v>
      </c>
      <c r="F6874">
        <v>0.448469732615418</v>
      </c>
      <c r="G6874">
        <v>0.21133433539562499</v>
      </c>
      <c r="H6874">
        <v>0.16015618285816599</v>
      </c>
      <c r="I6874">
        <v>0.15122087364121201</v>
      </c>
      <c r="J6874">
        <v>0.15249870943667401</v>
      </c>
      <c r="K6874">
        <v>0.176894292130124</v>
      </c>
      <c r="L6874">
        <v>786.51718522562601</v>
      </c>
      <c r="M6874">
        <v>15.571160677925</v>
      </c>
      <c r="N6874">
        <v>51.484835361453797</v>
      </c>
      <c r="O6874">
        <v>49.700050120717499</v>
      </c>
      <c r="P6874">
        <v>-6.8341852006859397E-2</v>
      </c>
      <c r="Q6874">
        <v>0.127541697897992</v>
      </c>
      <c r="R6874">
        <v>0.98701027256166096</v>
      </c>
      <c r="S6874" t="s">
        <v>13877</v>
      </c>
      <c r="T6874" t="s">
        <v>14004</v>
      </c>
      <c r="U6874" t="s">
        <v>14004</v>
      </c>
      <c r="V6874" t="s">
        <v>14004</v>
      </c>
      <c r="W6874" t="s">
        <v>20815</v>
      </c>
      <c r="X6874">
        <v>5</v>
      </c>
      <c r="Y6874" t="s">
        <v>27587</v>
      </c>
      <c r="Z6874" t="s">
        <v>34584</v>
      </c>
      <c r="AA6874">
        <v>0.45241621449850999</v>
      </c>
      <c r="AB6874" t="str">
        <f>HYPERLINK("Melting_Curves/meltCurve_Q9Y450_2_HBS1L.pdf", "Melting_Curves/meltCurve_Q9Y450_2_HBS1L.pdf")</f>
        <v>Melting_Curves/meltCurve_Q9Y450_2_HBS1L.pdf</v>
      </c>
    </row>
    <row r="6875" spans="1:28" x14ac:dyDescent="0.25">
      <c r="A6875" t="s">
        <v>6879</v>
      </c>
      <c r="B6875">
        <v>0.99999676499088797</v>
      </c>
      <c r="C6875">
        <v>0.93979267232237296</v>
      </c>
      <c r="D6875">
        <v>0.97457308824327105</v>
      </c>
      <c r="E6875">
        <v>0.92735420058837803</v>
      </c>
      <c r="F6875">
        <v>0.56498437588949402</v>
      </c>
      <c r="G6875">
        <v>0.29965333842063102</v>
      </c>
      <c r="H6875">
        <v>0.13026001939960699</v>
      </c>
      <c r="I6875">
        <v>0.120840678615005</v>
      </c>
      <c r="J6875">
        <v>0.101861217008305</v>
      </c>
      <c r="K6875">
        <v>0.112866317113789</v>
      </c>
      <c r="L6875">
        <v>1367.71695392386</v>
      </c>
      <c r="M6875">
        <v>25.539024808667801</v>
      </c>
      <c r="N6875">
        <v>54.0500253847596</v>
      </c>
      <c r="O6875">
        <v>53.228894241432599</v>
      </c>
      <c r="P6875">
        <v>-0.107419624227218</v>
      </c>
      <c r="Q6875">
        <v>0.10446752271125501</v>
      </c>
      <c r="R6875">
        <v>0.99582198608009997</v>
      </c>
      <c r="S6875" t="s">
        <v>13878</v>
      </c>
      <c r="T6875" t="s">
        <v>14004</v>
      </c>
      <c r="U6875" t="s">
        <v>14004</v>
      </c>
      <c r="V6875" t="s">
        <v>14004</v>
      </c>
      <c r="W6875" t="s">
        <v>20816</v>
      </c>
      <c r="X6875">
        <v>4</v>
      </c>
      <c r="Y6875" t="s">
        <v>27588</v>
      </c>
      <c r="Z6875" t="s">
        <v>34585</v>
      </c>
      <c r="AA6875">
        <v>0.51702101988614046</v>
      </c>
      <c r="AB6875" t="str">
        <f>HYPERLINK("Melting_Curves/meltCurve_Q9Y478_PRKAB1.pdf", "Melting_Curves/meltCurve_Q9Y478_PRKAB1.pdf")</f>
        <v>Melting_Curves/meltCurve_Q9Y478_PRKAB1.pdf</v>
      </c>
    </row>
    <row r="6876" spans="1:28" x14ac:dyDescent="0.25">
      <c r="A6876" t="s">
        <v>6880</v>
      </c>
      <c r="B6876">
        <v>0.99999676499088797</v>
      </c>
      <c r="C6876">
        <v>1.00786156364262</v>
      </c>
      <c r="D6876">
        <v>0.96649846474177203</v>
      </c>
      <c r="E6876">
        <v>0.93452028405725796</v>
      </c>
      <c r="F6876">
        <v>0.89934354450139697</v>
      </c>
      <c r="G6876">
        <v>0.72322620301028995</v>
      </c>
      <c r="H6876">
        <v>0.47772643508920198</v>
      </c>
      <c r="I6876">
        <v>0.20479771159867499</v>
      </c>
      <c r="J6876">
        <v>0.13634989224793501</v>
      </c>
      <c r="K6876">
        <v>7.2092215058175105E-2</v>
      </c>
      <c r="L6876">
        <v>1057.1326863485599</v>
      </c>
      <c r="M6876">
        <v>17.633686182365601</v>
      </c>
      <c r="N6876">
        <v>59.949614360087502</v>
      </c>
      <c r="O6876">
        <v>59.194562347825297</v>
      </c>
      <c r="P6876">
        <v>-7.4477404841600398E-2</v>
      </c>
      <c r="Q6876">
        <v>0</v>
      </c>
      <c r="R6876">
        <v>0.99553858058517497</v>
      </c>
      <c r="S6876" t="s">
        <v>13879</v>
      </c>
      <c r="T6876" t="s">
        <v>14004</v>
      </c>
      <c r="U6876" t="s">
        <v>14004</v>
      </c>
      <c r="V6876" t="s">
        <v>14004</v>
      </c>
      <c r="W6876" t="s">
        <v>20817</v>
      </c>
      <c r="X6876">
        <v>7</v>
      </c>
      <c r="Y6876" t="s">
        <v>27589</v>
      </c>
      <c r="Z6876" t="s">
        <v>34586</v>
      </c>
      <c r="AA6876">
        <v>0.67332161137928304</v>
      </c>
      <c r="AB6876" t="str">
        <f>HYPERLINK("Melting_Curves/meltCurve_Q9Y487_ATP6V0A2.pdf", "Melting_Curves/meltCurve_Q9Y487_ATP6V0A2.pdf")</f>
        <v>Melting_Curves/meltCurve_Q9Y487_ATP6V0A2.pdf</v>
      </c>
    </row>
    <row r="6877" spans="1:28" x14ac:dyDescent="0.25">
      <c r="A6877" t="s">
        <v>6881</v>
      </c>
      <c r="B6877">
        <v>0.99999676499088797</v>
      </c>
      <c r="C6877">
        <v>1.03442206857371</v>
      </c>
      <c r="D6877">
        <v>0.98363487780084902</v>
      </c>
      <c r="E6877">
        <v>0.55436026277925998</v>
      </c>
      <c r="F6877">
        <v>0.22193418506610099</v>
      </c>
      <c r="G6877">
        <v>0.14647355715305099</v>
      </c>
      <c r="H6877">
        <v>7.4933347610549705E-2</v>
      </c>
      <c r="I6877">
        <v>6.7074440829527696E-2</v>
      </c>
      <c r="J6877">
        <v>6.4179250942049404E-2</v>
      </c>
      <c r="K6877">
        <v>5.3248188098792101E-2</v>
      </c>
      <c r="L6877">
        <v>1508.0857400459399</v>
      </c>
      <c r="M6877">
        <v>30.212122198591999</v>
      </c>
      <c r="N6877">
        <v>50.194409719098701</v>
      </c>
      <c r="O6877">
        <v>49.6994097797931</v>
      </c>
      <c r="P6877">
        <v>-0.140273953386649</v>
      </c>
      <c r="Q6877">
        <v>7.6994435198571895E-2</v>
      </c>
      <c r="R6877">
        <v>0.99496245529377103</v>
      </c>
      <c r="S6877" t="s">
        <v>13880</v>
      </c>
      <c r="T6877" t="s">
        <v>14004</v>
      </c>
      <c r="U6877" t="s">
        <v>14004</v>
      </c>
      <c r="V6877" t="s">
        <v>14004</v>
      </c>
      <c r="W6877" t="s">
        <v>20818</v>
      </c>
      <c r="X6877">
        <v>150</v>
      </c>
      <c r="Y6877" t="s">
        <v>27590</v>
      </c>
      <c r="Z6877" t="s">
        <v>34587</v>
      </c>
      <c r="AA6877">
        <v>0.38771676934805682</v>
      </c>
      <c r="AB6877" t="str">
        <f>HYPERLINK("Melting_Curves/meltCurve_Q9Y490_TLN1.pdf", "Melting_Curves/meltCurve_Q9Y490_TLN1.pdf")</f>
        <v>Melting_Curves/meltCurve_Q9Y490_TLN1.pdf</v>
      </c>
    </row>
    <row r="6878" spans="1:28" x14ac:dyDescent="0.25">
      <c r="A6878" t="s">
        <v>6882</v>
      </c>
      <c r="B6878">
        <v>0.99999676499088797</v>
      </c>
      <c r="C6878">
        <v>0.78706669796093798</v>
      </c>
      <c r="D6878">
        <v>0.46097914856071398</v>
      </c>
      <c r="E6878">
        <v>0.25118812895346199</v>
      </c>
      <c r="F6878">
        <v>0.200494956214991</v>
      </c>
      <c r="G6878">
        <v>0.12745849921988101</v>
      </c>
      <c r="H6878">
        <v>9.5259326279863304E-2</v>
      </c>
      <c r="I6878">
        <v>0.10323791736565401</v>
      </c>
      <c r="J6878">
        <v>8.1995384576817001E-2</v>
      </c>
      <c r="K6878">
        <v>7.5235220689017807E-2</v>
      </c>
      <c r="L6878">
        <v>918.52914554560698</v>
      </c>
      <c r="M6878">
        <v>20.2368087760997</v>
      </c>
      <c r="N6878">
        <v>45.904175982812902</v>
      </c>
      <c r="O6878">
        <v>44.952786532110601</v>
      </c>
      <c r="P6878">
        <v>-0.101115655418167</v>
      </c>
      <c r="Q6878">
        <v>0.101579855423097</v>
      </c>
      <c r="R6878">
        <v>0.99118036205103199</v>
      </c>
      <c r="S6878" t="s">
        <v>13881</v>
      </c>
      <c r="T6878" t="s">
        <v>14004</v>
      </c>
      <c r="U6878" t="s">
        <v>14004</v>
      </c>
      <c r="V6878" t="s">
        <v>14004</v>
      </c>
      <c r="W6878" t="s">
        <v>20819</v>
      </c>
      <c r="X6878">
        <v>4</v>
      </c>
      <c r="Y6878" t="s">
        <v>27591</v>
      </c>
      <c r="Z6878" t="s">
        <v>34588</v>
      </c>
      <c r="AA6878">
        <v>0.27717931526183998</v>
      </c>
      <c r="AB6878" t="str">
        <f>HYPERLINK("Melting_Curves/meltCurve_Q9Y4B4_RAD54L2.pdf", "Melting_Curves/meltCurve_Q9Y4B4_RAD54L2.pdf")</f>
        <v>Melting_Curves/meltCurve_Q9Y4B4_RAD54L2.pdf</v>
      </c>
    </row>
    <row r="6879" spans="1:28" x14ac:dyDescent="0.25">
      <c r="A6879" t="s">
        <v>6883</v>
      </c>
      <c r="B6879">
        <v>0.99999676499088797</v>
      </c>
      <c r="C6879">
        <v>1.0806024017990801</v>
      </c>
      <c r="D6879">
        <v>1.0800920012986801</v>
      </c>
      <c r="E6879">
        <v>1.14058713366718</v>
      </c>
      <c r="F6879">
        <v>0.45066616571011398</v>
      </c>
      <c r="G6879">
        <v>0.31307677018871999</v>
      </c>
      <c r="H6879">
        <v>0.15849505964361199</v>
      </c>
      <c r="I6879">
        <v>0.19591370063072799</v>
      </c>
      <c r="J6879">
        <v>0.20337705196832601</v>
      </c>
      <c r="K6879">
        <v>0.110638733440471</v>
      </c>
      <c r="L6879">
        <v>10782.1198786318</v>
      </c>
      <c r="M6879">
        <v>203.441350274793</v>
      </c>
      <c r="N6879">
        <v>53.128867547945703</v>
      </c>
      <c r="O6879">
        <v>52.9935431610105</v>
      </c>
      <c r="P6879">
        <v>-0.77134790892140803</v>
      </c>
      <c r="Q6879">
        <v>0.19629989433720699</v>
      </c>
      <c r="R6879">
        <v>0.96878620324353704</v>
      </c>
      <c r="S6879" t="s">
        <v>13882</v>
      </c>
      <c r="T6879" t="s">
        <v>14004</v>
      </c>
      <c r="U6879" t="s">
        <v>14004</v>
      </c>
      <c r="V6879" t="s">
        <v>14004</v>
      </c>
      <c r="W6879" t="s">
        <v>20820</v>
      </c>
      <c r="X6879">
        <v>6</v>
      </c>
      <c r="Y6879" t="s">
        <v>27592</v>
      </c>
      <c r="Z6879" t="s">
        <v>34589</v>
      </c>
      <c r="AA6879">
        <v>0.54464706049454326</v>
      </c>
      <c r="AB6879" t="str">
        <f>HYPERLINK("Melting_Curves/meltCurve_Q9Y4B6_2_VPRBP.pdf", "Melting_Curves/meltCurve_Q9Y4B6_2_VPRBP.pdf")</f>
        <v>Melting_Curves/meltCurve_Q9Y4B6_2_VPRBP.pdf</v>
      </c>
    </row>
    <row r="6880" spans="1:28" x14ac:dyDescent="0.25">
      <c r="A6880" t="s">
        <v>6884</v>
      </c>
      <c r="B6880">
        <v>0.99999676499088797</v>
      </c>
      <c r="C6880">
        <v>0.92130200561624898</v>
      </c>
      <c r="D6880">
        <v>0.75007544592296105</v>
      </c>
      <c r="E6880">
        <v>0.34279238591918298</v>
      </c>
      <c r="F6880">
        <v>0.19394394483187799</v>
      </c>
      <c r="G6880">
        <v>0.16877008274539901</v>
      </c>
      <c r="H6880">
        <v>7.9957903258020199E-2</v>
      </c>
      <c r="I6880">
        <v>0.10323662744173499</v>
      </c>
      <c r="J6880">
        <v>8.7609378059109802E-2</v>
      </c>
      <c r="K6880">
        <v>9.08413170836819E-2</v>
      </c>
      <c r="L6880">
        <v>1084.5156261361601</v>
      </c>
      <c r="M6880">
        <v>22.719897181636298</v>
      </c>
      <c r="N6880">
        <v>48.2028358707176</v>
      </c>
      <c r="O6880">
        <v>47.368990218700503</v>
      </c>
      <c r="P6880">
        <v>-0.108028220123796</v>
      </c>
      <c r="Q6880">
        <v>9.9100261016106403E-2</v>
      </c>
      <c r="R6880">
        <v>0.996266467129718</v>
      </c>
      <c r="S6880" t="s">
        <v>13883</v>
      </c>
      <c r="T6880" t="s">
        <v>14004</v>
      </c>
      <c r="U6880" t="s">
        <v>14004</v>
      </c>
      <c r="V6880" t="s">
        <v>14004</v>
      </c>
      <c r="W6880" t="s">
        <v>20821</v>
      </c>
      <c r="X6880">
        <v>11</v>
      </c>
      <c r="Y6880" t="s">
        <v>27593</v>
      </c>
      <c r="Z6880" t="s">
        <v>34590</v>
      </c>
      <c r="AA6880">
        <v>0.34114806054657321</v>
      </c>
      <c r="AB6880" t="str">
        <f>HYPERLINK("Melting_Curves/meltCurve_Q9Y4C1_KDM3A.pdf", "Melting_Curves/meltCurve_Q9Y4C1_KDM3A.pdf")</f>
        <v>Melting_Curves/meltCurve_Q9Y4C1_KDM3A.pdf</v>
      </c>
    </row>
    <row r="6881" spans="1:28" x14ac:dyDescent="0.25">
      <c r="A6881" t="s">
        <v>6885</v>
      </c>
      <c r="B6881">
        <v>0.99999676499088797</v>
      </c>
      <c r="C6881">
        <v>0.99891099739005096</v>
      </c>
      <c r="D6881">
        <v>0.88962617382886799</v>
      </c>
      <c r="E6881">
        <v>0.50010083643767</v>
      </c>
      <c r="F6881">
        <v>0.197071446164437</v>
      </c>
      <c r="G6881">
        <v>5.1156399780659903E-2</v>
      </c>
      <c r="H6881">
        <v>0</v>
      </c>
      <c r="I6881">
        <v>0</v>
      </c>
      <c r="J6881">
        <v>4.9766424817761001E-2</v>
      </c>
      <c r="K6881">
        <v>0</v>
      </c>
      <c r="L6881">
        <v>1218.3098354316601</v>
      </c>
      <c r="M6881">
        <v>24.514362629072899</v>
      </c>
      <c r="N6881">
        <v>49.740055746590102</v>
      </c>
      <c r="O6881">
        <v>49.370629767746898</v>
      </c>
      <c r="P6881">
        <v>-0.12285683872049399</v>
      </c>
      <c r="Q6881">
        <v>1.0305711929344499E-2</v>
      </c>
      <c r="R6881">
        <v>0.99797324323359105</v>
      </c>
      <c r="S6881" t="s">
        <v>13884</v>
      </c>
      <c r="T6881" t="s">
        <v>14004</v>
      </c>
      <c r="U6881" t="s">
        <v>14004</v>
      </c>
      <c r="V6881" t="s">
        <v>14004</v>
      </c>
      <c r="W6881" t="s">
        <v>20822</v>
      </c>
      <c r="X6881">
        <v>1</v>
      </c>
      <c r="Y6881" t="s">
        <v>27594</v>
      </c>
      <c r="Z6881" t="s">
        <v>34591</v>
      </c>
      <c r="AA6881">
        <v>0.33941093904979019</v>
      </c>
      <c r="AB6881" t="str">
        <f>HYPERLINK("Melting_Curves/meltCurve_Q9Y4C4_MFHAS1.pdf", "Melting_Curves/meltCurve_Q9Y4C4_MFHAS1.pdf")</f>
        <v>Melting_Curves/meltCurve_Q9Y4C4_MFHAS1.pdf</v>
      </c>
    </row>
    <row r="6882" spans="1:28" x14ac:dyDescent="0.25">
      <c r="A6882" t="s">
        <v>6886</v>
      </c>
      <c r="B6882">
        <v>0.99999676499088797</v>
      </c>
      <c r="C6882">
        <v>0.98467611544886102</v>
      </c>
      <c r="D6882">
        <v>0.90841565986191597</v>
      </c>
      <c r="E6882">
        <v>0.63828951169214099</v>
      </c>
      <c r="F6882">
        <v>0.30207247659997599</v>
      </c>
      <c r="G6882">
        <v>0.16415736353572999</v>
      </c>
      <c r="H6882">
        <v>9.6494090043653599E-2</v>
      </c>
      <c r="I6882">
        <v>0.12378524253527701</v>
      </c>
      <c r="J6882">
        <v>0.15216622188347501</v>
      </c>
      <c r="K6882">
        <v>9.2888397798746497E-2</v>
      </c>
      <c r="L6882">
        <v>1210.77154187424</v>
      </c>
      <c r="M6882">
        <v>24.0541749930298</v>
      </c>
      <c r="N6882">
        <v>50.865553738359502</v>
      </c>
      <c r="O6882">
        <v>49.991174330398799</v>
      </c>
      <c r="P6882">
        <v>-0.106952055571175</v>
      </c>
      <c r="Q6882">
        <v>0.110911115432444</v>
      </c>
      <c r="R6882">
        <v>0.99794601565219798</v>
      </c>
      <c r="S6882" t="s">
        <v>13885</v>
      </c>
      <c r="T6882" t="s">
        <v>14004</v>
      </c>
      <c r="U6882" t="s">
        <v>14004</v>
      </c>
      <c r="V6882" t="s">
        <v>14004</v>
      </c>
      <c r="W6882" t="s">
        <v>20823</v>
      </c>
      <c r="X6882">
        <v>10</v>
      </c>
      <c r="Y6882" t="s">
        <v>27595</v>
      </c>
      <c r="Z6882" t="s">
        <v>34592</v>
      </c>
      <c r="AA6882">
        <v>0.4258189581532334</v>
      </c>
      <c r="AB6882" t="str">
        <f>HYPERLINK("Melting_Curves/meltCurve_Q9Y4D1_2_DAAM1.pdf", "Melting_Curves/meltCurve_Q9Y4D1_2_DAAM1.pdf")</f>
        <v>Melting_Curves/meltCurve_Q9Y4D1_2_DAAM1.pdf</v>
      </c>
    </row>
    <row r="6883" spans="1:28" x14ac:dyDescent="0.25">
      <c r="A6883" t="s">
        <v>6887</v>
      </c>
      <c r="B6883">
        <v>0.99999676499088797</v>
      </c>
      <c r="C6883">
        <v>0.78293172509724196</v>
      </c>
      <c r="D6883">
        <v>1.27795667196748</v>
      </c>
      <c r="E6883">
        <v>0.211820099725234</v>
      </c>
      <c r="F6883">
        <v>0.25390222430958698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12323.771993578801</v>
      </c>
      <c r="M6883">
        <v>250</v>
      </c>
      <c r="N6883">
        <v>49.312531619576703</v>
      </c>
      <c r="O6883">
        <v>49.291953921450798</v>
      </c>
      <c r="P6883">
        <v>-1.2142998148813</v>
      </c>
      <c r="Q6883">
        <v>4.2317028586661302E-2</v>
      </c>
      <c r="R6883">
        <v>0.91566360265703395</v>
      </c>
      <c r="S6883" t="s">
        <v>13886</v>
      </c>
      <c r="T6883" t="s">
        <v>14004</v>
      </c>
      <c r="U6883" t="s">
        <v>14004</v>
      </c>
      <c r="V6883" t="s">
        <v>14004</v>
      </c>
      <c r="W6883" t="s">
        <v>20824</v>
      </c>
      <c r="X6883">
        <v>2</v>
      </c>
      <c r="Y6883" t="s">
        <v>27596</v>
      </c>
      <c r="Z6883" t="s">
        <v>34593</v>
      </c>
      <c r="AA6883">
        <v>0.33912479545634838</v>
      </c>
      <c r="AB6883" t="str">
        <f>HYPERLINK("Melting_Curves/meltCurve_Q9Y4D7_2_PLXND1.pdf", "Melting_Curves/meltCurve_Q9Y4D7_2_PLXND1.pdf")</f>
        <v>Melting_Curves/meltCurve_Q9Y4D7_2_PLXND1.pdf</v>
      </c>
    </row>
    <row r="6884" spans="1:28" x14ac:dyDescent="0.25">
      <c r="A6884" t="s">
        <v>6888</v>
      </c>
      <c r="B6884">
        <v>0.99999676499088797</v>
      </c>
      <c r="C6884">
        <v>0.98203728390020095</v>
      </c>
      <c r="D6884">
        <v>0.94175845928934898</v>
      </c>
      <c r="E6884">
        <v>0.66514647976973296</v>
      </c>
      <c r="F6884">
        <v>0.51992117614704503</v>
      </c>
      <c r="G6884">
        <v>0.39212495843886402</v>
      </c>
      <c r="H6884">
        <v>0.36320022943216901</v>
      </c>
      <c r="I6884">
        <v>0.51284803582094296</v>
      </c>
      <c r="J6884">
        <v>0.58445494839229295</v>
      </c>
      <c r="K6884">
        <v>0.69878760950429397</v>
      </c>
      <c r="L6884">
        <v>1901.88809394751</v>
      </c>
      <c r="M6884">
        <v>39.1766671474861</v>
      </c>
      <c r="O6884">
        <v>48.420476069888601</v>
      </c>
      <c r="P6884">
        <v>-9.9166094562586696E-2</v>
      </c>
      <c r="Q6884">
        <v>0.50974301937563404</v>
      </c>
      <c r="R6884">
        <v>0.84715544557397304</v>
      </c>
      <c r="S6884" t="s">
        <v>13887</v>
      </c>
      <c r="T6884" t="s">
        <v>14004</v>
      </c>
      <c r="U6884" t="s">
        <v>14004</v>
      </c>
      <c r="V6884" t="s">
        <v>14004</v>
      </c>
      <c r="W6884" t="s">
        <v>20825</v>
      </c>
      <c r="X6884">
        <v>24</v>
      </c>
      <c r="Y6884" t="s">
        <v>27597</v>
      </c>
      <c r="Z6884" t="s">
        <v>34594</v>
      </c>
      <c r="AA6884">
        <v>0.65112717628072525</v>
      </c>
      <c r="AB6884" t="str">
        <f>HYPERLINK("Melting_Curves/meltCurve_Q9Y4E1_2_FAM21C.pdf", "Melting_Curves/meltCurve_Q9Y4E1_2_FAM21C.pdf")</f>
        <v>Melting_Curves/meltCurve_Q9Y4E1_2_FAM21C.pdf</v>
      </c>
    </row>
    <row r="6885" spans="1:28" x14ac:dyDescent="0.25">
      <c r="A6885" t="s">
        <v>6889</v>
      </c>
      <c r="B6885">
        <v>0.99999676499088797</v>
      </c>
      <c r="C6885">
        <v>0.91923275679256</v>
      </c>
      <c r="D6885">
        <v>0.81675548664303499</v>
      </c>
      <c r="E6885">
        <v>0.52757089799457502</v>
      </c>
      <c r="F6885">
        <v>0.31015050331717198</v>
      </c>
      <c r="G6885">
        <v>0.15505634059210199</v>
      </c>
      <c r="H6885">
        <v>5.4993376014293903E-2</v>
      </c>
      <c r="I6885">
        <v>4.8306196699090198E-2</v>
      </c>
      <c r="J6885">
        <v>6.5948114220377801E-2</v>
      </c>
      <c r="K6885">
        <v>5.7808666821249501E-2</v>
      </c>
      <c r="L6885">
        <v>812.82782791586703</v>
      </c>
      <c r="M6885">
        <v>16.290465122356601</v>
      </c>
      <c r="N6885">
        <v>50.119813928143998</v>
      </c>
      <c r="O6885">
        <v>49.162224682588402</v>
      </c>
      <c r="P6885">
        <v>-7.9939095366936302E-2</v>
      </c>
      <c r="Q6885">
        <v>3.5092977525284598E-2</v>
      </c>
      <c r="R6885">
        <v>0.99801954059942</v>
      </c>
      <c r="S6885" t="s">
        <v>13888</v>
      </c>
      <c r="T6885" t="s">
        <v>14004</v>
      </c>
      <c r="U6885" t="s">
        <v>14004</v>
      </c>
      <c r="V6885" t="s">
        <v>14004</v>
      </c>
      <c r="W6885" t="s">
        <v>20826</v>
      </c>
      <c r="X6885">
        <v>4</v>
      </c>
      <c r="Y6885" t="s">
        <v>27598</v>
      </c>
      <c r="Z6885" t="s">
        <v>34595</v>
      </c>
      <c r="AA6885">
        <v>0.37325639831942858</v>
      </c>
      <c r="AB6885" t="str">
        <f>HYPERLINK("Melting_Curves/meltCurve_Q9Y4E6_2_WDR7.pdf", "Melting_Curves/meltCurve_Q9Y4E6_2_WDR7.pdf")</f>
        <v>Melting_Curves/meltCurve_Q9Y4E6_2_WDR7.pdf</v>
      </c>
    </row>
    <row r="6886" spans="1:28" x14ac:dyDescent="0.25">
      <c r="A6886" t="s">
        <v>6890</v>
      </c>
      <c r="B6886">
        <v>0.99999676499088797</v>
      </c>
      <c r="C6886">
        <v>1.0191810215755299</v>
      </c>
      <c r="D6886">
        <v>0.921619210967902</v>
      </c>
      <c r="E6886">
        <v>0.38851617569719998</v>
      </c>
      <c r="F6886">
        <v>0.25954481464988399</v>
      </c>
      <c r="G6886">
        <v>0.18569264421555001</v>
      </c>
      <c r="H6886">
        <v>9.6788046924389595E-2</v>
      </c>
      <c r="I6886">
        <v>9.4657794536398707E-2</v>
      </c>
      <c r="J6886">
        <v>0.100002181138155</v>
      </c>
      <c r="K6886">
        <v>7.4649102498632505E-2</v>
      </c>
      <c r="L6886">
        <v>1575.8961740663301</v>
      </c>
      <c r="M6886">
        <v>32.369321868208097</v>
      </c>
      <c r="N6886">
        <v>49.100581252821001</v>
      </c>
      <c r="O6886">
        <v>48.500169432458598</v>
      </c>
      <c r="P6886">
        <v>-0.14685412631248501</v>
      </c>
      <c r="Q6886">
        <v>0.119855820153401</v>
      </c>
      <c r="R6886">
        <v>0.98718959043014598</v>
      </c>
      <c r="S6886" t="s">
        <v>13889</v>
      </c>
      <c r="T6886" t="s">
        <v>14004</v>
      </c>
      <c r="U6886" t="s">
        <v>14004</v>
      </c>
      <c r="V6886" t="s">
        <v>14004</v>
      </c>
      <c r="W6886" t="s">
        <v>20827</v>
      </c>
      <c r="X6886">
        <v>40</v>
      </c>
      <c r="Y6886" t="s">
        <v>27599</v>
      </c>
      <c r="Z6886" t="s">
        <v>34596</v>
      </c>
      <c r="AA6886">
        <v>0.37921932937475022</v>
      </c>
      <c r="AB6886" t="str">
        <f>HYPERLINK("Melting_Curves/meltCurve_Q9Y4G6_TLN2.pdf", "Melting_Curves/meltCurve_Q9Y4G6_TLN2.pdf")</f>
        <v>Melting_Curves/meltCurve_Q9Y4G6_TLN2.pdf</v>
      </c>
    </row>
    <row r="6887" spans="1:28" x14ac:dyDescent="0.25">
      <c r="A6887" t="s">
        <v>6891</v>
      </c>
      <c r="B6887">
        <v>0.99999676499088797</v>
      </c>
      <c r="C6887">
        <v>0.94587259223720599</v>
      </c>
      <c r="D6887">
        <v>0.82052486858323803</v>
      </c>
      <c r="E6887">
        <v>0.334817674617582</v>
      </c>
      <c r="F6887">
        <v>0.20773969188101901</v>
      </c>
      <c r="G6887">
        <v>0.15314585122673199</v>
      </c>
      <c r="H6887">
        <v>8.6550975781040596E-2</v>
      </c>
      <c r="I6887">
        <v>9.8688055833366498E-2</v>
      </c>
      <c r="J6887">
        <v>0.121377661822525</v>
      </c>
      <c r="K6887">
        <v>0.10278163262628801</v>
      </c>
      <c r="L6887">
        <v>1373.5647760885099</v>
      </c>
      <c r="M6887">
        <v>28.6376754503131</v>
      </c>
      <c r="N6887">
        <v>48.404344050738203</v>
      </c>
      <c r="O6887">
        <v>47.731526081245697</v>
      </c>
      <c r="P6887">
        <v>-0.132778847011567</v>
      </c>
      <c r="Q6887">
        <v>0.1147766704923</v>
      </c>
      <c r="R6887">
        <v>0.99540848849290797</v>
      </c>
      <c r="S6887" t="s">
        <v>13890</v>
      </c>
      <c r="T6887" t="s">
        <v>14004</v>
      </c>
      <c r="U6887" t="s">
        <v>14004</v>
      </c>
      <c r="V6887" t="s">
        <v>14004</v>
      </c>
      <c r="W6887" t="s">
        <v>20828</v>
      </c>
      <c r="X6887">
        <v>23</v>
      </c>
      <c r="Y6887" t="s">
        <v>27600</v>
      </c>
      <c r="Z6887" t="s">
        <v>34597</v>
      </c>
      <c r="AA6887">
        <v>0.35563195442320888</v>
      </c>
      <c r="AB6887" t="str">
        <f>HYPERLINK("Melting_Curves/meltCurve_Q9Y4K1_AIM1.pdf", "Melting_Curves/meltCurve_Q9Y4K1_AIM1.pdf")</f>
        <v>Melting_Curves/meltCurve_Q9Y4K1_AIM1.pdf</v>
      </c>
    </row>
    <row r="6888" spans="1:28" x14ac:dyDescent="0.25">
      <c r="A6888" t="s">
        <v>6892</v>
      </c>
      <c r="B6888">
        <v>0.99999676499088797</v>
      </c>
      <c r="C6888">
        <v>0.98563143709699297</v>
      </c>
      <c r="D6888">
        <v>0.95591951781498197</v>
      </c>
      <c r="E6888">
        <v>0.848729293056531</v>
      </c>
      <c r="F6888">
        <v>0.26159290330859097</v>
      </c>
      <c r="G6888">
        <v>0.226092455845223</v>
      </c>
      <c r="H6888">
        <v>9.2802051626884194E-2</v>
      </c>
      <c r="I6888">
        <v>7.0468666772279601E-2</v>
      </c>
      <c r="J6888">
        <v>8.5496197694272399E-2</v>
      </c>
      <c r="K6888">
        <v>0.110127870540545</v>
      </c>
      <c r="L6888">
        <v>2105.9231961427699</v>
      </c>
      <c r="M6888">
        <v>40.984844022610602</v>
      </c>
      <c r="N6888">
        <v>51.694323196970103</v>
      </c>
      <c r="O6888">
        <v>51.261101066730099</v>
      </c>
      <c r="P6888">
        <v>-0.17802141078273301</v>
      </c>
      <c r="Q6888">
        <v>0.109372610315492</v>
      </c>
      <c r="R6888">
        <v>0.99090648874717802</v>
      </c>
      <c r="S6888" t="s">
        <v>13891</v>
      </c>
      <c r="T6888" t="s">
        <v>14004</v>
      </c>
      <c r="U6888" t="s">
        <v>14004</v>
      </c>
      <c r="V6888" t="s">
        <v>14004</v>
      </c>
      <c r="W6888" t="s">
        <v>20829</v>
      </c>
      <c r="X6888">
        <v>2</v>
      </c>
      <c r="Y6888" t="s">
        <v>27601</v>
      </c>
      <c r="Z6888" t="s">
        <v>34598</v>
      </c>
      <c r="AA6888">
        <v>0.45031706385030801</v>
      </c>
      <c r="AB6888" t="str">
        <f>HYPERLINK("Melting_Curves/meltCurve_Q9Y4K3_TRAF6.pdf", "Melting_Curves/meltCurve_Q9Y4K3_TRAF6.pdf")</f>
        <v>Melting_Curves/meltCurve_Q9Y4K3_TRAF6.pdf</v>
      </c>
    </row>
    <row r="6889" spans="1:28" x14ac:dyDescent="0.25">
      <c r="A6889" t="s">
        <v>6893</v>
      </c>
      <c r="B6889">
        <v>0.99999676499088797</v>
      </c>
      <c r="C6889">
        <v>1.04957013856225</v>
      </c>
      <c r="D6889">
        <v>0.99312963422599598</v>
      </c>
      <c r="E6889">
        <v>0.907202278942841</v>
      </c>
      <c r="F6889">
        <v>0.34755928384580198</v>
      </c>
      <c r="G6889">
        <v>0.1868705353123</v>
      </c>
      <c r="H6889">
        <v>0.10971014239546401</v>
      </c>
      <c r="I6889">
        <v>0.11695755934863999</v>
      </c>
      <c r="J6889">
        <v>9.4836842232996002E-2</v>
      </c>
      <c r="K6889">
        <v>0.10372924775961399</v>
      </c>
      <c r="L6889">
        <v>2193.5045348439598</v>
      </c>
      <c r="M6889">
        <v>42.1989073965633</v>
      </c>
      <c r="N6889">
        <v>52.305654101038797</v>
      </c>
      <c r="O6889">
        <v>51.863813207015099</v>
      </c>
      <c r="P6889">
        <v>-0.17992195584979201</v>
      </c>
      <c r="Q6889">
        <v>0.115482221519524</v>
      </c>
      <c r="R6889">
        <v>0.99671222412299698</v>
      </c>
      <c r="S6889" t="s">
        <v>13892</v>
      </c>
      <c r="T6889" t="s">
        <v>14004</v>
      </c>
      <c r="U6889" t="s">
        <v>14004</v>
      </c>
      <c r="V6889" t="s">
        <v>14004</v>
      </c>
      <c r="W6889" t="s">
        <v>20830</v>
      </c>
      <c r="X6889">
        <v>12</v>
      </c>
      <c r="Y6889" t="s">
        <v>27602</v>
      </c>
      <c r="Z6889" t="s">
        <v>34599</v>
      </c>
      <c r="AA6889">
        <v>0.47155584529365457</v>
      </c>
      <c r="AB6889" t="str">
        <f>HYPERLINK("Melting_Curves/meltCurve_Q9Y4K4_MAP4K5.pdf", "Melting_Curves/meltCurve_Q9Y4K4_MAP4K5.pdf")</f>
        <v>Melting_Curves/meltCurve_Q9Y4K4_MAP4K5.pdf</v>
      </c>
    </row>
    <row r="6890" spans="1:28" x14ac:dyDescent="0.25">
      <c r="A6890" t="s">
        <v>6894</v>
      </c>
      <c r="B6890">
        <v>0.99999676499088797</v>
      </c>
      <c r="C6890">
        <v>0.96809067116091696</v>
      </c>
      <c r="D6890">
        <v>0.93534177035333999</v>
      </c>
      <c r="E6890">
        <v>0.71115620874042995</v>
      </c>
      <c r="F6890">
        <v>0.27151416769958597</v>
      </c>
      <c r="G6890">
        <v>0.21105150653912799</v>
      </c>
      <c r="H6890">
        <v>9.9419943017594395E-2</v>
      </c>
      <c r="I6890">
        <v>9.8009215386895096E-2</v>
      </c>
      <c r="J6890">
        <v>9.6052565460874706E-2</v>
      </c>
      <c r="K6890">
        <v>7.7559210445674903E-2</v>
      </c>
      <c r="L6890">
        <v>1335.8809675600401</v>
      </c>
      <c r="M6890">
        <v>26.280579046038099</v>
      </c>
      <c r="N6890">
        <v>51.250204595687798</v>
      </c>
      <c r="O6890">
        <v>50.539893956981402</v>
      </c>
      <c r="P6890">
        <v>-0.11744077223913001</v>
      </c>
      <c r="Q6890">
        <v>9.6613427766166798E-2</v>
      </c>
      <c r="R6890">
        <v>0.99534499705527402</v>
      </c>
      <c r="S6890" t="s">
        <v>13893</v>
      </c>
      <c r="T6890" t="s">
        <v>14004</v>
      </c>
      <c r="U6890" t="s">
        <v>14004</v>
      </c>
      <c r="V6890" t="s">
        <v>14004</v>
      </c>
      <c r="W6890" t="s">
        <v>20831</v>
      </c>
      <c r="X6890">
        <v>64</v>
      </c>
      <c r="Y6890" t="s">
        <v>27603</v>
      </c>
      <c r="Z6890" t="s">
        <v>34600</v>
      </c>
      <c r="AA6890">
        <v>0.43015952403782182</v>
      </c>
      <c r="AB6890" t="str">
        <f>HYPERLINK("Melting_Curves/meltCurve_Q9Y4L1_HYOU1.pdf", "Melting_Curves/meltCurve_Q9Y4L1_HYOU1.pdf")</f>
        <v>Melting_Curves/meltCurve_Q9Y4L1_HYOU1.pdf</v>
      </c>
    </row>
    <row r="6891" spans="1:28" x14ac:dyDescent="0.25">
      <c r="A6891" t="s">
        <v>6895</v>
      </c>
      <c r="B6891">
        <v>0.99999676499088797</v>
      </c>
      <c r="C6891">
        <v>0.88797168148122296</v>
      </c>
      <c r="D6891">
        <v>0.74661467423769801</v>
      </c>
      <c r="E6891">
        <v>0.34039189318423002</v>
      </c>
      <c r="F6891">
        <v>0.200316017574691</v>
      </c>
      <c r="G6891">
        <v>0.122844835297202</v>
      </c>
      <c r="H6891">
        <v>5.4879451603828198E-2</v>
      </c>
      <c r="I6891">
        <v>6.1682485411123103E-2</v>
      </c>
      <c r="J6891">
        <v>6.0893385254390697E-2</v>
      </c>
      <c r="K6891">
        <v>4.7011884043057603E-2</v>
      </c>
      <c r="L6891">
        <v>945.89666955304199</v>
      </c>
      <c r="M6891">
        <v>19.7298313381906</v>
      </c>
      <c r="N6891">
        <v>48.2374757380272</v>
      </c>
      <c r="O6891">
        <v>47.458090777063703</v>
      </c>
      <c r="P6891">
        <v>-9.8029135733383996E-2</v>
      </c>
      <c r="Q6891">
        <v>5.6836170248974402E-2</v>
      </c>
      <c r="R6891">
        <v>0.99591517562314302</v>
      </c>
      <c r="S6891" t="s">
        <v>13894</v>
      </c>
      <c r="T6891" t="s">
        <v>14004</v>
      </c>
      <c r="U6891" t="s">
        <v>14004</v>
      </c>
      <c r="V6891" t="s">
        <v>14004</v>
      </c>
      <c r="W6891" t="s">
        <v>20832</v>
      </c>
      <c r="X6891">
        <v>7</v>
      </c>
      <c r="Y6891" t="s">
        <v>27604</v>
      </c>
      <c r="Z6891" t="s">
        <v>34601</v>
      </c>
      <c r="AA6891">
        <v>0.32035087424218389</v>
      </c>
      <c r="AB6891" t="str">
        <f>HYPERLINK("Melting_Curves/meltCurve_Q9Y4P1_6_ATG4B.pdf", "Melting_Curves/meltCurve_Q9Y4P1_6_ATG4B.pdf")</f>
        <v>Melting_Curves/meltCurve_Q9Y4P1_6_ATG4B.pdf</v>
      </c>
    </row>
    <row r="6892" spans="1:28" x14ac:dyDescent="0.25">
      <c r="A6892" t="s">
        <v>6896</v>
      </c>
      <c r="B6892">
        <v>0.99999676499088797</v>
      </c>
      <c r="C6892">
        <v>1.01936654796555</v>
      </c>
      <c r="D6892">
        <v>1.0062801160675601</v>
      </c>
      <c r="E6892">
        <v>0.89438291289595995</v>
      </c>
      <c r="F6892">
        <v>0.38668289042428899</v>
      </c>
      <c r="G6892">
        <v>0.247544919818732</v>
      </c>
      <c r="H6892">
        <v>0.14129432486151799</v>
      </c>
      <c r="I6892">
        <v>0.138863169298994</v>
      </c>
      <c r="J6892">
        <v>0.13721742459379099</v>
      </c>
      <c r="K6892">
        <v>0.13374378282250701</v>
      </c>
      <c r="L6892">
        <v>1924.34858927245</v>
      </c>
      <c r="M6892">
        <v>36.9982708708988</v>
      </c>
      <c r="N6892">
        <v>52.512033767458597</v>
      </c>
      <c r="O6892">
        <v>51.8605959019255</v>
      </c>
      <c r="P6892">
        <v>-0.15186837776930101</v>
      </c>
      <c r="Q6892">
        <v>0.14850469697722701</v>
      </c>
      <c r="R6892">
        <v>0.99622145049231803</v>
      </c>
      <c r="S6892" t="s">
        <v>13895</v>
      </c>
      <c r="T6892" t="s">
        <v>14004</v>
      </c>
      <c r="U6892" t="s">
        <v>14004</v>
      </c>
      <c r="V6892" t="s">
        <v>14004</v>
      </c>
      <c r="W6892" t="s">
        <v>20833</v>
      </c>
      <c r="X6892">
        <v>9</v>
      </c>
      <c r="Y6892" t="s">
        <v>27605</v>
      </c>
      <c r="Z6892" t="s">
        <v>34602</v>
      </c>
      <c r="AA6892">
        <v>0.49301837377196661</v>
      </c>
      <c r="AB6892" t="str">
        <f>HYPERLINK("Melting_Curves/meltCurve_Q9Y4P8_3_WIPI2.pdf", "Melting_Curves/meltCurve_Q9Y4P8_3_WIPI2.pdf")</f>
        <v>Melting_Curves/meltCurve_Q9Y4P8_3_WIPI2.pdf</v>
      </c>
    </row>
    <row r="6893" spans="1:28" x14ac:dyDescent="0.25">
      <c r="A6893" t="s">
        <v>6897</v>
      </c>
      <c r="B6893">
        <v>0.99999676499088797</v>
      </c>
      <c r="C6893">
        <v>0.90585627718834105</v>
      </c>
      <c r="D6893">
        <v>0.60952320521191805</v>
      </c>
      <c r="E6893">
        <v>0.291611541532525</v>
      </c>
      <c r="F6893">
        <v>0.19086114511949401</v>
      </c>
      <c r="G6893">
        <v>0.143367368335448</v>
      </c>
      <c r="H6893">
        <v>8.5308179670790393E-2</v>
      </c>
      <c r="I6893">
        <v>9.1173342432409696E-2</v>
      </c>
      <c r="J6893">
        <v>9.2699401741534806E-2</v>
      </c>
      <c r="K6893">
        <v>5.4913017990909599E-2</v>
      </c>
      <c r="L6893">
        <v>987.93161846588202</v>
      </c>
      <c r="M6893">
        <v>21.113355823807598</v>
      </c>
      <c r="N6893">
        <v>47.239038771769401</v>
      </c>
      <c r="O6893">
        <v>46.378088102642302</v>
      </c>
      <c r="P6893">
        <v>-0.103503284140606</v>
      </c>
      <c r="Q6893">
        <v>9.0593008882285497E-2</v>
      </c>
      <c r="R6893">
        <v>0.99556531435588003</v>
      </c>
      <c r="S6893" t="s">
        <v>13896</v>
      </c>
      <c r="T6893" t="s">
        <v>14004</v>
      </c>
      <c r="U6893" t="s">
        <v>14004</v>
      </c>
      <c r="V6893" t="s">
        <v>14004</v>
      </c>
      <c r="W6893" t="s">
        <v>20834</v>
      </c>
      <c r="X6893">
        <v>4</v>
      </c>
      <c r="Y6893" t="s">
        <v>27606</v>
      </c>
      <c r="Z6893" t="s">
        <v>34603</v>
      </c>
      <c r="AA6893">
        <v>0.30837810309683672</v>
      </c>
      <c r="AB6893" t="str">
        <f>HYPERLINK("Melting_Curves/meltCurve_Q9Y4R8_TELO2.pdf", "Melting_Curves/meltCurve_Q9Y4R8_TELO2.pdf")</f>
        <v>Melting_Curves/meltCurve_Q9Y4R8_TELO2.pdf</v>
      </c>
    </row>
    <row r="6894" spans="1:28" x14ac:dyDescent="0.25">
      <c r="A6894" t="s">
        <v>6898</v>
      </c>
      <c r="B6894">
        <v>0.99999676499088797</v>
      </c>
      <c r="C6894">
        <v>0.98604574526183597</v>
      </c>
      <c r="D6894">
        <v>1.0068393770950801</v>
      </c>
      <c r="E6894">
        <v>1.01682184464104</v>
      </c>
      <c r="F6894">
        <v>0.69214343893002095</v>
      </c>
      <c r="G6894">
        <v>0.52932085231139203</v>
      </c>
      <c r="H6894">
        <v>0.11994625753219</v>
      </c>
      <c r="I6894">
        <v>8.9086655138840704E-2</v>
      </c>
      <c r="J6894">
        <v>8.68505800834483E-2</v>
      </c>
      <c r="K6894">
        <v>6.8124686051947603E-2</v>
      </c>
      <c r="L6894">
        <v>1245.3108779274301</v>
      </c>
      <c r="M6894">
        <v>22.2264731189263</v>
      </c>
      <c r="N6894">
        <v>56.252579734440197</v>
      </c>
      <c r="O6894">
        <v>55.580637376651197</v>
      </c>
      <c r="P6894">
        <v>-9.5736417579219593E-2</v>
      </c>
      <c r="Q6894">
        <v>4.2407181786389303E-2</v>
      </c>
      <c r="R6894">
        <v>0.98623078419668797</v>
      </c>
      <c r="S6894" t="s">
        <v>13897</v>
      </c>
      <c r="T6894" t="s">
        <v>14004</v>
      </c>
      <c r="U6894" t="s">
        <v>14004</v>
      </c>
      <c r="V6894" t="s">
        <v>14004</v>
      </c>
      <c r="W6894" t="s">
        <v>20835</v>
      </c>
      <c r="X6894">
        <v>33</v>
      </c>
      <c r="Y6894" t="s">
        <v>27607</v>
      </c>
      <c r="Z6894" t="s">
        <v>34604</v>
      </c>
      <c r="AA6894">
        <v>0.56461573860121628</v>
      </c>
      <c r="AB6894" t="str">
        <f>HYPERLINK("Melting_Curves/meltCurve_Q9Y4W6_AFG3L2.pdf", "Melting_Curves/meltCurve_Q9Y4W6_AFG3L2.pdf")</f>
        <v>Melting_Curves/meltCurve_Q9Y4W6_AFG3L2.pdf</v>
      </c>
    </row>
    <row r="6895" spans="1:28" x14ac:dyDescent="0.25">
      <c r="A6895" t="s">
        <v>6899</v>
      </c>
      <c r="B6895">
        <v>0.99999676499088797</v>
      </c>
      <c r="C6895">
        <v>1.08821551572579</v>
      </c>
      <c r="D6895">
        <v>1.0697183939083601</v>
      </c>
      <c r="E6895">
        <v>1.1042243258467801</v>
      </c>
      <c r="F6895">
        <v>0.64778593060165102</v>
      </c>
      <c r="G6895">
        <v>0.60036349979023895</v>
      </c>
      <c r="H6895">
        <v>0.43869880679887602</v>
      </c>
      <c r="I6895">
        <v>0.79435630063049401</v>
      </c>
      <c r="J6895">
        <v>0.63357129473256502</v>
      </c>
      <c r="K6895">
        <v>0.59136553679770099</v>
      </c>
      <c r="L6895">
        <v>13178.8355003131</v>
      </c>
      <c r="M6895">
        <v>250</v>
      </c>
      <c r="O6895">
        <v>52.711968644670797</v>
      </c>
      <c r="P6895">
        <v>-0.460437350863107</v>
      </c>
      <c r="Q6895">
        <v>0.61167105378800002</v>
      </c>
      <c r="R6895">
        <v>0.84122154808951399</v>
      </c>
      <c r="S6895" t="s">
        <v>13898</v>
      </c>
      <c r="T6895" t="s">
        <v>14004</v>
      </c>
      <c r="U6895" t="s">
        <v>14004</v>
      </c>
      <c r="V6895" t="s">
        <v>14004</v>
      </c>
      <c r="W6895" t="s">
        <v>20836</v>
      </c>
      <c r="X6895">
        <v>3</v>
      </c>
      <c r="Y6895" t="s">
        <v>27608</v>
      </c>
      <c r="Z6895" t="s">
        <v>34605</v>
      </c>
      <c r="AA6895">
        <v>0.77629815855604023</v>
      </c>
      <c r="AB6895" t="str">
        <f>HYPERLINK("Melting_Curves/meltCurve_Q9Y4X4_KLF12.pdf", "Melting_Curves/meltCurve_Q9Y4X4_KLF12.pdf")</f>
        <v>Melting_Curves/meltCurve_Q9Y4X4_KLF12.pdf</v>
      </c>
    </row>
    <row r="6896" spans="1:28" x14ac:dyDescent="0.25">
      <c r="A6896" t="s">
        <v>6900</v>
      </c>
      <c r="B6896">
        <v>0.99999676499088797</v>
      </c>
      <c r="C6896">
        <v>1.10478705578878</v>
      </c>
      <c r="D6896">
        <v>1.1181311345495499</v>
      </c>
      <c r="E6896">
        <v>1.0944783564348299</v>
      </c>
      <c r="F6896">
        <v>0.89303442621777296</v>
      </c>
      <c r="G6896">
        <v>0.60640118718920799</v>
      </c>
      <c r="H6896">
        <v>0.19020272237532801</v>
      </c>
      <c r="I6896">
        <v>0.14831994886465999</v>
      </c>
      <c r="J6896">
        <v>0.155163554105681</v>
      </c>
      <c r="K6896">
        <v>0.150646194851149</v>
      </c>
      <c r="L6896">
        <v>2085.1412295960599</v>
      </c>
      <c r="M6896">
        <v>36.626262211314398</v>
      </c>
      <c r="N6896">
        <v>57.442704722407903</v>
      </c>
      <c r="O6896">
        <v>56.761308211965599</v>
      </c>
      <c r="P6896">
        <v>-0.13883430357360199</v>
      </c>
      <c r="Q6896">
        <v>0.13937235971129</v>
      </c>
      <c r="R6896">
        <v>0.978455092560641</v>
      </c>
      <c r="S6896" t="s">
        <v>13899</v>
      </c>
      <c r="T6896" t="s">
        <v>14004</v>
      </c>
      <c r="U6896" t="s">
        <v>14004</v>
      </c>
      <c r="V6896" t="s">
        <v>14004</v>
      </c>
      <c r="W6896" t="s">
        <v>20837</v>
      </c>
      <c r="X6896">
        <v>16</v>
      </c>
      <c r="Y6896" t="s">
        <v>27609</v>
      </c>
      <c r="Z6896" t="s">
        <v>34606</v>
      </c>
      <c r="AA6896">
        <v>0.62902947809986054</v>
      </c>
      <c r="AB6896" t="str">
        <f>HYPERLINK("Melting_Curves/meltCurve_Q9Y4X5_ARIH1.pdf", "Melting_Curves/meltCurve_Q9Y4X5_ARIH1.pdf")</f>
        <v>Melting_Curves/meltCurve_Q9Y4X5_ARIH1.pdf</v>
      </c>
    </row>
    <row r="6897" spans="1:28" x14ac:dyDescent="0.25">
      <c r="A6897" t="s">
        <v>6901</v>
      </c>
      <c r="B6897">
        <v>0.99999676499088797</v>
      </c>
      <c r="C6897">
        <v>1.5892509157835299</v>
      </c>
      <c r="D6897">
        <v>1.07897785180154</v>
      </c>
      <c r="E6897">
        <v>0.301684863360344</v>
      </c>
      <c r="F6897">
        <v>0.36849155400744599</v>
      </c>
      <c r="G6897">
        <v>0.32988546121511297</v>
      </c>
      <c r="H6897">
        <v>0.173617039455296</v>
      </c>
      <c r="I6897">
        <v>0.69858377169679298</v>
      </c>
      <c r="J6897">
        <v>0.87412441001280705</v>
      </c>
      <c r="K6897">
        <v>3.0663768397525899E-2</v>
      </c>
      <c r="L6897">
        <v>11930.313396560799</v>
      </c>
      <c r="M6897">
        <v>250</v>
      </c>
      <c r="N6897">
        <v>48.024191449309399</v>
      </c>
      <c r="O6897">
        <v>47.7182136573891</v>
      </c>
      <c r="P6897">
        <v>-0.79016375765563995</v>
      </c>
      <c r="Q6897">
        <v>0.39671692763247102</v>
      </c>
      <c r="R6897">
        <v>0.59593940982729998</v>
      </c>
      <c r="S6897" t="s">
        <v>13900</v>
      </c>
      <c r="T6897" t="s">
        <v>14004</v>
      </c>
      <c r="U6897" t="s">
        <v>14004</v>
      </c>
      <c r="V6897" t="s">
        <v>14004</v>
      </c>
      <c r="W6897" t="s">
        <v>20838</v>
      </c>
      <c r="X6897">
        <v>2</v>
      </c>
      <c r="Y6897" t="s">
        <v>27610</v>
      </c>
      <c r="Z6897" t="s">
        <v>34607</v>
      </c>
      <c r="AA6897">
        <v>0.55203750549229214</v>
      </c>
      <c r="AB6897" t="str">
        <f>HYPERLINK("Melting_Curves/meltCurve_Q9Y4Y9_LSM5.pdf", "Melting_Curves/meltCurve_Q9Y4Y9_LSM5.pdf")</f>
        <v>Melting_Curves/meltCurve_Q9Y4Y9_LSM5.pdf</v>
      </c>
    </row>
    <row r="6898" spans="1:28" x14ac:dyDescent="0.25">
      <c r="A6898" t="s">
        <v>6902</v>
      </c>
      <c r="B6898">
        <v>0.99999676499088797</v>
      </c>
      <c r="C6898">
        <v>0.972840252785654</v>
      </c>
      <c r="D6898">
        <v>0.87766873067307605</v>
      </c>
      <c r="E6898">
        <v>0.81730488771560506</v>
      </c>
      <c r="F6898">
        <v>0.966474457482972</v>
      </c>
      <c r="G6898">
        <v>0.908585793665452</v>
      </c>
      <c r="H6898">
        <v>0.62827918178331399</v>
      </c>
      <c r="I6898">
        <v>0.55956972353788903</v>
      </c>
      <c r="J6898">
        <v>0.43897724583850201</v>
      </c>
      <c r="K6898">
        <v>0.54847933081191003</v>
      </c>
      <c r="L6898">
        <v>1963.1610649961001</v>
      </c>
      <c r="M6898">
        <v>33.226744860875598</v>
      </c>
      <c r="O6898">
        <v>58.870992114603297</v>
      </c>
      <c r="P6898">
        <v>-7.0923506133807601E-2</v>
      </c>
      <c r="Q6898">
        <v>0.49735455759737901</v>
      </c>
      <c r="R6898">
        <v>0.85316608139324102</v>
      </c>
      <c r="S6898" t="s">
        <v>13901</v>
      </c>
      <c r="T6898" t="s">
        <v>14004</v>
      </c>
      <c r="U6898" t="s">
        <v>14004</v>
      </c>
      <c r="V6898" t="s">
        <v>14004</v>
      </c>
      <c r="W6898" t="s">
        <v>20839</v>
      </c>
      <c r="X6898">
        <v>8</v>
      </c>
      <c r="Y6898" t="s">
        <v>27611</v>
      </c>
      <c r="Z6898" t="s">
        <v>34608</v>
      </c>
      <c r="AA6898">
        <v>0.81983486308935605</v>
      </c>
      <c r="AB6898" t="str">
        <f>HYPERLINK("Melting_Curves/meltCurve_Q9Y4Z0_LSM4.pdf", "Melting_Curves/meltCurve_Q9Y4Z0_LSM4.pdf")</f>
        <v>Melting_Curves/meltCurve_Q9Y4Z0_LSM4.pdf</v>
      </c>
    </row>
    <row r="6899" spans="1:28" x14ac:dyDescent="0.25">
      <c r="A6899" t="s">
        <v>6903</v>
      </c>
      <c r="B6899">
        <v>0.99999676499088797</v>
      </c>
      <c r="C6899">
        <v>1.05668732290439</v>
      </c>
      <c r="D6899">
        <v>0.982494951769745</v>
      </c>
      <c r="E6899">
        <v>1.00037598261674</v>
      </c>
      <c r="F6899">
        <v>0.59819395742986703</v>
      </c>
      <c r="G6899">
        <v>0.400066721424015</v>
      </c>
      <c r="H6899">
        <v>0.22914588312496001</v>
      </c>
      <c r="I6899">
        <v>0.18280556294883801</v>
      </c>
      <c r="J6899">
        <v>0.159119403483061</v>
      </c>
      <c r="K6899">
        <v>0.23825009541303999</v>
      </c>
      <c r="L6899">
        <v>1476.37091355191</v>
      </c>
      <c r="M6899">
        <v>27.4711095533989</v>
      </c>
      <c r="N6899">
        <v>54.743565780494897</v>
      </c>
      <c r="O6899">
        <v>53.460309370937999</v>
      </c>
      <c r="P6899">
        <v>-0.103104411857929</v>
      </c>
      <c r="Q6899">
        <v>0.19741971078057299</v>
      </c>
      <c r="R6899">
        <v>0.98607132772588102</v>
      </c>
      <c r="S6899" t="s">
        <v>13902</v>
      </c>
      <c r="T6899" t="s">
        <v>14004</v>
      </c>
      <c r="U6899" t="s">
        <v>14004</v>
      </c>
      <c r="V6899" t="s">
        <v>14004</v>
      </c>
      <c r="W6899" t="s">
        <v>20840</v>
      </c>
      <c r="X6899">
        <v>11</v>
      </c>
      <c r="Y6899" t="s">
        <v>27612</v>
      </c>
      <c r="Z6899" t="s">
        <v>34609</v>
      </c>
      <c r="AA6899">
        <v>0.57129573857244798</v>
      </c>
      <c r="AB6899" t="str">
        <f>HYPERLINK("Melting_Curves/meltCurve_Q9Y508_RNF114.pdf", "Melting_Curves/meltCurve_Q9Y508_RNF114.pdf")</f>
        <v>Melting_Curves/meltCurve_Q9Y508_RNF114.pdf</v>
      </c>
    </row>
    <row r="6900" spans="1:28" x14ac:dyDescent="0.25">
      <c r="A6900" t="s">
        <v>6904</v>
      </c>
      <c r="B6900">
        <v>0.99999676499088797</v>
      </c>
      <c r="C6900">
        <v>0.968846432665873</v>
      </c>
      <c r="D6900">
        <v>1.0107233256572199</v>
      </c>
      <c r="E6900">
        <v>1.2387386588427001</v>
      </c>
      <c r="F6900">
        <v>1.08948825162527</v>
      </c>
      <c r="G6900">
        <v>1.01129005123418</v>
      </c>
      <c r="H6900">
        <v>0.69241578688587302</v>
      </c>
      <c r="I6900">
        <v>0.58463188944061395</v>
      </c>
      <c r="J6900">
        <v>0.48385828621817301</v>
      </c>
      <c r="K6900">
        <v>0.434606443674314</v>
      </c>
      <c r="L6900">
        <v>2337.7123837302202</v>
      </c>
      <c r="M6900">
        <v>38.493221404539703</v>
      </c>
      <c r="N6900">
        <v>65.328503369079002</v>
      </c>
      <c r="O6900">
        <v>60.567292921554802</v>
      </c>
      <c r="P6900">
        <v>-8.4733044464212703E-2</v>
      </c>
      <c r="Q6900">
        <v>0.466707356537504</v>
      </c>
      <c r="R6900">
        <v>0.89422767696191696</v>
      </c>
      <c r="S6900" t="s">
        <v>13903</v>
      </c>
      <c r="T6900" t="s">
        <v>14004</v>
      </c>
      <c r="U6900" t="s">
        <v>14004</v>
      </c>
      <c r="V6900" t="s">
        <v>14004</v>
      </c>
      <c r="W6900" t="s">
        <v>20841</v>
      </c>
      <c r="X6900">
        <v>21</v>
      </c>
      <c r="Y6900" t="s">
        <v>27613</v>
      </c>
      <c r="Z6900" t="s">
        <v>34610</v>
      </c>
      <c r="AA6900">
        <v>0.83739907347248788</v>
      </c>
      <c r="AB6900" t="str">
        <f>HYPERLINK("Melting_Curves/meltCurve_Q9Y512_SAMM50.pdf", "Melting_Curves/meltCurve_Q9Y512_SAMM50.pdf")</f>
        <v>Melting_Curves/meltCurve_Q9Y512_SAMM50.pdf</v>
      </c>
    </row>
    <row r="6901" spans="1:28" x14ac:dyDescent="0.25">
      <c r="A6901" t="s">
        <v>6905</v>
      </c>
      <c r="B6901">
        <v>0.99999676499088797</v>
      </c>
      <c r="C6901">
        <v>0.99764510800458595</v>
      </c>
      <c r="D6901">
        <v>1.0448917005063301</v>
      </c>
      <c r="E6901">
        <v>1.0342333521681799</v>
      </c>
      <c r="F6901">
        <v>0.75034015173206903</v>
      </c>
      <c r="G6901">
        <v>0.85409295945518005</v>
      </c>
      <c r="H6901">
        <v>0.72425392266474597</v>
      </c>
      <c r="I6901">
        <v>0.80107570143225904</v>
      </c>
      <c r="J6901">
        <v>0.76899404456781195</v>
      </c>
      <c r="K6901">
        <v>0.97956056989526397</v>
      </c>
      <c r="L6901">
        <v>3413.61356646374</v>
      </c>
      <c r="M6901">
        <v>66.690918079228695</v>
      </c>
      <c r="O6901">
        <v>51.139604840180397</v>
      </c>
      <c r="P6901">
        <v>-6.1083753739001899E-2</v>
      </c>
      <c r="Q6901">
        <v>0.81264021286598898</v>
      </c>
      <c r="R6901">
        <v>0.65872828908394598</v>
      </c>
      <c r="S6901" t="s">
        <v>13904</v>
      </c>
      <c r="T6901" t="s">
        <v>14004</v>
      </c>
      <c r="U6901" t="s">
        <v>14004</v>
      </c>
      <c r="V6901" t="s">
        <v>14004</v>
      </c>
      <c r="W6901" t="s">
        <v>20842</v>
      </c>
      <c r="X6901">
        <v>65</v>
      </c>
      <c r="Y6901" t="s">
        <v>27614</v>
      </c>
      <c r="Z6901" t="s">
        <v>34611</v>
      </c>
      <c r="AA6901">
        <v>0.88273502630381195</v>
      </c>
      <c r="AB6901" t="str">
        <f>HYPERLINK("Melting_Curves/meltCurve_Q9Y520_5_PRRC2C.pdf", "Melting_Curves/meltCurve_Q9Y520_5_PRRC2C.pdf")</f>
        <v>Melting_Curves/meltCurve_Q9Y520_5_PRRC2C.pdf</v>
      </c>
    </row>
    <row r="6902" spans="1:28" x14ac:dyDescent="0.25">
      <c r="A6902" t="s">
        <v>6906</v>
      </c>
      <c r="B6902">
        <v>0.99999676499088797</v>
      </c>
      <c r="C6902">
        <v>1.16394207648013</v>
      </c>
      <c r="D6902">
        <v>0.63885441857457403</v>
      </c>
      <c r="E6902">
        <v>0.29541496217207902</v>
      </c>
      <c r="F6902">
        <v>0.13801151639078199</v>
      </c>
      <c r="G6902">
        <v>0.11624122123497201</v>
      </c>
      <c r="H6902">
        <v>0</v>
      </c>
      <c r="I6902">
        <v>0</v>
      </c>
      <c r="J6902">
        <v>0</v>
      </c>
      <c r="K6902">
        <v>0</v>
      </c>
      <c r="L6902">
        <v>1259.9704036006799</v>
      </c>
      <c r="M6902">
        <v>26.4633514926416</v>
      </c>
      <c r="N6902">
        <v>47.720054225191397</v>
      </c>
      <c r="O6902">
        <v>47.3425113355785</v>
      </c>
      <c r="P6902">
        <v>-0.13567798449244001</v>
      </c>
      <c r="Q6902">
        <v>2.91074652506828E-2</v>
      </c>
      <c r="R6902">
        <v>0.96277498446463805</v>
      </c>
      <c r="S6902" t="s">
        <v>13905</v>
      </c>
      <c r="T6902" t="s">
        <v>14004</v>
      </c>
      <c r="U6902" t="s">
        <v>14004</v>
      </c>
      <c r="V6902" t="s">
        <v>14004</v>
      </c>
      <c r="W6902" t="s">
        <v>20843</v>
      </c>
      <c r="X6902">
        <v>2</v>
      </c>
      <c r="Y6902" t="s">
        <v>27615</v>
      </c>
      <c r="Z6902" t="s">
        <v>34612</v>
      </c>
      <c r="AA6902">
        <v>0.28306098811343983</v>
      </c>
      <c r="AB6902" t="str">
        <f>HYPERLINK("Melting_Curves/meltCurve_Q9Y546_LRRC42.pdf", "Melting_Curves/meltCurve_Q9Y546_LRRC42.pdf")</f>
        <v>Melting_Curves/meltCurve_Q9Y546_LRRC42.pdf</v>
      </c>
    </row>
    <row r="6903" spans="1:28" x14ac:dyDescent="0.25">
      <c r="A6903" t="s">
        <v>6907</v>
      </c>
      <c r="B6903">
        <v>0.99999676499088797</v>
      </c>
      <c r="C6903">
        <v>0.81071025449504897</v>
      </c>
      <c r="D6903">
        <v>0.76811506730617296</v>
      </c>
      <c r="E6903">
        <v>0.57149355829091897</v>
      </c>
      <c r="F6903">
        <v>0.48061730900465899</v>
      </c>
      <c r="G6903">
        <v>0.24740043413985799</v>
      </c>
      <c r="H6903">
        <v>0.100973303406957</v>
      </c>
      <c r="I6903">
        <v>0.10344832051439801</v>
      </c>
      <c r="J6903">
        <v>9.1637497672992493E-2</v>
      </c>
      <c r="K6903">
        <v>8.4663290575147807E-2</v>
      </c>
      <c r="L6903">
        <v>528.11857739253503</v>
      </c>
      <c r="M6903">
        <v>10.30967767426</v>
      </c>
      <c r="N6903">
        <v>51.225497702450603</v>
      </c>
      <c r="O6903">
        <v>49.410549290355704</v>
      </c>
      <c r="P6903">
        <v>-5.2185922870473099E-2</v>
      </c>
      <c r="Q6903">
        <v>0</v>
      </c>
      <c r="R6903">
        <v>0.98273035616408799</v>
      </c>
      <c r="S6903" t="s">
        <v>13906</v>
      </c>
      <c r="T6903" t="s">
        <v>14004</v>
      </c>
      <c r="U6903" t="s">
        <v>14004</v>
      </c>
      <c r="V6903" t="s">
        <v>14004</v>
      </c>
      <c r="W6903" t="s">
        <v>20844</v>
      </c>
      <c r="X6903">
        <v>2</v>
      </c>
      <c r="Y6903" t="s">
        <v>27616</v>
      </c>
      <c r="Z6903" t="s">
        <v>34613</v>
      </c>
      <c r="AA6903">
        <v>0.41347419533898983</v>
      </c>
      <c r="AB6903" t="str">
        <f>HYPERLINK("Melting_Curves/meltCurve_Q9Y547_HSPB11.pdf", "Melting_Curves/meltCurve_Q9Y547_HSPB11.pdf")</f>
        <v>Melting_Curves/meltCurve_Q9Y547_HSPB11.pdf</v>
      </c>
    </row>
    <row r="6904" spans="1:28" x14ac:dyDescent="0.25">
      <c r="A6904" t="s">
        <v>6908</v>
      </c>
      <c r="B6904">
        <v>0.99999676499088797</v>
      </c>
      <c r="C6904">
        <v>0.97806740914326196</v>
      </c>
      <c r="D6904">
        <v>0.99111898380130803</v>
      </c>
      <c r="E6904">
        <v>0.96120597064567304</v>
      </c>
      <c r="F6904">
        <v>0.488780000717221</v>
      </c>
      <c r="G6904">
        <v>0.171148613768598</v>
      </c>
      <c r="H6904">
        <v>7.8301916747688105E-2</v>
      </c>
      <c r="I6904">
        <v>7.12328134228951E-2</v>
      </c>
      <c r="J6904">
        <v>7.3754917659021604E-2</v>
      </c>
      <c r="K6904">
        <v>6.2737559375164398E-2</v>
      </c>
      <c r="L6904">
        <v>2003.8306876992899</v>
      </c>
      <c r="M6904">
        <v>37.813171624105998</v>
      </c>
      <c r="N6904">
        <v>53.219795837181998</v>
      </c>
      <c r="O6904">
        <v>52.845367335768401</v>
      </c>
      <c r="P6904">
        <v>-0.16557074035765801</v>
      </c>
      <c r="Q6904">
        <v>7.4436399440952095E-2</v>
      </c>
      <c r="R6904">
        <v>0.99865190306153795</v>
      </c>
      <c r="S6904" t="s">
        <v>13907</v>
      </c>
      <c r="T6904" t="s">
        <v>14004</v>
      </c>
      <c r="U6904" t="s">
        <v>14004</v>
      </c>
      <c r="V6904" t="s">
        <v>14004</v>
      </c>
      <c r="W6904" t="s">
        <v>20845</v>
      </c>
      <c r="X6904">
        <v>16</v>
      </c>
      <c r="Y6904" t="s">
        <v>27617</v>
      </c>
      <c r="Z6904" t="s">
        <v>34614</v>
      </c>
      <c r="AA6904">
        <v>0.47908653662880518</v>
      </c>
      <c r="AB6904" t="str">
        <f>HYPERLINK("Melting_Curves/meltCurve_Q9Y570_PPME1.pdf", "Melting_Curves/meltCurve_Q9Y570_PPME1.pdf")</f>
        <v>Melting_Curves/meltCurve_Q9Y570_PPME1.pdf</v>
      </c>
    </row>
    <row r="6905" spans="1:28" x14ac:dyDescent="0.25">
      <c r="A6905" t="s">
        <v>6909</v>
      </c>
      <c r="B6905">
        <v>0.99999676499088797</v>
      </c>
      <c r="C6905">
        <v>0.88959256520147101</v>
      </c>
      <c r="D6905">
        <v>0.85960437039996795</v>
      </c>
      <c r="E6905">
        <v>0.76821907958033298</v>
      </c>
      <c r="F6905">
        <v>0.76042255629043298</v>
      </c>
      <c r="G6905">
        <v>0.825286341339308</v>
      </c>
      <c r="H6905">
        <v>0.56156124431213505</v>
      </c>
      <c r="I6905">
        <v>0.57117553326465598</v>
      </c>
      <c r="J6905">
        <v>0.38659323627240499</v>
      </c>
      <c r="K6905">
        <v>0.41366633726546498</v>
      </c>
      <c r="L6905">
        <v>332.56889781786799</v>
      </c>
      <c r="M6905">
        <v>5.0905383240936999</v>
      </c>
      <c r="N6905">
        <v>65.330794256592895</v>
      </c>
      <c r="O6905">
        <v>57.255421197983402</v>
      </c>
      <c r="P6905">
        <v>-2.2355393276537398E-2</v>
      </c>
      <c r="Q6905">
        <v>0</v>
      </c>
      <c r="R6905">
        <v>0.90052171440956597</v>
      </c>
      <c r="S6905" t="s">
        <v>13908</v>
      </c>
      <c r="T6905" t="s">
        <v>14004</v>
      </c>
      <c r="U6905" t="s">
        <v>14004</v>
      </c>
      <c r="V6905" t="s">
        <v>14004</v>
      </c>
      <c r="W6905" t="s">
        <v>20846</v>
      </c>
      <c r="X6905">
        <v>2</v>
      </c>
      <c r="Y6905" t="s">
        <v>27618</v>
      </c>
      <c r="Z6905" t="s">
        <v>34615</v>
      </c>
      <c r="AA6905">
        <v>0.71131020450919025</v>
      </c>
      <c r="AB6905" t="str">
        <f>HYPERLINK("Melting_Curves/meltCurve_Q9Y584_TIMM22.pdf", "Melting_Curves/meltCurve_Q9Y584_TIMM22.pdf")</f>
        <v>Melting_Curves/meltCurve_Q9Y584_TIMM22.pdf</v>
      </c>
    </row>
    <row r="6906" spans="1:28" x14ac:dyDescent="0.25">
      <c r="A6906" t="s">
        <v>6910</v>
      </c>
      <c r="B6906">
        <v>0.99999676499088797</v>
      </c>
      <c r="C6906">
        <v>0.98592701403903804</v>
      </c>
      <c r="D6906">
        <v>1.0374232352239501</v>
      </c>
      <c r="E6906">
        <v>0.66426061701546502</v>
      </c>
      <c r="F6906">
        <v>0.53922962431629695</v>
      </c>
      <c r="G6906">
        <v>0.782716938663093</v>
      </c>
      <c r="H6906">
        <v>0.59299217855380904</v>
      </c>
      <c r="I6906">
        <v>0.54358443775605103</v>
      </c>
      <c r="J6906">
        <v>0.45528210975474398</v>
      </c>
      <c r="K6906">
        <v>0.19640745730914799</v>
      </c>
      <c r="L6906">
        <v>369.91411613658198</v>
      </c>
      <c r="M6906">
        <v>5.9199160642633997</v>
      </c>
      <c r="N6906">
        <v>62.486388905690099</v>
      </c>
      <c r="O6906">
        <v>56.469811315734802</v>
      </c>
      <c r="P6906">
        <v>-2.6297357132688898E-2</v>
      </c>
      <c r="Q6906">
        <v>0</v>
      </c>
      <c r="R6906">
        <v>0.78536480839702805</v>
      </c>
      <c r="S6906" t="s">
        <v>13909</v>
      </c>
      <c r="T6906" t="s">
        <v>14004</v>
      </c>
      <c r="U6906" t="s">
        <v>14004</v>
      </c>
      <c r="V6906" t="s">
        <v>14004</v>
      </c>
      <c r="W6906" t="s">
        <v>20847</v>
      </c>
      <c r="X6906">
        <v>2</v>
      </c>
      <c r="Y6906" t="s">
        <v>27619</v>
      </c>
      <c r="Z6906" t="s">
        <v>34616</v>
      </c>
      <c r="AA6906">
        <v>0.67970548899708261</v>
      </c>
      <c r="AB6906" t="str">
        <f>HYPERLINK("Melting_Curves/meltCurve_Q9Y5A6_ZSCAN21.pdf", "Melting_Curves/meltCurve_Q9Y5A6_ZSCAN21.pdf")</f>
        <v>Melting_Curves/meltCurve_Q9Y5A6_ZSCAN21.pdf</v>
      </c>
    </row>
    <row r="6907" spans="1:28" x14ac:dyDescent="0.25">
      <c r="A6907" t="s">
        <v>6911</v>
      </c>
      <c r="B6907">
        <v>0.99999676499088797</v>
      </c>
      <c r="C6907">
        <v>1.05729904904731</v>
      </c>
      <c r="D6907">
        <v>1.04869128635834</v>
      </c>
      <c r="E6907">
        <v>0.92667461715878896</v>
      </c>
      <c r="F6907">
        <v>0.39729165332928401</v>
      </c>
      <c r="G6907">
        <v>0.215596497577458</v>
      </c>
      <c r="H6907">
        <v>0.120021127156327</v>
      </c>
      <c r="I6907">
        <v>0.12296603672527</v>
      </c>
      <c r="J6907">
        <v>0.122856586523814</v>
      </c>
      <c r="K6907">
        <v>0.12912776553135899</v>
      </c>
      <c r="L6907">
        <v>2184.4446582895898</v>
      </c>
      <c r="M6907">
        <v>41.818321225923498</v>
      </c>
      <c r="N6907">
        <v>52.628655820194801</v>
      </c>
      <c r="O6907">
        <v>52.117510271576698</v>
      </c>
      <c r="P6907">
        <v>-0.17374570136582199</v>
      </c>
      <c r="Q6907">
        <v>0.133855333240188</v>
      </c>
      <c r="R6907">
        <v>0.99436808744267102</v>
      </c>
      <c r="S6907" t="s">
        <v>13910</v>
      </c>
      <c r="T6907" t="s">
        <v>14004</v>
      </c>
      <c r="U6907" t="s">
        <v>14004</v>
      </c>
      <c r="V6907" t="s">
        <v>14004</v>
      </c>
      <c r="W6907" t="s">
        <v>20848</v>
      </c>
      <c r="X6907">
        <v>16</v>
      </c>
      <c r="Y6907" t="s">
        <v>27620</v>
      </c>
      <c r="Z6907" t="s">
        <v>34617</v>
      </c>
      <c r="AA6907">
        <v>0.49000100712024958</v>
      </c>
      <c r="AB6907" t="str">
        <f>HYPERLINK("Melting_Curves/meltCurve_Q9Y5A9_YTHDF2.pdf", "Melting_Curves/meltCurve_Q9Y5A9_YTHDF2.pdf")</f>
        <v>Melting_Curves/meltCurve_Q9Y5A9_YTHDF2.pdf</v>
      </c>
    </row>
    <row r="6908" spans="1:28" x14ac:dyDescent="0.25">
      <c r="A6908" t="s">
        <v>6912</v>
      </c>
      <c r="B6908">
        <v>0.99999676499088797</v>
      </c>
      <c r="C6908">
        <v>0.89089266108254705</v>
      </c>
      <c r="D6908">
        <v>0.60324010367040803</v>
      </c>
      <c r="E6908">
        <v>0.25468946426919598</v>
      </c>
      <c r="F6908">
        <v>0.15058764992349399</v>
      </c>
      <c r="G6908">
        <v>0.11667145848260201</v>
      </c>
      <c r="H6908">
        <v>6.3923942179866106E-2</v>
      </c>
      <c r="I6908">
        <v>5.4758712936808798E-2</v>
      </c>
      <c r="J6908">
        <v>5.7681165723624299E-2</v>
      </c>
      <c r="K6908">
        <v>5.1532474811100001E-2</v>
      </c>
      <c r="L6908">
        <v>1028.08057513629</v>
      </c>
      <c r="M6908">
        <v>22.021346289057998</v>
      </c>
      <c r="N6908">
        <v>46.987400294649298</v>
      </c>
      <c r="O6908">
        <v>46.305780875527503</v>
      </c>
      <c r="P6908">
        <v>-0.111053734808072</v>
      </c>
      <c r="Q6908">
        <v>6.5940177031079295E-2</v>
      </c>
      <c r="R6908">
        <v>0.99750056464205294</v>
      </c>
      <c r="S6908" t="s">
        <v>13911</v>
      </c>
      <c r="T6908" t="s">
        <v>14004</v>
      </c>
      <c r="U6908" t="s">
        <v>14004</v>
      </c>
      <c r="V6908" t="s">
        <v>14004</v>
      </c>
      <c r="W6908" t="s">
        <v>20849</v>
      </c>
      <c r="X6908">
        <v>15</v>
      </c>
      <c r="Y6908" t="s">
        <v>27621</v>
      </c>
      <c r="Z6908" t="s">
        <v>34618</v>
      </c>
      <c r="AA6908">
        <v>0.28527007057425319</v>
      </c>
      <c r="AB6908" t="str">
        <f>HYPERLINK("Melting_Curves/meltCurve_Q9Y5B0_CTDP1.pdf", "Melting_Curves/meltCurve_Q9Y5B0_CTDP1.pdf")</f>
        <v>Melting_Curves/meltCurve_Q9Y5B0_CTDP1.pdf</v>
      </c>
    </row>
    <row r="6909" spans="1:28" x14ac:dyDescent="0.25">
      <c r="A6909" t="s">
        <v>6913</v>
      </c>
      <c r="B6909">
        <v>0.99999676499088797</v>
      </c>
      <c r="C6909">
        <v>0.90210250130028202</v>
      </c>
      <c r="D6909">
        <v>0.80055958933934201</v>
      </c>
      <c r="E6909">
        <v>0.30747727922393198</v>
      </c>
      <c r="F6909">
        <v>0.291142910225689</v>
      </c>
      <c r="G6909">
        <v>0.17513191539113299</v>
      </c>
      <c r="H6909">
        <v>0.109788647685893</v>
      </c>
      <c r="I6909">
        <v>9.3214312879632194E-2</v>
      </c>
      <c r="J6909">
        <v>8.8511178772857704E-2</v>
      </c>
      <c r="K6909">
        <v>7.9586460634443107E-2</v>
      </c>
      <c r="L6909">
        <v>1022.09475880655</v>
      </c>
      <c r="M6909">
        <v>21.327869169086</v>
      </c>
      <c r="N6909">
        <v>48.465269704626103</v>
      </c>
      <c r="O6909">
        <v>47.5076476420627</v>
      </c>
      <c r="P6909">
        <v>-0.100322537810048</v>
      </c>
      <c r="Q6909">
        <v>0.106152553822755</v>
      </c>
      <c r="R6909">
        <v>0.98044419713039699</v>
      </c>
      <c r="S6909" t="s">
        <v>13912</v>
      </c>
      <c r="T6909" t="s">
        <v>14004</v>
      </c>
      <c r="U6909" t="s">
        <v>14004</v>
      </c>
      <c r="V6909" t="s">
        <v>14004</v>
      </c>
      <c r="W6909" t="s">
        <v>20850</v>
      </c>
      <c r="X6909">
        <v>11</v>
      </c>
      <c r="Y6909" t="s">
        <v>27622</v>
      </c>
      <c r="Z6909" t="s">
        <v>34619</v>
      </c>
      <c r="AA6909">
        <v>0.35331044876652812</v>
      </c>
      <c r="AB6909" t="str">
        <f>HYPERLINK("Melting_Curves/meltCurve_Q9Y5B6_PAXBP1.pdf", "Melting_Curves/meltCurve_Q9Y5B6_PAXBP1.pdf")</f>
        <v>Melting_Curves/meltCurve_Q9Y5B6_PAXBP1.pdf</v>
      </c>
    </row>
    <row r="6910" spans="1:28" x14ac:dyDescent="0.25">
      <c r="A6910" t="s">
        <v>6914</v>
      </c>
      <c r="B6910">
        <v>0.99999676499088797</v>
      </c>
      <c r="C6910">
        <v>0.90599087450985605</v>
      </c>
      <c r="D6910">
        <v>0.62927261243269095</v>
      </c>
      <c r="E6910">
        <v>0.25440829910915003</v>
      </c>
      <c r="F6910">
        <v>0.19660717541771</v>
      </c>
      <c r="G6910">
        <v>0.13020344558084701</v>
      </c>
      <c r="H6910">
        <v>6.3334062152280601E-2</v>
      </c>
      <c r="I6910">
        <v>8.61396004473792E-2</v>
      </c>
      <c r="J6910">
        <v>6.5379648039372198E-2</v>
      </c>
      <c r="K6910">
        <v>7.9272665476708096E-2</v>
      </c>
      <c r="L6910">
        <v>1064.60089271518</v>
      </c>
      <c r="M6910">
        <v>22.7603520958003</v>
      </c>
      <c r="N6910">
        <v>47.166629707323203</v>
      </c>
      <c r="O6910">
        <v>46.417775037301503</v>
      </c>
      <c r="P6910">
        <v>-0.112016392456151</v>
      </c>
      <c r="Q6910">
        <v>8.6226821569848303E-2</v>
      </c>
      <c r="R6910">
        <v>0.99466172347866499</v>
      </c>
      <c r="S6910" t="s">
        <v>13913</v>
      </c>
      <c r="T6910" t="s">
        <v>14004</v>
      </c>
      <c r="U6910" t="s">
        <v>14004</v>
      </c>
      <c r="V6910" t="s">
        <v>14004</v>
      </c>
      <c r="W6910" t="s">
        <v>20851</v>
      </c>
      <c r="X6910">
        <v>6</v>
      </c>
      <c r="Y6910" t="s">
        <v>27623</v>
      </c>
      <c r="Z6910" t="s">
        <v>34620</v>
      </c>
      <c r="AA6910">
        <v>0.30268160373657149</v>
      </c>
      <c r="AB6910" t="str">
        <f>HYPERLINK("Melting_Curves/meltCurve_Q9Y5B8_NME7.pdf", "Melting_Curves/meltCurve_Q9Y5B8_NME7.pdf")</f>
        <v>Melting_Curves/meltCurve_Q9Y5B8_NME7.pdf</v>
      </c>
    </row>
    <row r="6911" spans="1:28" x14ac:dyDescent="0.25">
      <c r="A6911" t="s">
        <v>6915</v>
      </c>
      <c r="B6911">
        <v>0.99999676499088797</v>
      </c>
      <c r="C6911">
        <v>0.998164563593958</v>
      </c>
      <c r="D6911">
        <v>0.85747919724254296</v>
      </c>
      <c r="E6911">
        <v>0.394142892404029</v>
      </c>
      <c r="F6911">
        <v>0.319372737230945</v>
      </c>
      <c r="G6911">
        <v>0.22552294110016799</v>
      </c>
      <c r="H6911">
        <v>0.10277990833602101</v>
      </c>
      <c r="I6911">
        <v>8.6598339161517698E-2</v>
      </c>
      <c r="J6911">
        <v>6.9812098392167607E-2</v>
      </c>
      <c r="K6911">
        <v>8.1704031746880706E-2</v>
      </c>
      <c r="L6911">
        <v>995.03599008542699</v>
      </c>
      <c r="M6911">
        <v>20.323386594736998</v>
      </c>
      <c r="N6911">
        <v>49.5020627678024</v>
      </c>
      <c r="O6911">
        <v>48.493520090155599</v>
      </c>
      <c r="P6911">
        <v>-9.4326778421816707E-2</v>
      </c>
      <c r="Q6911">
        <v>9.9737170522256793E-2</v>
      </c>
      <c r="R6911">
        <v>0.98029190390602305</v>
      </c>
      <c r="S6911" t="s">
        <v>13914</v>
      </c>
      <c r="T6911" t="s">
        <v>14004</v>
      </c>
      <c r="U6911" t="s">
        <v>14004</v>
      </c>
      <c r="V6911" t="s">
        <v>14004</v>
      </c>
      <c r="W6911" t="s">
        <v>20852</v>
      </c>
      <c r="X6911">
        <v>30</v>
      </c>
      <c r="Y6911" t="s">
        <v>27624</v>
      </c>
      <c r="Z6911" t="s">
        <v>34621</v>
      </c>
      <c r="AA6911">
        <v>0.38082967091633618</v>
      </c>
      <c r="AB6911" t="str">
        <f>HYPERLINK("Melting_Curves/meltCurve_Q9Y5B9_SUPT16H.pdf", "Melting_Curves/meltCurve_Q9Y5B9_SUPT16H.pdf")</f>
        <v>Melting_Curves/meltCurve_Q9Y5B9_SUPT16H.pdf</v>
      </c>
    </row>
    <row r="6912" spans="1:28" x14ac:dyDescent="0.25">
      <c r="A6912" t="s">
        <v>6916</v>
      </c>
      <c r="B6912">
        <v>0.99999676499088797</v>
      </c>
      <c r="C6912">
        <v>0.99375431051752305</v>
      </c>
      <c r="D6912">
        <v>1.03510392350456</v>
      </c>
      <c r="E6912">
        <v>0.699549435911345</v>
      </c>
      <c r="F6912">
        <v>0.275730708986412</v>
      </c>
      <c r="G6912">
        <v>0.23798823407733899</v>
      </c>
      <c r="H6912">
        <v>0.118882038025688</v>
      </c>
      <c r="I6912">
        <v>0.127369720896859</v>
      </c>
      <c r="J6912">
        <v>0.116697090649761</v>
      </c>
      <c r="K6912">
        <v>0.10254404219237601</v>
      </c>
      <c r="L6912">
        <v>1643.9005308731901</v>
      </c>
      <c r="M6912">
        <v>32.436984319146703</v>
      </c>
      <c r="N6912">
        <v>51.163275597714502</v>
      </c>
      <c r="O6912">
        <v>50.488380343403101</v>
      </c>
      <c r="P6912">
        <v>-0.13941663580712599</v>
      </c>
      <c r="Q6912">
        <v>0.13199280001008001</v>
      </c>
      <c r="R6912">
        <v>0.99173328304411401</v>
      </c>
      <c r="S6912" t="s">
        <v>13915</v>
      </c>
      <c r="T6912" t="s">
        <v>14004</v>
      </c>
      <c r="U6912" t="s">
        <v>14004</v>
      </c>
      <c r="V6912" t="s">
        <v>14004</v>
      </c>
      <c r="W6912" t="s">
        <v>20853</v>
      </c>
      <c r="X6912">
        <v>7</v>
      </c>
      <c r="Y6912" t="s">
        <v>27625</v>
      </c>
      <c r="Z6912" t="s">
        <v>34622</v>
      </c>
      <c r="AA6912">
        <v>0.44563761536186469</v>
      </c>
      <c r="AB6912" t="str">
        <f>HYPERLINK("Melting_Curves/meltCurve_Q9Y5J1_UTP18.pdf", "Melting_Curves/meltCurve_Q9Y5J1_UTP18.pdf")</f>
        <v>Melting_Curves/meltCurve_Q9Y5J1_UTP18.pdf</v>
      </c>
    </row>
    <row r="6913" spans="1:28" x14ac:dyDescent="0.25">
      <c r="A6913" t="s">
        <v>6917</v>
      </c>
      <c r="B6913">
        <v>0.99999676499088797</v>
      </c>
      <c r="C6913">
        <v>0.81023176247612205</v>
      </c>
      <c r="D6913">
        <v>0.78393499414121504</v>
      </c>
      <c r="E6913">
        <v>0.72402952437413803</v>
      </c>
      <c r="F6913">
        <v>0.55505994988819096</v>
      </c>
      <c r="G6913">
        <v>0.32790059824054901</v>
      </c>
      <c r="H6913">
        <v>0.15810620282151999</v>
      </c>
      <c r="I6913">
        <v>0.217898890211978</v>
      </c>
      <c r="J6913">
        <v>0.10373647616951299</v>
      </c>
      <c r="K6913">
        <v>0.130614344277208</v>
      </c>
      <c r="L6913">
        <v>495.76476645602702</v>
      </c>
      <c r="M6913">
        <v>9.3081044778826794</v>
      </c>
      <c r="N6913">
        <v>53.2616237934499</v>
      </c>
      <c r="O6913">
        <v>50.9765449691496</v>
      </c>
      <c r="P6913">
        <v>-4.5678136241969397E-2</v>
      </c>
      <c r="Q6913">
        <v>0</v>
      </c>
      <c r="R6913">
        <v>0.97076813526695804</v>
      </c>
      <c r="S6913" t="s">
        <v>13916</v>
      </c>
      <c r="T6913" t="s">
        <v>14004</v>
      </c>
      <c r="U6913" t="s">
        <v>14004</v>
      </c>
      <c r="V6913" t="s">
        <v>14004</v>
      </c>
      <c r="W6913" t="s">
        <v>20854</v>
      </c>
      <c r="X6913">
        <v>4</v>
      </c>
      <c r="Y6913" t="s">
        <v>27626</v>
      </c>
      <c r="Z6913" t="s">
        <v>34623</v>
      </c>
      <c r="AA6913">
        <v>0.47721908829105147</v>
      </c>
      <c r="AB6913" t="str">
        <f>HYPERLINK("Melting_Curves/meltCurve_Q9Y5J6_TIMM10B.pdf", "Melting_Curves/meltCurve_Q9Y5J6_TIMM10B.pdf")</f>
        <v>Melting_Curves/meltCurve_Q9Y5J6_TIMM10B.pdf</v>
      </c>
    </row>
    <row r="6914" spans="1:28" x14ac:dyDescent="0.25">
      <c r="A6914" t="s">
        <v>6918</v>
      </c>
      <c r="B6914">
        <v>0.99999676499088797</v>
      </c>
      <c r="C6914">
        <v>0.96835362343028297</v>
      </c>
      <c r="D6914">
        <v>1.0830150784905299</v>
      </c>
      <c r="E6914">
        <v>1.2705042841787599</v>
      </c>
      <c r="F6914">
        <v>1.0209725774238501</v>
      </c>
      <c r="G6914">
        <v>0.929527356363961</v>
      </c>
      <c r="H6914">
        <v>0.61297548768268895</v>
      </c>
      <c r="I6914">
        <v>0.54012709572134798</v>
      </c>
      <c r="J6914">
        <v>0.41008833675137302</v>
      </c>
      <c r="K6914">
        <v>0.39863747194756199</v>
      </c>
      <c r="L6914">
        <v>1935.1621163131399</v>
      </c>
      <c r="M6914">
        <v>32.2436717705055</v>
      </c>
      <c r="N6914">
        <v>63.395733313233599</v>
      </c>
      <c r="O6914">
        <v>59.787356298226598</v>
      </c>
      <c r="P6914">
        <v>-7.9502489288869299E-2</v>
      </c>
      <c r="Q6914">
        <v>0.41033751128210499</v>
      </c>
      <c r="R6914">
        <v>0.89620754502965905</v>
      </c>
      <c r="S6914" t="s">
        <v>13917</v>
      </c>
      <c r="T6914" t="s">
        <v>14004</v>
      </c>
      <c r="U6914" t="s">
        <v>14004</v>
      </c>
      <c r="V6914" t="s">
        <v>14004</v>
      </c>
      <c r="W6914" t="s">
        <v>20855</v>
      </c>
      <c r="X6914">
        <v>6</v>
      </c>
      <c r="Y6914" t="s">
        <v>27627</v>
      </c>
      <c r="Z6914" t="s">
        <v>34624</v>
      </c>
      <c r="AA6914">
        <v>0.80702089098730279</v>
      </c>
      <c r="AB6914" t="str">
        <f>HYPERLINK("Melting_Curves/meltCurve_Q9Y5J7_TIMM9.pdf", "Melting_Curves/meltCurve_Q9Y5J7_TIMM9.pdf")</f>
        <v>Melting_Curves/meltCurve_Q9Y5J7_TIMM9.pdf</v>
      </c>
    </row>
    <row r="6915" spans="1:28" x14ac:dyDescent="0.25">
      <c r="A6915" t="s">
        <v>6919</v>
      </c>
      <c r="B6915">
        <v>0.99999676499088797</v>
      </c>
      <c r="C6915">
        <v>0.98044700786751104</v>
      </c>
      <c r="D6915">
        <v>0.84348913756737198</v>
      </c>
      <c r="E6915">
        <v>0.30782110829345199</v>
      </c>
      <c r="F6915">
        <v>0.194242205074528</v>
      </c>
      <c r="G6915">
        <v>0.13040793923131</v>
      </c>
      <c r="H6915">
        <v>7.1098191752459794E-2</v>
      </c>
      <c r="I6915">
        <v>6.3422013661648097E-2</v>
      </c>
      <c r="J6915">
        <v>6.5245875290002406E-2</v>
      </c>
      <c r="K6915">
        <v>5.6123646707013398E-2</v>
      </c>
      <c r="L6915">
        <v>1517.00637717882</v>
      </c>
      <c r="M6915">
        <v>31.540384638159601</v>
      </c>
      <c r="N6915">
        <v>48.381252513255802</v>
      </c>
      <c r="O6915">
        <v>47.905178070797803</v>
      </c>
      <c r="P6915">
        <v>-0.150689178179997</v>
      </c>
      <c r="Q6915">
        <v>8.4506959320446801E-2</v>
      </c>
      <c r="R6915">
        <v>0.99368910337224203</v>
      </c>
      <c r="S6915" t="s">
        <v>13918</v>
      </c>
      <c r="T6915" t="s">
        <v>14004</v>
      </c>
      <c r="U6915" t="s">
        <v>14004</v>
      </c>
      <c r="V6915" t="s">
        <v>14004</v>
      </c>
      <c r="W6915" t="s">
        <v>20856</v>
      </c>
      <c r="X6915">
        <v>16</v>
      </c>
      <c r="Y6915" t="s">
        <v>27628</v>
      </c>
      <c r="Z6915" t="s">
        <v>34625</v>
      </c>
      <c r="AA6915">
        <v>0.33657635292692578</v>
      </c>
      <c r="AB6915" t="str">
        <f>HYPERLINK("Melting_Curves/meltCurve_Q9Y5K5_2_UCHL5.pdf", "Melting_Curves/meltCurve_Q9Y5K5_2_UCHL5.pdf")</f>
        <v>Melting_Curves/meltCurve_Q9Y5K5_2_UCHL5.pdf</v>
      </c>
    </row>
    <row r="6916" spans="1:28" x14ac:dyDescent="0.25">
      <c r="A6916" t="s">
        <v>6920</v>
      </c>
      <c r="B6916">
        <v>0.99999676499088797</v>
      </c>
      <c r="C6916">
        <v>0.99613176975439799</v>
      </c>
      <c r="D6916">
        <v>0.93903619762718504</v>
      </c>
      <c r="E6916">
        <v>0.66907656576889196</v>
      </c>
      <c r="F6916">
        <v>0.28626523874764798</v>
      </c>
      <c r="G6916">
        <v>0.16823102705516699</v>
      </c>
      <c r="H6916">
        <v>8.48008838930049E-2</v>
      </c>
      <c r="I6916">
        <v>9.9624209503034106E-2</v>
      </c>
      <c r="J6916">
        <v>0.10570666942104801</v>
      </c>
      <c r="K6916">
        <v>0.100835414260024</v>
      </c>
      <c r="L6916">
        <v>1330.6354676686601</v>
      </c>
      <c r="M6916">
        <v>26.290741439005799</v>
      </c>
      <c r="N6916">
        <v>51.033541989595001</v>
      </c>
      <c r="O6916">
        <v>50.322221743358</v>
      </c>
      <c r="P6916">
        <v>-0.117874216862227</v>
      </c>
      <c r="Q6916">
        <v>9.7533679882557095E-2</v>
      </c>
      <c r="R6916">
        <v>0.99920835397772001</v>
      </c>
      <c r="S6916" t="s">
        <v>13919</v>
      </c>
      <c r="T6916" t="s">
        <v>14004</v>
      </c>
      <c r="U6916" t="s">
        <v>14004</v>
      </c>
      <c r="V6916" t="s">
        <v>14004</v>
      </c>
      <c r="W6916" t="s">
        <v>20857</v>
      </c>
      <c r="X6916">
        <v>17</v>
      </c>
      <c r="Y6916" t="s">
        <v>27629</v>
      </c>
      <c r="Z6916" t="s">
        <v>34626</v>
      </c>
      <c r="AA6916">
        <v>0.42412057083781929</v>
      </c>
      <c r="AB6916" t="str">
        <f>HYPERLINK("Melting_Curves/meltCurve_Q9Y5K6_CD2AP.pdf", "Melting_Curves/meltCurve_Q9Y5K6_CD2AP.pdf")</f>
        <v>Melting_Curves/meltCurve_Q9Y5K6_CD2AP.pdf</v>
      </c>
    </row>
    <row r="6917" spans="1:28" x14ac:dyDescent="0.25">
      <c r="A6917" t="s">
        <v>6921</v>
      </c>
      <c r="B6917">
        <v>0.99999676499088797</v>
      </c>
      <c r="C6917">
        <v>0.97423266922190699</v>
      </c>
      <c r="D6917">
        <v>1.0146010896993101</v>
      </c>
      <c r="E6917">
        <v>1.09621791037366</v>
      </c>
      <c r="F6917">
        <v>1.00254143082804</v>
      </c>
      <c r="G6917">
        <v>0.96598480052923996</v>
      </c>
      <c r="H6917">
        <v>0.55172581989146996</v>
      </c>
      <c r="I6917">
        <v>0.380150952569067</v>
      </c>
      <c r="J6917">
        <v>0.272357310508275</v>
      </c>
      <c r="K6917">
        <v>0.28839507367308798</v>
      </c>
      <c r="L6917">
        <v>2546.5089917712198</v>
      </c>
      <c r="M6917">
        <v>42.325389907486603</v>
      </c>
      <c r="N6917">
        <v>61.418274052335597</v>
      </c>
      <c r="O6917">
        <v>60.031203848280299</v>
      </c>
      <c r="P6917">
        <v>-0.12529081806669901</v>
      </c>
      <c r="Q6917">
        <v>0.28918824192141801</v>
      </c>
      <c r="R6917">
        <v>0.98740340019904804</v>
      </c>
      <c r="S6917" t="s">
        <v>13920</v>
      </c>
      <c r="T6917" t="s">
        <v>14004</v>
      </c>
      <c r="U6917" t="s">
        <v>14004</v>
      </c>
      <c r="V6917" t="s">
        <v>14004</v>
      </c>
      <c r="W6917" t="s">
        <v>20858</v>
      </c>
      <c r="X6917">
        <v>17</v>
      </c>
      <c r="Y6917" t="s">
        <v>27630</v>
      </c>
      <c r="Z6917" t="s">
        <v>34627</v>
      </c>
      <c r="AA6917">
        <v>0.76948554132662328</v>
      </c>
      <c r="AB6917" t="str">
        <f>HYPERLINK("Melting_Curves/meltCurve_Q9Y5K8_ATP6V1D.pdf", "Melting_Curves/meltCurve_Q9Y5K8_ATP6V1D.pdf")</f>
        <v>Melting_Curves/meltCurve_Q9Y5K8_ATP6V1D.pdf</v>
      </c>
    </row>
    <row r="6918" spans="1:28" x14ac:dyDescent="0.25">
      <c r="A6918" t="s">
        <v>6922</v>
      </c>
      <c r="B6918">
        <v>0.99999676499088797</v>
      </c>
      <c r="C6918">
        <v>0.95681990793750005</v>
      </c>
      <c r="D6918">
        <v>0.94980066847369304</v>
      </c>
      <c r="E6918">
        <v>0.83651903634188096</v>
      </c>
      <c r="F6918">
        <v>0.742051858048562</v>
      </c>
      <c r="G6918">
        <v>0.66128772318682605</v>
      </c>
      <c r="H6918">
        <v>0.33901005819674401</v>
      </c>
      <c r="I6918">
        <v>0.36237566205357202</v>
      </c>
      <c r="J6918">
        <v>0.335437143199388</v>
      </c>
      <c r="K6918">
        <v>0.29814753714054498</v>
      </c>
      <c r="L6918">
        <v>694.63884675085399</v>
      </c>
      <c r="M6918">
        <v>12.400689074326401</v>
      </c>
      <c r="N6918">
        <v>58.863397856119398</v>
      </c>
      <c r="O6918">
        <v>54.619248116865798</v>
      </c>
      <c r="P6918">
        <v>-4.3967037587645502E-2</v>
      </c>
      <c r="Q6918">
        <v>0.22554724284264899</v>
      </c>
      <c r="R6918">
        <v>0.97489370539505404</v>
      </c>
      <c r="S6918" t="s">
        <v>13921</v>
      </c>
      <c r="T6918" t="s">
        <v>14004</v>
      </c>
      <c r="U6918" t="s">
        <v>14004</v>
      </c>
      <c r="V6918" t="s">
        <v>14004</v>
      </c>
      <c r="W6918" t="s">
        <v>20859</v>
      </c>
      <c r="X6918">
        <v>7</v>
      </c>
      <c r="Y6918" t="s">
        <v>27631</v>
      </c>
      <c r="Z6918" t="s">
        <v>34628</v>
      </c>
      <c r="AA6918">
        <v>0.6545360788439194</v>
      </c>
      <c r="AB6918" t="str">
        <f>HYPERLINK("Melting_Curves/meltCurve_Q9Y5L4_TIMM13.pdf", "Melting_Curves/meltCurve_Q9Y5L4_TIMM13.pdf")</f>
        <v>Melting_Curves/meltCurve_Q9Y5L4_TIMM13.pdf</v>
      </c>
    </row>
    <row r="6919" spans="1:28" x14ac:dyDescent="0.25">
      <c r="A6919" t="s">
        <v>6923</v>
      </c>
      <c r="B6919">
        <v>0.99999676499088797</v>
      </c>
      <c r="C6919">
        <v>0.94296931206647505</v>
      </c>
      <c r="D6919">
        <v>0.93356518848398795</v>
      </c>
      <c r="E6919">
        <v>0.56145938059487099</v>
      </c>
      <c r="F6919">
        <v>0.23417233827944101</v>
      </c>
      <c r="G6919">
        <v>0.153080306564611</v>
      </c>
      <c r="H6919">
        <v>7.2332984451285304E-2</v>
      </c>
      <c r="I6919">
        <v>6.5269092757307995E-2</v>
      </c>
      <c r="J6919">
        <v>6.5244891430145405E-2</v>
      </c>
      <c r="K6919">
        <v>4.7925386886730301E-2</v>
      </c>
      <c r="L6919">
        <v>1212.6298211840201</v>
      </c>
      <c r="M6919">
        <v>24.2608906833897</v>
      </c>
      <c r="N6919">
        <v>50.271939808600301</v>
      </c>
      <c r="O6919">
        <v>49.647006919415198</v>
      </c>
      <c r="P6919">
        <v>-0.114215908974053</v>
      </c>
      <c r="Q6919">
        <v>6.5097101741186103E-2</v>
      </c>
      <c r="R6919">
        <v>0.99661944237741296</v>
      </c>
      <c r="S6919" t="s">
        <v>13922</v>
      </c>
      <c r="T6919" t="s">
        <v>14004</v>
      </c>
      <c r="U6919" t="s">
        <v>14004</v>
      </c>
      <c r="V6919" t="s">
        <v>14004</v>
      </c>
      <c r="W6919" t="s">
        <v>20860</v>
      </c>
      <c r="X6919">
        <v>13</v>
      </c>
      <c r="Y6919" t="s">
        <v>27632</v>
      </c>
      <c r="Z6919" t="s">
        <v>34629</v>
      </c>
      <c r="AA6919">
        <v>0.38507246405591927</v>
      </c>
      <c r="AB6919" t="str">
        <f>HYPERLINK("Melting_Curves/meltCurve_Q9Y5M8_SRPRB.pdf", "Melting_Curves/meltCurve_Q9Y5M8_SRPRB.pdf")</f>
        <v>Melting_Curves/meltCurve_Q9Y5M8_SRPRB.pdf</v>
      </c>
    </row>
    <row r="6920" spans="1:28" x14ac:dyDescent="0.25">
      <c r="A6920" t="s">
        <v>6924</v>
      </c>
      <c r="B6920">
        <v>0.99999676499088797</v>
      </c>
      <c r="C6920">
        <v>1.07215877901859</v>
      </c>
      <c r="D6920">
        <v>1.13182400125927</v>
      </c>
      <c r="E6920">
        <v>1.2323114948223399</v>
      </c>
      <c r="F6920">
        <v>0.94326579684557299</v>
      </c>
      <c r="G6920">
        <v>0.62915492222070601</v>
      </c>
      <c r="H6920">
        <v>0.21023352559112601</v>
      </c>
      <c r="I6920">
        <v>0.143884625289527</v>
      </c>
      <c r="J6920">
        <v>0.12975650130640001</v>
      </c>
      <c r="K6920">
        <v>0.13040980744325401</v>
      </c>
      <c r="L6920">
        <v>2295.9078363532799</v>
      </c>
      <c r="M6920">
        <v>40.123211915396602</v>
      </c>
      <c r="N6920">
        <v>57.657412047189297</v>
      </c>
      <c r="O6920">
        <v>57.0798450819537</v>
      </c>
      <c r="P6920">
        <v>-0.15273938065597401</v>
      </c>
      <c r="Q6920">
        <v>0.13084500015235101</v>
      </c>
      <c r="R6920">
        <v>0.96007710689127201</v>
      </c>
      <c r="S6920" t="s">
        <v>13923</v>
      </c>
      <c r="T6920" t="s">
        <v>14004</v>
      </c>
      <c r="U6920" t="s">
        <v>14004</v>
      </c>
      <c r="V6920" t="s">
        <v>14004</v>
      </c>
      <c r="W6920" t="s">
        <v>20861</v>
      </c>
      <c r="X6920">
        <v>3</v>
      </c>
      <c r="Y6920" t="s">
        <v>27633</v>
      </c>
      <c r="Z6920" t="s">
        <v>34630</v>
      </c>
      <c r="AA6920">
        <v>0.63315560286300099</v>
      </c>
      <c r="AB6920" t="str">
        <f>HYPERLINK("Melting_Curves/meltCurve_Q9Y5N5_N6AMT1.pdf", "Melting_Curves/meltCurve_Q9Y5N5_N6AMT1.pdf")</f>
        <v>Melting_Curves/meltCurve_Q9Y5N5_N6AMT1.pdf</v>
      </c>
    </row>
    <row r="6921" spans="1:28" x14ac:dyDescent="0.25">
      <c r="A6921" t="s">
        <v>6925</v>
      </c>
      <c r="B6921">
        <v>0.99999676499088797</v>
      </c>
      <c r="C6921">
        <v>0.74719527687821197</v>
      </c>
      <c r="D6921">
        <v>0.31763814506033</v>
      </c>
      <c r="E6921">
        <v>0.16980830964563501</v>
      </c>
      <c r="F6921">
        <v>0.117069788269326</v>
      </c>
      <c r="G6921">
        <v>8.5261014673607402E-2</v>
      </c>
      <c r="H6921">
        <v>4.3365478551193999E-2</v>
      </c>
      <c r="I6921">
        <v>5.0801739239814001E-2</v>
      </c>
      <c r="J6921">
        <v>3.7697531798175601E-2</v>
      </c>
      <c r="K6921">
        <v>3.07435631859314E-2</v>
      </c>
      <c r="L6921">
        <v>1183.3822660298499</v>
      </c>
      <c r="M6921">
        <v>26.582500712376699</v>
      </c>
      <c r="N6921">
        <v>44.744404912182901</v>
      </c>
      <c r="O6921">
        <v>44.267711741999904</v>
      </c>
      <c r="P6921">
        <v>-0.140653454604175</v>
      </c>
      <c r="Q6921">
        <v>6.3092110383850902E-2</v>
      </c>
      <c r="R6921">
        <v>0.99097824443469196</v>
      </c>
      <c r="S6921" t="s">
        <v>13924</v>
      </c>
      <c r="T6921" t="s">
        <v>14004</v>
      </c>
      <c r="U6921" t="s">
        <v>14004</v>
      </c>
      <c r="V6921" t="s">
        <v>14004</v>
      </c>
      <c r="W6921" t="s">
        <v>20862</v>
      </c>
      <c r="X6921">
        <v>6</v>
      </c>
      <c r="Y6921" t="s">
        <v>27634</v>
      </c>
      <c r="Z6921" t="s">
        <v>34631</v>
      </c>
      <c r="AA6921">
        <v>0.21268607189473149</v>
      </c>
      <c r="AB6921" t="str">
        <f>HYPERLINK("Melting_Curves/meltCurve_Q9Y5N6_ORC6.pdf", "Melting_Curves/meltCurve_Q9Y5N6_ORC6.pdf")</f>
        <v>Melting_Curves/meltCurve_Q9Y5N6_ORC6.pdf</v>
      </c>
    </row>
    <row r="6922" spans="1:28" x14ac:dyDescent="0.25">
      <c r="A6922" t="s">
        <v>6926</v>
      </c>
      <c r="B6922">
        <v>0.99999676499088797</v>
      </c>
      <c r="C6922">
        <v>0.98220646386287602</v>
      </c>
      <c r="D6922">
        <v>0.925810115317798</v>
      </c>
      <c r="E6922">
        <v>0.58185999364983998</v>
      </c>
      <c r="F6922">
        <v>0.223195054133314</v>
      </c>
      <c r="G6922">
        <v>0.17217327720582501</v>
      </c>
      <c r="H6922">
        <v>0.107923821935001</v>
      </c>
      <c r="I6922">
        <v>0.108249254268729</v>
      </c>
      <c r="J6922">
        <v>9.4804869753012194E-2</v>
      </c>
      <c r="K6922">
        <v>8.8352303813914804E-2</v>
      </c>
      <c r="L6922">
        <v>1378.30274373613</v>
      </c>
      <c r="M6922">
        <v>27.656260463759299</v>
      </c>
      <c r="N6922">
        <v>50.2615030333506</v>
      </c>
      <c r="O6922">
        <v>49.578546418164201</v>
      </c>
      <c r="P6922">
        <v>-0.12492980246260101</v>
      </c>
      <c r="Q6922">
        <v>0.104176659508109</v>
      </c>
      <c r="R6922">
        <v>0.99849364752707304</v>
      </c>
      <c r="S6922" t="s">
        <v>13925</v>
      </c>
      <c r="T6922" t="s">
        <v>14004</v>
      </c>
      <c r="U6922" t="s">
        <v>14004</v>
      </c>
      <c r="V6922" t="s">
        <v>14004</v>
      </c>
      <c r="W6922" t="s">
        <v>20863</v>
      </c>
      <c r="X6922">
        <v>20</v>
      </c>
      <c r="Y6922" t="s">
        <v>27635</v>
      </c>
      <c r="Z6922" t="s">
        <v>34632</v>
      </c>
      <c r="AA6922">
        <v>0.40443150841985781</v>
      </c>
      <c r="AB6922" t="str">
        <f>HYPERLINK("Melting_Curves/meltCurve_Q9Y5P4_2_COL4A3BP.pdf", "Melting_Curves/meltCurve_Q9Y5P4_2_COL4A3BP.pdf")</f>
        <v>Melting_Curves/meltCurve_Q9Y5P4_2_COL4A3BP.pdf</v>
      </c>
    </row>
    <row r="6923" spans="1:28" x14ac:dyDescent="0.25">
      <c r="A6923" t="s">
        <v>6927</v>
      </c>
      <c r="B6923">
        <v>0.99999676499088797</v>
      </c>
      <c r="C6923">
        <v>1.0068006332271899</v>
      </c>
      <c r="D6923">
        <v>1.14534290276321</v>
      </c>
      <c r="E6923">
        <v>1.55595563442951</v>
      </c>
      <c r="F6923">
        <v>1.5149647570008999</v>
      </c>
      <c r="G6923">
        <v>0.95409101164619503</v>
      </c>
      <c r="H6923">
        <v>0.38600851651604301</v>
      </c>
      <c r="I6923">
        <v>0.22365845170905299</v>
      </c>
      <c r="J6923">
        <v>0.23816071655958901</v>
      </c>
      <c r="K6923">
        <v>0.27686574876915698</v>
      </c>
      <c r="L6923">
        <v>3991.6754103438202</v>
      </c>
      <c r="M6923">
        <v>67.159502952656794</v>
      </c>
      <c r="N6923">
        <v>60.037918250811302</v>
      </c>
      <c r="O6923">
        <v>59.383127402392198</v>
      </c>
      <c r="P6923">
        <v>-0.21344911592034499</v>
      </c>
      <c r="Q6923">
        <v>0.24506465544640199</v>
      </c>
      <c r="R6923">
        <v>0.75011310208424797</v>
      </c>
      <c r="S6923" t="s">
        <v>13926</v>
      </c>
      <c r="T6923" t="s">
        <v>14004</v>
      </c>
      <c r="U6923" t="s">
        <v>14004</v>
      </c>
      <c r="V6923" t="s">
        <v>14004</v>
      </c>
      <c r="W6923" t="s">
        <v>20864</v>
      </c>
      <c r="X6923">
        <v>13</v>
      </c>
      <c r="Y6923" t="s">
        <v>27636</v>
      </c>
      <c r="Z6923" t="s">
        <v>34633</v>
      </c>
      <c r="AA6923">
        <v>0.73524883585485767</v>
      </c>
      <c r="AB6923" t="str">
        <f>HYPERLINK("Melting_Curves/meltCurve_Q9Y5P6_GMPPB.pdf", "Melting_Curves/meltCurve_Q9Y5P6_GMPPB.pdf")</f>
        <v>Melting_Curves/meltCurve_Q9Y5P6_GMPPB.pdf</v>
      </c>
    </row>
    <row r="6924" spans="1:28" x14ac:dyDescent="0.25">
      <c r="A6924" t="s">
        <v>6928</v>
      </c>
      <c r="B6924">
        <v>0.99999676499088797</v>
      </c>
      <c r="C6924">
        <v>0.59699126898107702</v>
      </c>
      <c r="D6924">
        <v>0.20903511106570999</v>
      </c>
      <c r="E6924">
        <v>0.125866804903637</v>
      </c>
      <c r="F6924">
        <v>0.108339498792052</v>
      </c>
      <c r="G6924">
        <v>0.12606856178077999</v>
      </c>
      <c r="H6924">
        <v>0</v>
      </c>
      <c r="I6924">
        <v>0.143075157651639</v>
      </c>
      <c r="J6924">
        <v>6.24267639360995E-2</v>
      </c>
      <c r="K6924">
        <v>0</v>
      </c>
      <c r="L6924">
        <v>1475.1897650122401</v>
      </c>
      <c r="M6924">
        <v>34.046156029117199</v>
      </c>
      <c r="N6924">
        <v>43.552261180362599</v>
      </c>
      <c r="O6924">
        <v>43.180463994562103</v>
      </c>
      <c r="P6924">
        <v>-0.18133968048202101</v>
      </c>
      <c r="Q6924">
        <v>8.0037401421655593E-2</v>
      </c>
      <c r="R6924">
        <v>0.97309645488112195</v>
      </c>
      <c r="S6924" t="s">
        <v>13927</v>
      </c>
      <c r="T6924" t="s">
        <v>14004</v>
      </c>
      <c r="U6924" t="s">
        <v>14004</v>
      </c>
      <c r="V6924" t="s">
        <v>14004</v>
      </c>
      <c r="W6924" t="s">
        <v>20865</v>
      </c>
      <c r="X6924">
        <v>2</v>
      </c>
      <c r="Y6924" t="s">
        <v>27637</v>
      </c>
      <c r="Z6924" t="s">
        <v>34634</v>
      </c>
      <c r="AA6924">
        <v>0.18774675470791791</v>
      </c>
      <c r="AB6924" t="str">
        <f>HYPERLINK("Melting_Curves/meltCurve_Q9Y5Q9_GTF3C3.pdf", "Melting_Curves/meltCurve_Q9Y5Q9_GTF3C3.pdf")</f>
        <v>Melting_Curves/meltCurve_Q9Y5Q9_GTF3C3.pdf</v>
      </c>
    </row>
    <row r="6925" spans="1:28" x14ac:dyDescent="0.25">
      <c r="A6925" t="s">
        <v>6929</v>
      </c>
      <c r="B6925">
        <v>0.99999676499088797</v>
      </c>
      <c r="C6925">
        <v>0.91918283729868899</v>
      </c>
      <c r="D6925">
        <v>0.92517847966204503</v>
      </c>
      <c r="E6925">
        <v>0.84835536047816096</v>
      </c>
      <c r="F6925">
        <v>0.66661485758587802</v>
      </c>
      <c r="G6925">
        <v>0.374432029111959</v>
      </c>
      <c r="H6925">
        <v>0.13482061607867399</v>
      </c>
      <c r="I6925">
        <v>0.132285506608214</v>
      </c>
      <c r="J6925">
        <v>0.117151163285628</v>
      </c>
      <c r="K6925">
        <v>0.105326815065729</v>
      </c>
      <c r="L6925">
        <v>991.65045561659304</v>
      </c>
      <c r="M6925">
        <v>18.217005567089299</v>
      </c>
      <c r="N6925">
        <v>54.902778933891597</v>
      </c>
      <c r="O6925">
        <v>53.792204933879198</v>
      </c>
      <c r="P6925">
        <v>-7.8586840413970099E-2</v>
      </c>
      <c r="Q6925">
        <v>7.1821393949633203E-2</v>
      </c>
      <c r="R6925">
        <v>0.99053038663562998</v>
      </c>
      <c r="S6925" t="s">
        <v>13928</v>
      </c>
      <c r="T6925" t="s">
        <v>14004</v>
      </c>
      <c r="U6925" t="s">
        <v>14004</v>
      </c>
      <c r="V6925" t="s">
        <v>14004</v>
      </c>
      <c r="W6925" t="s">
        <v>20866</v>
      </c>
      <c r="X6925">
        <v>5</v>
      </c>
      <c r="Y6925" t="s">
        <v>27638</v>
      </c>
      <c r="Z6925" t="s">
        <v>34635</v>
      </c>
      <c r="AA6925">
        <v>0.53285026603030006</v>
      </c>
      <c r="AB6925" t="str">
        <f>HYPERLINK("Melting_Curves/meltCurve_Q9Y5R8_TRAPPC1.pdf", "Melting_Curves/meltCurve_Q9Y5R8_TRAPPC1.pdf")</f>
        <v>Melting_Curves/meltCurve_Q9Y5R8_TRAPPC1.pdf</v>
      </c>
    </row>
    <row r="6926" spans="1:28" x14ac:dyDescent="0.25">
      <c r="A6926" t="s">
        <v>6930</v>
      </c>
      <c r="B6926">
        <v>0.99999676499088797</v>
      </c>
      <c r="C6926">
        <v>1.1482843091855699</v>
      </c>
      <c r="D6926">
        <v>1.1291157650543</v>
      </c>
      <c r="E6926">
        <v>1.0730222487024801</v>
      </c>
      <c r="F6926">
        <v>0.86019646107766601</v>
      </c>
      <c r="G6926">
        <v>0.18346404455243701</v>
      </c>
      <c r="H6926">
        <v>7.3899515109475095E-2</v>
      </c>
      <c r="I6926">
        <v>4.6172011457794197E-2</v>
      </c>
      <c r="J6926">
        <v>2.98977521055604E-2</v>
      </c>
      <c r="K6926">
        <v>3.40250897560209E-2</v>
      </c>
      <c r="L6926">
        <v>2987.1635629965399</v>
      </c>
      <c r="M6926">
        <v>54.362049571501302</v>
      </c>
      <c r="N6926">
        <v>55.043868328459403</v>
      </c>
      <c r="O6926">
        <v>54.8752204251021</v>
      </c>
      <c r="P6926">
        <v>-0.236634558108229</v>
      </c>
      <c r="Q6926">
        <v>4.4527152262805701E-2</v>
      </c>
      <c r="R6926">
        <v>0.98124374000241998</v>
      </c>
      <c r="S6926" t="s">
        <v>13929</v>
      </c>
      <c r="T6926" t="s">
        <v>14004</v>
      </c>
      <c r="U6926" t="s">
        <v>14004</v>
      </c>
      <c r="V6926" t="s">
        <v>14004</v>
      </c>
      <c r="W6926" t="s">
        <v>20867</v>
      </c>
      <c r="X6926">
        <v>5</v>
      </c>
      <c r="Y6926" t="s">
        <v>27639</v>
      </c>
      <c r="Z6926" t="s">
        <v>34636</v>
      </c>
      <c r="AA6926">
        <v>0.52260993151044299</v>
      </c>
      <c r="AB6926" t="str">
        <f>HYPERLINK("Melting_Curves/meltCurve_Q9Y5S1_TRPV2.pdf", "Melting_Curves/meltCurve_Q9Y5S1_TRPV2.pdf")</f>
        <v>Melting_Curves/meltCurve_Q9Y5S1_TRPV2.pdf</v>
      </c>
    </row>
    <row r="6927" spans="1:28" x14ac:dyDescent="0.25">
      <c r="A6927" t="s">
        <v>6931</v>
      </c>
      <c r="B6927">
        <v>0.99999676499088797</v>
      </c>
      <c r="C6927">
        <v>0.97897247730575698</v>
      </c>
      <c r="D6927">
        <v>0.98535453019092101</v>
      </c>
      <c r="E6927">
        <v>1.0562678860510799</v>
      </c>
      <c r="F6927">
        <v>0.55208465833890896</v>
      </c>
      <c r="G6927">
        <v>0.40387895072027302</v>
      </c>
      <c r="H6927">
        <v>0.210118221569386</v>
      </c>
      <c r="I6927">
        <v>0.152563502552713</v>
      </c>
      <c r="J6927">
        <v>0.12307109878336001</v>
      </c>
      <c r="K6927">
        <v>0.13422896334331799</v>
      </c>
      <c r="L6927">
        <v>1378.75499579093</v>
      </c>
      <c r="M6927">
        <v>25.531604520932799</v>
      </c>
      <c r="N6927">
        <v>54.729189997479203</v>
      </c>
      <c r="O6927">
        <v>53.673872282959501</v>
      </c>
      <c r="P6927">
        <v>-0.101813628314427</v>
      </c>
      <c r="Q6927">
        <v>0.14385886332157899</v>
      </c>
      <c r="R6927">
        <v>0.97595717949019101</v>
      </c>
      <c r="S6927" t="s">
        <v>13930</v>
      </c>
      <c r="T6927" t="s">
        <v>14004</v>
      </c>
      <c r="U6927" t="s">
        <v>14004</v>
      </c>
      <c r="V6927" t="s">
        <v>14004</v>
      </c>
      <c r="W6927" t="s">
        <v>20868</v>
      </c>
      <c r="X6927">
        <v>8</v>
      </c>
      <c r="Y6927" t="s">
        <v>27640</v>
      </c>
      <c r="Z6927" t="s">
        <v>34637</v>
      </c>
      <c r="AA6927">
        <v>0.55106891389646162</v>
      </c>
      <c r="AB6927" t="str">
        <f>HYPERLINK("Melting_Curves/meltCurve_Q9Y5S9_RBM8A.pdf", "Melting_Curves/meltCurve_Q9Y5S9_RBM8A.pdf")</f>
        <v>Melting_Curves/meltCurve_Q9Y5S9_RBM8A.pdf</v>
      </c>
    </row>
    <row r="6928" spans="1:28" x14ac:dyDescent="0.25">
      <c r="A6928" t="s">
        <v>6932</v>
      </c>
      <c r="B6928">
        <v>0.99999676499088797</v>
      </c>
      <c r="C6928">
        <v>0.92362186301445404</v>
      </c>
      <c r="D6928">
        <v>0.96437468118713099</v>
      </c>
      <c r="E6928">
        <v>0.77080161335567798</v>
      </c>
      <c r="F6928">
        <v>0.47868675748184403</v>
      </c>
      <c r="G6928">
        <v>0.42450031962845602</v>
      </c>
      <c r="H6928">
        <v>0.29610193337662799</v>
      </c>
      <c r="I6928">
        <v>0.32500692469324099</v>
      </c>
      <c r="J6928">
        <v>0.32470061247992699</v>
      </c>
      <c r="K6928">
        <v>0.38939270826919797</v>
      </c>
      <c r="L6928">
        <v>1269.52023339531</v>
      </c>
      <c r="M6928">
        <v>25.005519486660202</v>
      </c>
      <c r="N6928">
        <v>53.15490513017</v>
      </c>
      <c r="O6928">
        <v>50.448239836770298</v>
      </c>
      <c r="P6928">
        <v>-8.2132557079631796E-2</v>
      </c>
      <c r="Q6928">
        <v>0.33720437561993699</v>
      </c>
      <c r="R6928">
        <v>0.98279855812811701</v>
      </c>
      <c r="S6928" t="s">
        <v>13931</v>
      </c>
      <c r="T6928" t="s">
        <v>14004</v>
      </c>
      <c r="U6928" t="s">
        <v>14004</v>
      </c>
      <c r="V6928" t="s">
        <v>14004</v>
      </c>
      <c r="W6928" t="s">
        <v>20869</v>
      </c>
      <c r="X6928">
        <v>3</v>
      </c>
      <c r="Y6928" t="s">
        <v>27641</v>
      </c>
      <c r="Z6928" t="s">
        <v>34638</v>
      </c>
      <c r="AA6928">
        <v>0.58110918951206902</v>
      </c>
      <c r="AB6928" t="str">
        <f>HYPERLINK("Melting_Curves/meltCurve_Q9Y5T4_DNAJC15.pdf", "Melting_Curves/meltCurve_Q9Y5T4_DNAJC15.pdf")</f>
        <v>Melting_Curves/meltCurve_Q9Y5T4_DNAJC15.pdf</v>
      </c>
    </row>
    <row r="6929" spans="1:28" x14ac:dyDescent="0.25">
      <c r="A6929" t="s">
        <v>6933</v>
      </c>
      <c r="B6929">
        <v>0.99999676499088797</v>
      </c>
      <c r="C6929">
        <v>0.85927923938383199</v>
      </c>
      <c r="D6929">
        <v>0.45603251982845999</v>
      </c>
      <c r="E6929">
        <v>0.24998632559115599</v>
      </c>
      <c r="F6929">
        <v>0.22392634412406701</v>
      </c>
      <c r="G6929">
        <v>0.15736575351426399</v>
      </c>
      <c r="H6929">
        <v>0.122513222141126</v>
      </c>
      <c r="I6929">
        <v>8.9047842447776804E-2</v>
      </c>
      <c r="J6929">
        <v>8.4575848787722605E-2</v>
      </c>
      <c r="K6929">
        <v>0.116368716134399</v>
      </c>
      <c r="L6929">
        <v>1115.392560945</v>
      </c>
      <c r="M6929">
        <v>24.562300349731199</v>
      </c>
      <c r="N6929">
        <v>45.961476603807398</v>
      </c>
      <c r="O6929">
        <v>45.112959273811697</v>
      </c>
      <c r="P6929">
        <v>-0.118765504604031</v>
      </c>
      <c r="Q6929">
        <v>0.12747812201477501</v>
      </c>
      <c r="R6929">
        <v>0.98666772763082999</v>
      </c>
      <c r="S6929" t="s">
        <v>13932</v>
      </c>
      <c r="T6929" t="s">
        <v>14004</v>
      </c>
      <c r="U6929" t="s">
        <v>14004</v>
      </c>
      <c r="V6929" t="s">
        <v>14004</v>
      </c>
      <c r="W6929" t="s">
        <v>20870</v>
      </c>
      <c r="X6929">
        <v>5</v>
      </c>
      <c r="Y6929" t="s">
        <v>27642</v>
      </c>
      <c r="Z6929" t="s">
        <v>34639</v>
      </c>
      <c r="AA6929">
        <v>0.29357599809368767</v>
      </c>
      <c r="AB6929" t="str">
        <f>HYPERLINK("Melting_Curves/meltCurve_Q9Y5T5_2_USP16.pdf", "Melting_Curves/meltCurve_Q9Y5T5_2_USP16.pdf")</f>
        <v>Melting_Curves/meltCurve_Q9Y5T5_2_USP16.pdf</v>
      </c>
    </row>
    <row r="6930" spans="1:28" x14ac:dyDescent="0.25">
      <c r="A6930" t="s">
        <v>6934</v>
      </c>
      <c r="B6930">
        <v>0.99999676499088797</v>
      </c>
      <c r="C6930">
        <v>1.0144599075112199</v>
      </c>
      <c r="D6930">
        <v>0.92494895945585798</v>
      </c>
      <c r="E6930">
        <v>0.67855581493759298</v>
      </c>
      <c r="F6930">
        <v>1.0150217835494399</v>
      </c>
      <c r="G6930">
        <v>1.0073150151425101</v>
      </c>
      <c r="H6930">
        <v>0.72962910697528105</v>
      </c>
      <c r="I6930">
        <v>0.62227331405141595</v>
      </c>
      <c r="J6930">
        <v>0.58606396245992698</v>
      </c>
      <c r="K6930">
        <v>0.58656279111934795</v>
      </c>
      <c r="L6930">
        <v>429.21506388133002</v>
      </c>
      <c r="M6930">
        <v>5.9168645709993699</v>
      </c>
      <c r="O6930">
        <v>65.550175272495906</v>
      </c>
      <c r="P6930">
        <v>-2.26429679897799E-2</v>
      </c>
      <c r="Q6930">
        <v>0</v>
      </c>
      <c r="R6930">
        <v>0.63395993898615999</v>
      </c>
      <c r="S6930" t="s">
        <v>13933</v>
      </c>
      <c r="T6930" t="s">
        <v>14004</v>
      </c>
      <c r="U6930" t="s">
        <v>14004</v>
      </c>
      <c r="V6930" t="s">
        <v>14004</v>
      </c>
      <c r="W6930" t="s">
        <v>20871</v>
      </c>
      <c r="X6930">
        <v>4</v>
      </c>
      <c r="Y6930" t="s">
        <v>27643</v>
      </c>
      <c r="Z6930" t="s">
        <v>34640</v>
      </c>
      <c r="AA6930">
        <v>0.83308014414054044</v>
      </c>
      <c r="AB6930" t="str">
        <f>HYPERLINK("Melting_Curves/meltCurve_Q9Y5U2_2_TSSC4.pdf", "Melting_Curves/meltCurve_Q9Y5U2_2_TSSC4.pdf")</f>
        <v>Melting_Curves/meltCurve_Q9Y5U2_2_TSSC4.pdf</v>
      </c>
    </row>
    <row r="6931" spans="1:28" x14ac:dyDescent="0.25">
      <c r="A6931" t="s">
        <v>6935</v>
      </c>
      <c r="B6931">
        <v>0.99999676499088797</v>
      </c>
      <c r="C6931">
        <v>0.92399401105679801</v>
      </c>
      <c r="D6931">
        <v>1.30498286215441</v>
      </c>
      <c r="E6931">
        <v>1.9788713862090599</v>
      </c>
      <c r="F6931">
        <v>2.7117707708701402</v>
      </c>
      <c r="G6931">
        <v>1.87936607184259</v>
      </c>
      <c r="H6931">
        <v>1.5899631856757901</v>
      </c>
      <c r="I6931">
        <v>1.2823477160072101</v>
      </c>
      <c r="J6931">
        <v>1.0632319815453499</v>
      </c>
      <c r="K6931">
        <v>3.5098509589136002</v>
      </c>
      <c r="L6931">
        <v>11479.430262095801</v>
      </c>
      <c r="M6931">
        <v>250</v>
      </c>
      <c r="O6931">
        <v>45.914783203865603</v>
      </c>
      <c r="P6931">
        <v>0.68060868971109401</v>
      </c>
      <c r="Q6931">
        <v>1.5</v>
      </c>
      <c r="R6931">
        <v>1.7669494940943199E-2</v>
      </c>
      <c r="S6931" t="s">
        <v>13934</v>
      </c>
      <c r="T6931" t="s">
        <v>14004</v>
      </c>
      <c r="U6931" t="s">
        <v>14004</v>
      </c>
      <c r="V6931" t="s">
        <v>14004</v>
      </c>
      <c r="W6931" t="s">
        <v>20872</v>
      </c>
      <c r="X6931">
        <v>1</v>
      </c>
      <c r="Y6931" t="s">
        <v>27644</v>
      </c>
      <c r="Z6931" t="s">
        <v>34641</v>
      </c>
      <c r="AA6931">
        <v>1.401331023417373</v>
      </c>
      <c r="AB6931" t="str">
        <f>HYPERLINK("Melting_Curves/meltCurve_Q9Y5U9_IER3IP1.pdf", "Melting_Curves/meltCurve_Q9Y5U9_IER3IP1.pdf")</f>
        <v>Melting_Curves/meltCurve_Q9Y5U9_IER3IP1.pdf</v>
      </c>
    </row>
    <row r="6932" spans="1:28" x14ac:dyDescent="0.25">
      <c r="A6932" t="s">
        <v>6936</v>
      </c>
      <c r="B6932">
        <v>0.99999676499088797</v>
      </c>
      <c r="C6932">
        <v>0.91073395119548495</v>
      </c>
      <c r="D6932">
        <v>1.02757340302348</v>
      </c>
      <c r="E6932">
        <v>0.829599436808239</v>
      </c>
      <c r="F6932">
        <v>0.65703811126691203</v>
      </c>
      <c r="G6932">
        <v>0.85295199002744504</v>
      </c>
      <c r="H6932">
        <v>0.61575155777329804</v>
      </c>
      <c r="I6932">
        <v>0.71559321764444395</v>
      </c>
      <c r="J6932">
        <v>0.71772090359098295</v>
      </c>
      <c r="K6932">
        <v>0.68511868099492701</v>
      </c>
      <c r="L6932">
        <v>12383.5233762937</v>
      </c>
      <c r="M6932">
        <v>250</v>
      </c>
      <c r="O6932">
        <v>49.530921057472902</v>
      </c>
      <c r="P6932">
        <v>-0.36926122273525602</v>
      </c>
      <c r="Q6932">
        <v>0.70736240943678497</v>
      </c>
      <c r="R6932">
        <v>0.78054234311271797</v>
      </c>
      <c r="S6932" t="s">
        <v>13935</v>
      </c>
      <c r="T6932" t="s">
        <v>14004</v>
      </c>
      <c r="U6932" t="s">
        <v>14004</v>
      </c>
      <c r="V6932" t="s">
        <v>14004</v>
      </c>
      <c r="W6932" t="s">
        <v>20873</v>
      </c>
      <c r="X6932">
        <v>4</v>
      </c>
      <c r="Y6932" t="s">
        <v>27645</v>
      </c>
      <c r="Z6932" t="s">
        <v>34642</v>
      </c>
      <c r="AA6932">
        <v>0.80038898726526997</v>
      </c>
      <c r="AB6932" t="str">
        <f>HYPERLINK("Melting_Curves/meltCurve_Q9Y5V0_ZNF706.pdf", "Melting_Curves/meltCurve_Q9Y5V0_ZNF706.pdf")</f>
        <v>Melting_Curves/meltCurve_Q9Y5V0_ZNF706.pdf</v>
      </c>
    </row>
    <row r="6933" spans="1:28" x14ac:dyDescent="0.25">
      <c r="A6933" t="s">
        <v>6937</v>
      </c>
      <c r="B6933">
        <v>0.99999676499088797</v>
      </c>
      <c r="C6933">
        <v>0.85746818016039805</v>
      </c>
      <c r="D6933">
        <v>0.74764145080969102</v>
      </c>
      <c r="E6933">
        <v>0.80224094470533802</v>
      </c>
      <c r="F6933">
        <v>0.72802185410963105</v>
      </c>
      <c r="G6933">
        <v>0.69747134872995697</v>
      </c>
      <c r="H6933">
        <v>0.52499416372611796</v>
      </c>
      <c r="I6933">
        <v>0.53134611278205901</v>
      </c>
      <c r="J6933">
        <v>0.514260997528452</v>
      </c>
      <c r="K6933">
        <v>0.69163533716326797</v>
      </c>
      <c r="L6933">
        <v>416.70440137806997</v>
      </c>
      <c r="M6933">
        <v>8.5611903042357103</v>
      </c>
      <c r="O6933">
        <v>46.236140180194603</v>
      </c>
      <c r="P6933">
        <v>-2.1409674941418998E-2</v>
      </c>
      <c r="Q6933">
        <v>0.53789916602170795</v>
      </c>
      <c r="R6933">
        <v>0.784370124188567</v>
      </c>
      <c r="S6933" t="s">
        <v>13936</v>
      </c>
      <c r="T6933" t="s">
        <v>14004</v>
      </c>
      <c r="U6933" t="s">
        <v>14004</v>
      </c>
      <c r="V6933" t="s">
        <v>14004</v>
      </c>
      <c r="W6933" t="s">
        <v>20874</v>
      </c>
      <c r="X6933">
        <v>5</v>
      </c>
      <c r="Y6933" t="s">
        <v>27646</v>
      </c>
      <c r="Z6933" t="s">
        <v>34643</v>
      </c>
      <c r="AA6933">
        <v>0.700381257542118</v>
      </c>
      <c r="AB6933" t="str">
        <f>HYPERLINK("Melting_Curves/meltCurve_Q9Y5V3_MAGED1.pdf", "Melting_Curves/meltCurve_Q9Y5V3_MAGED1.pdf")</f>
        <v>Melting_Curves/meltCurve_Q9Y5V3_MAGED1.pdf</v>
      </c>
    </row>
    <row r="6934" spans="1:28" x14ac:dyDescent="0.25">
      <c r="A6934" t="s">
        <v>6938</v>
      </c>
      <c r="B6934">
        <v>0.99999676499088797</v>
      </c>
      <c r="C6934">
        <v>1.00963698559424</v>
      </c>
      <c r="D6934">
        <v>0.97178979237993102</v>
      </c>
      <c r="E6934">
        <v>0.52195334648032699</v>
      </c>
      <c r="F6934">
        <v>0.20692518762412401</v>
      </c>
      <c r="G6934">
        <v>0.143911129446363</v>
      </c>
      <c r="H6934">
        <v>5.02423667767396E-2</v>
      </c>
      <c r="I6934">
        <v>9.4001651614760706E-2</v>
      </c>
      <c r="J6934">
        <v>8.10687254437127E-2</v>
      </c>
      <c r="K6934">
        <v>5.9420941475731202E-2</v>
      </c>
      <c r="L6934">
        <v>1576.64884575111</v>
      </c>
      <c r="M6934">
        <v>31.7702175753079</v>
      </c>
      <c r="N6934">
        <v>49.917184269224599</v>
      </c>
      <c r="O6934">
        <v>49.431252072219799</v>
      </c>
      <c r="P6934">
        <v>-0.14711469051221401</v>
      </c>
      <c r="Q6934">
        <v>8.4422320357930694E-2</v>
      </c>
      <c r="R6934">
        <v>0.99557661227807803</v>
      </c>
      <c r="S6934" t="s">
        <v>13937</v>
      </c>
      <c r="T6934" t="s">
        <v>14004</v>
      </c>
      <c r="U6934" t="s">
        <v>14004</v>
      </c>
      <c r="V6934" t="s">
        <v>14004</v>
      </c>
      <c r="W6934" t="s">
        <v>20875</v>
      </c>
      <c r="X6934">
        <v>4</v>
      </c>
      <c r="Y6934" t="s">
        <v>27647</v>
      </c>
      <c r="Z6934" t="s">
        <v>34644</v>
      </c>
      <c r="AA6934">
        <v>0.38323031336830021</v>
      </c>
      <c r="AB6934" t="str">
        <f>HYPERLINK("Melting_Curves/meltCurve_Q9Y5X1_SNX9.pdf", "Melting_Curves/meltCurve_Q9Y5X1_SNX9.pdf")</f>
        <v>Melting_Curves/meltCurve_Q9Y5X1_SNX9.pdf</v>
      </c>
    </row>
    <row r="6935" spans="1:28" x14ac:dyDescent="0.25">
      <c r="A6935" t="s">
        <v>6939</v>
      </c>
      <c r="B6935">
        <v>0.99999676499088797</v>
      </c>
      <c r="C6935">
        <v>0.967792242219357</v>
      </c>
      <c r="D6935">
        <v>1.0245067992525301</v>
      </c>
      <c r="E6935">
        <v>1.26418508647682</v>
      </c>
      <c r="F6935">
        <v>1.21060422819672</v>
      </c>
      <c r="G6935">
        <v>1.01287612135571</v>
      </c>
      <c r="H6935">
        <v>0.44881465427292</v>
      </c>
      <c r="I6935">
        <v>0.16157700997919</v>
      </c>
      <c r="J6935">
        <v>9.8282101791681301E-2</v>
      </c>
      <c r="K6935">
        <v>6.9681369815825997E-2</v>
      </c>
      <c r="L6935">
        <v>3710.2965444896399</v>
      </c>
      <c r="M6935">
        <v>61.444655320901099</v>
      </c>
      <c r="N6935">
        <v>60.600807578181403</v>
      </c>
      <c r="O6935">
        <v>60.3205028977181</v>
      </c>
      <c r="P6935">
        <v>-0.22957055496381801</v>
      </c>
      <c r="Q6935">
        <v>9.8518428684102294E-2</v>
      </c>
      <c r="R6935">
        <v>0.94192145359441304</v>
      </c>
      <c r="S6935" t="s">
        <v>13938</v>
      </c>
      <c r="T6935" t="s">
        <v>14004</v>
      </c>
      <c r="U6935" t="s">
        <v>14004</v>
      </c>
      <c r="V6935" t="s">
        <v>14004</v>
      </c>
      <c r="W6935" t="s">
        <v>20876</v>
      </c>
      <c r="X6935">
        <v>16</v>
      </c>
      <c r="Y6935" t="s">
        <v>27648</v>
      </c>
      <c r="Z6935" t="s">
        <v>34645</v>
      </c>
      <c r="AA6935">
        <v>0.71263416251428668</v>
      </c>
      <c r="AB6935" t="str">
        <f>HYPERLINK("Melting_Curves/meltCurve_Q9Y5X2_SNX8.pdf", "Melting_Curves/meltCurve_Q9Y5X2_SNX8.pdf")</f>
        <v>Melting_Curves/meltCurve_Q9Y5X2_SNX8.pdf</v>
      </c>
    </row>
    <row r="6936" spans="1:28" x14ac:dyDescent="0.25">
      <c r="A6936" t="s">
        <v>6940</v>
      </c>
      <c r="B6936">
        <v>0.99999676499088797</v>
      </c>
      <c r="C6936">
        <v>0.94761980097284904</v>
      </c>
      <c r="D6936">
        <v>0.90118448973722898</v>
      </c>
      <c r="E6936">
        <v>0.70611429962248995</v>
      </c>
      <c r="F6936">
        <v>0.24178976243662201</v>
      </c>
      <c r="G6936">
        <v>0.16167129362816601</v>
      </c>
      <c r="H6936">
        <v>7.8934347023515997E-2</v>
      </c>
      <c r="I6936">
        <v>8.0974574143358694E-2</v>
      </c>
      <c r="J6936">
        <v>0.111819543909185</v>
      </c>
      <c r="K6936">
        <v>9.5093710085019101E-2</v>
      </c>
      <c r="L6936">
        <v>1432.16789272199</v>
      </c>
      <c r="M6936">
        <v>28.289955346345</v>
      </c>
      <c r="N6936">
        <v>50.988428898656899</v>
      </c>
      <c r="O6936">
        <v>50.3736638933444</v>
      </c>
      <c r="P6936">
        <v>-0.12756967115221199</v>
      </c>
      <c r="Q6936">
        <v>9.1394796044974094E-2</v>
      </c>
      <c r="R6936">
        <v>0.99410469154454395</v>
      </c>
      <c r="S6936" t="s">
        <v>13939</v>
      </c>
      <c r="T6936" t="s">
        <v>14004</v>
      </c>
      <c r="U6936" t="s">
        <v>14004</v>
      </c>
      <c r="V6936" t="s">
        <v>14004</v>
      </c>
      <c r="W6936" t="s">
        <v>20877</v>
      </c>
      <c r="X6936">
        <v>22</v>
      </c>
      <c r="Y6936" t="s">
        <v>27649</v>
      </c>
      <c r="Z6936" t="s">
        <v>34646</v>
      </c>
      <c r="AA6936">
        <v>0.41956827919368322</v>
      </c>
      <c r="AB6936" t="str">
        <f>HYPERLINK("Melting_Curves/meltCurve_Q9Y5X3_SNX5.pdf", "Melting_Curves/meltCurve_Q9Y5X3_SNX5.pdf")</f>
        <v>Melting_Curves/meltCurve_Q9Y5X3_SNX5.pdf</v>
      </c>
    </row>
    <row r="6937" spans="1:28" x14ac:dyDescent="0.25">
      <c r="A6937" t="s">
        <v>6941</v>
      </c>
      <c r="B6937">
        <v>0.99999676499088797</v>
      </c>
      <c r="C6937">
        <v>1.0856294106017199</v>
      </c>
      <c r="D6937">
        <v>0.98921911964665099</v>
      </c>
      <c r="E6937">
        <v>0.80203408940419296</v>
      </c>
      <c r="F6937">
        <v>0.65416263236805094</v>
      </c>
      <c r="G6937">
        <v>0.62245371990890697</v>
      </c>
      <c r="H6937">
        <v>0.41373373912309802</v>
      </c>
      <c r="I6937">
        <v>0.229298972924005</v>
      </c>
      <c r="J6937">
        <v>0.11630613767090101</v>
      </c>
      <c r="K6937">
        <v>7.1599992176521507E-2</v>
      </c>
      <c r="L6937">
        <v>674.99991890132105</v>
      </c>
      <c r="M6937">
        <v>11.694924521848399</v>
      </c>
      <c r="N6937">
        <v>57.717327621707597</v>
      </c>
      <c r="O6937">
        <v>56.107261825961601</v>
      </c>
      <c r="P6937">
        <v>-5.2123552939985697E-2</v>
      </c>
      <c r="Q6937">
        <v>0</v>
      </c>
      <c r="R6937">
        <v>0.972046344816901</v>
      </c>
      <c r="S6937" t="s">
        <v>13940</v>
      </c>
      <c r="T6937" t="s">
        <v>14004</v>
      </c>
      <c r="U6937" t="s">
        <v>14004</v>
      </c>
      <c r="V6937" t="s">
        <v>14004</v>
      </c>
      <c r="W6937" t="s">
        <v>20878</v>
      </c>
      <c r="X6937">
        <v>5</v>
      </c>
      <c r="Y6937" t="s">
        <v>27650</v>
      </c>
      <c r="Z6937" t="s">
        <v>34647</v>
      </c>
      <c r="AA6937">
        <v>0.60431170154976088</v>
      </c>
      <c r="AB6937" t="str">
        <f>HYPERLINK("Melting_Curves/meltCurve_Q9Y5Y0_FLVCR1.pdf", "Melting_Curves/meltCurve_Q9Y5Y0_FLVCR1.pdf")</f>
        <v>Melting_Curves/meltCurve_Q9Y5Y0_FLVCR1.pdf</v>
      </c>
    </row>
    <row r="6938" spans="1:28" x14ac:dyDescent="0.25">
      <c r="A6938" t="s">
        <v>6942</v>
      </c>
      <c r="B6938">
        <v>0.99999676499088797</v>
      </c>
      <c r="C6938">
        <v>0.90269777894428005</v>
      </c>
      <c r="D6938">
        <v>0.73184484335606304</v>
      </c>
      <c r="E6938">
        <v>0.53484876479596899</v>
      </c>
      <c r="F6938">
        <v>0.28783367109559499</v>
      </c>
      <c r="G6938">
        <v>0.12891104928670999</v>
      </c>
      <c r="H6938">
        <v>4.1705102805029502E-2</v>
      </c>
      <c r="I6938">
        <v>2.8991155542582199E-2</v>
      </c>
      <c r="J6938">
        <v>4.0108537115195797E-2</v>
      </c>
      <c r="K6938">
        <v>2.5225984487553199E-2</v>
      </c>
      <c r="L6938">
        <v>718.03372319466905</v>
      </c>
      <c r="M6938">
        <v>14.4422863766739</v>
      </c>
      <c r="N6938">
        <v>49.717454160688099</v>
      </c>
      <c r="O6938">
        <v>48.793402777830202</v>
      </c>
      <c r="P6938">
        <v>-7.4005799135703002E-2</v>
      </c>
      <c r="Q6938">
        <v>0</v>
      </c>
      <c r="R6938">
        <v>0.99714577696040796</v>
      </c>
      <c r="S6938" t="s">
        <v>13941</v>
      </c>
      <c r="T6938" t="s">
        <v>14004</v>
      </c>
      <c r="U6938" t="s">
        <v>14004</v>
      </c>
      <c r="V6938" t="s">
        <v>14004</v>
      </c>
      <c r="W6938" t="s">
        <v>20879</v>
      </c>
      <c r="X6938">
        <v>5</v>
      </c>
      <c r="Y6938" t="s">
        <v>27651</v>
      </c>
      <c r="Z6938" t="s">
        <v>34648</v>
      </c>
      <c r="AA6938">
        <v>0.34966945211739081</v>
      </c>
      <c r="AB6938" t="str">
        <f>HYPERLINK("Melting_Curves/meltCurve_Q9Y5Y2_NUBP2.pdf", "Melting_Curves/meltCurve_Q9Y5Y2_NUBP2.pdf")</f>
        <v>Melting_Curves/meltCurve_Q9Y5Y2_NUBP2.pdf</v>
      </c>
    </row>
    <row r="6939" spans="1:28" x14ac:dyDescent="0.25">
      <c r="A6939" t="s">
        <v>6943</v>
      </c>
      <c r="B6939">
        <v>0.99999676499088797</v>
      </c>
      <c r="C6939">
        <v>0.900180353888412</v>
      </c>
      <c r="D6939">
        <v>0.93598855929775104</v>
      </c>
      <c r="E6939">
        <v>0.87943139898204303</v>
      </c>
      <c r="F6939">
        <v>0.53844064889830401</v>
      </c>
      <c r="G6939">
        <v>0.29298206363992202</v>
      </c>
      <c r="H6939">
        <v>0.14681307285633299</v>
      </c>
      <c r="I6939">
        <v>0.14569609799709901</v>
      </c>
      <c r="J6939">
        <v>0.136389156389501</v>
      </c>
      <c r="K6939">
        <v>0.18776854464013201</v>
      </c>
      <c r="L6939">
        <v>1291.62566042507</v>
      </c>
      <c r="M6939">
        <v>24.402558399372101</v>
      </c>
      <c r="N6939">
        <v>53.672129565196499</v>
      </c>
      <c r="O6939">
        <v>52.578315938538999</v>
      </c>
      <c r="P6939">
        <v>-9.94149280854974E-2</v>
      </c>
      <c r="Q6939">
        <v>0.143205878307861</v>
      </c>
      <c r="R6939">
        <v>0.98828975474113401</v>
      </c>
      <c r="S6939" t="s">
        <v>13942</v>
      </c>
      <c r="T6939" t="s">
        <v>14004</v>
      </c>
      <c r="U6939" t="s">
        <v>14004</v>
      </c>
      <c r="V6939" t="s">
        <v>14004</v>
      </c>
      <c r="W6939" t="s">
        <v>20880</v>
      </c>
      <c r="X6939">
        <v>14</v>
      </c>
      <c r="Y6939" t="s">
        <v>27652</v>
      </c>
      <c r="Z6939" t="s">
        <v>34649</v>
      </c>
      <c r="AA6939">
        <v>0.5207323955788512</v>
      </c>
      <c r="AB6939" t="str">
        <f>HYPERLINK("Melting_Curves/meltCurve_Q9Y5Z4_HEBP2.pdf", "Melting_Curves/meltCurve_Q9Y5Z4_HEBP2.pdf")</f>
        <v>Melting_Curves/meltCurve_Q9Y5Z4_HEBP2.pdf</v>
      </c>
    </row>
    <row r="6940" spans="1:28" x14ac:dyDescent="0.25">
      <c r="A6940" t="s">
        <v>6944</v>
      </c>
      <c r="B6940">
        <v>0.99999676499088797</v>
      </c>
      <c r="C6940">
        <v>0.82533160505891101</v>
      </c>
      <c r="D6940">
        <v>0.88524352468464995</v>
      </c>
      <c r="E6940">
        <v>0.59793891437929003</v>
      </c>
      <c r="F6940">
        <v>0.298297768756008</v>
      </c>
      <c r="G6940">
        <v>0.21333513253932601</v>
      </c>
      <c r="H6940">
        <v>9.21627521488005E-2</v>
      </c>
      <c r="I6940">
        <v>7.6962093432724699E-2</v>
      </c>
      <c r="J6940">
        <v>6.8654141102663394E-2</v>
      </c>
      <c r="K6940">
        <v>5.1235758239604398E-2</v>
      </c>
      <c r="L6940">
        <v>776.85504739766202</v>
      </c>
      <c r="M6940">
        <v>15.3921916898509</v>
      </c>
      <c r="N6940">
        <v>50.744781319473802</v>
      </c>
      <c r="O6940">
        <v>49.641833996364099</v>
      </c>
      <c r="P6940">
        <v>-7.4431393527994605E-2</v>
      </c>
      <c r="Q6940">
        <v>3.98837003893572E-2</v>
      </c>
      <c r="R6940">
        <v>0.98440256014017202</v>
      </c>
      <c r="S6940" t="s">
        <v>13943</v>
      </c>
      <c r="T6940" t="s">
        <v>14004</v>
      </c>
      <c r="U6940" t="s">
        <v>14004</v>
      </c>
      <c r="V6940" t="s">
        <v>14004</v>
      </c>
      <c r="W6940" t="s">
        <v>20881</v>
      </c>
      <c r="X6940">
        <v>4</v>
      </c>
      <c r="Y6940" t="s">
        <v>27653</v>
      </c>
      <c r="Z6940" t="s">
        <v>34650</v>
      </c>
      <c r="AA6940">
        <v>0.3965590032041964</v>
      </c>
      <c r="AB6940" t="str">
        <f>HYPERLINK("Melting_Curves/meltCurve_Q9Y5Z7_HCFC2.pdf", "Melting_Curves/meltCurve_Q9Y5Z7_HCFC2.pdf")</f>
        <v>Melting_Curves/meltCurve_Q9Y5Z7_HCFC2.pdf</v>
      </c>
    </row>
    <row r="6941" spans="1:28" x14ac:dyDescent="0.25">
      <c r="A6941" t="s">
        <v>6945</v>
      </c>
      <c r="B6941">
        <v>0.99999676499088797</v>
      </c>
      <c r="C6941">
        <v>0.95905628354566097</v>
      </c>
      <c r="D6941">
        <v>1.0781589656225501</v>
      </c>
      <c r="E6941">
        <v>0.98578347739556604</v>
      </c>
      <c r="F6941">
        <v>0.48706587692064102</v>
      </c>
      <c r="G6941">
        <v>0.37176241393286402</v>
      </c>
      <c r="H6941">
        <v>0.18552020979658199</v>
      </c>
      <c r="I6941">
        <v>0.23981124037524301</v>
      </c>
      <c r="J6941">
        <v>0.243081774133351</v>
      </c>
      <c r="K6941">
        <v>0.212247646874482</v>
      </c>
      <c r="L6941">
        <v>2352.7923733553398</v>
      </c>
      <c r="M6941">
        <v>44.817627940918598</v>
      </c>
      <c r="N6941">
        <v>53.283018322961098</v>
      </c>
      <c r="O6941">
        <v>52.392833556724298</v>
      </c>
      <c r="P6941">
        <v>-0.16213143159481799</v>
      </c>
      <c r="Q6941">
        <v>0.241859584851776</v>
      </c>
      <c r="R6941">
        <v>0.98057911955829802</v>
      </c>
      <c r="S6941" t="s">
        <v>13944</v>
      </c>
      <c r="T6941" t="s">
        <v>14004</v>
      </c>
      <c r="U6941" t="s">
        <v>14004</v>
      </c>
      <c r="V6941" t="s">
        <v>14004</v>
      </c>
      <c r="W6941" t="s">
        <v>20882</v>
      </c>
      <c r="X6941">
        <v>2</v>
      </c>
      <c r="Y6941" t="s">
        <v>27654</v>
      </c>
      <c r="Z6941" t="s">
        <v>34651</v>
      </c>
      <c r="AA6941">
        <v>0.55986373633680853</v>
      </c>
      <c r="AB6941" t="str">
        <f>HYPERLINK("Melting_Curves/meltCurve_Q9Y5Z9_2_UBIAD1.pdf", "Melting_Curves/meltCurve_Q9Y5Z9_2_UBIAD1.pdf")</f>
        <v>Melting_Curves/meltCurve_Q9Y5Z9_2_UBIAD1.pdf</v>
      </c>
    </row>
    <row r="6942" spans="1:28" x14ac:dyDescent="0.25">
      <c r="A6942" t="s">
        <v>6946</v>
      </c>
      <c r="B6942">
        <v>0.99999676499088797</v>
      </c>
      <c r="C6942">
        <v>0.86440803988211901</v>
      </c>
      <c r="D6942">
        <v>0.79117918787957497</v>
      </c>
      <c r="E6942">
        <v>0.54497229082043397</v>
      </c>
      <c r="F6942">
        <v>0.32285769868501402</v>
      </c>
      <c r="G6942">
        <v>0.23963071453580001</v>
      </c>
      <c r="H6942">
        <v>0.13823088004731701</v>
      </c>
      <c r="I6942">
        <v>9.6031770432303903E-2</v>
      </c>
      <c r="J6942">
        <v>0.127668830963203</v>
      </c>
      <c r="K6942">
        <v>0.117305580779189</v>
      </c>
      <c r="L6942">
        <v>703.80451221942201</v>
      </c>
      <c r="M6942">
        <v>14.2087237687856</v>
      </c>
      <c r="N6942">
        <v>50.235741198237001</v>
      </c>
      <c r="O6942">
        <v>48.583087245887697</v>
      </c>
      <c r="P6942">
        <v>-6.6536377821594203E-2</v>
      </c>
      <c r="Q6942">
        <v>9.0097297544474E-2</v>
      </c>
      <c r="R6942">
        <v>0.99496530645869596</v>
      </c>
      <c r="S6942" t="s">
        <v>13945</v>
      </c>
      <c r="T6942" t="s">
        <v>14004</v>
      </c>
      <c r="U6942" t="s">
        <v>14004</v>
      </c>
      <c r="V6942" t="s">
        <v>14004</v>
      </c>
      <c r="W6942" t="s">
        <v>20883</v>
      </c>
      <c r="X6942">
        <v>2</v>
      </c>
      <c r="Y6942" t="s">
        <v>27655</v>
      </c>
      <c r="Z6942" t="s">
        <v>34652</v>
      </c>
      <c r="AA6942">
        <v>0.40353706304676967</v>
      </c>
      <c r="AB6942" t="str">
        <f>HYPERLINK("Melting_Curves/meltCurve_Q9Y605_MRFAP1.pdf", "Melting_Curves/meltCurve_Q9Y605_MRFAP1.pdf")</f>
        <v>Melting_Curves/meltCurve_Q9Y605_MRFAP1.pdf</v>
      </c>
    </row>
    <row r="6943" spans="1:28" x14ac:dyDescent="0.25">
      <c r="A6943" t="s">
        <v>6947</v>
      </c>
      <c r="B6943">
        <v>0.99999676499088797</v>
      </c>
      <c r="C6943">
        <v>0.90519216348235498</v>
      </c>
      <c r="D6943">
        <v>0.91649540793246898</v>
      </c>
      <c r="E6943">
        <v>0.81291656526943201</v>
      </c>
      <c r="F6943">
        <v>1.0112770957658801</v>
      </c>
      <c r="G6943">
        <v>0.92442904175638496</v>
      </c>
      <c r="H6943">
        <v>0.624080668737516</v>
      </c>
      <c r="I6943">
        <v>0.69445475667616596</v>
      </c>
      <c r="J6943">
        <v>0.60114260317455903</v>
      </c>
      <c r="K6943">
        <v>0.80897431702997502</v>
      </c>
      <c r="L6943">
        <v>381.69965444530499</v>
      </c>
      <c r="M6943">
        <v>6.4297805158075798</v>
      </c>
      <c r="O6943">
        <v>54.403121662442899</v>
      </c>
      <c r="P6943">
        <v>-1.3048466637845899E-2</v>
      </c>
      <c r="Q6943">
        <v>0.55949441017594304</v>
      </c>
      <c r="R6943">
        <v>0.51339628775352697</v>
      </c>
      <c r="S6943" t="s">
        <v>13946</v>
      </c>
      <c r="T6943" t="s">
        <v>14004</v>
      </c>
      <c r="U6943" t="s">
        <v>14004</v>
      </c>
      <c r="V6943" t="s">
        <v>14004</v>
      </c>
      <c r="W6943" t="s">
        <v>20884</v>
      </c>
      <c r="X6943">
        <v>15</v>
      </c>
      <c r="Y6943" t="s">
        <v>27656</v>
      </c>
      <c r="Z6943" t="s">
        <v>34653</v>
      </c>
      <c r="AA6943">
        <v>0.83446543705028009</v>
      </c>
      <c r="AB6943" t="str">
        <f>HYPERLINK("Melting_Curves/meltCurve_Q9Y608_4_LRRFIP2.pdf", "Melting_Curves/meltCurve_Q9Y608_4_LRRFIP2.pdf")</f>
        <v>Melting_Curves/meltCurve_Q9Y608_4_LRRFIP2.pdf</v>
      </c>
    </row>
    <row r="6944" spans="1:28" x14ac:dyDescent="0.25">
      <c r="A6944" t="s">
        <v>6948</v>
      </c>
      <c r="B6944">
        <v>0.99999676499088797</v>
      </c>
      <c r="C6944">
        <v>0.994859900585364</v>
      </c>
      <c r="D6944">
        <v>1.00257602048196</v>
      </c>
      <c r="E6944">
        <v>1.1102588612894</v>
      </c>
      <c r="F6944">
        <v>1.1334765927936701</v>
      </c>
      <c r="G6944">
        <v>0.88644030518516403</v>
      </c>
      <c r="H6944">
        <v>0.35061505124217801</v>
      </c>
      <c r="I6944">
        <v>0.15133692869847501</v>
      </c>
      <c r="J6944">
        <v>9.5702494727916101E-2</v>
      </c>
      <c r="K6944">
        <v>8.7496737091114204E-2</v>
      </c>
      <c r="L6944">
        <v>2590.5946147463901</v>
      </c>
      <c r="M6944">
        <v>43.5343855764756</v>
      </c>
      <c r="N6944">
        <v>59.795235722404399</v>
      </c>
      <c r="O6944">
        <v>59.381708814166601</v>
      </c>
      <c r="P6944">
        <v>-0.165927658397657</v>
      </c>
      <c r="Q6944">
        <v>9.4687735596448594E-2</v>
      </c>
      <c r="R6944">
        <v>0.98243359437518596</v>
      </c>
      <c r="S6944" t="s">
        <v>13947</v>
      </c>
      <c r="T6944" t="s">
        <v>14004</v>
      </c>
      <c r="U6944" t="s">
        <v>14004</v>
      </c>
      <c r="V6944" t="s">
        <v>14004</v>
      </c>
      <c r="W6944" t="s">
        <v>20885</v>
      </c>
      <c r="X6944">
        <v>26</v>
      </c>
      <c r="Y6944" t="s">
        <v>27657</v>
      </c>
      <c r="Z6944" t="s">
        <v>34654</v>
      </c>
      <c r="AA6944">
        <v>0.68639951453273573</v>
      </c>
      <c r="AB6944" t="str">
        <f>HYPERLINK("Melting_Curves/meltCurve_Q9Y617_PSAT1.pdf", "Melting_Curves/meltCurve_Q9Y617_PSAT1.pdf")</f>
        <v>Melting_Curves/meltCurve_Q9Y617_PSAT1.pdf</v>
      </c>
    </row>
    <row r="6945" spans="1:28" x14ac:dyDescent="0.25">
      <c r="A6945" t="s">
        <v>6949</v>
      </c>
      <c r="B6945">
        <v>0.99999676499088797</v>
      </c>
      <c r="C6945">
        <v>0.96418290813282004</v>
      </c>
      <c r="D6945">
        <v>1.06030314834839</v>
      </c>
      <c r="E6945">
        <v>0.97381519157566399</v>
      </c>
      <c r="F6945">
        <v>0.93182659832776604</v>
      </c>
      <c r="G6945">
        <v>0.81726339825328798</v>
      </c>
      <c r="H6945">
        <v>0.63172022803840799</v>
      </c>
      <c r="I6945">
        <v>0.50634499727913496</v>
      </c>
      <c r="J6945">
        <v>0.32329395330233401</v>
      </c>
      <c r="K6945">
        <v>0.243424813941547</v>
      </c>
      <c r="L6945">
        <v>836.51052847532696</v>
      </c>
      <c r="M6945">
        <v>13.198848490865901</v>
      </c>
      <c r="N6945">
        <v>63.597214087131</v>
      </c>
      <c r="O6945">
        <v>61.975664954789899</v>
      </c>
      <c r="P6945">
        <v>-5.2064286996191401E-2</v>
      </c>
      <c r="Q6945">
        <v>2.2283701375020899E-2</v>
      </c>
      <c r="R6945">
        <v>0.99144486823636802</v>
      </c>
      <c r="S6945" t="s">
        <v>13948</v>
      </c>
      <c r="T6945" t="s">
        <v>14004</v>
      </c>
      <c r="U6945" t="s">
        <v>14004</v>
      </c>
      <c r="V6945" t="s">
        <v>14004</v>
      </c>
      <c r="W6945" t="s">
        <v>20886</v>
      </c>
      <c r="X6945">
        <v>6</v>
      </c>
      <c r="Y6945" t="s">
        <v>27658</v>
      </c>
      <c r="Z6945" t="s">
        <v>34655</v>
      </c>
      <c r="AA6945">
        <v>0.7667110860305496</v>
      </c>
      <c r="AB6945" t="str">
        <f>HYPERLINK("Melting_Curves/meltCurve_Q9Y619_SLC25A15.pdf", "Melting_Curves/meltCurve_Q9Y619_SLC25A15.pdf")</f>
        <v>Melting_Curves/meltCurve_Q9Y619_SLC25A15.pdf</v>
      </c>
    </row>
    <row r="6946" spans="1:28" x14ac:dyDescent="0.25">
      <c r="A6946" t="s">
        <v>6950</v>
      </c>
      <c r="B6946">
        <v>0.99999676499088797</v>
      </c>
      <c r="C6946">
        <v>1.02561573565473</v>
      </c>
      <c r="D6946">
        <v>1.0382402430456199</v>
      </c>
      <c r="E6946">
        <v>0.90209881528203495</v>
      </c>
      <c r="F6946">
        <v>0.79321818181259496</v>
      </c>
      <c r="G6946">
        <v>0.80733314354460295</v>
      </c>
      <c r="H6946">
        <v>0.60101845168187196</v>
      </c>
      <c r="I6946">
        <v>0.63988293572621602</v>
      </c>
      <c r="J6946">
        <v>0.60076036812421896</v>
      </c>
      <c r="K6946">
        <v>0.56658485119354796</v>
      </c>
      <c r="L6946">
        <v>781.18432032820601</v>
      </c>
      <c r="M6946">
        <v>14.123464102918</v>
      </c>
      <c r="O6946">
        <v>54.237649432386199</v>
      </c>
      <c r="P6946">
        <v>-2.8788853202941202E-2</v>
      </c>
      <c r="Q6946">
        <v>0.55783083793953103</v>
      </c>
      <c r="R6946">
        <v>0.94897180495109001</v>
      </c>
      <c r="S6946" t="s">
        <v>13949</v>
      </c>
      <c r="T6946" t="s">
        <v>14004</v>
      </c>
      <c r="U6946" t="s">
        <v>14004</v>
      </c>
      <c r="V6946" t="s">
        <v>14004</v>
      </c>
      <c r="W6946" t="s">
        <v>20887</v>
      </c>
      <c r="X6946">
        <v>8</v>
      </c>
      <c r="Y6946" t="s">
        <v>27659</v>
      </c>
      <c r="Z6946" t="s">
        <v>34656</v>
      </c>
      <c r="AA6946">
        <v>0.79232069434924779</v>
      </c>
      <c r="AB6946" t="str">
        <f>HYPERLINK("Melting_Curves/meltCurve_Q9Y639_1_NPTN.pdf", "Melting_Curves/meltCurve_Q9Y639_1_NPTN.pdf")</f>
        <v>Melting_Curves/meltCurve_Q9Y639_1_NPTN.pdf</v>
      </c>
    </row>
    <row r="6947" spans="1:28" x14ac:dyDescent="0.25">
      <c r="A6947" t="s">
        <v>6951</v>
      </c>
      <c r="B6947">
        <v>0.99999676499088797</v>
      </c>
      <c r="C6947">
        <v>0.90609512255171698</v>
      </c>
      <c r="D6947">
        <v>0.93635229711531198</v>
      </c>
      <c r="E6947">
        <v>0.93870326052245201</v>
      </c>
      <c r="F6947">
        <v>0.56560146709111803</v>
      </c>
      <c r="G6947">
        <v>0.30583613227665801</v>
      </c>
      <c r="H6947">
        <v>0.11164453061780601</v>
      </c>
      <c r="I6947">
        <v>0.109607923960888</v>
      </c>
      <c r="J6947">
        <v>9.7467707707628706E-2</v>
      </c>
      <c r="K6947">
        <v>0.106392473154433</v>
      </c>
      <c r="L6947">
        <v>1338.5790885228</v>
      </c>
      <c r="M6947">
        <v>24.948607525756099</v>
      </c>
      <c r="N6947">
        <v>54.099470846885197</v>
      </c>
      <c r="O6947">
        <v>53.312306603189803</v>
      </c>
      <c r="P6947">
        <v>-0.10611913085322</v>
      </c>
      <c r="Q6947">
        <v>9.2954721990210598E-2</v>
      </c>
      <c r="R6947">
        <v>0.98940397201722396</v>
      </c>
      <c r="S6947" t="s">
        <v>13950</v>
      </c>
      <c r="T6947" t="s">
        <v>14004</v>
      </c>
      <c r="U6947" t="s">
        <v>14004</v>
      </c>
      <c r="V6947" t="s">
        <v>14004</v>
      </c>
      <c r="W6947" t="s">
        <v>20888</v>
      </c>
      <c r="X6947">
        <v>10</v>
      </c>
      <c r="Y6947" t="s">
        <v>27660</v>
      </c>
      <c r="Z6947" t="s">
        <v>34657</v>
      </c>
      <c r="AA6947">
        <v>0.5141797873190298</v>
      </c>
      <c r="AB6947" t="str">
        <f>HYPERLINK("Melting_Curves/meltCurve_Q9Y657_SPIN1.pdf", "Melting_Curves/meltCurve_Q9Y657_SPIN1.pdf")</f>
        <v>Melting_Curves/meltCurve_Q9Y657_SPIN1.pdf</v>
      </c>
    </row>
    <row r="6948" spans="1:28" x14ac:dyDescent="0.25">
      <c r="A6948" t="s">
        <v>6952</v>
      </c>
      <c r="B6948">
        <v>0.99999676499088797</v>
      </c>
      <c r="C6948">
        <v>0.96514610264271605</v>
      </c>
      <c r="D6948">
        <v>0.93927349943857996</v>
      </c>
      <c r="E6948">
        <v>0.94448182393537405</v>
      </c>
      <c r="F6948">
        <v>0.36242625790398397</v>
      </c>
      <c r="G6948">
        <v>0.24213912029979301</v>
      </c>
      <c r="H6948">
        <v>0.109323113870976</v>
      </c>
      <c r="I6948">
        <v>0.110060162275051</v>
      </c>
      <c r="J6948">
        <v>0.101713060382583</v>
      </c>
      <c r="K6948">
        <v>6.9565590872655306E-2</v>
      </c>
      <c r="L6948">
        <v>2200.3363815478101</v>
      </c>
      <c r="M6948">
        <v>42.167025583762097</v>
      </c>
      <c r="N6948">
        <v>52.512715654028</v>
      </c>
      <c r="O6948">
        <v>52.064494832149997</v>
      </c>
      <c r="P6948">
        <v>-0.17883002526490899</v>
      </c>
      <c r="Q6948">
        <v>0.11678102296120101</v>
      </c>
      <c r="R6948">
        <v>0.98836834375087301</v>
      </c>
      <c r="S6948" t="s">
        <v>13951</v>
      </c>
      <c r="T6948" t="s">
        <v>14004</v>
      </c>
      <c r="U6948" t="s">
        <v>14004</v>
      </c>
      <c r="V6948" t="s">
        <v>14004</v>
      </c>
      <c r="W6948" t="s">
        <v>20889</v>
      </c>
      <c r="X6948">
        <v>3</v>
      </c>
      <c r="Y6948" t="s">
        <v>27661</v>
      </c>
      <c r="Z6948" t="s">
        <v>34658</v>
      </c>
      <c r="AA6948">
        <v>0.47827399196464537</v>
      </c>
      <c r="AB6948" t="str">
        <f>HYPERLINK("Melting_Curves/meltCurve_Q9Y664_KPTN.pdf", "Melting_Curves/meltCurve_Q9Y664_KPTN.pdf")</f>
        <v>Melting_Curves/meltCurve_Q9Y664_KPTN.pdf</v>
      </c>
    </row>
    <row r="6949" spans="1:28" x14ac:dyDescent="0.25">
      <c r="A6949" t="s">
        <v>6953</v>
      </c>
      <c r="B6949">
        <v>0.99999676499088797</v>
      </c>
      <c r="C6949">
        <v>0.94262855932577605</v>
      </c>
      <c r="D6949">
        <v>0.98574848360914802</v>
      </c>
      <c r="E6949">
        <v>0.704440635841597</v>
      </c>
      <c r="F6949">
        <v>0.33012684987427099</v>
      </c>
      <c r="G6949">
        <v>0.200655998748974</v>
      </c>
      <c r="H6949">
        <v>8.3911412639069205E-2</v>
      </c>
      <c r="I6949">
        <v>8.0148651157620696E-2</v>
      </c>
      <c r="J6949">
        <v>8.0492653065541694E-2</v>
      </c>
      <c r="K6949">
        <v>6.1976522045458601E-2</v>
      </c>
      <c r="L6949">
        <v>1215.8433222977001</v>
      </c>
      <c r="M6949">
        <v>23.7217330560911</v>
      </c>
      <c r="N6949">
        <v>51.6057897681276</v>
      </c>
      <c r="O6949">
        <v>50.8943307807968</v>
      </c>
      <c r="P6949">
        <v>-0.10783607754424</v>
      </c>
      <c r="Q6949">
        <v>7.4577881419638697E-2</v>
      </c>
      <c r="R6949">
        <v>0.99554301614683804</v>
      </c>
      <c r="S6949" t="s">
        <v>13952</v>
      </c>
      <c r="T6949" t="s">
        <v>14004</v>
      </c>
      <c r="U6949" t="s">
        <v>14004</v>
      </c>
      <c r="V6949" t="s">
        <v>14004</v>
      </c>
      <c r="W6949" t="s">
        <v>20890</v>
      </c>
      <c r="X6949">
        <v>9</v>
      </c>
      <c r="Y6949" t="s">
        <v>27662</v>
      </c>
      <c r="Z6949" t="s">
        <v>34659</v>
      </c>
      <c r="AA6949">
        <v>0.43103270593495058</v>
      </c>
      <c r="AB6949" t="str">
        <f>HYPERLINK("Melting_Curves/meltCurve_Q9Y666_SLC12A7.pdf", "Melting_Curves/meltCurve_Q9Y666_SLC12A7.pdf")</f>
        <v>Melting_Curves/meltCurve_Q9Y666_SLC12A7.pdf</v>
      </c>
    </row>
    <row r="6950" spans="1:28" x14ac:dyDescent="0.25">
      <c r="A6950" t="s">
        <v>6954</v>
      </c>
      <c r="B6950">
        <v>0.99999676499088797</v>
      </c>
      <c r="C6950">
        <v>0.89415742498592599</v>
      </c>
      <c r="D6950">
        <v>0.91926170645692795</v>
      </c>
      <c r="E6950">
        <v>0.83349048577671003</v>
      </c>
      <c r="F6950">
        <v>0.33938943311387998</v>
      </c>
      <c r="G6950">
        <v>0.112225293168177</v>
      </c>
      <c r="H6950">
        <v>4.9143132099555502E-2</v>
      </c>
      <c r="I6950">
        <v>3.74945241240539E-2</v>
      </c>
      <c r="J6950">
        <v>3.7058013313531597E-2</v>
      </c>
      <c r="K6950">
        <v>2.5774984991441E-2</v>
      </c>
      <c r="L6950">
        <v>1542.41693305732</v>
      </c>
      <c r="M6950">
        <v>29.696801005598399</v>
      </c>
      <c r="N6950">
        <v>52.059904418705003</v>
      </c>
      <c r="O6950">
        <v>51.7050083816195</v>
      </c>
      <c r="P6950">
        <v>-0.13879775630782001</v>
      </c>
      <c r="Q6950">
        <v>3.3365095079280697E-2</v>
      </c>
      <c r="R6950">
        <v>0.99077010979073299</v>
      </c>
      <c r="S6950" t="s">
        <v>13953</v>
      </c>
      <c r="T6950" t="s">
        <v>14004</v>
      </c>
      <c r="U6950" t="s">
        <v>14004</v>
      </c>
      <c r="V6950" t="s">
        <v>14004</v>
      </c>
      <c r="W6950" t="s">
        <v>20891</v>
      </c>
      <c r="X6950">
        <v>10</v>
      </c>
      <c r="Y6950" t="s">
        <v>27663</v>
      </c>
      <c r="Z6950" t="s">
        <v>34660</v>
      </c>
      <c r="AA6950">
        <v>0.42434369308309849</v>
      </c>
      <c r="AB6950" t="str">
        <f>HYPERLINK("Melting_Curves/meltCurve_Q9Y673_ALG5.pdf", "Melting_Curves/meltCurve_Q9Y673_ALG5.pdf")</f>
        <v>Melting_Curves/meltCurve_Q9Y673_ALG5.pdf</v>
      </c>
    </row>
    <row r="6951" spans="1:28" x14ac:dyDescent="0.25">
      <c r="A6951" t="s">
        <v>6955</v>
      </c>
      <c r="B6951">
        <v>0.99999676499088797</v>
      </c>
      <c r="C6951">
        <v>1.0201063081444499</v>
      </c>
      <c r="D6951">
        <v>1.41676474059632</v>
      </c>
      <c r="E6951">
        <v>1.6353170208696099</v>
      </c>
      <c r="F6951">
        <v>0.54415860248427195</v>
      </c>
      <c r="G6951">
        <v>0.44265696512810099</v>
      </c>
      <c r="H6951">
        <v>0.234911167535793</v>
      </c>
      <c r="I6951">
        <v>0.19974645739161001</v>
      </c>
      <c r="J6951">
        <v>0.245064881170796</v>
      </c>
      <c r="K6951">
        <v>0.24899583902409</v>
      </c>
      <c r="L6951">
        <v>13272.115028472601</v>
      </c>
      <c r="M6951">
        <v>250</v>
      </c>
      <c r="N6951">
        <v>53.2578863235101</v>
      </c>
      <c r="O6951">
        <v>53.085067754445198</v>
      </c>
      <c r="P6951">
        <v>-0.854436402585532</v>
      </c>
      <c r="Q6951">
        <v>0.27427503925221502</v>
      </c>
      <c r="R6951">
        <v>0.75880629987234105</v>
      </c>
      <c r="S6951" t="s">
        <v>13954</v>
      </c>
      <c r="T6951" t="s">
        <v>14004</v>
      </c>
      <c r="U6951" t="s">
        <v>14004</v>
      </c>
      <c r="V6951" t="s">
        <v>14004</v>
      </c>
      <c r="W6951" t="s">
        <v>20892</v>
      </c>
      <c r="X6951">
        <v>2</v>
      </c>
      <c r="Y6951" t="s">
        <v>27664</v>
      </c>
      <c r="Z6951" t="s">
        <v>34661</v>
      </c>
      <c r="AA6951">
        <v>0.59096339470687098</v>
      </c>
      <c r="AB6951" t="str">
        <f>HYPERLINK("Melting_Curves/meltCurve_Q9Y676_MRPS18B.pdf", "Melting_Curves/meltCurve_Q9Y676_MRPS18B.pdf")</f>
        <v>Melting_Curves/meltCurve_Q9Y676_MRPS18B.pdf</v>
      </c>
    </row>
    <row r="6952" spans="1:28" x14ac:dyDescent="0.25">
      <c r="A6952" t="s">
        <v>6956</v>
      </c>
      <c r="B6952">
        <v>0.99999676499088797</v>
      </c>
      <c r="C6952">
        <v>1.0892218880498199</v>
      </c>
      <c r="D6952">
        <v>1.1212973611552099</v>
      </c>
      <c r="E6952">
        <v>1.20387676408458</v>
      </c>
      <c r="F6952">
        <v>0.720191839534574</v>
      </c>
      <c r="G6952">
        <v>0.27035792279661802</v>
      </c>
      <c r="H6952">
        <v>0.11060894865894</v>
      </c>
      <c r="I6952">
        <v>9.9404745721138194E-2</v>
      </c>
      <c r="J6952">
        <v>9.0817615793458206E-2</v>
      </c>
      <c r="K6952">
        <v>7.5796075702387306E-2</v>
      </c>
      <c r="L6952">
        <v>2250.1025850164201</v>
      </c>
      <c r="M6952">
        <v>41.275619716424202</v>
      </c>
      <c r="N6952">
        <v>54.794259306163198</v>
      </c>
      <c r="O6952">
        <v>54.386601448203002</v>
      </c>
      <c r="P6952">
        <v>-0.171681811889761</v>
      </c>
      <c r="Q6952">
        <v>9.5139317308248594E-2</v>
      </c>
      <c r="R6952">
        <v>0.96620980692326897</v>
      </c>
      <c r="S6952" t="s">
        <v>13955</v>
      </c>
      <c r="T6952" t="s">
        <v>14004</v>
      </c>
      <c r="U6952" t="s">
        <v>14004</v>
      </c>
      <c r="V6952" t="s">
        <v>14004</v>
      </c>
      <c r="W6952" t="s">
        <v>20893</v>
      </c>
      <c r="X6952">
        <v>44</v>
      </c>
      <c r="Y6952" t="s">
        <v>27665</v>
      </c>
      <c r="Z6952" t="s">
        <v>34662</v>
      </c>
      <c r="AA6952">
        <v>0.53610720884061958</v>
      </c>
      <c r="AB6952" t="str">
        <f>HYPERLINK("Melting_Curves/meltCurve_Q9Y678_COPG1.pdf", "Melting_Curves/meltCurve_Q9Y678_COPG1.pdf")</f>
        <v>Melting_Curves/meltCurve_Q9Y678_COPG1.pdf</v>
      </c>
    </row>
    <row r="6953" spans="1:28" x14ac:dyDescent="0.25">
      <c r="A6953" t="s">
        <v>6957</v>
      </c>
      <c r="B6953">
        <v>0.99999676499088797</v>
      </c>
      <c r="C6953">
        <v>1.1377654552120899</v>
      </c>
      <c r="D6953">
        <v>1.0248786053880099</v>
      </c>
      <c r="E6953">
        <v>0.62931383537849594</v>
      </c>
      <c r="F6953">
        <v>0.29975368220999699</v>
      </c>
      <c r="G6953">
        <v>0.21490035359403001</v>
      </c>
      <c r="H6953">
        <v>0.109734784644726</v>
      </c>
      <c r="I6953">
        <v>0.115324752116329</v>
      </c>
      <c r="J6953">
        <v>0.13298434291531899</v>
      </c>
      <c r="K6953">
        <v>0.11314243251839499</v>
      </c>
      <c r="L6953">
        <v>1522.7863666297301</v>
      </c>
      <c r="M6953">
        <v>30.225579434524299</v>
      </c>
      <c r="N6953">
        <v>50.895586575979301</v>
      </c>
      <c r="O6953">
        <v>50.161738076207797</v>
      </c>
      <c r="P6953">
        <v>-0.13079891097730501</v>
      </c>
      <c r="Q6953">
        <v>0.13172112690940199</v>
      </c>
      <c r="R6953">
        <v>0.98079214508880497</v>
      </c>
      <c r="S6953" t="s">
        <v>13956</v>
      </c>
      <c r="T6953" t="s">
        <v>14004</v>
      </c>
      <c r="U6953" t="s">
        <v>14004</v>
      </c>
      <c r="V6953" t="s">
        <v>14004</v>
      </c>
      <c r="W6953" t="s">
        <v>20894</v>
      </c>
      <c r="X6953">
        <v>6</v>
      </c>
      <c r="Y6953" t="s">
        <v>27666</v>
      </c>
      <c r="Z6953" t="s">
        <v>34663</v>
      </c>
      <c r="AA6953">
        <v>0.43748930693531901</v>
      </c>
      <c r="AB6953" t="str">
        <f>HYPERLINK("Melting_Curves/meltCurve_Q9Y679_2_AUP1.pdf", "Melting_Curves/meltCurve_Q9Y679_2_AUP1.pdf")</f>
        <v>Melting_Curves/meltCurve_Q9Y679_2_AUP1.pdf</v>
      </c>
    </row>
    <row r="6954" spans="1:28" x14ac:dyDescent="0.25">
      <c r="A6954" t="s">
        <v>6958</v>
      </c>
      <c r="B6954">
        <v>0.99999676499088797</v>
      </c>
      <c r="C6954">
        <v>0.99779816054311199</v>
      </c>
      <c r="D6954">
        <v>0.97602847370323098</v>
      </c>
      <c r="E6954">
        <v>0.89177476327448801</v>
      </c>
      <c r="F6954">
        <v>0.71306860895125801</v>
      </c>
      <c r="G6954">
        <v>0.54246036784568796</v>
      </c>
      <c r="H6954">
        <v>0.33325738227466101</v>
      </c>
      <c r="I6954">
        <v>0.29319052303064502</v>
      </c>
      <c r="J6954">
        <v>0.24348735600051799</v>
      </c>
      <c r="K6954">
        <v>0.24765764432680301</v>
      </c>
      <c r="L6954">
        <v>903.97646812105802</v>
      </c>
      <c r="M6954">
        <v>16.366364569146501</v>
      </c>
      <c r="N6954">
        <v>57.155416266608803</v>
      </c>
      <c r="O6954">
        <v>54.428938454588099</v>
      </c>
      <c r="P6954">
        <v>-5.92708854597227E-2</v>
      </c>
      <c r="Q6954">
        <v>0.21159777184638601</v>
      </c>
      <c r="R6954">
        <v>0.99841030873421199</v>
      </c>
      <c r="S6954" t="s">
        <v>13957</v>
      </c>
      <c r="T6954" t="s">
        <v>14004</v>
      </c>
      <c r="U6954" t="s">
        <v>14004</v>
      </c>
      <c r="V6954" t="s">
        <v>14004</v>
      </c>
      <c r="W6954" t="s">
        <v>20895</v>
      </c>
      <c r="X6954">
        <v>15</v>
      </c>
      <c r="Y6954" t="s">
        <v>27667</v>
      </c>
      <c r="Z6954" t="s">
        <v>34664</v>
      </c>
      <c r="AA6954">
        <v>0.62553065644245287</v>
      </c>
      <c r="AB6954" t="str">
        <f>HYPERLINK("Melting_Curves/meltCurve_Q9Y680_2_FKBP7.pdf", "Melting_Curves/meltCurve_Q9Y680_2_FKBP7.pdf")</f>
        <v>Melting_Curves/meltCurve_Q9Y680_2_FKBP7.pdf</v>
      </c>
    </row>
    <row r="6955" spans="1:28" x14ac:dyDescent="0.25">
      <c r="A6955" t="s">
        <v>6959</v>
      </c>
      <c r="B6955">
        <v>0.99999676499088797</v>
      </c>
      <c r="C6955">
        <v>1.0035179432296999</v>
      </c>
      <c r="D6955">
        <v>0.95060391913300202</v>
      </c>
      <c r="E6955">
        <v>0.84566224295648795</v>
      </c>
      <c r="F6955">
        <v>0.44271704117954802</v>
      </c>
      <c r="G6955">
        <v>0.28968109684196403</v>
      </c>
      <c r="H6955">
        <v>0.104746620320252</v>
      </c>
      <c r="I6955">
        <v>7.1081415332490794E-2</v>
      </c>
      <c r="J6955">
        <v>5.69481853974311E-2</v>
      </c>
      <c r="K6955">
        <v>6.8378967433638194E-2</v>
      </c>
      <c r="L6955">
        <v>1103.0474047354801</v>
      </c>
      <c r="M6955">
        <v>20.8719754392312</v>
      </c>
      <c r="N6955">
        <v>53.1539194574219</v>
      </c>
      <c r="O6955">
        <v>52.370301583156397</v>
      </c>
      <c r="P6955">
        <v>-9.4004498710606094E-2</v>
      </c>
      <c r="Q6955">
        <v>5.65514897997254E-2</v>
      </c>
      <c r="R6955">
        <v>0.99517948927725497</v>
      </c>
      <c r="S6955" t="s">
        <v>13958</v>
      </c>
      <c r="T6955" t="s">
        <v>14004</v>
      </c>
      <c r="U6955" t="s">
        <v>14004</v>
      </c>
      <c r="V6955" t="s">
        <v>14004</v>
      </c>
      <c r="W6955" t="s">
        <v>20896</v>
      </c>
      <c r="X6955">
        <v>3</v>
      </c>
      <c r="Y6955" t="s">
        <v>27668</v>
      </c>
      <c r="Z6955" t="s">
        <v>34665</v>
      </c>
      <c r="AA6955">
        <v>0.47266970684410481</v>
      </c>
      <c r="AB6955" t="str">
        <f>HYPERLINK("Melting_Curves/meltCurve_Q9Y689_2_ARL5A.pdf", "Melting_Curves/meltCurve_Q9Y689_2_ARL5A.pdf")</f>
        <v>Melting_Curves/meltCurve_Q9Y689_2_ARL5A.pdf</v>
      </c>
    </row>
    <row r="6956" spans="1:28" x14ac:dyDescent="0.25">
      <c r="A6956" t="s">
        <v>6960</v>
      </c>
      <c r="B6956">
        <v>0.99999676499088797</v>
      </c>
      <c r="C6956">
        <v>0.80564056061225098</v>
      </c>
      <c r="D6956">
        <v>0.56287587911743098</v>
      </c>
      <c r="E6956">
        <v>0.30136101472462201</v>
      </c>
      <c r="F6956">
        <v>0.229360833229836</v>
      </c>
      <c r="G6956">
        <v>0.19523429586534699</v>
      </c>
      <c r="H6956">
        <v>9.7285245004554294E-2</v>
      </c>
      <c r="I6956">
        <v>8.83678879612637E-2</v>
      </c>
      <c r="J6956">
        <v>8.1305653612413001E-2</v>
      </c>
      <c r="K6956">
        <v>7.8779214438451803E-2</v>
      </c>
      <c r="L6956">
        <v>768.022852220392</v>
      </c>
      <c r="M6956">
        <v>16.560910434634401</v>
      </c>
      <c r="N6956">
        <v>46.971803863909301</v>
      </c>
      <c r="O6956">
        <v>45.715270118107</v>
      </c>
      <c r="P6956">
        <v>-8.1986916307518198E-2</v>
      </c>
      <c r="Q6956">
        <v>9.4784719245243496E-2</v>
      </c>
      <c r="R6956">
        <v>0.98933625635394795</v>
      </c>
      <c r="S6956" t="s">
        <v>13959</v>
      </c>
      <c r="T6956" t="s">
        <v>14004</v>
      </c>
      <c r="U6956" t="s">
        <v>14004</v>
      </c>
      <c r="V6956" t="s">
        <v>14004</v>
      </c>
      <c r="W6956" t="s">
        <v>20897</v>
      </c>
      <c r="X6956">
        <v>4</v>
      </c>
      <c r="Y6956" t="s">
        <v>27669</v>
      </c>
      <c r="Z6956" t="s">
        <v>34666</v>
      </c>
      <c r="AA6956">
        <v>0.30794419739535411</v>
      </c>
      <c r="AB6956" t="str">
        <f>HYPERLINK("Melting_Curves/meltCurve_Q9Y692_2_GMEB1.pdf", "Melting_Curves/meltCurve_Q9Y692_2_GMEB1.pdf")</f>
        <v>Melting_Curves/meltCurve_Q9Y692_2_GMEB1.pdf</v>
      </c>
    </row>
    <row r="6957" spans="1:28" x14ac:dyDescent="0.25">
      <c r="A6957" t="s">
        <v>6961</v>
      </c>
      <c r="B6957">
        <v>0.99999676499088797</v>
      </c>
      <c r="C6957">
        <v>0.94140875240945998</v>
      </c>
      <c r="D6957">
        <v>1.0105627696355901</v>
      </c>
      <c r="E6957">
        <v>1.0461264523138301</v>
      </c>
      <c r="F6957">
        <v>0.534875884144978</v>
      </c>
      <c r="G6957">
        <v>0.20721541275047001</v>
      </c>
      <c r="H6957">
        <v>9.4029091082005398E-2</v>
      </c>
      <c r="I6957">
        <v>6.5436898502992599E-2</v>
      </c>
      <c r="J6957">
        <v>5.0344905097282802E-2</v>
      </c>
      <c r="K6957">
        <v>5.1881522987723701E-2</v>
      </c>
      <c r="L6957">
        <v>2125.6650285691599</v>
      </c>
      <c r="M6957">
        <v>39.819646409971902</v>
      </c>
      <c r="N6957">
        <v>53.595701697290799</v>
      </c>
      <c r="O6957">
        <v>53.248194172937701</v>
      </c>
      <c r="P6957">
        <v>-0.17324799323236301</v>
      </c>
      <c r="Q6957">
        <v>7.3309020972173802E-2</v>
      </c>
      <c r="R6957">
        <v>0.99079917353374003</v>
      </c>
      <c r="S6957" t="s">
        <v>13960</v>
      </c>
      <c r="T6957" t="s">
        <v>14004</v>
      </c>
      <c r="U6957" t="s">
        <v>14004</v>
      </c>
      <c r="V6957" t="s">
        <v>14004</v>
      </c>
      <c r="W6957" t="s">
        <v>20898</v>
      </c>
      <c r="X6957">
        <v>14</v>
      </c>
      <c r="Y6957" t="s">
        <v>27670</v>
      </c>
      <c r="Z6957" t="s">
        <v>34667</v>
      </c>
      <c r="AA6957">
        <v>0.490130594001986</v>
      </c>
      <c r="AB6957" t="str">
        <f>HYPERLINK("Melting_Curves/meltCurve_Q9Y696_CLIC4.pdf", "Melting_Curves/meltCurve_Q9Y696_CLIC4.pdf")</f>
        <v>Melting_Curves/meltCurve_Q9Y696_CLIC4.pdf</v>
      </c>
    </row>
    <row r="6958" spans="1:28" x14ac:dyDescent="0.25">
      <c r="A6958" t="s">
        <v>6962</v>
      </c>
      <c r="B6958">
        <v>0.99999676499088797</v>
      </c>
      <c r="C6958">
        <v>1.03333001689235</v>
      </c>
      <c r="D6958">
        <v>1.0196945579702099</v>
      </c>
      <c r="E6958">
        <v>1.0675162665287801</v>
      </c>
      <c r="F6958">
        <v>0.69182160425501404</v>
      </c>
      <c r="G6958">
        <v>0.26163824074123498</v>
      </c>
      <c r="H6958">
        <v>0.116184730506757</v>
      </c>
      <c r="I6958">
        <v>8.4846187071921805E-2</v>
      </c>
      <c r="J6958">
        <v>7.9966872796711497E-2</v>
      </c>
      <c r="K6958">
        <v>7.5415386646215499E-2</v>
      </c>
      <c r="L6958">
        <v>1995.3845625901499</v>
      </c>
      <c r="M6958">
        <v>36.7022774512875</v>
      </c>
      <c r="N6958">
        <v>54.6471154314806</v>
      </c>
      <c r="O6958">
        <v>54.206130951615101</v>
      </c>
      <c r="P6958">
        <v>-0.154746835992777</v>
      </c>
      <c r="Q6958">
        <v>8.5811152493125598E-2</v>
      </c>
      <c r="R6958">
        <v>0.99379935807290698</v>
      </c>
      <c r="S6958" t="s">
        <v>13961</v>
      </c>
      <c r="T6958" t="s">
        <v>14004</v>
      </c>
      <c r="U6958" t="s">
        <v>14004</v>
      </c>
      <c r="V6958" t="s">
        <v>14004</v>
      </c>
      <c r="W6958" t="s">
        <v>20899</v>
      </c>
      <c r="X6958">
        <v>16</v>
      </c>
      <c r="Y6958" t="s">
        <v>27671</v>
      </c>
      <c r="Z6958" t="s">
        <v>34668</v>
      </c>
      <c r="AA6958">
        <v>0.52767587028609753</v>
      </c>
      <c r="AB6958" t="str">
        <f>HYPERLINK("Melting_Curves/meltCurve_Q9Y697_2_NFS1.pdf", "Melting_Curves/meltCurve_Q9Y697_2_NFS1.pdf")</f>
        <v>Melting_Curves/meltCurve_Q9Y697_2_NFS1.pdf</v>
      </c>
    </row>
    <row r="6959" spans="1:28" x14ac:dyDescent="0.25">
      <c r="A6959" t="s">
        <v>6963</v>
      </c>
      <c r="B6959">
        <v>0.99999676499088797</v>
      </c>
      <c r="C6959">
        <v>0.92941088725979004</v>
      </c>
      <c r="D6959">
        <v>0.828124768208786</v>
      </c>
      <c r="E6959">
        <v>0.64997398199469003</v>
      </c>
      <c r="F6959">
        <v>0.41092448428709299</v>
      </c>
      <c r="G6959">
        <v>0.32666588680847602</v>
      </c>
      <c r="H6959">
        <v>0.150028526247519</v>
      </c>
      <c r="I6959">
        <v>9.47693268809809E-2</v>
      </c>
      <c r="J6959">
        <v>6.9275645730312196E-2</v>
      </c>
      <c r="K6959">
        <v>6.2685882154027095E-2</v>
      </c>
      <c r="L6959">
        <v>619.51617334788796</v>
      </c>
      <c r="M6959">
        <v>11.8951857873941</v>
      </c>
      <c r="N6959">
        <v>52.167180067004999</v>
      </c>
      <c r="O6959">
        <v>50.674753313199901</v>
      </c>
      <c r="P6959">
        <v>-5.8129108942525799E-2</v>
      </c>
      <c r="Q6959">
        <v>9.7022983352852005E-3</v>
      </c>
      <c r="R6959">
        <v>0.99639935813256897</v>
      </c>
      <c r="S6959" t="s">
        <v>13962</v>
      </c>
      <c r="T6959" t="s">
        <v>14004</v>
      </c>
      <c r="U6959" t="s">
        <v>14004</v>
      </c>
      <c r="V6959" t="s">
        <v>14004</v>
      </c>
      <c r="W6959" t="s">
        <v>20900</v>
      </c>
      <c r="X6959">
        <v>7</v>
      </c>
      <c r="Y6959" t="s">
        <v>27672</v>
      </c>
      <c r="Z6959" t="s">
        <v>34669</v>
      </c>
      <c r="AA6959">
        <v>0.43898089726046408</v>
      </c>
      <c r="AB6959" t="str">
        <f>HYPERLINK("Melting_Curves/meltCurve_Q9Y6A4_C16orf80.pdf", "Melting_Curves/meltCurve_Q9Y6A4_C16orf80.pdf")</f>
        <v>Melting_Curves/meltCurve_Q9Y6A4_C16orf80.pdf</v>
      </c>
    </row>
    <row r="6960" spans="1:28" x14ac:dyDescent="0.25">
      <c r="A6960" t="s">
        <v>6964</v>
      </c>
      <c r="B6960">
        <v>0.99999676499088797</v>
      </c>
      <c r="C6960">
        <v>0.95050213049128596</v>
      </c>
      <c r="D6960">
        <v>0.89984650622093798</v>
      </c>
      <c r="E6960">
        <v>0.59711138963300603</v>
      </c>
      <c r="F6960">
        <v>0.44270357799108701</v>
      </c>
      <c r="G6960">
        <v>0.39066546143755598</v>
      </c>
      <c r="H6960">
        <v>0.304253348546416</v>
      </c>
      <c r="I6960">
        <v>0.38157906600344099</v>
      </c>
      <c r="J6960">
        <v>0.40859064383432298</v>
      </c>
      <c r="K6960">
        <v>0.536592577993246</v>
      </c>
      <c r="L6960">
        <v>1445.4180314355301</v>
      </c>
      <c r="M6960">
        <v>29.884083566414599</v>
      </c>
      <c r="N6960">
        <v>51.181490529196502</v>
      </c>
      <c r="O6960">
        <v>48.152454828194301</v>
      </c>
      <c r="P6960">
        <v>-9.2579860130751299E-2</v>
      </c>
      <c r="Q6960">
        <v>0.40330539131482002</v>
      </c>
      <c r="R6960">
        <v>0.95116799421925002</v>
      </c>
      <c r="S6960" t="s">
        <v>13963</v>
      </c>
      <c r="T6960" t="s">
        <v>14004</v>
      </c>
      <c r="U6960" t="s">
        <v>14004</v>
      </c>
      <c r="V6960" t="s">
        <v>14004</v>
      </c>
      <c r="W6960" t="s">
        <v>20901</v>
      </c>
      <c r="X6960">
        <v>34</v>
      </c>
      <c r="Y6960" t="s">
        <v>21869</v>
      </c>
      <c r="Z6960" t="s">
        <v>34670</v>
      </c>
      <c r="AA6960">
        <v>0.57336690785723998</v>
      </c>
      <c r="AB6960" t="str">
        <f>HYPERLINK("Melting_Curves/meltCurve_Q9Y6A5_TACC3.pdf", "Melting_Curves/meltCurve_Q9Y6A5_TACC3.pdf")</f>
        <v>Melting_Curves/meltCurve_Q9Y6A5_TACC3.pdf</v>
      </c>
    </row>
    <row r="6961" spans="1:28" x14ac:dyDescent="0.25">
      <c r="A6961" t="s">
        <v>6965</v>
      </c>
      <c r="B6961">
        <v>0.99999676499088797</v>
      </c>
      <c r="C6961">
        <v>1.04196819404623</v>
      </c>
      <c r="D6961">
        <v>1.0184684015177701</v>
      </c>
      <c r="E6961">
        <v>1.03550906991277</v>
      </c>
      <c r="F6961">
        <v>0.89523440330250903</v>
      </c>
      <c r="G6961">
        <v>0.42128656301652601</v>
      </c>
      <c r="H6961">
        <v>0.105494918388491</v>
      </c>
      <c r="I6961">
        <v>7.2003599792834896E-2</v>
      </c>
      <c r="J6961">
        <v>4.5038605799398397E-2</v>
      </c>
      <c r="K6961">
        <v>2.48555465252196E-2</v>
      </c>
      <c r="L6961">
        <v>2103.89044075634</v>
      </c>
      <c r="M6961">
        <v>37.454670956295303</v>
      </c>
      <c r="N6961">
        <v>56.313686229208102</v>
      </c>
      <c r="O6961">
        <v>56.012237042467802</v>
      </c>
      <c r="P6961">
        <v>-0.15963707608064701</v>
      </c>
      <c r="Q6961">
        <v>4.5074441380143902E-2</v>
      </c>
      <c r="R6961">
        <v>0.997635190823148</v>
      </c>
      <c r="S6961" t="s">
        <v>13964</v>
      </c>
      <c r="T6961" t="s">
        <v>14004</v>
      </c>
      <c r="U6961" t="s">
        <v>14004</v>
      </c>
      <c r="V6961" t="s">
        <v>14004</v>
      </c>
      <c r="W6961" t="s">
        <v>20902</v>
      </c>
      <c r="X6961">
        <v>9</v>
      </c>
      <c r="Y6961" t="s">
        <v>27673</v>
      </c>
      <c r="Z6961" t="s">
        <v>34671</v>
      </c>
      <c r="AA6961">
        <v>0.56401826863264037</v>
      </c>
      <c r="AB6961" t="str">
        <f>HYPERLINK("Melting_Curves/meltCurve_Q9Y6B6_SAR1B.pdf", "Melting_Curves/meltCurve_Q9Y6B6_SAR1B.pdf")</f>
        <v>Melting_Curves/meltCurve_Q9Y6B6_SAR1B.pdf</v>
      </c>
    </row>
    <row r="6962" spans="1:28" x14ac:dyDescent="0.25">
      <c r="A6962" t="s">
        <v>6966</v>
      </c>
      <c r="B6962">
        <v>0.99999676499088797</v>
      </c>
      <c r="C6962">
        <v>1.0311184163360101</v>
      </c>
      <c r="D6962">
        <v>1.07079209237728</v>
      </c>
      <c r="E6962">
        <v>1.00347415706378</v>
      </c>
      <c r="F6962">
        <v>0.79782119054071798</v>
      </c>
      <c r="G6962">
        <v>0.58778704646458602</v>
      </c>
      <c r="H6962">
        <v>0.26741183394971102</v>
      </c>
      <c r="I6962">
        <v>0.19384897240556201</v>
      </c>
      <c r="J6962">
        <v>0.12996304484245699</v>
      </c>
      <c r="K6962">
        <v>9.7002948343352102E-2</v>
      </c>
      <c r="L6962">
        <v>1200.9451786622601</v>
      </c>
      <c r="M6962">
        <v>21.0484696553631</v>
      </c>
      <c r="N6962">
        <v>57.599921734734998</v>
      </c>
      <c r="O6962">
        <v>56.548639638671602</v>
      </c>
      <c r="P6962">
        <v>-8.4672558506654297E-2</v>
      </c>
      <c r="Q6962">
        <v>9.0101575504106204E-2</v>
      </c>
      <c r="R6962">
        <v>0.99249461727291899</v>
      </c>
      <c r="S6962" t="s">
        <v>13965</v>
      </c>
      <c r="T6962" t="s">
        <v>14004</v>
      </c>
      <c r="U6962" t="s">
        <v>14004</v>
      </c>
      <c r="V6962" t="s">
        <v>14004</v>
      </c>
      <c r="W6962" t="s">
        <v>20903</v>
      </c>
      <c r="X6962">
        <v>10</v>
      </c>
      <c r="Y6962" t="s">
        <v>21517</v>
      </c>
      <c r="Z6962" t="s">
        <v>34672</v>
      </c>
      <c r="AA6962">
        <v>0.61784199100560278</v>
      </c>
      <c r="AB6962" t="str">
        <f>HYPERLINK("Melting_Curves/meltCurve_Q9Y6C9_MTCH2.pdf", "Melting_Curves/meltCurve_Q9Y6C9_MTCH2.pdf")</f>
        <v>Melting_Curves/meltCurve_Q9Y6C9_MTCH2.pdf</v>
      </c>
    </row>
    <row r="6963" spans="1:28" x14ac:dyDescent="0.25">
      <c r="A6963" t="s">
        <v>6967</v>
      </c>
      <c r="B6963">
        <v>0.99999676499088797</v>
      </c>
      <c r="C6963">
        <v>1.0008332372419699</v>
      </c>
      <c r="D6963">
        <v>1.0008690114619601</v>
      </c>
      <c r="E6963">
        <v>0.66233647120370298</v>
      </c>
      <c r="F6963">
        <v>0.40722563494003799</v>
      </c>
      <c r="G6963">
        <v>0.30236267517927001</v>
      </c>
      <c r="H6963">
        <v>0.191613561555529</v>
      </c>
      <c r="I6963">
        <v>0.17177973645960401</v>
      </c>
      <c r="J6963">
        <v>0.18136184162809199</v>
      </c>
      <c r="K6963">
        <v>0.12117096119797</v>
      </c>
      <c r="L6963">
        <v>1083.83785366553</v>
      </c>
      <c r="M6963">
        <v>21.234903904816601</v>
      </c>
      <c r="N6963">
        <v>52.011400365350099</v>
      </c>
      <c r="O6963">
        <v>50.594208119360502</v>
      </c>
      <c r="P6963">
        <v>-8.7759071728534005E-2</v>
      </c>
      <c r="Q6963">
        <v>0.16364361357063101</v>
      </c>
      <c r="R6963">
        <v>0.98995892895793902</v>
      </c>
      <c r="S6963" t="s">
        <v>13966</v>
      </c>
      <c r="T6963" t="s">
        <v>14004</v>
      </c>
      <c r="U6963" t="s">
        <v>14004</v>
      </c>
      <c r="V6963" t="s">
        <v>14004</v>
      </c>
      <c r="W6963" t="s">
        <v>20904</v>
      </c>
      <c r="X6963">
        <v>9</v>
      </c>
      <c r="Y6963" t="s">
        <v>27674</v>
      </c>
      <c r="Z6963" t="s">
        <v>34673</v>
      </c>
      <c r="AA6963">
        <v>0.48180255370625891</v>
      </c>
      <c r="AB6963" t="str">
        <f>HYPERLINK("Melting_Curves/meltCurve_Q9Y6D5_ARFGEF2.pdf", "Melting_Curves/meltCurve_Q9Y6D5_ARFGEF2.pdf")</f>
        <v>Melting_Curves/meltCurve_Q9Y6D5_ARFGEF2.pdf</v>
      </c>
    </row>
    <row r="6964" spans="1:28" x14ac:dyDescent="0.25">
      <c r="A6964" t="s">
        <v>6968</v>
      </c>
      <c r="B6964">
        <v>0.99999676499088797</v>
      </c>
      <c r="C6964">
        <v>1.0587568379123999</v>
      </c>
      <c r="D6964">
        <v>1.0385012320404901</v>
      </c>
      <c r="E6964">
        <v>0.678179986817528</v>
      </c>
      <c r="F6964">
        <v>0.28824302129280299</v>
      </c>
      <c r="G6964">
        <v>0.20093784929831801</v>
      </c>
      <c r="H6964">
        <v>8.5769098890553203E-2</v>
      </c>
      <c r="I6964">
        <v>9.7940441111236801E-2</v>
      </c>
      <c r="J6964">
        <v>7.8125829578854195E-2</v>
      </c>
      <c r="K6964">
        <v>6.4515096884893097E-2</v>
      </c>
      <c r="L6964">
        <v>1472.90347705878</v>
      </c>
      <c r="M6964">
        <v>28.962300451131501</v>
      </c>
      <c r="N6964">
        <v>51.219103285769201</v>
      </c>
      <c r="O6964">
        <v>50.615284687701497</v>
      </c>
      <c r="P6964">
        <v>-0.12977231195296701</v>
      </c>
      <c r="Q6964">
        <v>9.2832671962558899E-2</v>
      </c>
      <c r="R6964">
        <v>0.990192777379449</v>
      </c>
      <c r="S6964" t="s">
        <v>13967</v>
      </c>
      <c r="T6964" t="s">
        <v>14004</v>
      </c>
      <c r="U6964" t="s">
        <v>14004</v>
      </c>
      <c r="V6964" t="s">
        <v>14004</v>
      </c>
      <c r="W6964" t="s">
        <v>20905</v>
      </c>
      <c r="X6964">
        <v>16</v>
      </c>
      <c r="Y6964" t="s">
        <v>27675</v>
      </c>
      <c r="Z6964" t="s">
        <v>34674</v>
      </c>
      <c r="AA6964">
        <v>0.42720904344751021</v>
      </c>
      <c r="AB6964" t="str">
        <f>HYPERLINK("Melting_Curves/meltCurve_Q9Y6D6_ARFGEF1.pdf", "Melting_Curves/meltCurve_Q9Y6D6_ARFGEF1.pdf")</f>
        <v>Melting_Curves/meltCurve_Q9Y6D6_ARFGEF1.pdf</v>
      </c>
    </row>
    <row r="6965" spans="1:28" x14ac:dyDescent="0.25">
      <c r="A6965" t="s">
        <v>6969</v>
      </c>
      <c r="B6965">
        <v>0.99999676499088797</v>
      </c>
      <c r="C6965">
        <v>0.91848099454089505</v>
      </c>
      <c r="D6965">
        <v>0.66659709795216404</v>
      </c>
      <c r="E6965">
        <v>0.29771810671413501</v>
      </c>
      <c r="F6965">
        <v>0.23395694824899901</v>
      </c>
      <c r="G6965">
        <v>0.15417737260018399</v>
      </c>
      <c r="H6965">
        <v>8.2291044485451603E-2</v>
      </c>
      <c r="I6965">
        <v>6.6094083885725796E-2</v>
      </c>
      <c r="J6965">
        <v>6.6964303123208696E-2</v>
      </c>
      <c r="K6965">
        <v>6.7956042969035499E-2</v>
      </c>
      <c r="L6965">
        <v>948.00844088941096</v>
      </c>
      <c r="M6965">
        <v>20.042524453319899</v>
      </c>
      <c r="N6965">
        <v>47.7294368883503</v>
      </c>
      <c r="O6965">
        <v>46.83652866576</v>
      </c>
      <c r="P6965">
        <v>-9.8155894116706194E-2</v>
      </c>
      <c r="Q6965">
        <v>8.2524166076686695E-2</v>
      </c>
      <c r="R6965">
        <v>0.99204606378772597</v>
      </c>
      <c r="S6965" t="s">
        <v>13968</v>
      </c>
      <c r="T6965" t="s">
        <v>14004</v>
      </c>
      <c r="U6965" t="s">
        <v>14004</v>
      </c>
      <c r="V6965" t="s">
        <v>14004</v>
      </c>
      <c r="W6965" t="s">
        <v>20906</v>
      </c>
      <c r="X6965">
        <v>16</v>
      </c>
      <c r="Y6965" t="s">
        <v>27676</v>
      </c>
      <c r="Z6965" t="s">
        <v>34675</v>
      </c>
      <c r="AA6965">
        <v>0.31899477372607432</v>
      </c>
      <c r="AB6965" t="str">
        <f>HYPERLINK("Melting_Curves/meltCurve_Q9Y6D9_MAD1L1.pdf", "Melting_Curves/meltCurve_Q9Y6D9_MAD1L1.pdf")</f>
        <v>Melting_Curves/meltCurve_Q9Y6D9_MAD1L1.pdf</v>
      </c>
    </row>
    <row r="6966" spans="1:28" x14ac:dyDescent="0.25">
      <c r="A6966" t="s">
        <v>6970</v>
      </c>
      <c r="B6966">
        <v>0.99999676499088797</v>
      </c>
      <c r="C6966">
        <v>0.91211971208383602</v>
      </c>
      <c r="D6966">
        <v>0.93967472552098696</v>
      </c>
      <c r="E6966">
        <v>0.89632777570668998</v>
      </c>
      <c r="F6966">
        <v>0.51314769739596899</v>
      </c>
      <c r="G6966">
        <v>0.26041063865598002</v>
      </c>
      <c r="H6966">
        <v>8.3401866618355802E-2</v>
      </c>
      <c r="I6966">
        <v>8.1705084039952997E-2</v>
      </c>
      <c r="J6966">
        <v>7.34193555944644E-2</v>
      </c>
      <c r="K6966">
        <v>5.8614081759565902E-2</v>
      </c>
      <c r="L6966">
        <v>1255.9391475015</v>
      </c>
      <c r="M6966">
        <v>23.5716448112493</v>
      </c>
      <c r="N6966">
        <v>53.563653085918403</v>
      </c>
      <c r="O6966">
        <v>52.902724081957402</v>
      </c>
      <c r="P6966">
        <v>-0.104895793355404</v>
      </c>
      <c r="Q6966">
        <v>5.8329584362587297E-2</v>
      </c>
      <c r="R6966">
        <v>0.99239642706119002</v>
      </c>
      <c r="S6966" t="s">
        <v>13969</v>
      </c>
      <c r="T6966" t="s">
        <v>14004</v>
      </c>
      <c r="U6966" t="s">
        <v>14004</v>
      </c>
      <c r="V6966" t="s">
        <v>14004</v>
      </c>
      <c r="W6966" t="s">
        <v>20907</v>
      </c>
      <c r="X6966">
        <v>23</v>
      </c>
      <c r="Y6966" t="s">
        <v>27677</v>
      </c>
      <c r="Z6966" t="s">
        <v>34676</v>
      </c>
      <c r="AA6966">
        <v>0.48491245869586608</v>
      </c>
      <c r="AB6966" t="str">
        <f>HYPERLINK("Melting_Curves/meltCurve_Q9Y6E0_2_STK24.pdf", "Melting_Curves/meltCurve_Q9Y6E0_2_STK24.pdf")</f>
        <v>Melting_Curves/meltCurve_Q9Y6E0_2_STK24.pdf</v>
      </c>
    </row>
    <row r="6967" spans="1:28" x14ac:dyDescent="0.25">
      <c r="A6967" t="s">
        <v>6971</v>
      </c>
      <c r="B6967">
        <v>0.99999676499088797</v>
      </c>
      <c r="C6967">
        <v>0.96960046277347101</v>
      </c>
      <c r="D6967">
        <v>1.04243162360605</v>
      </c>
      <c r="E6967">
        <v>0.98093827939900602</v>
      </c>
      <c r="F6967">
        <v>0.575204788533483</v>
      </c>
      <c r="G6967">
        <v>0.236216694856453</v>
      </c>
      <c r="H6967">
        <v>0.103076332011594</v>
      </c>
      <c r="I6967">
        <v>9.1000790263880596E-2</v>
      </c>
      <c r="J6967">
        <v>8.0831094446895402E-2</v>
      </c>
      <c r="K6967">
        <v>6.8766220278735898E-2</v>
      </c>
      <c r="L6967">
        <v>1766.14017661048</v>
      </c>
      <c r="M6967">
        <v>32.945789970151203</v>
      </c>
      <c r="N6967">
        <v>53.908307145480499</v>
      </c>
      <c r="O6967">
        <v>53.411112846510001</v>
      </c>
      <c r="P6967">
        <v>-0.14125952940815301</v>
      </c>
      <c r="Q6967">
        <v>8.3974636405518194E-2</v>
      </c>
      <c r="R6967">
        <v>0.99637837629514803</v>
      </c>
      <c r="S6967" t="s">
        <v>13970</v>
      </c>
      <c r="T6967" t="s">
        <v>14004</v>
      </c>
      <c r="U6967" t="s">
        <v>14004</v>
      </c>
      <c r="V6967" t="s">
        <v>14004</v>
      </c>
      <c r="W6967" t="s">
        <v>20908</v>
      </c>
      <c r="X6967">
        <v>23</v>
      </c>
      <c r="Y6967" t="s">
        <v>27678</v>
      </c>
      <c r="Z6967" t="s">
        <v>34677</v>
      </c>
      <c r="AA6967">
        <v>0.50445278687772366</v>
      </c>
      <c r="AB6967" t="str">
        <f>HYPERLINK("Melting_Curves/meltCurve_Q9Y6G9_DYNC1LI1.pdf", "Melting_Curves/meltCurve_Q9Y6G9_DYNC1LI1.pdf")</f>
        <v>Melting_Curves/meltCurve_Q9Y6G9_DYNC1LI1.pdf</v>
      </c>
    </row>
    <row r="6968" spans="1:28" x14ac:dyDescent="0.25">
      <c r="A6968" t="s">
        <v>6972</v>
      </c>
      <c r="B6968">
        <v>0.99999676499088797</v>
      </c>
      <c r="C6968">
        <v>1.13705674111901</v>
      </c>
      <c r="D6968">
        <v>0.95340522717586595</v>
      </c>
      <c r="E6968">
        <v>0.82883793002773698</v>
      </c>
      <c r="F6968">
        <v>0.84135779470248395</v>
      </c>
      <c r="G6968">
        <v>0.72546961398265197</v>
      </c>
      <c r="H6968">
        <v>0.58777017862549596</v>
      </c>
      <c r="I6968">
        <v>0.69751273273756098</v>
      </c>
      <c r="J6968">
        <v>0.81500157165948806</v>
      </c>
      <c r="K6968">
        <v>0.786180513020315</v>
      </c>
      <c r="L6968">
        <v>1241.4728544587399</v>
      </c>
      <c r="M6968">
        <v>25.035247230086402</v>
      </c>
      <c r="O6968">
        <v>49.275849134069901</v>
      </c>
      <c r="P6968">
        <v>-3.4487918399888302E-2</v>
      </c>
      <c r="Q6968">
        <v>0.72847902148553301</v>
      </c>
      <c r="R6968">
        <v>0.739572277996143</v>
      </c>
      <c r="S6968" t="s">
        <v>13971</v>
      </c>
      <c r="T6968" t="s">
        <v>14004</v>
      </c>
      <c r="U6968" t="s">
        <v>14004</v>
      </c>
      <c r="V6968" t="s">
        <v>14004</v>
      </c>
      <c r="W6968" t="s">
        <v>20909</v>
      </c>
      <c r="X6968">
        <v>6</v>
      </c>
      <c r="Y6968" t="s">
        <v>27679</v>
      </c>
      <c r="Z6968" t="s">
        <v>34678</v>
      </c>
      <c r="AA6968">
        <v>0.817676465555914</v>
      </c>
      <c r="AB6968" t="str">
        <f>HYPERLINK("Melting_Curves/meltCurve_Q9Y6H1_CHCHD2.pdf", "Melting_Curves/meltCurve_Q9Y6H1_CHCHD2.pdf")</f>
        <v>Melting_Curves/meltCurve_Q9Y6H1_CHCHD2.pdf</v>
      </c>
    </row>
    <row r="6969" spans="1:28" x14ac:dyDescent="0.25">
      <c r="A6969" t="s">
        <v>6973</v>
      </c>
      <c r="B6969">
        <v>0.99999676499088797</v>
      </c>
      <c r="C6969">
        <v>0.90754235254897397</v>
      </c>
      <c r="D6969">
        <v>0.81793165464156203</v>
      </c>
      <c r="E6969">
        <v>0.63789678815032802</v>
      </c>
      <c r="F6969">
        <v>0.378059083040583</v>
      </c>
      <c r="G6969">
        <v>0.25085003500291198</v>
      </c>
      <c r="H6969">
        <v>0.14455404410064401</v>
      </c>
      <c r="I6969">
        <v>0.132834029484479</v>
      </c>
      <c r="J6969">
        <v>0.121347371079323</v>
      </c>
      <c r="K6969">
        <v>9.8520107293828194E-2</v>
      </c>
      <c r="L6969">
        <v>718.67343645750202</v>
      </c>
      <c r="M6969">
        <v>14.1746193979114</v>
      </c>
      <c r="N6969">
        <v>51.3499827047102</v>
      </c>
      <c r="O6969">
        <v>49.724303364276402</v>
      </c>
      <c r="P6969">
        <v>-6.5433462004855003E-2</v>
      </c>
      <c r="Q6969">
        <v>8.1958231670190396E-2</v>
      </c>
      <c r="R6969">
        <v>0.997762910864469</v>
      </c>
      <c r="S6969" t="s">
        <v>13972</v>
      </c>
      <c r="T6969" t="s">
        <v>14004</v>
      </c>
      <c r="U6969" t="s">
        <v>14004</v>
      </c>
      <c r="V6969" t="s">
        <v>14004</v>
      </c>
      <c r="W6969" t="s">
        <v>20910</v>
      </c>
      <c r="X6969">
        <v>3</v>
      </c>
      <c r="Y6969" t="s">
        <v>27680</v>
      </c>
      <c r="Z6969" t="s">
        <v>34679</v>
      </c>
      <c r="AA6969">
        <v>0.43296251718674861</v>
      </c>
      <c r="AB6969" t="str">
        <f>HYPERLINK("Melting_Curves/meltCurve_Q9Y6H3_XRCC6BP1.pdf", "Melting_Curves/meltCurve_Q9Y6H3_XRCC6BP1.pdf")</f>
        <v>Melting_Curves/meltCurve_Q9Y6H3_XRCC6BP1.pdf</v>
      </c>
    </row>
    <row r="6970" spans="1:28" x14ac:dyDescent="0.25">
      <c r="A6970" t="s">
        <v>6974</v>
      </c>
      <c r="B6970">
        <v>0.99999676499088797</v>
      </c>
      <c r="C6970">
        <v>0.92374820116217904</v>
      </c>
      <c r="D6970">
        <v>0.90089710397055001</v>
      </c>
      <c r="E6970">
        <v>0.56819000375695705</v>
      </c>
      <c r="F6970">
        <v>0.41718323719666101</v>
      </c>
      <c r="G6970">
        <v>0.19078550387811399</v>
      </c>
      <c r="H6970">
        <v>0.101933440028435</v>
      </c>
      <c r="I6970">
        <v>8.8156348764822506E-2</v>
      </c>
      <c r="J6970">
        <v>8.1782657640571604E-2</v>
      </c>
      <c r="K6970">
        <v>0.10444156821032199</v>
      </c>
      <c r="L6970">
        <v>832.19362908712901</v>
      </c>
      <c r="M6970">
        <v>16.399604113511302</v>
      </c>
      <c r="N6970">
        <v>51.196836523935303</v>
      </c>
      <c r="O6970">
        <v>50.008211202552097</v>
      </c>
      <c r="P6970">
        <v>-7.64634124798899E-2</v>
      </c>
      <c r="Q6970">
        <v>6.7410099237856902E-2</v>
      </c>
      <c r="R6970">
        <v>0.99215609062378496</v>
      </c>
      <c r="S6970" t="s">
        <v>13973</v>
      </c>
      <c r="T6970" t="s">
        <v>14004</v>
      </c>
      <c r="U6970" t="s">
        <v>14004</v>
      </c>
      <c r="V6970" t="s">
        <v>14004</v>
      </c>
      <c r="W6970" t="s">
        <v>20911</v>
      </c>
      <c r="X6970">
        <v>11</v>
      </c>
      <c r="Y6970" t="s">
        <v>27681</v>
      </c>
      <c r="Z6970" t="s">
        <v>34680</v>
      </c>
      <c r="AA6970">
        <v>0.42005152445184568</v>
      </c>
      <c r="AB6970" t="str">
        <f>HYPERLINK("Melting_Curves/meltCurve_Q9Y6I3_EPN1.pdf", "Melting_Curves/meltCurve_Q9Y6I3_EPN1.pdf")</f>
        <v>Melting_Curves/meltCurve_Q9Y6I3_EPN1.pdf</v>
      </c>
    </row>
    <row r="6971" spans="1:28" x14ac:dyDescent="0.25">
      <c r="A6971" t="s">
        <v>6975</v>
      </c>
      <c r="B6971">
        <v>0.99999676499088797</v>
      </c>
      <c r="C6971">
        <v>1.0444114143263299</v>
      </c>
      <c r="D6971">
        <v>0.84380707564433199</v>
      </c>
      <c r="E6971">
        <v>0.49802709383940602</v>
      </c>
      <c r="F6971">
        <v>0.220361967708114</v>
      </c>
      <c r="G6971">
        <v>0.15433634426078299</v>
      </c>
      <c r="H6971">
        <v>7.6655669101584001E-2</v>
      </c>
      <c r="I6971">
        <v>8.1529182845775802E-2</v>
      </c>
      <c r="J6971">
        <v>7.1003451766822601E-2</v>
      </c>
      <c r="K6971">
        <v>6.4090306079071999E-2</v>
      </c>
      <c r="L6971">
        <v>1159.5207924992401</v>
      </c>
      <c r="M6971">
        <v>23.516854503089299</v>
      </c>
      <c r="N6971">
        <v>49.661172397107897</v>
      </c>
      <c r="O6971">
        <v>48.953578889465497</v>
      </c>
      <c r="P6971">
        <v>-0.11080243737185599</v>
      </c>
      <c r="Q6971">
        <v>7.7413678962351906E-2</v>
      </c>
      <c r="R6971">
        <v>0.99526751759662402</v>
      </c>
      <c r="S6971" t="s">
        <v>13974</v>
      </c>
      <c r="T6971" t="s">
        <v>14004</v>
      </c>
      <c r="U6971" t="s">
        <v>14004</v>
      </c>
      <c r="V6971" t="s">
        <v>14004</v>
      </c>
      <c r="W6971" t="s">
        <v>20912</v>
      </c>
      <c r="X6971">
        <v>9</v>
      </c>
      <c r="Y6971" t="s">
        <v>27682</v>
      </c>
      <c r="Z6971" t="s">
        <v>34681</v>
      </c>
      <c r="AA6971">
        <v>0.37288197516570287</v>
      </c>
      <c r="AB6971" t="str">
        <f>HYPERLINK("Melting_Curves/meltCurve_Q9Y6I9_TEX264.pdf", "Melting_Curves/meltCurve_Q9Y6I9_TEX264.pdf")</f>
        <v>Melting_Curves/meltCurve_Q9Y6I9_TEX264.pdf</v>
      </c>
    </row>
    <row r="6972" spans="1:28" x14ac:dyDescent="0.25">
      <c r="A6972" t="s">
        <v>6976</v>
      </c>
      <c r="B6972">
        <v>0.99999676499088797</v>
      </c>
      <c r="C6972">
        <v>1.0636931759186901</v>
      </c>
      <c r="D6972">
        <v>1.06993765940846</v>
      </c>
      <c r="E6972">
        <v>1.0452885660898199</v>
      </c>
      <c r="F6972">
        <v>0.59344992637906602</v>
      </c>
      <c r="G6972">
        <v>0.282279656495877</v>
      </c>
      <c r="H6972">
        <v>0.118269592372701</v>
      </c>
      <c r="I6972">
        <v>8.8852993524163898E-2</v>
      </c>
      <c r="J6972">
        <v>5.6730180657131202E-2</v>
      </c>
      <c r="K6972">
        <v>7.5321153893266005E-2</v>
      </c>
      <c r="L6972">
        <v>1724.7586633087201</v>
      </c>
      <c r="M6972">
        <v>31.9624611843353</v>
      </c>
      <c r="N6972">
        <v>54.267907632707903</v>
      </c>
      <c r="O6972">
        <v>53.752096941345698</v>
      </c>
      <c r="P6972">
        <v>-0.13640300567040201</v>
      </c>
      <c r="Q6972">
        <v>8.2434850636213294E-2</v>
      </c>
      <c r="R6972">
        <v>0.987217131335276</v>
      </c>
      <c r="S6972" t="s">
        <v>13975</v>
      </c>
      <c r="T6972" t="s">
        <v>14004</v>
      </c>
      <c r="U6972" t="s">
        <v>14004</v>
      </c>
      <c r="V6972" t="s">
        <v>14004</v>
      </c>
      <c r="W6972" t="s">
        <v>20913</v>
      </c>
      <c r="X6972">
        <v>1</v>
      </c>
      <c r="Y6972" t="s">
        <v>27683</v>
      </c>
      <c r="Z6972" t="s">
        <v>34682</v>
      </c>
      <c r="AA6972">
        <v>0.51479689545243867</v>
      </c>
      <c r="AB6972" t="str">
        <f>HYPERLINK("Melting_Curves/meltCurve_Q9Y6K0_CEPT1.pdf", "Melting_Curves/meltCurve_Q9Y6K0_CEPT1.pdf")</f>
        <v>Melting_Curves/meltCurve_Q9Y6K0_CEPT1.pdf</v>
      </c>
    </row>
    <row r="6973" spans="1:28" x14ac:dyDescent="0.25">
      <c r="A6973" t="s">
        <v>6977</v>
      </c>
      <c r="B6973">
        <v>0.99999676499088797</v>
      </c>
      <c r="C6973">
        <v>0.78593716246720902</v>
      </c>
      <c r="D6973">
        <v>0.54494719965829097</v>
      </c>
      <c r="E6973">
        <v>0.35638039860838799</v>
      </c>
      <c r="F6973">
        <v>0.237633006563815</v>
      </c>
      <c r="G6973">
        <v>0.240626201354673</v>
      </c>
      <c r="H6973">
        <v>0.141113936073787</v>
      </c>
      <c r="I6973">
        <v>0.101464546588169</v>
      </c>
      <c r="J6973">
        <v>0.111257968841215</v>
      </c>
      <c r="K6973">
        <v>0.143175671622262</v>
      </c>
      <c r="L6973">
        <v>729.65009050446099</v>
      </c>
      <c r="M6973">
        <v>15.811384382809599</v>
      </c>
      <c r="N6973">
        <v>47.054037329331898</v>
      </c>
      <c r="O6973">
        <v>45.427884663647603</v>
      </c>
      <c r="P6973">
        <v>-7.5591180012944403E-2</v>
      </c>
      <c r="Q6973">
        <v>0.131343555591688</v>
      </c>
      <c r="R6973">
        <v>0.98495690043710604</v>
      </c>
      <c r="S6973" t="s">
        <v>13976</v>
      </c>
      <c r="T6973" t="s">
        <v>14004</v>
      </c>
      <c r="U6973" t="s">
        <v>14004</v>
      </c>
      <c r="V6973" t="s">
        <v>14004</v>
      </c>
      <c r="W6973" t="s">
        <v>20914</v>
      </c>
      <c r="X6973">
        <v>9</v>
      </c>
      <c r="Y6973" t="s">
        <v>27684</v>
      </c>
      <c r="Z6973" t="s">
        <v>34683</v>
      </c>
      <c r="AA6973">
        <v>0.33175063761585921</v>
      </c>
      <c r="AB6973" t="str">
        <f>HYPERLINK("Melting_Curves/meltCurve_Q9Y6K1_DNMT3A.pdf", "Melting_Curves/meltCurve_Q9Y6K1_DNMT3A.pdf")</f>
        <v>Melting_Curves/meltCurve_Q9Y6K1_DNMT3A.pdf</v>
      </c>
    </row>
    <row r="6974" spans="1:28" x14ac:dyDescent="0.25">
      <c r="A6974" t="s">
        <v>6978</v>
      </c>
      <c r="B6974">
        <v>0.99999676499088797</v>
      </c>
      <c r="C6974">
        <v>1.0140751674761701</v>
      </c>
      <c r="D6974">
        <v>0.89503414797923597</v>
      </c>
      <c r="E6974">
        <v>0.402913605271639</v>
      </c>
      <c r="F6974">
        <v>0.14422595665892199</v>
      </c>
      <c r="G6974">
        <v>0.112013955005919</v>
      </c>
      <c r="H6974">
        <v>4.9402213863946803E-2</v>
      </c>
      <c r="I6974">
        <v>4.24149854198183E-2</v>
      </c>
      <c r="J6974">
        <v>4.2702387129535599E-2</v>
      </c>
      <c r="K6974">
        <v>4.7881231842865399E-2</v>
      </c>
      <c r="L6974">
        <v>1549.8468316916901</v>
      </c>
      <c r="M6974">
        <v>31.7332792999558</v>
      </c>
      <c r="N6974">
        <v>49.032199849984103</v>
      </c>
      <c r="O6974">
        <v>48.6470716564924</v>
      </c>
      <c r="P6974">
        <v>-0.15353324230044299</v>
      </c>
      <c r="Q6974">
        <v>5.8540016381563101E-2</v>
      </c>
      <c r="R6974">
        <v>0.99754775677273</v>
      </c>
      <c r="S6974" t="s">
        <v>13977</v>
      </c>
      <c r="T6974" t="s">
        <v>14004</v>
      </c>
      <c r="U6974" t="s">
        <v>14004</v>
      </c>
      <c r="V6974" t="s">
        <v>14004</v>
      </c>
      <c r="W6974" t="s">
        <v>20915</v>
      </c>
      <c r="X6974">
        <v>12</v>
      </c>
      <c r="Y6974" t="s">
        <v>27685</v>
      </c>
      <c r="Z6974" t="s">
        <v>34684</v>
      </c>
      <c r="AA6974">
        <v>0.34104896541450752</v>
      </c>
      <c r="AB6974" t="str">
        <f>HYPERLINK("Melting_Curves/meltCurve_Q9Y6K5_OAS3.pdf", "Melting_Curves/meltCurve_Q9Y6K5_OAS3.pdf")</f>
        <v>Melting_Curves/meltCurve_Q9Y6K5_OAS3.pdf</v>
      </c>
    </row>
    <row r="6975" spans="1:28" x14ac:dyDescent="0.25">
      <c r="A6975" t="s">
        <v>6979</v>
      </c>
      <c r="B6975">
        <v>0.99999676499088797</v>
      </c>
      <c r="C6975">
        <v>0.99641490835462998</v>
      </c>
      <c r="D6975">
        <v>0.69551020740417902</v>
      </c>
      <c r="E6975">
        <v>0.434628204343257</v>
      </c>
      <c r="F6975">
        <v>0.46808753755494897</v>
      </c>
      <c r="G6975">
        <v>0.45362062302525702</v>
      </c>
      <c r="H6975">
        <v>0.313677894972819</v>
      </c>
      <c r="I6975">
        <v>0.39609853141342899</v>
      </c>
      <c r="J6975">
        <v>0.46378602003436398</v>
      </c>
      <c r="K6975">
        <v>0.507875043746846</v>
      </c>
      <c r="L6975">
        <v>3404.0483959307198</v>
      </c>
      <c r="M6975">
        <v>74.152036708550597</v>
      </c>
      <c r="N6975">
        <v>47.191629828488097</v>
      </c>
      <c r="O6975">
        <v>45.872997618189501</v>
      </c>
      <c r="P6975">
        <v>-0.228873410674995</v>
      </c>
      <c r="Q6975">
        <v>0.43364446844981702</v>
      </c>
      <c r="R6975">
        <v>0.95556340619137803</v>
      </c>
      <c r="S6975" t="s">
        <v>13978</v>
      </c>
      <c r="T6975" t="s">
        <v>14004</v>
      </c>
      <c r="U6975" t="s">
        <v>14004</v>
      </c>
      <c r="V6975" t="s">
        <v>14004</v>
      </c>
      <c r="W6975" t="s">
        <v>20916</v>
      </c>
      <c r="X6975">
        <v>20</v>
      </c>
      <c r="Y6975" t="s">
        <v>27686</v>
      </c>
      <c r="Z6975" t="s">
        <v>34685</v>
      </c>
      <c r="AA6975">
        <v>0.5456673502468038</v>
      </c>
      <c r="AB6975" t="str">
        <f>HYPERLINK("Melting_Curves/meltCurve_Q9Y6K9_IKBKG.pdf", "Melting_Curves/meltCurve_Q9Y6K9_IKBKG.pdf")</f>
        <v>Melting_Curves/meltCurve_Q9Y6K9_IKBKG.pdf</v>
      </c>
    </row>
    <row r="6976" spans="1:28" x14ac:dyDescent="0.25">
      <c r="A6976" t="s">
        <v>6980</v>
      </c>
      <c r="B6976">
        <v>0.99999676499088797</v>
      </c>
      <c r="C6976">
        <v>1.0484034943590499</v>
      </c>
      <c r="D6976">
        <v>1.01294472782541</v>
      </c>
      <c r="E6976">
        <v>0.99662894706244198</v>
      </c>
      <c r="F6976">
        <v>0.71690572688765797</v>
      </c>
      <c r="G6976">
        <v>0.50861115875055796</v>
      </c>
      <c r="H6976">
        <v>0.11379534151073301</v>
      </c>
      <c r="I6976">
        <v>0.101354786336546</v>
      </c>
      <c r="J6976">
        <v>9.4059753072827795E-2</v>
      </c>
      <c r="K6976">
        <v>6.5099201500476794E-2</v>
      </c>
      <c r="L6976">
        <v>1296.1674377418101</v>
      </c>
      <c r="M6976">
        <v>23.171562838433399</v>
      </c>
      <c r="N6976">
        <v>56.197665541321904</v>
      </c>
      <c r="O6976">
        <v>55.526223453474501</v>
      </c>
      <c r="P6976">
        <v>-9.9030146275763703E-2</v>
      </c>
      <c r="Q6976">
        <v>5.0789965184023102E-2</v>
      </c>
      <c r="R6976">
        <v>0.98971191032412498</v>
      </c>
      <c r="S6976" t="s">
        <v>13979</v>
      </c>
      <c r="T6976" t="s">
        <v>14004</v>
      </c>
      <c r="U6976" t="s">
        <v>14004</v>
      </c>
      <c r="V6976" t="s">
        <v>14004</v>
      </c>
      <c r="W6976" t="s">
        <v>20917</v>
      </c>
      <c r="X6976">
        <v>7</v>
      </c>
      <c r="Y6976" t="s">
        <v>27687</v>
      </c>
      <c r="Z6976" t="s">
        <v>34686</v>
      </c>
      <c r="AA6976">
        <v>0.56493319151069277</v>
      </c>
      <c r="AB6976" t="str">
        <f>HYPERLINK("Melting_Curves/meltCurve_Q9Y6M4_CSNK1G3.pdf", "Melting_Curves/meltCurve_Q9Y6M4_CSNK1G3.pdf")</f>
        <v>Melting_Curves/meltCurve_Q9Y6M4_CSNK1G3.pdf</v>
      </c>
    </row>
    <row r="6977" spans="1:28" x14ac:dyDescent="0.25">
      <c r="A6977" t="s">
        <v>6981</v>
      </c>
      <c r="B6977">
        <v>0.99999676499088797</v>
      </c>
      <c r="C6977">
        <v>0.97767390605837101</v>
      </c>
      <c r="D6977">
        <v>0.99853687179948603</v>
      </c>
      <c r="E6977">
        <v>1.0314235325474499</v>
      </c>
      <c r="F6977">
        <v>0.982599224023461</v>
      </c>
      <c r="G6977">
        <v>0.75280237289277896</v>
      </c>
      <c r="H6977">
        <v>0.54411491534363599</v>
      </c>
      <c r="I6977">
        <v>0.41517766474453299</v>
      </c>
      <c r="J6977">
        <v>0.27806324344226602</v>
      </c>
      <c r="K6977">
        <v>0.29994458678584002</v>
      </c>
      <c r="L6977">
        <v>1274.0291273883099</v>
      </c>
      <c r="M6977">
        <v>21.492859722727601</v>
      </c>
      <c r="N6977">
        <v>61.383429305249798</v>
      </c>
      <c r="O6977">
        <v>58.770851410034901</v>
      </c>
      <c r="P6977">
        <v>-6.7577791849274593E-2</v>
      </c>
      <c r="Q6977">
        <v>0.26086939241776202</v>
      </c>
      <c r="R6977">
        <v>0.99084648660753105</v>
      </c>
      <c r="S6977" t="s">
        <v>13980</v>
      </c>
      <c r="T6977" t="s">
        <v>14004</v>
      </c>
      <c r="U6977" t="s">
        <v>14004</v>
      </c>
      <c r="V6977" t="s">
        <v>14004</v>
      </c>
      <c r="W6977" t="s">
        <v>20918</v>
      </c>
      <c r="X6977">
        <v>6</v>
      </c>
      <c r="Y6977" t="s">
        <v>27688</v>
      </c>
      <c r="Z6977" t="s">
        <v>34687</v>
      </c>
      <c r="AA6977">
        <v>0.74261927567732122</v>
      </c>
      <c r="AB6977" t="str">
        <f>HYPERLINK("Melting_Curves/meltCurve_Q9Y6M5_SLC30A1.pdf", "Melting_Curves/meltCurve_Q9Y6M5_SLC30A1.pdf")</f>
        <v>Melting_Curves/meltCurve_Q9Y6M5_SLC30A1.pdf</v>
      </c>
    </row>
    <row r="6978" spans="1:28" x14ac:dyDescent="0.25">
      <c r="A6978" t="s">
        <v>6982</v>
      </c>
      <c r="B6978">
        <v>0.99999676499088797</v>
      </c>
      <c r="C6978">
        <v>0.94782344099071003</v>
      </c>
      <c r="D6978">
        <v>0.92276724665586296</v>
      </c>
      <c r="E6978">
        <v>0.82690321490571295</v>
      </c>
      <c r="F6978">
        <v>0.73493838953463897</v>
      </c>
      <c r="G6978">
        <v>0.428315276324859</v>
      </c>
      <c r="H6978">
        <v>0.12981803005185</v>
      </c>
      <c r="I6978">
        <v>0.12950522765289299</v>
      </c>
      <c r="J6978">
        <v>0.12184771365912</v>
      </c>
      <c r="K6978">
        <v>0.132058568690645</v>
      </c>
      <c r="L6978">
        <v>1022.16558603327</v>
      </c>
      <c r="M6978">
        <v>18.581579993031902</v>
      </c>
      <c r="N6978">
        <v>55.499283829937902</v>
      </c>
      <c r="O6978">
        <v>54.384369508712403</v>
      </c>
      <c r="P6978">
        <v>-7.8963232516893994E-2</v>
      </c>
      <c r="Q6978">
        <v>7.5605260339801597E-2</v>
      </c>
      <c r="R6978">
        <v>0.98403222288347203</v>
      </c>
      <c r="S6978" t="s">
        <v>13981</v>
      </c>
      <c r="T6978" t="s">
        <v>14004</v>
      </c>
      <c r="U6978" t="s">
        <v>14004</v>
      </c>
      <c r="V6978" t="s">
        <v>14004</v>
      </c>
      <c r="W6978" t="s">
        <v>20919</v>
      </c>
      <c r="X6978">
        <v>7</v>
      </c>
      <c r="Y6978" t="s">
        <v>27689</v>
      </c>
      <c r="Z6978" t="s">
        <v>34688</v>
      </c>
      <c r="AA6978">
        <v>0.55178419437512549</v>
      </c>
      <c r="AB6978" t="str">
        <f>HYPERLINK("Melting_Curves/meltCurve_Q9Y6M9_NDUFB9.pdf", "Melting_Curves/meltCurve_Q9Y6M9_NDUFB9.pdf")</f>
        <v>Melting_Curves/meltCurve_Q9Y6M9_NDUFB9.pdf</v>
      </c>
    </row>
    <row r="6979" spans="1:28" x14ac:dyDescent="0.25">
      <c r="A6979" t="s">
        <v>6983</v>
      </c>
      <c r="B6979">
        <v>0.99999676499088797</v>
      </c>
      <c r="C6979">
        <v>0.94534201189707401</v>
      </c>
      <c r="D6979">
        <v>0.98328656602197695</v>
      </c>
      <c r="E6979">
        <v>0.90654736911221201</v>
      </c>
      <c r="F6979">
        <v>0.26289978309964401</v>
      </c>
      <c r="G6979">
        <v>0.119457827765783</v>
      </c>
      <c r="H6979">
        <v>5.9503436408749701E-2</v>
      </c>
      <c r="I6979">
        <v>3.2094432257800003E-2</v>
      </c>
      <c r="J6979">
        <v>1.6279892858958301E-2</v>
      </c>
      <c r="K6979">
        <v>3.0463856503214801E-2</v>
      </c>
      <c r="L6979">
        <v>2396.7466963136299</v>
      </c>
      <c r="M6979">
        <v>46.2147349523147</v>
      </c>
      <c r="N6979">
        <v>51.970483101465099</v>
      </c>
      <c r="O6979">
        <v>51.764269795203901</v>
      </c>
      <c r="P6979">
        <v>-0.21285394739584701</v>
      </c>
      <c r="Q6979">
        <v>4.6346055598592603E-2</v>
      </c>
      <c r="R6979">
        <v>0.995695924363308</v>
      </c>
      <c r="S6979" t="s">
        <v>13982</v>
      </c>
      <c r="T6979" t="s">
        <v>14004</v>
      </c>
      <c r="U6979" t="s">
        <v>14004</v>
      </c>
      <c r="V6979" t="s">
        <v>14004</v>
      </c>
      <c r="W6979" t="s">
        <v>20920</v>
      </c>
      <c r="X6979">
        <v>2</v>
      </c>
      <c r="Y6979" t="s">
        <v>27690</v>
      </c>
      <c r="Z6979" t="s">
        <v>34689</v>
      </c>
      <c r="AA6979">
        <v>0.42594766205415319</v>
      </c>
      <c r="AB6979" t="str">
        <f>HYPERLINK("Melting_Curves/meltCurve_Q9Y6N1_COX11.pdf", "Melting_Curves/meltCurve_Q9Y6N1_COX11.pdf")</f>
        <v>Melting_Curves/meltCurve_Q9Y6N1_COX11.pdf</v>
      </c>
    </row>
    <row r="6980" spans="1:28" x14ac:dyDescent="0.25">
      <c r="A6980" t="s">
        <v>6984</v>
      </c>
      <c r="B6980">
        <v>0.99999676499088797</v>
      </c>
      <c r="C6980">
        <v>1.0711275400456299</v>
      </c>
      <c r="D6980">
        <v>1.05912406070564</v>
      </c>
      <c r="E6980">
        <v>1.18946229256084</v>
      </c>
      <c r="F6980">
        <v>0.98492754783907299</v>
      </c>
      <c r="G6980">
        <v>0.99738567718334403</v>
      </c>
      <c r="H6980">
        <v>0.56976632762913904</v>
      </c>
      <c r="I6980">
        <v>0.46246923219830399</v>
      </c>
      <c r="J6980">
        <v>0.272207373357159</v>
      </c>
      <c r="K6980">
        <v>0.259174150369962</v>
      </c>
      <c r="L6980">
        <v>2002.0434201112901</v>
      </c>
      <c r="M6980">
        <v>32.957651980411498</v>
      </c>
      <c r="N6980">
        <v>62.192888168749697</v>
      </c>
      <c r="O6980">
        <v>60.523579027090399</v>
      </c>
      <c r="P6980">
        <v>-9.9686287099081394E-2</v>
      </c>
      <c r="Q6980">
        <v>0.26774565828949798</v>
      </c>
      <c r="R6980">
        <v>0.94776396177628597</v>
      </c>
      <c r="S6980" t="s">
        <v>13983</v>
      </c>
      <c r="T6980" t="s">
        <v>14004</v>
      </c>
      <c r="U6980" t="s">
        <v>14004</v>
      </c>
      <c r="V6980" t="s">
        <v>14004</v>
      </c>
      <c r="W6980" t="s">
        <v>20921</v>
      </c>
      <c r="X6980">
        <v>27</v>
      </c>
      <c r="Y6980" t="s">
        <v>27691</v>
      </c>
      <c r="Z6980" t="s">
        <v>34690</v>
      </c>
      <c r="AA6980">
        <v>0.77785132866160811</v>
      </c>
      <c r="AB6980" t="str">
        <f>HYPERLINK("Melting_Curves/meltCurve_Q9Y6N5_SQRDL.pdf", "Melting_Curves/meltCurve_Q9Y6N5_SQRDL.pdf")</f>
        <v>Melting_Curves/meltCurve_Q9Y6N5_SQRDL.pdf</v>
      </c>
    </row>
    <row r="6981" spans="1:28" x14ac:dyDescent="0.25">
      <c r="A6981" t="s">
        <v>6985</v>
      </c>
      <c r="B6981">
        <v>0.99999676499088797</v>
      </c>
      <c r="C6981">
        <v>0.92103901391083698</v>
      </c>
      <c r="D6981">
        <v>0.75457878996974803</v>
      </c>
      <c r="E6981">
        <v>0.36837309190977602</v>
      </c>
      <c r="F6981">
        <v>0.20797004487057699</v>
      </c>
      <c r="G6981">
        <v>0.15403388312664301</v>
      </c>
      <c r="H6981">
        <v>0.119644843649861</v>
      </c>
      <c r="I6981">
        <v>0.15822832079421001</v>
      </c>
      <c r="J6981">
        <v>0.171803372899971</v>
      </c>
      <c r="K6981">
        <v>0.20862688230798501</v>
      </c>
      <c r="L6981">
        <v>1217.9717688815599</v>
      </c>
      <c r="M6981">
        <v>25.651371141503098</v>
      </c>
      <c r="N6981">
        <v>48.200890317896402</v>
      </c>
      <c r="O6981">
        <v>47.196003676731102</v>
      </c>
      <c r="P6981">
        <v>-0.114274434355112</v>
      </c>
      <c r="Q6981">
        <v>0.15899557758059699</v>
      </c>
      <c r="R6981">
        <v>0.99478535837632498</v>
      </c>
      <c r="S6981" t="s">
        <v>13984</v>
      </c>
      <c r="T6981" t="s">
        <v>14004</v>
      </c>
      <c r="U6981" t="s">
        <v>14004</v>
      </c>
      <c r="V6981" t="s">
        <v>14004</v>
      </c>
      <c r="W6981" t="s">
        <v>20922</v>
      </c>
      <c r="X6981">
        <v>10</v>
      </c>
      <c r="Y6981" t="s">
        <v>27692</v>
      </c>
      <c r="Z6981" t="s">
        <v>34691</v>
      </c>
      <c r="AA6981">
        <v>0.37578780602401551</v>
      </c>
      <c r="AB6981" t="str">
        <f>HYPERLINK("Melting_Curves/meltCurve_Q9Y6Q9_5_NCOA3.pdf", "Melting_Curves/meltCurve_Q9Y6Q9_5_NCOA3.pdf")</f>
        <v>Melting_Curves/meltCurve_Q9Y6Q9_5_NCOA3.pdf</v>
      </c>
    </row>
    <row r="6982" spans="1:28" x14ac:dyDescent="0.25">
      <c r="A6982" t="s">
        <v>6986</v>
      </c>
      <c r="B6982">
        <v>0.99999676499088797</v>
      </c>
      <c r="C6982">
        <v>0.94505788112545497</v>
      </c>
      <c r="D6982">
        <v>0.97450079234711895</v>
      </c>
      <c r="E6982">
        <v>0.73466000984120505</v>
      </c>
      <c r="F6982">
        <v>0.33029418036737102</v>
      </c>
      <c r="G6982">
        <v>0.24389219881536001</v>
      </c>
      <c r="H6982">
        <v>0.18806838838251799</v>
      </c>
      <c r="I6982">
        <v>0.23854295993048999</v>
      </c>
      <c r="J6982">
        <v>0.236606030883553</v>
      </c>
      <c r="K6982">
        <v>0.25318562480840401</v>
      </c>
      <c r="L6982">
        <v>1837.3720748255801</v>
      </c>
      <c r="M6982">
        <v>36.408808898809902</v>
      </c>
      <c r="N6982">
        <v>51.3279078668088</v>
      </c>
      <c r="O6982">
        <v>50.313530430806601</v>
      </c>
      <c r="P6982">
        <v>-0.13950266093298799</v>
      </c>
      <c r="Q6982">
        <v>0.228884467044422</v>
      </c>
      <c r="R6982">
        <v>0.99513151344250295</v>
      </c>
      <c r="S6982" t="s">
        <v>13985</v>
      </c>
      <c r="T6982" t="s">
        <v>14004</v>
      </c>
      <c r="U6982" t="s">
        <v>14004</v>
      </c>
      <c r="V6982" t="s">
        <v>14004</v>
      </c>
      <c r="W6982" t="s">
        <v>20923</v>
      </c>
      <c r="X6982">
        <v>5</v>
      </c>
      <c r="Y6982" t="s">
        <v>27693</v>
      </c>
      <c r="Z6982" t="s">
        <v>34692</v>
      </c>
      <c r="AA6982">
        <v>0.5011286684799815</v>
      </c>
      <c r="AB6982" t="str">
        <f>HYPERLINK("Melting_Curves/meltCurve_Q9Y6R0_NUMBL.pdf", "Melting_Curves/meltCurve_Q9Y6R0_NUMBL.pdf")</f>
        <v>Melting_Curves/meltCurve_Q9Y6R0_NUMBL.pdf</v>
      </c>
    </row>
    <row r="6983" spans="1:28" x14ac:dyDescent="0.25">
      <c r="A6983" t="s">
        <v>6987</v>
      </c>
      <c r="B6983">
        <v>0.99999676499088797</v>
      </c>
      <c r="C6983">
        <v>0.99355177249091498</v>
      </c>
      <c r="D6983">
        <v>1.0108668859754699</v>
      </c>
      <c r="E6983">
        <v>0.93760911466284003</v>
      </c>
      <c r="F6983">
        <v>0.57779762386475098</v>
      </c>
      <c r="G6983">
        <v>0.30181847074576101</v>
      </c>
      <c r="H6983">
        <v>0.11649218721021901</v>
      </c>
      <c r="I6983">
        <v>0.11398373637610699</v>
      </c>
      <c r="J6983">
        <v>8.3418900004263094E-2</v>
      </c>
      <c r="K6983">
        <v>9.3719099718112694E-2</v>
      </c>
      <c r="L6983">
        <v>1399.9560922302201</v>
      </c>
      <c r="M6983">
        <v>26.039423005998199</v>
      </c>
      <c r="N6983">
        <v>54.175390634247997</v>
      </c>
      <c r="O6983">
        <v>53.448875964802099</v>
      </c>
      <c r="P6983">
        <v>-0.110846031034793</v>
      </c>
      <c r="Q6983">
        <v>8.9914224873993406E-2</v>
      </c>
      <c r="R6983">
        <v>0.99771974973554001</v>
      </c>
      <c r="S6983" t="s">
        <v>13986</v>
      </c>
      <c r="T6983" t="s">
        <v>14004</v>
      </c>
      <c r="U6983" t="s">
        <v>14004</v>
      </c>
      <c r="V6983" t="s">
        <v>14004</v>
      </c>
      <c r="W6983" t="s">
        <v>20924</v>
      </c>
      <c r="X6983">
        <v>11</v>
      </c>
      <c r="Y6983" t="s">
        <v>27694</v>
      </c>
      <c r="Z6983" t="s">
        <v>34693</v>
      </c>
      <c r="AA6983">
        <v>0.51523390968463056</v>
      </c>
      <c r="AB6983" t="str">
        <f>HYPERLINK("Melting_Curves/meltCurve_Q9Y6V7_DDX49.pdf", "Melting_Curves/meltCurve_Q9Y6V7_DDX49.pdf")</f>
        <v>Melting_Curves/meltCurve_Q9Y6V7_DDX49.pdf</v>
      </c>
    </row>
    <row r="6984" spans="1:28" x14ac:dyDescent="0.25">
      <c r="A6984" t="s">
        <v>6988</v>
      </c>
      <c r="B6984">
        <v>0.99999676499088797</v>
      </c>
      <c r="C6984">
        <v>0.97457747373981796</v>
      </c>
      <c r="D6984">
        <v>0.83151071432411205</v>
      </c>
      <c r="E6984">
        <v>0.55884646250554204</v>
      </c>
      <c r="F6984">
        <v>0.28237018931853203</v>
      </c>
      <c r="G6984">
        <v>0.21555787843306501</v>
      </c>
      <c r="H6984">
        <v>0.105600231724147</v>
      </c>
      <c r="I6984">
        <v>0.138027069032019</v>
      </c>
      <c r="J6984">
        <v>0.13383893685894999</v>
      </c>
      <c r="K6984">
        <v>0.124541591224569</v>
      </c>
      <c r="L6984">
        <v>988.75956610702497</v>
      </c>
      <c r="M6984">
        <v>19.976587053568</v>
      </c>
      <c r="N6984">
        <v>50.195132036914401</v>
      </c>
      <c r="O6984">
        <v>49.007931789370097</v>
      </c>
      <c r="P6984">
        <v>-8.9531086358399695E-2</v>
      </c>
      <c r="Q6984">
        <v>0.121453545655739</v>
      </c>
      <c r="R6984">
        <v>0.99752344735389498</v>
      </c>
      <c r="S6984" t="s">
        <v>13987</v>
      </c>
      <c r="T6984" t="s">
        <v>14004</v>
      </c>
      <c r="U6984" t="s">
        <v>14004</v>
      </c>
      <c r="V6984" t="s">
        <v>14004</v>
      </c>
      <c r="W6984" t="s">
        <v>20925</v>
      </c>
      <c r="X6984">
        <v>4</v>
      </c>
      <c r="Y6984" t="s">
        <v>27695</v>
      </c>
      <c r="Z6984" t="s">
        <v>34694</v>
      </c>
      <c r="AA6984">
        <v>0.411829429121014</v>
      </c>
      <c r="AB6984" t="str">
        <f>HYPERLINK("Melting_Curves/meltCurve_Q9Y6W3_CAPN7.pdf", "Melting_Curves/meltCurve_Q9Y6W3_CAPN7.pdf")</f>
        <v>Melting_Curves/meltCurve_Q9Y6W3_CAPN7.pdf</v>
      </c>
    </row>
    <row r="6985" spans="1:28" x14ac:dyDescent="0.25">
      <c r="A6985" t="s">
        <v>6989</v>
      </c>
      <c r="B6985">
        <v>0.99999676499088797</v>
      </c>
      <c r="C6985">
        <v>1.056428473113</v>
      </c>
      <c r="D6985">
        <v>0.98528013213848697</v>
      </c>
      <c r="E6985">
        <v>0.71678184934643197</v>
      </c>
      <c r="F6985">
        <v>0.42437583848502197</v>
      </c>
      <c r="G6985">
        <v>0.370797669853554</v>
      </c>
      <c r="H6985">
        <v>0.26179901055111998</v>
      </c>
      <c r="I6985">
        <v>0.37029451115540601</v>
      </c>
      <c r="J6985">
        <v>0.421969734531566</v>
      </c>
      <c r="K6985">
        <v>0.46203430408631202</v>
      </c>
      <c r="L6985">
        <v>2130.7326382983401</v>
      </c>
      <c r="M6985">
        <v>42.7667383023064</v>
      </c>
      <c r="N6985">
        <v>51.521477991701097</v>
      </c>
      <c r="O6985">
        <v>49.713632347146103</v>
      </c>
      <c r="P6985">
        <v>-0.13377176993805501</v>
      </c>
      <c r="Q6985">
        <v>0.377996123685643</v>
      </c>
      <c r="R6985">
        <v>0.96865202148990204</v>
      </c>
      <c r="S6985" t="s">
        <v>13988</v>
      </c>
      <c r="T6985" t="s">
        <v>14004</v>
      </c>
      <c r="U6985" t="s">
        <v>14004</v>
      </c>
      <c r="V6985" t="s">
        <v>14004</v>
      </c>
      <c r="W6985" t="s">
        <v>20926</v>
      </c>
      <c r="X6985">
        <v>14</v>
      </c>
      <c r="Y6985" t="s">
        <v>27696</v>
      </c>
      <c r="Z6985" t="s">
        <v>34695</v>
      </c>
      <c r="AA6985">
        <v>0.58351670516223253</v>
      </c>
      <c r="AB6985" t="str">
        <f>HYPERLINK("Melting_Curves/meltCurve_Q9Y6W5_WASF2.pdf", "Melting_Curves/meltCurve_Q9Y6W5_WASF2.pdf")</f>
        <v>Melting_Curves/meltCurve_Q9Y6W5_WASF2.pdf</v>
      </c>
    </row>
    <row r="6986" spans="1:28" x14ac:dyDescent="0.25">
      <c r="A6986" t="s">
        <v>6990</v>
      </c>
      <c r="B6986">
        <v>0.99999676499088797</v>
      </c>
      <c r="C6986">
        <v>0.94602079425369501</v>
      </c>
      <c r="D6986">
        <v>0.98443577689652895</v>
      </c>
      <c r="E6986">
        <v>1.0917611049104701</v>
      </c>
      <c r="F6986">
        <v>0.428018508716554</v>
      </c>
      <c r="G6986">
        <v>0.30052219483888398</v>
      </c>
      <c r="H6986">
        <v>0.16984346830712399</v>
      </c>
      <c r="I6986">
        <v>0.177479961645922</v>
      </c>
      <c r="J6986">
        <v>0.20949037564678699</v>
      </c>
      <c r="K6986">
        <v>0.17610186002599201</v>
      </c>
      <c r="L6986">
        <v>11636.5245542631</v>
      </c>
      <c r="M6986">
        <v>219.681109641679</v>
      </c>
      <c r="N6986">
        <v>53.098973506887901</v>
      </c>
      <c r="O6986">
        <v>52.9656847877473</v>
      </c>
      <c r="P6986">
        <v>-0.82258816202198903</v>
      </c>
      <c r="Q6986">
        <v>0.206687466477287</v>
      </c>
      <c r="R6986">
        <v>0.98385471792124002</v>
      </c>
      <c r="S6986" t="s">
        <v>13989</v>
      </c>
      <c r="T6986" t="s">
        <v>14004</v>
      </c>
      <c r="U6986" t="s">
        <v>14004</v>
      </c>
      <c r="V6986" t="s">
        <v>14004</v>
      </c>
      <c r="W6986" t="s">
        <v>20927</v>
      </c>
      <c r="X6986">
        <v>7</v>
      </c>
      <c r="Y6986" t="s">
        <v>27697</v>
      </c>
      <c r="Z6986" t="s">
        <v>34696</v>
      </c>
      <c r="AA6986">
        <v>0.54976038059127541</v>
      </c>
      <c r="AB6986" t="str">
        <f>HYPERLINK("Melting_Curves/meltCurve_Q9Y6X4_FAM169A.pdf", "Melting_Curves/meltCurve_Q9Y6X4_FAM169A.pdf")</f>
        <v>Melting_Curves/meltCurve_Q9Y6X4_FAM169A.pdf</v>
      </c>
    </row>
    <row r="6987" spans="1:28" x14ac:dyDescent="0.25">
      <c r="A6987" t="s">
        <v>6991</v>
      </c>
      <c r="B6987">
        <v>0.99999676499088797</v>
      </c>
      <c r="C6987">
        <v>0.88565797654214196</v>
      </c>
      <c r="D6987">
        <v>0.97310013099489401</v>
      </c>
      <c r="E6987">
        <v>1.09334902234603</v>
      </c>
      <c r="F6987">
        <v>1.2379851862311499</v>
      </c>
      <c r="G6987">
        <v>0.965456897355081</v>
      </c>
      <c r="H6987">
        <v>0.74744765161647897</v>
      </c>
      <c r="I6987">
        <v>0.61332200452866203</v>
      </c>
      <c r="J6987">
        <v>0.51034104902339394</v>
      </c>
      <c r="K6987">
        <v>0.43781790531074999</v>
      </c>
      <c r="L6987">
        <v>1892.51524999105</v>
      </c>
      <c r="M6987">
        <v>30.720790814534499</v>
      </c>
      <c r="N6987">
        <v>66.699054817714597</v>
      </c>
      <c r="O6987">
        <v>61.344484567308598</v>
      </c>
      <c r="P6987">
        <v>-6.8588234650465693E-2</v>
      </c>
      <c r="Q6987">
        <v>0.45216471256992202</v>
      </c>
      <c r="R6987">
        <v>0.86260786141177903</v>
      </c>
      <c r="S6987" t="s">
        <v>13990</v>
      </c>
      <c r="T6987" t="s">
        <v>14004</v>
      </c>
      <c r="U6987" t="s">
        <v>14004</v>
      </c>
      <c r="V6987" t="s">
        <v>14004</v>
      </c>
      <c r="W6987" t="s">
        <v>20928</v>
      </c>
      <c r="X6987">
        <v>7</v>
      </c>
      <c r="Y6987" t="s">
        <v>27698</v>
      </c>
      <c r="Z6987" t="s">
        <v>34697</v>
      </c>
      <c r="AA6987">
        <v>0.84938423700228505</v>
      </c>
      <c r="AB6987" t="str">
        <f>HYPERLINK("Melting_Curves/meltCurve_Q9Y6X5_ENPP4.pdf", "Melting_Curves/meltCurve_Q9Y6X5_ENPP4.pdf")</f>
        <v>Melting_Curves/meltCurve_Q9Y6X5_ENPP4.pdf</v>
      </c>
    </row>
    <row r="6988" spans="1:28" x14ac:dyDescent="0.25">
      <c r="A6988" t="s">
        <v>6992</v>
      </c>
      <c r="B6988">
        <v>0.99999676499088797</v>
      </c>
      <c r="C6988">
        <v>0.86245910253312397</v>
      </c>
      <c r="D6988">
        <v>0.69277350965649298</v>
      </c>
      <c r="E6988">
        <v>0.27204306037424397</v>
      </c>
      <c r="F6988">
        <v>0.10278502161178101</v>
      </c>
      <c r="G6988">
        <v>7.5383049583009995E-2</v>
      </c>
      <c r="H6988">
        <v>4.1253589570235602E-2</v>
      </c>
      <c r="I6988">
        <v>8.2395278781612097E-2</v>
      </c>
      <c r="J6988">
        <v>0</v>
      </c>
      <c r="K6988">
        <v>0.134873256855012</v>
      </c>
      <c r="L6988">
        <v>1107.8085994108501</v>
      </c>
      <c r="M6988">
        <v>23.501804327869401</v>
      </c>
      <c r="N6988">
        <v>47.388164390255</v>
      </c>
      <c r="O6988">
        <v>46.799874450865097</v>
      </c>
      <c r="P6988">
        <v>-0.11819935912589</v>
      </c>
      <c r="Q6988">
        <v>5.8520027107375298E-2</v>
      </c>
      <c r="R6988">
        <v>0.98855474322136005</v>
      </c>
      <c r="S6988" t="s">
        <v>13991</v>
      </c>
      <c r="T6988" t="s">
        <v>14004</v>
      </c>
      <c r="U6988" t="s">
        <v>14004</v>
      </c>
      <c r="V6988" t="s">
        <v>14004</v>
      </c>
      <c r="W6988" t="s">
        <v>20929</v>
      </c>
      <c r="X6988">
        <v>4</v>
      </c>
      <c r="Y6988" t="s">
        <v>27699</v>
      </c>
      <c r="Z6988" t="s">
        <v>34698</v>
      </c>
      <c r="AA6988">
        <v>0.29210892503099462</v>
      </c>
      <c r="AB6988" t="str">
        <f>HYPERLINK("Melting_Curves/meltCurve_Q9Y6X8_ZHX2.pdf", "Melting_Curves/meltCurve_Q9Y6X8_ZHX2.pdf")</f>
        <v>Melting_Curves/meltCurve_Q9Y6X8_ZHX2.pdf</v>
      </c>
    </row>
    <row r="6989" spans="1:28" x14ac:dyDescent="0.25">
      <c r="A6989" t="s">
        <v>6993</v>
      </c>
      <c r="B6989">
        <v>0.99999676499088797</v>
      </c>
      <c r="C6989">
        <v>0.90149672958384097</v>
      </c>
      <c r="D6989">
        <v>0.79289252820162504</v>
      </c>
      <c r="E6989">
        <v>0.43420104152419198</v>
      </c>
      <c r="F6989">
        <v>0.21319421299486599</v>
      </c>
      <c r="G6989">
        <v>0.27594099480637801</v>
      </c>
      <c r="H6989">
        <v>0.113444924896661</v>
      </c>
      <c r="I6989">
        <v>0.11199129808796</v>
      </c>
      <c r="J6989">
        <v>7.9959909545465599E-2</v>
      </c>
      <c r="K6989">
        <v>4.2364999541654701E-2</v>
      </c>
      <c r="L6989">
        <v>844.20632062167294</v>
      </c>
      <c r="M6989">
        <v>17.360420089186899</v>
      </c>
      <c r="N6989">
        <v>49.186337417094599</v>
      </c>
      <c r="O6989">
        <v>47.996757558356002</v>
      </c>
      <c r="P6989">
        <v>-8.2345673311094297E-2</v>
      </c>
      <c r="Q6989">
        <v>8.9400083358183904E-2</v>
      </c>
      <c r="R6989">
        <v>0.98177986841753995</v>
      </c>
      <c r="S6989" t="s">
        <v>13992</v>
      </c>
      <c r="T6989" t="s">
        <v>14004</v>
      </c>
      <c r="U6989" t="s">
        <v>14004</v>
      </c>
      <c r="V6989" t="s">
        <v>14004</v>
      </c>
      <c r="W6989" t="s">
        <v>20930</v>
      </c>
      <c r="X6989">
        <v>3</v>
      </c>
      <c r="Y6989" t="s">
        <v>27700</v>
      </c>
      <c r="Z6989" t="s">
        <v>34699</v>
      </c>
      <c r="AA6989">
        <v>0.3683941877318227</v>
      </c>
      <c r="AB6989" t="str">
        <f>HYPERLINK("Melting_Curves/meltCurve_Q9Y6X9_MORC2.pdf", "Melting_Curves/meltCurve_Q9Y6X9_MORC2.pdf")</f>
        <v>Melting_Curves/meltCurve_Q9Y6X9_MORC2.pdf</v>
      </c>
    </row>
    <row r="6990" spans="1:28" x14ac:dyDescent="0.25">
      <c r="A6990" t="s">
        <v>6994</v>
      </c>
      <c r="B6990">
        <v>0.99999676499088797</v>
      </c>
      <c r="C6990">
        <v>0.926536472311416</v>
      </c>
      <c r="D6990">
        <v>0.70932816512838304</v>
      </c>
      <c r="E6990">
        <v>0.34751264640285201</v>
      </c>
      <c r="F6990">
        <v>0.21076737410603799</v>
      </c>
      <c r="G6990">
        <v>0.14680010728169099</v>
      </c>
      <c r="H6990">
        <v>7.4006933587794602E-2</v>
      </c>
      <c r="I6990">
        <v>6.8015125671944093E-2</v>
      </c>
      <c r="J6990">
        <v>5.6127556280095602E-2</v>
      </c>
      <c r="K6990">
        <v>5.1351392398454099E-2</v>
      </c>
      <c r="L6990">
        <v>931.55339167090403</v>
      </c>
      <c r="M6990">
        <v>19.471327331054699</v>
      </c>
      <c r="N6990">
        <v>48.197476220595398</v>
      </c>
      <c r="O6990">
        <v>47.346259535454301</v>
      </c>
      <c r="P6990">
        <v>-9.5945680450039594E-2</v>
      </c>
      <c r="Q6990">
        <v>6.6832029468204796E-2</v>
      </c>
      <c r="R6990">
        <v>0.99643876155296596</v>
      </c>
      <c r="S6990" t="s">
        <v>13993</v>
      </c>
      <c r="T6990" t="s">
        <v>14004</v>
      </c>
      <c r="U6990" t="s">
        <v>14004</v>
      </c>
      <c r="V6990" t="s">
        <v>14004</v>
      </c>
      <c r="W6990" t="s">
        <v>20931</v>
      </c>
      <c r="X6990">
        <v>11</v>
      </c>
      <c r="Y6990" t="s">
        <v>27701</v>
      </c>
      <c r="Z6990" t="s">
        <v>34700</v>
      </c>
      <c r="AA6990">
        <v>0.32486155043456449</v>
      </c>
      <c r="AB6990" t="str">
        <f>HYPERLINK("Melting_Curves/meltCurve_Q9Y6Y0_IVNS1ABP.pdf", "Melting_Curves/meltCurve_Q9Y6Y0_IVNS1ABP.pdf")</f>
        <v>Melting_Curves/meltCurve_Q9Y6Y0_IVNS1ABP.pdf</v>
      </c>
    </row>
    <row r="6991" spans="1:28" x14ac:dyDescent="0.25">
      <c r="A6991" t="s">
        <v>6995</v>
      </c>
      <c r="B6991">
        <v>0.99999676499088797</v>
      </c>
      <c r="C6991">
        <v>1.1081192615241999</v>
      </c>
      <c r="D6991">
        <v>1.0604976545785301</v>
      </c>
      <c r="E6991">
        <v>0.90606765773131603</v>
      </c>
      <c r="F6991">
        <v>0.86513365222719296</v>
      </c>
      <c r="G6991">
        <v>0.48971155798814597</v>
      </c>
      <c r="H6991">
        <v>0.126222837229955</v>
      </c>
      <c r="I6991">
        <v>0.117160035298168</v>
      </c>
      <c r="J6991">
        <v>0.108236451060631</v>
      </c>
      <c r="K6991">
        <v>7.31288484930918E-2</v>
      </c>
      <c r="L6991">
        <v>1714.69391269168</v>
      </c>
      <c r="M6991">
        <v>30.477312770544</v>
      </c>
      <c r="N6991">
        <v>56.583536638629802</v>
      </c>
      <c r="O6991">
        <v>56.0207673804669</v>
      </c>
      <c r="P6991">
        <v>-0.12517479088311001</v>
      </c>
      <c r="Q6991">
        <v>7.9663618776721901E-2</v>
      </c>
      <c r="R6991">
        <v>0.98636968090664801</v>
      </c>
      <c r="S6991" t="s">
        <v>13994</v>
      </c>
      <c r="T6991" t="s">
        <v>14004</v>
      </c>
      <c r="U6991" t="s">
        <v>14004</v>
      </c>
      <c r="V6991" t="s">
        <v>14004</v>
      </c>
      <c r="W6991" t="s">
        <v>20932</v>
      </c>
      <c r="X6991">
        <v>13</v>
      </c>
      <c r="Y6991" t="s">
        <v>27702</v>
      </c>
      <c r="Z6991" t="s">
        <v>34701</v>
      </c>
      <c r="AA6991">
        <v>0.58449212330490463</v>
      </c>
      <c r="AB6991" t="str">
        <f>HYPERLINK("Melting_Curves/meltCurve_R4GMR5_PSMD8.pdf", "Melting_Curves/meltCurve_R4GMR5_PSMD8.pdf")</f>
        <v>Melting_Curves/meltCurve_R4GMR5_PSMD8.pdf</v>
      </c>
    </row>
    <row r="6992" spans="1:28" x14ac:dyDescent="0.25">
      <c r="A6992" t="s">
        <v>6996</v>
      </c>
      <c r="B6992">
        <v>0.99999676499088797</v>
      </c>
      <c r="C6992">
        <v>1.04531677444783</v>
      </c>
      <c r="D6992">
        <v>1.04216610792919</v>
      </c>
      <c r="E6992">
        <v>0.65266354776969204</v>
      </c>
      <c r="F6992">
        <v>0.35714500192446202</v>
      </c>
      <c r="G6992">
        <v>0.236335183362441</v>
      </c>
      <c r="H6992">
        <v>0.142006061330645</v>
      </c>
      <c r="I6992">
        <v>0.10373256536624299</v>
      </c>
      <c r="J6992">
        <v>8.9490330701962495E-2</v>
      </c>
      <c r="K6992">
        <v>7.7457066745479294E-2</v>
      </c>
      <c r="L6992">
        <v>1219.92058896091</v>
      </c>
      <c r="M6992">
        <v>23.882702910005001</v>
      </c>
      <c r="N6992">
        <v>51.595286096351899</v>
      </c>
      <c r="O6992">
        <v>50.725580398286503</v>
      </c>
      <c r="P6992">
        <v>-0.105211151841294</v>
      </c>
      <c r="Q6992">
        <v>0.10616288424577</v>
      </c>
      <c r="R6992">
        <v>0.98670337593012503</v>
      </c>
      <c r="S6992" t="s">
        <v>13995</v>
      </c>
      <c r="T6992" t="s">
        <v>14004</v>
      </c>
      <c r="U6992" t="s">
        <v>14004</v>
      </c>
      <c r="V6992" t="s">
        <v>14004</v>
      </c>
      <c r="W6992" t="s">
        <v>20933</v>
      </c>
      <c r="X6992">
        <v>8</v>
      </c>
      <c r="Y6992" t="s">
        <v>27703</v>
      </c>
      <c r="Z6992" t="s">
        <v>34702</v>
      </c>
      <c r="AA6992">
        <v>0.44511523857259871</v>
      </c>
      <c r="AB6992" t="str">
        <f>HYPERLINK("Melting_Curves/meltCurve_R4GMU1_H6PD.pdf", "Melting_Curves/meltCurve_R4GMU1_H6PD.pdf")</f>
        <v>Melting_Curves/meltCurve_R4GMU1_H6PD.pdf</v>
      </c>
    </row>
    <row r="6993" spans="1:28" x14ac:dyDescent="0.25">
      <c r="A6993" t="s">
        <v>6997</v>
      </c>
      <c r="B6993">
        <v>0.99999676499088797</v>
      </c>
      <c r="C6993">
        <v>0.81665872642064796</v>
      </c>
      <c r="D6993">
        <v>0.81761534833880201</v>
      </c>
      <c r="E6993">
        <v>0.55369132727528203</v>
      </c>
      <c r="F6993">
        <v>0.28190272457193999</v>
      </c>
      <c r="G6993">
        <v>0.174770745601315</v>
      </c>
      <c r="H6993">
        <v>6.8980680658302901E-2</v>
      </c>
      <c r="I6993">
        <v>7.1158302480529206E-2</v>
      </c>
      <c r="J6993">
        <v>5.2699060414869499E-2</v>
      </c>
      <c r="K6993">
        <v>6.22155916152769E-2</v>
      </c>
      <c r="L6993">
        <v>715.76703008932998</v>
      </c>
      <c r="M6993">
        <v>14.356239729997499</v>
      </c>
      <c r="N6993">
        <v>50.050416528395601</v>
      </c>
      <c r="O6993">
        <v>48.920103409489798</v>
      </c>
      <c r="P6993">
        <v>-7.1400152085111801E-2</v>
      </c>
      <c r="Q6993">
        <v>2.69084499614313E-2</v>
      </c>
      <c r="R6993">
        <v>0.98860085862282099</v>
      </c>
      <c r="S6993" t="s">
        <v>13996</v>
      </c>
      <c r="T6993" t="s">
        <v>14004</v>
      </c>
      <c r="U6993" t="s">
        <v>14004</v>
      </c>
      <c r="V6993" t="s">
        <v>14004</v>
      </c>
      <c r="W6993" t="s">
        <v>20934</v>
      </c>
      <c r="X6993">
        <v>10</v>
      </c>
      <c r="Y6993" t="s">
        <v>27704</v>
      </c>
      <c r="Z6993" t="s">
        <v>34703</v>
      </c>
      <c r="AA6993">
        <v>0.37184532747471322</v>
      </c>
      <c r="AB6993" t="str">
        <f>HYPERLINK("Melting_Curves/meltCurve_R4GMX3_BMI1.pdf", "Melting_Curves/meltCurve_R4GMX3_BMI1.pdf")</f>
        <v>Melting_Curves/meltCurve_R4GMX3_BMI1.pdf</v>
      </c>
    </row>
    <row r="6994" spans="1:28" x14ac:dyDescent="0.25">
      <c r="A6994" t="s">
        <v>6998</v>
      </c>
      <c r="B6994">
        <v>0.99999676499088797</v>
      </c>
      <c r="C6994">
        <v>0.89979522802999001</v>
      </c>
      <c r="D6994">
        <v>0.84375547725816402</v>
      </c>
      <c r="E6994">
        <v>0.67505941208008302</v>
      </c>
      <c r="F6994">
        <v>0.35044470084037599</v>
      </c>
      <c r="G6994">
        <v>0.194214068217129</v>
      </c>
      <c r="H6994">
        <v>7.6906008736418896E-2</v>
      </c>
      <c r="I6994">
        <v>4.7707237017233201E-2</v>
      </c>
      <c r="J6994">
        <v>3.5695781825833099E-2</v>
      </c>
      <c r="K6994">
        <v>3.5082945980556897E-2</v>
      </c>
      <c r="L6994">
        <v>784.01454338605799</v>
      </c>
      <c r="M6994">
        <v>15.267023474399799</v>
      </c>
      <c r="N6994">
        <v>51.386897911048997</v>
      </c>
      <c r="O6994">
        <v>50.496574748188699</v>
      </c>
      <c r="P6994">
        <v>-7.5218005385948195E-2</v>
      </c>
      <c r="Q6994">
        <v>4.9419759457653501E-3</v>
      </c>
      <c r="R6994">
        <v>0.99590782484992801</v>
      </c>
      <c r="S6994" t="s">
        <v>13997</v>
      </c>
      <c r="T6994" t="s">
        <v>14004</v>
      </c>
      <c r="U6994" t="s">
        <v>14004</v>
      </c>
      <c r="V6994" t="s">
        <v>14004</v>
      </c>
      <c r="W6994" t="s">
        <v>20935</v>
      </c>
      <c r="X6994">
        <v>5</v>
      </c>
      <c r="Y6994" t="s">
        <v>27705</v>
      </c>
      <c r="Z6994" t="s">
        <v>34704</v>
      </c>
      <c r="AA6994">
        <v>0.40361315321431762</v>
      </c>
      <c r="AB6994" t="str">
        <f>HYPERLINK("Melting_Curves/meltCurve_R4GMX8_RANBP10.pdf", "Melting_Curves/meltCurve_R4GMX8_RANBP10.pdf")</f>
        <v>Melting_Curves/meltCurve_R4GMX8_RANBP10.pdf</v>
      </c>
    </row>
    <row r="6995" spans="1:28" x14ac:dyDescent="0.25">
      <c r="A6995" t="s">
        <v>6999</v>
      </c>
      <c r="B6995">
        <v>0.99999676499088797</v>
      </c>
      <c r="C6995">
        <v>1.09451512061651</v>
      </c>
      <c r="D6995">
        <v>0.88160428912933897</v>
      </c>
      <c r="E6995">
        <v>0.581362366402702</v>
      </c>
      <c r="F6995">
        <v>0.49871117047651298</v>
      </c>
      <c r="G6995">
        <v>0.263444875847338</v>
      </c>
      <c r="H6995">
        <v>0.121442442105228</v>
      </c>
      <c r="I6995">
        <v>0.102897062365394</v>
      </c>
      <c r="J6995">
        <v>0.132659434631856</v>
      </c>
      <c r="K6995">
        <v>9.2205997264846407E-2</v>
      </c>
      <c r="L6995">
        <v>813.45932367595503</v>
      </c>
      <c r="M6995">
        <v>15.8004213495323</v>
      </c>
      <c r="N6995">
        <v>52.073559623589297</v>
      </c>
      <c r="O6995">
        <v>50.679907226160999</v>
      </c>
      <c r="P6995">
        <v>-7.1558744384445594E-2</v>
      </c>
      <c r="Q6995">
        <v>8.1976299385451798E-2</v>
      </c>
      <c r="R6995">
        <v>0.97589423924190299</v>
      </c>
      <c r="S6995" t="s">
        <v>13998</v>
      </c>
      <c r="T6995" t="s">
        <v>14004</v>
      </c>
      <c r="U6995" t="s">
        <v>14004</v>
      </c>
      <c r="V6995" t="s">
        <v>14004</v>
      </c>
      <c r="W6995" t="s">
        <v>20936</v>
      </c>
      <c r="X6995">
        <v>4</v>
      </c>
      <c r="Y6995" t="s">
        <v>27706</v>
      </c>
      <c r="Z6995" t="s">
        <v>34705</v>
      </c>
      <c r="AA6995">
        <v>0.45257577954199341</v>
      </c>
      <c r="AB6995" t="str">
        <f>HYPERLINK("Melting_Curves/meltCurve_R4GMZ8_FBXO44.pdf", "Melting_Curves/meltCurve_R4GMZ8_FBXO44.pdf")</f>
        <v>Melting_Curves/meltCurve_R4GMZ8_FBXO44.pdf</v>
      </c>
    </row>
    <row r="6996" spans="1:28" x14ac:dyDescent="0.25">
      <c r="A6996" t="s">
        <v>7000</v>
      </c>
      <c r="B6996">
        <v>0.99999676499088797</v>
      </c>
      <c r="C6996">
        <v>1.0417122999334001</v>
      </c>
      <c r="D6996">
        <v>0.96278567787723002</v>
      </c>
      <c r="E6996">
        <v>0.90458199532552996</v>
      </c>
      <c r="F6996">
        <v>0.432072152909245</v>
      </c>
      <c r="G6996">
        <v>0.17457418362645899</v>
      </c>
      <c r="H6996">
        <v>9.0300169379774503E-2</v>
      </c>
      <c r="I6996">
        <v>0.100242851890403</v>
      </c>
      <c r="J6996">
        <v>9.4731207548852905E-2</v>
      </c>
      <c r="K6996">
        <v>9.6622923012825601E-2</v>
      </c>
      <c r="L6996">
        <v>1823.28556526239</v>
      </c>
      <c r="M6996">
        <v>34.7562475561122</v>
      </c>
      <c r="N6996">
        <v>52.784404839560302</v>
      </c>
      <c r="O6996">
        <v>52.286464824561698</v>
      </c>
      <c r="P6996">
        <v>-0.150167601874962</v>
      </c>
      <c r="Q6996">
        <v>9.6369142483690898E-2</v>
      </c>
      <c r="R6996">
        <v>0.99793937499549801</v>
      </c>
      <c r="S6996" t="s">
        <v>13999</v>
      </c>
      <c r="T6996" t="s">
        <v>14004</v>
      </c>
      <c r="U6996" t="s">
        <v>14004</v>
      </c>
      <c r="V6996" t="s">
        <v>14004</v>
      </c>
      <c r="W6996" t="s">
        <v>20937</v>
      </c>
      <c r="X6996">
        <v>11</v>
      </c>
      <c r="Y6996" t="s">
        <v>27707</v>
      </c>
      <c r="Z6996" t="s">
        <v>34706</v>
      </c>
      <c r="AA6996">
        <v>0.47599346681371402</v>
      </c>
      <c r="AB6996" t="str">
        <f>HYPERLINK("Melting_Curves/meltCurve_R4GN55_YTHDF3.pdf", "Melting_Curves/meltCurve_R4GN55_YTHDF3.pdf")</f>
        <v>Melting_Curves/meltCurve_R4GN55_YTHDF3.pdf</v>
      </c>
    </row>
    <row r="6997" spans="1:28" x14ac:dyDescent="0.25">
      <c r="A6997" t="s">
        <v>7001</v>
      </c>
      <c r="B6997">
        <v>0.99999676499088797</v>
      </c>
      <c r="C6997">
        <v>1.19078504954707</v>
      </c>
      <c r="D6997">
        <v>1.1442698840663299</v>
      </c>
      <c r="E6997">
        <v>0.73646549951872597</v>
      </c>
      <c r="F6997">
        <v>0.91454983217733199</v>
      </c>
      <c r="G6997">
        <v>0.90729415237927902</v>
      </c>
      <c r="H6997">
        <v>0.57176993775139495</v>
      </c>
      <c r="I6997">
        <v>0.34776553958377399</v>
      </c>
      <c r="J6997">
        <v>0.55457361479680201</v>
      </c>
      <c r="K6997">
        <v>0.338406157982162</v>
      </c>
      <c r="L6997">
        <v>2307.8578343040899</v>
      </c>
      <c r="M6997">
        <v>39.041723822277199</v>
      </c>
      <c r="N6997">
        <v>61.7659788473349</v>
      </c>
      <c r="O6997">
        <v>58.958175135078903</v>
      </c>
      <c r="P6997">
        <v>-9.8245107653195302E-2</v>
      </c>
      <c r="Q6997">
        <v>0.40654908769995601</v>
      </c>
      <c r="R6997">
        <v>0.80771686262214504</v>
      </c>
      <c r="S6997" t="s">
        <v>14000</v>
      </c>
      <c r="T6997" t="s">
        <v>14004</v>
      </c>
      <c r="U6997" t="s">
        <v>14004</v>
      </c>
      <c r="V6997" t="s">
        <v>14004</v>
      </c>
      <c r="W6997" t="s">
        <v>20938</v>
      </c>
      <c r="X6997">
        <v>1</v>
      </c>
      <c r="Y6997" t="s">
        <v>27708</v>
      </c>
      <c r="Z6997" t="s">
        <v>34707</v>
      </c>
      <c r="AA6997">
        <v>0.78707277100831941</v>
      </c>
      <c r="AB6997" t="str">
        <f>HYPERLINK("Melting_Curves/meltCurve_R4GN89_C16orf74.pdf", "Melting_Curves/meltCurve_R4GN89_C16orf74.pdf")</f>
        <v>Melting_Curves/meltCurve_R4GN89_C16orf74.pdf</v>
      </c>
    </row>
    <row r="6998" spans="1:28" x14ac:dyDescent="0.25">
      <c r="A6998" t="s">
        <v>7002</v>
      </c>
      <c r="B6998">
        <v>0.99999676499088797</v>
      </c>
      <c r="C6998">
        <v>0.90463476019313704</v>
      </c>
      <c r="D6998">
        <v>0.65300637789691995</v>
      </c>
      <c r="E6998">
        <v>0.399597450011004</v>
      </c>
      <c r="F6998">
        <v>0.219878595918921</v>
      </c>
      <c r="G6998">
        <v>0.12812873775512601</v>
      </c>
      <c r="H6998">
        <v>8.0555400942853697E-2</v>
      </c>
      <c r="I6998">
        <v>7.9782350148550202E-2</v>
      </c>
      <c r="J6998">
        <v>5.0785599938237003E-2</v>
      </c>
      <c r="K6998">
        <v>6.2503010941370396E-2</v>
      </c>
      <c r="L6998">
        <v>803.35503545491997</v>
      </c>
      <c r="M6998">
        <v>16.785747633255301</v>
      </c>
      <c r="N6998">
        <v>48.221198000976003</v>
      </c>
      <c r="O6998">
        <v>47.195564251304603</v>
      </c>
      <c r="P6998">
        <v>-8.3659758634141698E-2</v>
      </c>
      <c r="Q6998">
        <v>5.9174763463891597E-2</v>
      </c>
      <c r="R6998">
        <v>0.99740382594255095</v>
      </c>
      <c r="S6998" t="s">
        <v>14001</v>
      </c>
      <c r="T6998" t="s">
        <v>14004</v>
      </c>
      <c r="U6998" t="s">
        <v>14004</v>
      </c>
      <c r="V6998" t="s">
        <v>14004</v>
      </c>
      <c r="W6998" t="s">
        <v>20939</v>
      </c>
      <c r="X6998">
        <v>7</v>
      </c>
      <c r="Y6998" t="s">
        <v>27709</v>
      </c>
      <c r="Z6998" t="s">
        <v>34708</v>
      </c>
      <c r="AA6998">
        <v>0.3250459556168499</v>
      </c>
      <c r="AB6998" t="str">
        <f>HYPERLINK("Melting_Curves/meltCurve_R4GNB2_DENND4C.pdf", "Melting_Curves/meltCurve_R4GNB2_DENND4C.pdf")</f>
        <v>Melting_Curves/meltCurve_R4GNB2_DENND4C.pdf</v>
      </c>
    </row>
    <row r="6999" spans="1:28" x14ac:dyDescent="0.25">
      <c r="A6999" t="s">
        <v>7003</v>
      </c>
      <c r="B6999">
        <v>0.99999676499088797</v>
      </c>
      <c r="C6999">
        <v>0.92106854976847696</v>
      </c>
      <c r="D6999">
        <v>0.87814514434209601</v>
      </c>
      <c r="E6999">
        <v>0.91044022831634597</v>
      </c>
      <c r="F6999">
        <v>0.73231845700344</v>
      </c>
      <c r="G6999">
        <v>0.39224629194666599</v>
      </c>
      <c r="H6999">
        <v>0.11160272246542199</v>
      </c>
      <c r="I6999">
        <v>0.104353827250033</v>
      </c>
      <c r="J6999">
        <v>9.3976958739224195E-2</v>
      </c>
      <c r="K6999">
        <v>8.7912894923624599E-2</v>
      </c>
      <c r="L6999">
        <v>1254.9827096143899</v>
      </c>
      <c r="M6999">
        <v>22.773213720146</v>
      </c>
      <c r="N6999">
        <v>55.4391907863656</v>
      </c>
      <c r="O6999">
        <v>54.688193852974202</v>
      </c>
      <c r="P6999">
        <v>-9.7482857022470698E-2</v>
      </c>
      <c r="Q6999">
        <v>6.3626666682633101E-2</v>
      </c>
      <c r="R6999">
        <v>0.98432803978025996</v>
      </c>
      <c r="S6999" t="s">
        <v>14002</v>
      </c>
      <c r="T6999" t="s">
        <v>14004</v>
      </c>
      <c r="U6999" t="s">
        <v>14004</v>
      </c>
      <c r="V6999" t="s">
        <v>14004</v>
      </c>
      <c r="W6999" t="s">
        <v>20940</v>
      </c>
      <c r="X6999">
        <v>32</v>
      </c>
      <c r="Y6999" t="s">
        <v>27710</v>
      </c>
      <c r="Z6999" t="s">
        <v>34709</v>
      </c>
      <c r="AA6999">
        <v>0.54532247556113311</v>
      </c>
      <c r="AB6999" t="str">
        <f>HYPERLINK("Melting_Curves/meltCurve_R4GNH3_PSMC3.pdf", "Melting_Curves/meltCurve_R4GNH3_PSMC3.pdf")</f>
        <v>Melting_Curves/meltCurve_R4GNH3_PSMC3.pdf</v>
      </c>
    </row>
    <row r="7000" spans="1:28" x14ac:dyDescent="0.25">
      <c r="A7000" t="s">
        <v>7004</v>
      </c>
      <c r="B7000">
        <v>0.99999676499088797</v>
      </c>
      <c r="C7000">
        <v>0.96070875228101504</v>
      </c>
      <c r="D7000">
        <v>1.0130288502777001</v>
      </c>
      <c r="E7000">
        <v>1.13618876957901</v>
      </c>
      <c r="F7000">
        <v>1.0561589266090099</v>
      </c>
      <c r="G7000">
        <v>0.72436235231517099</v>
      </c>
      <c r="H7000">
        <v>0.51627076451544496</v>
      </c>
      <c r="I7000">
        <v>0.53538366097908996</v>
      </c>
      <c r="J7000">
        <v>0.44973865451249101</v>
      </c>
      <c r="K7000">
        <v>0.45267770623521802</v>
      </c>
      <c r="L7000">
        <v>14191.1441082741</v>
      </c>
      <c r="M7000">
        <v>250</v>
      </c>
      <c r="N7000">
        <v>57.634585468831098</v>
      </c>
      <c r="O7000">
        <v>56.760943895401503</v>
      </c>
      <c r="P7000">
        <v>-0.56319790449246998</v>
      </c>
      <c r="Q7000">
        <v>0.48851768622543201</v>
      </c>
      <c r="R7000">
        <v>0.95753986212827202</v>
      </c>
      <c r="S7000" t="s">
        <v>14003</v>
      </c>
      <c r="T7000" t="s">
        <v>14004</v>
      </c>
      <c r="U7000" t="s">
        <v>14004</v>
      </c>
      <c r="V7000" t="s">
        <v>14004</v>
      </c>
      <c r="W7000" t="s">
        <v>20941</v>
      </c>
      <c r="X7000">
        <v>2</v>
      </c>
      <c r="Y7000" t="s">
        <v>27711</v>
      </c>
      <c r="Z7000" t="s">
        <v>34710</v>
      </c>
      <c r="AA7000">
        <v>0.77439478536020312</v>
      </c>
      <c r="AB7000" t="str">
        <f>HYPERLINK("Melting_Curves/meltCurve_R4GNJ4_TMEM219.pdf", "Melting_Curves/meltCurve_R4GNJ4_TMEM219.pdf")</f>
        <v>Melting_Curves/meltCurve_R4GNJ4_TMEM219.pdf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2017-09-14T13:06:44Z</dcterms:created>
  <dcterms:modified xsi:type="dcterms:W3CDTF">2018-08-20T14:23:54Z</dcterms:modified>
</cp:coreProperties>
</file>